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0" yWindow="0" windowWidth="20610" windowHeight="11640" tabRatio="190" firstSheet="8" activeTab="8"/>
  </bookViews>
  <sheets>
    <sheet name="PEPE SIERRA " sheetId="1" r:id="rId1"/>
    <sheet name="FLORESTA" sheetId="2" r:id="rId2"/>
    <sheet name="CEDRITOS" sheetId="3" r:id="rId3"/>
    <sheet name="NOGAL " sheetId="4" r:id="rId4"/>
    <sheet name="AV CHILE " sheetId="5" r:id="rId5"/>
    <sheet name="USAQUEN" sheetId="6" r:id="rId6"/>
    <sheet name="NUEVO" sheetId="11" state="hidden" r:id="rId7"/>
    <sheet name="CONSOLIDADO " sheetId="9" r:id="rId8"/>
    <sheet name="INFORME" sheetId="17" r:id="rId9"/>
  </sheets>
  <externalReferences>
    <externalReference r:id="rId10"/>
  </externalReferences>
  <definedNames>
    <definedName name="Excel_BuiltIn__FilterDatabase">CEDRITOS!$A$2268:$CG$2292</definedName>
    <definedName name="Excel_BuiltIn__FilterDatabase_1">'CONSOLIDADO '!$A$12:$J$17</definedName>
    <definedName name="Excel_BuiltIn__FilterDatabase_2">FLORESTA!$A$115:$J$139</definedName>
    <definedName name="Excel_BuiltIn__FilterDatabase_3">'NOGAL '!$A$2102:$CB$2126</definedName>
    <definedName name="Excel_BuiltIn__FilterDatabase_4">'PEPE SIERRA '!$A$2365:$CJ$2394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EC13" i="17" l="1"/>
  <c r="DX10" i="17"/>
  <c r="DX8" i="17"/>
  <c r="DX7" i="17"/>
  <c r="DX6" i="17"/>
  <c r="DX5" i="17"/>
  <c r="DX4" i="17"/>
  <c r="DH13" i="17"/>
  <c r="DK3" i="17"/>
  <c r="DH3" i="17"/>
  <c r="DG3" i="17"/>
  <c r="DC13" i="17"/>
  <c r="CY13" i="17"/>
  <c r="CK13" i="17"/>
  <c r="B883" i="9"/>
  <c r="I6" i="9"/>
  <c r="C879" i="9"/>
  <c r="I7" i="9"/>
  <c r="C880" i="9"/>
  <c r="I8" i="9"/>
  <c r="C881" i="9"/>
  <c r="I9" i="9"/>
  <c r="C882" i="9"/>
  <c r="I13" i="9"/>
  <c r="D879" i="9"/>
  <c r="I14" i="9"/>
  <c r="D880" i="9"/>
  <c r="I15" i="9"/>
  <c r="D881" i="9"/>
  <c r="I16" i="9"/>
  <c r="D882" i="9"/>
  <c r="I20" i="9"/>
  <c r="E879" i="9"/>
  <c r="I21" i="9"/>
  <c r="E880" i="9"/>
  <c r="I22" i="9"/>
  <c r="E881" i="9"/>
  <c r="I23" i="9"/>
  <c r="E882" i="9"/>
  <c r="E883" i="9"/>
  <c r="I27" i="9"/>
  <c r="F879" i="9"/>
  <c r="I28" i="9"/>
  <c r="F880" i="9"/>
  <c r="I29" i="9"/>
  <c r="F881" i="9"/>
  <c r="I30" i="9"/>
  <c r="F882" i="9"/>
  <c r="I34" i="9"/>
  <c r="G879" i="9"/>
  <c r="I35" i="9"/>
  <c r="G880" i="9"/>
  <c r="I36" i="9"/>
  <c r="G881" i="9"/>
  <c r="I37" i="9"/>
  <c r="G882" i="9"/>
  <c r="G883" i="9"/>
  <c r="I41" i="9"/>
  <c r="H879" i="9"/>
  <c r="I42" i="9"/>
  <c r="H880" i="9"/>
  <c r="I43" i="9"/>
  <c r="H881" i="9"/>
  <c r="I44" i="9"/>
  <c r="H882" i="9"/>
  <c r="I52" i="9"/>
  <c r="I883" i="9"/>
  <c r="I59" i="9"/>
  <c r="J883" i="9"/>
  <c r="I62" i="9"/>
  <c r="B885" i="9"/>
  <c r="I63" i="9"/>
  <c r="B886" i="9"/>
  <c r="I64" i="9"/>
  <c r="B887" i="9"/>
  <c r="I65" i="9"/>
  <c r="B888" i="9"/>
  <c r="I73" i="9"/>
  <c r="C889" i="9"/>
  <c r="I80" i="9"/>
  <c r="D889" i="9"/>
  <c r="I87" i="9"/>
  <c r="E889" i="9"/>
  <c r="I90" i="9"/>
  <c r="F885" i="9"/>
  <c r="I91" i="9"/>
  <c r="F886" i="9"/>
  <c r="I92" i="9"/>
  <c r="F887" i="9"/>
  <c r="I93" i="9"/>
  <c r="F888" i="9"/>
  <c r="F889" i="9"/>
  <c r="I101" i="9"/>
  <c r="G889" i="9"/>
  <c r="I108" i="9"/>
  <c r="H889" i="9"/>
  <c r="I115" i="9"/>
  <c r="I889" i="9"/>
  <c r="I122" i="9"/>
  <c r="J889" i="9"/>
  <c r="I125" i="9"/>
  <c r="I126" i="9"/>
  <c r="I127" i="9"/>
  <c r="I128" i="9"/>
  <c r="I129" i="9"/>
  <c r="I130" i="9"/>
  <c r="B896" i="9"/>
  <c r="I133" i="9"/>
  <c r="C891" i="9"/>
  <c r="I134" i="9"/>
  <c r="C892" i="9"/>
  <c r="I135" i="9"/>
  <c r="C893" i="9"/>
  <c r="I136" i="9"/>
  <c r="C894" i="9"/>
  <c r="I137" i="9"/>
  <c r="C895" i="9"/>
  <c r="C896" i="9"/>
  <c r="I141" i="9"/>
  <c r="I142" i="9"/>
  <c r="I143" i="9"/>
  <c r="I144" i="9"/>
  <c r="I145" i="9"/>
  <c r="I146" i="9"/>
  <c r="D896" i="9"/>
  <c r="B154" i="9"/>
  <c r="C154" i="9"/>
  <c r="D154" i="9"/>
  <c r="E154" i="9"/>
  <c r="F154" i="9"/>
  <c r="G154" i="9"/>
  <c r="H154" i="9"/>
  <c r="I154" i="9"/>
  <c r="E896" i="9"/>
  <c r="B162" i="9"/>
  <c r="C162" i="9"/>
  <c r="D162" i="9"/>
  <c r="E162" i="9"/>
  <c r="F162" i="9"/>
  <c r="G162" i="9"/>
  <c r="H162" i="9"/>
  <c r="I162" i="9"/>
  <c r="F896" i="9"/>
  <c r="B170" i="9"/>
  <c r="C170" i="9"/>
  <c r="D170" i="9"/>
  <c r="E170" i="9"/>
  <c r="F170" i="9"/>
  <c r="G170" i="9"/>
  <c r="H170" i="9"/>
  <c r="I170" i="9"/>
  <c r="G896" i="9"/>
  <c r="B178" i="9"/>
  <c r="C178" i="9"/>
  <c r="D178" i="9"/>
  <c r="E178" i="9"/>
  <c r="F178" i="9"/>
  <c r="G178" i="9"/>
  <c r="H178" i="9"/>
  <c r="I178" i="9"/>
  <c r="H896" i="9"/>
  <c r="B186" i="9"/>
  <c r="C186" i="9"/>
  <c r="D186" i="9"/>
  <c r="E186" i="9"/>
  <c r="F186" i="9"/>
  <c r="G186" i="9"/>
  <c r="H186" i="9"/>
  <c r="I186" i="9"/>
  <c r="I896" i="9"/>
  <c r="B194" i="9"/>
  <c r="C194" i="9"/>
  <c r="D194" i="9"/>
  <c r="E194" i="9"/>
  <c r="F194" i="9"/>
  <c r="G194" i="9"/>
  <c r="H194" i="9"/>
  <c r="I194" i="9"/>
  <c r="J896" i="9"/>
  <c r="B202" i="9"/>
  <c r="C202" i="9"/>
  <c r="D202" i="9"/>
  <c r="E202" i="9"/>
  <c r="F202" i="9"/>
  <c r="G202" i="9"/>
  <c r="H202" i="9"/>
  <c r="I202" i="9"/>
  <c r="B903" i="9"/>
  <c r="C903" i="9"/>
  <c r="D903" i="9"/>
  <c r="B226" i="9"/>
  <c r="C226" i="9"/>
  <c r="D226" i="9"/>
  <c r="E226" i="9"/>
  <c r="F226" i="9"/>
  <c r="G226" i="9"/>
  <c r="H226" i="9"/>
  <c r="I226" i="9"/>
  <c r="E903" i="9"/>
  <c r="F903" i="9"/>
  <c r="G903" i="9"/>
  <c r="H903" i="9"/>
  <c r="I903" i="9"/>
  <c r="J903" i="9"/>
  <c r="B274" i="9"/>
  <c r="C274" i="9"/>
  <c r="D274" i="9"/>
  <c r="E274" i="9"/>
  <c r="F274" i="9"/>
  <c r="G274" i="9"/>
  <c r="H274" i="9"/>
  <c r="I274" i="9"/>
  <c r="B910" i="9"/>
  <c r="B282" i="9"/>
  <c r="C282" i="9"/>
  <c r="D282" i="9"/>
  <c r="E282" i="9"/>
  <c r="F282" i="9"/>
  <c r="G282" i="9"/>
  <c r="H282" i="9"/>
  <c r="I282" i="9"/>
  <c r="C910" i="9"/>
  <c r="B290" i="9"/>
  <c r="C290" i="9"/>
  <c r="D290" i="9"/>
  <c r="E290" i="9"/>
  <c r="F290" i="9"/>
  <c r="G290" i="9"/>
  <c r="H290" i="9"/>
  <c r="I290" i="9"/>
  <c r="D910" i="9"/>
  <c r="B298" i="9"/>
  <c r="C298" i="9"/>
  <c r="D298" i="9"/>
  <c r="E298" i="9"/>
  <c r="F298" i="9"/>
  <c r="G298" i="9"/>
  <c r="H298" i="9"/>
  <c r="I298" i="9"/>
  <c r="E910" i="9"/>
  <c r="F910" i="9"/>
  <c r="B314" i="9"/>
  <c r="C314" i="9"/>
  <c r="D314" i="9"/>
  <c r="E314" i="9"/>
  <c r="F314" i="9"/>
  <c r="G314" i="9"/>
  <c r="H314" i="9"/>
  <c r="I314" i="9"/>
  <c r="G910" i="9"/>
  <c r="B322" i="9"/>
  <c r="C322" i="9"/>
  <c r="D322" i="9"/>
  <c r="E322" i="9"/>
  <c r="F322" i="9"/>
  <c r="G322" i="9"/>
  <c r="H322" i="9"/>
  <c r="I322" i="9"/>
  <c r="H910" i="9"/>
  <c r="B330" i="9"/>
  <c r="C330" i="9"/>
  <c r="D330" i="9"/>
  <c r="E330" i="9"/>
  <c r="F330" i="9"/>
  <c r="G330" i="9"/>
  <c r="H330" i="9"/>
  <c r="I330" i="9"/>
  <c r="I910" i="9"/>
  <c r="B338" i="9"/>
  <c r="C338" i="9"/>
  <c r="D338" i="9"/>
  <c r="E338" i="9"/>
  <c r="F338" i="9"/>
  <c r="G338" i="9"/>
  <c r="H338" i="9"/>
  <c r="I338" i="9"/>
  <c r="J910" i="9"/>
  <c r="B346" i="9"/>
  <c r="C346" i="9"/>
  <c r="D346" i="9"/>
  <c r="E346" i="9"/>
  <c r="F346" i="9"/>
  <c r="G346" i="9"/>
  <c r="H346" i="9"/>
  <c r="I346" i="9"/>
  <c r="B920" i="9"/>
  <c r="B355" i="9"/>
  <c r="C355" i="9"/>
  <c r="D355" i="9"/>
  <c r="E355" i="9"/>
  <c r="F355" i="9"/>
  <c r="G355" i="9"/>
  <c r="H355" i="9"/>
  <c r="I355" i="9"/>
  <c r="C920" i="9"/>
  <c r="B365" i="9"/>
  <c r="C365" i="9"/>
  <c r="D365" i="9"/>
  <c r="E365" i="9"/>
  <c r="F365" i="9"/>
  <c r="G365" i="9"/>
  <c r="H365" i="9"/>
  <c r="I365" i="9"/>
  <c r="D920" i="9"/>
  <c r="B375" i="9"/>
  <c r="C375" i="9"/>
  <c r="D375" i="9"/>
  <c r="E375" i="9"/>
  <c r="F375" i="9"/>
  <c r="G375" i="9"/>
  <c r="H375" i="9"/>
  <c r="I375" i="9"/>
  <c r="E920" i="9"/>
  <c r="I385" i="9"/>
  <c r="F920" i="9"/>
  <c r="I396" i="9"/>
  <c r="G920" i="9"/>
  <c r="B407" i="9"/>
  <c r="C407" i="9"/>
  <c r="D407" i="9"/>
  <c r="E407" i="9"/>
  <c r="F407" i="9"/>
  <c r="G407" i="9"/>
  <c r="H407" i="9"/>
  <c r="I407" i="9"/>
  <c r="H920" i="9"/>
  <c r="B418" i="9"/>
  <c r="C418" i="9"/>
  <c r="D418" i="9"/>
  <c r="E418" i="9"/>
  <c r="F418" i="9"/>
  <c r="G418" i="9"/>
  <c r="H418" i="9"/>
  <c r="I418" i="9"/>
  <c r="I920" i="9"/>
  <c r="B429" i="9"/>
  <c r="C429" i="9"/>
  <c r="D429" i="9"/>
  <c r="E429" i="9"/>
  <c r="F429" i="9"/>
  <c r="G429" i="9"/>
  <c r="H429" i="9"/>
  <c r="I429" i="9"/>
  <c r="J920" i="9"/>
  <c r="I432" i="9"/>
  <c r="B922" i="9"/>
  <c r="I444" i="9"/>
  <c r="C922" i="9"/>
  <c r="D922" i="9"/>
  <c r="I468" i="9"/>
  <c r="E922" i="9"/>
  <c r="I480" i="9"/>
  <c r="F922" i="9"/>
  <c r="I492" i="9"/>
  <c r="G922" i="9"/>
  <c r="I504" i="9"/>
  <c r="H922" i="9"/>
  <c r="I516" i="9"/>
  <c r="I922" i="9"/>
  <c r="I528" i="9"/>
  <c r="J922" i="9"/>
  <c r="I433" i="9"/>
  <c r="B923" i="9"/>
  <c r="I445" i="9"/>
  <c r="C923" i="9"/>
  <c r="D923" i="9"/>
  <c r="I469" i="9"/>
  <c r="E923" i="9"/>
  <c r="I481" i="9"/>
  <c r="F923" i="9"/>
  <c r="I493" i="9"/>
  <c r="G923" i="9"/>
  <c r="I505" i="9"/>
  <c r="H923" i="9"/>
  <c r="I517" i="9"/>
  <c r="I923" i="9"/>
  <c r="I529" i="9"/>
  <c r="J923" i="9"/>
  <c r="I434" i="9"/>
  <c r="B924" i="9"/>
  <c r="I446" i="9"/>
  <c r="C924" i="9"/>
  <c r="D924" i="9"/>
  <c r="I470" i="9"/>
  <c r="E924" i="9"/>
  <c r="I482" i="9"/>
  <c r="F924" i="9"/>
  <c r="I494" i="9"/>
  <c r="G924" i="9"/>
  <c r="I506" i="9"/>
  <c r="H924" i="9"/>
  <c r="I518" i="9"/>
  <c r="I924" i="9"/>
  <c r="I530" i="9"/>
  <c r="J924" i="9"/>
  <c r="I435" i="9"/>
  <c r="B925" i="9"/>
  <c r="I447" i="9"/>
  <c r="C925" i="9"/>
  <c r="D925" i="9"/>
  <c r="I471" i="9"/>
  <c r="E925" i="9"/>
  <c r="I483" i="9"/>
  <c r="F925" i="9"/>
  <c r="I495" i="9"/>
  <c r="G925" i="9"/>
  <c r="I507" i="9"/>
  <c r="H925" i="9"/>
  <c r="I519" i="9"/>
  <c r="I925" i="9"/>
  <c r="I531" i="9"/>
  <c r="J925" i="9"/>
  <c r="I436" i="9"/>
  <c r="B926" i="9"/>
  <c r="I448" i="9"/>
  <c r="C926" i="9"/>
  <c r="D926" i="9"/>
  <c r="I472" i="9"/>
  <c r="E926" i="9"/>
  <c r="I484" i="9"/>
  <c r="F926" i="9"/>
  <c r="I496" i="9"/>
  <c r="G926" i="9"/>
  <c r="I508" i="9"/>
  <c r="H926" i="9"/>
  <c r="I520" i="9"/>
  <c r="I926" i="9"/>
  <c r="I532" i="9"/>
  <c r="J926" i="9"/>
  <c r="I437" i="9"/>
  <c r="B927" i="9"/>
  <c r="I449" i="9"/>
  <c r="C927" i="9"/>
  <c r="D927" i="9"/>
  <c r="I473" i="9"/>
  <c r="E927" i="9"/>
  <c r="I485" i="9"/>
  <c r="F927" i="9"/>
  <c r="I497" i="9"/>
  <c r="G927" i="9"/>
  <c r="I509" i="9"/>
  <c r="H927" i="9"/>
  <c r="I521" i="9"/>
  <c r="I927" i="9"/>
  <c r="I533" i="9"/>
  <c r="J927" i="9"/>
  <c r="I438" i="9"/>
  <c r="B928" i="9"/>
  <c r="I450" i="9"/>
  <c r="C928" i="9"/>
  <c r="D928" i="9"/>
  <c r="I474" i="9"/>
  <c r="E928" i="9"/>
  <c r="I486" i="9"/>
  <c r="F928" i="9"/>
  <c r="I498" i="9"/>
  <c r="G928" i="9"/>
  <c r="I510" i="9"/>
  <c r="H928" i="9"/>
  <c r="I522" i="9"/>
  <c r="I928" i="9"/>
  <c r="I534" i="9"/>
  <c r="J928" i="9"/>
  <c r="I439" i="9"/>
  <c r="B929" i="9"/>
  <c r="I451" i="9"/>
  <c r="C929" i="9"/>
  <c r="D929" i="9"/>
  <c r="I475" i="9"/>
  <c r="E929" i="9"/>
  <c r="I487" i="9"/>
  <c r="F929" i="9"/>
  <c r="I499" i="9"/>
  <c r="G929" i="9"/>
  <c r="I511" i="9"/>
  <c r="H929" i="9"/>
  <c r="I523" i="9"/>
  <c r="I929" i="9"/>
  <c r="I535" i="9"/>
  <c r="J929" i="9"/>
  <c r="I440" i="9"/>
  <c r="B930" i="9"/>
  <c r="I452" i="9"/>
  <c r="C930" i="9"/>
  <c r="D930" i="9"/>
  <c r="I476" i="9"/>
  <c r="E930" i="9"/>
  <c r="I488" i="9"/>
  <c r="F930" i="9"/>
  <c r="I500" i="9"/>
  <c r="G930" i="9"/>
  <c r="I512" i="9"/>
  <c r="H930" i="9"/>
  <c r="I524" i="9"/>
  <c r="I930" i="9"/>
  <c r="I536" i="9"/>
  <c r="J930" i="9"/>
  <c r="I540" i="9"/>
  <c r="I541" i="9"/>
  <c r="I542" i="9"/>
  <c r="I543" i="9"/>
  <c r="I544" i="9"/>
  <c r="I545" i="9"/>
  <c r="I546" i="9"/>
  <c r="I547" i="9"/>
  <c r="I548" i="9"/>
  <c r="I549" i="9"/>
  <c r="B945" i="9"/>
  <c r="I552" i="9"/>
  <c r="I553" i="9"/>
  <c r="I554" i="9"/>
  <c r="I555" i="9"/>
  <c r="I556" i="9"/>
  <c r="I557" i="9"/>
  <c r="I558" i="9"/>
  <c r="I559" i="9"/>
  <c r="I560" i="9"/>
  <c r="I561" i="9"/>
  <c r="C945" i="9"/>
  <c r="I564" i="9"/>
  <c r="I565" i="9"/>
  <c r="I566" i="9"/>
  <c r="I567" i="9"/>
  <c r="I568" i="9"/>
  <c r="I569" i="9"/>
  <c r="I570" i="9"/>
  <c r="I571" i="9"/>
  <c r="I572" i="9"/>
  <c r="I573" i="9"/>
  <c r="D945" i="9"/>
  <c r="I576" i="9"/>
  <c r="I577" i="9"/>
  <c r="I578" i="9"/>
  <c r="I579" i="9"/>
  <c r="I580" i="9"/>
  <c r="I581" i="9"/>
  <c r="I582" i="9"/>
  <c r="I583" i="9"/>
  <c r="I584" i="9"/>
  <c r="I585" i="9"/>
  <c r="E945" i="9"/>
  <c r="I588" i="9"/>
  <c r="I589" i="9"/>
  <c r="I590" i="9"/>
  <c r="I591" i="9"/>
  <c r="I592" i="9"/>
  <c r="I593" i="9"/>
  <c r="I594" i="9"/>
  <c r="I595" i="9"/>
  <c r="I596" i="9"/>
  <c r="I597" i="9"/>
  <c r="F945" i="9"/>
  <c r="I600" i="9"/>
  <c r="I601" i="9"/>
  <c r="I602" i="9"/>
  <c r="I603" i="9"/>
  <c r="I604" i="9"/>
  <c r="I605" i="9"/>
  <c r="I606" i="9"/>
  <c r="I607" i="9"/>
  <c r="I608" i="9"/>
  <c r="I609" i="9"/>
  <c r="G945" i="9"/>
  <c r="I612" i="9"/>
  <c r="I613" i="9"/>
  <c r="I614" i="9"/>
  <c r="I615" i="9"/>
  <c r="I616" i="9"/>
  <c r="I617" i="9"/>
  <c r="I618" i="9"/>
  <c r="I619" i="9"/>
  <c r="I620" i="9"/>
  <c r="I621" i="9"/>
  <c r="I622" i="9"/>
  <c r="I623" i="9"/>
  <c r="H945" i="9"/>
  <c r="I626" i="9"/>
  <c r="I627" i="9"/>
  <c r="I628" i="9"/>
  <c r="I629" i="9"/>
  <c r="I630" i="9"/>
  <c r="I631" i="9"/>
  <c r="I632" i="9"/>
  <c r="I633" i="9"/>
  <c r="I634" i="9"/>
  <c r="I635" i="9"/>
  <c r="I636" i="9"/>
  <c r="I637" i="9"/>
  <c r="I945" i="9"/>
  <c r="I640" i="9"/>
  <c r="I641" i="9"/>
  <c r="I642" i="9"/>
  <c r="I643" i="9"/>
  <c r="I644" i="9"/>
  <c r="I645" i="9"/>
  <c r="I646" i="9"/>
  <c r="I647" i="9"/>
  <c r="I648" i="9"/>
  <c r="I649" i="9"/>
  <c r="I650" i="9"/>
  <c r="I651" i="9"/>
  <c r="I652" i="9"/>
  <c r="J945" i="9"/>
  <c r="I655" i="9"/>
  <c r="I656" i="9"/>
  <c r="I657" i="9"/>
  <c r="I658" i="9"/>
  <c r="I659" i="9"/>
  <c r="I660" i="9"/>
  <c r="I661" i="9"/>
  <c r="I662" i="9"/>
  <c r="I663" i="9"/>
  <c r="I664" i="9"/>
  <c r="I665" i="9"/>
  <c r="I666" i="9"/>
  <c r="I667" i="9"/>
  <c r="B960" i="9"/>
  <c r="I670" i="9"/>
  <c r="I671" i="9"/>
  <c r="I672" i="9"/>
  <c r="I673" i="9"/>
  <c r="I674" i="9"/>
  <c r="I675" i="9"/>
  <c r="I676" i="9"/>
  <c r="I677" i="9"/>
  <c r="I678" i="9"/>
  <c r="I679" i="9"/>
  <c r="I680" i="9"/>
  <c r="I681" i="9"/>
  <c r="I682" i="9"/>
  <c r="C960" i="9"/>
  <c r="I685" i="9"/>
  <c r="I686" i="9"/>
  <c r="I687" i="9"/>
  <c r="I688" i="9"/>
  <c r="I689" i="9"/>
  <c r="I690" i="9"/>
  <c r="I691" i="9"/>
  <c r="I692" i="9"/>
  <c r="I693" i="9"/>
  <c r="I694" i="9"/>
  <c r="I695" i="9"/>
  <c r="I696" i="9"/>
  <c r="I697" i="9"/>
  <c r="D960" i="9"/>
  <c r="I700" i="9"/>
  <c r="I701" i="9"/>
  <c r="I702" i="9"/>
  <c r="I703" i="9"/>
  <c r="I704" i="9"/>
  <c r="I705" i="9"/>
  <c r="I706" i="9"/>
  <c r="I707" i="9"/>
  <c r="I708" i="9"/>
  <c r="I709" i="9"/>
  <c r="I710" i="9"/>
  <c r="I711" i="9"/>
  <c r="I712" i="9"/>
  <c r="E960" i="9"/>
  <c r="I715" i="9"/>
  <c r="I716" i="9"/>
  <c r="I717" i="9"/>
  <c r="I718" i="9"/>
  <c r="I719" i="9"/>
  <c r="I720" i="9"/>
  <c r="I721" i="9"/>
  <c r="I722" i="9"/>
  <c r="I723" i="9"/>
  <c r="I724" i="9"/>
  <c r="I725" i="9"/>
  <c r="I726" i="9"/>
  <c r="I727" i="9"/>
  <c r="F960" i="9"/>
  <c r="I730" i="9"/>
  <c r="I731" i="9"/>
  <c r="I732" i="9"/>
  <c r="I733" i="9"/>
  <c r="I734" i="9"/>
  <c r="I735" i="9"/>
  <c r="I736" i="9"/>
  <c r="I737" i="9"/>
  <c r="I738" i="9"/>
  <c r="I739" i="9"/>
  <c r="I740" i="9"/>
  <c r="I741" i="9"/>
  <c r="I742" i="9"/>
  <c r="I743" i="9"/>
  <c r="G960" i="9"/>
  <c r="I746" i="9"/>
  <c r="I747" i="9"/>
  <c r="I748" i="9"/>
  <c r="I749" i="9"/>
  <c r="I750" i="9"/>
  <c r="I751" i="9"/>
  <c r="I752" i="9"/>
  <c r="I753" i="9"/>
  <c r="I754" i="9"/>
  <c r="I755" i="9"/>
  <c r="I756" i="9"/>
  <c r="I757" i="9"/>
  <c r="I758" i="9"/>
  <c r="I759" i="9"/>
  <c r="H960" i="9"/>
  <c r="I762" i="9"/>
  <c r="I763" i="9"/>
  <c r="I764" i="9"/>
  <c r="I765" i="9"/>
  <c r="I766" i="9"/>
  <c r="I767" i="9"/>
  <c r="I768" i="9"/>
  <c r="I769" i="9"/>
  <c r="I770" i="9"/>
  <c r="I771" i="9"/>
  <c r="I772" i="9"/>
  <c r="I773" i="9"/>
  <c r="I774" i="9"/>
  <c r="I775" i="9"/>
  <c r="I960" i="9"/>
  <c r="I778" i="9"/>
  <c r="I779" i="9"/>
  <c r="I780" i="9"/>
  <c r="I781" i="9"/>
  <c r="I782" i="9"/>
  <c r="I783" i="9"/>
  <c r="I784" i="9"/>
  <c r="I785" i="9"/>
  <c r="I786" i="9"/>
  <c r="I787" i="9"/>
  <c r="I788" i="9"/>
  <c r="I789" i="9"/>
  <c r="I790" i="9"/>
  <c r="I794" i="9"/>
  <c r="I795" i="9"/>
  <c r="I796" i="9"/>
  <c r="I797" i="9"/>
  <c r="I798" i="9"/>
  <c r="I799" i="9"/>
  <c r="I800" i="9"/>
  <c r="I801" i="9"/>
  <c r="I802" i="9"/>
  <c r="I803" i="9"/>
  <c r="I804" i="9"/>
  <c r="I805" i="9"/>
  <c r="I806" i="9"/>
  <c r="I807" i="9"/>
  <c r="I808" i="9"/>
  <c r="I811" i="9"/>
  <c r="I812" i="9"/>
  <c r="I813" i="9"/>
  <c r="I814" i="9"/>
  <c r="I815" i="9"/>
  <c r="I816" i="9"/>
  <c r="I817" i="9"/>
  <c r="I818" i="9"/>
  <c r="I819" i="9"/>
  <c r="I820" i="9"/>
  <c r="I821" i="9"/>
  <c r="I822" i="9"/>
  <c r="I823" i="9"/>
  <c r="I824" i="9"/>
  <c r="I825" i="9"/>
  <c r="I828" i="9"/>
  <c r="I829" i="9"/>
  <c r="I830" i="9"/>
  <c r="I831" i="9"/>
  <c r="I832" i="9"/>
  <c r="I833" i="9"/>
  <c r="I834" i="9"/>
  <c r="I835" i="9"/>
  <c r="I836" i="9"/>
  <c r="I837" i="9"/>
  <c r="I838" i="9"/>
  <c r="I839" i="9"/>
  <c r="I840" i="9"/>
  <c r="I841" i="9"/>
  <c r="I842" i="9"/>
  <c r="D977" i="9"/>
  <c r="I845" i="9"/>
  <c r="I846" i="9"/>
  <c r="I847" i="9"/>
  <c r="I848" i="9"/>
  <c r="I849" i="9"/>
  <c r="I850" i="9"/>
  <c r="I851" i="9"/>
  <c r="I852" i="9"/>
  <c r="I853" i="9"/>
  <c r="I854" i="9"/>
  <c r="I855" i="9"/>
  <c r="I856" i="9"/>
  <c r="I857" i="9"/>
  <c r="I858" i="9"/>
  <c r="I859" i="9"/>
  <c r="I862" i="9"/>
  <c r="I863" i="9"/>
  <c r="I864" i="9"/>
  <c r="I865" i="9"/>
  <c r="I866" i="9"/>
  <c r="I867" i="9"/>
  <c r="I868" i="9"/>
  <c r="I869" i="9"/>
  <c r="I870" i="9"/>
  <c r="I871" i="9"/>
  <c r="I872" i="9"/>
  <c r="I873" i="9"/>
  <c r="I874" i="9"/>
  <c r="I875" i="9"/>
  <c r="I876" i="9"/>
  <c r="I48" i="9"/>
  <c r="I879" i="9"/>
  <c r="I55" i="9"/>
  <c r="J879" i="9"/>
  <c r="I69" i="9"/>
  <c r="C885" i="9"/>
  <c r="I76" i="9"/>
  <c r="D885" i="9"/>
  <c r="I83" i="9"/>
  <c r="E885" i="9"/>
  <c r="I97" i="9"/>
  <c r="G885" i="9"/>
  <c r="I104" i="9"/>
  <c r="H885" i="9"/>
  <c r="I111" i="9"/>
  <c r="I885" i="9"/>
  <c r="I118" i="9"/>
  <c r="J885" i="9"/>
  <c r="B891" i="9"/>
  <c r="D891" i="9"/>
  <c r="I149" i="9"/>
  <c r="E891" i="9"/>
  <c r="I157" i="9"/>
  <c r="F891" i="9"/>
  <c r="I165" i="9"/>
  <c r="G891" i="9"/>
  <c r="I173" i="9"/>
  <c r="H891" i="9"/>
  <c r="I181" i="9"/>
  <c r="I891" i="9"/>
  <c r="I189" i="9"/>
  <c r="J891" i="9"/>
  <c r="I197" i="9"/>
  <c r="B898" i="9"/>
  <c r="C898" i="9"/>
  <c r="D898" i="9"/>
  <c r="I221" i="9"/>
  <c r="E898" i="9"/>
  <c r="F898" i="9"/>
  <c r="G898" i="9"/>
  <c r="H898" i="9"/>
  <c r="I898" i="9"/>
  <c r="J898" i="9"/>
  <c r="I269" i="9"/>
  <c r="B905" i="9"/>
  <c r="I277" i="9"/>
  <c r="C905" i="9"/>
  <c r="I285" i="9"/>
  <c r="D905" i="9"/>
  <c r="I293" i="9"/>
  <c r="E905" i="9"/>
  <c r="F905" i="9"/>
  <c r="I309" i="9"/>
  <c r="G905" i="9"/>
  <c r="I317" i="9"/>
  <c r="H905" i="9"/>
  <c r="I325" i="9"/>
  <c r="I905" i="9"/>
  <c r="I333" i="9"/>
  <c r="J905" i="9"/>
  <c r="I341" i="9"/>
  <c r="B912" i="9"/>
  <c r="I349" i="9"/>
  <c r="C912" i="9"/>
  <c r="I358" i="9"/>
  <c r="D912" i="9"/>
  <c r="I368" i="9"/>
  <c r="E912" i="9"/>
  <c r="I378" i="9"/>
  <c r="F912" i="9"/>
  <c r="I388" i="9"/>
  <c r="G912" i="9"/>
  <c r="I399" i="9"/>
  <c r="H912" i="9"/>
  <c r="I410" i="9"/>
  <c r="I912" i="9"/>
  <c r="I421" i="9"/>
  <c r="J912" i="9"/>
  <c r="B933" i="9"/>
  <c r="C933" i="9"/>
  <c r="D933" i="9"/>
  <c r="E933" i="9"/>
  <c r="F933" i="9"/>
  <c r="G933" i="9"/>
  <c r="H933" i="9"/>
  <c r="I933" i="9"/>
  <c r="J933" i="9"/>
  <c r="B947" i="9"/>
  <c r="C947" i="9"/>
  <c r="D947" i="9"/>
  <c r="E947" i="9"/>
  <c r="F947" i="9"/>
  <c r="G947" i="9"/>
  <c r="H947" i="9"/>
  <c r="I947" i="9"/>
  <c r="J947" i="9"/>
  <c r="B963" i="9"/>
  <c r="C963" i="9"/>
  <c r="D963" i="9"/>
  <c r="E963" i="9"/>
  <c r="F963" i="9"/>
  <c r="G963" i="9"/>
  <c r="I49" i="9"/>
  <c r="I880" i="9"/>
  <c r="I56" i="9"/>
  <c r="J880" i="9"/>
  <c r="I70" i="9"/>
  <c r="C886" i="9"/>
  <c r="I77" i="9"/>
  <c r="D886" i="9"/>
  <c r="I84" i="9"/>
  <c r="E886" i="9"/>
  <c r="I98" i="9"/>
  <c r="G886" i="9"/>
  <c r="I105" i="9"/>
  <c r="H886" i="9"/>
  <c r="I112" i="9"/>
  <c r="I886" i="9"/>
  <c r="I119" i="9"/>
  <c r="J886" i="9"/>
  <c r="B892" i="9"/>
  <c r="D892" i="9"/>
  <c r="I150" i="9"/>
  <c r="E892" i="9"/>
  <c r="I158" i="9"/>
  <c r="F892" i="9"/>
  <c r="I166" i="9"/>
  <c r="G892" i="9"/>
  <c r="I174" i="9"/>
  <c r="H892" i="9"/>
  <c r="I182" i="9"/>
  <c r="I892" i="9"/>
  <c r="I190" i="9"/>
  <c r="J892" i="9"/>
  <c r="I198" i="9"/>
  <c r="B899" i="9"/>
  <c r="C899" i="9"/>
  <c r="D899" i="9"/>
  <c r="I222" i="9"/>
  <c r="E899" i="9"/>
  <c r="F899" i="9"/>
  <c r="G899" i="9"/>
  <c r="H899" i="9"/>
  <c r="I899" i="9"/>
  <c r="J899" i="9"/>
  <c r="I270" i="9"/>
  <c r="B906" i="9"/>
  <c r="I278" i="9"/>
  <c r="C906" i="9"/>
  <c r="I286" i="9"/>
  <c r="D906" i="9"/>
  <c r="I294" i="9"/>
  <c r="E906" i="9"/>
  <c r="F906" i="9"/>
  <c r="I310" i="9"/>
  <c r="G906" i="9"/>
  <c r="I318" i="9"/>
  <c r="H906" i="9"/>
  <c r="I326" i="9"/>
  <c r="I906" i="9"/>
  <c r="I334" i="9"/>
  <c r="J906" i="9"/>
  <c r="I342" i="9"/>
  <c r="B913" i="9"/>
  <c r="I350" i="9"/>
  <c r="C913" i="9"/>
  <c r="I359" i="9"/>
  <c r="D913" i="9"/>
  <c r="I369" i="9"/>
  <c r="E913" i="9"/>
  <c r="I379" i="9"/>
  <c r="F913" i="9"/>
  <c r="I389" i="9"/>
  <c r="G913" i="9"/>
  <c r="I400" i="9"/>
  <c r="H913" i="9"/>
  <c r="I411" i="9"/>
  <c r="I913" i="9"/>
  <c r="I422" i="9"/>
  <c r="J913" i="9"/>
  <c r="B934" i="9"/>
  <c r="C934" i="9"/>
  <c r="D934" i="9"/>
  <c r="E934" i="9"/>
  <c r="F934" i="9"/>
  <c r="G934" i="9"/>
  <c r="H934" i="9"/>
  <c r="I934" i="9"/>
  <c r="J934" i="9"/>
  <c r="B948" i="9"/>
  <c r="C948" i="9"/>
  <c r="D948" i="9"/>
  <c r="E948" i="9"/>
  <c r="F948" i="9"/>
  <c r="G948" i="9"/>
  <c r="H948" i="9"/>
  <c r="I948" i="9"/>
  <c r="J948" i="9"/>
  <c r="B964" i="9"/>
  <c r="C964" i="9"/>
  <c r="D964" i="9"/>
  <c r="E964" i="9"/>
  <c r="F964" i="9"/>
  <c r="I50" i="9"/>
  <c r="I881" i="9"/>
  <c r="I57" i="9"/>
  <c r="J881" i="9"/>
  <c r="I71" i="9"/>
  <c r="C887" i="9"/>
  <c r="I78" i="9"/>
  <c r="D887" i="9"/>
  <c r="I85" i="9"/>
  <c r="E887" i="9"/>
  <c r="I99" i="9"/>
  <c r="G887" i="9"/>
  <c r="I106" i="9"/>
  <c r="H887" i="9"/>
  <c r="I113" i="9"/>
  <c r="I887" i="9"/>
  <c r="I120" i="9"/>
  <c r="J887" i="9"/>
  <c r="B893" i="9"/>
  <c r="D893" i="9"/>
  <c r="I151" i="9"/>
  <c r="E893" i="9"/>
  <c r="I159" i="9"/>
  <c r="F893" i="9"/>
  <c r="I167" i="9"/>
  <c r="G893" i="9"/>
  <c r="I175" i="9"/>
  <c r="H893" i="9"/>
  <c r="I183" i="9"/>
  <c r="I893" i="9"/>
  <c r="I191" i="9"/>
  <c r="J893" i="9"/>
  <c r="I199" i="9"/>
  <c r="B900" i="9"/>
  <c r="C900" i="9"/>
  <c r="D900" i="9"/>
  <c r="I223" i="9"/>
  <c r="E900" i="9"/>
  <c r="F900" i="9"/>
  <c r="G900" i="9"/>
  <c r="H900" i="9"/>
  <c r="I900" i="9"/>
  <c r="J900" i="9"/>
  <c r="I271" i="9"/>
  <c r="B907" i="9"/>
  <c r="I279" i="9"/>
  <c r="C907" i="9"/>
  <c r="I287" i="9"/>
  <c r="D907" i="9"/>
  <c r="I295" i="9"/>
  <c r="E907" i="9"/>
  <c r="F907" i="9"/>
  <c r="I311" i="9"/>
  <c r="G907" i="9"/>
  <c r="I319" i="9"/>
  <c r="H907" i="9"/>
  <c r="I327" i="9"/>
  <c r="I907" i="9"/>
  <c r="I335" i="9"/>
  <c r="J907" i="9"/>
  <c r="I343" i="9"/>
  <c r="B914" i="9"/>
  <c r="I351" i="9"/>
  <c r="C914" i="9"/>
  <c r="I360" i="9"/>
  <c r="D914" i="9"/>
  <c r="I370" i="9"/>
  <c r="E914" i="9"/>
  <c r="I380" i="9"/>
  <c r="F914" i="9"/>
  <c r="I390" i="9"/>
  <c r="G914" i="9"/>
  <c r="I401" i="9"/>
  <c r="H914" i="9"/>
  <c r="I412" i="9"/>
  <c r="I914" i="9"/>
  <c r="I423" i="9"/>
  <c r="J914" i="9"/>
  <c r="B935" i="9"/>
  <c r="C935" i="9"/>
  <c r="D935" i="9"/>
  <c r="E935" i="9"/>
  <c r="F935" i="9"/>
  <c r="G935" i="9"/>
  <c r="H935" i="9"/>
  <c r="I935" i="9"/>
  <c r="J935" i="9"/>
  <c r="B949" i="9"/>
  <c r="C949" i="9"/>
  <c r="D949" i="9"/>
  <c r="E949" i="9"/>
  <c r="F949" i="9"/>
  <c r="G949" i="9"/>
  <c r="H949" i="9"/>
  <c r="I949" i="9"/>
  <c r="J949" i="9"/>
  <c r="B965" i="9"/>
  <c r="C965" i="9"/>
  <c r="D965" i="9"/>
  <c r="E965" i="9"/>
  <c r="F965" i="9"/>
  <c r="I51" i="9"/>
  <c r="I882" i="9"/>
  <c r="I58" i="9"/>
  <c r="J882" i="9"/>
  <c r="I72" i="9"/>
  <c r="C888" i="9"/>
  <c r="I79" i="9"/>
  <c r="D888" i="9"/>
  <c r="I86" i="9"/>
  <c r="E888" i="9"/>
  <c r="I100" i="9"/>
  <c r="G888" i="9"/>
  <c r="I107" i="9"/>
  <c r="H888" i="9"/>
  <c r="I114" i="9"/>
  <c r="I888" i="9"/>
  <c r="I121" i="9"/>
  <c r="J888" i="9"/>
  <c r="B894" i="9"/>
  <c r="D894" i="9"/>
  <c r="I152" i="9"/>
  <c r="E894" i="9"/>
  <c r="I160" i="9"/>
  <c r="F894" i="9"/>
  <c r="I168" i="9"/>
  <c r="G894" i="9"/>
  <c r="I176" i="9"/>
  <c r="H894" i="9"/>
  <c r="I184" i="9"/>
  <c r="I894" i="9"/>
  <c r="I192" i="9"/>
  <c r="J894" i="9"/>
  <c r="I200" i="9"/>
  <c r="B901" i="9"/>
  <c r="C901" i="9"/>
  <c r="D901" i="9"/>
  <c r="I224" i="9"/>
  <c r="E901" i="9"/>
  <c r="F901" i="9"/>
  <c r="G901" i="9"/>
  <c r="H901" i="9"/>
  <c r="I901" i="9"/>
  <c r="J901" i="9"/>
  <c r="I272" i="9"/>
  <c r="B908" i="9"/>
  <c r="I280" i="9"/>
  <c r="C908" i="9"/>
  <c r="I288" i="9"/>
  <c r="D908" i="9"/>
  <c r="I296" i="9"/>
  <c r="E908" i="9"/>
  <c r="F908" i="9"/>
  <c r="I312" i="9"/>
  <c r="G908" i="9"/>
  <c r="I320" i="9"/>
  <c r="H908" i="9"/>
  <c r="I328" i="9"/>
  <c r="I908" i="9"/>
  <c r="I336" i="9"/>
  <c r="J908" i="9"/>
  <c r="I344" i="9"/>
  <c r="B915" i="9"/>
  <c r="I352" i="9"/>
  <c r="C915" i="9"/>
  <c r="I361" i="9"/>
  <c r="D915" i="9"/>
  <c r="I371" i="9"/>
  <c r="E915" i="9"/>
  <c r="I381" i="9"/>
  <c r="F915" i="9"/>
  <c r="I391" i="9"/>
  <c r="G915" i="9"/>
  <c r="I402" i="9"/>
  <c r="H915" i="9"/>
  <c r="I413" i="9"/>
  <c r="I915" i="9"/>
  <c r="I424" i="9"/>
  <c r="J915" i="9"/>
  <c r="B936" i="9"/>
  <c r="C936" i="9"/>
  <c r="D936" i="9"/>
  <c r="E936" i="9"/>
  <c r="F936" i="9"/>
  <c r="G936" i="9"/>
  <c r="H936" i="9"/>
  <c r="I936" i="9"/>
  <c r="J936" i="9"/>
  <c r="B950" i="9"/>
  <c r="C950" i="9"/>
  <c r="D950" i="9"/>
  <c r="E950" i="9"/>
  <c r="F950" i="9"/>
  <c r="G950" i="9"/>
  <c r="H950" i="9"/>
  <c r="I950" i="9"/>
  <c r="J950" i="9"/>
  <c r="B966" i="9"/>
  <c r="C966" i="9"/>
  <c r="D966" i="9"/>
  <c r="E966" i="9"/>
  <c r="F966" i="9"/>
  <c r="B895" i="9"/>
  <c r="D895" i="9"/>
  <c r="I153" i="9"/>
  <c r="E895" i="9"/>
  <c r="I161" i="9"/>
  <c r="F895" i="9"/>
  <c r="I169" i="9"/>
  <c r="G895" i="9"/>
  <c r="I177" i="9"/>
  <c r="H895" i="9"/>
  <c r="I185" i="9"/>
  <c r="I895" i="9"/>
  <c r="I193" i="9"/>
  <c r="J895" i="9"/>
  <c r="I201" i="9"/>
  <c r="B902" i="9"/>
  <c r="C902" i="9"/>
  <c r="D902" i="9"/>
  <c r="I225" i="9"/>
  <c r="E902" i="9"/>
  <c r="F902" i="9"/>
  <c r="G902" i="9"/>
  <c r="H902" i="9"/>
  <c r="I902" i="9"/>
  <c r="J902" i="9"/>
  <c r="I273" i="9"/>
  <c r="B909" i="9"/>
  <c r="I281" i="9"/>
  <c r="C909" i="9"/>
  <c r="I289" i="9"/>
  <c r="D909" i="9"/>
  <c r="I297" i="9"/>
  <c r="E909" i="9"/>
  <c r="F909" i="9"/>
  <c r="I313" i="9"/>
  <c r="G909" i="9"/>
  <c r="I321" i="9"/>
  <c r="H909" i="9"/>
  <c r="I329" i="9"/>
  <c r="I909" i="9"/>
  <c r="I337" i="9"/>
  <c r="J909" i="9"/>
  <c r="I345" i="9"/>
  <c r="B916" i="9"/>
  <c r="I353" i="9"/>
  <c r="C916" i="9"/>
  <c r="I362" i="9"/>
  <c r="D916" i="9"/>
  <c r="I372" i="9"/>
  <c r="E916" i="9"/>
  <c r="I382" i="9"/>
  <c r="F916" i="9"/>
  <c r="I392" i="9"/>
  <c r="G916" i="9"/>
  <c r="I403" i="9"/>
  <c r="H916" i="9"/>
  <c r="I414" i="9"/>
  <c r="I916" i="9"/>
  <c r="I425" i="9"/>
  <c r="J916" i="9"/>
  <c r="B937" i="9"/>
  <c r="C937" i="9"/>
  <c r="D937" i="9"/>
  <c r="E937" i="9"/>
  <c r="F937" i="9"/>
  <c r="G937" i="9"/>
  <c r="H937" i="9"/>
  <c r="I937" i="9"/>
  <c r="J937" i="9"/>
  <c r="B951" i="9"/>
  <c r="C951" i="9"/>
  <c r="D951" i="9"/>
  <c r="E951" i="9"/>
  <c r="F951" i="9"/>
  <c r="G951" i="9"/>
  <c r="H951" i="9"/>
  <c r="I951" i="9"/>
  <c r="J951" i="9"/>
  <c r="B967" i="9"/>
  <c r="C967" i="9"/>
  <c r="D967" i="9"/>
  <c r="E967" i="9"/>
  <c r="F967" i="9"/>
  <c r="I354" i="9"/>
  <c r="C917" i="9"/>
  <c r="I363" i="9"/>
  <c r="D917" i="9"/>
  <c r="I373" i="9"/>
  <c r="E917" i="9"/>
  <c r="I383" i="9"/>
  <c r="F917" i="9"/>
  <c r="I393" i="9"/>
  <c r="G917" i="9"/>
  <c r="I404" i="9"/>
  <c r="H917" i="9"/>
  <c r="I415" i="9"/>
  <c r="I917" i="9"/>
  <c r="I426" i="9"/>
  <c r="J917" i="9"/>
  <c r="B938" i="9"/>
  <c r="C938" i="9"/>
  <c r="D938" i="9"/>
  <c r="E938" i="9"/>
  <c r="F938" i="9"/>
  <c r="G938" i="9"/>
  <c r="H938" i="9"/>
  <c r="I938" i="9"/>
  <c r="J938" i="9"/>
  <c r="K938" i="9"/>
  <c r="B952" i="9"/>
  <c r="C952" i="9"/>
  <c r="D952" i="9"/>
  <c r="E952" i="9"/>
  <c r="F952" i="9"/>
  <c r="G952" i="9"/>
  <c r="H952" i="9"/>
  <c r="I952" i="9"/>
  <c r="J952" i="9"/>
  <c r="B968" i="9"/>
  <c r="C968" i="9"/>
  <c r="D968" i="9"/>
  <c r="E968" i="9"/>
  <c r="F968" i="9"/>
  <c r="G968" i="9"/>
  <c r="I394" i="9"/>
  <c r="G918" i="9"/>
  <c r="I405" i="9"/>
  <c r="H918" i="9"/>
  <c r="I416" i="9"/>
  <c r="I918" i="9"/>
  <c r="I427" i="9"/>
  <c r="J918" i="9"/>
  <c r="B939" i="9"/>
  <c r="C939" i="9"/>
  <c r="D939" i="9"/>
  <c r="E939" i="9"/>
  <c r="F939" i="9"/>
  <c r="G939" i="9"/>
  <c r="H939" i="9"/>
  <c r="I939" i="9"/>
  <c r="J939" i="9"/>
  <c r="B953" i="9"/>
  <c r="C953" i="9"/>
  <c r="D953" i="9"/>
  <c r="E953" i="9"/>
  <c r="F953" i="9"/>
  <c r="G953" i="9"/>
  <c r="H953" i="9"/>
  <c r="I953" i="9"/>
  <c r="J953" i="9"/>
  <c r="B969" i="9"/>
  <c r="C969" i="9"/>
  <c r="D969" i="9"/>
  <c r="E969" i="9"/>
  <c r="F969" i="9"/>
  <c r="K969" i="9"/>
  <c r="G969" i="9"/>
  <c r="I364" i="9"/>
  <c r="D919" i="9"/>
  <c r="I374" i="9"/>
  <c r="E919" i="9"/>
  <c r="I384" i="9"/>
  <c r="F919" i="9"/>
  <c r="I395" i="9"/>
  <c r="G919" i="9"/>
  <c r="I406" i="9"/>
  <c r="H919" i="9"/>
  <c r="I417" i="9"/>
  <c r="I919" i="9"/>
  <c r="I428" i="9"/>
  <c r="J919" i="9"/>
  <c r="B940" i="9"/>
  <c r="C940" i="9"/>
  <c r="D940" i="9"/>
  <c r="E940" i="9"/>
  <c r="F940" i="9"/>
  <c r="G940" i="9"/>
  <c r="H940" i="9"/>
  <c r="I940" i="9"/>
  <c r="J940" i="9"/>
  <c r="B954" i="9"/>
  <c r="C954" i="9"/>
  <c r="D954" i="9"/>
  <c r="E954" i="9"/>
  <c r="F954" i="9"/>
  <c r="G954" i="9"/>
  <c r="H954" i="9"/>
  <c r="I954" i="9"/>
  <c r="J954" i="9"/>
  <c r="B970" i="9"/>
  <c r="C970" i="9"/>
  <c r="D970" i="9"/>
  <c r="E970" i="9"/>
  <c r="F970" i="9"/>
  <c r="G970" i="9"/>
  <c r="K940" i="9"/>
  <c r="K970" i="9"/>
  <c r="B941" i="9"/>
  <c r="C941" i="9"/>
  <c r="D941" i="9"/>
  <c r="E941" i="9"/>
  <c r="F941" i="9"/>
  <c r="G941" i="9"/>
  <c r="H941" i="9"/>
  <c r="I941" i="9"/>
  <c r="J941" i="9"/>
  <c r="K941" i="9"/>
  <c r="B955" i="9"/>
  <c r="C955" i="9"/>
  <c r="D955" i="9"/>
  <c r="E955" i="9"/>
  <c r="F955" i="9"/>
  <c r="G955" i="9"/>
  <c r="H955" i="9"/>
  <c r="I955" i="9"/>
  <c r="J955" i="9"/>
  <c r="B971" i="9"/>
  <c r="C971" i="9"/>
  <c r="D971" i="9"/>
  <c r="E971" i="9"/>
  <c r="F971" i="9"/>
  <c r="K971" i="9"/>
  <c r="H942" i="9"/>
  <c r="I942" i="9"/>
  <c r="J942" i="9"/>
  <c r="B956" i="9"/>
  <c r="C956" i="9"/>
  <c r="D956" i="9"/>
  <c r="E956" i="9"/>
  <c r="F956" i="9"/>
  <c r="G956" i="9"/>
  <c r="H956" i="9"/>
  <c r="I956" i="9"/>
  <c r="J956" i="9"/>
  <c r="K956" i="9"/>
  <c r="B972" i="9"/>
  <c r="C972" i="9"/>
  <c r="D972" i="9"/>
  <c r="E972" i="9"/>
  <c r="F972" i="9"/>
  <c r="G972" i="9"/>
  <c r="H943" i="9"/>
  <c r="I943" i="9"/>
  <c r="J943" i="9"/>
  <c r="K943" i="9"/>
  <c r="B957" i="9"/>
  <c r="C957" i="9"/>
  <c r="D957" i="9"/>
  <c r="E957" i="9"/>
  <c r="F957" i="9"/>
  <c r="G957" i="9"/>
  <c r="H957" i="9"/>
  <c r="I957" i="9"/>
  <c r="J957" i="9"/>
  <c r="B973" i="9"/>
  <c r="C973" i="9"/>
  <c r="D973" i="9"/>
  <c r="E973" i="9"/>
  <c r="F973" i="9"/>
  <c r="G973" i="9"/>
  <c r="K973" i="9"/>
  <c r="J944" i="9"/>
  <c r="B958" i="9"/>
  <c r="C958" i="9"/>
  <c r="D958" i="9"/>
  <c r="E958" i="9"/>
  <c r="F958" i="9"/>
  <c r="G958" i="9"/>
  <c r="H958" i="9"/>
  <c r="I958" i="9"/>
  <c r="J958" i="9"/>
  <c r="B974" i="9"/>
  <c r="C974" i="9"/>
  <c r="D974" i="9"/>
  <c r="E974" i="9"/>
  <c r="F974" i="9"/>
  <c r="G974" i="9"/>
  <c r="G959" i="9"/>
  <c r="H959" i="9"/>
  <c r="I959" i="9"/>
  <c r="J959" i="9"/>
  <c r="K959" i="9"/>
  <c r="B975" i="9"/>
  <c r="C975" i="9"/>
  <c r="D975" i="9"/>
  <c r="E975" i="9"/>
  <c r="F975" i="9"/>
  <c r="K975" i="9"/>
  <c r="G975" i="9"/>
  <c r="B976" i="9"/>
  <c r="C976" i="9"/>
  <c r="D976" i="9"/>
  <c r="E976" i="9"/>
  <c r="F976" i="9"/>
  <c r="K976" i="9"/>
  <c r="L976" i="9"/>
  <c r="G976" i="9"/>
  <c r="K944" i="9"/>
  <c r="K974" i="9"/>
  <c r="K957" i="9"/>
  <c r="K942" i="9"/>
  <c r="K972" i="9"/>
  <c r="K955" i="9"/>
  <c r="K919" i="9"/>
  <c r="K954" i="9"/>
  <c r="K918" i="9"/>
  <c r="K939" i="9"/>
  <c r="K953" i="9"/>
  <c r="K917" i="9"/>
  <c r="K952" i="9"/>
  <c r="K968" i="9"/>
  <c r="K895" i="9"/>
  <c r="K902" i="9"/>
  <c r="K916" i="9"/>
  <c r="K937" i="9"/>
  <c r="K951" i="9"/>
  <c r="K967" i="9"/>
  <c r="K882" i="9"/>
  <c r="K888" i="9"/>
  <c r="K894" i="9"/>
  <c r="K901" i="9"/>
  <c r="K915" i="9"/>
  <c r="K936" i="9"/>
  <c r="K950" i="9"/>
  <c r="K966" i="9"/>
  <c r="K881" i="9"/>
  <c r="K887" i="9"/>
  <c r="K893" i="9"/>
  <c r="K900" i="9"/>
  <c r="K914" i="9"/>
  <c r="K935" i="9"/>
  <c r="K949" i="9"/>
  <c r="K965" i="9"/>
  <c r="K880" i="9"/>
  <c r="K886" i="9"/>
  <c r="K892" i="9"/>
  <c r="K899" i="9"/>
  <c r="K913" i="9"/>
  <c r="K934" i="9"/>
  <c r="K948" i="9"/>
  <c r="K964" i="9"/>
  <c r="K879" i="9"/>
  <c r="K885" i="9"/>
  <c r="K891" i="9"/>
  <c r="K898" i="9"/>
  <c r="K905" i="9"/>
  <c r="K912" i="9"/>
  <c r="K933" i="9"/>
  <c r="K947" i="9"/>
  <c r="K963" i="9"/>
  <c r="I537" i="9"/>
  <c r="J931" i="9"/>
  <c r="I525" i="9"/>
  <c r="I931" i="9"/>
  <c r="B513" i="9"/>
  <c r="C513" i="9"/>
  <c r="D513" i="9"/>
  <c r="E513" i="9"/>
  <c r="F513" i="9"/>
  <c r="G513" i="9"/>
  <c r="H513" i="9"/>
  <c r="I513" i="9"/>
  <c r="H931" i="9"/>
  <c r="B501" i="9"/>
  <c r="C501" i="9"/>
  <c r="D501" i="9"/>
  <c r="E501" i="9"/>
  <c r="F501" i="9"/>
  <c r="G501" i="9"/>
  <c r="H501" i="9"/>
  <c r="I501" i="9"/>
  <c r="B489" i="9"/>
  <c r="C489" i="9"/>
  <c r="D489" i="9"/>
  <c r="E489" i="9"/>
  <c r="F489" i="9"/>
  <c r="G489" i="9"/>
  <c r="H489" i="9"/>
  <c r="I489" i="9"/>
  <c r="B477" i="9"/>
  <c r="C477" i="9"/>
  <c r="D477" i="9"/>
  <c r="E477" i="9"/>
  <c r="F477" i="9"/>
  <c r="G477" i="9"/>
  <c r="H477" i="9"/>
  <c r="I477" i="9"/>
  <c r="D931" i="9"/>
  <c r="B453" i="9"/>
  <c r="C453" i="9"/>
  <c r="D453" i="9"/>
  <c r="E453" i="9"/>
  <c r="F453" i="9"/>
  <c r="G453" i="9"/>
  <c r="H453" i="9"/>
  <c r="I453" i="9"/>
  <c r="I441" i="9"/>
  <c r="B931" i="9"/>
  <c r="J875" i="9"/>
  <c r="J874" i="9"/>
  <c r="J873" i="9"/>
  <c r="J872" i="9"/>
  <c r="J871" i="9"/>
  <c r="J870" i="9"/>
  <c r="J869" i="9"/>
  <c r="J868" i="9"/>
  <c r="J867" i="9"/>
  <c r="J866" i="9"/>
  <c r="J865" i="9"/>
  <c r="J864" i="9"/>
  <c r="J863" i="9"/>
  <c r="J862" i="9"/>
  <c r="J858" i="9"/>
  <c r="J857" i="9"/>
  <c r="J856" i="9"/>
  <c r="J855" i="9"/>
  <c r="J854" i="9"/>
  <c r="J853" i="9"/>
  <c r="J852" i="9"/>
  <c r="J851" i="9"/>
  <c r="J850" i="9"/>
  <c r="J849" i="9"/>
  <c r="J848" i="9"/>
  <c r="J847" i="9"/>
  <c r="J846" i="9"/>
  <c r="J845" i="9"/>
  <c r="H842" i="9"/>
  <c r="G842" i="9"/>
  <c r="F842" i="9"/>
  <c r="E842" i="9"/>
  <c r="D842" i="9"/>
  <c r="C842" i="9"/>
  <c r="B842" i="9"/>
  <c r="J841" i="9"/>
  <c r="J840" i="9"/>
  <c r="J839" i="9"/>
  <c r="J838" i="9"/>
  <c r="J837" i="9"/>
  <c r="J836" i="9"/>
  <c r="J835" i="9"/>
  <c r="J834" i="9"/>
  <c r="J833" i="9"/>
  <c r="J832" i="9"/>
  <c r="J831" i="9"/>
  <c r="J830" i="9"/>
  <c r="J829" i="9"/>
  <c r="J828" i="9"/>
  <c r="H825" i="9"/>
  <c r="G825" i="9"/>
  <c r="F825" i="9"/>
  <c r="E825" i="9"/>
  <c r="D825" i="9"/>
  <c r="C825" i="9"/>
  <c r="B825" i="9"/>
  <c r="J824" i="9"/>
  <c r="J823" i="9"/>
  <c r="J822" i="9"/>
  <c r="J821" i="9"/>
  <c r="J820" i="9"/>
  <c r="J819" i="9"/>
  <c r="J818" i="9"/>
  <c r="J817" i="9"/>
  <c r="J816" i="9"/>
  <c r="J815" i="9"/>
  <c r="J814" i="9"/>
  <c r="J813" i="9"/>
  <c r="J812" i="9"/>
  <c r="J811" i="9"/>
  <c r="H808" i="9"/>
  <c r="G808" i="9"/>
  <c r="F808" i="9"/>
  <c r="E808" i="9"/>
  <c r="D808" i="9"/>
  <c r="C808" i="9"/>
  <c r="B808" i="9"/>
  <c r="J807" i="9"/>
  <c r="J806" i="9"/>
  <c r="J805" i="9"/>
  <c r="J804" i="9"/>
  <c r="J803" i="9"/>
  <c r="J802" i="9"/>
  <c r="J801" i="9"/>
  <c r="J800" i="9"/>
  <c r="J799" i="9"/>
  <c r="J798" i="9"/>
  <c r="J797" i="9"/>
  <c r="J796" i="9"/>
  <c r="J795" i="9"/>
  <c r="J794" i="9"/>
  <c r="H791" i="9"/>
  <c r="G791" i="9"/>
  <c r="F791" i="9"/>
  <c r="E791" i="9"/>
  <c r="D791" i="9"/>
  <c r="C791" i="9"/>
  <c r="B791" i="9"/>
  <c r="J790" i="9"/>
  <c r="J789" i="9"/>
  <c r="J788" i="9"/>
  <c r="J787" i="9"/>
  <c r="J786" i="9"/>
  <c r="J785" i="9"/>
  <c r="J784" i="9"/>
  <c r="J783" i="9"/>
  <c r="J782" i="9"/>
  <c r="J781" i="9"/>
  <c r="J780" i="9"/>
  <c r="J779" i="9"/>
  <c r="J778" i="9"/>
  <c r="J775" i="9"/>
  <c r="H775" i="9"/>
  <c r="G775" i="9"/>
  <c r="F775" i="9"/>
  <c r="E775" i="9"/>
  <c r="D775" i="9"/>
  <c r="C775" i="9"/>
  <c r="B775" i="9"/>
  <c r="J774" i="9"/>
  <c r="J773" i="9"/>
  <c r="J772" i="9"/>
  <c r="J771" i="9"/>
  <c r="J770" i="9"/>
  <c r="J769" i="9"/>
  <c r="J768" i="9"/>
  <c r="J767" i="9"/>
  <c r="J766" i="9"/>
  <c r="J765" i="9"/>
  <c r="J764" i="9"/>
  <c r="J763" i="9"/>
  <c r="J762" i="9"/>
  <c r="J759" i="9"/>
  <c r="H759" i="9"/>
  <c r="G759" i="9"/>
  <c r="F759" i="9"/>
  <c r="E759" i="9"/>
  <c r="D759" i="9"/>
  <c r="C759" i="9"/>
  <c r="B759" i="9"/>
  <c r="J758" i="9"/>
  <c r="J757" i="9"/>
  <c r="J756" i="9"/>
  <c r="J755" i="9"/>
  <c r="J754" i="9"/>
  <c r="J753" i="9"/>
  <c r="J752" i="9"/>
  <c r="J751" i="9"/>
  <c r="J750" i="9"/>
  <c r="J749" i="9"/>
  <c r="J748" i="9"/>
  <c r="J747" i="9"/>
  <c r="J746" i="9"/>
  <c r="J743" i="9"/>
  <c r="H743" i="9"/>
  <c r="G743" i="9"/>
  <c r="F743" i="9"/>
  <c r="E743" i="9"/>
  <c r="D743" i="9"/>
  <c r="C743" i="9"/>
  <c r="B743" i="9"/>
  <c r="J741" i="9"/>
  <c r="J740" i="9"/>
  <c r="J739" i="9"/>
  <c r="J738" i="9"/>
  <c r="J737" i="9"/>
  <c r="J736" i="9"/>
  <c r="J735" i="9"/>
  <c r="J734" i="9"/>
  <c r="J733" i="9"/>
  <c r="J732" i="9"/>
  <c r="J731" i="9"/>
  <c r="J730" i="9"/>
  <c r="J727" i="9"/>
  <c r="H727" i="9"/>
  <c r="G727" i="9"/>
  <c r="F727" i="9"/>
  <c r="E727" i="9"/>
  <c r="D727" i="9"/>
  <c r="C727" i="9"/>
  <c r="B727" i="9"/>
  <c r="J726" i="9"/>
  <c r="J725" i="9"/>
  <c r="J724" i="9"/>
  <c r="J723" i="9"/>
  <c r="J722" i="9"/>
  <c r="J721" i="9"/>
  <c r="J720" i="9"/>
  <c r="J719" i="9"/>
  <c r="J718" i="9"/>
  <c r="J717" i="9"/>
  <c r="J716" i="9"/>
  <c r="J715" i="9"/>
  <c r="J712" i="9"/>
  <c r="H712" i="9"/>
  <c r="G712" i="9"/>
  <c r="F712" i="9"/>
  <c r="E712" i="9"/>
  <c r="D712" i="9"/>
  <c r="C712" i="9"/>
  <c r="B712" i="9"/>
  <c r="J711" i="9"/>
  <c r="J710" i="9"/>
  <c r="J709" i="9"/>
  <c r="J708" i="9"/>
  <c r="J707" i="9"/>
  <c r="J706" i="9"/>
  <c r="J705" i="9"/>
  <c r="J704" i="9"/>
  <c r="J703" i="9"/>
  <c r="J702" i="9"/>
  <c r="J701" i="9"/>
  <c r="J700" i="9"/>
  <c r="J697" i="9"/>
  <c r="H697" i="9"/>
  <c r="G697" i="9"/>
  <c r="F697" i="9"/>
  <c r="E697" i="9"/>
  <c r="D697" i="9"/>
  <c r="C697" i="9"/>
  <c r="B697" i="9"/>
  <c r="J696" i="9"/>
  <c r="J695" i="9"/>
  <c r="J694" i="9"/>
  <c r="J693" i="9"/>
  <c r="J692" i="9"/>
  <c r="J691" i="9"/>
  <c r="J690" i="9"/>
  <c r="J689" i="9"/>
  <c r="J688" i="9"/>
  <c r="J687" i="9"/>
  <c r="J686" i="9"/>
  <c r="J685" i="9"/>
  <c r="J682" i="9"/>
  <c r="H682" i="9"/>
  <c r="G682" i="9"/>
  <c r="F682" i="9"/>
  <c r="E682" i="9"/>
  <c r="D682" i="9"/>
  <c r="C682" i="9"/>
  <c r="B682" i="9"/>
  <c r="J681" i="9"/>
  <c r="J680" i="9"/>
  <c r="J679" i="9"/>
  <c r="J678" i="9"/>
  <c r="J677" i="9"/>
  <c r="J676" i="9"/>
  <c r="J675" i="9"/>
  <c r="J674" i="9"/>
  <c r="J673" i="9"/>
  <c r="J672" i="9"/>
  <c r="J671" i="9"/>
  <c r="J670" i="9"/>
  <c r="J667" i="9"/>
  <c r="H667" i="9"/>
  <c r="G667" i="9"/>
  <c r="F667" i="9"/>
  <c r="E667" i="9"/>
  <c r="D667" i="9"/>
  <c r="C667" i="9"/>
  <c r="B667" i="9"/>
  <c r="J666" i="9"/>
  <c r="J665" i="9"/>
  <c r="J664" i="9"/>
  <c r="J663" i="9"/>
  <c r="J662" i="9"/>
  <c r="J661" i="9"/>
  <c r="J660" i="9"/>
  <c r="J659" i="9"/>
  <c r="J658" i="9"/>
  <c r="J657" i="9"/>
  <c r="J656" i="9"/>
  <c r="J655" i="9"/>
  <c r="J652" i="9"/>
  <c r="H652" i="9"/>
  <c r="G652" i="9"/>
  <c r="F652" i="9"/>
  <c r="E652" i="9"/>
  <c r="D652" i="9"/>
  <c r="C652" i="9"/>
  <c r="B652" i="9"/>
  <c r="J650" i="9"/>
  <c r="J649" i="9"/>
  <c r="J648" i="9"/>
  <c r="J647" i="9"/>
  <c r="J646" i="9"/>
  <c r="J645" i="9"/>
  <c r="J644" i="9"/>
  <c r="J643" i="9"/>
  <c r="J642" i="9"/>
  <c r="J641" i="9"/>
  <c r="J640" i="9"/>
  <c r="J637" i="9"/>
  <c r="H637" i="9"/>
  <c r="G637" i="9"/>
  <c r="F637" i="9"/>
  <c r="E637" i="9"/>
  <c r="D637" i="9"/>
  <c r="C637" i="9"/>
  <c r="B637" i="9"/>
  <c r="J636" i="9"/>
  <c r="J635" i="9"/>
  <c r="J634" i="9"/>
  <c r="J633" i="9"/>
  <c r="J632" i="9"/>
  <c r="J631" i="9"/>
  <c r="J630" i="9"/>
  <c r="J629" i="9"/>
  <c r="J628" i="9"/>
  <c r="J627" i="9"/>
  <c r="J626" i="9"/>
  <c r="J623" i="9"/>
  <c r="H623" i="9"/>
  <c r="G623" i="9"/>
  <c r="F623" i="9"/>
  <c r="E623" i="9"/>
  <c r="D623" i="9"/>
  <c r="C623" i="9"/>
  <c r="B623" i="9"/>
  <c r="J620" i="9"/>
  <c r="J619" i="9"/>
  <c r="J618" i="9"/>
  <c r="J617" i="9"/>
  <c r="J616" i="9"/>
  <c r="J615" i="9"/>
  <c r="J614" i="9"/>
  <c r="J613" i="9"/>
  <c r="J612" i="9"/>
  <c r="J609" i="9"/>
  <c r="H609" i="9"/>
  <c r="G609" i="9"/>
  <c r="F609" i="9"/>
  <c r="E609" i="9"/>
  <c r="D609" i="9"/>
  <c r="C609" i="9"/>
  <c r="B609" i="9"/>
  <c r="J608" i="9"/>
  <c r="J607" i="9"/>
  <c r="J606" i="9"/>
  <c r="J605" i="9"/>
  <c r="J604" i="9"/>
  <c r="J603" i="9"/>
  <c r="J602" i="9"/>
  <c r="J601" i="9"/>
  <c r="J600" i="9"/>
  <c r="J597" i="9"/>
  <c r="H597" i="9"/>
  <c r="G597" i="9"/>
  <c r="F597" i="9"/>
  <c r="E597" i="9"/>
  <c r="D597" i="9"/>
  <c r="C597" i="9"/>
  <c r="B597" i="9"/>
  <c r="J596" i="9"/>
  <c r="J595" i="9"/>
  <c r="J594" i="9"/>
  <c r="J593" i="9"/>
  <c r="J592" i="9"/>
  <c r="J591" i="9"/>
  <c r="J590" i="9"/>
  <c r="J589" i="9"/>
  <c r="J588" i="9"/>
  <c r="J585" i="9"/>
  <c r="H585" i="9"/>
  <c r="G585" i="9"/>
  <c r="F585" i="9"/>
  <c r="E585" i="9"/>
  <c r="D585" i="9"/>
  <c r="C585" i="9"/>
  <c r="B585" i="9"/>
  <c r="J584" i="9"/>
  <c r="J583" i="9"/>
  <c r="J582" i="9"/>
  <c r="J581" i="9"/>
  <c r="J580" i="9"/>
  <c r="J579" i="9"/>
  <c r="J578" i="9"/>
  <c r="J577" i="9"/>
  <c r="J576" i="9"/>
  <c r="J573" i="9"/>
  <c r="H573" i="9"/>
  <c r="G573" i="9"/>
  <c r="F573" i="9"/>
  <c r="E573" i="9"/>
  <c r="D573" i="9"/>
  <c r="C573" i="9"/>
  <c r="B573" i="9"/>
  <c r="J572" i="9"/>
  <c r="J571" i="9"/>
  <c r="J570" i="9"/>
  <c r="J569" i="9"/>
  <c r="J568" i="9"/>
  <c r="J567" i="9"/>
  <c r="J566" i="9"/>
  <c r="J565" i="9"/>
  <c r="J564" i="9"/>
  <c r="J561" i="9"/>
  <c r="H561" i="9"/>
  <c r="G561" i="9"/>
  <c r="F561" i="9"/>
  <c r="E561" i="9"/>
  <c r="D561" i="9"/>
  <c r="C561" i="9"/>
  <c r="B561" i="9"/>
  <c r="J560" i="9"/>
  <c r="J559" i="9"/>
  <c r="J558" i="9"/>
  <c r="J557" i="9"/>
  <c r="J556" i="9"/>
  <c r="J555" i="9"/>
  <c r="J554" i="9"/>
  <c r="J553" i="9"/>
  <c r="J552" i="9"/>
  <c r="J549" i="9"/>
  <c r="H549" i="9"/>
  <c r="G549" i="9"/>
  <c r="F549" i="9"/>
  <c r="E549" i="9"/>
  <c r="D549" i="9"/>
  <c r="C549" i="9"/>
  <c r="B549" i="9"/>
  <c r="J548" i="9"/>
  <c r="J547" i="9"/>
  <c r="J546" i="9"/>
  <c r="J545" i="9"/>
  <c r="J544" i="9"/>
  <c r="J543" i="9"/>
  <c r="J542" i="9"/>
  <c r="J541" i="9"/>
  <c r="J540" i="9"/>
  <c r="J537" i="9"/>
  <c r="H537" i="9"/>
  <c r="G537" i="9"/>
  <c r="F537" i="9"/>
  <c r="E537" i="9"/>
  <c r="D537" i="9"/>
  <c r="C537" i="9"/>
  <c r="B537" i="9"/>
  <c r="J536" i="9"/>
  <c r="J535" i="9"/>
  <c r="J534" i="9"/>
  <c r="J533" i="9"/>
  <c r="J532" i="9"/>
  <c r="J531" i="9"/>
  <c r="J530" i="9"/>
  <c r="J529" i="9"/>
  <c r="J528" i="9"/>
  <c r="J525" i="9"/>
  <c r="H525" i="9"/>
  <c r="G525" i="9"/>
  <c r="F525" i="9"/>
  <c r="E525" i="9"/>
  <c r="D525" i="9"/>
  <c r="C525" i="9"/>
  <c r="B525" i="9"/>
  <c r="J524" i="9"/>
  <c r="J523" i="9"/>
  <c r="J522" i="9"/>
  <c r="J521" i="9"/>
  <c r="J520" i="9"/>
  <c r="J519" i="9"/>
  <c r="J518" i="9"/>
  <c r="J517" i="9"/>
  <c r="J516" i="9"/>
  <c r="J512" i="9"/>
  <c r="J511" i="9"/>
  <c r="J510" i="9"/>
  <c r="J509" i="9"/>
  <c r="J508" i="9"/>
  <c r="J507" i="9"/>
  <c r="J506" i="9"/>
  <c r="J505" i="9"/>
  <c r="J504" i="9"/>
  <c r="J500" i="9"/>
  <c r="J499" i="9"/>
  <c r="J498" i="9"/>
  <c r="J497" i="9"/>
  <c r="J496" i="9"/>
  <c r="J495" i="9"/>
  <c r="J494" i="9"/>
  <c r="J493" i="9"/>
  <c r="J492" i="9"/>
  <c r="J488" i="9"/>
  <c r="J487" i="9"/>
  <c r="J486" i="9"/>
  <c r="J485" i="9"/>
  <c r="J484" i="9"/>
  <c r="J483" i="9"/>
  <c r="J482" i="9"/>
  <c r="J481" i="9"/>
  <c r="J480" i="9"/>
  <c r="J476" i="9"/>
  <c r="J475" i="9"/>
  <c r="J474" i="9"/>
  <c r="J473" i="9"/>
  <c r="J472" i="9"/>
  <c r="J471" i="9"/>
  <c r="J470" i="9"/>
  <c r="J469" i="9"/>
  <c r="J468" i="9"/>
  <c r="J464" i="9"/>
  <c r="J463" i="9"/>
  <c r="J462" i="9"/>
  <c r="J461" i="9"/>
  <c r="J460" i="9"/>
  <c r="J459" i="9"/>
  <c r="J458" i="9"/>
  <c r="J457" i="9"/>
  <c r="J456" i="9"/>
  <c r="J452" i="9"/>
  <c r="J451" i="9"/>
  <c r="J450" i="9"/>
  <c r="J449" i="9"/>
  <c r="J448" i="9"/>
  <c r="J447" i="9"/>
  <c r="J446" i="9"/>
  <c r="J445" i="9"/>
  <c r="J444" i="9"/>
  <c r="J441" i="9"/>
  <c r="J440" i="9"/>
  <c r="J439" i="9"/>
  <c r="J438" i="9"/>
  <c r="J437" i="9"/>
  <c r="J436" i="9"/>
  <c r="J435" i="9"/>
  <c r="J434" i="9"/>
  <c r="J433" i="9"/>
  <c r="J432" i="9"/>
  <c r="J429" i="9"/>
  <c r="J428" i="9"/>
  <c r="J427" i="9"/>
  <c r="J426" i="9"/>
  <c r="J425" i="9"/>
  <c r="J424" i="9"/>
  <c r="J423" i="9"/>
  <c r="J422" i="9"/>
  <c r="J421" i="9"/>
  <c r="J418" i="9"/>
  <c r="J417" i="9"/>
  <c r="J416" i="9"/>
  <c r="J415" i="9"/>
  <c r="J414" i="9"/>
  <c r="J413" i="9"/>
  <c r="J412" i="9"/>
  <c r="J411" i="9"/>
  <c r="J410" i="9"/>
  <c r="J407" i="9"/>
  <c r="J406" i="9"/>
  <c r="J405" i="9"/>
  <c r="J404" i="9"/>
  <c r="J403" i="9"/>
  <c r="J402" i="9"/>
  <c r="J401" i="9"/>
  <c r="J400" i="9"/>
  <c r="J399" i="9"/>
  <c r="J396" i="9"/>
  <c r="J395" i="9"/>
  <c r="J393" i="9"/>
  <c r="J392" i="9"/>
  <c r="J391" i="9"/>
  <c r="J390" i="9"/>
  <c r="J389" i="9"/>
  <c r="M388" i="9"/>
  <c r="J388" i="9"/>
  <c r="J385" i="9"/>
  <c r="J384" i="9"/>
  <c r="J383" i="9"/>
  <c r="J382" i="9"/>
  <c r="J381" i="9"/>
  <c r="J380" i="9"/>
  <c r="J379" i="9"/>
  <c r="J378" i="9"/>
  <c r="J375" i="9"/>
  <c r="J374" i="9"/>
  <c r="J373" i="9"/>
  <c r="J372" i="9"/>
  <c r="J371" i="9"/>
  <c r="J370" i="9"/>
  <c r="J369" i="9"/>
  <c r="J368" i="9"/>
  <c r="J365" i="9"/>
  <c r="J363" i="9"/>
  <c r="J362" i="9"/>
  <c r="J361" i="9"/>
  <c r="J360" i="9"/>
  <c r="J359" i="9"/>
  <c r="J358" i="9"/>
  <c r="J355" i="9"/>
  <c r="J353" i="9"/>
  <c r="J352" i="9"/>
  <c r="J351" i="9"/>
  <c r="J350" i="9"/>
  <c r="J349" i="9"/>
  <c r="J346" i="9"/>
  <c r="J345" i="9"/>
  <c r="J344" i="9"/>
  <c r="J343" i="9"/>
  <c r="J342" i="9"/>
  <c r="J341" i="9"/>
  <c r="J338" i="9"/>
  <c r="J337" i="9"/>
  <c r="J336" i="9"/>
  <c r="J335" i="9"/>
  <c r="J334" i="9"/>
  <c r="J333" i="9"/>
  <c r="J330" i="9"/>
  <c r="J329" i="9"/>
  <c r="J328" i="9"/>
  <c r="J327" i="9"/>
  <c r="J326" i="9"/>
  <c r="J325" i="9"/>
  <c r="J322" i="9"/>
  <c r="J321" i="9"/>
  <c r="J320" i="9"/>
  <c r="J319" i="9"/>
  <c r="J318" i="9"/>
  <c r="J317" i="9"/>
  <c r="J314" i="9"/>
  <c r="J313" i="9"/>
  <c r="J312" i="9"/>
  <c r="J311" i="9"/>
  <c r="J310" i="9"/>
  <c r="J309" i="9"/>
  <c r="J306" i="9"/>
  <c r="J305" i="9"/>
  <c r="J304" i="9"/>
  <c r="J303" i="9"/>
  <c r="J302" i="9"/>
  <c r="J301" i="9"/>
  <c r="J298" i="9"/>
  <c r="J297" i="9"/>
  <c r="J296" i="9"/>
  <c r="J295" i="9"/>
  <c r="J294" i="9"/>
  <c r="J293" i="9"/>
  <c r="J290" i="9"/>
  <c r="J289" i="9"/>
  <c r="J288" i="9"/>
  <c r="J287" i="9"/>
  <c r="J286" i="9"/>
  <c r="J285" i="9"/>
  <c r="J282" i="9"/>
  <c r="J281" i="9"/>
  <c r="J280" i="9"/>
  <c r="J279" i="9"/>
  <c r="J278" i="9"/>
  <c r="J277" i="9"/>
  <c r="J274" i="9"/>
  <c r="J273" i="9"/>
  <c r="J272" i="9"/>
  <c r="J271" i="9"/>
  <c r="J270" i="9"/>
  <c r="J269" i="9"/>
  <c r="J266" i="9"/>
  <c r="J265" i="9"/>
  <c r="J264" i="9"/>
  <c r="J263" i="9"/>
  <c r="J262" i="9"/>
  <c r="J261" i="9"/>
  <c r="J258" i="9"/>
  <c r="J257" i="9"/>
  <c r="J256" i="9"/>
  <c r="J255" i="9"/>
  <c r="J254" i="9"/>
  <c r="J253" i="9"/>
  <c r="J250" i="9"/>
  <c r="J249" i="9"/>
  <c r="J248" i="9"/>
  <c r="J247" i="9"/>
  <c r="J246" i="9"/>
  <c r="J245" i="9"/>
  <c r="J242" i="9"/>
  <c r="J241" i="9"/>
  <c r="J240" i="9"/>
  <c r="J239" i="9"/>
  <c r="J238" i="9"/>
  <c r="J237" i="9"/>
  <c r="J234" i="9"/>
  <c r="J233" i="9"/>
  <c r="J232" i="9"/>
  <c r="J231" i="9"/>
  <c r="J230" i="9"/>
  <c r="J229" i="9"/>
  <c r="J226" i="9"/>
  <c r="J225" i="9"/>
  <c r="J224" i="9"/>
  <c r="J223" i="9"/>
  <c r="J222" i="9"/>
  <c r="J221" i="9"/>
  <c r="J218" i="9"/>
  <c r="J217" i="9"/>
  <c r="J216" i="9"/>
  <c r="J215" i="9"/>
  <c r="J214" i="9"/>
  <c r="J213" i="9"/>
  <c r="J210" i="9"/>
  <c r="J209" i="9"/>
  <c r="J208" i="9"/>
  <c r="J207" i="9"/>
  <c r="J206" i="9"/>
  <c r="J205" i="9"/>
  <c r="J202" i="9"/>
  <c r="J201" i="9"/>
  <c r="J200" i="9"/>
  <c r="J199" i="9"/>
  <c r="J198" i="9"/>
  <c r="J197" i="9"/>
  <c r="J194" i="9"/>
  <c r="J193" i="9"/>
  <c r="J192" i="9"/>
  <c r="J191" i="9"/>
  <c r="J190" i="9"/>
  <c r="J189" i="9"/>
  <c r="J186" i="9"/>
  <c r="J185" i="9"/>
  <c r="J184" i="9"/>
  <c r="J183" i="9"/>
  <c r="J182" i="9"/>
  <c r="J181" i="9"/>
  <c r="J178" i="9"/>
  <c r="J177" i="9"/>
  <c r="J176" i="9"/>
  <c r="J175" i="9"/>
  <c r="J174" i="9"/>
  <c r="J173" i="9"/>
  <c r="J170" i="9"/>
  <c r="J169" i="9"/>
  <c r="J168" i="9"/>
  <c r="J167" i="9"/>
  <c r="J166" i="9"/>
  <c r="J165" i="9"/>
  <c r="J162" i="9"/>
  <c r="J161" i="9"/>
  <c r="J160" i="9"/>
  <c r="J159" i="9"/>
  <c r="J158" i="9"/>
  <c r="J157" i="9"/>
  <c r="J154" i="9"/>
  <c r="J153" i="9"/>
  <c r="J152" i="9"/>
  <c r="J151" i="9"/>
  <c r="J150" i="9"/>
  <c r="J149" i="9"/>
  <c r="I138" i="9"/>
  <c r="J146" i="9"/>
  <c r="H146" i="9"/>
  <c r="G146" i="9"/>
  <c r="F146" i="9"/>
  <c r="E146" i="9"/>
  <c r="D146" i="9"/>
  <c r="C146" i="9"/>
  <c r="B146" i="9"/>
  <c r="J145" i="9"/>
  <c r="J144" i="9"/>
  <c r="J143" i="9"/>
  <c r="J142" i="9"/>
  <c r="J141" i="9"/>
  <c r="J138" i="9"/>
  <c r="H138" i="9"/>
  <c r="G138" i="9"/>
  <c r="F138" i="9"/>
  <c r="E138" i="9"/>
  <c r="D138" i="9"/>
  <c r="C138" i="9"/>
  <c r="B138" i="9"/>
  <c r="J137" i="9"/>
  <c r="J136" i="9"/>
  <c r="J135" i="9"/>
  <c r="J134" i="9"/>
  <c r="J133" i="9"/>
  <c r="J130" i="9"/>
  <c r="H130" i="9"/>
  <c r="G130" i="9"/>
  <c r="F130" i="9"/>
  <c r="E130" i="9"/>
  <c r="D130" i="9"/>
  <c r="C130" i="9"/>
  <c r="B130" i="9"/>
  <c r="J128" i="9"/>
  <c r="J127" i="9"/>
  <c r="J126" i="9"/>
  <c r="J125" i="9"/>
  <c r="J122" i="9"/>
  <c r="H122" i="9"/>
  <c r="G122" i="9"/>
  <c r="F122" i="9"/>
  <c r="E122" i="9"/>
  <c r="D122" i="9"/>
  <c r="C122" i="9"/>
  <c r="B122" i="9"/>
  <c r="J121" i="9"/>
  <c r="J120" i="9"/>
  <c r="J119" i="9"/>
  <c r="J118" i="9"/>
  <c r="J115" i="9"/>
  <c r="H115" i="9"/>
  <c r="G115" i="9"/>
  <c r="F115" i="9"/>
  <c r="E115" i="9"/>
  <c r="D115" i="9"/>
  <c r="C115" i="9"/>
  <c r="B115" i="9"/>
  <c r="J114" i="9"/>
  <c r="J113" i="9"/>
  <c r="J112" i="9"/>
  <c r="J111" i="9"/>
  <c r="J108" i="9"/>
  <c r="H108" i="9"/>
  <c r="G108" i="9"/>
  <c r="F108" i="9"/>
  <c r="E108" i="9"/>
  <c r="D108" i="9"/>
  <c r="C108" i="9"/>
  <c r="B108" i="9"/>
  <c r="J107" i="9"/>
  <c r="J106" i="9"/>
  <c r="J105" i="9"/>
  <c r="J104" i="9"/>
  <c r="I94" i="9"/>
  <c r="J101" i="9"/>
  <c r="H101" i="9"/>
  <c r="G101" i="9"/>
  <c r="F101" i="9"/>
  <c r="E101" i="9"/>
  <c r="D101" i="9"/>
  <c r="C101" i="9"/>
  <c r="B101" i="9"/>
  <c r="J100" i="9"/>
  <c r="J99" i="9"/>
  <c r="J98" i="9"/>
  <c r="J97" i="9"/>
  <c r="J94" i="9"/>
  <c r="H94" i="9"/>
  <c r="G94" i="9"/>
  <c r="F94" i="9"/>
  <c r="E94" i="9"/>
  <c r="D94" i="9"/>
  <c r="C94" i="9"/>
  <c r="B94" i="9"/>
  <c r="J93" i="9"/>
  <c r="J92" i="9"/>
  <c r="J91" i="9"/>
  <c r="J90" i="9"/>
  <c r="J87" i="9"/>
  <c r="H87" i="9"/>
  <c r="G87" i="9"/>
  <c r="F87" i="9"/>
  <c r="E87" i="9"/>
  <c r="D87" i="9"/>
  <c r="C87" i="9"/>
  <c r="B87" i="9"/>
  <c r="J86" i="9"/>
  <c r="J85" i="9"/>
  <c r="J84" i="9"/>
  <c r="J83" i="9"/>
  <c r="J80" i="9"/>
  <c r="H80" i="9"/>
  <c r="G80" i="9"/>
  <c r="F80" i="9"/>
  <c r="E80" i="9"/>
  <c r="D80" i="9"/>
  <c r="C80" i="9"/>
  <c r="B80" i="9"/>
  <c r="J79" i="9"/>
  <c r="J78" i="9"/>
  <c r="J77" i="9"/>
  <c r="J76" i="9"/>
  <c r="I66" i="9"/>
  <c r="J73" i="9"/>
  <c r="H73" i="9"/>
  <c r="G73" i="9"/>
  <c r="F73" i="9"/>
  <c r="E73" i="9"/>
  <c r="D73" i="9"/>
  <c r="C73" i="9"/>
  <c r="B73" i="9"/>
  <c r="J72" i="9"/>
  <c r="J71" i="9"/>
  <c r="J70" i="9"/>
  <c r="J69" i="9"/>
  <c r="H66" i="9"/>
  <c r="G66" i="9"/>
  <c r="F66" i="9"/>
  <c r="E66" i="9"/>
  <c r="D66" i="9"/>
  <c r="C66" i="9"/>
  <c r="B66" i="9"/>
  <c r="J65" i="9"/>
  <c r="J64" i="9"/>
  <c r="J63" i="9"/>
  <c r="J62" i="9"/>
  <c r="J59" i="9"/>
  <c r="H59" i="9"/>
  <c r="G59" i="9"/>
  <c r="F59" i="9"/>
  <c r="E59" i="9"/>
  <c r="D59" i="9"/>
  <c r="C59" i="9"/>
  <c r="B59" i="9"/>
  <c r="J58" i="9"/>
  <c r="J57" i="9"/>
  <c r="J56" i="9"/>
  <c r="J55" i="9"/>
  <c r="I45" i="9"/>
  <c r="J52" i="9"/>
  <c r="H52" i="9"/>
  <c r="G52" i="9"/>
  <c r="F52" i="9"/>
  <c r="E52" i="9"/>
  <c r="D52" i="9"/>
  <c r="C52" i="9"/>
  <c r="B52" i="9"/>
  <c r="J51" i="9"/>
  <c r="J50" i="9"/>
  <c r="J49" i="9"/>
  <c r="J48" i="9"/>
  <c r="I38" i="9"/>
  <c r="J45" i="9"/>
  <c r="H45" i="9"/>
  <c r="G45" i="9"/>
  <c r="F45" i="9"/>
  <c r="E45" i="9"/>
  <c r="D45" i="9"/>
  <c r="C45" i="9"/>
  <c r="B45" i="9"/>
  <c r="J44" i="9"/>
  <c r="J43" i="9"/>
  <c r="J42" i="9"/>
  <c r="J41" i="9"/>
  <c r="I31" i="9"/>
  <c r="J38" i="9"/>
  <c r="H38" i="9"/>
  <c r="G38" i="9"/>
  <c r="F38" i="9"/>
  <c r="E38" i="9"/>
  <c r="D38" i="9"/>
  <c r="C38" i="9"/>
  <c r="B38" i="9"/>
  <c r="J37" i="9"/>
  <c r="J36" i="9"/>
  <c r="J35" i="9"/>
  <c r="J34" i="9"/>
  <c r="I24" i="9"/>
  <c r="J31" i="9"/>
  <c r="H31" i="9"/>
  <c r="G31" i="9"/>
  <c r="F31" i="9"/>
  <c r="E31" i="9"/>
  <c r="D31" i="9"/>
  <c r="C31" i="9"/>
  <c r="B31" i="9"/>
  <c r="J30" i="9"/>
  <c r="J29" i="9"/>
  <c r="J28" i="9"/>
  <c r="J27" i="9"/>
  <c r="I17" i="9"/>
  <c r="J24" i="9"/>
  <c r="H24" i="9"/>
  <c r="G24" i="9"/>
  <c r="F24" i="9"/>
  <c r="E24" i="9"/>
  <c r="D24" i="9"/>
  <c r="C24" i="9"/>
  <c r="B24" i="9"/>
  <c r="J23" i="9"/>
  <c r="J22" i="9"/>
  <c r="J21" i="9"/>
  <c r="J20" i="9"/>
  <c r="I10" i="9"/>
  <c r="J17" i="9"/>
  <c r="H17" i="9"/>
  <c r="G17" i="9"/>
  <c r="F17" i="9"/>
  <c r="E17" i="9"/>
  <c r="D17" i="9"/>
  <c r="C17" i="9"/>
  <c r="B17" i="9"/>
  <c r="J16" i="9"/>
  <c r="J15" i="9"/>
  <c r="J14" i="9"/>
  <c r="J13" i="9"/>
  <c r="H10" i="9"/>
  <c r="G10" i="9"/>
  <c r="F10" i="9"/>
  <c r="E10" i="9"/>
  <c r="D10" i="9"/>
  <c r="C10" i="9"/>
  <c r="B10" i="9"/>
  <c r="BX11" i="17"/>
  <c r="CC11" i="17"/>
  <c r="CC12" i="17"/>
  <c r="BX12" i="17"/>
  <c r="CG12" i="17"/>
  <c r="CG11" i="17"/>
  <c r="BT13" i="17"/>
  <c r="BP13" i="17"/>
  <c r="BB13" i="17"/>
  <c r="AX13" i="17"/>
  <c r="AT13" i="17"/>
  <c r="AO13" i="17"/>
  <c r="AK13" i="17"/>
  <c r="AF13" i="17"/>
  <c r="AB13" i="17"/>
  <c r="X13" i="17"/>
  <c r="T13" i="17"/>
  <c r="O13" i="17"/>
  <c r="K13" i="17"/>
  <c r="G13" i="17"/>
  <c r="D13" i="17"/>
  <c r="C13" i="17"/>
  <c r="K10" i="17"/>
  <c r="K9" i="17"/>
  <c r="K8" i="17"/>
  <c r="K7" i="17"/>
  <c r="BG6" i="17"/>
  <c r="BB6" i="17"/>
  <c r="K6" i="17"/>
  <c r="BG5" i="17"/>
  <c r="BB5" i="17"/>
  <c r="K5" i="17"/>
  <c r="BG4" i="17"/>
  <c r="BB4" i="17"/>
  <c r="K4" i="17"/>
  <c r="H840" i="6"/>
  <c r="G840" i="6"/>
  <c r="F840" i="6"/>
  <c r="E840" i="6"/>
  <c r="D840" i="6"/>
  <c r="C840" i="6"/>
  <c r="B840" i="6"/>
  <c r="H1603" i="5"/>
  <c r="G1603" i="5"/>
  <c r="F1603" i="5"/>
  <c r="E1603" i="5"/>
  <c r="D1603" i="5"/>
  <c r="C1603" i="5"/>
  <c r="B1603" i="5"/>
  <c r="H2076" i="4"/>
  <c r="G2076" i="4"/>
  <c r="F2076" i="4"/>
  <c r="E2076" i="4"/>
  <c r="D2076" i="4"/>
  <c r="C2076" i="4"/>
  <c r="B2076" i="4"/>
  <c r="H2242" i="3"/>
  <c r="G2242" i="3"/>
  <c r="F2242" i="3"/>
  <c r="E2242" i="3"/>
  <c r="D2242" i="3"/>
  <c r="C2242" i="3"/>
  <c r="B2242" i="3"/>
  <c r="H2146" i="2"/>
  <c r="G2146" i="2"/>
  <c r="F2146" i="2"/>
  <c r="E2146" i="2"/>
  <c r="D2146" i="2"/>
  <c r="C2146" i="2"/>
  <c r="B2146" i="2"/>
  <c r="H2338" i="1"/>
  <c r="G2338" i="1"/>
  <c r="F2338" i="1"/>
  <c r="E2338" i="1"/>
  <c r="D2338" i="1"/>
  <c r="C2338" i="1"/>
  <c r="B2338" i="1"/>
  <c r="AF893" i="6"/>
  <c r="AF896" i="6"/>
  <c r="H860" i="6"/>
  <c r="H859" i="6"/>
  <c r="G860" i="6"/>
  <c r="G859" i="6"/>
  <c r="F860" i="6"/>
  <c r="F859" i="6"/>
  <c r="E860" i="6"/>
  <c r="E859" i="6"/>
  <c r="D860" i="6"/>
  <c r="D859" i="6"/>
  <c r="C860" i="6"/>
  <c r="C859" i="6"/>
  <c r="B860" i="6"/>
  <c r="B859" i="6"/>
  <c r="H846" i="6"/>
  <c r="G846" i="6"/>
  <c r="F846" i="6"/>
  <c r="E846" i="6"/>
  <c r="D846" i="6"/>
  <c r="C846" i="6"/>
  <c r="B846" i="6"/>
  <c r="I845" i="6"/>
  <c r="J845" i="6"/>
  <c r="I844" i="6"/>
  <c r="J844" i="6"/>
  <c r="I843" i="6"/>
  <c r="J843" i="6"/>
  <c r="I842" i="6"/>
  <c r="J842" i="6"/>
  <c r="I841" i="6"/>
  <c r="BH1657" i="5"/>
  <c r="BH1660" i="5"/>
  <c r="H1623" i="5"/>
  <c r="H1622" i="5"/>
  <c r="G1623" i="5"/>
  <c r="G1622" i="5"/>
  <c r="F1623" i="5"/>
  <c r="F1622" i="5"/>
  <c r="E1623" i="5"/>
  <c r="E1622" i="5"/>
  <c r="D1623" i="5"/>
  <c r="D1622" i="5"/>
  <c r="C1623" i="5"/>
  <c r="C1622" i="5"/>
  <c r="B1623" i="5"/>
  <c r="H1609" i="5"/>
  <c r="G1609" i="5"/>
  <c r="F1609" i="5"/>
  <c r="E1609" i="5"/>
  <c r="D1609" i="5"/>
  <c r="C1609" i="5"/>
  <c r="B1609" i="5"/>
  <c r="I1608" i="5"/>
  <c r="J1608" i="5"/>
  <c r="I1607" i="5"/>
  <c r="J1607" i="5"/>
  <c r="I1606" i="5"/>
  <c r="J1606" i="5"/>
  <c r="I1605" i="5"/>
  <c r="J1605" i="5"/>
  <c r="I1604" i="5"/>
  <c r="I1603" i="5"/>
  <c r="J1603" i="5"/>
  <c r="BY2130" i="4"/>
  <c r="BY2133" i="4"/>
  <c r="H2096" i="4"/>
  <c r="H2095" i="4"/>
  <c r="G2096" i="4"/>
  <c r="G2095" i="4"/>
  <c r="F2096" i="4"/>
  <c r="F2095" i="4"/>
  <c r="E2096" i="4"/>
  <c r="E2095" i="4"/>
  <c r="D2096" i="4"/>
  <c r="D2095" i="4"/>
  <c r="C2096" i="4"/>
  <c r="C2095" i="4"/>
  <c r="B2096" i="4"/>
  <c r="B2095" i="4"/>
  <c r="H2082" i="4"/>
  <c r="G2082" i="4"/>
  <c r="F2082" i="4"/>
  <c r="E2082" i="4"/>
  <c r="D2082" i="4"/>
  <c r="C2082" i="4"/>
  <c r="B2082" i="4"/>
  <c r="I2081" i="4"/>
  <c r="J2081" i="4"/>
  <c r="I2080" i="4"/>
  <c r="J2080" i="4"/>
  <c r="I2079" i="4"/>
  <c r="J2079" i="4"/>
  <c r="I2078" i="4"/>
  <c r="J2078" i="4"/>
  <c r="I2077" i="4"/>
  <c r="I2076" i="4"/>
  <c r="J2076" i="4"/>
  <c r="CD2295" i="3"/>
  <c r="CD2298" i="3"/>
  <c r="H2262" i="3"/>
  <c r="H2261" i="3"/>
  <c r="G2262" i="3"/>
  <c r="G2261" i="3"/>
  <c r="F2262" i="3"/>
  <c r="F2261" i="3"/>
  <c r="E2262" i="3"/>
  <c r="E2261" i="3"/>
  <c r="D2262" i="3"/>
  <c r="D2261" i="3"/>
  <c r="C2262" i="3"/>
  <c r="C2261" i="3"/>
  <c r="B2262" i="3"/>
  <c r="B2261" i="3"/>
  <c r="H2248" i="3"/>
  <c r="G2248" i="3"/>
  <c r="F2248" i="3"/>
  <c r="E2248" i="3"/>
  <c r="D2248" i="3"/>
  <c r="C2248" i="3"/>
  <c r="B2248" i="3"/>
  <c r="I2247" i="3"/>
  <c r="J2247" i="3"/>
  <c r="I2246" i="3"/>
  <c r="J2246" i="3"/>
  <c r="I2245" i="3"/>
  <c r="J2245" i="3"/>
  <c r="I2244" i="3"/>
  <c r="J2244" i="3"/>
  <c r="I2243" i="3"/>
  <c r="I2242" i="3"/>
  <c r="J2242" i="3"/>
  <c r="BY2200" i="2"/>
  <c r="BY2203" i="2"/>
  <c r="H2166" i="2"/>
  <c r="H2165" i="2"/>
  <c r="G2166" i="2"/>
  <c r="G2165" i="2"/>
  <c r="F2166" i="2"/>
  <c r="F2165" i="2"/>
  <c r="E2166" i="2"/>
  <c r="E2165" i="2"/>
  <c r="E2167" i="2"/>
  <c r="D2166" i="2"/>
  <c r="D2165" i="2"/>
  <c r="C2166" i="2"/>
  <c r="C2165" i="2"/>
  <c r="B2166" i="2"/>
  <c r="B2165" i="2"/>
  <c r="E2163" i="2"/>
  <c r="E2161" i="2"/>
  <c r="H2152" i="2"/>
  <c r="G2152" i="2"/>
  <c r="F2152" i="2"/>
  <c r="E2152" i="2"/>
  <c r="D2152" i="2"/>
  <c r="C2152" i="2"/>
  <c r="B2152" i="2"/>
  <c r="I2151" i="2"/>
  <c r="J2151" i="2"/>
  <c r="I2150" i="2"/>
  <c r="J2150" i="2"/>
  <c r="I2149" i="2"/>
  <c r="J2149" i="2"/>
  <c r="I2148" i="2"/>
  <c r="J2148" i="2"/>
  <c r="I2147" i="2"/>
  <c r="I2146" i="2"/>
  <c r="J2146" i="2"/>
  <c r="CG2398" i="1"/>
  <c r="CG2401" i="1"/>
  <c r="H2358" i="1"/>
  <c r="H2357" i="1"/>
  <c r="G2358" i="1"/>
  <c r="G2357" i="1"/>
  <c r="F2358" i="1"/>
  <c r="F2357" i="1"/>
  <c r="E2358" i="1"/>
  <c r="E2357" i="1"/>
  <c r="D2358" i="1"/>
  <c r="D2357" i="1"/>
  <c r="C2358" i="1"/>
  <c r="C2357" i="1"/>
  <c r="B2358" i="1"/>
  <c r="B2357" i="1"/>
  <c r="H2344" i="1"/>
  <c r="G2344" i="1"/>
  <c r="F2344" i="1"/>
  <c r="E2344" i="1"/>
  <c r="D2344" i="1"/>
  <c r="C2344" i="1"/>
  <c r="B2344" i="1"/>
  <c r="I2343" i="1"/>
  <c r="J2343" i="1"/>
  <c r="I2342" i="1"/>
  <c r="J2342" i="1"/>
  <c r="I2341" i="1"/>
  <c r="J2341" i="1"/>
  <c r="I2340" i="1"/>
  <c r="J2340" i="1"/>
  <c r="I2339" i="1"/>
  <c r="I2338" i="1"/>
  <c r="J2338" i="1"/>
  <c r="I846" i="6"/>
  <c r="AG873" i="6"/>
  <c r="I1609" i="5"/>
  <c r="J1609" i="5"/>
  <c r="B1622" i="5"/>
  <c r="B1618" i="5"/>
  <c r="I2082" i="4"/>
  <c r="J2082" i="4"/>
  <c r="I2248" i="3"/>
  <c r="J2248" i="3"/>
  <c r="E2160" i="2"/>
  <c r="I2152" i="2"/>
  <c r="J2152" i="2"/>
  <c r="I2344" i="1"/>
  <c r="J2344" i="1"/>
  <c r="F1620" i="5"/>
  <c r="F1621" i="5"/>
  <c r="F1618" i="5"/>
  <c r="C861" i="6"/>
  <c r="C855" i="6"/>
  <c r="C857" i="6"/>
  <c r="E857" i="6"/>
  <c r="E861" i="6"/>
  <c r="E855" i="6"/>
  <c r="G861" i="6"/>
  <c r="G855" i="6"/>
  <c r="G857" i="6"/>
  <c r="AG869" i="6"/>
  <c r="AG871" i="6"/>
  <c r="B861" i="6"/>
  <c r="B862" i="6"/>
  <c r="B857" i="6"/>
  <c r="B855" i="6"/>
  <c r="B858" i="6"/>
  <c r="B856" i="6"/>
  <c r="B854" i="6"/>
  <c r="D861" i="6"/>
  <c r="D862" i="6"/>
  <c r="D857" i="6"/>
  <c r="D855" i="6"/>
  <c r="D858" i="6"/>
  <c r="D856" i="6"/>
  <c r="D854" i="6"/>
  <c r="F861" i="6"/>
  <c r="F862" i="6"/>
  <c r="F857" i="6"/>
  <c r="F855" i="6"/>
  <c r="F858" i="6"/>
  <c r="F856" i="6"/>
  <c r="F854" i="6"/>
  <c r="H861" i="6"/>
  <c r="H862" i="6"/>
  <c r="H857" i="6"/>
  <c r="H855" i="6"/>
  <c r="H858" i="6"/>
  <c r="H856" i="6"/>
  <c r="H854" i="6"/>
  <c r="AG868" i="6"/>
  <c r="AG870" i="6"/>
  <c r="AG872" i="6"/>
  <c r="C854" i="6"/>
  <c r="E854" i="6"/>
  <c r="G854" i="6"/>
  <c r="C856" i="6"/>
  <c r="E856" i="6"/>
  <c r="G856" i="6"/>
  <c r="C858" i="6"/>
  <c r="E858" i="6"/>
  <c r="G858" i="6"/>
  <c r="I840" i="6"/>
  <c r="I855" i="6"/>
  <c r="AG882" i="6"/>
  <c r="I857" i="6"/>
  <c r="C862" i="6"/>
  <c r="C863" i="6"/>
  <c r="E862" i="6"/>
  <c r="E863" i="6"/>
  <c r="G862" i="6"/>
  <c r="G863" i="6"/>
  <c r="B863" i="6"/>
  <c r="D863" i="6"/>
  <c r="H863" i="6"/>
  <c r="I860" i="6"/>
  <c r="AG887" i="6"/>
  <c r="J841" i="6"/>
  <c r="J860" i="6"/>
  <c r="B1620" i="5"/>
  <c r="D1621" i="5"/>
  <c r="D1620" i="5"/>
  <c r="D1618" i="5"/>
  <c r="H1621" i="5"/>
  <c r="H1620" i="5"/>
  <c r="H1618" i="5"/>
  <c r="BI1630" i="5"/>
  <c r="BI1631" i="5"/>
  <c r="BI1632" i="5"/>
  <c r="BI1633" i="5"/>
  <c r="BI1634" i="5"/>
  <c r="BI1635" i="5"/>
  <c r="C1624" i="5"/>
  <c r="C1620" i="5"/>
  <c r="C1618" i="5"/>
  <c r="C1621" i="5"/>
  <c r="C1619" i="5"/>
  <c r="C1617" i="5"/>
  <c r="E1624" i="5"/>
  <c r="E1620" i="5"/>
  <c r="E1618" i="5"/>
  <c r="E1621" i="5"/>
  <c r="E1619" i="5"/>
  <c r="E1617" i="5"/>
  <c r="G1624" i="5"/>
  <c r="G1620" i="5"/>
  <c r="G1618" i="5"/>
  <c r="G1621" i="5"/>
  <c r="G1619" i="5"/>
  <c r="G1617" i="5"/>
  <c r="I1623" i="5"/>
  <c r="BI1650" i="5"/>
  <c r="B1624" i="5"/>
  <c r="D1624" i="5"/>
  <c r="F1624" i="5"/>
  <c r="H1624" i="5"/>
  <c r="J1604" i="5"/>
  <c r="J1623" i="5"/>
  <c r="B1617" i="5"/>
  <c r="D1617" i="5"/>
  <c r="F1617" i="5"/>
  <c r="H1617" i="5"/>
  <c r="B1619" i="5"/>
  <c r="D1619" i="5"/>
  <c r="F1619" i="5"/>
  <c r="H1619" i="5"/>
  <c r="D2094" i="4"/>
  <c r="D2091" i="4"/>
  <c r="H2093" i="4"/>
  <c r="BZ2103" i="4"/>
  <c r="BZ2104" i="4"/>
  <c r="BZ2105" i="4"/>
  <c r="BZ2106" i="4"/>
  <c r="BZ2107" i="4"/>
  <c r="BZ2108" i="4"/>
  <c r="C2097" i="4"/>
  <c r="C2091" i="4"/>
  <c r="C2092" i="4"/>
  <c r="E2097" i="4"/>
  <c r="E2091" i="4"/>
  <c r="E2092" i="4"/>
  <c r="G2097" i="4"/>
  <c r="G2091" i="4"/>
  <c r="G2092" i="4"/>
  <c r="I2096" i="4"/>
  <c r="BZ2123" i="4"/>
  <c r="B2097" i="4"/>
  <c r="F2097" i="4"/>
  <c r="J2077" i="4"/>
  <c r="J2096" i="4"/>
  <c r="B2090" i="4"/>
  <c r="F2090" i="4"/>
  <c r="H2090" i="4"/>
  <c r="B2092" i="4"/>
  <c r="D2092" i="4"/>
  <c r="F2092" i="4"/>
  <c r="H2092" i="4"/>
  <c r="B2259" i="3"/>
  <c r="B2257" i="3"/>
  <c r="B2260" i="3"/>
  <c r="B2258" i="3"/>
  <c r="B2256" i="3"/>
  <c r="D2259" i="3"/>
  <c r="D2257" i="3"/>
  <c r="D2260" i="3"/>
  <c r="D2258" i="3"/>
  <c r="D2256" i="3"/>
  <c r="F2263" i="3"/>
  <c r="F2264" i="3"/>
  <c r="F2265" i="3"/>
  <c r="F2259" i="3"/>
  <c r="F2257" i="3"/>
  <c r="F2260" i="3"/>
  <c r="F2258" i="3"/>
  <c r="F2256" i="3"/>
  <c r="H2259" i="3"/>
  <c r="H2257" i="3"/>
  <c r="H2260" i="3"/>
  <c r="H2258" i="3"/>
  <c r="H2256" i="3"/>
  <c r="CE2269" i="3"/>
  <c r="CE2270" i="3"/>
  <c r="CE2271" i="3"/>
  <c r="CE2272" i="3"/>
  <c r="CE2273" i="3"/>
  <c r="CE2274" i="3"/>
  <c r="CE2275" i="3"/>
  <c r="C2256" i="3"/>
  <c r="E2256" i="3"/>
  <c r="G2256" i="3"/>
  <c r="C2258" i="3"/>
  <c r="E2258" i="3"/>
  <c r="G2258" i="3"/>
  <c r="B2263" i="3"/>
  <c r="D2263" i="3"/>
  <c r="H2263" i="3"/>
  <c r="C2263" i="3"/>
  <c r="C2264" i="3"/>
  <c r="E2263" i="3"/>
  <c r="G2263" i="3"/>
  <c r="G2264" i="3"/>
  <c r="B2264" i="3"/>
  <c r="B2265" i="3"/>
  <c r="D2264" i="3"/>
  <c r="D2265" i="3"/>
  <c r="H2264" i="3"/>
  <c r="H2265" i="3"/>
  <c r="E2264" i="3"/>
  <c r="E2265" i="3"/>
  <c r="I2262" i="3"/>
  <c r="CE2289" i="3"/>
  <c r="J2243" i="3"/>
  <c r="J2262" i="3"/>
  <c r="B2167" i="2"/>
  <c r="B2164" i="2"/>
  <c r="B2162" i="2"/>
  <c r="B2160" i="2"/>
  <c r="B2163" i="2"/>
  <c r="B2161" i="2"/>
  <c r="D2167" i="2"/>
  <c r="D2168" i="2"/>
  <c r="D2169" i="2"/>
  <c r="D2164" i="2"/>
  <c r="D2162" i="2"/>
  <c r="D2160" i="2"/>
  <c r="D2163" i="2"/>
  <c r="D2161" i="2"/>
  <c r="F2167" i="2"/>
  <c r="F2164" i="2"/>
  <c r="F2162" i="2"/>
  <c r="F2160" i="2"/>
  <c r="F2163" i="2"/>
  <c r="F2161" i="2"/>
  <c r="H2167" i="2"/>
  <c r="H2168" i="2"/>
  <c r="H2169" i="2"/>
  <c r="H2164" i="2"/>
  <c r="H2162" i="2"/>
  <c r="H2160" i="2"/>
  <c r="H2163" i="2"/>
  <c r="H2161" i="2"/>
  <c r="C2162" i="2"/>
  <c r="E2162" i="2"/>
  <c r="G2162" i="2"/>
  <c r="C2164" i="2"/>
  <c r="E2164" i="2"/>
  <c r="G2164" i="2"/>
  <c r="BZ2173" i="2"/>
  <c r="BZ2174" i="2"/>
  <c r="BZ2175" i="2"/>
  <c r="BZ2176" i="2"/>
  <c r="BZ2177" i="2"/>
  <c r="BZ2178" i="2"/>
  <c r="BZ2179" i="2"/>
  <c r="E2168" i="2"/>
  <c r="E2169" i="2"/>
  <c r="B2168" i="2"/>
  <c r="B2169" i="2"/>
  <c r="F2168" i="2"/>
  <c r="F2169" i="2"/>
  <c r="I2166" i="2"/>
  <c r="BZ2193" i="2"/>
  <c r="J2147" i="2"/>
  <c r="J2166" i="2"/>
  <c r="F2359" i="1"/>
  <c r="F2360" i="1"/>
  <c r="F2361" i="1"/>
  <c r="F2355" i="1"/>
  <c r="F2353" i="1"/>
  <c r="F2356" i="1"/>
  <c r="F2354" i="1"/>
  <c r="F2352" i="1"/>
  <c r="D2359" i="1"/>
  <c r="D2360" i="1"/>
  <c r="D2361" i="1"/>
  <c r="CH2367" i="1"/>
  <c r="CH2368" i="1"/>
  <c r="CH2369" i="1"/>
  <c r="CH2370" i="1"/>
  <c r="CH2371" i="1"/>
  <c r="CH2372" i="1"/>
  <c r="G2352" i="1"/>
  <c r="C2354" i="1"/>
  <c r="E2354" i="1"/>
  <c r="G2354" i="1"/>
  <c r="B2359" i="1"/>
  <c r="H2359" i="1"/>
  <c r="C2359" i="1"/>
  <c r="C2360" i="1"/>
  <c r="C2361" i="1"/>
  <c r="E2359" i="1"/>
  <c r="G2359" i="1"/>
  <c r="G2360" i="1"/>
  <c r="G2361" i="1"/>
  <c r="CH2366" i="1"/>
  <c r="E2360" i="1"/>
  <c r="E2361" i="1"/>
  <c r="I2358" i="1"/>
  <c r="J2339" i="1"/>
  <c r="J2358" i="1"/>
  <c r="H813" i="6"/>
  <c r="G813" i="6"/>
  <c r="F813" i="6"/>
  <c r="E813" i="6"/>
  <c r="D813" i="6"/>
  <c r="B813" i="6"/>
  <c r="C813" i="6"/>
  <c r="I813" i="6"/>
  <c r="H1576" i="5"/>
  <c r="G1576" i="5"/>
  <c r="F1576" i="5"/>
  <c r="E1576" i="5"/>
  <c r="D1576" i="5"/>
  <c r="C1576" i="5"/>
  <c r="B1576" i="5"/>
  <c r="H2049" i="4"/>
  <c r="G2049" i="4"/>
  <c r="F2049" i="4"/>
  <c r="E2049" i="4"/>
  <c r="D2049" i="4"/>
  <c r="C2049" i="4"/>
  <c r="B2049" i="4"/>
  <c r="H2215" i="3"/>
  <c r="G2215" i="3"/>
  <c r="F2215" i="3"/>
  <c r="E2215" i="3"/>
  <c r="D2215" i="3"/>
  <c r="C2215" i="3"/>
  <c r="B2215" i="3"/>
  <c r="F2118" i="2"/>
  <c r="H2118" i="2"/>
  <c r="G2118" i="2"/>
  <c r="E2118" i="2"/>
  <c r="D2118" i="2"/>
  <c r="C2118" i="2"/>
  <c r="B2118" i="2"/>
  <c r="H2311" i="1"/>
  <c r="G2311" i="1"/>
  <c r="F2311" i="1"/>
  <c r="E2311" i="1"/>
  <c r="D2311" i="1"/>
  <c r="C2311" i="1"/>
  <c r="B2311" i="1"/>
  <c r="AE893" i="6"/>
  <c r="AE896" i="6"/>
  <c r="H833" i="6"/>
  <c r="H832" i="6"/>
  <c r="G833" i="6"/>
  <c r="G832" i="6"/>
  <c r="F833" i="6"/>
  <c r="F832" i="6"/>
  <c r="E833" i="6"/>
  <c r="E832" i="6"/>
  <c r="D833" i="6"/>
  <c r="D832" i="6"/>
  <c r="C833" i="6"/>
  <c r="C832" i="6"/>
  <c r="B833" i="6"/>
  <c r="B832" i="6"/>
  <c r="B830" i="6"/>
  <c r="H819" i="6"/>
  <c r="G819" i="6"/>
  <c r="F819" i="6"/>
  <c r="E819" i="6"/>
  <c r="D819" i="6"/>
  <c r="C819" i="6"/>
  <c r="B819" i="6"/>
  <c r="I818" i="6"/>
  <c r="I817" i="6"/>
  <c r="I816" i="6"/>
  <c r="I815" i="6"/>
  <c r="I814" i="6"/>
  <c r="AF868" i="6"/>
  <c r="BG1657" i="5"/>
  <c r="BG1660" i="5"/>
  <c r="H1596" i="5"/>
  <c r="H1595" i="5"/>
  <c r="G1596" i="5"/>
  <c r="G1595" i="5"/>
  <c r="F1596" i="5"/>
  <c r="F1595" i="5"/>
  <c r="E1596" i="5"/>
  <c r="E1595" i="5"/>
  <c r="E1592" i="5"/>
  <c r="D1596" i="5"/>
  <c r="D1595" i="5"/>
  <c r="C1596" i="5"/>
  <c r="C1595" i="5"/>
  <c r="B1596" i="5"/>
  <c r="B1595" i="5"/>
  <c r="H1582" i="5"/>
  <c r="G1582" i="5"/>
  <c r="F1582" i="5"/>
  <c r="E1582" i="5"/>
  <c r="D1582" i="5"/>
  <c r="C1582" i="5"/>
  <c r="B1582" i="5"/>
  <c r="I1581" i="5"/>
  <c r="I1580" i="5"/>
  <c r="I1579" i="5"/>
  <c r="I1578" i="5"/>
  <c r="I1577" i="5"/>
  <c r="BH1631" i="5"/>
  <c r="I1576" i="5"/>
  <c r="BX2130" i="4"/>
  <c r="BX2133" i="4"/>
  <c r="H2069" i="4"/>
  <c r="H2068" i="4"/>
  <c r="H2065" i="4"/>
  <c r="G2069" i="4"/>
  <c r="G2068" i="4"/>
  <c r="F2069" i="4"/>
  <c r="F2068" i="4"/>
  <c r="E2069" i="4"/>
  <c r="E2068" i="4"/>
  <c r="D2069" i="4"/>
  <c r="D2068" i="4"/>
  <c r="D2065" i="4"/>
  <c r="C2069" i="4"/>
  <c r="C2068" i="4"/>
  <c r="B2069" i="4"/>
  <c r="B2068" i="4"/>
  <c r="B2064" i="4"/>
  <c r="H2055" i="4"/>
  <c r="G2055" i="4"/>
  <c r="F2055" i="4"/>
  <c r="E2055" i="4"/>
  <c r="D2055" i="4"/>
  <c r="C2055" i="4"/>
  <c r="B2055" i="4"/>
  <c r="I2054" i="4"/>
  <c r="I2053" i="4"/>
  <c r="I2052" i="4"/>
  <c r="I2051" i="4"/>
  <c r="I2050" i="4"/>
  <c r="BY2104" i="4"/>
  <c r="I2049" i="4"/>
  <c r="CC2295" i="3"/>
  <c r="CC2298" i="3"/>
  <c r="H2235" i="3"/>
  <c r="H2234" i="3"/>
  <c r="G2235" i="3"/>
  <c r="G2234" i="3"/>
  <c r="G2229" i="3"/>
  <c r="B2235" i="3"/>
  <c r="B2234" i="3"/>
  <c r="B2229" i="3"/>
  <c r="C2235" i="3"/>
  <c r="C2234" i="3"/>
  <c r="C2229" i="3"/>
  <c r="D2235" i="3"/>
  <c r="D2234" i="3"/>
  <c r="D2229" i="3"/>
  <c r="E2235" i="3"/>
  <c r="E2234" i="3"/>
  <c r="E2229" i="3"/>
  <c r="F2235" i="3"/>
  <c r="F2234" i="3"/>
  <c r="F2229" i="3"/>
  <c r="H2229" i="3"/>
  <c r="I2229" i="3"/>
  <c r="CD2283" i="3"/>
  <c r="CD2299" i="3"/>
  <c r="C2236" i="3"/>
  <c r="H2221" i="3"/>
  <c r="G2221" i="3"/>
  <c r="F2221" i="3"/>
  <c r="E2221" i="3"/>
  <c r="D2221" i="3"/>
  <c r="C2221" i="3"/>
  <c r="B2221" i="3"/>
  <c r="I2220" i="3"/>
  <c r="I2219" i="3"/>
  <c r="I2218" i="3"/>
  <c r="I2217" i="3"/>
  <c r="I2216" i="3"/>
  <c r="CD2270" i="3"/>
  <c r="I2215" i="3"/>
  <c r="BX2200" i="2"/>
  <c r="BX2203" i="2"/>
  <c r="H2138" i="2"/>
  <c r="H2137" i="2"/>
  <c r="G2138" i="2"/>
  <c r="G2137" i="2"/>
  <c r="F2138" i="2"/>
  <c r="F2137" i="2"/>
  <c r="F2132" i="2"/>
  <c r="E2138" i="2"/>
  <c r="E2137" i="2"/>
  <c r="D2138" i="2"/>
  <c r="D2137" i="2"/>
  <c r="C2138" i="2"/>
  <c r="C2137" i="2"/>
  <c r="B2138" i="2"/>
  <c r="B2137" i="2"/>
  <c r="B2134" i="2"/>
  <c r="C2134" i="2"/>
  <c r="D2134" i="2"/>
  <c r="E2134" i="2"/>
  <c r="F2134" i="2"/>
  <c r="G2134" i="2"/>
  <c r="H2134" i="2"/>
  <c r="I2134" i="2"/>
  <c r="BY2189" i="2"/>
  <c r="BY2206" i="2"/>
  <c r="H2124" i="2"/>
  <c r="G2124" i="2"/>
  <c r="F2124" i="2"/>
  <c r="E2124" i="2"/>
  <c r="D2124" i="2"/>
  <c r="C2124" i="2"/>
  <c r="B2124" i="2"/>
  <c r="I2123" i="2"/>
  <c r="BY2178" i="2"/>
  <c r="I2122" i="2"/>
  <c r="I2121" i="2"/>
  <c r="I2120" i="2"/>
  <c r="BY2175" i="2"/>
  <c r="I2119" i="2"/>
  <c r="BY2174" i="2"/>
  <c r="I2118" i="2"/>
  <c r="BY2173" i="2"/>
  <c r="BY2201" i="2"/>
  <c r="CF2398" i="1"/>
  <c r="CF2401" i="1"/>
  <c r="H2331" i="1"/>
  <c r="H2330" i="1"/>
  <c r="G2331" i="1"/>
  <c r="G2330" i="1"/>
  <c r="F2331" i="1"/>
  <c r="F2330" i="1"/>
  <c r="E2331" i="1"/>
  <c r="E2330" i="1"/>
  <c r="D2331" i="1"/>
  <c r="D2330" i="1"/>
  <c r="C2331" i="1"/>
  <c r="C2330" i="1"/>
  <c r="B2331" i="1"/>
  <c r="B2330" i="1"/>
  <c r="H2317" i="1"/>
  <c r="G2317" i="1"/>
  <c r="F2317" i="1"/>
  <c r="E2317" i="1"/>
  <c r="D2317" i="1"/>
  <c r="C2317" i="1"/>
  <c r="B2317" i="1"/>
  <c r="I2316" i="1"/>
  <c r="I2315" i="1"/>
  <c r="J2315" i="1"/>
  <c r="I2314" i="1"/>
  <c r="CG2369" i="1"/>
  <c r="I2313" i="1"/>
  <c r="I2312" i="1"/>
  <c r="CG2367" i="1"/>
  <c r="I2311" i="1"/>
  <c r="J855" i="6"/>
  <c r="BZ2109" i="4"/>
  <c r="J2311" i="1"/>
  <c r="CG2366" i="1"/>
  <c r="CG2399" i="1"/>
  <c r="J2313" i="1"/>
  <c r="CG2368" i="1"/>
  <c r="J2121" i="2"/>
  <c r="BY2176" i="2"/>
  <c r="J2123" i="2"/>
  <c r="J2215" i="3"/>
  <c r="CD2269" i="3"/>
  <c r="CD2296" i="3"/>
  <c r="J2217" i="3"/>
  <c r="CD2271" i="3"/>
  <c r="J2219" i="3"/>
  <c r="CD2273" i="3"/>
  <c r="J2052" i="4"/>
  <c r="BY2106" i="4"/>
  <c r="J2054" i="4"/>
  <c r="BY2108" i="4"/>
  <c r="J1576" i="5"/>
  <c r="BH1630" i="5"/>
  <c r="BH1658" i="5"/>
  <c r="J1578" i="5"/>
  <c r="BH1632" i="5"/>
  <c r="J1580" i="5"/>
  <c r="BH1634" i="5"/>
  <c r="J815" i="6"/>
  <c r="AF869" i="6"/>
  <c r="J817" i="6"/>
  <c r="AF871" i="6"/>
  <c r="J2314" i="1"/>
  <c r="J2316" i="1"/>
  <c r="CG2371" i="1"/>
  <c r="J2118" i="2"/>
  <c r="J2120" i="2"/>
  <c r="J2122" i="2"/>
  <c r="BY2177" i="2"/>
  <c r="J2218" i="3"/>
  <c r="CD2272" i="3"/>
  <c r="J2220" i="3"/>
  <c r="CD2274" i="3"/>
  <c r="J2049" i="4"/>
  <c r="BY2103" i="4"/>
  <c r="BY2131" i="4"/>
  <c r="J2051" i="4"/>
  <c r="BY2105" i="4"/>
  <c r="J2053" i="4"/>
  <c r="BY2107" i="4"/>
  <c r="J1579" i="5"/>
  <c r="BH1633" i="5"/>
  <c r="J1581" i="5"/>
  <c r="BH1635" i="5"/>
  <c r="J816" i="6"/>
  <c r="AF870" i="6"/>
  <c r="J818" i="6"/>
  <c r="AF872" i="6"/>
  <c r="I856" i="6"/>
  <c r="AG884" i="6"/>
  <c r="J840" i="6"/>
  <c r="AG867" i="6"/>
  <c r="I854" i="6"/>
  <c r="I858" i="6"/>
  <c r="J857" i="6"/>
  <c r="H852" i="6"/>
  <c r="H853" i="6"/>
  <c r="D852" i="6"/>
  <c r="D853" i="6"/>
  <c r="B852" i="6"/>
  <c r="B853" i="6"/>
  <c r="G853" i="6"/>
  <c r="G852" i="6"/>
  <c r="E853" i="6"/>
  <c r="E852" i="6"/>
  <c r="C853" i="6"/>
  <c r="C852" i="6"/>
  <c r="I1620" i="5"/>
  <c r="BI1647" i="5"/>
  <c r="I1618" i="5"/>
  <c r="BI1645" i="5"/>
  <c r="F1625" i="5"/>
  <c r="F1626" i="5"/>
  <c r="B1625" i="5"/>
  <c r="B1626" i="5"/>
  <c r="H1625" i="5"/>
  <c r="H1626" i="5"/>
  <c r="D1625" i="5"/>
  <c r="D1626" i="5"/>
  <c r="G1625" i="5"/>
  <c r="G1626" i="5"/>
  <c r="E1625" i="5"/>
  <c r="E1626" i="5"/>
  <c r="C1625" i="5"/>
  <c r="C1626" i="5"/>
  <c r="I1619" i="5"/>
  <c r="BI1646" i="5"/>
  <c r="I1617" i="5"/>
  <c r="BI1644" i="5"/>
  <c r="F2098" i="4"/>
  <c r="F2099" i="4"/>
  <c r="B2098" i="4"/>
  <c r="B2099" i="4"/>
  <c r="G2098" i="4"/>
  <c r="G2099" i="4"/>
  <c r="E2098" i="4"/>
  <c r="E2099" i="4"/>
  <c r="C2098" i="4"/>
  <c r="C2099" i="4"/>
  <c r="I2092" i="4"/>
  <c r="BZ2119" i="4"/>
  <c r="I2256" i="3"/>
  <c r="CE2283" i="3"/>
  <c r="I2258" i="3"/>
  <c r="H2254" i="3"/>
  <c r="H2255" i="3"/>
  <c r="B2254" i="3"/>
  <c r="B2255" i="3"/>
  <c r="E2255" i="3"/>
  <c r="E2254" i="3"/>
  <c r="I2162" i="2"/>
  <c r="I2164" i="2"/>
  <c r="H2360" i="1"/>
  <c r="H2361" i="1"/>
  <c r="B2360" i="1"/>
  <c r="B2361" i="1"/>
  <c r="CH2391" i="1"/>
  <c r="D2355" i="1"/>
  <c r="D2353" i="1"/>
  <c r="D2356" i="1"/>
  <c r="D2354" i="1"/>
  <c r="D2352" i="1"/>
  <c r="H2355" i="1"/>
  <c r="H2353" i="1"/>
  <c r="H2356" i="1"/>
  <c r="H2354" i="1"/>
  <c r="H2352" i="1"/>
  <c r="I2357" i="1"/>
  <c r="B2355" i="1"/>
  <c r="B2353" i="1"/>
  <c r="B2356" i="1"/>
  <c r="B2354" i="1"/>
  <c r="B2352" i="1"/>
  <c r="E2351" i="1"/>
  <c r="E2350" i="1"/>
  <c r="D2350" i="1"/>
  <c r="D2351" i="1"/>
  <c r="I819" i="6"/>
  <c r="I1582" i="5"/>
  <c r="I2221" i="3"/>
  <c r="I2124" i="2"/>
  <c r="I2317" i="1"/>
  <c r="C2135" i="2"/>
  <c r="C2139" i="2"/>
  <c r="C2133" i="2"/>
  <c r="E2139" i="2"/>
  <c r="E2133" i="2"/>
  <c r="E2135" i="2"/>
  <c r="G2135" i="2"/>
  <c r="G2139" i="2"/>
  <c r="G2133" i="2"/>
  <c r="C2070" i="4"/>
  <c r="C2066" i="4"/>
  <c r="C2064" i="4"/>
  <c r="E2064" i="4"/>
  <c r="E2070" i="4"/>
  <c r="G2070" i="4"/>
  <c r="G2071" i="4"/>
  <c r="G2066" i="4"/>
  <c r="G2064" i="4"/>
  <c r="D828" i="6"/>
  <c r="H831" i="6"/>
  <c r="C834" i="6"/>
  <c r="C830" i="6"/>
  <c r="C828" i="6"/>
  <c r="C831" i="6"/>
  <c r="C829" i="6"/>
  <c r="C827" i="6"/>
  <c r="E834" i="6"/>
  <c r="E830" i="6"/>
  <c r="E828" i="6"/>
  <c r="E831" i="6"/>
  <c r="E829" i="6"/>
  <c r="E827" i="6"/>
  <c r="G834" i="6"/>
  <c r="G830" i="6"/>
  <c r="G828" i="6"/>
  <c r="G831" i="6"/>
  <c r="G829" i="6"/>
  <c r="G827" i="6"/>
  <c r="I833" i="6"/>
  <c r="AF887" i="6"/>
  <c r="AF902" i="6"/>
  <c r="J814" i="6"/>
  <c r="J833" i="6"/>
  <c r="H827" i="6"/>
  <c r="H829" i="6"/>
  <c r="B1597" i="5"/>
  <c r="B1593" i="5"/>
  <c r="B1591" i="5"/>
  <c r="B1594" i="5"/>
  <c r="B1592" i="5"/>
  <c r="B1590" i="5"/>
  <c r="D1597" i="5"/>
  <c r="D1598" i="5"/>
  <c r="D1599" i="5"/>
  <c r="D1593" i="5"/>
  <c r="D1591" i="5"/>
  <c r="D1594" i="5"/>
  <c r="D1592" i="5"/>
  <c r="D1590" i="5"/>
  <c r="F1597" i="5"/>
  <c r="F1593" i="5"/>
  <c r="F1591" i="5"/>
  <c r="F1594" i="5"/>
  <c r="F1592" i="5"/>
  <c r="F1590" i="5"/>
  <c r="H1597" i="5"/>
  <c r="H1598" i="5"/>
  <c r="H1599" i="5"/>
  <c r="H1593" i="5"/>
  <c r="H1591" i="5"/>
  <c r="H1594" i="5"/>
  <c r="H1592" i="5"/>
  <c r="H1590" i="5"/>
  <c r="C1590" i="5"/>
  <c r="G1594" i="5"/>
  <c r="B1598" i="5"/>
  <c r="B1599" i="5"/>
  <c r="F1598" i="5"/>
  <c r="F1599" i="5"/>
  <c r="I1596" i="5"/>
  <c r="BH1650" i="5"/>
  <c r="BH1666" i="5"/>
  <c r="J1577" i="5"/>
  <c r="J1596" i="5"/>
  <c r="I2055" i="4"/>
  <c r="BY2109" i="4"/>
  <c r="BY2132" i="4"/>
  <c r="E2066" i="4"/>
  <c r="B2070" i="4"/>
  <c r="B2071" i="4"/>
  <c r="B2066" i="4"/>
  <c r="B2067" i="4"/>
  <c r="B2065" i="4"/>
  <c r="B2063" i="4"/>
  <c r="D2067" i="4"/>
  <c r="D2063" i="4"/>
  <c r="F2066" i="4"/>
  <c r="F2064" i="4"/>
  <c r="F2067" i="4"/>
  <c r="F2063" i="4"/>
  <c r="H2064" i="4"/>
  <c r="H2063" i="4"/>
  <c r="C2063" i="4"/>
  <c r="E2063" i="4"/>
  <c r="G2063" i="4"/>
  <c r="C2065" i="4"/>
  <c r="E2065" i="4"/>
  <c r="G2065" i="4"/>
  <c r="C2067" i="4"/>
  <c r="E2067" i="4"/>
  <c r="G2067" i="4"/>
  <c r="C2071" i="4"/>
  <c r="C2072" i="4"/>
  <c r="E2071" i="4"/>
  <c r="E2072" i="4"/>
  <c r="I2069" i="4"/>
  <c r="BY2123" i="4"/>
  <c r="BY2139" i="4"/>
  <c r="J2050" i="4"/>
  <c r="J2069" i="4"/>
  <c r="B2232" i="3"/>
  <c r="B2230" i="3"/>
  <c r="B2233" i="3"/>
  <c r="B2231" i="3"/>
  <c r="D2232" i="3"/>
  <c r="D2230" i="3"/>
  <c r="D2233" i="3"/>
  <c r="D2231" i="3"/>
  <c r="F2236" i="3"/>
  <c r="F2237" i="3"/>
  <c r="F2238" i="3"/>
  <c r="F2232" i="3"/>
  <c r="F2230" i="3"/>
  <c r="F2233" i="3"/>
  <c r="F2231" i="3"/>
  <c r="H2232" i="3"/>
  <c r="H2230" i="3"/>
  <c r="H2233" i="3"/>
  <c r="H2231" i="3"/>
  <c r="E2231" i="3"/>
  <c r="G2231" i="3"/>
  <c r="B2236" i="3"/>
  <c r="B2237" i="3"/>
  <c r="B2238" i="3"/>
  <c r="D2236" i="3"/>
  <c r="D2237" i="3"/>
  <c r="D2238" i="3"/>
  <c r="H2236" i="3"/>
  <c r="H2237" i="3"/>
  <c r="I2235" i="3"/>
  <c r="CD2289" i="3"/>
  <c r="CD2304" i="3"/>
  <c r="J2216" i="3"/>
  <c r="J2235" i="3"/>
  <c r="B2136" i="2"/>
  <c r="B2132" i="2"/>
  <c r="B2133" i="2"/>
  <c r="D2139" i="2"/>
  <c r="D2140" i="2"/>
  <c r="D2141" i="2"/>
  <c r="D2131" i="2"/>
  <c r="D2136" i="2"/>
  <c r="D2132" i="2"/>
  <c r="D2135" i="2"/>
  <c r="D2133" i="2"/>
  <c r="F2139" i="2"/>
  <c r="F2140" i="2"/>
  <c r="F2141" i="2"/>
  <c r="F2131" i="2"/>
  <c r="F2136" i="2"/>
  <c r="F2135" i="2"/>
  <c r="F2133" i="2"/>
  <c r="H2139" i="2"/>
  <c r="H2140" i="2"/>
  <c r="H2141" i="2"/>
  <c r="H2131" i="2"/>
  <c r="H2136" i="2"/>
  <c r="H2132" i="2"/>
  <c r="H2135" i="2"/>
  <c r="H2133" i="2"/>
  <c r="C2132" i="2"/>
  <c r="E2132" i="2"/>
  <c r="G2132" i="2"/>
  <c r="C2136" i="2"/>
  <c r="E2136" i="2"/>
  <c r="G2136" i="2"/>
  <c r="C2140" i="2"/>
  <c r="C2141" i="2"/>
  <c r="E2140" i="2"/>
  <c r="E2141" i="2"/>
  <c r="G2140" i="2"/>
  <c r="G2141" i="2"/>
  <c r="I2138" i="2"/>
  <c r="BY2193" i="2"/>
  <c r="BY2209" i="2"/>
  <c r="J2119" i="2"/>
  <c r="J2138" i="2"/>
  <c r="I2330" i="1"/>
  <c r="CG2390" i="1"/>
  <c r="B2328" i="1"/>
  <c r="B2326" i="1"/>
  <c r="B2329" i="1"/>
  <c r="B2327" i="1"/>
  <c r="B2325" i="1"/>
  <c r="D2328" i="1"/>
  <c r="D2326" i="1"/>
  <c r="D2329" i="1"/>
  <c r="D2327" i="1"/>
  <c r="D2325" i="1"/>
  <c r="F2332" i="1"/>
  <c r="F2333" i="1"/>
  <c r="F2334" i="1"/>
  <c r="F2323" i="1"/>
  <c r="F2328" i="1"/>
  <c r="F2326" i="1"/>
  <c r="F2329" i="1"/>
  <c r="F2327" i="1"/>
  <c r="F2325" i="1"/>
  <c r="H2328" i="1"/>
  <c r="H2326" i="1"/>
  <c r="H2329" i="1"/>
  <c r="H2327" i="1"/>
  <c r="H2325" i="1"/>
  <c r="C2327" i="1"/>
  <c r="E2327" i="1"/>
  <c r="G2327" i="1"/>
  <c r="B2332" i="1"/>
  <c r="B2333" i="1"/>
  <c r="D2332" i="1"/>
  <c r="D2333" i="1"/>
  <c r="D2334" i="1"/>
  <c r="D2323" i="1"/>
  <c r="H2332" i="1"/>
  <c r="H2333" i="1"/>
  <c r="C2332" i="1"/>
  <c r="C2333" i="1"/>
  <c r="C2334" i="1"/>
  <c r="C2324" i="1"/>
  <c r="E2332" i="1"/>
  <c r="E2333" i="1"/>
  <c r="E2334" i="1"/>
  <c r="E2324" i="1"/>
  <c r="G2332" i="1"/>
  <c r="J2330" i="1"/>
  <c r="I2331" i="1"/>
  <c r="CG2391" i="1"/>
  <c r="CG2407" i="1"/>
  <c r="J2312" i="1"/>
  <c r="J2331" i="1"/>
  <c r="H786" i="6"/>
  <c r="G786" i="6"/>
  <c r="F786" i="6"/>
  <c r="E786" i="6"/>
  <c r="D786" i="6"/>
  <c r="C786" i="6"/>
  <c r="B786" i="6"/>
  <c r="I786" i="6"/>
  <c r="H1549" i="5"/>
  <c r="G1549" i="5"/>
  <c r="F1549" i="5"/>
  <c r="E1549" i="5"/>
  <c r="D1549" i="5"/>
  <c r="C1549" i="5"/>
  <c r="B1549" i="5"/>
  <c r="I1549" i="5"/>
  <c r="H2022" i="4"/>
  <c r="G2022" i="4"/>
  <c r="F2022" i="4"/>
  <c r="E2022" i="4"/>
  <c r="D2022" i="4"/>
  <c r="C2022" i="4"/>
  <c r="B2022" i="4"/>
  <c r="I2022" i="4"/>
  <c r="H2188" i="3"/>
  <c r="G2188" i="3"/>
  <c r="F2188" i="3"/>
  <c r="E2188" i="3"/>
  <c r="D2188" i="3"/>
  <c r="C2188" i="3"/>
  <c r="B2188" i="3"/>
  <c r="I2188" i="3"/>
  <c r="H2090" i="2"/>
  <c r="G2090" i="2"/>
  <c r="F2090" i="2"/>
  <c r="E2090" i="2"/>
  <c r="D2090" i="2"/>
  <c r="C2090" i="2"/>
  <c r="B2090" i="2"/>
  <c r="I2090" i="2"/>
  <c r="G2284" i="1"/>
  <c r="H2284" i="1"/>
  <c r="F2284" i="1"/>
  <c r="E2284" i="1"/>
  <c r="D2284" i="1"/>
  <c r="C2284" i="1"/>
  <c r="B2284" i="1"/>
  <c r="AD893" i="6"/>
  <c r="AD896" i="6"/>
  <c r="H806" i="6"/>
  <c r="H805" i="6"/>
  <c r="G806" i="6"/>
  <c r="G805" i="6"/>
  <c r="G801" i="6"/>
  <c r="F806" i="6"/>
  <c r="F805" i="6"/>
  <c r="E806" i="6"/>
  <c r="E805" i="6"/>
  <c r="D806" i="6"/>
  <c r="D805" i="6"/>
  <c r="C806" i="6"/>
  <c r="C805" i="6"/>
  <c r="C801" i="6"/>
  <c r="B806" i="6"/>
  <c r="B805" i="6"/>
  <c r="H792" i="6"/>
  <c r="G792" i="6"/>
  <c r="F792" i="6"/>
  <c r="E792" i="6"/>
  <c r="D792" i="6"/>
  <c r="C792" i="6"/>
  <c r="B792" i="6"/>
  <c r="I791" i="6"/>
  <c r="I790" i="6"/>
  <c r="I789" i="6"/>
  <c r="I788" i="6"/>
  <c r="I787" i="6"/>
  <c r="AE868" i="6"/>
  <c r="BF1657" i="5"/>
  <c r="BF1660" i="5"/>
  <c r="H1569" i="5"/>
  <c r="H1568" i="5"/>
  <c r="H1565" i="5"/>
  <c r="G1569" i="5"/>
  <c r="G1568" i="5"/>
  <c r="F1569" i="5"/>
  <c r="F1568" i="5"/>
  <c r="E1569" i="5"/>
  <c r="E1568" i="5"/>
  <c r="D1569" i="5"/>
  <c r="D1568" i="5"/>
  <c r="D1564" i="5"/>
  <c r="C1569" i="5"/>
  <c r="C1568" i="5"/>
  <c r="B1569" i="5"/>
  <c r="B1568" i="5"/>
  <c r="H1555" i="5"/>
  <c r="G1555" i="5"/>
  <c r="F1555" i="5"/>
  <c r="E1555" i="5"/>
  <c r="D1555" i="5"/>
  <c r="C1555" i="5"/>
  <c r="B1555" i="5"/>
  <c r="I1554" i="5"/>
  <c r="I1553" i="5"/>
  <c r="I1552" i="5"/>
  <c r="I1551" i="5"/>
  <c r="I1550" i="5"/>
  <c r="BG1631" i="5"/>
  <c r="BW2130" i="4"/>
  <c r="BW2133" i="4"/>
  <c r="H2042" i="4"/>
  <c r="H2041" i="4"/>
  <c r="G2042" i="4"/>
  <c r="G2041" i="4"/>
  <c r="F2042" i="4"/>
  <c r="F2041" i="4"/>
  <c r="E2042" i="4"/>
  <c r="E2041" i="4"/>
  <c r="E2037" i="4"/>
  <c r="D2042" i="4"/>
  <c r="D2041" i="4"/>
  <c r="C2042" i="4"/>
  <c r="C2041" i="4"/>
  <c r="B2042" i="4"/>
  <c r="B2041" i="4"/>
  <c r="H2028" i="4"/>
  <c r="G2028" i="4"/>
  <c r="F2028" i="4"/>
  <c r="E2028" i="4"/>
  <c r="D2028" i="4"/>
  <c r="C2028" i="4"/>
  <c r="B2028" i="4"/>
  <c r="I2027" i="4"/>
  <c r="I2026" i="4"/>
  <c r="I2025" i="4"/>
  <c r="I2024" i="4"/>
  <c r="I2023" i="4"/>
  <c r="BX2104" i="4"/>
  <c r="CB2295" i="3"/>
  <c r="CB2298" i="3"/>
  <c r="H2208" i="3"/>
  <c r="H2207" i="3"/>
  <c r="H2203" i="3"/>
  <c r="G2208" i="3"/>
  <c r="G2207" i="3"/>
  <c r="F2208" i="3"/>
  <c r="F2207" i="3"/>
  <c r="E2208" i="3"/>
  <c r="E2207" i="3"/>
  <c r="D2208" i="3"/>
  <c r="D2207" i="3"/>
  <c r="C2208" i="3"/>
  <c r="C2207" i="3"/>
  <c r="B2208" i="3"/>
  <c r="B2207" i="3"/>
  <c r="B2202" i="3"/>
  <c r="H2194" i="3"/>
  <c r="G2194" i="3"/>
  <c r="F2194" i="3"/>
  <c r="E2194" i="3"/>
  <c r="D2194" i="3"/>
  <c r="C2194" i="3"/>
  <c r="B2194" i="3"/>
  <c r="I2193" i="3"/>
  <c r="I2192" i="3"/>
  <c r="J2192" i="3"/>
  <c r="I2191" i="3"/>
  <c r="I2190" i="3"/>
  <c r="J2190" i="3"/>
  <c r="I2189" i="3"/>
  <c r="CC2270" i="3"/>
  <c r="BW2200" i="2"/>
  <c r="BW2203" i="2"/>
  <c r="H2110" i="2"/>
  <c r="H2109" i="2"/>
  <c r="G2110" i="2"/>
  <c r="G2109" i="2"/>
  <c r="G2105" i="2"/>
  <c r="B2110" i="2"/>
  <c r="B2109" i="2"/>
  <c r="B2105" i="2"/>
  <c r="C2110" i="2"/>
  <c r="C2109" i="2"/>
  <c r="C2105" i="2"/>
  <c r="D2110" i="2"/>
  <c r="D2109" i="2"/>
  <c r="D2105" i="2"/>
  <c r="E2110" i="2"/>
  <c r="E2109" i="2"/>
  <c r="E2105" i="2"/>
  <c r="F2110" i="2"/>
  <c r="F2109" i="2"/>
  <c r="F2105" i="2"/>
  <c r="H2105" i="2"/>
  <c r="I2105" i="2"/>
  <c r="E2107" i="2"/>
  <c r="H2096" i="2"/>
  <c r="G2096" i="2"/>
  <c r="F2096" i="2"/>
  <c r="E2096" i="2"/>
  <c r="D2096" i="2"/>
  <c r="C2096" i="2"/>
  <c r="B2096" i="2"/>
  <c r="I2095" i="2"/>
  <c r="I2094" i="2"/>
  <c r="BX2177" i="2"/>
  <c r="I2093" i="2"/>
  <c r="I2092" i="2"/>
  <c r="BX2175" i="2"/>
  <c r="I2091" i="2"/>
  <c r="BX2174" i="2"/>
  <c r="CE2398" i="1"/>
  <c r="CE2401" i="1"/>
  <c r="H2304" i="1"/>
  <c r="H2303" i="1"/>
  <c r="G2304" i="1"/>
  <c r="G2303" i="1"/>
  <c r="F2304" i="1"/>
  <c r="F2303" i="1"/>
  <c r="E2304" i="1"/>
  <c r="E2303" i="1"/>
  <c r="E2301" i="1"/>
  <c r="D2304" i="1"/>
  <c r="D2303" i="1"/>
  <c r="C2304" i="1"/>
  <c r="C2303" i="1"/>
  <c r="B2304" i="1"/>
  <c r="B2303" i="1"/>
  <c r="H2290" i="1"/>
  <c r="G2290" i="1"/>
  <c r="F2290" i="1"/>
  <c r="E2290" i="1"/>
  <c r="D2290" i="1"/>
  <c r="C2290" i="1"/>
  <c r="B2290" i="1"/>
  <c r="I2289" i="1"/>
  <c r="I2288" i="1"/>
  <c r="CF2370" i="1"/>
  <c r="I2287" i="1"/>
  <c r="I2286" i="1"/>
  <c r="J2286" i="1"/>
  <c r="I2285" i="1"/>
  <c r="CF2367" i="1"/>
  <c r="J1620" i="5"/>
  <c r="J2256" i="3"/>
  <c r="J2317" i="1"/>
  <c r="CG2372" i="1"/>
  <c r="CG2400" i="1"/>
  <c r="J2221" i="3"/>
  <c r="CD2275" i="3"/>
  <c r="CD2297" i="3"/>
  <c r="J819" i="6"/>
  <c r="AF873" i="6"/>
  <c r="AF895" i="6"/>
  <c r="J2124" i="2"/>
  <c r="BY2179" i="2"/>
  <c r="BY2202" i="2"/>
  <c r="J1582" i="5"/>
  <c r="BH1636" i="5"/>
  <c r="BH1659" i="5"/>
  <c r="AG881" i="6"/>
  <c r="J854" i="6"/>
  <c r="AG885" i="6"/>
  <c r="J858" i="6"/>
  <c r="AG883" i="6"/>
  <c r="J856" i="6"/>
  <c r="I859" i="6"/>
  <c r="C1616" i="5"/>
  <c r="C1615" i="5"/>
  <c r="G1616" i="5"/>
  <c r="G1615" i="5"/>
  <c r="E1616" i="5"/>
  <c r="E1615" i="5"/>
  <c r="J1619" i="5"/>
  <c r="J1617" i="5"/>
  <c r="D1615" i="5"/>
  <c r="D1616" i="5"/>
  <c r="H1615" i="5"/>
  <c r="H1616" i="5"/>
  <c r="B1615" i="5"/>
  <c r="B1616" i="5"/>
  <c r="F1615" i="5"/>
  <c r="F1616" i="5"/>
  <c r="E2089" i="4"/>
  <c r="E2088" i="4"/>
  <c r="C2089" i="4"/>
  <c r="C2088" i="4"/>
  <c r="G2089" i="4"/>
  <c r="G2088" i="4"/>
  <c r="J2092" i="4"/>
  <c r="B2088" i="4"/>
  <c r="B2089" i="4"/>
  <c r="F2088" i="4"/>
  <c r="F2089" i="4"/>
  <c r="CE2285" i="3"/>
  <c r="J2258" i="3"/>
  <c r="BZ2191" i="2"/>
  <c r="J2164" i="2"/>
  <c r="BZ2189" i="2"/>
  <c r="J2162" i="2"/>
  <c r="H2350" i="1"/>
  <c r="H2351" i="1"/>
  <c r="B2350" i="1"/>
  <c r="B2351" i="1"/>
  <c r="CH2390" i="1"/>
  <c r="J2357" i="1"/>
  <c r="I2354" i="1"/>
  <c r="I2359" i="1"/>
  <c r="CF2368" i="1"/>
  <c r="J2287" i="1"/>
  <c r="CF2369" i="1"/>
  <c r="J2289" i="1"/>
  <c r="CF2371" i="1"/>
  <c r="J2092" i="2"/>
  <c r="J2094" i="2"/>
  <c r="CC2271" i="3"/>
  <c r="CC2273" i="3"/>
  <c r="J2025" i="4"/>
  <c r="BX2106" i="4"/>
  <c r="J2027" i="4"/>
  <c r="BX2108" i="4"/>
  <c r="J1551" i="5"/>
  <c r="BG1632" i="5"/>
  <c r="J1553" i="5"/>
  <c r="BG1634" i="5"/>
  <c r="J789" i="6"/>
  <c r="AE870" i="6"/>
  <c r="J791" i="6"/>
  <c r="AE872" i="6"/>
  <c r="J2288" i="1"/>
  <c r="J2093" i="2"/>
  <c r="BX2176" i="2"/>
  <c r="J2095" i="2"/>
  <c r="BX2178" i="2"/>
  <c r="J2191" i="3"/>
  <c r="CC2272" i="3"/>
  <c r="J2193" i="3"/>
  <c r="CC2274" i="3"/>
  <c r="J2024" i="4"/>
  <c r="BX2105" i="4"/>
  <c r="J2026" i="4"/>
  <c r="BX2107" i="4"/>
  <c r="J1552" i="5"/>
  <c r="BG1633" i="5"/>
  <c r="J1554" i="5"/>
  <c r="BG1635" i="5"/>
  <c r="J788" i="6"/>
  <c r="AE869" i="6"/>
  <c r="J790" i="6"/>
  <c r="AE871" i="6"/>
  <c r="G835" i="6"/>
  <c r="G836" i="6"/>
  <c r="E835" i="6"/>
  <c r="E836" i="6"/>
  <c r="C835" i="6"/>
  <c r="C836" i="6"/>
  <c r="H1588" i="5"/>
  <c r="H1589" i="5"/>
  <c r="D1588" i="5"/>
  <c r="D1589" i="5"/>
  <c r="F1588" i="5"/>
  <c r="F1589" i="5"/>
  <c r="B1588" i="5"/>
  <c r="B1589" i="5"/>
  <c r="J2055" i="4"/>
  <c r="I2063" i="4"/>
  <c r="BY2117" i="4"/>
  <c r="BY2134" i="4"/>
  <c r="E2062" i="4"/>
  <c r="E2061" i="4"/>
  <c r="C2062" i="4"/>
  <c r="C2061" i="4"/>
  <c r="I2133" i="2"/>
  <c r="BY2188" i="2"/>
  <c r="BY2205" i="2"/>
  <c r="I2132" i="2"/>
  <c r="BY2187" i="2"/>
  <c r="BY2204" i="2"/>
  <c r="I2136" i="2"/>
  <c r="BY2191" i="2"/>
  <c r="BY2208" i="2"/>
  <c r="E2131" i="2"/>
  <c r="E2130" i="2"/>
  <c r="G2131" i="2"/>
  <c r="G2130" i="2"/>
  <c r="C2131" i="2"/>
  <c r="C2130" i="2"/>
  <c r="H2130" i="2"/>
  <c r="F2130" i="2"/>
  <c r="D2130" i="2"/>
  <c r="H2334" i="1"/>
  <c r="H2323" i="1"/>
  <c r="I2327" i="1"/>
  <c r="B2334" i="1"/>
  <c r="B2323" i="1"/>
  <c r="I2332" i="1"/>
  <c r="CG2392" i="1"/>
  <c r="E2323" i="1"/>
  <c r="C2323" i="1"/>
  <c r="H2324" i="1"/>
  <c r="D2324" i="1"/>
  <c r="B2324" i="1"/>
  <c r="G800" i="6"/>
  <c r="E803" i="6"/>
  <c r="E800" i="6"/>
  <c r="C800" i="6"/>
  <c r="I792" i="6"/>
  <c r="G1566" i="5"/>
  <c r="G1564" i="5"/>
  <c r="E1566" i="5"/>
  <c r="C1566" i="5"/>
  <c r="C1564" i="5"/>
  <c r="I1555" i="5"/>
  <c r="G2039" i="4"/>
  <c r="G2043" i="4"/>
  <c r="G2044" i="4"/>
  <c r="E2043" i="4"/>
  <c r="E2044" i="4"/>
  <c r="C2039" i="4"/>
  <c r="C2043" i="4"/>
  <c r="C2044" i="4"/>
  <c r="I2028" i="4"/>
  <c r="G2204" i="3"/>
  <c r="G2205" i="3"/>
  <c r="E2206" i="3"/>
  <c r="E2204" i="3"/>
  <c r="E2202" i="3"/>
  <c r="C2204" i="3"/>
  <c r="C2205" i="3"/>
  <c r="I2194" i="3"/>
  <c r="E2111" i="2"/>
  <c r="E2112" i="2"/>
  <c r="E2113" i="2"/>
  <c r="I2096" i="2"/>
  <c r="G2299" i="1"/>
  <c r="E2302" i="1"/>
  <c r="E2299" i="1"/>
  <c r="C2299" i="1"/>
  <c r="I2290" i="1"/>
  <c r="B803" i="6"/>
  <c r="B804" i="6"/>
  <c r="B800" i="6"/>
  <c r="D803" i="6"/>
  <c r="D804" i="6"/>
  <c r="D800" i="6"/>
  <c r="F803" i="6"/>
  <c r="F804" i="6"/>
  <c r="F800" i="6"/>
  <c r="H803" i="6"/>
  <c r="H804" i="6"/>
  <c r="H800" i="6"/>
  <c r="E802" i="6"/>
  <c r="C804" i="6"/>
  <c r="I806" i="6"/>
  <c r="AE887" i="6"/>
  <c r="AE902" i="6"/>
  <c r="J787" i="6"/>
  <c r="J806" i="6"/>
  <c r="B1570" i="5"/>
  <c r="B1571" i="5"/>
  <c r="B1564" i="5"/>
  <c r="B1565" i="5"/>
  <c r="D1570" i="5"/>
  <c r="D1571" i="5"/>
  <c r="D1565" i="5"/>
  <c r="F1570" i="5"/>
  <c r="F1571" i="5"/>
  <c r="F1572" i="5"/>
  <c r="F1565" i="5"/>
  <c r="H1570" i="5"/>
  <c r="H1564" i="5"/>
  <c r="C1563" i="5"/>
  <c r="G1563" i="5"/>
  <c r="E1565" i="5"/>
  <c r="C1567" i="5"/>
  <c r="G1567" i="5"/>
  <c r="H1571" i="5"/>
  <c r="I1569" i="5"/>
  <c r="BG1650" i="5"/>
  <c r="BG1666" i="5"/>
  <c r="J1550" i="5"/>
  <c r="J1569" i="5"/>
  <c r="B2039" i="4"/>
  <c r="B2040" i="4"/>
  <c r="B2036" i="4"/>
  <c r="D2039" i="4"/>
  <c r="D2040" i="4"/>
  <c r="D2036" i="4"/>
  <c r="F2039" i="4"/>
  <c r="F2040" i="4"/>
  <c r="F2036" i="4"/>
  <c r="H2039" i="4"/>
  <c r="H2040" i="4"/>
  <c r="H2036" i="4"/>
  <c r="E2038" i="4"/>
  <c r="C2040" i="4"/>
  <c r="G2040" i="4"/>
  <c r="E2045" i="4"/>
  <c r="G2045" i="4"/>
  <c r="I2042" i="4"/>
  <c r="BX2123" i="4"/>
  <c r="BX2139" i="4"/>
  <c r="J2023" i="4"/>
  <c r="J2042" i="4"/>
  <c r="F2209" i="3"/>
  <c r="F2210" i="3"/>
  <c r="F2203" i="3"/>
  <c r="F2204" i="3"/>
  <c r="C2209" i="3"/>
  <c r="C2210" i="3"/>
  <c r="G2209" i="3"/>
  <c r="G2210" i="3"/>
  <c r="C2211" i="3"/>
  <c r="G2211" i="3"/>
  <c r="I2208" i="3"/>
  <c r="CC2289" i="3"/>
  <c r="CC2304" i="3"/>
  <c r="H2202" i="3"/>
  <c r="B2203" i="3"/>
  <c r="B2204" i="3"/>
  <c r="H2204" i="3"/>
  <c r="B2205" i="3"/>
  <c r="H2205" i="3"/>
  <c r="B2206" i="3"/>
  <c r="D2206" i="3"/>
  <c r="H2206" i="3"/>
  <c r="J2189" i="3"/>
  <c r="J2208" i="3"/>
  <c r="B2111" i="2"/>
  <c r="B2112" i="2"/>
  <c r="B2113" i="2"/>
  <c r="B2108" i="2"/>
  <c r="B2106" i="2"/>
  <c r="B2104" i="2"/>
  <c r="B2107" i="2"/>
  <c r="D2111" i="2"/>
  <c r="D2112" i="2"/>
  <c r="D2113" i="2"/>
  <c r="D2108" i="2"/>
  <c r="D2106" i="2"/>
  <c r="D2104" i="2"/>
  <c r="D2107" i="2"/>
  <c r="F2111" i="2"/>
  <c r="F2108" i="2"/>
  <c r="F2106" i="2"/>
  <c r="F2104" i="2"/>
  <c r="F2107" i="2"/>
  <c r="H2111" i="2"/>
  <c r="H2112" i="2"/>
  <c r="H2113" i="2"/>
  <c r="H2108" i="2"/>
  <c r="H2106" i="2"/>
  <c r="H2104" i="2"/>
  <c r="H2107" i="2"/>
  <c r="C2104" i="2"/>
  <c r="E2104" i="2"/>
  <c r="G2104" i="2"/>
  <c r="C2106" i="2"/>
  <c r="E2106" i="2"/>
  <c r="G2106" i="2"/>
  <c r="C2108" i="2"/>
  <c r="E2108" i="2"/>
  <c r="G2108" i="2"/>
  <c r="I2110" i="2"/>
  <c r="BX2193" i="2"/>
  <c r="BX2209" i="2"/>
  <c r="J2091" i="2"/>
  <c r="J2110" i="2"/>
  <c r="I2303" i="1"/>
  <c r="CF2390" i="1"/>
  <c r="B2301" i="1"/>
  <c r="B2299" i="1"/>
  <c r="B2302" i="1"/>
  <c r="B2300" i="1"/>
  <c r="B2298" i="1"/>
  <c r="D2301" i="1"/>
  <c r="D2299" i="1"/>
  <c r="F2299" i="1"/>
  <c r="H2299" i="1"/>
  <c r="I2299" i="1"/>
  <c r="CF2386" i="1"/>
  <c r="CF2403" i="1"/>
  <c r="D2302" i="1"/>
  <c r="D2300" i="1"/>
  <c r="D2298" i="1"/>
  <c r="F2305" i="1"/>
  <c r="F2306" i="1"/>
  <c r="F2307" i="1"/>
  <c r="F2301" i="1"/>
  <c r="F2302" i="1"/>
  <c r="F2300" i="1"/>
  <c r="F2298" i="1"/>
  <c r="H2301" i="1"/>
  <c r="H2302" i="1"/>
  <c r="H2300" i="1"/>
  <c r="H2298" i="1"/>
  <c r="C2298" i="1"/>
  <c r="E2298" i="1"/>
  <c r="G2298" i="1"/>
  <c r="C2300" i="1"/>
  <c r="E2300" i="1"/>
  <c r="G2300" i="1"/>
  <c r="B2305" i="1"/>
  <c r="D2305" i="1"/>
  <c r="D2306" i="1"/>
  <c r="D2307" i="1"/>
  <c r="H2305" i="1"/>
  <c r="I2284" i="1"/>
  <c r="CF2366" i="1"/>
  <c r="CF2399" i="1"/>
  <c r="C2305" i="1"/>
  <c r="C2306" i="1"/>
  <c r="C2307" i="1"/>
  <c r="E2305" i="1"/>
  <c r="E2306" i="1"/>
  <c r="E2307" i="1"/>
  <c r="G2305" i="1"/>
  <c r="B2306" i="1"/>
  <c r="B2307" i="1"/>
  <c r="H2306" i="1"/>
  <c r="H2307" i="1"/>
  <c r="J2303" i="1"/>
  <c r="G2306" i="1"/>
  <c r="G2307" i="1"/>
  <c r="I2304" i="1"/>
  <c r="CF2391" i="1"/>
  <c r="CF2407" i="1"/>
  <c r="I2298" i="1"/>
  <c r="CF2385" i="1"/>
  <c r="CF2402" i="1"/>
  <c r="I2300" i="1"/>
  <c r="I2293" i="1"/>
  <c r="CF2380" i="1"/>
  <c r="J2285" i="1"/>
  <c r="J2304" i="1"/>
  <c r="I2320" i="1"/>
  <c r="CG2380" i="1"/>
  <c r="CG2387" i="1"/>
  <c r="CG2404" i="1"/>
  <c r="AG886" i="6"/>
  <c r="I849" i="6"/>
  <c r="AG876" i="6"/>
  <c r="I848" i="6"/>
  <c r="AG875" i="6"/>
  <c r="J859" i="6"/>
  <c r="J849" i="6"/>
  <c r="I847" i="6"/>
  <c r="AG874" i="6"/>
  <c r="I851" i="6"/>
  <c r="AG878" i="6"/>
  <c r="I850" i="6"/>
  <c r="AG877" i="6"/>
  <c r="I861" i="6"/>
  <c r="CH2392" i="1"/>
  <c r="J2359" i="1"/>
  <c r="I2360" i="1"/>
  <c r="CH2387" i="1"/>
  <c r="I2347" i="1"/>
  <c r="CH2380" i="1"/>
  <c r="J2354" i="1"/>
  <c r="J2347" i="1"/>
  <c r="J2327" i="1"/>
  <c r="J2320" i="1"/>
  <c r="J2290" i="1"/>
  <c r="CF2372" i="1"/>
  <c r="CF2400" i="1"/>
  <c r="J2096" i="2"/>
  <c r="BX2179" i="2"/>
  <c r="BX2202" i="2"/>
  <c r="J2194" i="3"/>
  <c r="CC2275" i="3"/>
  <c r="CC2297" i="3"/>
  <c r="J2028" i="4"/>
  <c r="BX2109" i="4"/>
  <c r="BX2132" i="4"/>
  <c r="J1555" i="5"/>
  <c r="BG1636" i="5"/>
  <c r="BG1659" i="5"/>
  <c r="J792" i="6"/>
  <c r="AE873" i="6"/>
  <c r="AE895" i="6"/>
  <c r="C826" i="6"/>
  <c r="C825" i="6"/>
  <c r="G826" i="6"/>
  <c r="G825" i="6"/>
  <c r="E826" i="6"/>
  <c r="E825" i="6"/>
  <c r="J2063" i="4"/>
  <c r="J2229" i="3"/>
  <c r="J2136" i="2"/>
  <c r="J2133" i="2"/>
  <c r="J2132" i="2"/>
  <c r="J2134" i="2"/>
  <c r="J2332" i="1"/>
  <c r="I2333" i="1"/>
  <c r="I2334" i="1"/>
  <c r="J2333" i="1"/>
  <c r="I800" i="6"/>
  <c r="AE881" i="6"/>
  <c r="AE897" i="6"/>
  <c r="F1561" i="5"/>
  <c r="F1562" i="5"/>
  <c r="G2035" i="4"/>
  <c r="G2034" i="4"/>
  <c r="E2035" i="4"/>
  <c r="E2034" i="4"/>
  <c r="H2209" i="3"/>
  <c r="B2209" i="3"/>
  <c r="D2209" i="3"/>
  <c r="G2201" i="3"/>
  <c r="G2200" i="3"/>
  <c r="C2201" i="3"/>
  <c r="C2200" i="3"/>
  <c r="I2106" i="2"/>
  <c r="BX2189" i="2"/>
  <c r="BX2206" i="2"/>
  <c r="I2104" i="2"/>
  <c r="BX2187" i="2"/>
  <c r="BX2204" i="2"/>
  <c r="I2108" i="2"/>
  <c r="BX2191" i="2"/>
  <c r="BX2208" i="2"/>
  <c r="J2300" i="1"/>
  <c r="J2284" i="1"/>
  <c r="I2305" i="1"/>
  <c r="CF2392" i="1"/>
  <c r="G2297" i="1"/>
  <c r="G2296" i="1"/>
  <c r="J2293" i="1"/>
  <c r="AG888" i="6"/>
  <c r="I862" i="6"/>
  <c r="J861" i="6"/>
  <c r="J862" i="6"/>
  <c r="J847" i="6"/>
  <c r="J850" i="6"/>
  <c r="J848" i="6"/>
  <c r="J851" i="6"/>
  <c r="J2360" i="1"/>
  <c r="CH2393" i="1"/>
  <c r="I2361" i="1"/>
  <c r="CG2394" i="1"/>
  <c r="J2298" i="1"/>
  <c r="J2291" i="1"/>
  <c r="J2305" i="1"/>
  <c r="I2291" i="1"/>
  <c r="CF2378" i="1"/>
  <c r="J2108" i="2"/>
  <c r="J2299" i="1"/>
  <c r="J2292" i="1"/>
  <c r="I2292" i="1"/>
  <c r="CF2379" i="1"/>
  <c r="H23" i="11"/>
  <c r="G23" i="11"/>
  <c r="F23" i="11"/>
  <c r="E23" i="11"/>
  <c r="D23" i="11"/>
  <c r="C23" i="11"/>
  <c r="B23" i="11"/>
  <c r="H759" i="6"/>
  <c r="G759" i="6"/>
  <c r="F759" i="6"/>
  <c r="E759" i="6"/>
  <c r="D759" i="6"/>
  <c r="C759" i="6"/>
  <c r="B759" i="6"/>
  <c r="I759" i="6"/>
  <c r="H1522" i="5"/>
  <c r="G1522" i="5"/>
  <c r="F1522" i="5"/>
  <c r="E1522" i="5"/>
  <c r="D1522" i="5"/>
  <c r="C1522" i="5"/>
  <c r="B1522" i="5"/>
  <c r="H1995" i="4"/>
  <c r="G1995" i="4"/>
  <c r="F1995" i="4"/>
  <c r="E1995" i="4"/>
  <c r="D1995" i="4"/>
  <c r="C1995" i="4"/>
  <c r="B1995" i="4"/>
  <c r="I1995" i="4"/>
  <c r="B2161" i="3"/>
  <c r="D2161" i="3"/>
  <c r="H2161" i="3"/>
  <c r="G2161" i="3"/>
  <c r="F2161" i="3"/>
  <c r="E2161" i="3"/>
  <c r="C2161" i="3"/>
  <c r="H2062" i="2"/>
  <c r="G2062" i="2"/>
  <c r="F2062" i="2"/>
  <c r="E2062" i="2"/>
  <c r="D2062" i="2"/>
  <c r="C2062" i="2"/>
  <c r="B2062" i="2"/>
  <c r="H2257" i="1"/>
  <c r="G2257" i="1"/>
  <c r="F2257" i="1"/>
  <c r="E2257" i="1"/>
  <c r="D2257" i="1"/>
  <c r="C2257" i="1"/>
  <c r="B2257" i="1"/>
  <c r="AC893" i="6"/>
  <c r="AC896" i="6"/>
  <c r="H779" i="6"/>
  <c r="H778" i="6"/>
  <c r="G779" i="6"/>
  <c r="G778" i="6"/>
  <c r="F779" i="6"/>
  <c r="F778" i="6"/>
  <c r="E779" i="6"/>
  <c r="E778" i="6"/>
  <c r="D779" i="6"/>
  <c r="D778" i="6"/>
  <c r="C779" i="6"/>
  <c r="C778" i="6"/>
  <c r="B779" i="6"/>
  <c r="B778" i="6"/>
  <c r="H765" i="6"/>
  <c r="G765" i="6"/>
  <c r="F765" i="6"/>
  <c r="E765" i="6"/>
  <c r="D765" i="6"/>
  <c r="C765" i="6"/>
  <c r="B765" i="6"/>
  <c r="I764" i="6"/>
  <c r="AD872" i="6"/>
  <c r="I763" i="6"/>
  <c r="I762" i="6"/>
  <c r="AD870" i="6"/>
  <c r="I761" i="6"/>
  <c r="I760" i="6"/>
  <c r="AD868" i="6"/>
  <c r="BE1657" i="5"/>
  <c r="BE1660" i="5"/>
  <c r="H1542" i="5"/>
  <c r="H1541" i="5"/>
  <c r="G1542" i="5"/>
  <c r="G1541" i="5"/>
  <c r="F1542" i="5"/>
  <c r="F1541" i="5"/>
  <c r="E1542" i="5"/>
  <c r="E1541" i="5"/>
  <c r="D1542" i="5"/>
  <c r="D1541" i="5"/>
  <c r="C1542" i="5"/>
  <c r="C1541" i="5"/>
  <c r="B1542" i="5"/>
  <c r="B1541" i="5"/>
  <c r="H1528" i="5"/>
  <c r="G1528" i="5"/>
  <c r="F1528" i="5"/>
  <c r="E1528" i="5"/>
  <c r="D1528" i="5"/>
  <c r="C1528" i="5"/>
  <c r="B1528" i="5"/>
  <c r="I1527" i="5"/>
  <c r="I1526" i="5"/>
  <c r="I1525" i="5"/>
  <c r="I1524" i="5"/>
  <c r="I1523" i="5"/>
  <c r="BF1631" i="5"/>
  <c r="BV2130" i="4"/>
  <c r="BV2133" i="4"/>
  <c r="H2015" i="4"/>
  <c r="H2014" i="4"/>
  <c r="G2015" i="4"/>
  <c r="G2014" i="4"/>
  <c r="F2015" i="4"/>
  <c r="F2014" i="4"/>
  <c r="E2015" i="4"/>
  <c r="E2014" i="4"/>
  <c r="D2015" i="4"/>
  <c r="D2014" i="4"/>
  <c r="C2015" i="4"/>
  <c r="C2014" i="4"/>
  <c r="B2015" i="4"/>
  <c r="B2014" i="4"/>
  <c r="H2001" i="4"/>
  <c r="G2001" i="4"/>
  <c r="F2001" i="4"/>
  <c r="E2001" i="4"/>
  <c r="D2001" i="4"/>
  <c r="C2001" i="4"/>
  <c r="B2001" i="4"/>
  <c r="I2000" i="4"/>
  <c r="I1999" i="4"/>
  <c r="BW2107" i="4"/>
  <c r="I1998" i="4"/>
  <c r="I1997" i="4"/>
  <c r="BW2105" i="4"/>
  <c r="I1996" i="4"/>
  <c r="BW2104" i="4"/>
  <c r="CA2295" i="3"/>
  <c r="CA2298" i="3"/>
  <c r="H2181" i="3"/>
  <c r="H2180" i="3"/>
  <c r="G2181" i="3"/>
  <c r="G2180" i="3"/>
  <c r="F2181" i="3"/>
  <c r="F2180" i="3"/>
  <c r="E2181" i="3"/>
  <c r="E2180" i="3"/>
  <c r="D2181" i="3"/>
  <c r="D2180" i="3"/>
  <c r="C2181" i="3"/>
  <c r="C2180" i="3"/>
  <c r="B2181" i="3"/>
  <c r="B2180" i="3"/>
  <c r="H2167" i="3"/>
  <c r="G2167" i="3"/>
  <c r="F2167" i="3"/>
  <c r="E2167" i="3"/>
  <c r="D2167" i="3"/>
  <c r="C2167" i="3"/>
  <c r="B2167" i="3"/>
  <c r="I2166" i="3"/>
  <c r="J2166" i="3"/>
  <c r="I2165" i="3"/>
  <c r="I2164" i="3"/>
  <c r="J2164" i="3"/>
  <c r="I2163" i="3"/>
  <c r="I2162" i="3"/>
  <c r="CB2270" i="3"/>
  <c r="BV2200" i="2"/>
  <c r="BV2203" i="2"/>
  <c r="H2082" i="2"/>
  <c r="H2081" i="2"/>
  <c r="G2082" i="2"/>
  <c r="G2081" i="2"/>
  <c r="F2082" i="2"/>
  <c r="E2082" i="2"/>
  <c r="E2081" i="2"/>
  <c r="D2082" i="2"/>
  <c r="D2081" i="2"/>
  <c r="C2082" i="2"/>
  <c r="C2081" i="2"/>
  <c r="B2082" i="2"/>
  <c r="B2081" i="2"/>
  <c r="B2080" i="2"/>
  <c r="H2068" i="2"/>
  <c r="G2068" i="2"/>
  <c r="F2068" i="2"/>
  <c r="E2068" i="2"/>
  <c r="D2068" i="2"/>
  <c r="C2068" i="2"/>
  <c r="B2068" i="2"/>
  <c r="I2067" i="2"/>
  <c r="BW2178" i="2"/>
  <c r="I2066" i="2"/>
  <c r="I2065" i="2"/>
  <c r="BW2176" i="2"/>
  <c r="I2064" i="2"/>
  <c r="I2063" i="2"/>
  <c r="BW2174" i="2"/>
  <c r="I2062" i="2"/>
  <c r="J2062" i="2"/>
  <c r="CD2398" i="1"/>
  <c r="CD2401" i="1"/>
  <c r="H2277" i="1"/>
  <c r="H2276" i="1"/>
  <c r="H2275" i="1"/>
  <c r="G2277" i="1"/>
  <c r="G2276" i="1"/>
  <c r="F2277" i="1"/>
  <c r="F2276" i="1"/>
  <c r="F2272" i="1"/>
  <c r="E2277" i="1"/>
  <c r="E2276" i="1"/>
  <c r="D2277" i="1"/>
  <c r="D2276" i="1"/>
  <c r="D2272" i="1"/>
  <c r="C2277" i="1"/>
  <c r="C2276" i="1"/>
  <c r="B2277" i="1"/>
  <c r="B2276" i="1"/>
  <c r="B2274" i="1"/>
  <c r="C2274" i="1"/>
  <c r="D2274" i="1"/>
  <c r="E2274" i="1"/>
  <c r="F2274" i="1"/>
  <c r="G2274" i="1"/>
  <c r="H2274" i="1"/>
  <c r="I2274" i="1"/>
  <c r="CE2388" i="1"/>
  <c r="CE2405" i="1"/>
  <c r="H2263" i="1"/>
  <c r="G2263" i="1"/>
  <c r="F2263" i="1"/>
  <c r="E2263" i="1"/>
  <c r="D2263" i="1"/>
  <c r="C2263" i="1"/>
  <c r="B2263" i="1"/>
  <c r="I2262" i="1"/>
  <c r="CE2371" i="1"/>
  <c r="I2261" i="1"/>
  <c r="I2260" i="1"/>
  <c r="CE2369" i="1"/>
  <c r="I2259" i="1"/>
  <c r="I2258" i="1"/>
  <c r="CE2367" i="1"/>
  <c r="I2257" i="1"/>
  <c r="J2257" i="1"/>
  <c r="E732" i="6"/>
  <c r="H732" i="6"/>
  <c r="G732" i="6"/>
  <c r="F732" i="6"/>
  <c r="D732" i="6"/>
  <c r="C732" i="6"/>
  <c r="B732" i="6"/>
  <c r="H1495" i="5"/>
  <c r="G1495" i="5"/>
  <c r="F1495" i="5"/>
  <c r="E1495" i="5"/>
  <c r="D1495" i="5"/>
  <c r="C1495" i="5"/>
  <c r="B1495" i="5"/>
  <c r="H1968" i="4"/>
  <c r="G1968" i="4"/>
  <c r="F1968" i="4"/>
  <c r="E1968" i="4"/>
  <c r="D1968" i="4"/>
  <c r="C1968" i="4"/>
  <c r="B1968" i="4"/>
  <c r="H2134" i="3"/>
  <c r="G2134" i="3"/>
  <c r="F2134" i="3"/>
  <c r="E2134" i="3"/>
  <c r="D2134" i="3"/>
  <c r="H2034" i="2"/>
  <c r="G2034" i="2"/>
  <c r="F2034" i="2"/>
  <c r="E2034" i="2"/>
  <c r="H2230" i="1"/>
  <c r="G2230" i="1"/>
  <c r="F2230" i="1"/>
  <c r="E2230" i="1"/>
  <c r="I863" i="6"/>
  <c r="AG889" i="6"/>
  <c r="CH2394" i="1"/>
  <c r="I2351" i="1"/>
  <c r="CH2384" i="1"/>
  <c r="I2350" i="1"/>
  <c r="CH2383" i="1"/>
  <c r="J2361" i="1"/>
  <c r="I2323" i="1"/>
  <c r="CG2383" i="1"/>
  <c r="I2324" i="1"/>
  <c r="CG2384" i="1"/>
  <c r="J2334" i="1"/>
  <c r="BW2173" i="2"/>
  <c r="BW2201" i="2"/>
  <c r="J2064" i="2"/>
  <c r="BW2175" i="2"/>
  <c r="J2066" i="2"/>
  <c r="BW2177" i="2"/>
  <c r="J761" i="6"/>
  <c r="AD869" i="6"/>
  <c r="J763" i="6"/>
  <c r="AD871" i="6"/>
  <c r="J2065" i="2"/>
  <c r="J2067" i="2"/>
  <c r="J762" i="6"/>
  <c r="J764" i="6"/>
  <c r="J1525" i="5"/>
  <c r="BF1633" i="5"/>
  <c r="J1527" i="5"/>
  <c r="BF1635" i="5"/>
  <c r="J1524" i="5"/>
  <c r="BF1632" i="5"/>
  <c r="J1526" i="5"/>
  <c r="BF1634" i="5"/>
  <c r="J1998" i="4"/>
  <c r="BW2106" i="4"/>
  <c r="J2000" i="4"/>
  <c r="BW2108" i="4"/>
  <c r="J1995" i="4"/>
  <c r="BW2103" i="4"/>
  <c r="BW2131" i="4"/>
  <c r="J1997" i="4"/>
  <c r="J1999" i="4"/>
  <c r="CB2272" i="3"/>
  <c r="CB2274" i="3"/>
  <c r="J2163" i="3"/>
  <c r="CB2271" i="3"/>
  <c r="J2165" i="3"/>
  <c r="CB2273" i="3"/>
  <c r="CE2366" i="1"/>
  <c r="CE2399" i="1"/>
  <c r="J2323" i="1"/>
  <c r="J2324" i="1"/>
  <c r="J2259" i="1"/>
  <c r="CE2368" i="1"/>
  <c r="J2261" i="1"/>
  <c r="CE2370" i="1"/>
  <c r="J2260" i="1"/>
  <c r="J2262" i="1"/>
  <c r="I765" i="6"/>
  <c r="I1528" i="5"/>
  <c r="I2161" i="3"/>
  <c r="F2081" i="2"/>
  <c r="F2076" i="2"/>
  <c r="I2068" i="2"/>
  <c r="B2077" i="2"/>
  <c r="I2263" i="1"/>
  <c r="B2272" i="1"/>
  <c r="F2275" i="1"/>
  <c r="B2179" i="3"/>
  <c r="C2179" i="3"/>
  <c r="D2179" i="3"/>
  <c r="E2179" i="3"/>
  <c r="F2179" i="3"/>
  <c r="G2179" i="3"/>
  <c r="H2179" i="3"/>
  <c r="I2179" i="3"/>
  <c r="CB2287" i="3"/>
  <c r="CB2303" i="3"/>
  <c r="B2176" i="3"/>
  <c r="B2178" i="3"/>
  <c r="C2178" i="3"/>
  <c r="D2178" i="3"/>
  <c r="E2178" i="3"/>
  <c r="F2178" i="3"/>
  <c r="G2178" i="3"/>
  <c r="H2178" i="3"/>
  <c r="I2178" i="3"/>
  <c r="CB2286" i="3"/>
  <c r="CB2302" i="3"/>
  <c r="C2016" i="4"/>
  <c r="C2010" i="4"/>
  <c r="B2010" i="4"/>
  <c r="D2010" i="4"/>
  <c r="E2010" i="4"/>
  <c r="F2010" i="4"/>
  <c r="G2010" i="4"/>
  <c r="H2010" i="4"/>
  <c r="I2010" i="4"/>
  <c r="C2012" i="4"/>
  <c r="C2009" i="4"/>
  <c r="E2012" i="4"/>
  <c r="E2009" i="4"/>
  <c r="E2016" i="4"/>
  <c r="G2016" i="4"/>
  <c r="G2012" i="4"/>
  <c r="G2009" i="4"/>
  <c r="C1539" i="5"/>
  <c r="C1536" i="5"/>
  <c r="C1543" i="5"/>
  <c r="C1537" i="5"/>
  <c r="E1543" i="5"/>
  <c r="E1544" i="5"/>
  <c r="E1545" i="5"/>
  <c r="E1535" i="5"/>
  <c r="E1537" i="5"/>
  <c r="E1539" i="5"/>
  <c r="E1536" i="5"/>
  <c r="G1539" i="5"/>
  <c r="G1536" i="5"/>
  <c r="G1543" i="5"/>
  <c r="G1537" i="5"/>
  <c r="B777" i="6"/>
  <c r="B776" i="6"/>
  <c r="B774" i="6"/>
  <c r="F777" i="6"/>
  <c r="F776" i="6"/>
  <c r="F774" i="6"/>
  <c r="F2079" i="2"/>
  <c r="D777" i="6"/>
  <c r="D776" i="6"/>
  <c r="D774" i="6"/>
  <c r="H777" i="6"/>
  <c r="H776" i="6"/>
  <c r="H774" i="6"/>
  <c r="C780" i="6"/>
  <c r="C776" i="6"/>
  <c r="C774" i="6"/>
  <c r="C777" i="6"/>
  <c r="C775" i="6"/>
  <c r="C773" i="6"/>
  <c r="E780" i="6"/>
  <c r="E776" i="6"/>
  <c r="E774" i="6"/>
  <c r="E777" i="6"/>
  <c r="E775" i="6"/>
  <c r="E773" i="6"/>
  <c r="G780" i="6"/>
  <c r="G776" i="6"/>
  <c r="G774" i="6"/>
  <c r="G777" i="6"/>
  <c r="G775" i="6"/>
  <c r="G773" i="6"/>
  <c r="I779" i="6"/>
  <c r="AD887" i="6"/>
  <c r="AD902" i="6"/>
  <c r="B780" i="6"/>
  <c r="D780" i="6"/>
  <c r="F780" i="6"/>
  <c r="H780" i="6"/>
  <c r="J760" i="6"/>
  <c r="J779" i="6"/>
  <c r="B773" i="6"/>
  <c r="D773" i="6"/>
  <c r="F773" i="6"/>
  <c r="H773" i="6"/>
  <c r="B775" i="6"/>
  <c r="D775" i="6"/>
  <c r="F775" i="6"/>
  <c r="H775" i="6"/>
  <c r="B1543" i="5"/>
  <c r="B1544" i="5"/>
  <c r="B1545" i="5"/>
  <c r="B1534" i="5"/>
  <c r="B1539" i="5"/>
  <c r="B1537" i="5"/>
  <c r="D1537" i="5"/>
  <c r="F1537" i="5"/>
  <c r="H1537" i="5"/>
  <c r="I1537" i="5"/>
  <c r="BF1645" i="5"/>
  <c r="BF1662" i="5"/>
  <c r="B1540" i="5"/>
  <c r="B1538" i="5"/>
  <c r="B1536" i="5"/>
  <c r="D1543" i="5"/>
  <c r="D1544" i="5"/>
  <c r="D1545" i="5"/>
  <c r="D1534" i="5"/>
  <c r="D1539" i="5"/>
  <c r="D1540" i="5"/>
  <c r="D1538" i="5"/>
  <c r="D1536" i="5"/>
  <c r="F1543" i="5"/>
  <c r="F1544" i="5"/>
  <c r="F1545" i="5"/>
  <c r="F1534" i="5"/>
  <c r="F1539" i="5"/>
  <c r="F1540" i="5"/>
  <c r="F1538" i="5"/>
  <c r="F1536" i="5"/>
  <c r="H1543" i="5"/>
  <c r="H1544" i="5"/>
  <c r="H1545" i="5"/>
  <c r="H1534" i="5"/>
  <c r="H1539" i="5"/>
  <c r="H1540" i="5"/>
  <c r="H1538" i="5"/>
  <c r="H1536" i="5"/>
  <c r="C1538" i="5"/>
  <c r="E1538" i="5"/>
  <c r="G1538" i="5"/>
  <c r="C1540" i="5"/>
  <c r="E1540" i="5"/>
  <c r="G1540" i="5"/>
  <c r="I1522" i="5"/>
  <c r="BF1630" i="5"/>
  <c r="BF1658" i="5"/>
  <c r="C1544" i="5"/>
  <c r="C1545" i="5"/>
  <c r="C1535" i="5"/>
  <c r="G1544" i="5"/>
  <c r="G1545" i="5"/>
  <c r="G1535" i="5"/>
  <c r="I1542" i="5"/>
  <c r="BF1650" i="5"/>
  <c r="BF1666" i="5"/>
  <c r="J1523" i="5"/>
  <c r="J1542" i="5"/>
  <c r="I2001" i="4"/>
  <c r="B2016" i="4"/>
  <c r="B2017" i="4"/>
  <c r="B2018" i="4"/>
  <c r="B2007" i="4"/>
  <c r="B2013" i="4"/>
  <c r="B2011" i="4"/>
  <c r="B2009" i="4"/>
  <c r="B2012" i="4"/>
  <c r="D2016" i="4"/>
  <c r="D2017" i="4"/>
  <c r="D2018" i="4"/>
  <c r="D2007" i="4"/>
  <c r="D2013" i="4"/>
  <c r="D2011" i="4"/>
  <c r="D2009" i="4"/>
  <c r="D2012" i="4"/>
  <c r="F2016" i="4"/>
  <c r="F2017" i="4"/>
  <c r="F2018" i="4"/>
  <c r="F2007" i="4"/>
  <c r="F2013" i="4"/>
  <c r="F2011" i="4"/>
  <c r="F2009" i="4"/>
  <c r="F2012" i="4"/>
  <c r="H2016" i="4"/>
  <c r="H2017" i="4"/>
  <c r="H2018" i="4"/>
  <c r="H2007" i="4"/>
  <c r="H2013" i="4"/>
  <c r="H2011" i="4"/>
  <c r="H2009" i="4"/>
  <c r="H2012" i="4"/>
  <c r="C2011" i="4"/>
  <c r="E2011" i="4"/>
  <c r="G2011" i="4"/>
  <c r="C2013" i="4"/>
  <c r="E2013" i="4"/>
  <c r="G2013" i="4"/>
  <c r="I2013" i="4"/>
  <c r="BW2121" i="4"/>
  <c r="I2012" i="4"/>
  <c r="BW2120" i="4"/>
  <c r="BW2137" i="4"/>
  <c r="C2017" i="4"/>
  <c r="C2018" i="4"/>
  <c r="E2017" i="4"/>
  <c r="E2018" i="4"/>
  <c r="G2017" i="4"/>
  <c r="G2018" i="4"/>
  <c r="I2015" i="4"/>
  <c r="BW2123" i="4"/>
  <c r="BW2139" i="4"/>
  <c r="J1996" i="4"/>
  <c r="J2015" i="4"/>
  <c r="I2009" i="4"/>
  <c r="I2011" i="4"/>
  <c r="F2176" i="3"/>
  <c r="D2176" i="3"/>
  <c r="H2176" i="3"/>
  <c r="I2181" i="3"/>
  <c r="CB2289" i="3"/>
  <c r="CB2304" i="3"/>
  <c r="B2175" i="3"/>
  <c r="C2175" i="3"/>
  <c r="D2175" i="3"/>
  <c r="E2175" i="3"/>
  <c r="F2175" i="3"/>
  <c r="G2175" i="3"/>
  <c r="H2175" i="3"/>
  <c r="I2175" i="3"/>
  <c r="CB2283" i="3"/>
  <c r="CB2299" i="3"/>
  <c r="C2176" i="3"/>
  <c r="E2176" i="3"/>
  <c r="G2176" i="3"/>
  <c r="I2176" i="3"/>
  <c r="CB2284" i="3"/>
  <c r="CB2300" i="3"/>
  <c r="B2177" i="3"/>
  <c r="C2177" i="3"/>
  <c r="D2177" i="3"/>
  <c r="E2177" i="3"/>
  <c r="F2177" i="3"/>
  <c r="G2177" i="3"/>
  <c r="H2177" i="3"/>
  <c r="I2177" i="3"/>
  <c r="CB2285" i="3"/>
  <c r="CB2301" i="3"/>
  <c r="B2182" i="3"/>
  <c r="D2182" i="3"/>
  <c r="F2182" i="3"/>
  <c r="H2182" i="3"/>
  <c r="J2162" i="3"/>
  <c r="J2181" i="3"/>
  <c r="E2182" i="3"/>
  <c r="D2080" i="2"/>
  <c r="D2079" i="2"/>
  <c r="D2077" i="2"/>
  <c r="C2083" i="2"/>
  <c r="C2079" i="2"/>
  <c r="C2077" i="2"/>
  <c r="C2080" i="2"/>
  <c r="C2078" i="2"/>
  <c r="C2076" i="2"/>
  <c r="E2083" i="2"/>
  <c r="E2079" i="2"/>
  <c r="E2077" i="2"/>
  <c r="E2080" i="2"/>
  <c r="E2078" i="2"/>
  <c r="E2076" i="2"/>
  <c r="I2082" i="2"/>
  <c r="BW2193" i="2"/>
  <c r="BW2209" i="2"/>
  <c r="B2083" i="2"/>
  <c r="D2083" i="2"/>
  <c r="J2063" i="2"/>
  <c r="J2082" i="2"/>
  <c r="B2076" i="2"/>
  <c r="D2076" i="2"/>
  <c r="B2078" i="2"/>
  <c r="D2078" i="2"/>
  <c r="I2277" i="1"/>
  <c r="CE2391" i="1"/>
  <c r="CE2407" i="1"/>
  <c r="B2271" i="1"/>
  <c r="C2271" i="1"/>
  <c r="D2271" i="1"/>
  <c r="E2271" i="1"/>
  <c r="F2271" i="1"/>
  <c r="G2271" i="1"/>
  <c r="H2271" i="1"/>
  <c r="I2271" i="1"/>
  <c r="CE2385" i="1"/>
  <c r="CE2402" i="1"/>
  <c r="C2272" i="1"/>
  <c r="E2272" i="1"/>
  <c r="G2272" i="1"/>
  <c r="B2273" i="1"/>
  <c r="C2273" i="1"/>
  <c r="D2273" i="1"/>
  <c r="E2273" i="1"/>
  <c r="F2273" i="1"/>
  <c r="G2273" i="1"/>
  <c r="H2273" i="1"/>
  <c r="I2273" i="1"/>
  <c r="CE2387" i="1"/>
  <c r="CE2404" i="1"/>
  <c r="B2275" i="1"/>
  <c r="C2275" i="1"/>
  <c r="E2275" i="1"/>
  <c r="G2275" i="1"/>
  <c r="B2278" i="1"/>
  <c r="D2278" i="1"/>
  <c r="F2278" i="1"/>
  <c r="H2278" i="1"/>
  <c r="J2258" i="1"/>
  <c r="J2277" i="1"/>
  <c r="C2134" i="3"/>
  <c r="B2134" i="3"/>
  <c r="I2134" i="3"/>
  <c r="J2134" i="3"/>
  <c r="D2034" i="2"/>
  <c r="C2034" i="2"/>
  <c r="B2034" i="2"/>
  <c r="I2034" i="2"/>
  <c r="BV2173" i="2"/>
  <c r="D2230" i="1"/>
  <c r="C2230" i="1"/>
  <c r="B2230" i="1"/>
  <c r="I2230" i="1"/>
  <c r="CD2366" i="1"/>
  <c r="AB893" i="6"/>
  <c r="AB896" i="6"/>
  <c r="H752" i="6"/>
  <c r="H751" i="6"/>
  <c r="G752" i="6"/>
  <c r="G751" i="6"/>
  <c r="G749" i="6"/>
  <c r="F752" i="6"/>
  <c r="F751" i="6"/>
  <c r="E752" i="6"/>
  <c r="E751" i="6"/>
  <c r="D752" i="6"/>
  <c r="D751" i="6"/>
  <c r="C752" i="6"/>
  <c r="C751" i="6"/>
  <c r="C746" i="6"/>
  <c r="B752" i="6"/>
  <c r="B751" i="6"/>
  <c r="H738" i="6"/>
  <c r="G738" i="6"/>
  <c r="F738" i="6"/>
  <c r="E738" i="6"/>
  <c r="D738" i="6"/>
  <c r="C738" i="6"/>
  <c r="B738" i="6"/>
  <c r="I737" i="6"/>
  <c r="AC872" i="6"/>
  <c r="I736" i="6"/>
  <c r="I735" i="6"/>
  <c r="AC870" i="6"/>
  <c r="I734" i="6"/>
  <c r="I733" i="6"/>
  <c r="AC868" i="6"/>
  <c r="BD1657" i="5"/>
  <c r="BD1660" i="5"/>
  <c r="H1515" i="5"/>
  <c r="H1514" i="5"/>
  <c r="G1515" i="5"/>
  <c r="G1514" i="5"/>
  <c r="F1515" i="5"/>
  <c r="F1514" i="5"/>
  <c r="E1515" i="5"/>
  <c r="E1514" i="5"/>
  <c r="D1515" i="5"/>
  <c r="D1514" i="5"/>
  <c r="C1515" i="5"/>
  <c r="C1514" i="5"/>
  <c r="B1515" i="5"/>
  <c r="B1514" i="5"/>
  <c r="H1501" i="5"/>
  <c r="G1501" i="5"/>
  <c r="F1501" i="5"/>
  <c r="E1501" i="5"/>
  <c r="D1501" i="5"/>
  <c r="C1501" i="5"/>
  <c r="B1501" i="5"/>
  <c r="I1500" i="5"/>
  <c r="I1499" i="5"/>
  <c r="J1499" i="5"/>
  <c r="I1498" i="5"/>
  <c r="I1497" i="5"/>
  <c r="J1497" i="5"/>
  <c r="I1496" i="5"/>
  <c r="BE1631" i="5"/>
  <c r="I1495" i="5"/>
  <c r="BU2130" i="4"/>
  <c r="BU2133" i="4"/>
  <c r="H1988" i="4"/>
  <c r="H1987" i="4"/>
  <c r="G1988" i="4"/>
  <c r="G1987" i="4"/>
  <c r="F1988" i="4"/>
  <c r="F1987" i="4"/>
  <c r="E1988" i="4"/>
  <c r="E1987" i="4"/>
  <c r="D1988" i="4"/>
  <c r="D1987" i="4"/>
  <c r="C1988" i="4"/>
  <c r="C1987" i="4"/>
  <c r="B1988" i="4"/>
  <c r="B1987" i="4"/>
  <c r="H1974" i="4"/>
  <c r="G1974" i="4"/>
  <c r="F1974" i="4"/>
  <c r="E1974" i="4"/>
  <c r="D1974" i="4"/>
  <c r="C1974" i="4"/>
  <c r="B1974" i="4"/>
  <c r="I1973" i="4"/>
  <c r="I1972" i="4"/>
  <c r="BV2107" i="4"/>
  <c r="I1971" i="4"/>
  <c r="I1970" i="4"/>
  <c r="BV2105" i="4"/>
  <c r="I1969" i="4"/>
  <c r="BV2104" i="4"/>
  <c r="I1968" i="4"/>
  <c r="BZ2295" i="3"/>
  <c r="BZ2298" i="3"/>
  <c r="H2154" i="3"/>
  <c r="H2153" i="3"/>
  <c r="G2154" i="3"/>
  <c r="G2153" i="3"/>
  <c r="F2154" i="3"/>
  <c r="F2153" i="3"/>
  <c r="E2154" i="3"/>
  <c r="E2153" i="3"/>
  <c r="D2154" i="3"/>
  <c r="D2153" i="3"/>
  <c r="C2154" i="3"/>
  <c r="C2153" i="3"/>
  <c r="B2154" i="3"/>
  <c r="B2153" i="3"/>
  <c r="H2140" i="3"/>
  <c r="G2140" i="3"/>
  <c r="F2140" i="3"/>
  <c r="E2140" i="3"/>
  <c r="D2140" i="3"/>
  <c r="C2140" i="3"/>
  <c r="B2140" i="3"/>
  <c r="I2139" i="3"/>
  <c r="I2138" i="3"/>
  <c r="CA2273" i="3"/>
  <c r="I2137" i="3"/>
  <c r="I2136" i="3"/>
  <c r="CA2271" i="3"/>
  <c r="I2135" i="3"/>
  <c r="CA2270" i="3"/>
  <c r="BU2200" i="2"/>
  <c r="BU2203" i="2"/>
  <c r="H2054" i="2"/>
  <c r="H2053" i="2"/>
  <c r="G2054" i="2"/>
  <c r="G2053" i="2"/>
  <c r="F2054" i="2"/>
  <c r="E2054" i="2"/>
  <c r="E2053" i="2"/>
  <c r="E2049" i="2"/>
  <c r="E2052" i="2"/>
  <c r="D2054" i="2"/>
  <c r="C2054" i="2"/>
  <c r="C2053" i="2"/>
  <c r="B2054" i="2"/>
  <c r="B2053" i="2"/>
  <c r="E2055" i="2"/>
  <c r="H2040" i="2"/>
  <c r="G2040" i="2"/>
  <c r="F2040" i="2"/>
  <c r="E2040" i="2"/>
  <c r="D2040" i="2"/>
  <c r="C2040" i="2"/>
  <c r="B2040" i="2"/>
  <c r="I2039" i="2"/>
  <c r="J2039" i="2"/>
  <c r="I2038" i="2"/>
  <c r="I2037" i="2"/>
  <c r="I2036" i="2"/>
  <c r="BV2175" i="2"/>
  <c r="I2035" i="2"/>
  <c r="BV2174" i="2"/>
  <c r="CC2398" i="1"/>
  <c r="CC2401" i="1"/>
  <c r="H2250" i="1"/>
  <c r="H2249" i="1"/>
  <c r="G2250" i="1"/>
  <c r="F2250" i="1"/>
  <c r="F2249" i="1"/>
  <c r="E2250" i="1"/>
  <c r="E2249" i="1"/>
  <c r="D2250" i="1"/>
  <c r="D2249" i="1"/>
  <c r="C2250" i="1"/>
  <c r="B2250" i="1"/>
  <c r="B2249" i="1"/>
  <c r="H2236" i="1"/>
  <c r="G2236" i="1"/>
  <c r="F2236" i="1"/>
  <c r="E2236" i="1"/>
  <c r="D2236" i="1"/>
  <c r="C2236" i="1"/>
  <c r="B2236" i="1"/>
  <c r="I2235" i="1"/>
  <c r="I2234" i="1"/>
  <c r="J2234" i="1"/>
  <c r="I2233" i="1"/>
  <c r="I2232" i="1"/>
  <c r="J2232" i="1"/>
  <c r="I2231" i="1"/>
  <c r="CD2367" i="1"/>
  <c r="AG890" i="6"/>
  <c r="I853" i="6"/>
  <c r="AG880" i="6"/>
  <c r="I852" i="6"/>
  <c r="AG879" i="6"/>
  <c r="J863" i="6"/>
  <c r="J2350" i="1"/>
  <c r="J2351" i="1"/>
  <c r="J2068" i="2"/>
  <c r="BW2179" i="2"/>
  <c r="BW2202" i="2"/>
  <c r="J765" i="6"/>
  <c r="AD873" i="6"/>
  <c r="AD895" i="6"/>
  <c r="J1528" i="5"/>
  <c r="BF1636" i="5"/>
  <c r="BF1659" i="5"/>
  <c r="J2001" i="4"/>
  <c r="BW2109" i="4"/>
  <c r="BW2132" i="4"/>
  <c r="J2161" i="3"/>
  <c r="CB2269" i="3"/>
  <c r="CB2296" i="3"/>
  <c r="J2263" i="1"/>
  <c r="CE2372" i="1"/>
  <c r="CE2400" i="1"/>
  <c r="I1539" i="5"/>
  <c r="BW2118" i="4"/>
  <c r="BW2135" i="4"/>
  <c r="B2050" i="2"/>
  <c r="J2230" i="1"/>
  <c r="CD2399" i="1"/>
  <c r="CD2368" i="1"/>
  <c r="CD2370" i="1"/>
  <c r="BV2176" i="2"/>
  <c r="J2137" i="3"/>
  <c r="CA2272" i="3"/>
  <c r="J2139" i="3"/>
  <c r="CA2274" i="3"/>
  <c r="J1968" i="4"/>
  <c r="BV2103" i="4"/>
  <c r="BV2131" i="4"/>
  <c r="J1970" i="4"/>
  <c r="J1972" i="4"/>
  <c r="J1498" i="5"/>
  <c r="BE1633" i="5"/>
  <c r="J1500" i="5"/>
  <c r="BE1635" i="5"/>
  <c r="J735" i="6"/>
  <c r="J737" i="6"/>
  <c r="J2233" i="1"/>
  <c r="CD2369" i="1"/>
  <c r="J2235" i="1"/>
  <c r="CD2371" i="1"/>
  <c r="J2034" i="2"/>
  <c r="BV2201" i="2"/>
  <c r="J2038" i="2"/>
  <c r="BV2177" i="2"/>
  <c r="CA2269" i="3"/>
  <c r="CA2296" i="3"/>
  <c r="J2136" i="3"/>
  <c r="J2138" i="3"/>
  <c r="J1971" i="4"/>
  <c r="BV2106" i="4"/>
  <c r="J1973" i="4"/>
  <c r="BV2108" i="4"/>
  <c r="J1495" i="5"/>
  <c r="BE1630" i="5"/>
  <c r="BE1658" i="5"/>
  <c r="BE1632" i="5"/>
  <c r="BE1634" i="5"/>
  <c r="J734" i="6"/>
  <c r="AC869" i="6"/>
  <c r="J736" i="6"/>
  <c r="AC871" i="6"/>
  <c r="I776" i="6"/>
  <c r="AD884" i="6"/>
  <c r="AD900" i="6"/>
  <c r="I777" i="6"/>
  <c r="AD885" i="6"/>
  <c r="AD901" i="6"/>
  <c r="C749" i="6"/>
  <c r="I774" i="6"/>
  <c r="AD882" i="6"/>
  <c r="AD898" i="6"/>
  <c r="F781" i="6"/>
  <c r="F782" i="6"/>
  <c r="B781" i="6"/>
  <c r="B782" i="6"/>
  <c r="H781" i="6"/>
  <c r="H782" i="6"/>
  <c r="D781" i="6"/>
  <c r="D782" i="6"/>
  <c r="G781" i="6"/>
  <c r="G782" i="6"/>
  <c r="E781" i="6"/>
  <c r="E782" i="6"/>
  <c r="C781" i="6"/>
  <c r="C782" i="6"/>
  <c r="I775" i="6"/>
  <c r="AD883" i="6"/>
  <c r="AD899" i="6"/>
  <c r="I773" i="6"/>
  <c r="AD881" i="6"/>
  <c r="AD897" i="6"/>
  <c r="AD903" i="6"/>
  <c r="J1537" i="5"/>
  <c r="J1522" i="5"/>
  <c r="I1538" i="5"/>
  <c r="BF1646" i="5"/>
  <c r="BF1663" i="5"/>
  <c r="I1536" i="5"/>
  <c r="BF1644" i="5"/>
  <c r="BF1661" i="5"/>
  <c r="I1540" i="5"/>
  <c r="BF1648" i="5"/>
  <c r="BF1665" i="5"/>
  <c r="H1535" i="5"/>
  <c r="D1535" i="5"/>
  <c r="F1535" i="5"/>
  <c r="B1535" i="5"/>
  <c r="G1534" i="5"/>
  <c r="E1534" i="5"/>
  <c r="C1534" i="5"/>
  <c r="BW2119" i="4"/>
  <c r="BW2136" i="4"/>
  <c r="BW2117" i="4"/>
  <c r="BW2134" i="4"/>
  <c r="BW2138" i="4"/>
  <c r="H2008" i="4"/>
  <c r="D2008" i="4"/>
  <c r="F2008" i="4"/>
  <c r="B2008" i="4"/>
  <c r="G2008" i="4"/>
  <c r="G2007" i="4"/>
  <c r="E2008" i="4"/>
  <c r="E2007" i="4"/>
  <c r="C2008" i="4"/>
  <c r="C2007" i="4"/>
  <c r="E2183" i="3"/>
  <c r="E2184" i="3"/>
  <c r="H2183" i="3"/>
  <c r="H2184" i="3"/>
  <c r="D2183" i="3"/>
  <c r="D2184" i="3"/>
  <c r="F2183" i="3"/>
  <c r="F2184" i="3"/>
  <c r="B2183" i="3"/>
  <c r="B2184" i="3"/>
  <c r="G2182" i="3"/>
  <c r="C2182" i="3"/>
  <c r="B2084" i="2"/>
  <c r="B2085" i="2"/>
  <c r="D2084" i="2"/>
  <c r="D2085" i="2"/>
  <c r="E2084" i="2"/>
  <c r="E2085" i="2"/>
  <c r="C2084" i="2"/>
  <c r="C2085" i="2"/>
  <c r="H2279" i="1"/>
  <c r="H2280" i="1"/>
  <c r="D2279" i="1"/>
  <c r="D2280" i="1"/>
  <c r="F2279" i="1"/>
  <c r="F2280" i="1"/>
  <c r="B2279" i="1"/>
  <c r="B2280" i="1"/>
  <c r="E2278" i="1"/>
  <c r="I2276" i="1"/>
  <c r="CE2390" i="1"/>
  <c r="G2278" i="1"/>
  <c r="C2278" i="1"/>
  <c r="G746" i="6"/>
  <c r="I738" i="6"/>
  <c r="H2055" i="2"/>
  <c r="H2056" i="2"/>
  <c r="H2057" i="2"/>
  <c r="F2053" i="2"/>
  <c r="F2055" i="2"/>
  <c r="F2056" i="2"/>
  <c r="E2051" i="2"/>
  <c r="D2053" i="2"/>
  <c r="D2055" i="2"/>
  <c r="D2056" i="2"/>
  <c r="B2052" i="2"/>
  <c r="E2247" i="1"/>
  <c r="E2251" i="1"/>
  <c r="E2244" i="1"/>
  <c r="C2052" i="2"/>
  <c r="C2050" i="2"/>
  <c r="C2048" i="2"/>
  <c r="C2055" i="2"/>
  <c r="C2051" i="2"/>
  <c r="C2049" i="2"/>
  <c r="G2052" i="2"/>
  <c r="G2050" i="2"/>
  <c r="G2048" i="2"/>
  <c r="G2055" i="2"/>
  <c r="G2051" i="2"/>
  <c r="G2049" i="2"/>
  <c r="C2151" i="3"/>
  <c r="C2148" i="3"/>
  <c r="C2152" i="3"/>
  <c r="C2149" i="3"/>
  <c r="E2152" i="3"/>
  <c r="E2149" i="3"/>
  <c r="E2148" i="3"/>
  <c r="E2151" i="3"/>
  <c r="G2151" i="3"/>
  <c r="G2148" i="3"/>
  <c r="G2149" i="3"/>
  <c r="G2152" i="3"/>
  <c r="C1512" i="5"/>
  <c r="C1509" i="5"/>
  <c r="C1516" i="5"/>
  <c r="C1517" i="5"/>
  <c r="C1518" i="5"/>
  <c r="C1510" i="5"/>
  <c r="E1516" i="5"/>
  <c r="E1510" i="5"/>
  <c r="E1509" i="5"/>
  <c r="E1512" i="5"/>
  <c r="G1512" i="5"/>
  <c r="G1509" i="5"/>
  <c r="G1510" i="5"/>
  <c r="G1516" i="5"/>
  <c r="C1984" i="4"/>
  <c r="C1982" i="4"/>
  <c r="C1989" i="4"/>
  <c r="C1985" i="4"/>
  <c r="C1983" i="4"/>
  <c r="E1989" i="4"/>
  <c r="E1984" i="4"/>
  <c r="E1982" i="4"/>
  <c r="G1985" i="4"/>
  <c r="G1984" i="4"/>
  <c r="G1983" i="4"/>
  <c r="G1982" i="4"/>
  <c r="G1989" i="4"/>
  <c r="G1990" i="4"/>
  <c r="G1991" i="4"/>
  <c r="C753" i="6"/>
  <c r="C754" i="6"/>
  <c r="C755" i="6"/>
  <c r="C747" i="6"/>
  <c r="E749" i="6"/>
  <c r="E746" i="6"/>
  <c r="G753" i="6"/>
  <c r="G754" i="6"/>
  <c r="G755" i="6"/>
  <c r="G747" i="6"/>
  <c r="J2035" i="2"/>
  <c r="J2054" i="2"/>
  <c r="J2036" i="2"/>
  <c r="E2048" i="2"/>
  <c r="B2049" i="2"/>
  <c r="D2049" i="2"/>
  <c r="F2049" i="2"/>
  <c r="H2049" i="2"/>
  <c r="E2050" i="2"/>
  <c r="B2051" i="2"/>
  <c r="D2051" i="2"/>
  <c r="F2051" i="2"/>
  <c r="H2051" i="2"/>
  <c r="I2140" i="3"/>
  <c r="I1501" i="5"/>
  <c r="B753" i="6"/>
  <c r="B754" i="6"/>
  <c r="B755" i="6"/>
  <c r="B749" i="6"/>
  <c r="B747" i="6"/>
  <c r="B750" i="6"/>
  <c r="B748" i="6"/>
  <c r="B746" i="6"/>
  <c r="D753" i="6"/>
  <c r="D754" i="6"/>
  <c r="D755" i="6"/>
  <c r="D749" i="6"/>
  <c r="D747" i="6"/>
  <c r="D750" i="6"/>
  <c r="D748" i="6"/>
  <c r="D746" i="6"/>
  <c r="F753" i="6"/>
  <c r="F754" i="6"/>
  <c r="F755" i="6"/>
  <c r="F749" i="6"/>
  <c r="F747" i="6"/>
  <c r="F750" i="6"/>
  <c r="F748" i="6"/>
  <c r="F746" i="6"/>
  <c r="H753" i="6"/>
  <c r="H754" i="6"/>
  <c r="H755" i="6"/>
  <c r="H749" i="6"/>
  <c r="I749" i="6"/>
  <c r="AC884" i="6"/>
  <c r="AC900" i="6"/>
  <c r="H747" i="6"/>
  <c r="H750" i="6"/>
  <c r="H748" i="6"/>
  <c r="H746" i="6"/>
  <c r="C748" i="6"/>
  <c r="E748" i="6"/>
  <c r="G748" i="6"/>
  <c r="C750" i="6"/>
  <c r="E750" i="6"/>
  <c r="G750" i="6"/>
  <c r="I732" i="6"/>
  <c r="AC867" i="6"/>
  <c r="AC894" i="6"/>
  <c r="I752" i="6"/>
  <c r="AC887" i="6"/>
  <c r="AC902" i="6"/>
  <c r="J733" i="6"/>
  <c r="J752" i="6"/>
  <c r="B1516" i="5"/>
  <c r="B1512" i="5"/>
  <c r="B1510" i="5"/>
  <c r="B1513" i="5"/>
  <c r="B1511" i="5"/>
  <c r="B1509" i="5"/>
  <c r="D1516" i="5"/>
  <c r="D1512" i="5"/>
  <c r="D1510" i="5"/>
  <c r="D1513" i="5"/>
  <c r="D1511" i="5"/>
  <c r="D1509" i="5"/>
  <c r="F1516" i="5"/>
  <c r="F1512" i="5"/>
  <c r="F1510" i="5"/>
  <c r="F1513" i="5"/>
  <c r="F1511" i="5"/>
  <c r="F1509" i="5"/>
  <c r="H1516" i="5"/>
  <c r="H1512" i="5"/>
  <c r="H1510" i="5"/>
  <c r="H1513" i="5"/>
  <c r="H1511" i="5"/>
  <c r="H1509" i="5"/>
  <c r="C1511" i="5"/>
  <c r="E1511" i="5"/>
  <c r="G1511" i="5"/>
  <c r="C1513" i="5"/>
  <c r="E1513" i="5"/>
  <c r="G1513" i="5"/>
  <c r="E1517" i="5"/>
  <c r="E1518" i="5"/>
  <c r="G1517" i="5"/>
  <c r="G1518" i="5"/>
  <c r="B1517" i="5"/>
  <c r="B1518" i="5"/>
  <c r="D1517" i="5"/>
  <c r="D1518" i="5"/>
  <c r="F1517" i="5"/>
  <c r="F1518" i="5"/>
  <c r="H1517" i="5"/>
  <c r="H1518" i="5"/>
  <c r="I1515" i="5"/>
  <c r="BE1650" i="5"/>
  <c r="BE1666" i="5"/>
  <c r="J1496" i="5"/>
  <c r="J1515" i="5"/>
  <c r="I1509" i="5"/>
  <c r="I1510" i="5"/>
  <c r="I1511" i="5"/>
  <c r="I1512" i="5"/>
  <c r="I1513" i="5"/>
  <c r="I1514" i="5"/>
  <c r="J1514" i="5"/>
  <c r="J1516" i="5"/>
  <c r="J1517" i="5"/>
  <c r="I1974" i="4"/>
  <c r="BV2109" i="4"/>
  <c r="BV2132" i="4"/>
  <c r="E1983" i="4"/>
  <c r="E1985" i="4"/>
  <c r="E1990" i="4"/>
  <c r="E1991" i="4"/>
  <c r="B1986" i="4"/>
  <c r="B1984" i="4"/>
  <c r="B1982" i="4"/>
  <c r="B1989" i="4"/>
  <c r="B1985" i="4"/>
  <c r="B1983" i="4"/>
  <c r="D1986" i="4"/>
  <c r="D1984" i="4"/>
  <c r="D1982" i="4"/>
  <c r="D1989" i="4"/>
  <c r="D1985" i="4"/>
  <c r="D1983" i="4"/>
  <c r="F1986" i="4"/>
  <c r="F1984" i="4"/>
  <c r="F1982" i="4"/>
  <c r="F1989" i="4"/>
  <c r="F1985" i="4"/>
  <c r="F1983" i="4"/>
  <c r="H1986" i="4"/>
  <c r="H1984" i="4"/>
  <c r="H1982" i="4"/>
  <c r="H1989" i="4"/>
  <c r="H1985" i="4"/>
  <c r="H1983" i="4"/>
  <c r="C1990" i="4"/>
  <c r="C1991" i="4"/>
  <c r="C1986" i="4"/>
  <c r="E1986" i="4"/>
  <c r="G1986" i="4"/>
  <c r="I1988" i="4"/>
  <c r="BV2123" i="4"/>
  <c r="BV2139" i="4"/>
  <c r="J1969" i="4"/>
  <c r="J1988" i="4"/>
  <c r="B2151" i="3"/>
  <c r="B2149" i="3"/>
  <c r="B2152" i="3"/>
  <c r="B2150" i="3"/>
  <c r="C2150" i="3"/>
  <c r="D2150" i="3"/>
  <c r="E2150" i="3"/>
  <c r="F2150" i="3"/>
  <c r="G2150" i="3"/>
  <c r="H2150" i="3"/>
  <c r="I2150" i="3"/>
  <c r="B2148" i="3"/>
  <c r="D2148" i="3"/>
  <c r="F2148" i="3"/>
  <c r="H2148" i="3"/>
  <c r="I2148" i="3"/>
  <c r="D2151" i="3"/>
  <c r="D2149" i="3"/>
  <c r="D2152" i="3"/>
  <c r="F2155" i="3"/>
  <c r="F2151" i="3"/>
  <c r="F2149" i="3"/>
  <c r="F2152" i="3"/>
  <c r="H2151" i="3"/>
  <c r="I2151" i="3"/>
  <c r="CA2286" i="3"/>
  <c r="CA2302" i="3"/>
  <c r="H2149" i="3"/>
  <c r="H2152" i="3"/>
  <c r="B2155" i="3"/>
  <c r="D2155" i="3"/>
  <c r="H2155" i="3"/>
  <c r="H2156" i="3"/>
  <c r="H2157" i="3"/>
  <c r="C2155" i="3"/>
  <c r="C2156" i="3"/>
  <c r="C2157" i="3"/>
  <c r="E2155" i="3"/>
  <c r="E2156" i="3"/>
  <c r="E2157" i="3"/>
  <c r="G2155" i="3"/>
  <c r="G2156" i="3"/>
  <c r="G2157" i="3"/>
  <c r="D2156" i="3"/>
  <c r="D2157" i="3"/>
  <c r="F2156" i="3"/>
  <c r="F2157" i="3"/>
  <c r="I2154" i="3"/>
  <c r="CA2289" i="3"/>
  <c r="CA2304" i="3"/>
  <c r="I2149" i="3"/>
  <c r="CA2284" i="3"/>
  <c r="CA2300" i="3"/>
  <c r="I2152" i="3"/>
  <c r="CA2287" i="3"/>
  <c r="CA2303" i="3"/>
  <c r="J2135" i="3"/>
  <c r="I2049" i="2"/>
  <c r="BV2188" i="2"/>
  <c r="BV2205" i="2"/>
  <c r="I2051" i="2"/>
  <c r="BV2190" i="2"/>
  <c r="BV2207" i="2"/>
  <c r="C2056" i="2"/>
  <c r="C2057" i="2"/>
  <c r="E2056" i="2"/>
  <c r="E2057" i="2"/>
  <c r="G2056" i="2"/>
  <c r="G2057" i="2"/>
  <c r="I2054" i="2"/>
  <c r="BV2193" i="2"/>
  <c r="BV2209" i="2"/>
  <c r="I2236" i="1"/>
  <c r="CD2372" i="1"/>
  <c r="CD2400" i="1"/>
  <c r="E2252" i="1"/>
  <c r="E2253" i="1"/>
  <c r="F2248" i="1"/>
  <c r="F2246" i="1"/>
  <c r="F2244" i="1"/>
  <c r="F2251" i="1"/>
  <c r="F2247" i="1"/>
  <c r="F2245" i="1"/>
  <c r="E2248" i="1"/>
  <c r="I2250" i="1"/>
  <c r="CD2391" i="1"/>
  <c r="CD2407" i="1"/>
  <c r="B2244" i="1"/>
  <c r="D2244" i="1"/>
  <c r="H2244" i="1"/>
  <c r="B2245" i="1"/>
  <c r="D2245" i="1"/>
  <c r="H2245" i="1"/>
  <c r="B2246" i="1"/>
  <c r="D2246" i="1"/>
  <c r="H2246" i="1"/>
  <c r="B2247" i="1"/>
  <c r="D2247" i="1"/>
  <c r="H2247" i="1"/>
  <c r="B2248" i="1"/>
  <c r="D2248" i="1"/>
  <c r="H2248" i="1"/>
  <c r="J2231" i="1"/>
  <c r="H705" i="6"/>
  <c r="G705" i="6"/>
  <c r="F705" i="6"/>
  <c r="E705" i="6"/>
  <c r="D705" i="6"/>
  <c r="C705" i="6"/>
  <c r="B705" i="6"/>
  <c r="H1468" i="5"/>
  <c r="G1468" i="5"/>
  <c r="F1468" i="5"/>
  <c r="E1468" i="5"/>
  <c r="D1468" i="5"/>
  <c r="C1468" i="5"/>
  <c r="B1468" i="5"/>
  <c r="H1941" i="4"/>
  <c r="G1941" i="4"/>
  <c r="F1941" i="4"/>
  <c r="E1941" i="4"/>
  <c r="D1941" i="4"/>
  <c r="C1941" i="4"/>
  <c r="B1941" i="4"/>
  <c r="H2107" i="3"/>
  <c r="G2107" i="3"/>
  <c r="F2107" i="3"/>
  <c r="E2107" i="3"/>
  <c r="D2107" i="3"/>
  <c r="C2107" i="3"/>
  <c r="B2107" i="3"/>
  <c r="H2006" i="2"/>
  <c r="G2006" i="2"/>
  <c r="F2006" i="2"/>
  <c r="E2006" i="2"/>
  <c r="D2006" i="2"/>
  <c r="C2006" i="2"/>
  <c r="B2006" i="2"/>
  <c r="H2203" i="1"/>
  <c r="F2203" i="1"/>
  <c r="J853" i="6"/>
  <c r="BE1647" i="5"/>
  <c r="BE1664" i="5"/>
  <c r="J1512" i="5"/>
  <c r="J1539" i="5"/>
  <c r="BF1647" i="5"/>
  <c r="BF1664" i="5"/>
  <c r="J776" i="6"/>
  <c r="J2010" i="4"/>
  <c r="J1501" i="5"/>
  <c r="BE1636" i="5"/>
  <c r="BE1659" i="5"/>
  <c r="I1541" i="5"/>
  <c r="BF1649" i="5"/>
  <c r="J2140" i="3"/>
  <c r="CA2275" i="3"/>
  <c r="CA2297" i="3"/>
  <c r="J738" i="6"/>
  <c r="AC873" i="6"/>
  <c r="AC895" i="6"/>
  <c r="J774" i="6"/>
  <c r="J777" i="6"/>
  <c r="C772" i="6"/>
  <c r="C771" i="6"/>
  <c r="G772" i="6"/>
  <c r="G771" i="6"/>
  <c r="E772" i="6"/>
  <c r="E771" i="6"/>
  <c r="J775" i="6"/>
  <c r="I778" i="6"/>
  <c r="AD886" i="6"/>
  <c r="J773" i="6"/>
  <c r="I766" i="6"/>
  <c r="AD874" i="6"/>
  <c r="D771" i="6"/>
  <c r="D772" i="6"/>
  <c r="H771" i="6"/>
  <c r="H772" i="6"/>
  <c r="B771" i="6"/>
  <c r="B772" i="6"/>
  <c r="F771" i="6"/>
  <c r="F772" i="6"/>
  <c r="I1532" i="5"/>
  <c r="BF1640" i="5"/>
  <c r="I1531" i="5"/>
  <c r="BF1639" i="5"/>
  <c r="I1543" i="5"/>
  <c r="BF1651" i="5"/>
  <c r="J1540" i="5"/>
  <c r="J1538" i="5"/>
  <c r="J1536" i="5"/>
  <c r="J2013" i="4"/>
  <c r="J2011" i="4"/>
  <c r="J2009" i="4"/>
  <c r="B2173" i="3"/>
  <c r="B2174" i="3"/>
  <c r="E2174" i="3"/>
  <c r="E2173" i="3"/>
  <c r="F2173" i="3"/>
  <c r="F2174" i="3"/>
  <c r="C2183" i="3"/>
  <c r="C2184" i="3"/>
  <c r="G2183" i="3"/>
  <c r="G2184" i="3"/>
  <c r="D2173" i="3"/>
  <c r="D2174" i="3"/>
  <c r="H2173" i="3"/>
  <c r="H2174" i="3"/>
  <c r="E2075" i="2"/>
  <c r="E2074" i="2"/>
  <c r="C2075" i="2"/>
  <c r="C2074" i="2"/>
  <c r="D2074" i="2"/>
  <c r="D2075" i="2"/>
  <c r="B2074" i="2"/>
  <c r="B2075" i="2"/>
  <c r="J2271" i="1"/>
  <c r="G2279" i="1"/>
  <c r="G2280" i="1"/>
  <c r="E2279" i="1"/>
  <c r="E2280" i="1"/>
  <c r="B2269" i="1"/>
  <c r="B2270" i="1"/>
  <c r="F2269" i="1"/>
  <c r="F2270" i="1"/>
  <c r="I2267" i="1"/>
  <c r="CE2381" i="1"/>
  <c r="J2274" i="1"/>
  <c r="D2269" i="1"/>
  <c r="D2270" i="1"/>
  <c r="H2269" i="1"/>
  <c r="H2270" i="1"/>
  <c r="C2279" i="1"/>
  <c r="C2280" i="1"/>
  <c r="I2278" i="1"/>
  <c r="CE2392" i="1"/>
  <c r="J2276" i="1"/>
  <c r="H2052" i="2"/>
  <c r="H2050" i="2"/>
  <c r="H2048" i="2"/>
  <c r="F2048" i="2"/>
  <c r="F2052" i="2"/>
  <c r="F2050" i="2"/>
  <c r="J2049" i="2"/>
  <c r="D2052" i="2"/>
  <c r="D2050" i="2"/>
  <c r="D2048" i="2"/>
  <c r="J749" i="6"/>
  <c r="J732" i="6"/>
  <c r="I748" i="6"/>
  <c r="AC883" i="6"/>
  <c r="AC899" i="6"/>
  <c r="I746" i="6"/>
  <c r="AC881" i="6"/>
  <c r="AC897" i="6"/>
  <c r="I750" i="6"/>
  <c r="AC885" i="6"/>
  <c r="AC901" i="6"/>
  <c r="BE1646" i="5"/>
  <c r="BE1663" i="5"/>
  <c r="BE1645" i="5"/>
  <c r="BE1662" i="5"/>
  <c r="BE1644" i="5"/>
  <c r="BE1661" i="5"/>
  <c r="BE1648" i="5"/>
  <c r="BE1665" i="5"/>
  <c r="E1508" i="5"/>
  <c r="E1507" i="5"/>
  <c r="H1507" i="5"/>
  <c r="H1508" i="5"/>
  <c r="F1507" i="5"/>
  <c r="F1508" i="5"/>
  <c r="D1507" i="5"/>
  <c r="D1508" i="5"/>
  <c r="B1507" i="5"/>
  <c r="B1508" i="5"/>
  <c r="G1508" i="5"/>
  <c r="G1507" i="5"/>
  <c r="J1974" i="4"/>
  <c r="E1981" i="4"/>
  <c r="E1980" i="4"/>
  <c r="C1981" i="4"/>
  <c r="C1980" i="4"/>
  <c r="H1990" i="4"/>
  <c r="H1991" i="4"/>
  <c r="F1990" i="4"/>
  <c r="F1991" i="4"/>
  <c r="D1990" i="4"/>
  <c r="D1991" i="4"/>
  <c r="B1990" i="4"/>
  <c r="B1991" i="4"/>
  <c r="I1983" i="4"/>
  <c r="BV2118" i="4"/>
  <c r="BV2135" i="4"/>
  <c r="I1984" i="4"/>
  <c r="BV2119" i="4"/>
  <c r="BV2136" i="4"/>
  <c r="I1985" i="4"/>
  <c r="BV2120" i="4"/>
  <c r="BV2137" i="4"/>
  <c r="I1982" i="4"/>
  <c r="BV2117" i="4"/>
  <c r="BV2134" i="4"/>
  <c r="I1986" i="4"/>
  <c r="J1986" i="4"/>
  <c r="I1987" i="4"/>
  <c r="J1987" i="4"/>
  <c r="J1979" i="4"/>
  <c r="J2149" i="3"/>
  <c r="J2154" i="3"/>
  <c r="J2151" i="3"/>
  <c r="H2046" i="2"/>
  <c r="H2047" i="2"/>
  <c r="G2047" i="2"/>
  <c r="G2046" i="2"/>
  <c r="E2047" i="2"/>
  <c r="E2046" i="2"/>
  <c r="C2047" i="2"/>
  <c r="C2046" i="2"/>
  <c r="J2250" i="1"/>
  <c r="J2236" i="1"/>
  <c r="F2252" i="1"/>
  <c r="F2253" i="1"/>
  <c r="H2251" i="1"/>
  <c r="H2252" i="1"/>
  <c r="H2253" i="1"/>
  <c r="B2251" i="1"/>
  <c r="D2251" i="1"/>
  <c r="E2203" i="1"/>
  <c r="I2264" i="1"/>
  <c r="CE2378" i="1"/>
  <c r="I1544" i="5"/>
  <c r="I1530" i="5"/>
  <c r="BF1638" i="5"/>
  <c r="J1541" i="5"/>
  <c r="J1531" i="5"/>
  <c r="I1529" i="5"/>
  <c r="BF1637" i="5"/>
  <c r="I1533" i="5"/>
  <c r="BF1641" i="5"/>
  <c r="J2175" i="3"/>
  <c r="J2178" i="3"/>
  <c r="J2177" i="3"/>
  <c r="I2266" i="1"/>
  <c r="CE2380" i="1"/>
  <c r="J2273" i="1"/>
  <c r="I2050" i="2"/>
  <c r="J2050" i="2"/>
  <c r="I780" i="6"/>
  <c r="AD888" i="6"/>
  <c r="J778" i="6"/>
  <c r="J766" i="6"/>
  <c r="I770" i="6"/>
  <c r="AD878" i="6"/>
  <c r="I767" i="6"/>
  <c r="AD875" i="6"/>
  <c r="I769" i="6"/>
  <c r="AD877" i="6"/>
  <c r="I768" i="6"/>
  <c r="AD876" i="6"/>
  <c r="J1529" i="5"/>
  <c r="J2179" i="3"/>
  <c r="I2180" i="3"/>
  <c r="C2174" i="3"/>
  <c r="C2173" i="3"/>
  <c r="J2176" i="3"/>
  <c r="J2180" i="3"/>
  <c r="G2174" i="3"/>
  <c r="G2173" i="3"/>
  <c r="J2266" i="1"/>
  <c r="J2264" i="1"/>
  <c r="I2279" i="1"/>
  <c r="CE2393" i="1"/>
  <c r="J2278" i="1"/>
  <c r="C2270" i="1"/>
  <c r="C2269" i="1"/>
  <c r="J2267" i="1"/>
  <c r="I2052" i="2"/>
  <c r="BV2191" i="2"/>
  <c r="BV2208" i="2"/>
  <c r="J750" i="6"/>
  <c r="J748" i="6"/>
  <c r="J746" i="6"/>
  <c r="J1509" i="5"/>
  <c r="J1511" i="5"/>
  <c r="J1513" i="5"/>
  <c r="J1510" i="5"/>
  <c r="BV2122" i="4"/>
  <c r="J1982" i="4"/>
  <c r="I1979" i="4"/>
  <c r="BV2114" i="4"/>
  <c r="J1985" i="4"/>
  <c r="J1983" i="4"/>
  <c r="J1984" i="4"/>
  <c r="J2152" i="3"/>
  <c r="D2252" i="1"/>
  <c r="D2253" i="1"/>
  <c r="B2252" i="1"/>
  <c r="B2253" i="1"/>
  <c r="D2203" i="1"/>
  <c r="C2203" i="1"/>
  <c r="B2203" i="1"/>
  <c r="AA893" i="6"/>
  <c r="AA896" i="6"/>
  <c r="H725" i="6"/>
  <c r="H724" i="6"/>
  <c r="G725" i="6"/>
  <c r="G724" i="6"/>
  <c r="F725" i="6"/>
  <c r="F724" i="6"/>
  <c r="E725" i="6"/>
  <c r="E724" i="6"/>
  <c r="D725" i="6"/>
  <c r="D724" i="6"/>
  <c r="C725" i="6"/>
  <c r="C724" i="6"/>
  <c r="B725" i="6"/>
  <c r="B724" i="6"/>
  <c r="H711" i="6"/>
  <c r="G711" i="6"/>
  <c r="F711" i="6"/>
  <c r="E711" i="6"/>
  <c r="D711" i="6"/>
  <c r="C711" i="6"/>
  <c r="B711" i="6"/>
  <c r="I710" i="6"/>
  <c r="AB872" i="6"/>
  <c r="I709" i="6"/>
  <c r="AB871" i="6"/>
  <c r="I708" i="6"/>
  <c r="AB870" i="6"/>
  <c r="I707" i="6"/>
  <c r="AB869" i="6"/>
  <c r="I706" i="6"/>
  <c r="I705" i="6"/>
  <c r="BC1657" i="5"/>
  <c r="BC1660" i="5"/>
  <c r="H1488" i="5"/>
  <c r="H1487" i="5"/>
  <c r="G1488" i="5"/>
  <c r="G1487" i="5"/>
  <c r="G1483" i="5"/>
  <c r="F1488" i="5"/>
  <c r="F1487" i="5"/>
  <c r="E1488" i="5"/>
  <c r="E1487" i="5"/>
  <c r="D1488" i="5"/>
  <c r="D1487" i="5"/>
  <c r="C1488" i="5"/>
  <c r="C1487" i="5"/>
  <c r="C1485" i="5"/>
  <c r="B1488" i="5"/>
  <c r="B1487" i="5"/>
  <c r="C1489" i="5"/>
  <c r="H1474" i="5"/>
  <c r="G1474" i="5"/>
  <c r="F1474" i="5"/>
  <c r="E1474" i="5"/>
  <c r="D1474" i="5"/>
  <c r="C1474" i="5"/>
  <c r="B1474" i="5"/>
  <c r="I1473" i="5"/>
  <c r="I1472" i="5"/>
  <c r="I1471" i="5"/>
  <c r="I1470" i="5"/>
  <c r="I1469" i="5"/>
  <c r="BD1631" i="5"/>
  <c r="I1468" i="5"/>
  <c r="BT2130" i="4"/>
  <c r="BT2133" i="4"/>
  <c r="H1961" i="4"/>
  <c r="H1960" i="4"/>
  <c r="G1961" i="4"/>
  <c r="G1960" i="4"/>
  <c r="G1955" i="4"/>
  <c r="F1961" i="4"/>
  <c r="F1960" i="4"/>
  <c r="E1961" i="4"/>
  <c r="E1960" i="4"/>
  <c r="D1961" i="4"/>
  <c r="D1960" i="4"/>
  <c r="C1961" i="4"/>
  <c r="C1960" i="4"/>
  <c r="B1961" i="4"/>
  <c r="B1960" i="4"/>
  <c r="H1947" i="4"/>
  <c r="G1947" i="4"/>
  <c r="F1947" i="4"/>
  <c r="E1947" i="4"/>
  <c r="D1947" i="4"/>
  <c r="C1947" i="4"/>
  <c r="B1947" i="4"/>
  <c r="I1946" i="4"/>
  <c r="I1945" i="4"/>
  <c r="I1944" i="4"/>
  <c r="I1943" i="4"/>
  <c r="I1942" i="4"/>
  <c r="BU2104" i="4"/>
  <c r="I1941" i="4"/>
  <c r="BY2295" i="3"/>
  <c r="BY2298" i="3"/>
  <c r="H2127" i="3"/>
  <c r="H2126" i="3"/>
  <c r="G2127" i="3"/>
  <c r="G2126" i="3"/>
  <c r="F2127" i="3"/>
  <c r="F2126" i="3"/>
  <c r="E2127" i="3"/>
  <c r="D2127" i="3"/>
  <c r="D2126" i="3"/>
  <c r="C2127" i="3"/>
  <c r="C2126" i="3"/>
  <c r="C2124" i="3"/>
  <c r="B2127" i="3"/>
  <c r="B2126" i="3"/>
  <c r="H2113" i="3"/>
  <c r="G2113" i="3"/>
  <c r="F2113" i="3"/>
  <c r="E2113" i="3"/>
  <c r="D2113" i="3"/>
  <c r="C2113" i="3"/>
  <c r="B2113" i="3"/>
  <c r="I2112" i="3"/>
  <c r="I2111" i="3"/>
  <c r="I2110" i="3"/>
  <c r="I2109" i="3"/>
  <c r="I2108" i="3"/>
  <c r="BZ2270" i="3"/>
  <c r="I2107" i="3"/>
  <c r="BT2200" i="2"/>
  <c r="BT2203" i="2"/>
  <c r="H2026" i="2"/>
  <c r="H2025" i="2"/>
  <c r="G2026" i="2"/>
  <c r="G2025" i="2"/>
  <c r="F2026" i="2"/>
  <c r="F2025" i="2"/>
  <c r="E2026" i="2"/>
  <c r="E2025" i="2"/>
  <c r="D2026" i="2"/>
  <c r="D2025" i="2"/>
  <c r="C2026" i="2"/>
  <c r="C2025" i="2"/>
  <c r="B2026" i="2"/>
  <c r="B2025" i="2"/>
  <c r="H2012" i="2"/>
  <c r="G2012" i="2"/>
  <c r="F2012" i="2"/>
  <c r="E2012" i="2"/>
  <c r="D2012" i="2"/>
  <c r="C2012" i="2"/>
  <c r="B2012" i="2"/>
  <c r="I2011" i="2"/>
  <c r="BU2178" i="2"/>
  <c r="I2010" i="2"/>
  <c r="I2009" i="2"/>
  <c r="BU2176" i="2"/>
  <c r="I2008" i="2"/>
  <c r="I2007" i="2"/>
  <c r="BU2174" i="2"/>
  <c r="I2006" i="2"/>
  <c r="CB2398" i="1"/>
  <c r="CB2401" i="1"/>
  <c r="H2223" i="1"/>
  <c r="H2222" i="1"/>
  <c r="G2223" i="1"/>
  <c r="G2222" i="1"/>
  <c r="F2223" i="1"/>
  <c r="F2222" i="1"/>
  <c r="E2223" i="1"/>
  <c r="E2222" i="1"/>
  <c r="D2223" i="1"/>
  <c r="D2222" i="1"/>
  <c r="C2223" i="1"/>
  <c r="C2222" i="1"/>
  <c r="B2223" i="1"/>
  <c r="B2222" i="1"/>
  <c r="H2209" i="1"/>
  <c r="G2209" i="1"/>
  <c r="F2209" i="1"/>
  <c r="E2209" i="1"/>
  <c r="D2209" i="1"/>
  <c r="C2209" i="1"/>
  <c r="B2209" i="1"/>
  <c r="I2208" i="1"/>
  <c r="CC2371" i="1"/>
  <c r="I2207" i="1"/>
  <c r="I2206" i="1"/>
  <c r="CC2369" i="1"/>
  <c r="I2205" i="1"/>
  <c r="I2204" i="1"/>
  <c r="CC2367" i="1"/>
  <c r="H678" i="6"/>
  <c r="G678" i="6"/>
  <c r="F678" i="6"/>
  <c r="E678" i="6"/>
  <c r="D678" i="6"/>
  <c r="C678" i="6"/>
  <c r="B678" i="6"/>
  <c r="H1441" i="5"/>
  <c r="G1441" i="5"/>
  <c r="F1441" i="5"/>
  <c r="E1441" i="5"/>
  <c r="D1441" i="5"/>
  <c r="C1441" i="5"/>
  <c r="B1441" i="5"/>
  <c r="H1914" i="4"/>
  <c r="G1914" i="4"/>
  <c r="F1914" i="4"/>
  <c r="E1914" i="4"/>
  <c r="D1914" i="4"/>
  <c r="C1914" i="4"/>
  <c r="B1914" i="4"/>
  <c r="H2080" i="3"/>
  <c r="G2080" i="3"/>
  <c r="F2080" i="3"/>
  <c r="E2080" i="3"/>
  <c r="D2080" i="3"/>
  <c r="C2080" i="3"/>
  <c r="B2080" i="3"/>
  <c r="H1978" i="2"/>
  <c r="G1978" i="2"/>
  <c r="F1978" i="2"/>
  <c r="E1978" i="2"/>
  <c r="D1978" i="2"/>
  <c r="C1978" i="2"/>
  <c r="B1978" i="2"/>
  <c r="H2176" i="1"/>
  <c r="G2176" i="1"/>
  <c r="F2176" i="1"/>
  <c r="E2176" i="1"/>
  <c r="D2176" i="1"/>
  <c r="C2176" i="1"/>
  <c r="B2176" i="1"/>
  <c r="J2172" i="3"/>
  <c r="I1545" i="5"/>
  <c r="BF1653" i="5"/>
  <c r="BF1652" i="5"/>
  <c r="J1533" i="5"/>
  <c r="I2172" i="3"/>
  <c r="CB2280" i="3"/>
  <c r="CB2288" i="3"/>
  <c r="I1535" i="5"/>
  <c r="BF1643" i="5"/>
  <c r="J1543" i="5"/>
  <c r="J1544" i="5"/>
  <c r="J1530" i="5"/>
  <c r="J1532" i="5"/>
  <c r="I1534" i="5"/>
  <c r="BF1642" i="5"/>
  <c r="I1504" i="5"/>
  <c r="BE1639" i="5"/>
  <c r="BE1649" i="5"/>
  <c r="I781" i="6"/>
  <c r="AD889" i="6"/>
  <c r="J780" i="6"/>
  <c r="J781" i="6"/>
  <c r="J767" i="6"/>
  <c r="J770" i="6"/>
  <c r="J769" i="6"/>
  <c r="J768" i="6"/>
  <c r="I2170" i="3"/>
  <c r="CB2278" i="3"/>
  <c r="J2171" i="3"/>
  <c r="I2182" i="3"/>
  <c r="CB2290" i="3"/>
  <c r="I2169" i="3"/>
  <c r="CB2277" i="3"/>
  <c r="I2171" i="3"/>
  <c r="CB2279" i="3"/>
  <c r="I2168" i="3"/>
  <c r="CB2276" i="3"/>
  <c r="J2169" i="3"/>
  <c r="J2168" i="3"/>
  <c r="J2170" i="3"/>
  <c r="J2279" i="1"/>
  <c r="I2280" i="1"/>
  <c r="CE2394" i="1"/>
  <c r="J2052" i="2"/>
  <c r="J2205" i="1"/>
  <c r="CC2368" i="1"/>
  <c r="J2207" i="1"/>
  <c r="CC2370" i="1"/>
  <c r="J2009" i="2"/>
  <c r="J2011" i="2"/>
  <c r="J2107" i="3"/>
  <c r="BZ2269" i="3"/>
  <c r="BZ2296" i="3"/>
  <c r="J2109" i="3"/>
  <c r="BZ2271" i="3"/>
  <c r="J2111" i="3"/>
  <c r="BZ2273" i="3"/>
  <c r="J1941" i="4"/>
  <c r="BU2103" i="4"/>
  <c r="BU2131" i="4"/>
  <c r="J1943" i="4"/>
  <c r="BU2105" i="4"/>
  <c r="J1945" i="4"/>
  <c r="BU2107" i="4"/>
  <c r="J1468" i="5"/>
  <c r="BD1630" i="5"/>
  <c r="BD1658" i="5"/>
  <c r="J1470" i="5"/>
  <c r="BD1632" i="5"/>
  <c r="J1472" i="5"/>
  <c r="BD1634" i="5"/>
  <c r="J705" i="6"/>
  <c r="AB867" i="6"/>
  <c r="AB894" i="6"/>
  <c r="I2223" i="1"/>
  <c r="J2206" i="1"/>
  <c r="J2208" i="1"/>
  <c r="J2006" i="2"/>
  <c r="BU2173" i="2"/>
  <c r="BU2201" i="2"/>
  <c r="J2008" i="2"/>
  <c r="BU2175" i="2"/>
  <c r="J2010" i="2"/>
  <c r="BU2177" i="2"/>
  <c r="J2110" i="3"/>
  <c r="BZ2272" i="3"/>
  <c r="J2112" i="3"/>
  <c r="BZ2274" i="3"/>
  <c r="J1944" i="4"/>
  <c r="BU2106" i="4"/>
  <c r="J1946" i="4"/>
  <c r="BU2108" i="4"/>
  <c r="J1471" i="5"/>
  <c r="BD1633" i="5"/>
  <c r="J1473" i="5"/>
  <c r="BD1635" i="5"/>
  <c r="I725" i="6"/>
  <c r="AB887" i="6"/>
  <c r="AB902" i="6"/>
  <c r="AB868" i="6"/>
  <c r="I1503" i="5"/>
  <c r="BE1638" i="5"/>
  <c r="I1516" i="5"/>
  <c r="BE1651" i="5"/>
  <c r="I1502" i="5"/>
  <c r="BE1637" i="5"/>
  <c r="I1506" i="5"/>
  <c r="BE1641" i="5"/>
  <c r="I1505" i="5"/>
  <c r="BE1640" i="5"/>
  <c r="J1503" i="5"/>
  <c r="G1482" i="5"/>
  <c r="I1976" i="4"/>
  <c r="BV2111" i="4"/>
  <c r="I1978" i="4"/>
  <c r="BV2113" i="4"/>
  <c r="I1989" i="4"/>
  <c r="BV2124" i="4"/>
  <c r="J1989" i="4"/>
  <c r="J1990" i="4"/>
  <c r="D2242" i="1"/>
  <c r="D2243" i="1"/>
  <c r="C1482" i="5"/>
  <c r="I1947" i="4"/>
  <c r="E2126" i="3"/>
  <c r="E2124" i="3"/>
  <c r="I2222" i="1"/>
  <c r="CC2390" i="1"/>
  <c r="C2220" i="1"/>
  <c r="C2218" i="1"/>
  <c r="E2221" i="1"/>
  <c r="E2220" i="1"/>
  <c r="E2218" i="1"/>
  <c r="G2221" i="1"/>
  <c r="G2220" i="1"/>
  <c r="G2218" i="1"/>
  <c r="B2221" i="1"/>
  <c r="B2218" i="1"/>
  <c r="B2217" i="1"/>
  <c r="B2220" i="1"/>
  <c r="B2219" i="1"/>
  <c r="D2219" i="1"/>
  <c r="D2218" i="1"/>
  <c r="D2221" i="1"/>
  <c r="D2220" i="1"/>
  <c r="D2217" i="1"/>
  <c r="F2224" i="1"/>
  <c r="F2221" i="1"/>
  <c r="F2218" i="1"/>
  <c r="F2217" i="1"/>
  <c r="F2220" i="1"/>
  <c r="F2219" i="1"/>
  <c r="H2219" i="1"/>
  <c r="H2218" i="1"/>
  <c r="H2221" i="1"/>
  <c r="H2220" i="1"/>
  <c r="H2217" i="1"/>
  <c r="C2022" i="2"/>
  <c r="C2027" i="2"/>
  <c r="C2020" i="2"/>
  <c r="E2027" i="2"/>
  <c r="E2020" i="2"/>
  <c r="E2022" i="2"/>
  <c r="G2022" i="2"/>
  <c r="G2027" i="2"/>
  <c r="G2020" i="2"/>
  <c r="G1962" i="4"/>
  <c r="G1963" i="4"/>
  <c r="G1964" i="4"/>
  <c r="G1954" i="4"/>
  <c r="G1956" i="4"/>
  <c r="C2125" i="3"/>
  <c r="C2122" i="3"/>
  <c r="C1484" i="5"/>
  <c r="C1483" i="5"/>
  <c r="G1489" i="5"/>
  <c r="G1490" i="5"/>
  <c r="G1491" i="5"/>
  <c r="G1480" i="5"/>
  <c r="G1485" i="5"/>
  <c r="G1484" i="5"/>
  <c r="G1958" i="4"/>
  <c r="I2113" i="3"/>
  <c r="J706" i="6"/>
  <c r="J725" i="6"/>
  <c r="J707" i="6"/>
  <c r="J708" i="6"/>
  <c r="J709" i="6"/>
  <c r="J710" i="6"/>
  <c r="I711" i="6"/>
  <c r="I1474" i="5"/>
  <c r="BD1636" i="5"/>
  <c r="BD1659" i="5"/>
  <c r="D1486" i="5"/>
  <c r="D1484" i="5"/>
  <c r="D1482" i="5"/>
  <c r="D1489" i="5"/>
  <c r="D1485" i="5"/>
  <c r="D1483" i="5"/>
  <c r="H1486" i="5"/>
  <c r="H1484" i="5"/>
  <c r="H1482" i="5"/>
  <c r="H1489" i="5"/>
  <c r="H1485" i="5"/>
  <c r="H1483" i="5"/>
  <c r="C1490" i="5"/>
  <c r="C1491" i="5"/>
  <c r="C1486" i="5"/>
  <c r="G1486" i="5"/>
  <c r="I1488" i="5"/>
  <c r="BD1650" i="5"/>
  <c r="BD1666" i="5"/>
  <c r="J1469" i="5"/>
  <c r="J1488" i="5"/>
  <c r="B1962" i="4"/>
  <c r="B1959" i="4"/>
  <c r="B1957" i="4"/>
  <c r="B1955" i="4"/>
  <c r="B1958" i="4"/>
  <c r="B1956" i="4"/>
  <c r="H1962" i="4"/>
  <c r="H1959" i="4"/>
  <c r="H1957" i="4"/>
  <c r="H1955" i="4"/>
  <c r="H1958" i="4"/>
  <c r="H1956" i="4"/>
  <c r="G1957" i="4"/>
  <c r="G1959" i="4"/>
  <c r="B1963" i="4"/>
  <c r="B1964" i="4"/>
  <c r="H1963" i="4"/>
  <c r="H1964" i="4"/>
  <c r="I1961" i="4"/>
  <c r="BU2123" i="4"/>
  <c r="BU2139" i="4"/>
  <c r="J1942" i="4"/>
  <c r="J1961" i="4"/>
  <c r="D2124" i="3"/>
  <c r="D2122" i="3"/>
  <c r="D2125" i="3"/>
  <c r="D2123" i="3"/>
  <c r="D2121" i="3"/>
  <c r="C2121" i="3"/>
  <c r="E2121" i="3"/>
  <c r="C2123" i="3"/>
  <c r="E2123" i="3"/>
  <c r="D2128" i="3"/>
  <c r="D2129" i="3"/>
  <c r="D2130" i="3"/>
  <c r="D2120" i="3"/>
  <c r="C2128" i="3"/>
  <c r="E2128" i="3"/>
  <c r="E2129" i="3"/>
  <c r="E2130" i="3"/>
  <c r="E2119" i="3"/>
  <c r="I2127" i="3"/>
  <c r="BZ2289" i="3"/>
  <c r="BZ2304" i="3"/>
  <c r="E2122" i="3"/>
  <c r="E2125" i="3"/>
  <c r="J2108" i="3"/>
  <c r="B2027" i="2"/>
  <c r="B2023" i="2"/>
  <c r="B2021" i="2"/>
  <c r="B2024" i="2"/>
  <c r="B2022" i="2"/>
  <c r="B2020" i="2"/>
  <c r="D2027" i="2"/>
  <c r="D2024" i="2"/>
  <c r="D2023" i="2"/>
  <c r="D2021" i="2"/>
  <c r="D2022" i="2"/>
  <c r="D2020" i="2"/>
  <c r="F2027" i="2"/>
  <c r="F2023" i="2"/>
  <c r="F2021" i="2"/>
  <c r="F2024" i="2"/>
  <c r="F2022" i="2"/>
  <c r="F2020" i="2"/>
  <c r="H2027" i="2"/>
  <c r="H2024" i="2"/>
  <c r="H2023" i="2"/>
  <c r="H2021" i="2"/>
  <c r="H2022" i="2"/>
  <c r="H2020" i="2"/>
  <c r="I2012" i="2"/>
  <c r="BU2179" i="2"/>
  <c r="BU2202" i="2"/>
  <c r="C2021" i="2"/>
  <c r="E2021" i="2"/>
  <c r="G2021" i="2"/>
  <c r="C2023" i="2"/>
  <c r="E2023" i="2"/>
  <c r="G2023" i="2"/>
  <c r="C2028" i="2"/>
  <c r="C2029" i="2"/>
  <c r="C2018" i="2"/>
  <c r="E2028" i="2"/>
  <c r="E2029" i="2"/>
  <c r="E2018" i="2"/>
  <c r="G2028" i="2"/>
  <c r="G2029" i="2"/>
  <c r="G2018" i="2"/>
  <c r="B2028" i="2"/>
  <c r="B2029" i="2"/>
  <c r="B2019" i="2"/>
  <c r="D2028" i="2"/>
  <c r="D2029" i="2"/>
  <c r="D2019" i="2"/>
  <c r="F2028" i="2"/>
  <c r="F2029" i="2"/>
  <c r="F2019" i="2"/>
  <c r="H2028" i="2"/>
  <c r="H2029" i="2"/>
  <c r="H2019" i="2"/>
  <c r="C2024" i="2"/>
  <c r="E2024" i="2"/>
  <c r="G2024" i="2"/>
  <c r="I2026" i="2"/>
  <c r="BU2193" i="2"/>
  <c r="BU2209" i="2"/>
  <c r="J2007" i="2"/>
  <c r="J2026" i="2"/>
  <c r="C2217" i="1"/>
  <c r="E2217" i="1"/>
  <c r="G2217" i="1"/>
  <c r="C2219" i="1"/>
  <c r="E2219" i="1"/>
  <c r="G2219" i="1"/>
  <c r="C2221" i="1"/>
  <c r="I2221" i="1"/>
  <c r="CC2389" i="1"/>
  <c r="CC2406" i="1"/>
  <c r="B2224" i="1"/>
  <c r="B2225" i="1"/>
  <c r="B2226" i="1"/>
  <c r="B2215" i="1"/>
  <c r="D2224" i="1"/>
  <c r="D2225" i="1"/>
  <c r="D2226" i="1"/>
  <c r="D2215" i="1"/>
  <c r="H2224" i="1"/>
  <c r="H2225" i="1"/>
  <c r="H2226" i="1"/>
  <c r="H2215" i="1"/>
  <c r="I2203" i="1"/>
  <c r="CC2366" i="1"/>
  <c r="CC2399" i="1"/>
  <c r="J2204" i="1"/>
  <c r="I2209" i="1"/>
  <c r="CC2372" i="1"/>
  <c r="CC2400" i="1"/>
  <c r="C2224" i="1"/>
  <c r="C2225" i="1"/>
  <c r="C2226" i="1"/>
  <c r="C2215" i="1"/>
  <c r="E2224" i="1"/>
  <c r="E2225" i="1"/>
  <c r="E2226" i="1"/>
  <c r="E2215" i="1"/>
  <c r="G2224" i="1"/>
  <c r="G2225" i="1"/>
  <c r="G2226" i="1"/>
  <c r="G2215" i="1"/>
  <c r="I2224" i="1"/>
  <c r="CC2392" i="1"/>
  <c r="J2222" i="1"/>
  <c r="F2225" i="1"/>
  <c r="F2226" i="1"/>
  <c r="F2215" i="1"/>
  <c r="J1545" i="5"/>
  <c r="J1534" i="5"/>
  <c r="I2183" i="3"/>
  <c r="CB2291" i="3"/>
  <c r="J1535" i="5"/>
  <c r="I2269" i="1"/>
  <c r="CE2383" i="1"/>
  <c r="J2280" i="1"/>
  <c r="J2270" i="1"/>
  <c r="I782" i="6"/>
  <c r="AD890" i="6"/>
  <c r="J2182" i="3"/>
  <c r="I2184" i="3"/>
  <c r="I2270" i="1"/>
  <c r="CE2384" i="1"/>
  <c r="J2269" i="1"/>
  <c r="J1502" i="5"/>
  <c r="J1504" i="5"/>
  <c r="J1506" i="5"/>
  <c r="J2223" i="1"/>
  <c r="CC2391" i="1"/>
  <c r="CC2407" i="1"/>
  <c r="I2217" i="1"/>
  <c r="CC2385" i="1"/>
  <c r="CC2402" i="1"/>
  <c r="I2218" i="1"/>
  <c r="CC2386" i="1"/>
  <c r="CC2403" i="1"/>
  <c r="I2219" i="1"/>
  <c r="CC2387" i="1"/>
  <c r="CC2404" i="1"/>
  <c r="I2220" i="1"/>
  <c r="CC2388" i="1"/>
  <c r="CC2405" i="1"/>
  <c r="J711" i="6"/>
  <c r="AB873" i="6"/>
  <c r="AB895" i="6"/>
  <c r="J2113" i="3"/>
  <c r="BZ2275" i="3"/>
  <c r="BZ2297" i="3"/>
  <c r="J1947" i="4"/>
  <c r="BU2109" i="4"/>
  <c r="BU2132" i="4"/>
  <c r="J1505" i="5"/>
  <c r="I1517" i="5"/>
  <c r="BE1652" i="5"/>
  <c r="J1978" i="4"/>
  <c r="I1990" i="4"/>
  <c r="BV2125" i="4"/>
  <c r="J1975" i="4"/>
  <c r="J1977" i="4"/>
  <c r="J1976" i="4"/>
  <c r="J1474" i="5"/>
  <c r="G1481" i="5"/>
  <c r="C1481" i="5"/>
  <c r="C1480" i="5"/>
  <c r="H1490" i="5"/>
  <c r="H1491" i="5"/>
  <c r="D1490" i="5"/>
  <c r="D1491" i="5"/>
  <c r="D1480" i="5"/>
  <c r="H1953" i="4"/>
  <c r="H1954" i="4"/>
  <c r="B1953" i="4"/>
  <c r="B1954" i="4"/>
  <c r="G1953" i="4"/>
  <c r="J2127" i="3"/>
  <c r="D2119" i="3"/>
  <c r="E2120" i="3"/>
  <c r="J2012" i="2"/>
  <c r="I2024" i="2"/>
  <c r="BU2191" i="2"/>
  <c r="BU2208" i="2"/>
  <c r="I2022" i="2"/>
  <c r="BU2189" i="2"/>
  <c r="BU2206" i="2"/>
  <c r="I2021" i="2"/>
  <c r="BU2188" i="2"/>
  <c r="BU2205" i="2"/>
  <c r="I2020" i="2"/>
  <c r="BU2187" i="2"/>
  <c r="BU2204" i="2"/>
  <c r="I2023" i="2"/>
  <c r="BU2190" i="2"/>
  <c r="BU2207" i="2"/>
  <c r="C2019" i="2"/>
  <c r="E2019" i="2"/>
  <c r="H2018" i="2"/>
  <c r="F2018" i="2"/>
  <c r="D2018" i="2"/>
  <c r="B2018" i="2"/>
  <c r="J2221" i="1"/>
  <c r="J2214" i="1"/>
  <c r="I2214" i="1"/>
  <c r="CC2382" i="1"/>
  <c r="J2217" i="1"/>
  <c r="J2210" i="1"/>
  <c r="I2210" i="1"/>
  <c r="CC2378" i="1"/>
  <c r="J2209" i="1"/>
  <c r="J2203" i="1"/>
  <c r="E2216" i="1"/>
  <c r="C2216" i="1"/>
  <c r="I2225" i="1"/>
  <c r="CC2393" i="1"/>
  <c r="J2224" i="1"/>
  <c r="H2216" i="1"/>
  <c r="D2216" i="1"/>
  <c r="B2216" i="1"/>
  <c r="I772" i="6"/>
  <c r="AD880" i="6"/>
  <c r="J2183" i="3"/>
  <c r="CB2292" i="3"/>
  <c r="I771" i="6"/>
  <c r="AD879" i="6"/>
  <c r="J782" i="6"/>
  <c r="J771" i="6"/>
  <c r="I2174" i="3"/>
  <c r="CB2282" i="3"/>
  <c r="J2184" i="3"/>
  <c r="I2211" i="1"/>
  <c r="CC2379" i="1"/>
  <c r="J2219" i="1"/>
  <c r="J2212" i="1"/>
  <c r="J2220" i="1"/>
  <c r="J2213" i="1"/>
  <c r="I1518" i="5"/>
  <c r="BE1653" i="5"/>
  <c r="I1991" i="4"/>
  <c r="BV2126" i="4"/>
  <c r="I2212" i="1"/>
  <c r="CC2380" i="1"/>
  <c r="J2218" i="1"/>
  <c r="J2211" i="1"/>
  <c r="I2213" i="1"/>
  <c r="CC2381" i="1"/>
  <c r="D1481" i="5"/>
  <c r="H1480" i="5"/>
  <c r="H1481" i="5"/>
  <c r="J2023" i="2"/>
  <c r="J2021" i="2"/>
  <c r="J2020" i="2"/>
  <c r="J2022" i="2"/>
  <c r="I2025" i="2"/>
  <c r="J2024" i="2"/>
  <c r="I2027" i="2"/>
  <c r="BU2194" i="2"/>
  <c r="J2225" i="1"/>
  <c r="I2226" i="1"/>
  <c r="CC2394" i="1"/>
  <c r="Z893" i="6"/>
  <c r="Z896" i="6"/>
  <c r="H698" i="6"/>
  <c r="H697" i="6"/>
  <c r="G698" i="6"/>
  <c r="G697" i="6"/>
  <c r="F698" i="6"/>
  <c r="F697" i="6"/>
  <c r="E698" i="6"/>
  <c r="E697" i="6"/>
  <c r="D698" i="6"/>
  <c r="D697" i="6"/>
  <c r="C698" i="6"/>
  <c r="C697" i="6"/>
  <c r="B698" i="6"/>
  <c r="B697" i="6"/>
  <c r="H684" i="6"/>
  <c r="G684" i="6"/>
  <c r="F684" i="6"/>
  <c r="E684" i="6"/>
  <c r="D684" i="6"/>
  <c r="C684" i="6"/>
  <c r="B684" i="6"/>
  <c r="I683" i="6"/>
  <c r="I682" i="6"/>
  <c r="I681" i="6"/>
  <c r="I680" i="6"/>
  <c r="I679" i="6"/>
  <c r="AA868" i="6"/>
  <c r="I678" i="6"/>
  <c r="BB1657" i="5"/>
  <c r="BB1660" i="5"/>
  <c r="H1461" i="5"/>
  <c r="H1460" i="5"/>
  <c r="G1461" i="5"/>
  <c r="G1460" i="5"/>
  <c r="F1461" i="5"/>
  <c r="F1460" i="5"/>
  <c r="E1461" i="5"/>
  <c r="E1460" i="5"/>
  <c r="D1461" i="5"/>
  <c r="D1460" i="5"/>
  <c r="C1461" i="5"/>
  <c r="C1460" i="5"/>
  <c r="B1461" i="5"/>
  <c r="B1460" i="5"/>
  <c r="H1447" i="5"/>
  <c r="G1447" i="5"/>
  <c r="F1447" i="5"/>
  <c r="E1447" i="5"/>
  <c r="D1447" i="5"/>
  <c r="C1447" i="5"/>
  <c r="B1447" i="5"/>
  <c r="I1446" i="5"/>
  <c r="I1445" i="5"/>
  <c r="I1444" i="5"/>
  <c r="I1443" i="5"/>
  <c r="I1442" i="5"/>
  <c r="BC1631" i="5"/>
  <c r="I1441" i="5"/>
  <c r="BS2130" i="4"/>
  <c r="BS2133" i="4"/>
  <c r="H1934" i="4"/>
  <c r="H1933" i="4"/>
  <c r="G1934" i="4"/>
  <c r="G1933" i="4"/>
  <c r="F1934" i="4"/>
  <c r="F1933" i="4"/>
  <c r="E1934" i="4"/>
  <c r="E1933" i="4"/>
  <c r="D1934" i="4"/>
  <c r="D1933" i="4"/>
  <c r="C1934" i="4"/>
  <c r="C1933" i="4"/>
  <c r="B1934" i="4"/>
  <c r="B1933" i="4"/>
  <c r="H1920" i="4"/>
  <c r="G1920" i="4"/>
  <c r="F1920" i="4"/>
  <c r="E1920" i="4"/>
  <c r="D1920" i="4"/>
  <c r="C1920" i="4"/>
  <c r="B1920" i="4"/>
  <c r="I1919" i="4"/>
  <c r="I1918" i="4"/>
  <c r="I1917" i="4"/>
  <c r="J1917" i="4"/>
  <c r="I1916" i="4"/>
  <c r="I1915" i="4"/>
  <c r="BT2104" i="4"/>
  <c r="I1914" i="4"/>
  <c r="BX2295" i="3"/>
  <c r="BX2298" i="3"/>
  <c r="H2100" i="3"/>
  <c r="H2099" i="3"/>
  <c r="G2100" i="3"/>
  <c r="G2099" i="3"/>
  <c r="F2100" i="3"/>
  <c r="F2099" i="3"/>
  <c r="E2100" i="3"/>
  <c r="E2099" i="3"/>
  <c r="D2100" i="3"/>
  <c r="D2099" i="3"/>
  <c r="C2100" i="3"/>
  <c r="C2099" i="3"/>
  <c r="B2100" i="3"/>
  <c r="B2099" i="3"/>
  <c r="H2086" i="3"/>
  <c r="G2086" i="3"/>
  <c r="F2086" i="3"/>
  <c r="E2086" i="3"/>
  <c r="D2086" i="3"/>
  <c r="C2086" i="3"/>
  <c r="B2086" i="3"/>
  <c r="I2085" i="3"/>
  <c r="BY2274" i="3"/>
  <c r="I2084" i="3"/>
  <c r="I2083" i="3"/>
  <c r="BY2272" i="3"/>
  <c r="I2082" i="3"/>
  <c r="I2081" i="3"/>
  <c r="BY2270" i="3"/>
  <c r="BS2200" i="2"/>
  <c r="BS2203" i="2"/>
  <c r="H1998" i="2"/>
  <c r="H1997" i="2"/>
  <c r="G1998" i="2"/>
  <c r="G1997" i="2"/>
  <c r="F1998" i="2"/>
  <c r="F1997" i="2"/>
  <c r="E1998" i="2"/>
  <c r="D1998" i="2"/>
  <c r="D1997" i="2"/>
  <c r="C1998" i="2"/>
  <c r="C1997" i="2"/>
  <c r="C1999" i="2"/>
  <c r="B1998" i="2"/>
  <c r="B1997" i="2"/>
  <c r="H1984" i="2"/>
  <c r="G1984" i="2"/>
  <c r="F1984" i="2"/>
  <c r="E1984" i="2"/>
  <c r="D1984" i="2"/>
  <c r="C1984" i="2"/>
  <c r="B1984" i="2"/>
  <c r="I1983" i="2"/>
  <c r="J1983" i="2"/>
  <c r="I1982" i="2"/>
  <c r="I1981" i="2"/>
  <c r="J1981" i="2"/>
  <c r="I1980" i="2"/>
  <c r="I1979" i="2"/>
  <c r="BT2174" i="2"/>
  <c r="I1978" i="2"/>
  <c r="J1978" i="2"/>
  <c r="CA2398" i="1"/>
  <c r="CA2401" i="1"/>
  <c r="H2196" i="1"/>
  <c r="H2195" i="1"/>
  <c r="H2194" i="1"/>
  <c r="G2196" i="1"/>
  <c r="G2195" i="1"/>
  <c r="F2196" i="1"/>
  <c r="F2195" i="1"/>
  <c r="E2196" i="1"/>
  <c r="E2195" i="1"/>
  <c r="D2196" i="1"/>
  <c r="D2195" i="1"/>
  <c r="D2192" i="1"/>
  <c r="C2196" i="1"/>
  <c r="C2195" i="1"/>
  <c r="B2196" i="1"/>
  <c r="B2195" i="1"/>
  <c r="D2194" i="1"/>
  <c r="H2182" i="1"/>
  <c r="G2182" i="1"/>
  <c r="F2182" i="1"/>
  <c r="E2182" i="1"/>
  <c r="D2182" i="1"/>
  <c r="C2182" i="1"/>
  <c r="B2182" i="1"/>
  <c r="I2181" i="1"/>
  <c r="I2180" i="1"/>
  <c r="J2180" i="1"/>
  <c r="I2179" i="1"/>
  <c r="I2178" i="1"/>
  <c r="J2178" i="1"/>
  <c r="I2177" i="1"/>
  <c r="CB2367" i="1"/>
  <c r="I2176" i="1"/>
  <c r="H651" i="6"/>
  <c r="G651" i="6"/>
  <c r="F651" i="6"/>
  <c r="E651" i="6"/>
  <c r="D651" i="6"/>
  <c r="C651" i="6"/>
  <c r="B651" i="6"/>
  <c r="H1414" i="5"/>
  <c r="G1414" i="5"/>
  <c r="F1414" i="5"/>
  <c r="E1414" i="5"/>
  <c r="D1414" i="5"/>
  <c r="C1414" i="5"/>
  <c r="B1414" i="5"/>
  <c r="H1887" i="4"/>
  <c r="G1887" i="4"/>
  <c r="F1887" i="4"/>
  <c r="E1887" i="4"/>
  <c r="D1887" i="4"/>
  <c r="C1887" i="4"/>
  <c r="B1887" i="4"/>
  <c r="H1950" i="2"/>
  <c r="G1950" i="2"/>
  <c r="F1950" i="2"/>
  <c r="E1950" i="2"/>
  <c r="D1950" i="2"/>
  <c r="C1950" i="2"/>
  <c r="B1950" i="2"/>
  <c r="H2053" i="3"/>
  <c r="G2053" i="3"/>
  <c r="F2053" i="3"/>
  <c r="E2053" i="3"/>
  <c r="D2053" i="3"/>
  <c r="C2053" i="3"/>
  <c r="B2053" i="3"/>
  <c r="H2149" i="1"/>
  <c r="G2149" i="1"/>
  <c r="F2149" i="1"/>
  <c r="E2149" i="1"/>
  <c r="D2149" i="1"/>
  <c r="C2149" i="1"/>
  <c r="B2149" i="1"/>
  <c r="I1981" i="4"/>
  <c r="BV2116" i="4"/>
  <c r="J2174" i="3"/>
  <c r="I1980" i="4"/>
  <c r="BV2115" i="4"/>
  <c r="J1991" i="4"/>
  <c r="J1981" i="4"/>
  <c r="J2025" i="2"/>
  <c r="J2017" i="2"/>
  <c r="BU2192" i="2"/>
  <c r="J1518" i="5"/>
  <c r="I1508" i="5"/>
  <c r="BE1643" i="5"/>
  <c r="I1507" i="5"/>
  <c r="BE1642" i="5"/>
  <c r="J1980" i="4"/>
  <c r="I2015" i="2"/>
  <c r="BU2182" i="2"/>
  <c r="I2013" i="2"/>
  <c r="BU2180" i="2"/>
  <c r="I2016" i="2"/>
  <c r="BU2183" i="2"/>
  <c r="I2014" i="2"/>
  <c r="BU2181" i="2"/>
  <c r="J2179" i="1"/>
  <c r="CB2369" i="1"/>
  <c r="J2181" i="1"/>
  <c r="CB2371" i="1"/>
  <c r="BT2176" i="2"/>
  <c r="BT2178" i="2"/>
  <c r="J2082" i="3"/>
  <c r="BY2271" i="3"/>
  <c r="J2084" i="3"/>
  <c r="BY2273" i="3"/>
  <c r="BT2106" i="4"/>
  <c r="J1919" i="4"/>
  <c r="BT2108" i="4"/>
  <c r="J1441" i="5"/>
  <c r="BC1630" i="5"/>
  <c r="BC1658" i="5"/>
  <c r="J1443" i="5"/>
  <c r="BC1632" i="5"/>
  <c r="J1445" i="5"/>
  <c r="BC1634" i="5"/>
  <c r="J681" i="6"/>
  <c r="AA870" i="6"/>
  <c r="J683" i="6"/>
  <c r="AA872" i="6"/>
  <c r="J2176" i="1"/>
  <c r="CB2366" i="1"/>
  <c r="CB2399" i="1"/>
  <c r="CB2368" i="1"/>
  <c r="CB2370" i="1"/>
  <c r="BT2173" i="2"/>
  <c r="BT2201" i="2"/>
  <c r="J1980" i="2"/>
  <c r="BT2175" i="2"/>
  <c r="J1982" i="2"/>
  <c r="BT2177" i="2"/>
  <c r="J2083" i="3"/>
  <c r="J2085" i="3"/>
  <c r="J1914" i="4"/>
  <c r="BT2103" i="4"/>
  <c r="BT2131" i="4"/>
  <c r="J1916" i="4"/>
  <c r="BT2105" i="4"/>
  <c r="J1918" i="4"/>
  <c r="BT2107" i="4"/>
  <c r="J1444" i="5"/>
  <c r="BC1633" i="5"/>
  <c r="J1446" i="5"/>
  <c r="BC1635" i="5"/>
  <c r="J678" i="6"/>
  <c r="AA867" i="6"/>
  <c r="AA894" i="6"/>
  <c r="J680" i="6"/>
  <c r="AA869" i="6"/>
  <c r="J682" i="6"/>
  <c r="AA871" i="6"/>
  <c r="I2017" i="2"/>
  <c r="BU2184" i="2"/>
  <c r="I2028" i="2"/>
  <c r="BU2195" i="2"/>
  <c r="J2015" i="2"/>
  <c r="J2014" i="2"/>
  <c r="I2216" i="1"/>
  <c r="CC2384" i="1"/>
  <c r="J2226" i="1"/>
  <c r="I2215" i="1"/>
  <c r="CC2383" i="1"/>
  <c r="E1997" i="2"/>
  <c r="E1999" i="2"/>
  <c r="E2000" i="2"/>
  <c r="E2001" i="2"/>
  <c r="E2194" i="1"/>
  <c r="E2192" i="1"/>
  <c r="E2190" i="1"/>
  <c r="E2193" i="1"/>
  <c r="E2191" i="1"/>
  <c r="D2193" i="1"/>
  <c r="D2191" i="1"/>
  <c r="H2193" i="1"/>
  <c r="H2191" i="1"/>
  <c r="C1931" i="4"/>
  <c r="C1928" i="4"/>
  <c r="C1935" i="4"/>
  <c r="C1929" i="4"/>
  <c r="E1935" i="4"/>
  <c r="E1936" i="4"/>
  <c r="E1937" i="4"/>
  <c r="E1929" i="4"/>
  <c r="E1928" i="4"/>
  <c r="E1931" i="4"/>
  <c r="G1931" i="4"/>
  <c r="G1928" i="4"/>
  <c r="G1929" i="4"/>
  <c r="G1935" i="4"/>
  <c r="G1936" i="4"/>
  <c r="G1937" i="4"/>
  <c r="C695" i="6"/>
  <c r="C692" i="6"/>
  <c r="C699" i="6"/>
  <c r="C693" i="6"/>
  <c r="E699" i="6"/>
  <c r="E693" i="6"/>
  <c r="E692" i="6"/>
  <c r="E695" i="6"/>
  <c r="G695" i="6"/>
  <c r="G692" i="6"/>
  <c r="G693" i="6"/>
  <c r="G699" i="6"/>
  <c r="G700" i="6"/>
  <c r="G701" i="6"/>
  <c r="C1995" i="2"/>
  <c r="C1993" i="2"/>
  <c r="C2095" i="3"/>
  <c r="C2098" i="3"/>
  <c r="C2097" i="3"/>
  <c r="E2098" i="3"/>
  <c r="E2095" i="3"/>
  <c r="G2097" i="3"/>
  <c r="G2095" i="3"/>
  <c r="G2098" i="3"/>
  <c r="C1458" i="5"/>
  <c r="C1455" i="5"/>
  <c r="C1462" i="5"/>
  <c r="C1463" i="5"/>
  <c r="C1464" i="5"/>
  <c r="C1456" i="5"/>
  <c r="E1462" i="5"/>
  <c r="E1456" i="5"/>
  <c r="E1455" i="5"/>
  <c r="E1458" i="5"/>
  <c r="G1458" i="5"/>
  <c r="G1455" i="5"/>
  <c r="G1456" i="5"/>
  <c r="G1462" i="5"/>
  <c r="G1463" i="5"/>
  <c r="G1464" i="5"/>
  <c r="I1984" i="2"/>
  <c r="I1920" i="4"/>
  <c r="I1447" i="5"/>
  <c r="I684" i="6"/>
  <c r="B699" i="6"/>
  <c r="B695" i="6"/>
  <c r="D695" i="6"/>
  <c r="F695" i="6"/>
  <c r="H695" i="6"/>
  <c r="I695" i="6"/>
  <c r="B693" i="6"/>
  <c r="B696" i="6"/>
  <c r="B694" i="6"/>
  <c r="B692" i="6"/>
  <c r="D699" i="6"/>
  <c r="D693" i="6"/>
  <c r="D696" i="6"/>
  <c r="D694" i="6"/>
  <c r="D692" i="6"/>
  <c r="F699" i="6"/>
  <c r="F693" i="6"/>
  <c r="F696" i="6"/>
  <c r="F694" i="6"/>
  <c r="F692" i="6"/>
  <c r="H699" i="6"/>
  <c r="H693" i="6"/>
  <c r="H696" i="6"/>
  <c r="H694" i="6"/>
  <c r="H692" i="6"/>
  <c r="C694" i="6"/>
  <c r="E694" i="6"/>
  <c r="G694" i="6"/>
  <c r="C696" i="6"/>
  <c r="E696" i="6"/>
  <c r="G696" i="6"/>
  <c r="C700" i="6"/>
  <c r="C701" i="6"/>
  <c r="E700" i="6"/>
  <c r="E701" i="6"/>
  <c r="B700" i="6"/>
  <c r="B701" i="6"/>
  <c r="D700" i="6"/>
  <c r="D701" i="6"/>
  <c r="F700" i="6"/>
  <c r="F701" i="6"/>
  <c r="H700" i="6"/>
  <c r="H701" i="6"/>
  <c r="I698" i="6"/>
  <c r="AA887" i="6"/>
  <c r="AA902" i="6"/>
  <c r="J679" i="6"/>
  <c r="J698" i="6"/>
  <c r="B1462" i="5"/>
  <c r="B1463" i="5"/>
  <c r="B1464" i="5"/>
  <c r="B1458" i="5"/>
  <c r="D1458" i="5"/>
  <c r="F1458" i="5"/>
  <c r="H1458" i="5"/>
  <c r="I1458" i="5"/>
  <c r="B1456" i="5"/>
  <c r="B1459" i="5"/>
  <c r="B1457" i="5"/>
  <c r="B1455" i="5"/>
  <c r="D1462" i="5"/>
  <c r="D1456" i="5"/>
  <c r="D1459" i="5"/>
  <c r="D1457" i="5"/>
  <c r="D1455" i="5"/>
  <c r="F1462" i="5"/>
  <c r="F1463" i="5"/>
  <c r="F1464" i="5"/>
  <c r="F1456" i="5"/>
  <c r="F1459" i="5"/>
  <c r="F1457" i="5"/>
  <c r="F1455" i="5"/>
  <c r="H1462" i="5"/>
  <c r="H1456" i="5"/>
  <c r="H1459" i="5"/>
  <c r="H1457" i="5"/>
  <c r="H1455" i="5"/>
  <c r="C1457" i="5"/>
  <c r="E1457" i="5"/>
  <c r="G1457" i="5"/>
  <c r="C1459" i="5"/>
  <c r="E1459" i="5"/>
  <c r="G1459" i="5"/>
  <c r="E1463" i="5"/>
  <c r="E1464" i="5"/>
  <c r="D1463" i="5"/>
  <c r="D1464" i="5"/>
  <c r="H1463" i="5"/>
  <c r="H1464" i="5"/>
  <c r="I1461" i="5"/>
  <c r="BC1650" i="5"/>
  <c r="BC1666" i="5"/>
  <c r="J1442" i="5"/>
  <c r="J1461" i="5"/>
  <c r="B1935" i="4"/>
  <c r="B1931" i="4"/>
  <c r="B1929" i="4"/>
  <c r="B1932" i="4"/>
  <c r="B1930" i="4"/>
  <c r="B1928" i="4"/>
  <c r="D1935" i="4"/>
  <c r="D1931" i="4"/>
  <c r="D1929" i="4"/>
  <c r="D1932" i="4"/>
  <c r="D1930" i="4"/>
  <c r="D1928" i="4"/>
  <c r="F1935" i="4"/>
  <c r="F1931" i="4"/>
  <c r="F1929" i="4"/>
  <c r="F1932" i="4"/>
  <c r="F1930" i="4"/>
  <c r="F1928" i="4"/>
  <c r="H1935" i="4"/>
  <c r="H1931" i="4"/>
  <c r="H1929" i="4"/>
  <c r="H1932" i="4"/>
  <c r="H1930" i="4"/>
  <c r="H1928" i="4"/>
  <c r="C1930" i="4"/>
  <c r="E1930" i="4"/>
  <c r="G1930" i="4"/>
  <c r="C1932" i="4"/>
  <c r="E1932" i="4"/>
  <c r="G1932" i="4"/>
  <c r="C1936" i="4"/>
  <c r="C1937" i="4"/>
  <c r="B1936" i="4"/>
  <c r="B1937" i="4"/>
  <c r="D1936" i="4"/>
  <c r="D1937" i="4"/>
  <c r="F1936" i="4"/>
  <c r="F1937" i="4"/>
  <c r="H1936" i="4"/>
  <c r="H1937" i="4"/>
  <c r="I1934" i="4"/>
  <c r="BT2123" i="4"/>
  <c r="BT2139" i="4"/>
  <c r="J1915" i="4"/>
  <c r="J1934" i="4"/>
  <c r="I2086" i="3"/>
  <c r="BY2275" i="3"/>
  <c r="BY2297" i="3"/>
  <c r="E2097" i="3"/>
  <c r="F2101" i="3"/>
  <c r="F2102" i="3"/>
  <c r="F2103" i="3"/>
  <c r="F2097" i="3"/>
  <c r="F2095" i="3"/>
  <c r="F2098" i="3"/>
  <c r="F2096" i="3"/>
  <c r="F2094" i="3"/>
  <c r="I2080" i="3"/>
  <c r="BY2269" i="3"/>
  <c r="BY2296" i="3"/>
  <c r="C2094" i="3"/>
  <c r="E2094" i="3"/>
  <c r="G2094" i="3"/>
  <c r="C2096" i="3"/>
  <c r="E2096" i="3"/>
  <c r="G2096" i="3"/>
  <c r="C2101" i="3"/>
  <c r="E2101" i="3"/>
  <c r="E2102" i="3"/>
  <c r="E2103" i="3"/>
  <c r="G2101" i="3"/>
  <c r="C2102" i="3"/>
  <c r="C2103" i="3"/>
  <c r="G2102" i="3"/>
  <c r="G2103" i="3"/>
  <c r="I2100" i="3"/>
  <c r="BY2289" i="3"/>
  <c r="BY2304" i="3"/>
  <c r="B2094" i="3"/>
  <c r="D2094" i="3"/>
  <c r="H2094" i="3"/>
  <c r="I2094" i="3"/>
  <c r="BY2283" i="3"/>
  <c r="BY2299" i="3"/>
  <c r="B2095" i="3"/>
  <c r="D2095" i="3"/>
  <c r="H2095" i="3"/>
  <c r="I2095" i="3"/>
  <c r="BY2284" i="3"/>
  <c r="BY2300" i="3"/>
  <c r="B2096" i="3"/>
  <c r="D2096" i="3"/>
  <c r="H2096" i="3"/>
  <c r="I2096" i="3"/>
  <c r="BY2285" i="3"/>
  <c r="BY2301" i="3"/>
  <c r="B2097" i="3"/>
  <c r="D2097" i="3"/>
  <c r="H2097" i="3"/>
  <c r="I2097" i="3"/>
  <c r="BY2286" i="3"/>
  <c r="BY2302" i="3"/>
  <c r="B2098" i="3"/>
  <c r="D2098" i="3"/>
  <c r="H2098" i="3"/>
  <c r="I2098" i="3"/>
  <c r="BY2287" i="3"/>
  <c r="BY2303" i="3"/>
  <c r="J2081" i="3"/>
  <c r="D1999" i="2"/>
  <c r="D1996" i="2"/>
  <c r="D1994" i="2"/>
  <c r="D1992" i="2"/>
  <c r="D1995" i="2"/>
  <c r="D1993" i="2"/>
  <c r="C1992" i="2"/>
  <c r="E1992" i="2"/>
  <c r="C1994" i="2"/>
  <c r="E1994" i="2"/>
  <c r="C1996" i="2"/>
  <c r="E1996" i="2"/>
  <c r="D2000" i="2"/>
  <c r="D2001" i="2"/>
  <c r="I1998" i="2"/>
  <c r="BT2193" i="2"/>
  <c r="BT2209" i="2"/>
  <c r="J1979" i="2"/>
  <c r="J1998" i="2"/>
  <c r="D2197" i="1"/>
  <c r="H2197" i="1"/>
  <c r="E2197" i="1"/>
  <c r="D2198" i="1"/>
  <c r="D2199" i="1"/>
  <c r="E2198" i="1"/>
  <c r="E2199" i="1"/>
  <c r="I2196" i="1"/>
  <c r="CB2391" i="1"/>
  <c r="CB2407" i="1"/>
  <c r="J2177" i="1"/>
  <c r="Y893" i="6"/>
  <c r="Y896" i="6"/>
  <c r="H671" i="6"/>
  <c r="H670" i="6"/>
  <c r="G671" i="6"/>
  <c r="G670" i="6"/>
  <c r="F671" i="6"/>
  <c r="F670" i="6"/>
  <c r="E671" i="6"/>
  <c r="E670" i="6"/>
  <c r="D671" i="6"/>
  <c r="D670" i="6"/>
  <c r="C671" i="6"/>
  <c r="C670" i="6"/>
  <c r="B671" i="6"/>
  <c r="B670" i="6"/>
  <c r="H657" i="6"/>
  <c r="G657" i="6"/>
  <c r="F657" i="6"/>
  <c r="E657" i="6"/>
  <c r="D657" i="6"/>
  <c r="C657" i="6"/>
  <c r="B657" i="6"/>
  <c r="I656" i="6"/>
  <c r="I655" i="6"/>
  <c r="I654" i="6"/>
  <c r="I653" i="6"/>
  <c r="I652" i="6"/>
  <c r="Z868" i="6"/>
  <c r="I651" i="6"/>
  <c r="BA1657" i="5"/>
  <c r="BA1660" i="5"/>
  <c r="H1434" i="5"/>
  <c r="H1433" i="5"/>
  <c r="G1434" i="5"/>
  <c r="G1433" i="5"/>
  <c r="F1434" i="5"/>
  <c r="F1433" i="5"/>
  <c r="E1434" i="5"/>
  <c r="E1433" i="5"/>
  <c r="D1434" i="5"/>
  <c r="D1433" i="5"/>
  <c r="C1434" i="5"/>
  <c r="C1433" i="5"/>
  <c r="B1434" i="5"/>
  <c r="B1433" i="5"/>
  <c r="H1420" i="5"/>
  <c r="G1420" i="5"/>
  <c r="F1420" i="5"/>
  <c r="E1420" i="5"/>
  <c r="D1420" i="5"/>
  <c r="C1420" i="5"/>
  <c r="B1420" i="5"/>
  <c r="I1419" i="5"/>
  <c r="I1418" i="5"/>
  <c r="I1417" i="5"/>
  <c r="I1416" i="5"/>
  <c r="I1415" i="5"/>
  <c r="BB1631" i="5"/>
  <c r="BR2130" i="4"/>
  <c r="BR2133" i="4"/>
  <c r="H1907" i="4"/>
  <c r="H1906" i="4"/>
  <c r="G1907" i="4"/>
  <c r="G1906" i="4"/>
  <c r="F1907" i="4"/>
  <c r="F1906" i="4"/>
  <c r="E1907" i="4"/>
  <c r="E1906" i="4"/>
  <c r="D1907" i="4"/>
  <c r="D1906" i="4"/>
  <c r="C1907" i="4"/>
  <c r="C1906" i="4"/>
  <c r="B1907" i="4"/>
  <c r="B1906" i="4"/>
  <c r="H1893" i="4"/>
  <c r="G1893" i="4"/>
  <c r="F1893" i="4"/>
  <c r="E1893" i="4"/>
  <c r="D1893" i="4"/>
  <c r="C1893" i="4"/>
  <c r="B1893" i="4"/>
  <c r="I1892" i="4"/>
  <c r="I1891" i="4"/>
  <c r="I1890" i="4"/>
  <c r="I1889" i="4"/>
  <c r="I1888" i="4"/>
  <c r="BS2104" i="4"/>
  <c r="I1887" i="4"/>
  <c r="BW2295" i="3"/>
  <c r="BW2298" i="3"/>
  <c r="H2073" i="3"/>
  <c r="H2072" i="3"/>
  <c r="G2073" i="3"/>
  <c r="G2072" i="3"/>
  <c r="F2073" i="3"/>
  <c r="F2072" i="3"/>
  <c r="E2073" i="3"/>
  <c r="E2072" i="3"/>
  <c r="D2073" i="3"/>
  <c r="D2072" i="3"/>
  <c r="C2073" i="3"/>
  <c r="C2072" i="3"/>
  <c r="B2073" i="3"/>
  <c r="B2072" i="3"/>
  <c r="H2059" i="3"/>
  <c r="G2059" i="3"/>
  <c r="F2059" i="3"/>
  <c r="E2059" i="3"/>
  <c r="D2059" i="3"/>
  <c r="C2059" i="3"/>
  <c r="B2059" i="3"/>
  <c r="I2058" i="3"/>
  <c r="I2057" i="3"/>
  <c r="I2056" i="3"/>
  <c r="I2055" i="3"/>
  <c r="I2054" i="3"/>
  <c r="BX2270" i="3"/>
  <c r="BR2200" i="2"/>
  <c r="BR2203" i="2"/>
  <c r="H1970" i="2"/>
  <c r="H1969" i="2"/>
  <c r="G1970" i="2"/>
  <c r="G1969" i="2"/>
  <c r="F1970" i="2"/>
  <c r="F1969" i="2"/>
  <c r="E1970" i="2"/>
  <c r="E1969" i="2"/>
  <c r="D1970" i="2"/>
  <c r="D1969" i="2"/>
  <c r="C1970" i="2"/>
  <c r="C1969" i="2"/>
  <c r="C1968" i="2"/>
  <c r="B1970" i="2"/>
  <c r="B1969" i="2"/>
  <c r="H1956" i="2"/>
  <c r="G1956" i="2"/>
  <c r="F1956" i="2"/>
  <c r="E1956" i="2"/>
  <c r="D1956" i="2"/>
  <c r="C1956" i="2"/>
  <c r="B1956" i="2"/>
  <c r="I1955" i="2"/>
  <c r="I1954" i="2"/>
  <c r="J1954" i="2"/>
  <c r="I1953" i="2"/>
  <c r="I1952" i="2"/>
  <c r="J1952" i="2"/>
  <c r="I1951" i="2"/>
  <c r="BS2174" i="2"/>
  <c r="I1950" i="2"/>
  <c r="BZ2398" i="1"/>
  <c r="BZ2401" i="1"/>
  <c r="H2169" i="1"/>
  <c r="H2168" i="1"/>
  <c r="G2169" i="1"/>
  <c r="G2168" i="1"/>
  <c r="F2169" i="1"/>
  <c r="F2168" i="1"/>
  <c r="E2169" i="1"/>
  <c r="E2168" i="1"/>
  <c r="D2169" i="1"/>
  <c r="D2168" i="1"/>
  <c r="C2169" i="1"/>
  <c r="C2168" i="1"/>
  <c r="B2169" i="1"/>
  <c r="B2168" i="1"/>
  <c r="H2155" i="1"/>
  <c r="G2155" i="1"/>
  <c r="F2155" i="1"/>
  <c r="E2155" i="1"/>
  <c r="D2155" i="1"/>
  <c r="C2155" i="1"/>
  <c r="B2155" i="1"/>
  <c r="I2154" i="1"/>
  <c r="I2153" i="1"/>
  <c r="J2153" i="1"/>
  <c r="I2152" i="1"/>
  <c r="I2151" i="1"/>
  <c r="J2151" i="1"/>
  <c r="I2150" i="1"/>
  <c r="CA2367" i="1"/>
  <c r="I2149" i="1"/>
  <c r="H624" i="6"/>
  <c r="G624" i="6"/>
  <c r="F624" i="6"/>
  <c r="E624" i="6"/>
  <c r="D624" i="6"/>
  <c r="C624" i="6"/>
  <c r="B624" i="6"/>
  <c r="I624" i="6"/>
  <c r="H1387" i="5"/>
  <c r="G1387" i="5"/>
  <c r="F1387" i="5"/>
  <c r="E1387" i="5"/>
  <c r="D1387" i="5"/>
  <c r="C1387" i="5"/>
  <c r="B1387" i="5"/>
  <c r="H1860" i="4"/>
  <c r="G1860" i="4"/>
  <c r="F1860" i="4"/>
  <c r="E1860" i="4"/>
  <c r="D1860" i="4"/>
  <c r="C1860" i="4"/>
  <c r="B1860" i="4"/>
  <c r="H2026" i="3"/>
  <c r="G2026" i="3"/>
  <c r="F2026" i="3"/>
  <c r="E2026" i="3"/>
  <c r="D2026" i="3"/>
  <c r="C2026" i="3"/>
  <c r="B2026" i="3"/>
  <c r="H1922" i="2"/>
  <c r="G1922" i="2"/>
  <c r="F1922" i="2"/>
  <c r="E1922" i="2"/>
  <c r="D1922" i="2"/>
  <c r="C1922" i="2"/>
  <c r="B1922" i="2"/>
  <c r="H2122" i="1"/>
  <c r="G2122" i="1"/>
  <c r="F2122" i="1"/>
  <c r="E2122" i="1"/>
  <c r="D2122" i="1"/>
  <c r="C2122" i="1"/>
  <c r="B2122" i="1"/>
  <c r="X893" i="6"/>
  <c r="X896" i="6"/>
  <c r="H644" i="6"/>
  <c r="H643" i="6"/>
  <c r="G644" i="6"/>
  <c r="G643" i="6"/>
  <c r="F644" i="6"/>
  <c r="F643" i="6"/>
  <c r="E644" i="6"/>
  <c r="E643" i="6"/>
  <c r="D644" i="6"/>
  <c r="D643" i="6"/>
  <c r="C644" i="6"/>
  <c r="C643" i="6"/>
  <c r="B644" i="6"/>
  <c r="B643" i="6"/>
  <c r="H630" i="6"/>
  <c r="G630" i="6"/>
  <c r="F630" i="6"/>
  <c r="E630" i="6"/>
  <c r="D630" i="6"/>
  <c r="C630" i="6"/>
  <c r="B630" i="6"/>
  <c r="I629" i="6"/>
  <c r="I628" i="6"/>
  <c r="I627" i="6"/>
  <c r="I626" i="6"/>
  <c r="I625" i="6"/>
  <c r="Y868" i="6"/>
  <c r="AZ1657" i="5"/>
  <c r="AZ1660" i="5"/>
  <c r="J2016" i="2"/>
  <c r="J2013" i="2"/>
  <c r="J2027" i="2"/>
  <c r="J2028" i="2"/>
  <c r="J1508" i="5"/>
  <c r="J1507" i="5"/>
  <c r="J684" i="6"/>
  <c r="AA873" i="6"/>
  <c r="AA895" i="6"/>
  <c r="J1920" i="4"/>
  <c r="BT2109" i="4"/>
  <c r="BT2132" i="4"/>
  <c r="J1447" i="5"/>
  <c r="BC1636" i="5"/>
  <c r="BC1659" i="5"/>
  <c r="J1984" i="2"/>
  <c r="BT2179" i="2"/>
  <c r="BT2202" i="2"/>
  <c r="I2029" i="2"/>
  <c r="BU2196" i="2"/>
  <c r="J2215" i="1"/>
  <c r="J2216" i="1"/>
  <c r="I1929" i="4"/>
  <c r="BT2118" i="4"/>
  <c r="BT2135" i="4"/>
  <c r="E1995" i="2"/>
  <c r="E1993" i="2"/>
  <c r="J2152" i="1"/>
  <c r="CA2369" i="1"/>
  <c r="J2154" i="1"/>
  <c r="CA2371" i="1"/>
  <c r="J1950" i="2"/>
  <c r="BS2173" i="2"/>
  <c r="BS2201" i="2"/>
  <c r="BS2175" i="2"/>
  <c r="BS2177" i="2"/>
  <c r="J2055" i="3"/>
  <c r="BX2271" i="3"/>
  <c r="J2057" i="3"/>
  <c r="BX2273" i="3"/>
  <c r="J1890" i="4"/>
  <c r="BS2106" i="4"/>
  <c r="J1892" i="4"/>
  <c r="BS2108" i="4"/>
  <c r="J1417" i="5"/>
  <c r="BB1633" i="5"/>
  <c r="J1419" i="5"/>
  <c r="BB1635" i="5"/>
  <c r="J651" i="6"/>
  <c r="Z867" i="6"/>
  <c r="Z894" i="6"/>
  <c r="J653" i="6"/>
  <c r="Z869" i="6"/>
  <c r="J655" i="6"/>
  <c r="Z871" i="6"/>
  <c r="J2149" i="1"/>
  <c r="CA2366" i="1"/>
  <c r="CA2399" i="1"/>
  <c r="CA2368" i="1"/>
  <c r="CA2370" i="1"/>
  <c r="J1953" i="2"/>
  <c r="BS2176" i="2"/>
  <c r="J1955" i="2"/>
  <c r="BS2178" i="2"/>
  <c r="J2056" i="3"/>
  <c r="BX2272" i="3"/>
  <c r="J2058" i="3"/>
  <c r="BX2274" i="3"/>
  <c r="J1887" i="4"/>
  <c r="BS2103" i="4"/>
  <c r="BS2131" i="4"/>
  <c r="J1889" i="4"/>
  <c r="BS2105" i="4"/>
  <c r="J1891" i="4"/>
  <c r="BS2107" i="4"/>
  <c r="J1416" i="5"/>
  <c r="BB1632" i="5"/>
  <c r="J1418" i="5"/>
  <c r="BB1634" i="5"/>
  <c r="J654" i="6"/>
  <c r="Z870" i="6"/>
  <c r="J656" i="6"/>
  <c r="Z872" i="6"/>
  <c r="I694" i="6"/>
  <c r="AA883" i="6"/>
  <c r="AA899" i="6"/>
  <c r="I693" i="6"/>
  <c r="AA882" i="6"/>
  <c r="AA898" i="6"/>
  <c r="I692" i="6"/>
  <c r="AA881" i="6"/>
  <c r="AA897" i="6"/>
  <c r="I696" i="6"/>
  <c r="AA885" i="6"/>
  <c r="AA901" i="6"/>
  <c r="I1457" i="5"/>
  <c r="BC1646" i="5"/>
  <c r="BC1663" i="5"/>
  <c r="I1456" i="5"/>
  <c r="BC1645" i="5"/>
  <c r="BC1662" i="5"/>
  <c r="I1455" i="5"/>
  <c r="BC1644" i="5"/>
  <c r="BC1661" i="5"/>
  <c r="I1459" i="5"/>
  <c r="BC1648" i="5"/>
  <c r="BC1665" i="5"/>
  <c r="I1931" i="4"/>
  <c r="BT2120" i="4"/>
  <c r="BT2137" i="4"/>
  <c r="I1930" i="4"/>
  <c r="BT2119" i="4"/>
  <c r="BT2136" i="4"/>
  <c r="I1928" i="4"/>
  <c r="BT2117" i="4"/>
  <c r="BT2134" i="4"/>
  <c r="I1932" i="4"/>
  <c r="BT2121" i="4"/>
  <c r="BT2138" i="4"/>
  <c r="H1926" i="4"/>
  <c r="H1927" i="4"/>
  <c r="D1926" i="4"/>
  <c r="D1927" i="4"/>
  <c r="F1926" i="4"/>
  <c r="F1927" i="4"/>
  <c r="B1926" i="4"/>
  <c r="B1927" i="4"/>
  <c r="C1927" i="4"/>
  <c r="C1926" i="4"/>
  <c r="J2100" i="3"/>
  <c r="J2080" i="3"/>
  <c r="J2086" i="3"/>
  <c r="H2101" i="3"/>
  <c r="B2101" i="3"/>
  <c r="D2101" i="3"/>
  <c r="J2196" i="1"/>
  <c r="D2188" i="1"/>
  <c r="D2189" i="1"/>
  <c r="I657" i="6"/>
  <c r="I1420" i="5"/>
  <c r="I2059" i="3"/>
  <c r="I1956" i="2"/>
  <c r="J627" i="6"/>
  <c r="Y870" i="6"/>
  <c r="J629" i="6"/>
  <c r="Y872" i="6"/>
  <c r="C2070" i="3"/>
  <c r="C2071" i="3"/>
  <c r="C2068" i="3"/>
  <c r="E2071" i="3"/>
  <c r="E2068" i="3"/>
  <c r="E2070" i="3"/>
  <c r="G2070" i="3"/>
  <c r="G2071" i="3"/>
  <c r="G2068" i="3"/>
  <c r="J626" i="6"/>
  <c r="Y869" i="6"/>
  <c r="J628" i="6"/>
  <c r="Y871" i="6"/>
  <c r="C1908" i="4"/>
  <c r="C1909" i="4"/>
  <c r="C1910" i="4"/>
  <c r="C1902" i="4"/>
  <c r="C1904" i="4"/>
  <c r="E1904" i="4"/>
  <c r="E1908" i="4"/>
  <c r="E1902" i="4"/>
  <c r="G1908" i="4"/>
  <c r="G1909" i="4"/>
  <c r="G1910" i="4"/>
  <c r="G1902" i="4"/>
  <c r="G1904" i="4"/>
  <c r="I1893" i="4"/>
  <c r="I671" i="6"/>
  <c r="Z887" i="6"/>
  <c r="Z902" i="6"/>
  <c r="J652" i="6"/>
  <c r="J671" i="6"/>
  <c r="I1414" i="5"/>
  <c r="BB1630" i="5"/>
  <c r="BB1658" i="5"/>
  <c r="I1434" i="5"/>
  <c r="BB1650" i="5"/>
  <c r="BB1666" i="5"/>
  <c r="J1415" i="5"/>
  <c r="J1434" i="5"/>
  <c r="B1908" i="4"/>
  <c r="B1904" i="4"/>
  <c r="B1902" i="4"/>
  <c r="B1905" i="4"/>
  <c r="B1903" i="4"/>
  <c r="B1901" i="4"/>
  <c r="D1908" i="4"/>
  <c r="D1909" i="4"/>
  <c r="D1910" i="4"/>
  <c r="D1904" i="4"/>
  <c r="D1902" i="4"/>
  <c r="D1905" i="4"/>
  <c r="D1903" i="4"/>
  <c r="D1901" i="4"/>
  <c r="F1908" i="4"/>
  <c r="F1909" i="4"/>
  <c r="F1910" i="4"/>
  <c r="F1904" i="4"/>
  <c r="F1902" i="4"/>
  <c r="F1905" i="4"/>
  <c r="F1903" i="4"/>
  <c r="F1901" i="4"/>
  <c r="H1908" i="4"/>
  <c r="H1909" i="4"/>
  <c r="H1910" i="4"/>
  <c r="H1904" i="4"/>
  <c r="H1902" i="4"/>
  <c r="H1905" i="4"/>
  <c r="H1903" i="4"/>
  <c r="H1901" i="4"/>
  <c r="C1901" i="4"/>
  <c r="E1901" i="4"/>
  <c r="G1901" i="4"/>
  <c r="C1903" i="4"/>
  <c r="E1903" i="4"/>
  <c r="G1903" i="4"/>
  <c r="C1905" i="4"/>
  <c r="E1905" i="4"/>
  <c r="G1905" i="4"/>
  <c r="E1909" i="4"/>
  <c r="E1910" i="4"/>
  <c r="I1907" i="4"/>
  <c r="BS2123" i="4"/>
  <c r="BS2139" i="4"/>
  <c r="J1888" i="4"/>
  <c r="J1907" i="4"/>
  <c r="B2070" i="3"/>
  <c r="B2068" i="3"/>
  <c r="B2071" i="3"/>
  <c r="D2071" i="3"/>
  <c r="F2071" i="3"/>
  <c r="H2071" i="3"/>
  <c r="I2071" i="3"/>
  <c r="BX2287" i="3"/>
  <c r="BX2303" i="3"/>
  <c r="B2069" i="3"/>
  <c r="B2067" i="3"/>
  <c r="C2067" i="3"/>
  <c r="D2067" i="3"/>
  <c r="E2067" i="3"/>
  <c r="F2067" i="3"/>
  <c r="G2067" i="3"/>
  <c r="H2067" i="3"/>
  <c r="I2067" i="3"/>
  <c r="BX2283" i="3"/>
  <c r="BX2299" i="3"/>
  <c r="D2070" i="3"/>
  <c r="D2068" i="3"/>
  <c r="D2069" i="3"/>
  <c r="F2074" i="3"/>
  <c r="F2075" i="3"/>
  <c r="F2076" i="3"/>
  <c r="F2070" i="3"/>
  <c r="F2068" i="3"/>
  <c r="F2069" i="3"/>
  <c r="H2070" i="3"/>
  <c r="H2068" i="3"/>
  <c r="H2069" i="3"/>
  <c r="C2069" i="3"/>
  <c r="E2069" i="3"/>
  <c r="G2069" i="3"/>
  <c r="I2069" i="3"/>
  <c r="BX2285" i="3"/>
  <c r="BX2301" i="3"/>
  <c r="B2074" i="3"/>
  <c r="D2074" i="3"/>
  <c r="H2074" i="3"/>
  <c r="I2053" i="3"/>
  <c r="BX2269" i="3"/>
  <c r="BX2296" i="3"/>
  <c r="C2074" i="3"/>
  <c r="C2075" i="3"/>
  <c r="C2076" i="3"/>
  <c r="E2074" i="3"/>
  <c r="E2075" i="3"/>
  <c r="E2076" i="3"/>
  <c r="G2074" i="3"/>
  <c r="G2075" i="3"/>
  <c r="G2076" i="3"/>
  <c r="B2075" i="3"/>
  <c r="B2076" i="3"/>
  <c r="H2075" i="3"/>
  <c r="H2076" i="3"/>
  <c r="I2073" i="3"/>
  <c r="BX2289" i="3"/>
  <c r="BX2304" i="3"/>
  <c r="I2068" i="3"/>
  <c r="BX2284" i="3"/>
  <c r="BX2300" i="3"/>
  <c r="I2070" i="3"/>
  <c r="BX2286" i="3"/>
  <c r="BX2302" i="3"/>
  <c r="J2054" i="3"/>
  <c r="F1966" i="2"/>
  <c r="H1971" i="2"/>
  <c r="H1972" i="2"/>
  <c r="H1967" i="2"/>
  <c r="G1964" i="2"/>
  <c r="G1968" i="2"/>
  <c r="I1970" i="2"/>
  <c r="BS2193" i="2"/>
  <c r="BS2209" i="2"/>
  <c r="J1951" i="2"/>
  <c r="J1970" i="2"/>
  <c r="I2155" i="1"/>
  <c r="CA2372" i="1"/>
  <c r="CA2400" i="1"/>
  <c r="B2170" i="1"/>
  <c r="B2171" i="1"/>
  <c r="H2170" i="1"/>
  <c r="H2171" i="1"/>
  <c r="C2170" i="1"/>
  <c r="C2171" i="1"/>
  <c r="G2170" i="1"/>
  <c r="G2171" i="1"/>
  <c r="I2169" i="1"/>
  <c r="CA2391" i="1"/>
  <c r="CA2407" i="1"/>
  <c r="J2150" i="1"/>
  <c r="G645" i="6"/>
  <c r="G639" i="6"/>
  <c r="G641" i="6"/>
  <c r="E645" i="6"/>
  <c r="E646" i="6"/>
  <c r="E641" i="6"/>
  <c r="E639" i="6"/>
  <c r="C645" i="6"/>
  <c r="C639" i="6"/>
  <c r="C641" i="6"/>
  <c r="I630" i="6"/>
  <c r="F645" i="6"/>
  <c r="F641" i="6"/>
  <c r="F639" i="6"/>
  <c r="F642" i="6"/>
  <c r="F640" i="6"/>
  <c r="F638" i="6"/>
  <c r="B645" i="6"/>
  <c r="B641" i="6"/>
  <c r="B639" i="6"/>
  <c r="B642" i="6"/>
  <c r="B640" i="6"/>
  <c r="B638" i="6"/>
  <c r="D645" i="6"/>
  <c r="D646" i="6"/>
  <c r="D647" i="6"/>
  <c r="D641" i="6"/>
  <c r="D639" i="6"/>
  <c r="D642" i="6"/>
  <c r="D640" i="6"/>
  <c r="D638" i="6"/>
  <c r="H645" i="6"/>
  <c r="H646" i="6"/>
  <c r="H647" i="6"/>
  <c r="H641" i="6"/>
  <c r="H639" i="6"/>
  <c r="H642" i="6"/>
  <c r="H640" i="6"/>
  <c r="H638" i="6"/>
  <c r="C638" i="6"/>
  <c r="E638" i="6"/>
  <c r="G638" i="6"/>
  <c r="C640" i="6"/>
  <c r="E640" i="6"/>
  <c r="G640" i="6"/>
  <c r="C642" i="6"/>
  <c r="E642" i="6"/>
  <c r="G642" i="6"/>
  <c r="C646" i="6"/>
  <c r="C647" i="6"/>
  <c r="G646" i="6"/>
  <c r="G647" i="6"/>
  <c r="B646" i="6"/>
  <c r="B647" i="6"/>
  <c r="F646" i="6"/>
  <c r="F647" i="6"/>
  <c r="I644" i="6"/>
  <c r="Y887" i="6"/>
  <c r="Y902" i="6"/>
  <c r="J625" i="6"/>
  <c r="J644" i="6"/>
  <c r="H1407" i="5"/>
  <c r="H1406" i="5"/>
  <c r="H1404" i="5"/>
  <c r="G1407" i="5"/>
  <c r="G1406" i="5"/>
  <c r="G1408" i="5"/>
  <c r="F1407" i="5"/>
  <c r="F1406" i="5"/>
  <c r="F1408" i="5"/>
  <c r="E1407" i="5"/>
  <c r="E1406" i="5"/>
  <c r="E1408" i="5"/>
  <c r="D1407" i="5"/>
  <c r="D1406" i="5"/>
  <c r="D1408" i="5"/>
  <c r="C1407" i="5"/>
  <c r="C1406" i="5"/>
  <c r="C1403" i="5"/>
  <c r="C1408" i="5"/>
  <c r="B1407" i="5"/>
  <c r="B1406" i="5"/>
  <c r="B1408" i="5"/>
  <c r="G1403" i="5"/>
  <c r="H1402" i="5"/>
  <c r="H1393" i="5"/>
  <c r="G1393" i="5"/>
  <c r="F1393" i="5"/>
  <c r="E1393" i="5"/>
  <c r="D1393" i="5"/>
  <c r="C1393" i="5"/>
  <c r="B1393" i="5"/>
  <c r="I1392" i="5"/>
  <c r="BA1635" i="5"/>
  <c r="I1391" i="5"/>
  <c r="BA1634" i="5"/>
  <c r="I1390" i="5"/>
  <c r="BA1633" i="5"/>
  <c r="I1389" i="5"/>
  <c r="BA1632" i="5"/>
  <c r="I1388" i="5"/>
  <c r="BA1631" i="5"/>
  <c r="I1387" i="5"/>
  <c r="BA1630" i="5"/>
  <c r="BA1658" i="5"/>
  <c r="BQ2130" i="4"/>
  <c r="BQ2133" i="4"/>
  <c r="H1880" i="4"/>
  <c r="H1879" i="4"/>
  <c r="G1880" i="4"/>
  <c r="G1879" i="4"/>
  <c r="G1881" i="4"/>
  <c r="F1880" i="4"/>
  <c r="F1879" i="4"/>
  <c r="E1880" i="4"/>
  <c r="E1879" i="4"/>
  <c r="E1881" i="4"/>
  <c r="D1880" i="4"/>
  <c r="D1879" i="4"/>
  <c r="C1880" i="4"/>
  <c r="C1879" i="4"/>
  <c r="C1877" i="4"/>
  <c r="B1880" i="4"/>
  <c r="B1879" i="4"/>
  <c r="H1866" i="4"/>
  <c r="G1866" i="4"/>
  <c r="F1866" i="4"/>
  <c r="E1866" i="4"/>
  <c r="D1866" i="4"/>
  <c r="C1866" i="4"/>
  <c r="B1866" i="4"/>
  <c r="I1865" i="4"/>
  <c r="I1864" i="4"/>
  <c r="I1863" i="4"/>
  <c r="I1862" i="4"/>
  <c r="I1861" i="4"/>
  <c r="BR2104" i="4"/>
  <c r="I1860" i="4"/>
  <c r="BV2295" i="3"/>
  <c r="BV2298" i="3"/>
  <c r="H2046" i="3"/>
  <c r="H2045" i="3"/>
  <c r="G2046" i="3"/>
  <c r="G2045" i="3"/>
  <c r="G2044" i="3"/>
  <c r="G2043" i="3"/>
  <c r="F2046" i="3"/>
  <c r="F2045" i="3"/>
  <c r="E2046" i="3"/>
  <c r="E2045" i="3"/>
  <c r="E2044" i="3"/>
  <c r="D2046" i="3"/>
  <c r="D2045" i="3"/>
  <c r="C2046" i="3"/>
  <c r="C2045" i="3"/>
  <c r="C2043" i="3"/>
  <c r="B2046" i="3"/>
  <c r="B2045" i="3"/>
  <c r="B2043" i="3"/>
  <c r="D2043" i="3"/>
  <c r="E2043" i="3"/>
  <c r="F2043" i="3"/>
  <c r="H2043" i="3"/>
  <c r="I2043" i="3"/>
  <c r="H2032" i="3"/>
  <c r="G2032" i="3"/>
  <c r="F2032" i="3"/>
  <c r="E2032" i="3"/>
  <c r="D2032" i="3"/>
  <c r="C2032" i="3"/>
  <c r="B2032" i="3"/>
  <c r="I2031" i="3"/>
  <c r="I2030" i="3"/>
  <c r="J2030" i="3"/>
  <c r="I2029" i="3"/>
  <c r="I2028" i="3"/>
  <c r="J2028" i="3"/>
  <c r="I2027" i="3"/>
  <c r="BW2270" i="3"/>
  <c r="BQ2200" i="2"/>
  <c r="BQ2203" i="2"/>
  <c r="H1942" i="2"/>
  <c r="H1941" i="2"/>
  <c r="G1942" i="2"/>
  <c r="G1941" i="2"/>
  <c r="G1939" i="2"/>
  <c r="F1942" i="2"/>
  <c r="F1941" i="2"/>
  <c r="E1942" i="2"/>
  <c r="E1941" i="2"/>
  <c r="D1942" i="2"/>
  <c r="D1941" i="2"/>
  <c r="C1942" i="2"/>
  <c r="C1941" i="2"/>
  <c r="C1939" i="2"/>
  <c r="B1942" i="2"/>
  <c r="B1941" i="2"/>
  <c r="G1943" i="2"/>
  <c r="H1928" i="2"/>
  <c r="G1928" i="2"/>
  <c r="F1928" i="2"/>
  <c r="E1928" i="2"/>
  <c r="D1928" i="2"/>
  <c r="C1928" i="2"/>
  <c r="B1928" i="2"/>
  <c r="I1927" i="2"/>
  <c r="I1926" i="2"/>
  <c r="J1926" i="2"/>
  <c r="I1925" i="2"/>
  <c r="I1924" i="2"/>
  <c r="J1924" i="2"/>
  <c r="I1923" i="2"/>
  <c r="BR2174" i="2"/>
  <c r="I1922" i="2"/>
  <c r="BY2398" i="1"/>
  <c r="BY2401" i="1"/>
  <c r="H2142" i="1"/>
  <c r="H2141" i="1"/>
  <c r="G2142" i="1"/>
  <c r="F2142" i="1"/>
  <c r="F2141" i="1"/>
  <c r="E2142" i="1"/>
  <c r="E2141" i="1"/>
  <c r="E2138" i="1"/>
  <c r="D2142" i="1"/>
  <c r="D2141" i="1"/>
  <c r="C2142" i="1"/>
  <c r="C2141" i="1"/>
  <c r="C2140" i="1"/>
  <c r="B2142" i="1"/>
  <c r="B2141" i="1"/>
  <c r="H2128" i="1"/>
  <c r="G2128" i="1"/>
  <c r="F2128" i="1"/>
  <c r="E2128" i="1"/>
  <c r="D2128" i="1"/>
  <c r="C2128" i="1"/>
  <c r="B2128" i="1"/>
  <c r="I2127" i="1"/>
  <c r="I2126" i="1"/>
  <c r="BZ2370" i="1"/>
  <c r="I2125" i="1"/>
  <c r="I2124" i="1"/>
  <c r="BZ2368" i="1"/>
  <c r="I2123" i="1"/>
  <c r="BZ2367" i="1"/>
  <c r="I2122" i="1"/>
  <c r="E1403" i="5"/>
  <c r="I1904" i="4"/>
  <c r="J1904" i="4"/>
  <c r="I2019" i="2"/>
  <c r="BU2186" i="2"/>
  <c r="B1405" i="5"/>
  <c r="I2018" i="2"/>
  <c r="BU2185" i="2"/>
  <c r="J2029" i="2"/>
  <c r="J2019" i="2"/>
  <c r="I1902" i="4"/>
  <c r="BS2118" i="4"/>
  <c r="BS2135" i="4"/>
  <c r="G1937" i="2"/>
  <c r="D1402" i="5"/>
  <c r="F1405" i="5"/>
  <c r="J1929" i="4"/>
  <c r="J1931" i="4"/>
  <c r="J2059" i="3"/>
  <c r="BX2275" i="3"/>
  <c r="BX2297" i="3"/>
  <c r="J657" i="6"/>
  <c r="Z873" i="6"/>
  <c r="Z895" i="6"/>
  <c r="G1875" i="4"/>
  <c r="J1893" i="4"/>
  <c r="BS2109" i="4"/>
  <c r="BS2132" i="4"/>
  <c r="J1956" i="2"/>
  <c r="BS2179" i="2"/>
  <c r="BS2202" i="2"/>
  <c r="J1420" i="5"/>
  <c r="BB1636" i="5"/>
  <c r="BB1659" i="5"/>
  <c r="J692" i="6"/>
  <c r="J694" i="6"/>
  <c r="I697" i="6"/>
  <c r="J696" i="6"/>
  <c r="J693" i="6"/>
  <c r="J1455" i="5"/>
  <c r="J1457" i="5"/>
  <c r="I1460" i="5"/>
  <c r="J1459" i="5"/>
  <c r="J1456" i="5"/>
  <c r="B1401" i="5"/>
  <c r="B1402" i="5"/>
  <c r="B1403" i="5"/>
  <c r="F1403" i="5"/>
  <c r="D1404" i="5"/>
  <c r="D1405" i="5"/>
  <c r="J1928" i="4"/>
  <c r="I1933" i="4"/>
  <c r="J1932" i="4"/>
  <c r="J1930" i="4"/>
  <c r="C1874" i="4"/>
  <c r="G2041" i="3"/>
  <c r="J2094" i="3"/>
  <c r="J2098" i="3"/>
  <c r="J2097" i="3"/>
  <c r="C2137" i="1"/>
  <c r="C2139" i="1"/>
  <c r="E2140" i="1"/>
  <c r="J1902" i="4"/>
  <c r="J2125" i="1"/>
  <c r="BZ2369" i="1"/>
  <c r="J2127" i="1"/>
  <c r="BZ2371" i="1"/>
  <c r="J1922" i="2"/>
  <c r="BR2173" i="2"/>
  <c r="BR2201" i="2"/>
  <c r="BR2175" i="2"/>
  <c r="BR2177" i="2"/>
  <c r="BW2271" i="3"/>
  <c r="BW2273" i="3"/>
  <c r="J1863" i="4"/>
  <c r="BR2106" i="4"/>
  <c r="J1865" i="4"/>
  <c r="BR2108" i="4"/>
  <c r="J2122" i="1"/>
  <c r="BZ2366" i="1"/>
  <c r="BZ2399" i="1"/>
  <c r="J2124" i="1"/>
  <c r="J2126" i="1"/>
  <c r="J1925" i="2"/>
  <c r="BR2176" i="2"/>
  <c r="J1927" i="2"/>
  <c r="BR2178" i="2"/>
  <c r="J2029" i="3"/>
  <c r="BW2272" i="3"/>
  <c r="J2031" i="3"/>
  <c r="BW2274" i="3"/>
  <c r="J1860" i="4"/>
  <c r="BR2103" i="4"/>
  <c r="BR2131" i="4"/>
  <c r="J1862" i="4"/>
  <c r="BR2105" i="4"/>
  <c r="J1864" i="4"/>
  <c r="BR2107" i="4"/>
  <c r="J630" i="6"/>
  <c r="Y873" i="6"/>
  <c r="Y895" i="6"/>
  <c r="C2041" i="3"/>
  <c r="C1875" i="4"/>
  <c r="J1414" i="5"/>
  <c r="C1401" i="5"/>
  <c r="E1401" i="5"/>
  <c r="G1401" i="5"/>
  <c r="C1405" i="5"/>
  <c r="C1402" i="5"/>
  <c r="E1402" i="5"/>
  <c r="G1402" i="5"/>
  <c r="C1404" i="5"/>
  <c r="E1404" i="5"/>
  <c r="G1404" i="5"/>
  <c r="G1405" i="5"/>
  <c r="I1901" i="4"/>
  <c r="BS2117" i="4"/>
  <c r="BS2134" i="4"/>
  <c r="I1905" i="4"/>
  <c r="BS2121" i="4"/>
  <c r="BS2138" i="4"/>
  <c r="I1903" i="4"/>
  <c r="BS2119" i="4"/>
  <c r="BS2136" i="4"/>
  <c r="E1874" i="4"/>
  <c r="E1875" i="4"/>
  <c r="E1877" i="4"/>
  <c r="C1881" i="4"/>
  <c r="H1899" i="4"/>
  <c r="H1900" i="4"/>
  <c r="D1899" i="4"/>
  <c r="D1900" i="4"/>
  <c r="F1899" i="4"/>
  <c r="F1900" i="4"/>
  <c r="G1900" i="4"/>
  <c r="G1899" i="4"/>
  <c r="E1900" i="4"/>
  <c r="E1899" i="4"/>
  <c r="C1900" i="4"/>
  <c r="C1899" i="4"/>
  <c r="J2053" i="3"/>
  <c r="J2073" i="3"/>
  <c r="E2041" i="3"/>
  <c r="C2044" i="3"/>
  <c r="F2065" i="3"/>
  <c r="F2066" i="3"/>
  <c r="H2065" i="3"/>
  <c r="H2066" i="3"/>
  <c r="B2065" i="3"/>
  <c r="B2066" i="3"/>
  <c r="G2066" i="3"/>
  <c r="G2065" i="3"/>
  <c r="E2066" i="3"/>
  <c r="E2065" i="3"/>
  <c r="C2066" i="3"/>
  <c r="C2065" i="3"/>
  <c r="J2169" i="1"/>
  <c r="J2155" i="1"/>
  <c r="H2172" i="1"/>
  <c r="H2162" i="1"/>
  <c r="B2172" i="1"/>
  <c r="B2161" i="1"/>
  <c r="G2141" i="1"/>
  <c r="G2138" i="1"/>
  <c r="C2138" i="1"/>
  <c r="C2136" i="1"/>
  <c r="E2136" i="1"/>
  <c r="H2161" i="1"/>
  <c r="B2162" i="1"/>
  <c r="E1405" i="5"/>
  <c r="I1866" i="4"/>
  <c r="I2032" i="3"/>
  <c r="I1928" i="2"/>
  <c r="I2128" i="1"/>
  <c r="I641" i="6"/>
  <c r="Y884" i="6"/>
  <c r="Y900" i="6"/>
  <c r="I640" i="6"/>
  <c r="Y883" i="6"/>
  <c r="Y899" i="6"/>
  <c r="I639" i="6"/>
  <c r="Y882" i="6"/>
  <c r="Y898" i="6"/>
  <c r="I638" i="6"/>
  <c r="Y881" i="6"/>
  <c r="Y897" i="6"/>
  <c r="I642" i="6"/>
  <c r="Y885" i="6"/>
  <c r="Y901" i="6"/>
  <c r="H636" i="6"/>
  <c r="H637" i="6"/>
  <c r="F636" i="6"/>
  <c r="F637" i="6"/>
  <c r="D636" i="6"/>
  <c r="D637" i="6"/>
  <c r="B636" i="6"/>
  <c r="B637" i="6"/>
  <c r="G637" i="6"/>
  <c r="G636" i="6"/>
  <c r="C637" i="6"/>
  <c r="C636" i="6"/>
  <c r="I1393" i="5"/>
  <c r="BA1636" i="5"/>
  <c r="BA1659" i="5"/>
  <c r="J1390" i="5"/>
  <c r="J1392" i="5"/>
  <c r="J1387" i="5"/>
  <c r="J1389" i="5"/>
  <c r="J1391" i="5"/>
  <c r="C1409" i="5"/>
  <c r="C1410" i="5"/>
  <c r="E1409" i="5"/>
  <c r="E1410" i="5"/>
  <c r="G1409" i="5"/>
  <c r="G1410" i="5"/>
  <c r="B1409" i="5"/>
  <c r="B1410" i="5"/>
  <c r="D1409" i="5"/>
  <c r="D1410" i="5"/>
  <c r="F1409" i="5"/>
  <c r="F1410" i="5"/>
  <c r="I1407" i="5"/>
  <c r="BA1650" i="5"/>
  <c r="BA1666" i="5"/>
  <c r="J1388" i="5"/>
  <c r="J1407" i="5"/>
  <c r="B1881" i="4"/>
  <c r="B1877" i="4"/>
  <c r="B1875" i="4"/>
  <c r="B1878" i="4"/>
  <c r="B1876" i="4"/>
  <c r="B1874" i="4"/>
  <c r="D1881" i="4"/>
  <c r="D1882" i="4"/>
  <c r="D1883" i="4"/>
  <c r="D1877" i="4"/>
  <c r="D1875" i="4"/>
  <c r="D1878" i="4"/>
  <c r="D1876" i="4"/>
  <c r="D1874" i="4"/>
  <c r="F1881" i="4"/>
  <c r="F1877" i="4"/>
  <c r="F1875" i="4"/>
  <c r="F1878" i="4"/>
  <c r="F1876" i="4"/>
  <c r="F1874" i="4"/>
  <c r="H1881" i="4"/>
  <c r="H1882" i="4"/>
  <c r="H1883" i="4"/>
  <c r="H1877" i="4"/>
  <c r="H1875" i="4"/>
  <c r="H1878" i="4"/>
  <c r="H1876" i="4"/>
  <c r="H1874" i="4"/>
  <c r="C1876" i="4"/>
  <c r="E1876" i="4"/>
  <c r="G1876" i="4"/>
  <c r="C1878" i="4"/>
  <c r="E1878" i="4"/>
  <c r="G1878" i="4"/>
  <c r="E1882" i="4"/>
  <c r="E1883" i="4"/>
  <c r="G1882" i="4"/>
  <c r="G1883" i="4"/>
  <c r="B1882" i="4"/>
  <c r="B1883" i="4"/>
  <c r="F1882" i="4"/>
  <c r="F1883" i="4"/>
  <c r="I1880" i="4"/>
  <c r="BR2123" i="4"/>
  <c r="BR2139" i="4"/>
  <c r="J1861" i="4"/>
  <c r="J1880" i="4"/>
  <c r="B2041" i="3"/>
  <c r="B2044" i="3"/>
  <c r="D2044" i="3"/>
  <c r="F2044" i="3"/>
  <c r="H2044" i="3"/>
  <c r="I2044" i="3"/>
  <c r="B2042" i="3"/>
  <c r="B2040" i="3"/>
  <c r="C2040" i="3"/>
  <c r="D2040" i="3"/>
  <c r="E2040" i="3"/>
  <c r="F2040" i="3"/>
  <c r="G2040" i="3"/>
  <c r="H2040" i="3"/>
  <c r="I2040" i="3"/>
  <c r="D2041" i="3"/>
  <c r="D2042" i="3"/>
  <c r="F2047" i="3"/>
  <c r="F2048" i="3"/>
  <c r="F2049" i="3"/>
  <c r="F2041" i="3"/>
  <c r="F2042" i="3"/>
  <c r="H2041" i="3"/>
  <c r="H2042" i="3"/>
  <c r="C2042" i="3"/>
  <c r="E2042" i="3"/>
  <c r="G2042" i="3"/>
  <c r="I2042" i="3"/>
  <c r="B2047" i="3"/>
  <c r="D2047" i="3"/>
  <c r="H2047" i="3"/>
  <c r="I2026" i="3"/>
  <c r="BW2269" i="3"/>
  <c r="BW2296" i="3"/>
  <c r="C2047" i="3"/>
  <c r="E2047" i="3"/>
  <c r="G2047" i="3"/>
  <c r="B2048" i="3"/>
  <c r="B2049" i="3"/>
  <c r="H2048" i="3"/>
  <c r="H2049" i="3"/>
  <c r="C2048" i="3"/>
  <c r="C2049" i="3"/>
  <c r="G2048" i="3"/>
  <c r="G2049" i="3"/>
  <c r="I2046" i="3"/>
  <c r="BW2289" i="3"/>
  <c r="BW2304" i="3"/>
  <c r="I2041" i="3"/>
  <c r="BW2284" i="3"/>
  <c r="BW2300" i="3"/>
  <c r="J2027" i="3"/>
  <c r="D1943" i="2"/>
  <c r="D1944" i="2"/>
  <c r="D1945" i="2"/>
  <c r="D1940" i="2"/>
  <c r="D1938" i="2"/>
  <c r="D1936" i="2"/>
  <c r="D1939" i="2"/>
  <c r="D1937" i="2"/>
  <c r="H1943" i="2"/>
  <c r="H1944" i="2"/>
  <c r="H1945" i="2"/>
  <c r="H1940" i="2"/>
  <c r="H1938" i="2"/>
  <c r="H1936" i="2"/>
  <c r="H1939" i="2"/>
  <c r="H1937" i="2"/>
  <c r="C1936" i="2"/>
  <c r="G1936" i="2"/>
  <c r="C1938" i="2"/>
  <c r="G1938" i="2"/>
  <c r="C1940" i="2"/>
  <c r="G1940" i="2"/>
  <c r="G1944" i="2"/>
  <c r="G1945" i="2"/>
  <c r="G1935" i="2"/>
  <c r="I1942" i="2"/>
  <c r="BR2193" i="2"/>
  <c r="BR2209" i="2"/>
  <c r="J1923" i="2"/>
  <c r="J1942" i="2"/>
  <c r="C2143" i="1"/>
  <c r="C2144" i="1"/>
  <c r="C2145" i="1"/>
  <c r="E2143" i="1"/>
  <c r="E2144" i="1"/>
  <c r="E2145" i="1"/>
  <c r="G2143" i="1"/>
  <c r="G2144" i="1"/>
  <c r="G2145" i="1"/>
  <c r="I2142" i="1"/>
  <c r="BZ2391" i="1"/>
  <c r="BZ2407" i="1"/>
  <c r="G2136" i="1"/>
  <c r="G2137" i="1"/>
  <c r="G2139" i="1"/>
  <c r="G2140" i="1"/>
  <c r="J2123" i="1"/>
  <c r="BS2120" i="4"/>
  <c r="BS2137" i="4"/>
  <c r="J2070" i="3"/>
  <c r="J2018" i="2"/>
  <c r="I1925" i="4"/>
  <c r="BT2114" i="4"/>
  <c r="BT2122" i="4"/>
  <c r="I1452" i="5"/>
  <c r="BC1641" i="5"/>
  <c r="BC1649" i="5"/>
  <c r="I689" i="6"/>
  <c r="AA878" i="6"/>
  <c r="AA886" i="6"/>
  <c r="I687" i="6"/>
  <c r="AA876" i="6"/>
  <c r="I686" i="6"/>
  <c r="AA875" i="6"/>
  <c r="J697" i="6"/>
  <c r="J689" i="6"/>
  <c r="I685" i="6"/>
  <c r="AA874" i="6"/>
  <c r="I688" i="6"/>
  <c r="AA877" i="6"/>
  <c r="I699" i="6"/>
  <c r="AA888" i="6"/>
  <c r="J686" i="6"/>
  <c r="I1450" i="5"/>
  <c r="BC1639" i="5"/>
  <c r="I1449" i="5"/>
  <c r="BC1638" i="5"/>
  <c r="I1462" i="5"/>
  <c r="BC1651" i="5"/>
  <c r="I1448" i="5"/>
  <c r="BC1637" i="5"/>
  <c r="I1451" i="5"/>
  <c r="BC1640" i="5"/>
  <c r="J1460" i="5"/>
  <c r="J1450" i="5"/>
  <c r="I1923" i="4"/>
  <c r="BT2112" i="4"/>
  <c r="I1922" i="4"/>
  <c r="BT2111" i="4"/>
  <c r="I1935" i="4"/>
  <c r="BT2124" i="4"/>
  <c r="I1921" i="4"/>
  <c r="BT2110" i="4"/>
  <c r="I1924" i="4"/>
  <c r="BT2113" i="4"/>
  <c r="J1933" i="4"/>
  <c r="I2099" i="3"/>
  <c r="I2088" i="3"/>
  <c r="BY2277" i="3"/>
  <c r="J2095" i="3"/>
  <c r="J2096" i="3"/>
  <c r="J1928" i="2"/>
  <c r="BR2179" i="2"/>
  <c r="BR2202" i="2"/>
  <c r="J1866" i="4"/>
  <c r="BR2109" i="4"/>
  <c r="BR2132" i="4"/>
  <c r="J2128" i="1"/>
  <c r="BZ2372" i="1"/>
  <c r="BZ2400" i="1"/>
  <c r="J2032" i="3"/>
  <c r="BW2275" i="3"/>
  <c r="BW2297" i="3"/>
  <c r="J1903" i="4"/>
  <c r="J1901" i="4"/>
  <c r="I1906" i="4"/>
  <c r="BS2122" i="4"/>
  <c r="J1905" i="4"/>
  <c r="J2069" i="3"/>
  <c r="I2072" i="3"/>
  <c r="J2067" i="3"/>
  <c r="J2068" i="3"/>
  <c r="J2071" i="3"/>
  <c r="J641" i="6"/>
  <c r="I643" i="6"/>
  <c r="J638" i="6"/>
  <c r="J640" i="6"/>
  <c r="J642" i="6"/>
  <c r="J639" i="6"/>
  <c r="J1393" i="5"/>
  <c r="I1876" i="4"/>
  <c r="BR2119" i="4"/>
  <c r="BR2136" i="4"/>
  <c r="I1875" i="4"/>
  <c r="BR2118" i="4"/>
  <c r="BR2135" i="4"/>
  <c r="I1878" i="4"/>
  <c r="BR2121" i="4"/>
  <c r="BR2138" i="4"/>
  <c r="F1872" i="4"/>
  <c r="F1873" i="4"/>
  <c r="B1872" i="4"/>
  <c r="B1873" i="4"/>
  <c r="G1873" i="4"/>
  <c r="G1872" i="4"/>
  <c r="E1873" i="4"/>
  <c r="E1872" i="4"/>
  <c r="J2026" i="3"/>
  <c r="G1934" i="2"/>
  <c r="H597" i="6"/>
  <c r="G597" i="6"/>
  <c r="F597" i="6"/>
  <c r="E597" i="6"/>
  <c r="D597" i="6"/>
  <c r="C597" i="6"/>
  <c r="B597" i="6"/>
  <c r="H1360" i="5"/>
  <c r="G1360" i="5"/>
  <c r="F1360" i="5"/>
  <c r="E1360" i="5"/>
  <c r="D1360" i="5"/>
  <c r="C1360" i="5"/>
  <c r="B1360" i="5"/>
  <c r="H1833" i="4"/>
  <c r="G1833" i="4"/>
  <c r="F1833" i="4"/>
  <c r="E1833" i="4"/>
  <c r="D1833" i="4"/>
  <c r="C1833" i="4"/>
  <c r="B1833" i="4"/>
  <c r="H1999" i="3"/>
  <c r="G1999" i="3"/>
  <c r="F1999" i="3"/>
  <c r="E1999" i="3"/>
  <c r="D1999" i="3"/>
  <c r="C1999" i="3"/>
  <c r="B1999" i="3"/>
  <c r="H1894" i="2"/>
  <c r="G1894" i="2"/>
  <c r="F1894" i="2"/>
  <c r="E1894" i="2"/>
  <c r="D1894" i="2"/>
  <c r="C1894" i="2"/>
  <c r="B1894" i="2"/>
  <c r="H2095" i="1"/>
  <c r="G2095" i="1"/>
  <c r="F2095" i="1"/>
  <c r="E2095" i="1"/>
  <c r="D2095" i="1"/>
  <c r="C2095" i="1"/>
  <c r="B2095" i="1"/>
  <c r="W893" i="6"/>
  <c r="W896" i="6"/>
  <c r="H617" i="6"/>
  <c r="H616" i="6"/>
  <c r="G617" i="6"/>
  <c r="G616" i="6"/>
  <c r="F617" i="6"/>
  <c r="F616" i="6"/>
  <c r="E617" i="6"/>
  <c r="E616" i="6"/>
  <c r="D617" i="6"/>
  <c r="D616" i="6"/>
  <c r="C617" i="6"/>
  <c r="C616" i="6"/>
  <c r="B617" i="6"/>
  <c r="B616" i="6"/>
  <c r="H603" i="6"/>
  <c r="G603" i="6"/>
  <c r="F603" i="6"/>
  <c r="E603" i="6"/>
  <c r="D603" i="6"/>
  <c r="C603" i="6"/>
  <c r="B603" i="6"/>
  <c r="I602" i="6"/>
  <c r="I601" i="6"/>
  <c r="J601" i="6"/>
  <c r="I600" i="6"/>
  <c r="I599" i="6"/>
  <c r="J599" i="6"/>
  <c r="I598" i="6"/>
  <c r="X868" i="6"/>
  <c r="AY1657" i="5"/>
  <c r="AY1660" i="5"/>
  <c r="H1380" i="5"/>
  <c r="H1379" i="5"/>
  <c r="G1380" i="5"/>
  <c r="G1379" i="5"/>
  <c r="F1380" i="5"/>
  <c r="F1379" i="5"/>
  <c r="E1380" i="5"/>
  <c r="E1379" i="5"/>
  <c r="D1380" i="5"/>
  <c r="D1379" i="5"/>
  <c r="C1380" i="5"/>
  <c r="C1379" i="5"/>
  <c r="B1380" i="5"/>
  <c r="B1379" i="5"/>
  <c r="H1366" i="5"/>
  <c r="G1366" i="5"/>
  <c r="F1366" i="5"/>
  <c r="E1366" i="5"/>
  <c r="D1366" i="5"/>
  <c r="C1366" i="5"/>
  <c r="B1366" i="5"/>
  <c r="I1365" i="5"/>
  <c r="J1365" i="5"/>
  <c r="I1364" i="5"/>
  <c r="I1363" i="5"/>
  <c r="J1363" i="5"/>
  <c r="I1362" i="5"/>
  <c r="I1361" i="5"/>
  <c r="AZ1631" i="5"/>
  <c r="BP2130" i="4"/>
  <c r="BP2133" i="4"/>
  <c r="H1853" i="4"/>
  <c r="H1852" i="4"/>
  <c r="G1853" i="4"/>
  <c r="G1852" i="4"/>
  <c r="F1853" i="4"/>
  <c r="F1852" i="4"/>
  <c r="E1853" i="4"/>
  <c r="E1852" i="4"/>
  <c r="D1853" i="4"/>
  <c r="D1852" i="4"/>
  <c r="C1853" i="4"/>
  <c r="C1852" i="4"/>
  <c r="B1853" i="4"/>
  <c r="B1852" i="4"/>
  <c r="H1839" i="4"/>
  <c r="G1839" i="4"/>
  <c r="F1839" i="4"/>
  <c r="E1839" i="4"/>
  <c r="D1839" i="4"/>
  <c r="C1839" i="4"/>
  <c r="B1839" i="4"/>
  <c r="I1838" i="4"/>
  <c r="I1837" i="4"/>
  <c r="J1837" i="4"/>
  <c r="I1836" i="4"/>
  <c r="I1835" i="4"/>
  <c r="J1835" i="4"/>
  <c r="I1834" i="4"/>
  <c r="I1833" i="4"/>
  <c r="BQ2103" i="4"/>
  <c r="BQ2131" i="4"/>
  <c r="BU2295" i="3"/>
  <c r="BU2298" i="3"/>
  <c r="H2019" i="3"/>
  <c r="H2018" i="3"/>
  <c r="G2019" i="3"/>
  <c r="G2018" i="3"/>
  <c r="F2019" i="3"/>
  <c r="F2018" i="3"/>
  <c r="E2019" i="3"/>
  <c r="E2018" i="3"/>
  <c r="D2019" i="3"/>
  <c r="D2018" i="3"/>
  <c r="C2019" i="3"/>
  <c r="C2018" i="3"/>
  <c r="B2019" i="3"/>
  <c r="B2018" i="3"/>
  <c r="H2005" i="3"/>
  <c r="G2005" i="3"/>
  <c r="F2005" i="3"/>
  <c r="E2005" i="3"/>
  <c r="D2005" i="3"/>
  <c r="C2005" i="3"/>
  <c r="B2005" i="3"/>
  <c r="I2004" i="3"/>
  <c r="BV2274" i="3"/>
  <c r="I2003" i="3"/>
  <c r="I2002" i="3"/>
  <c r="BV2272" i="3"/>
  <c r="I2001" i="3"/>
  <c r="I2000" i="3"/>
  <c r="BV2270" i="3"/>
  <c r="I1999" i="3"/>
  <c r="J1999" i="3"/>
  <c r="BP2200" i="2"/>
  <c r="BP2203" i="2"/>
  <c r="H1914" i="2"/>
  <c r="H1913" i="2"/>
  <c r="G1914" i="2"/>
  <c r="G1913" i="2"/>
  <c r="F1914" i="2"/>
  <c r="F1913" i="2"/>
  <c r="E1914" i="2"/>
  <c r="E1913" i="2"/>
  <c r="D1914" i="2"/>
  <c r="D1913" i="2"/>
  <c r="C1914" i="2"/>
  <c r="C1913" i="2"/>
  <c r="B1914" i="2"/>
  <c r="B1913" i="2"/>
  <c r="H1900" i="2"/>
  <c r="G1900" i="2"/>
  <c r="F1900" i="2"/>
  <c r="E1900" i="2"/>
  <c r="D1900" i="2"/>
  <c r="C1900" i="2"/>
  <c r="B1900" i="2"/>
  <c r="I1899" i="2"/>
  <c r="BQ2178" i="2"/>
  <c r="I1898" i="2"/>
  <c r="I1897" i="2"/>
  <c r="BQ2176" i="2"/>
  <c r="I1896" i="2"/>
  <c r="I1895" i="2"/>
  <c r="BQ2174" i="2"/>
  <c r="I1894" i="2"/>
  <c r="BQ2173" i="2"/>
  <c r="BQ2201" i="2"/>
  <c r="BX2398" i="1"/>
  <c r="BX2401" i="1"/>
  <c r="H2115" i="1"/>
  <c r="H2114" i="1"/>
  <c r="G2115" i="1"/>
  <c r="G2114" i="1"/>
  <c r="F2115" i="1"/>
  <c r="F2114" i="1"/>
  <c r="E2115" i="1"/>
  <c r="E2114" i="1"/>
  <c r="D2115" i="1"/>
  <c r="D2114" i="1"/>
  <c r="C2115" i="1"/>
  <c r="C2114" i="1"/>
  <c r="B2115" i="1"/>
  <c r="B2114" i="1"/>
  <c r="H2101" i="1"/>
  <c r="G2101" i="1"/>
  <c r="F2101" i="1"/>
  <c r="E2101" i="1"/>
  <c r="D2101" i="1"/>
  <c r="C2101" i="1"/>
  <c r="B2101" i="1"/>
  <c r="I2100" i="1"/>
  <c r="J2100" i="1"/>
  <c r="I2099" i="1"/>
  <c r="I2098" i="1"/>
  <c r="J2098" i="1"/>
  <c r="I2097" i="1"/>
  <c r="I2096" i="1"/>
  <c r="BY2367" i="1"/>
  <c r="I2095" i="1"/>
  <c r="BY2366" i="1"/>
  <c r="BY2399" i="1"/>
  <c r="J2099" i="3"/>
  <c r="J2090" i="3"/>
  <c r="I2090" i="3"/>
  <c r="BY2279" i="3"/>
  <c r="I2087" i="3"/>
  <c r="BY2276" i="3"/>
  <c r="I2062" i="3"/>
  <c r="BX2278" i="3"/>
  <c r="BX2288" i="3"/>
  <c r="I700" i="6"/>
  <c r="AA889" i="6"/>
  <c r="J699" i="6"/>
  <c r="J700" i="6"/>
  <c r="J685" i="6"/>
  <c r="J687" i="6"/>
  <c r="J1449" i="5"/>
  <c r="J1462" i="5"/>
  <c r="J1463" i="5"/>
  <c r="J1448" i="5"/>
  <c r="J1452" i="5"/>
  <c r="I1463" i="5"/>
  <c r="BC1652" i="5"/>
  <c r="J1925" i="4"/>
  <c r="J1922" i="4"/>
  <c r="J1921" i="4"/>
  <c r="J1924" i="4"/>
  <c r="I1936" i="4"/>
  <c r="BT2125" i="4"/>
  <c r="J1923" i="4"/>
  <c r="I2089" i="3"/>
  <c r="BY2278" i="3"/>
  <c r="J2088" i="3"/>
  <c r="I2091" i="3"/>
  <c r="BY2280" i="3"/>
  <c r="I2101" i="3"/>
  <c r="BY2290" i="3"/>
  <c r="I2064" i="3"/>
  <c r="BX2280" i="3"/>
  <c r="J1897" i="2"/>
  <c r="J1899" i="2"/>
  <c r="I2061" i="3"/>
  <c r="BX2277" i="3"/>
  <c r="I2060" i="3"/>
  <c r="BX2276" i="3"/>
  <c r="J1894" i="2"/>
  <c r="J1896" i="2"/>
  <c r="BQ2175" i="2"/>
  <c r="J1898" i="2"/>
  <c r="BQ2177" i="2"/>
  <c r="I631" i="6"/>
  <c r="Y874" i="6"/>
  <c r="Y886" i="6"/>
  <c r="X869" i="6"/>
  <c r="X871" i="6"/>
  <c r="J600" i="6"/>
  <c r="X870" i="6"/>
  <c r="J602" i="6"/>
  <c r="X872" i="6"/>
  <c r="I1360" i="5"/>
  <c r="J1360" i="5"/>
  <c r="AZ1633" i="5"/>
  <c r="AZ1635" i="5"/>
  <c r="J1362" i="5"/>
  <c r="AZ1632" i="5"/>
  <c r="J1364" i="5"/>
  <c r="AZ1634" i="5"/>
  <c r="I1895" i="4"/>
  <c r="BS2111" i="4"/>
  <c r="I1894" i="4"/>
  <c r="BS2110" i="4"/>
  <c r="I1898" i="4"/>
  <c r="BS2114" i="4"/>
  <c r="J1906" i="4"/>
  <c r="J1894" i="4"/>
  <c r="I1897" i="4"/>
  <c r="BS2113" i="4"/>
  <c r="I1896" i="4"/>
  <c r="BS2112" i="4"/>
  <c r="I1908" i="4"/>
  <c r="BS2124" i="4"/>
  <c r="J1896" i="4"/>
  <c r="J1833" i="4"/>
  <c r="BQ2105" i="4"/>
  <c r="BQ2107" i="4"/>
  <c r="I1853" i="4"/>
  <c r="BQ2123" i="4"/>
  <c r="BQ2139" i="4"/>
  <c r="BQ2104" i="4"/>
  <c r="J1836" i="4"/>
  <c r="BQ2106" i="4"/>
  <c r="J1838" i="4"/>
  <c r="BQ2108" i="4"/>
  <c r="I2063" i="3"/>
  <c r="BX2279" i="3"/>
  <c r="I2074" i="3"/>
  <c r="BX2290" i="3"/>
  <c r="J2072" i="3"/>
  <c r="J2061" i="3"/>
  <c r="BV2269" i="3"/>
  <c r="BV2296" i="3"/>
  <c r="J2002" i="3"/>
  <c r="J2004" i="3"/>
  <c r="J2001" i="3"/>
  <c r="BV2271" i="3"/>
  <c r="J2003" i="3"/>
  <c r="BV2273" i="3"/>
  <c r="J2095" i="1"/>
  <c r="BY2369" i="1"/>
  <c r="BY2371" i="1"/>
  <c r="J2097" i="1"/>
  <c r="BY2368" i="1"/>
  <c r="J2099" i="1"/>
  <c r="BY2370" i="1"/>
  <c r="I632" i="6"/>
  <c r="Y875" i="6"/>
  <c r="I635" i="6"/>
  <c r="Y878" i="6"/>
  <c r="I633" i="6"/>
  <c r="Y876" i="6"/>
  <c r="I634" i="6"/>
  <c r="Y877" i="6"/>
  <c r="J643" i="6"/>
  <c r="J635" i="6"/>
  <c r="I645" i="6"/>
  <c r="Y888" i="6"/>
  <c r="J631" i="6"/>
  <c r="J1876" i="4"/>
  <c r="J1878" i="4"/>
  <c r="J1875" i="4"/>
  <c r="J2041" i="3"/>
  <c r="I603" i="6"/>
  <c r="G1377" i="5"/>
  <c r="G1374" i="5"/>
  <c r="G1381" i="5"/>
  <c r="G1375" i="5"/>
  <c r="E1381" i="5"/>
  <c r="E1382" i="5"/>
  <c r="E1383" i="5"/>
  <c r="E1372" i="5"/>
  <c r="E1377" i="5"/>
  <c r="E1375" i="5"/>
  <c r="E1374" i="5"/>
  <c r="C1377" i="5"/>
  <c r="C1374" i="5"/>
  <c r="C1381" i="5"/>
  <c r="C1375" i="5"/>
  <c r="I1366" i="5"/>
  <c r="B1381" i="5"/>
  <c r="B1382" i="5"/>
  <c r="B1383" i="5"/>
  <c r="B1373" i="5"/>
  <c r="B1377" i="5"/>
  <c r="B1375" i="5"/>
  <c r="B1378" i="5"/>
  <c r="B1376" i="5"/>
  <c r="B1374" i="5"/>
  <c r="D1381" i="5"/>
  <c r="D1382" i="5"/>
  <c r="D1383" i="5"/>
  <c r="D1373" i="5"/>
  <c r="D1377" i="5"/>
  <c r="D1375" i="5"/>
  <c r="D1378" i="5"/>
  <c r="D1376" i="5"/>
  <c r="D1374" i="5"/>
  <c r="F1381" i="5"/>
  <c r="F1382" i="5"/>
  <c r="F1383" i="5"/>
  <c r="F1373" i="5"/>
  <c r="F1377" i="5"/>
  <c r="F1375" i="5"/>
  <c r="F1378" i="5"/>
  <c r="F1376" i="5"/>
  <c r="F1374" i="5"/>
  <c r="H1381" i="5"/>
  <c r="H1382" i="5"/>
  <c r="H1377" i="5"/>
  <c r="H1375" i="5"/>
  <c r="H1378" i="5"/>
  <c r="H1376" i="5"/>
  <c r="H1374" i="5"/>
  <c r="C1376" i="5"/>
  <c r="E1376" i="5"/>
  <c r="G1376" i="5"/>
  <c r="C1378" i="5"/>
  <c r="E1378" i="5"/>
  <c r="G1378" i="5"/>
  <c r="G2017" i="3"/>
  <c r="G2014" i="3"/>
  <c r="G2016" i="3"/>
  <c r="E2017" i="3"/>
  <c r="E2016" i="3"/>
  <c r="E2014" i="3"/>
  <c r="C2017" i="3"/>
  <c r="C2014" i="3"/>
  <c r="C2016" i="3"/>
  <c r="I2005" i="3"/>
  <c r="J2005" i="3"/>
  <c r="G1915" i="2"/>
  <c r="G1909" i="2"/>
  <c r="G1911" i="2"/>
  <c r="E1915" i="2"/>
  <c r="E1916" i="2"/>
  <c r="E1917" i="2"/>
  <c r="E1911" i="2"/>
  <c r="E1909" i="2"/>
  <c r="C1915" i="2"/>
  <c r="C1909" i="2"/>
  <c r="B1909" i="2"/>
  <c r="D1909" i="2"/>
  <c r="F1909" i="2"/>
  <c r="H1909" i="2"/>
  <c r="I1909" i="2"/>
  <c r="BQ2188" i="2"/>
  <c r="C1911" i="2"/>
  <c r="I1900" i="2"/>
  <c r="J1900" i="2"/>
  <c r="H2113" i="1"/>
  <c r="H2111" i="1"/>
  <c r="H2109" i="1"/>
  <c r="H2112" i="1"/>
  <c r="H2110" i="1"/>
  <c r="G2113" i="1"/>
  <c r="G2112" i="1"/>
  <c r="G2111" i="1"/>
  <c r="G2110" i="1"/>
  <c r="G2109" i="1"/>
  <c r="F2116" i="1"/>
  <c r="F2112" i="1"/>
  <c r="F2110" i="1"/>
  <c r="F2113" i="1"/>
  <c r="F2111" i="1"/>
  <c r="F2109" i="1"/>
  <c r="E2113" i="1"/>
  <c r="E2112" i="1"/>
  <c r="E2111" i="1"/>
  <c r="E2110" i="1"/>
  <c r="E2109" i="1"/>
  <c r="D2112" i="1"/>
  <c r="D2110" i="1"/>
  <c r="D2113" i="1"/>
  <c r="B2113" i="1"/>
  <c r="C2113" i="1"/>
  <c r="I2113" i="1"/>
  <c r="BY2389" i="1"/>
  <c r="BY2406" i="1"/>
  <c r="D2111" i="1"/>
  <c r="D2109" i="1"/>
  <c r="B2109" i="1"/>
  <c r="C2109" i="1"/>
  <c r="I2109" i="1"/>
  <c r="I2114" i="1"/>
  <c r="I2102" i="1"/>
  <c r="C2112" i="1"/>
  <c r="B2112" i="1"/>
  <c r="I2112" i="1"/>
  <c r="C2111" i="1"/>
  <c r="C2110" i="1"/>
  <c r="I2101" i="1"/>
  <c r="J2101" i="1"/>
  <c r="BY2390" i="1"/>
  <c r="B2110" i="1"/>
  <c r="B2111" i="1"/>
  <c r="I597" i="6"/>
  <c r="X867" i="6"/>
  <c r="X894" i="6"/>
  <c r="I617" i="6"/>
  <c r="X887" i="6"/>
  <c r="X902" i="6"/>
  <c r="J598" i="6"/>
  <c r="J617" i="6"/>
  <c r="C1382" i="5"/>
  <c r="C1383" i="5"/>
  <c r="G1382" i="5"/>
  <c r="G1383" i="5"/>
  <c r="I1380" i="5"/>
  <c r="AZ1650" i="5"/>
  <c r="AZ1666" i="5"/>
  <c r="J1361" i="5"/>
  <c r="J1380" i="5"/>
  <c r="J1834" i="4"/>
  <c r="J1853" i="4"/>
  <c r="I1839" i="4"/>
  <c r="BQ2109" i="4"/>
  <c r="BQ2132" i="4"/>
  <c r="B2016" i="3"/>
  <c r="B2014" i="3"/>
  <c r="B2017" i="3"/>
  <c r="B2015" i="3"/>
  <c r="C2015" i="3"/>
  <c r="D2015" i="3"/>
  <c r="E2015" i="3"/>
  <c r="F2015" i="3"/>
  <c r="G2015" i="3"/>
  <c r="H2015" i="3"/>
  <c r="I2015" i="3"/>
  <c r="B2013" i="3"/>
  <c r="D2016" i="3"/>
  <c r="D2014" i="3"/>
  <c r="D2017" i="3"/>
  <c r="F2017" i="3"/>
  <c r="H2017" i="3"/>
  <c r="I2017" i="3"/>
  <c r="D2013" i="3"/>
  <c r="F2020" i="3"/>
  <c r="F2016" i="3"/>
  <c r="F2014" i="3"/>
  <c r="F2013" i="3"/>
  <c r="H2016" i="3"/>
  <c r="H2014" i="3"/>
  <c r="H2013" i="3"/>
  <c r="C2013" i="3"/>
  <c r="E2013" i="3"/>
  <c r="G2013" i="3"/>
  <c r="I2013" i="3"/>
  <c r="B2020" i="3"/>
  <c r="B2021" i="3"/>
  <c r="B2022" i="3"/>
  <c r="B2011" i="3"/>
  <c r="D2020" i="3"/>
  <c r="H2020" i="3"/>
  <c r="C2020" i="3"/>
  <c r="E2020" i="3"/>
  <c r="E2021" i="3"/>
  <c r="E2022" i="3"/>
  <c r="E2012" i="3"/>
  <c r="G2020" i="3"/>
  <c r="D2021" i="3"/>
  <c r="D2022" i="3"/>
  <c r="D2011" i="3"/>
  <c r="H2021" i="3"/>
  <c r="F2021" i="3"/>
  <c r="F2022" i="3"/>
  <c r="F2011" i="3"/>
  <c r="C2021" i="3"/>
  <c r="C2022" i="3"/>
  <c r="C2012" i="3"/>
  <c r="G2021" i="3"/>
  <c r="G2022" i="3"/>
  <c r="G2012" i="3"/>
  <c r="I2019" i="3"/>
  <c r="BV2289" i="3"/>
  <c r="BV2304" i="3"/>
  <c r="BV2283" i="3"/>
  <c r="BV2299" i="3"/>
  <c r="I2014" i="3"/>
  <c r="BV2284" i="3"/>
  <c r="BV2300" i="3"/>
  <c r="BV2285" i="3"/>
  <c r="BV2301" i="3"/>
  <c r="I2016" i="3"/>
  <c r="BV2287" i="3"/>
  <c r="BV2303" i="3"/>
  <c r="J2000" i="3"/>
  <c r="B1915" i="2"/>
  <c r="B1916" i="2"/>
  <c r="B1912" i="2"/>
  <c r="B1910" i="2"/>
  <c r="B1908" i="2"/>
  <c r="B1911" i="2"/>
  <c r="D1915" i="2"/>
  <c r="D1916" i="2"/>
  <c r="D1912" i="2"/>
  <c r="D1910" i="2"/>
  <c r="D1908" i="2"/>
  <c r="D1911" i="2"/>
  <c r="F1915" i="2"/>
  <c r="F1916" i="2"/>
  <c r="F1912" i="2"/>
  <c r="F1910" i="2"/>
  <c r="F1908" i="2"/>
  <c r="F1911" i="2"/>
  <c r="H1915" i="2"/>
  <c r="H1916" i="2"/>
  <c r="H1912" i="2"/>
  <c r="H1910" i="2"/>
  <c r="H1908" i="2"/>
  <c r="H1911" i="2"/>
  <c r="C1908" i="2"/>
  <c r="E1908" i="2"/>
  <c r="G1908" i="2"/>
  <c r="I1908" i="2"/>
  <c r="C1910" i="2"/>
  <c r="E1910" i="2"/>
  <c r="G1910" i="2"/>
  <c r="C1912" i="2"/>
  <c r="E1912" i="2"/>
  <c r="G1912" i="2"/>
  <c r="I1912" i="2"/>
  <c r="C1916" i="2"/>
  <c r="C1917" i="2"/>
  <c r="C1907" i="2"/>
  <c r="G1916" i="2"/>
  <c r="G1917" i="2"/>
  <c r="G1907" i="2"/>
  <c r="B1917" i="2"/>
  <c r="B1906" i="2"/>
  <c r="F1917" i="2"/>
  <c r="F1906" i="2"/>
  <c r="I1914" i="2"/>
  <c r="BQ2193" i="2"/>
  <c r="BQ2209" i="2"/>
  <c r="J1895" i="2"/>
  <c r="J1914" i="2"/>
  <c r="I1910" i="2"/>
  <c r="BQ2189" i="2"/>
  <c r="BY2385" i="1"/>
  <c r="BY2402" i="1"/>
  <c r="I2111" i="1"/>
  <c r="B2116" i="1"/>
  <c r="B2117" i="1"/>
  <c r="D2116" i="1"/>
  <c r="H2116" i="1"/>
  <c r="C2116" i="1"/>
  <c r="E2116" i="1"/>
  <c r="E2117" i="1"/>
  <c r="G2116" i="1"/>
  <c r="J2109" i="1"/>
  <c r="J2114" i="1"/>
  <c r="J2102" i="1"/>
  <c r="D2117" i="1"/>
  <c r="D2118" i="1"/>
  <c r="D2108" i="1"/>
  <c r="F2117" i="1"/>
  <c r="F2118" i="1"/>
  <c r="F2108" i="1"/>
  <c r="C2117" i="1"/>
  <c r="C2118" i="1"/>
  <c r="C2107" i="1"/>
  <c r="G2117" i="1"/>
  <c r="G2118" i="1"/>
  <c r="G2107" i="1"/>
  <c r="I2115" i="1"/>
  <c r="BY2391" i="1"/>
  <c r="BY2407" i="1"/>
  <c r="I2110" i="1"/>
  <c r="BY2386" i="1"/>
  <c r="BY2403" i="1"/>
  <c r="BY2388" i="1"/>
  <c r="BY2405" i="1"/>
  <c r="J2096" i="1"/>
  <c r="J2091" i="3"/>
  <c r="J2089" i="3"/>
  <c r="I701" i="6"/>
  <c r="AA890" i="6"/>
  <c r="I1464" i="5"/>
  <c r="BC1653" i="5"/>
  <c r="I1937" i="4"/>
  <c r="BT2126" i="4"/>
  <c r="I2102" i="3"/>
  <c r="BY2291" i="3"/>
  <c r="J2101" i="3"/>
  <c r="J2102" i="3"/>
  <c r="BQ2179" i="2"/>
  <c r="BQ2202" i="2"/>
  <c r="J603" i="6"/>
  <c r="X873" i="6"/>
  <c r="X895" i="6"/>
  <c r="I1377" i="5"/>
  <c r="AZ1647" i="5"/>
  <c r="AZ1664" i="5"/>
  <c r="AZ1630" i="5"/>
  <c r="AZ1658" i="5"/>
  <c r="J1366" i="5"/>
  <c r="AZ1636" i="5"/>
  <c r="AZ1659" i="5"/>
  <c r="I1909" i="4"/>
  <c r="BS2125" i="4"/>
  <c r="J1895" i="4"/>
  <c r="J1898" i="4"/>
  <c r="J2062" i="3"/>
  <c r="I2075" i="3"/>
  <c r="BX2291" i="3"/>
  <c r="J2074" i="3"/>
  <c r="J2063" i="3"/>
  <c r="J2060" i="3"/>
  <c r="J2064" i="3"/>
  <c r="BV2275" i="3"/>
  <c r="BV2297" i="3"/>
  <c r="BY2372" i="1"/>
  <c r="BY2400" i="1"/>
  <c r="J645" i="6"/>
  <c r="J646" i="6"/>
  <c r="J634" i="6"/>
  <c r="J632" i="6"/>
  <c r="I646" i="6"/>
  <c r="Y889" i="6"/>
  <c r="J633" i="6"/>
  <c r="I1376" i="5"/>
  <c r="AZ1646" i="5"/>
  <c r="AZ1663" i="5"/>
  <c r="I1375" i="5"/>
  <c r="AZ1645" i="5"/>
  <c r="AZ1662" i="5"/>
  <c r="I1374" i="5"/>
  <c r="AZ1644" i="5"/>
  <c r="AZ1661" i="5"/>
  <c r="I1378" i="5"/>
  <c r="AZ1648" i="5"/>
  <c r="AZ1665" i="5"/>
  <c r="AZ1667" i="5"/>
  <c r="I2106" i="1"/>
  <c r="BY2382" i="1"/>
  <c r="J2113" i="1"/>
  <c r="BY2378" i="1"/>
  <c r="J597" i="6"/>
  <c r="D1372" i="5"/>
  <c r="F1372" i="5"/>
  <c r="B1372" i="5"/>
  <c r="G1373" i="5"/>
  <c r="G1372" i="5"/>
  <c r="E1373" i="5"/>
  <c r="C1373" i="5"/>
  <c r="C1372" i="5"/>
  <c r="J1839" i="4"/>
  <c r="J2019" i="3"/>
  <c r="G2011" i="3"/>
  <c r="C2011" i="3"/>
  <c r="D2012" i="3"/>
  <c r="E2011" i="3"/>
  <c r="B2012" i="3"/>
  <c r="F2012" i="3"/>
  <c r="BQ2206" i="2"/>
  <c r="BQ2205" i="2"/>
  <c r="B1907" i="2"/>
  <c r="G1906" i="2"/>
  <c r="C1906" i="2"/>
  <c r="J2115" i="1"/>
  <c r="F2107" i="1"/>
  <c r="G2108" i="1"/>
  <c r="C2108" i="1"/>
  <c r="I2116" i="1"/>
  <c r="BY2392" i="1"/>
  <c r="J2106" i="1"/>
  <c r="I2103" i="3"/>
  <c r="BY2292" i="3"/>
  <c r="J1377" i="5"/>
  <c r="J701" i="6"/>
  <c r="J691" i="6"/>
  <c r="I691" i="6"/>
  <c r="AA880" i="6"/>
  <c r="I690" i="6"/>
  <c r="AA879" i="6"/>
  <c r="J1464" i="5"/>
  <c r="I1454" i="5"/>
  <c r="BC1643" i="5"/>
  <c r="I1453" i="5"/>
  <c r="BC1642" i="5"/>
  <c r="J1937" i="4"/>
  <c r="J1927" i="4"/>
  <c r="I1927" i="4"/>
  <c r="BT2116" i="4"/>
  <c r="I1926" i="4"/>
  <c r="BT2115" i="4"/>
  <c r="I1910" i="4"/>
  <c r="BS2126" i="4"/>
  <c r="J2075" i="3"/>
  <c r="I2076" i="3"/>
  <c r="BX2292" i="3"/>
  <c r="J1376" i="5"/>
  <c r="J1378" i="5"/>
  <c r="J1375" i="5"/>
  <c r="J2112" i="1"/>
  <c r="J2105" i="1"/>
  <c r="I2105" i="1"/>
  <c r="BY2381" i="1"/>
  <c r="J2110" i="1"/>
  <c r="J2103" i="1"/>
  <c r="J2015" i="3"/>
  <c r="I2018" i="3"/>
  <c r="J2013" i="3"/>
  <c r="J2018" i="3"/>
  <c r="J2006" i="3"/>
  <c r="J2014" i="3"/>
  <c r="J2017" i="3"/>
  <c r="J2010" i="3"/>
  <c r="J1909" i="2"/>
  <c r="J1910" i="2"/>
  <c r="I2117" i="1"/>
  <c r="BY2393" i="1"/>
  <c r="J2116" i="1"/>
  <c r="J690" i="6"/>
  <c r="J1454" i="5"/>
  <c r="J1453" i="5"/>
  <c r="J1926" i="4"/>
  <c r="J1910" i="4"/>
  <c r="J1899" i="4"/>
  <c r="I1900" i="4"/>
  <c r="BS2116" i="4"/>
  <c r="I1899" i="4"/>
  <c r="BS2115" i="4"/>
  <c r="I2066" i="3"/>
  <c r="BX2282" i="3"/>
  <c r="I2065" i="3"/>
  <c r="BX2281" i="3"/>
  <c r="I2007" i="3"/>
  <c r="BV2277" i="3"/>
  <c r="BV2288" i="3"/>
  <c r="I2010" i="3"/>
  <c r="BV2280" i="3"/>
  <c r="I2009" i="3"/>
  <c r="BV2279" i="3"/>
  <c r="I2020" i="3"/>
  <c r="BV2290" i="3"/>
  <c r="J2008" i="3"/>
  <c r="I2006" i="3"/>
  <c r="BV2276" i="3"/>
  <c r="I2008" i="3"/>
  <c r="BV2278" i="3"/>
  <c r="I2118" i="1"/>
  <c r="BY2394" i="1"/>
  <c r="J2007" i="3"/>
  <c r="J1900" i="4"/>
  <c r="I2021" i="3"/>
  <c r="I2022" i="3"/>
  <c r="BV2292" i="3"/>
  <c r="J2020" i="3"/>
  <c r="I2108" i="1"/>
  <c r="BY2384" i="1"/>
  <c r="J2118" i="1"/>
  <c r="J2108" i="1"/>
  <c r="I2107" i="1"/>
  <c r="BY2383" i="1"/>
  <c r="J2021" i="3"/>
  <c r="H570" i="6"/>
  <c r="G570" i="6"/>
  <c r="F570" i="6"/>
  <c r="E570" i="6"/>
  <c r="D570" i="6"/>
  <c r="C570" i="6"/>
  <c r="B570" i="6"/>
  <c r="H1333" i="5"/>
  <c r="G1333" i="5"/>
  <c r="F1333" i="5"/>
  <c r="E1333" i="5"/>
  <c r="D1333" i="5"/>
  <c r="C1333" i="5"/>
  <c r="B1333" i="5"/>
  <c r="H1806" i="4"/>
  <c r="G1806" i="4"/>
  <c r="F1806" i="4"/>
  <c r="E1806" i="4"/>
  <c r="D1806" i="4"/>
  <c r="C1806" i="4"/>
  <c r="B1806" i="4"/>
  <c r="H1972" i="3"/>
  <c r="G1972" i="3"/>
  <c r="F1972" i="3"/>
  <c r="E1972" i="3"/>
  <c r="D1972" i="3"/>
  <c r="C1972" i="3"/>
  <c r="B1972" i="3"/>
  <c r="H1866" i="2"/>
  <c r="G1866" i="2"/>
  <c r="F1866" i="2"/>
  <c r="E1866" i="2"/>
  <c r="D1866" i="2"/>
  <c r="C1866" i="2"/>
  <c r="B1866" i="2"/>
  <c r="I1866" i="2"/>
  <c r="H2068" i="1"/>
  <c r="G2068" i="1"/>
  <c r="F2068" i="1"/>
  <c r="E2074" i="1"/>
  <c r="E2068" i="1"/>
  <c r="D2068" i="1"/>
  <c r="C2068" i="1"/>
  <c r="B2068" i="1"/>
  <c r="V893" i="6"/>
  <c r="V896" i="6"/>
  <c r="H590" i="6"/>
  <c r="H589" i="6"/>
  <c r="G590" i="6"/>
  <c r="G589" i="6"/>
  <c r="F590" i="6"/>
  <c r="F589" i="6"/>
  <c r="E590" i="6"/>
  <c r="E589" i="6"/>
  <c r="D590" i="6"/>
  <c r="D589" i="6"/>
  <c r="C590" i="6"/>
  <c r="C589" i="6"/>
  <c r="B590" i="6"/>
  <c r="B589" i="6"/>
  <c r="H576" i="6"/>
  <c r="G576" i="6"/>
  <c r="F576" i="6"/>
  <c r="E576" i="6"/>
  <c r="D576" i="6"/>
  <c r="C576" i="6"/>
  <c r="B576" i="6"/>
  <c r="I575" i="6"/>
  <c r="J575" i="6"/>
  <c r="I574" i="6"/>
  <c r="I573" i="6"/>
  <c r="J573" i="6"/>
  <c r="I572" i="6"/>
  <c r="I571" i="6"/>
  <c r="W868" i="6"/>
  <c r="I570" i="6"/>
  <c r="W867" i="6"/>
  <c r="W894" i="6"/>
  <c r="AX1657" i="5"/>
  <c r="AX1660" i="5"/>
  <c r="H1353" i="5"/>
  <c r="H1352" i="5"/>
  <c r="G1353" i="5"/>
  <c r="G1352" i="5"/>
  <c r="F1353" i="5"/>
  <c r="F1352" i="5"/>
  <c r="F1347" i="5"/>
  <c r="E1353" i="5"/>
  <c r="E1352" i="5"/>
  <c r="D1353" i="5"/>
  <c r="D1352" i="5"/>
  <c r="D1351" i="5"/>
  <c r="C1353" i="5"/>
  <c r="C1352" i="5"/>
  <c r="B1353" i="5"/>
  <c r="B1352" i="5"/>
  <c r="B1354" i="5"/>
  <c r="H1339" i="5"/>
  <c r="G1339" i="5"/>
  <c r="F1339" i="5"/>
  <c r="E1339" i="5"/>
  <c r="D1339" i="5"/>
  <c r="C1339" i="5"/>
  <c r="B1339" i="5"/>
  <c r="I1338" i="5"/>
  <c r="J1338" i="5"/>
  <c r="I1337" i="5"/>
  <c r="I1336" i="5"/>
  <c r="J1336" i="5"/>
  <c r="I1335" i="5"/>
  <c r="I1334" i="5"/>
  <c r="I1339" i="5"/>
  <c r="I1333" i="5"/>
  <c r="J1333" i="5"/>
  <c r="BO2130" i="4"/>
  <c r="BO2133" i="4"/>
  <c r="H1826" i="4"/>
  <c r="H1825" i="4"/>
  <c r="G1826" i="4"/>
  <c r="G1825" i="4"/>
  <c r="G1820" i="4"/>
  <c r="F1826" i="4"/>
  <c r="F1825" i="4"/>
  <c r="E1826" i="4"/>
  <c r="E1825" i="4"/>
  <c r="E1820" i="4"/>
  <c r="D1826" i="4"/>
  <c r="D1825" i="4"/>
  <c r="C1826" i="4"/>
  <c r="C1825" i="4"/>
  <c r="C1820" i="4"/>
  <c r="B1826" i="4"/>
  <c r="B1825" i="4"/>
  <c r="H1812" i="4"/>
  <c r="G1812" i="4"/>
  <c r="F1812" i="4"/>
  <c r="E1812" i="4"/>
  <c r="D1812" i="4"/>
  <c r="C1812" i="4"/>
  <c r="B1812" i="4"/>
  <c r="I1811" i="4"/>
  <c r="BP2108" i="4"/>
  <c r="I1810" i="4"/>
  <c r="I1809" i="4"/>
  <c r="BP2106" i="4"/>
  <c r="I1808" i="4"/>
  <c r="I1807" i="4"/>
  <c r="BP2104" i="4"/>
  <c r="I1806" i="4"/>
  <c r="J1806" i="4"/>
  <c r="BT2295" i="3"/>
  <c r="BT2298" i="3"/>
  <c r="H1992" i="3"/>
  <c r="H1991" i="3"/>
  <c r="G1992" i="3"/>
  <c r="G1991" i="3"/>
  <c r="G1986" i="3"/>
  <c r="F1992" i="3"/>
  <c r="F1991" i="3"/>
  <c r="E1992" i="3"/>
  <c r="E1991" i="3"/>
  <c r="E1987" i="3"/>
  <c r="D1992" i="3"/>
  <c r="D1991" i="3"/>
  <c r="C1992" i="3"/>
  <c r="C1991" i="3"/>
  <c r="C1986" i="3"/>
  <c r="B1992" i="3"/>
  <c r="B1991" i="3"/>
  <c r="H1978" i="3"/>
  <c r="G1978" i="3"/>
  <c r="F1978" i="3"/>
  <c r="E1978" i="3"/>
  <c r="D1978" i="3"/>
  <c r="C1978" i="3"/>
  <c r="B1978" i="3"/>
  <c r="I1977" i="3"/>
  <c r="BU2274" i="3"/>
  <c r="I1976" i="3"/>
  <c r="I1975" i="3"/>
  <c r="BU2272" i="3"/>
  <c r="I1974" i="3"/>
  <c r="I1973" i="3"/>
  <c r="BU2270" i="3"/>
  <c r="BO2200" i="2"/>
  <c r="BO2203" i="2"/>
  <c r="H1886" i="2"/>
  <c r="H1885" i="2"/>
  <c r="G1886" i="2"/>
  <c r="G1885" i="2"/>
  <c r="F1886" i="2"/>
  <c r="F1885" i="2"/>
  <c r="E1886" i="2"/>
  <c r="E1885" i="2"/>
  <c r="D1886" i="2"/>
  <c r="D1885" i="2"/>
  <c r="C1886" i="2"/>
  <c r="C1885" i="2"/>
  <c r="B1886" i="2"/>
  <c r="B1885" i="2"/>
  <c r="H1872" i="2"/>
  <c r="G1872" i="2"/>
  <c r="F1872" i="2"/>
  <c r="E1872" i="2"/>
  <c r="D1872" i="2"/>
  <c r="C1872" i="2"/>
  <c r="B1872" i="2"/>
  <c r="I1871" i="2"/>
  <c r="I1870" i="2"/>
  <c r="J1870" i="2"/>
  <c r="I1869" i="2"/>
  <c r="I1868" i="2"/>
  <c r="J1868" i="2"/>
  <c r="I1867" i="2"/>
  <c r="BP2174" i="2"/>
  <c r="BW2398" i="1"/>
  <c r="BW2401" i="1"/>
  <c r="H2088" i="1"/>
  <c r="H2087" i="1"/>
  <c r="G2088" i="1"/>
  <c r="G2087" i="1"/>
  <c r="F2088" i="1"/>
  <c r="F2087" i="1"/>
  <c r="E2088" i="1"/>
  <c r="E2087" i="1"/>
  <c r="D2088" i="1"/>
  <c r="D2087" i="1"/>
  <c r="C2088" i="1"/>
  <c r="C2087" i="1"/>
  <c r="B2088" i="1"/>
  <c r="B2087" i="1"/>
  <c r="H2074" i="1"/>
  <c r="G2074" i="1"/>
  <c r="F2074" i="1"/>
  <c r="D2074" i="1"/>
  <c r="C2074" i="1"/>
  <c r="B2074" i="1"/>
  <c r="I2073" i="1"/>
  <c r="BX2371" i="1"/>
  <c r="I2072" i="1"/>
  <c r="I2071" i="1"/>
  <c r="BX2369" i="1"/>
  <c r="I2070" i="1"/>
  <c r="I2069" i="1"/>
  <c r="BX2367" i="1"/>
  <c r="D543" i="6"/>
  <c r="H543" i="6"/>
  <c r="G543" i="6"/>
  <c r="F543" i="6"/>
  <c r="E543" i="6"/>
  <c r="C543" i="6"/>
  <c r="B543" i="6"/>
  <c r="H1306" i="5"/>
  <c r="G1306" i="5"/>
  <c r="F1306" i="5"/>
  <c r="E1306" i="5"/>
  <c r="D1306" i="5"/>
  <c r="C1306" i="5"/>
  <c r="B1306" i="5"/>
  <c r="H1779" i="4"/>
  <c r="G1779" i="4"/>
  <c r="F1779" i="4"/>
  <c r="E1779" i="4"/>
  <c r="D1779" i="4"/>
  <c r="C1779" i="4"/>
  <c r="B1779" i="4"/>
  <c r="H1945" i="3"/>
  <c r="G1945" i="3"/>
  <c r="F1945" i="3"/>
  <c r="E1945" i="3"/>
  <c r="D1945" i="3"/>
  <c r="C1945" i="3"/>
  <c r="B1945" i="3"/>
  <c r="H1838" i="2"/>
  <c r="G1838" i="2"/>
  <c r="F1838" i="2"/>
  <c r="E1838" i="2"/>
  <c r="D1838" i="2"/>
  <c r="C1838" i="2"/>
  <c r="B1838" i="2"/>
  <c r="H2041" i="1"/>
  <c r="G2041" i="1"/>
  <c r="F2041" i="1"/>
  <c r="E2041" i="1"/>
  <c r="D2041" i="1"/>
  <c r="C2041" i="1"/>
  <c r="B2041" i="1"/>
  <c r="J1869" i="2"/>
  <c r="BP2176" i="2"/>
  <c r="J1871" i="2"/>
  <c r="BP2178" i="2"/>
  <c r="BP2175" i="2"/>
  <c r="BP2177" i="2"/>
  <c r="BP2103" i="4"/>
  <c r="BP2131" i="4"/>
  <c r="J1808" i="4"/>
  <c r="BP2105" i="4"/>
  <c r="J1810" i="4"/>
  <c r="BP2107" i="4"/>
  <c r="J1809" i="4"/>
  <c r="J1811" i="4"/>
  <c r="J570" i="6"/>
  <c r="J572" i="6"/>
  <c r="W869" i="6"/>
  <c r="J574" i="6"/>
  <c r="W871" i="6"/>
  <c r="W870" i="6"/>
  <c r="W872" i="6"/>
  <c r="AY1633" i="5"/>
  <c r="AY1635" i="5"/>
  <c r="AY1630" i="5"/>
  <c r="AY1658" i="5"/>
  <c r="J1335" i="5"/>
  <c r="AY1632" i="5"/>
  <c r="J1337" i="5"/>
  <c r="AY1634" i="5"/>
  <c r="J1975" i="3"/>
  <c r="J1977" i="3"/>
  <c r="J1974" i="3"/>
  <c r="BU2271" i="3"/>
  <c r="J1976" i="3"/>
  <c r="BU2273" i="3"/>
  <c r="J2071" i="1"/>
  <c r="J2073" i="1"/>
  <c r="J2070" i="1"/>
  <c r="BX2368" i="1"/>
  <c r="J2072" i="1"/>
  <c r="BX2370" i="1"/>
  <c r="I576" i="6"/>
  <c r="I1978" i="3"/>
  <c r="I2074" i="1"/>
  <c r="C1827" i="4"/>
  <c r="C1828" i="4"/>
  <c r="C1829" i="4"/>
  <c r="C1818" i="4"/>
  <c r="E1827" i="4"/>
  <c r="E1828" i="4"/>
  <c r="E1829" i="4"/>
  <c r="E1818" i="4"/>
  <c r="E1822" i="4"/>
  <c r="G1827" i="4"/>
  <c r="G1828" i="4"/>
  <c r="G1829" i="4"/>
  <c r="G1818" i="4"/>
  <c r="B1351" i="5"/>
  <c r="B1347" i="5"/>
  <c r="B1349" i="5"/>
  <c r="D1354" i="5"/>
  <c r="D1355" i="5"/>
  <c r="D1356" i="5"/>
  <c r="D1345" i="5"/>
  <c r="D1348" i="5"/>
  <c r="D1350" i="5"/>
  <c r="F1354" i="5"/>
  <c r="F1355" i="5"/>
  <c r="F1356" i="5"/>
  <c r="F1345" i="5"/>
  <c r="F1348" i="5"/>
  <c r="F1350" i="5"/>
  <c r="C587" i="6"/>
  <c r="C591" i="6"/>
  <c r="C585" i="6"/>
  <c r="E591" i="6"/>
  <c r="E585" i="6"/>
  <c r="E587" i="6"/>
  <c r="G587" i="6"/>
  <c r="G591" i="6"/>
  <c r="G585" i="6"/>
  <c r="C1990" i="3"/>
  <c r="C1989" i="3"/>
  <c r="E1989" i="3"/>
  <c r="E1990" i="3"/>
  <c r="G1990" i="3"/>
  <c r="G1989" i="3"/>
  <c r="C1354" i="5"/>
  <c r="C1355" i="5"/>
  <c r="C1356" i="5"/>
  <c r="C1346" i="5"/>
  <c r="C1349" i="5"/>
  <c r="C1351" i="5"/>
  <c r="C1347" i="5"/>
  <c r="E1350" i="5"/>
  <c r="E1349" i="5"/>
  <c r="E1354" i="5"/>
  <c r="E1355" i="5"/>
  <c r="E1356" i="5"/>
  <c r="E1346" i="5"/>
  <c r="E1351" i="5"/>
  <c r="E1348" i="5"/>
  <c r="E1347" i="5"/>
  <c r="B591" i="6"/>
  <c r="B592" i="6"/>
  <c r="B593" i="6"/>
  <c r="B583" i="6"/>
  <c r="B587" i="6"/>
  <c r="B585" i="6"/>
  <c r="D585" i="6"/>
  <c r="F585" i="6"/>
  <c r="H585" i="6"/>
  <c r="I585" i="6"/>
  <c r="B588" i="6"/>
  <c r="B586" i="6"/>
  <c r="B584" i="6"/>
  <c r="D591" i="6"/>
  <c r="D592" i="6"/>
  <c r="D593" i="6"/>
  <c r="D583" i="6"/>
  <c r="D587" i="6"/>
  <c r="D588" i="6"/>
  <c r="D586" i="6"/>
  <c r="D584" i="6"/>
  <c r="F591" i="6"/>
  <c r="F592" i="6"/>
  <c r="F593" i="6"/>
  <c r="F583" i="6"/>
  <c r="F587" i="6"/>
  <c r="F588" i="6"/>
  <c r="F586" i="6"/>
  <c r="F584" i="6"/>
  <c r="H591" i="6"/>
  <c r="H592" i="6"/>
  <c r="H593" i="6"/>
  <c r="H583" i="6"/>
  <c r="H587" i="6"/>
  <c r="H588" i="6"/>
  <c r="H586" i="6"/>
  <c r="H584" i="6"/>
  <c r="C584" i="6"/>
  <c r="E584" i="6"/>
  <c r="G584" i="6"/>
  <c r="C586" i="6"/>
  <c r="E586" i="6"/>
  <c r="G586" i="6"/>
  <c r="C588" i="6"/>
  <c r="E588" i="6"/>
  <c r="G588" i="6"/>
  <c r="I587" i="6"/>
  <c r="C592" i="6"/>
  <c r="C593" i="6"/>
  <c r="E592" i="6"/>
  <c r="E593" i="6"/>
  <c r="G592" i="6"/>
  <c r="G593" i="6"/>
  <c r="I590" i="6"/>
  <c r="W887" i="6"/>
  <c r="W902" i="6"/>
  <c r="J571" i="6"/>
  <c r="J590" i="6"/>
  <c r="C1348" i="5"/>
  <c r="C1350" i="5"/>
  <c r="H1354" i="5"/>
  <c r="H1351" i="5"/>
  <c r="H1350" i="5"/>
  <c r="H1349" i="5"/>
  <c r="H1348" i="5"/>
  <c r="H1347" i="5"/>
  <c r="G1354" i="5"/>
  <c r="G1351" i="5"/>
  <c r="G1349" i="5"/>
  <c r="G1347" i="5"/>
  <c r="G1350" i="5"/>
  <c r="G1348" i="5"/>
  <c r="I1353" i="5"/>
  <c r="AY1650" i="5"/>
  <c r="AY1666" i="5"/>
  <c r="J1334" i="5"/>
  <c r="J1353" i="5"/>
  <c r="B1827" i="4"/>
  <c r="B1823" i="4"/>
  <c r="B1821" i="4"/>
  <c r="B1824" i="4"/>
  <c r="B1822" i="4"/>
  <c r="B1820" i="4"/>
  <c r="D1827" i="4"/>
  <c r="D1824" i="4"/>
  <c r="D1823" i="4"/>
  <c r="D1821" i="4"/>
  <c r="D1822" i="4"/>
  <c r="D1820" i="4"/>
  <c r="F1827" i="4"/>
  <c r="F1823" i="4"/>
  <c r="F1821" i="4"/>
  <c r="F1824" i="4"/>
  <c r="F1822" i="4"/>
  <c r="F1820" i="4"/>
  <c r="H1827" i="4"/>
  <c r="H1824" i="4"/>
  <c r="H1823" i="4"/>
  <c r="H1821" i="4"/>
  <c r="H1822" i="4"/>
  <c r="H1820" i="4"/>
  <c r="I1812" i="4"/>
  <c r="BP2109" i="4"/>
  <c r="BP2132" i="4"/>
  <c r="C1821" i="4"/>
  <c r="E1821" i="4"/>
  <c r="G1821" i="4"/>
  <c r="C1823" i="4"/>
  <c r="E1823" i="4"/>
  <c r="G1823" i="4"/>
  <c r="B1828" i="4"/>
  <c r="B1829" i="4"/>
  <c r="B1819" i="4"/>
  <c r="D1828" i="4"/>
  <c r="D1829" i="4"/>
  <c r="D1819" i="4"/>
  <c r="F1828" i="4"/>
  <c r="F1829" i="4"/>
  <c r="F1819" i="4"/>
  <c r="H1828" i="4"/>
  <c r="H1829" i="4"/>
  <c r="H1819" i="4"/>
  <c r="C1824" i="4"/>
  <c r="E1824" i="4"/>
  <c r="G1824" i="4"/>
  <c r="I1826" i="4"/>
  <c r="BP2123" i="4"/>
  <c r="BP2139" i="4"/>
  <c r="J1807" i="4"/>
  <c r="J1826" i="4"/>
  <c r="B1989" i="3"/>
  <c r="B1987" i="3"/>
  <c r="B1990" i="3"/>
  <c r="B1988" i="3"/>
  <c r="B1986" i="3"/>
  <c r="D1989" i="3"/>
  <c r="D1987" i="3"/>
  <c r="D1990" i="3"/>
  <c r="D1988" i="3"/>
  <c r="C1988" i="3"/>
  <c r="E1988" i="3"/>
  <c r="F1988" i="3"/>
  <c r="G1988" i="3"/>
  <c r="H1988" i="3"/>
  <c r="I1988" i="3"/>
  <c r="BU2285" i="3"/>
  <c r="BU2301" i="3"/>
  <c r="D1986" i="3"/>
  <c r="F1993" i="3"/>
  <c r="F1994" i="3"/>
  <c r="F1995" i="3"/>
  <c r="F1984" i="3"/>
  <c r="F1989" i="3"/>
  <c r="F1987" i="3"/>
  <c r="F1990" i="3"/>
  <c r="F1986" i="3"/>
  <c r="H1989" i="3"/>
  <c r="H1987" i="3"/>
  <c r="H1990" i="3"/>
  <c r="H1986" i="3"/>
  <c r="B1993" i="3"/>
  <c r="B1994" i="3"/>
  <c r="B1995" i="3"/>
  <c r="B1984" i="3"/>
  <c r="D1993" i="3"/>
  <c r="D1994" i="3"/>
  <c r="D1995" i="3"/>
  <c r="D1984" i="3"/>
  <c r="H1993" i="3"/>
  <c r="H1994" i="3"/>
  <c r="H1995" i="3"/>
  <c r="H1984" i="3"/>
  <c r="I1972" i="3"/>
  <c r="BU2269" i="3"/>
  <c r="BU2296" i="3"/>
  <c r="I1989" i="3"/>
  <c r="BU2286" i="3"/>
  <c r="BU2302" i="3"/>
  <c r="C1993" i="3"/>
  <c r="E1993" i="3"/>
  <c r="G1993" i="3"/>
  <c r="C1994" i="3"/>
  <c r="C1995" i="3"/>
  <c r="C1985" i="3"/>
  <c r="G1994" i="3"/>
  <c r="G1995" i="3"/>
  <c r="G1985" i="3"/>
  <c r="I1992" i="3"/>
  <c r="BU2289" i="3"/>
  <c r="BU2304" i="3"/>
  <c r="I1990" i="3"/>
  <c r="BU2287" i="3"/>
  <c r="BU2303" i="3"/>
  <c r="J1973" i="3"/>
  <c r="I1886" i="2"/>
  <c r="BP2193" i="2"/>
  <c r="BP2209" i="2"/>
  <c r="J1867" i="2"/>
  <c r="J1886" i="2"/>
  <c r="I2068" i="1"/>
  <c r="J2068" i="1"/>
  <c r="I2088" i="1"/>
  <c r="BX2391" i="1"/>
  <c r="BX2407" i="1"/>
  <c r="J2069" i="1"/>
  <c r="U893" i="6"/>
  <c r="U896" i="6"/>
  <c r="H563" i="6"/>
  <c r="H562" i="6"/>
  <c r="G563" i="6"/>
  <c r="G562" i="6"/>
  <c r="F563" i="6"/>
  <c r="F562" i="6"/>
  <c r="E563" i="6"/>
  <c r="E562" i="6"/>
  <c r="D563" i="6"/>
  <c r="D562" i="6"/>
  <c r="C563" i="6"/>
  <c r="C562" i="6"/>
  <c r="B563" i="6"/>
  <c r="B562" i="6"/>
  <c r="H549" i="6"/>
  <c r="G549" i="6"/>
  <c r="F549" i="6"/>
  <c r="E549" i="6"/>
  <c r="D549" i="6"/>
  <c r="C549" i="6"/>
  <c r="B549" i="6"/>
  <c r="I548" i="6"/>
  <c r="I547" i="6"/>
  <c r="V871" i="6"/>
  <c r="I546" i="6"/>
  <c r="I545" i="6"/>
  <c r="V869" i="6"/>
  <c r="I544" i="6"/>
  <c r="V868" i="6"/>
  <c r="I543" i="6"/>
  <c r="AW1657" i="5"/>
  <c r="AW1660" i="5"/>
  <c r="H1326" i="5"/>
  <c r="H1325" i="5"/>
  <c r="G1326" i="5"/>
  <c r="G1325" i="5"/>
  <c r="F1326" i="5"/>
  <c r="F1325" i="5"/>
  <c r="F1323" i="5"/>
  <c r="E1326" i="5"/>
  <c r="E1325" i="5"/>
  <c r="D1326" i="5"/>
  <c r="D1325" i="5"/>
  <c r="C1326" i="5"/>
  <c r="C1325" i="5"/>
  <c r="B1326" i="5"/>
  <c r="B1325" i="5"/>
  <c r="B1323" i="5"/>
  <c r="H1312" i="5"/>
  <c r="G1312" i="5"/>
  <c r="F1312" i="5"/>
  <c r="E1312" i="5"/>
  <c r="D1312" i="5"/>
  <c r="C1312" i="5"/>
  <c r="B1312" i="5"/>
  <c r="I1311" i="5"/>
  <c r="I1310" i="5"/>
  <c r="AX1634" i="5"/>
  <c r="I1309" i="5"/>
  <c r="I1308" i="5"/>
  <c r="AX1632" i="5"/>
  <c r="I1307" i="5"/>
  <c r="AX1631" i="5"/>
  <c r="I1306" i="5"/>
  <c r="BN2130" i="4"/>
  <c r="BN2133" i="4"/>
  <c r="H1799" i="4"/>
  <c r="H1798" i="4"/>
  <c r="G1799" i="4"/>
  <c r="G1798" i="4"/>
  <c r="F1799" i="4"/>
  <c r="F1798" i="4"/>
  <c r="E1799" i="4"/>
  <c r="E1798" i="4"/>
  <c r="D1799" i="4"/>
  <c r="D1798" i="4"/>
  <c r="C1799" i="4"/>
  <c r="C1798" i="4"/>
  <c r="B1799" i="4"/>
  <c r="B1798" i="4"/>
  <c r="H1785" i="4"/>
  <c r="G1785" i="4"/>
  <c r="F1785" i="4"/>
  <c r="E1785" i="4"/>
  <c r="D1785" i="4"/>
  <c r="C1785" i="4"/>
  <c r="B1785" i="4"/>
  <c r="I1784" i="4"/>
  <c r="I1783" i="4"/>
  <c r="J1783" i="4"/>
  <c r="I1782" i="4"/>
  <c r="I1781" i="4"/>
  <c r="I1780" i="4"/>
  <c r="I1785" i="4"/>
  <c r="BO2104" i="4"/>
  <c r="I1779" i="4"/>
  <c r="BS2295" i="3"/>
  <c r="BS2298" i="3"/>
  <c r="H1965" i="3"/>
  <c r="H1964" i="3"/>
  <c r="H1962" i="3"/>
  <c r="G1965" i="3"/>
  <c r="G1964" i="3"/>
  <c r="F1965" i="3"/>
  <c r="F1964" i="3"/>
  <c r="E1965" i="3"/>
  <c r="E1964" i="3"/>
  <c r="D1965" i="3"/>
  <c r="D1964" i="3"/>
  <c r="C1965" i="3"/>
  <c r="C1964" i="3"/>
  <c r="B1965" i="3"/>
  <c r="B1964" i="3"/>
  <c r="H1951" i="3"/>
  <c r="G1951" i="3"/>
  <c r="F1951" i="3"/>
  <c r="E1951" i="3"/>
  <c r="D1951" i="3"/>
  <c r="C1951" i="3"/>
  <c r="B1951" i="3"/>
  <c r="I1950" i="3"/>
  <c r="I1949" i="3"/>
  <c r="J1949" i="3"/>
  <c r="I1948" i="3"/>
  <c r="I1947" i="3"/>
  <c r="J1947" i="3"/>
  <c r="I1946" i="3"/>
  <c r="BT2270" i="3"/>
  <c r="I1945" i="3"/>
  <c r="BN2200" i="2"/>
  <c r="BN2203" i="2"/>
  <c r="H1858" i="2"/>
  <c r="H1857" i="2"/>
  <c r="G1858" i="2"/>
  <c r="G1857" i="2"/>
  <c r="F1858" i="2"/>
  <c r="F1857" i="2"/>
  <c r="F1859" i="2"/>
  <c r="E1858" i="2"/>
  <c r="E1857" i="2"/>
  <c r="E1853" i="2"/>
  <c r="D1858" i="2"/>
  <c r="D1857" i="2"/>
  <c r="C1858" i="2"/>
  <c r="C1857" i="2"/>
  <c r="B1858" i="2"/>
  <c r="B1857" i="2"/>
  <c r="H1844" i="2"/>
  <c r="G1844" i="2"/>
  <c r="F1844" i="2"/>
  <c r="E1844" i="2"/>
  <c r="D1844" i="2"/>
  <c r="C1844" i="2"/>
  <c r="B1844" i="2"/>
  <c r="I1843" i="2"/>
  <c r="I1842" i="2"/>
  <c r="BO2177" i="2"/>
  <c r="I1841" i="2"/>
  <c r="I1840" i="2"/>
  <c r="BO2175" i="2"/>
  <c r="I1839" i="2"/>
  <c r="BO2174" i="2"/>
  <c r="I1838" i="2"/>
  <c r="BV2398" i="1"/>
  <c r="BV2401" i="1"/>
  <c r="H2061" i="1"/>
  <c r="H2060" i="1"/>
  <c r="G2061" i="1"/>
  <c r="G2060" i="1"/>
  <c r="G2056" i="1"/>
  <c r="F2061" i="1"/>
  <c r="F2060" i="1"/>
  <c r="E2061" i="1"/>
  <c r="E2060" i="1"/>
  <c r="B2061" i="1"/>
  <c r="B2060" i="1"/>
  <c r="C2061" i="1"/>
  <c r="C2060" i="1"/>
  <c r="D2061" i="1"/>
  <c r="D2060" i="1"/>
  <c r="I2060" i="1"/>
  <c r="C2057" i="1"/>
  <c r="H2047" i="1"/>
  <c r="G2047" i="1"/>
  <c r="F2047" i="1"/>
  <c r="E2047" i="1"/>
  <c r="D2047" i="1"/>
  <c r="C2047" i="1"/>
  <c r="B2047" i="1"/>
  <c r="I2046" i="1"/>
  <c r="I2045" i="1"/>
  <c r="BW2370" i="1"/>
  <c r="I2044" i="1"/>
  <c r="I2043" i="1"/>
  <c r="BW2368" i="1"/>
  <c r="I2042" i="1"/>
  <c r="BW2367" i="1"/>
  <c r="J587" i="6"/>
  <c r="W884" i="6"/>
  <c r="W900" i="6"/>
  <c r="J576" i="6"/>
  <c r="W873" i="6"/>
  <c r="W895" i="6"/>
  <c r="J1978" i="3"/>
  <c r="BU2275" i="3"/>
  <c r="BU2297" i="3"/>
  <c r="BX2366" i="1"/>
  <c r="BX2399" i="1"/>
  <c r="J2088" i="1"/>
  <c r="J2074" i="1"/>
  <c r="BX2372" i="1"/>
  <c r="BX2400" i="1"/>
  <c r="I1821" i="4"/>
  <c r="BP2118" i="4"/>
  <c r="BP2135" i="4"/>
  <c r="J1989" i="3"/>
  <c r="J2044" i="1"/>
  <c r="BW2369" i="1"/>
  <c r="J2046" i="1"/>
  <c r="BW2371" i="1"/>
  <c r="J1838" i="2"/>
  <c r="BO2173" i="2"/>
  <c r="BO2201" i="2"/>
  <c r="J1840" i="2"/>
  <c r="J1842" i="2"/>
  <c r="J1948" i="3"/>
  <c r="BT2272" i="3"/>
  <c r="J1950" i="3"/>
  <c r="BT2274" i="3"/>
  <c r="J1779" i="4"/>
  <c r="BO2103" i="4"/>
  <c r="BO2131" i="4"/>
  <c r="BO2105" i="4"/>
  <c r="BO2107" i="4"/>
  <c r="J1309" i="5"/>
  <c r="AX1633" i="5"/>
  <c r="J1311" i="5"/>
  <c r="AX1635" i="5"/>
  <c r="J543" i="6"/>
  <c r="V867" i="6"/>
  <c r="V894" i="6"/>
  <c r="J545" i="6"/>
  <c r="J547" i="6"/>
  <c r="J2043" i="1"/>
  <c r="J2045" i="1"/>
  <c r="J1841" i="2"/>
  <c r="BO2176" i="2"/>
  <c r="J1843" i="2"/>
  <c r="BO2178" i="2"/>
  <c r="J1945" i="3"/>
  <c r="BT2269" i="3"/>
  <c r="BT2296" i="3"/>
  <c r="BT2271" i="3"/>
  <c r="BT2273" i="3"/>
  <c r="J1782" i="4"/>
  <c r="BO2106" i="4"/>
  <c r="J1784" i="4"/>
  <c r="BO2108" i="4"/>
  <c r="J1306" i="5"/>
  <c r="AX1630" i="5"/>
  <c r="AX1658" i="5"/>
  <c r="J1308" i="5"/>
  <c r="J1310" i="5"/>
  <c r="J546" i="6"/>
  <c r="V870" i="6"/>
  <c r="J548" i="6"/>
  <c r="V872" i="6"/>
  <c r="I586" i="6"/>
  <c r="W883" i="6"/>
  <c r="W899" i="6"/>
  <c r="I584" i="6"/>
  <c r="W881" i="6"/>
  <c r="W897" i="6"/>
  <c r="I588" i="6"/>
  <c r="W885" i="6"/>
  <c r="W901" i="6"/>
  <c r="H582" i="6"/>
  <c r="D582" i="6"/>
  <c r="F582" i="6"/>
  <c r="B582" i="6"/>
  <c r="G583" i="6"/>
  <c r="G582" i="6"/>
  <c r="E583" i="6"/>
  <c r="E582" i="6"/>
  <c r="C583" i="6"/>
  <c r="C582" i="6"/>
  <c r="D1346" i="5"/>
  <c r="F1346" i="5"/>
  <c r="E1345" i="5"/>
  <c r="C1345" i="5"/>
  <c r="I1824" i="4"/>
  <c r="BP2121" i="4"/>
  <c r="BP2138" i="4"/>
  <c r="J1812" i="4"/>
  <c r="I1823" i="4"/>
  <c r="BP2120" i="4"/>
  <c r="BP2137" i="4"/>
  <c r="J1821" i="4"/>
  <c r="I1820" i="4"/>
  <c r="BP2117" i="4"/>
  <c r="BP2134" i="4"/>
  <c r="J1824" i="4"/>
  <c r="H1818" i="4"/>
  <c r="D1818" i="4"/>
  <c r="E1819" i="4"/>
  <c r="F1818" i="4"/>
  <c r="B1818" i="4"/>
  <c r="G1819" i="4"/>
  <c r="C1819" i="4"/>
  <c r="J1992" i="3"/>
  <c r="J1972" i="3"/>
  <c r="F1985" i="3"/>
  <c r="D1985" i="3"/>
  <c r="H1985" i="3"/>
  <c r="B1985" i="3"/>
  <c r="G1984" i="3"/>
  <c r="C1984" i="3"/>
  <c r="D2084" i="1"/>
  <c r="D2085" i="1"/>
  <c r="H2086" i="1"/>
  <c r="H2082" i="1"/>
  <c r="H2083" i="1"/>
  <c r="B2084" i="1"/>
  <c r="B2085" i="1"/>
  <c r="I549" i="6"/>
  <c r="I1951" i="3"/>
  <c r="I2047" i="1"/>
  <c r="B2057" i="1"/>
  <c r="B2056" i="1"/>
  <c r="D2057" i="1"/>
  <c r="D2058" i="1"/>
  <c r="F2062" i="1"/>
  <c r="F2057" i="1"/>
  <c r="F2058" i="1"/>
  <c r="H2059" i="1"/>
  <c r="H2055" i="1"/>
  <c r="H2056" i="1"/>
  <c r="E1859" i="2"/>
  <c r="E1855" i="2"/>
  <c r="B1963" i="3"/>
  <c r="B1960" i="3"/>
  <c r="F1962" i="3"/>
  <c r="C1796" i="4"/>
  <c r="C1800" i="4"/>
  <c r="E1800" i="4"/>
  <c r="E1796" i="4"/>
  <c r="G1796" i="4"/>
  <c r="G1800" i="4"/>
  <c r="B1327" i="5"/>
  <c r="B1328" i="5"/>
  <c r="B1321" i="5"/>
  <c r="D1323" i="5"/>
  <c r="F1327" i="5"/>
  <c r="F1321" i="5"/>
  <c r="H1323" i="5"/>
  <c r="C564" i="6"/>
  <c r="C560" i="6"/>
  <c r="E564" i="6"/>
  <c r="E565" i="6"/>
  <c r="G564" i="6"/>
  <c r="G560" i="6"/>
  <c r="C2056" i="1"/>
  <c r="E2058" i="1"/>
  <c r="E2059" i="1"/>
  <c r="E2055" i="1"/>
  <c r="G2057" i="1"/>
  <c r="B564" i="6"/>
  <c r="B558" i="6"/>
  <c r="B559" i="6"/>
  <c r="D564" i="6"/>
  <c r="D558" i="6"/>
  <c r="D559" i="6"/>
  <c r="F564" i="6"/>
  <c r="F558" i="6"/>
  <c r="F559" i="6"/>
  <c r="H564" i="6"/>
  <c r="H558" i="6"/>
  <c r="H559" i="6"/>
  <c r="C557" i="6"/>
  <c r="G557" i="6"/>
  <c r="E559" i="6"/>
  <c r="C561" i="6"/>
  <c r="G561" i="6"/>
  <c r="G565" i="6"/>
  <c r="B565" i="6"/>
  <c r="D565" i="6"/>
  <c r="F565" i="6"/>
  <c r="H565" i="6"/>
  <c r="I563" i="6"/>
  <c r="V887" i="6"/>
  <c r="V902" i="6"/>
  <c r="J544" i="6"/>
  <c r="J563" i="6"/>
  <c r="C1324" i="5"/>
  <c r="C1320" i="5"/>
  <c r="C1321" i="5"/>
  <c r="E1324" i="5"/>
  <c r="E1323" i="5"/>
  <c r="E1320" i="5"/>
  <c r="G1324" i="5"/>
  <c r="G1320" i="5"/>
  <c r="G1321" i="5"/>
  <c r="I1312" i="5"/>
  <c r="AX1636" i="5"/>
  <c r="AX1659" i="5"/>
  <c r="B1320" i="5"/>
  <c r="F1320" i="5"/>
  <c r="B1322" i="5"/>
  <c r="F1322" i="5"/>
  <c r="B1324" i="5"/>
  <c r="F1324" i="5"/>
  <c r="F1328" i="5"/>
  <c r="I1326" i="5"/>
  <c r="AX1650" i="5"/>
  <c r="AX1666" i="5"/>
  <c r="J1307" i="5"/>
  <c r="J1326" i="5"/>
  <c r="B1796" i="4"/>
  <c r="B1797" i="4"/>
  <c r="B1793" i="4"/>
  <c r="D1796" i="4"/>
  <c r="D1797" i="4"/>
  <c r="D1793" i="4"/>
  <c r="F1796" i="4"/>
  <c r="F1797" i="4"/>
  <c r="F1793" i="4"/>
  <c r="H1796" i="4"/>
  <c r="H1797" i="4"/>
  <c r="H1793" i="4"/>
  <c r="E1795" i="4"/>
  <c r="C1797" i="4"/>
  <c r="G1797" i="4"/>
  <c r="C1801" i="4"/>
  <c r="E1801" i="4"/>
  <c r="G1801" i="4"/>
  <c r="I1799" i="4"/>
  <c r="BO2123" i="4"/>
  <c r="BO2139" i="4"/>
  <c r="J1780" i="4"/>
  <c r="J1799" i="4"/>
  <c r="D1962" i="3"/>
  <c r="H1963" i="3"/>
  <c r="H1960" i="3"/>
  <c r="I1965" i="3"/>
  <c r="BT2289" i="3"/>
  <c r="BT2304" i="3"/>
  <c r="B1959" i="3"/>
  <c r="D1959" i="3"/>
  <c r="F1959" i="3"/>
  <c r="H1959" i="3"/>
  <c r="C1960" i="3"/>
  <c r="G1960" i="3"/>
  <c r="B1961" i="3"/>
  <c r="D1961" i="3"/>
  <c r="F1961" i="3"/>
  <c r="H1961" i="3"/>
  <c r="C1962" i="3"/>
  <c r="G1962" i="3"/>
  <c r="C1963" i="3"/>
  <c r="G1963" i="3"/>
  <c r="D1966" i="3"/>
  <c r="H1966" i="3"/>
  <c r="J1946" i="3"/>
  <c r="E1966" i="3"/>
  <c r="B1855" i="2"/>
  <c r="B1856" i="2"/>
  <c r="B1852" i="2"/>
  <c r="D1855" i="2"/>
  <c r="D1856" i="2"/>
  <c r="D1852" i="2"/>
  <c r="F1860" i="2"/>
  <c r="F1861" i="2"/>
  <c r="F1855" i="2"/>
  <c r="F1853" i="2"/>
  <c r="F1856" i="2"/>
  <c r="F1854" i="2"/>
  <c r="F1852" i="2"/>
  <c r="H1859" i="2"/>
  <c r="H1860" i="2"/>
  <c r="H1861" i="2"/>
  <c r="H1855" i="2"/>
  <c r="H1853" i="2"/>
  <c r="H1856" i="2"/>
  <c r="H1854" i="2"/>
  <c r="H1852" i="2"/>
  <c r="C1852" i="2"/>
  <c r="E1852" i="2"/>
  <c r="G1852" i="2"/>
  <c r="C1854" i="2"/>
  <c r="E1854" i="2"/>
  <c r="G1854" i="2"/>
  <c r="C1856" i="2"/>
  <c r="E1856" i="2"/>
  <c r="G1856" i="2"/>
  <c r="E1860" i="2"/>
  <c r="E1861" i="2"/>
  <c r="I1858" i="2"/>
  <c r="BO2193" i="2"/>
  <c r="BO2209" i="2"/>
  <c r="J1839" i="2"/>
  <c r="J1858" i="2"/>
  <c r="B2062" i="1"/>
  <c r="D2062" i="1"/>
  <c r="H2062" i="1"/>
  <c r="I2041" i="1"/>
  <c r="BW2366" i="1"/>
  <c r="BW2399" i="1"/>
  <c r="C2062" i="1"/>
  <c r="E2062" i="1"/>
  <c r="G2062" i="1"/>
  <c r="B2063" i="1"/>
  <c r="B2064" i="1"/>
  <c r="H2063" i="1"/>
  <c r="H2064" i="1"/>
  <c r="F2063" i="1"/>
  <c r="F2064" i="1"/>
  <c r="F2053" i="1"/>
  <c r="C2063" i="1"/>
  <c r="C2064" i="1"/>
  <c r="C2054" i="1"/>
  <c r="G2063" i="1"/>
  <c r="G2064" i="1"/>
  <c r="G2054" i="1"/>
  <c r="I2061" i="1"/>
  <c r="BW2391" i="1"/>
  <c r="BW2407" i="1"/>
  <c r="J2042" i="1"/>
  <c r="H516" i="6"/>
  <c r="G516" i="6"/>
  <c r="F516" i="6"/>
  <c r="E516" i="6"/>
  <c r="D516" i="6"/>
  <c r="C516" i="6"/>
  <c r="B516" i="6"/>
  <c r="H1279" i="5"/>
  <c r="G1279" i="5"/>
  <c r="F1279" i="5"/>
  <c r="E1279" i="5"/>
  <c r="D1279" i="5"/>
  <c r="C1279" i="5"/>
  <c r="B1279" i="5"/>
  <c r="H1752" i="4"/>
  <c r="G1752" i="4"/>
  <c r="F1752" i="4"/>
  <c r="E1752" i="4"/>
  <c r="D1752" i="4"/>
  <c r="C1752" i="4"/>
  <c r="B1752" i="4"/>
  <c r="H1918" i="3"/>
  <c r="G1918" i="3"/>
  <c r="F1918" i="3"/>
  <c r="E1918" i="3"/>
  <c r="D1918" i="3"/>
  <c r="C1918" i="3"/>
  <c r="B1918" i="3"/>
  <c r="H1810" i="2"/>
  <c r="G1810" i="2"/>
  <c r="F1810" i="2"/>
  <c r="E1810" i="2"/>
  <c r="D1810" i="2"/>
  <c r="C1810" i="2"/>
  <c r="B1810" i="2"/>
  <c r="H2014" i="1"/>
  <c r="G2014" i="1"/>
  <c r="F2014" i="1"/>
  <c r="E2014" i="1"/>
  <c r="D2014" i="1"/>
  <c r="C2014" i="1"/>
  <c r="B2014" i="1"/>
  <c r="J1785" i="4"/>
  <c r="BO2109" i="4"/>
  <c r="BO2132" i="4"/>
  <c r="J2047" i="1"/>
  <c r="BW2372" i="1"/>
  <c r="BW2400" i="1"/>
  <c r="J1951" i="3"/>
  <c r="BT2275" i="3"/>
  <c r="BT2297" i="3"/>
  <c r="J549" i="6"/>
  <c r="V873" i="6"/>
  <c r="V895" i="6"/>
  <c r="J588" i="6"/>
  <c r="J586" i="6"/>
  <c r="J584" i="6"/>
  <c r="I589" i="6"/>
  <c r="W886" i="6"/>
  <c r="J1820" i="4"/>
  <c r="J1823" i="4"/>
  <c r="J1988" i="3"/>
  <c r="J1990" i="3"/>
  <c r="J1312" i="5"/>
  <c r="I1796" i="4"/>
  <c r="BO2120" i="4"/>
  <c r="BO2137" i="4"/>
  <c r="J1965" i="3"/>
  <c r="H1967" i="3"/>
  <c r="H1968" i="3"/>
  <c r="D1967" i="3"/>
  <c r="D1968" i="3"/>
  <c r="E1967" i="3"/>
  <c r="E1968" i="3"/>
  <c r="G1966" i="3"/>
  <c r="C1966" i="3"/>
  <c r="I1852" i="2"/>
  <c r="BO2187" i="2"/>
  <c r="BO2204" i="2"/>
  <c r="I1856" i="2"/>
  <c r="BO2191" i="2"/>
  <c r="BO2208" i="2"/>
  <c r="J2061" i="1"/>
  <c r="J2041" i="1"/>
  <c r="F2054" i="1"/>
  <c r="G2053" i="1"/>
  <c r="C2053" i="1"/>
  <c r="T893" i="6"/>
  <c r="T896" i="6"/>
  <c r="H536" i="6"/>
  <c r="H535" i="6"/>
  <c r="G536" i="6"/>
  <c r="G535" i="6"/>
  <c r="F536" i="6"/>
  <c r="F535" i="6"/>
  <c r="E536" i="6"/>
  <c r="E535" i="6"/>
  <c r="E537" i="6"/>
  <c r="D536" i="6"/>
  <c r="D535" i="6"/>
  <c r="C536" i="6"/>
  <c r="C535" i="6"/>
  <c r="B536" i="6"/>
  <c r="B535" i="6"/>
  <c r="H522" i="6"/>
  <c r="G522" i="6"/>
  <c r="F522" i="6"/>
  <c r="E522" i="6"/>
  <c r="D522" i="6"/>
  <c r="C522" i="6"/>
  <c r="B522" i="6"/>
  <c r="I521" i="6"/>
  <c r="I520" i="6"/>
  <c r="I519" i="6"/>
  <c r="I518" i="6"/>
  <c r="I517" i="6"/>
  <c r="U868" i="6"/>
  <c r="AV1657" i="5"/>
  <c r="AV1660" i="5"/>
  <c r="H1299" i="5"/>
  <c r="H1298" i="5"/>
  <c r="G1299" i="5"/>
  <c r="G1298" i="5"/>
  <c r="F1299" i="5"/>
  <c r="F1298" i="5"/>
  <c r="E1299" i="5"/>
  <c r="E1298" i="5"/>
  <c r="D1299" i="5"/>
  <c r="D1298" i="5"/>
  <c r="C1299" i="5"/>
  <c r="C1298" i="5"/>
  <c r="B1299" i="5"/>
  <c r="B1298" i="5"/>
  <c r="H1285" i="5"/>
  <c r="G1285" i="5"/>
  <c r="F1285" i="5"/>
  <c r="E1285" i="5"/>
  <c r="D1285" i="5"/>
  <c r="C1285" i="5"/>
  <c r="B1285" i="5"/>
  <c r="I1284" i="5"/>
  <c r="I1283" i="5"/>
  <c r="I1282" i="5"/>
  <c r="I1281" i="5"/>
  <c r="I1280" i="5"/>
  <c r="AW1631" i="5"/>
  <c r="BM2130" i="4"/>
  <c r="BM2133" i="4"/>
  <c r="H1772" i="4"/>
  <c r="H1771" i="4"/>
  <c r="G1772" i="4"/>
  <c r="G1771" i="4"/>
  <c r="F1772" i="4"/>
  <c r="F1771" i="4"/>
  <c r="E1772" i="4"/>
  <c r="E1771" i="4"/>
  <c r="D1772" i="4"/>
  <c r="D1771" i="4"/>
  <c r="C1772" i="4"/>
  <c r="C1771" i="4"/>
  <c r="B1772" i="4"/>
  <c r="B1771" i="4"/>
  <c r="H1758" i="4"/>
  <c r="G1758" i="4"/>
  <c r="F1758" i="4"/>
  <c r="E1758" i="4"/>
  <c r="D1758" i="4"/>
  <c r="C1758" i="4"/>
  <c r="B1758" i="4"/>
  <c r="I1757" i="4"/>
  <c r="I1756" i="4"/>
  <c r="BN2107" i="4"/>
  <c r="I1755" i="4"/>
  <c r="I1754" i="4"/>
  <c r="BN2105" i="4"/>
  <c r="I1753" i="4"/>
  <c r="BN2104" i="4"/>
  <c r="I1752" i="4"/>
  <c r="BR2295" i="3"/>
  <c r="BR2298" i="3"/>
  <c r="H1938" i="3"/>
  <c r="H1937" i="3"/>
  <c r="G1938" i="3"/>
  <c r="G1937" i="3"/>
  <c r="F1938" i="3"/>
  <c r="F1937" i="3"/>
  <c r="E1938" i="3"/>
  <c r="E1937" i="3"/>
  <c r="D1938" i="3"/>
  <c r="D1937" i="3"/>
  <c r="C1938" i="3"/>
  <c r="C1937" i="3"/>
  <c r="B1938" i="3"/>
  <c r="B1937" i="3"/>
  <c r="H1924" i="3"/>
  <c r="G1924" i="3"/>
  <c r="F1924" i="3"/>
  <c r="E1924" i="3"/>
  <c r="D1924" i="3"/>
  <c r="C1924" i="3"/>
  <c r="B1924" i="3"/>
  <c r="I1923" i="3"/>
  <c r="I1922" i="3"/>
  <c r="BS2273" i="3"/>
  <c r="I1921" i="3"/>
  <c r="I1920" i="3"/>
  <c r="BS2271" i="3"/>
  <c r="I1919" i="3"/>
  <c r="BS2270" i="3"/>
  <c r="I1918" i="3"/>
  <c r="BM2200" i="2"/>
  <c r="BM2203" i="2"/>
  <c r="H1830" i="2"/>
  <c r="H1829" i="2"/>
  <c r="G1830" i="2"/>
  <c r="G1829" i="2"/>
  <c r="F1830" i="2"/>
  <c r="F1829" i="2"/>
  <c r="E1830" i="2"/>
  <c r="E1829" i="2"/>
  <c r="D1830" i="2"/>
  <c r="D1829" i="2"/>
  <c r="C1830" i="2"/>
  <c r="C1829" i="2"/>
  <c r="B1830" i="2"/>
  <c r="B1829" i="2"/>
  <c r="H1816" i="2"/>
  <c r="G1816" i="2"/>
  <c r="F1816" i="2"/>
  <c r="E1816" i="2"/>
  <c r="D1816" i="2"/>
  <c r="C1816" i="2"/>
  <c r="B1816" i="2"/>
  <c r="I1815" i="2"/>
  <c r="I1814" i="2"/>
  <c r="J1814" i="2"/>
  <c r="I1813" i="2"/>
  <c r="I1812" i="2"/>
  <c r="J1812" i="2"/>
  <c r="I1811" i="2"/>
  <c r="BN2174" i="2"/>
  <c r="I1810" i="2"/>
  <c r="BU2398" i="1"/>
  <c r="BU2401" i="1"/>
  <c r="H2034" i="1"/>
  <c r="H2033" i="1"/>
  <c r="G2034" i="1"/>
  <c r="G2033" i="1"/>
  <c r="F2034" i="1"/>
  <c r="F2033" i="1"/>
  <c r="E2034" i="1"/>
  <c r="E2033" i="1"/>
  <c r="D2034" i="1"/>
  <c r="D2033" i="1"/>
  <c r="C2034" i="1"/>
  <c r="C2033" i="1"/>
  <c r="B2034" i="1"/>
  <c r="B2033" i="1"/>
  <c r="H2020" i="1"/>
  <c r="G2020" i="1"/>
  <c r="F2020" i="1"/>
  <c r="E2020" i="1"/>
  <c r="D2020" i="1"/>
  <c r="C2020" i="1"/>
  <c r="B2020" i="1"/>
  <c r="I2019" i="1"/>
  <c r="I2018" i="1"/>
  <c r="J2018" i="1"/>
  <c r="I2017" i="1"/>
  <c r="I2016" i="1"/>
  <c r="J2016" i="1"/>
  <c r="I2015" i="1"/>
  <c r="BV2367" i="1"/>
  <c r="I578" i="6"/>
  <c r="W875" i="6"/>
  <c r="I577" i="6"/>
  <c r="W874" i="6"/>
  <c r="I581" i="6"/>
  <c r="W878" i="6"/>
  <c r="J589" i="6"/>
  <c r="J577" i="6"/>
  <c r="I580" i="6"/>
  <c r="W877" i="6"/>
  <c r="I579" i="6"/>
  <c r="W876" i="6"/>
  <c r="I591" i="6"/>
  <c r="W888" i="6"/>
  <c r="J579" i="6"/>
  <c r="J2017" i="1"/>
  <c r="BV2369" i="1"/>
  <c r="J2019" i="1"/>
  <c r="BV2371" i="1"/>
  <c r="J1810" i="2"/>
  <c r="BN2173" i="2"/>
  <c r="BN2201" i="2"/>
  <c r="BN2175" i="2"/>
  <c r="BN2177" i="2"/>
  <c r="J1921" i="3"/>
  <c r="BS2272" i="3"/>
  <c r="J1923" i="3"/>
  <c r="BS2274" i="3"/>
  <c r="J1752" i="4"/>
  <c r="BN2103" i="4"/>
  <c r="BN2131" i="4"/>
  <c r="J1754" i="4"/>
  <c r="J1756" i="4"/>
  <c r="J1281" i="5"/>
  <c r="AW1632" i="5"/>
  <c r="J1283" i="5"/>
  <c r="AW1634" i="5"/>
  <c r="J518" i="6"/>
  <c r="U869" i="6"/>
  <c r="J520" i="6"/>
  <c r="U871" i="6"/>
  <c r="BV2368" i="1"/>
  <c r="BV2370" i="1"/>
  <c r="J1813" i="2"/>
  <c r="BN2176" i="2"/>
  <c r="J1815" i="2"/>
  <c r="BN2178" i="2"/>
  <c r="J1918" i="3"/>
  <c r="BS2269" i="3"/>
  <c r="BS2296" i="3"/>
  <c r="J1920" i="3"/>
  <c r="J1922" i="3"/>
  <c r="J1755" i="4"/>
  <c r="BN2106" i="4"/>
  <c r="J1757" i="4"/>
  <c r="BN2108" i="4"/>
  <c r="J1282" i="5"/>
  <c r="AW1633" i="5"/>
  <c r="J1284" i="5"/>
  <c r="AW1635" i="5"/>
  <c r="J519" i="6"/>
  <c r="U870" i="6"/>
  <c r="J521" i="6"/>
  <c r="U872" i="6"/>
  <c r="E530" i="6"/>
  <c r="E531" i="6"/>
  <c r="E533" i="6"/>
  <c r="J1796" i="4"/>
  <c r="H1957" i="3"/>
  <c r="H1958" i="3"/>
  <c r="D1957" i="3"/>
  <c r="D1958" i="3"/>
  <c r="C1967" i="3"/>
  <c r="C1968" i="3"/>
  <c r="E1958" i="3"/>
  <c r="E1957" i="3"/>
  <c r="G1967" i="3"/>
  <c r="G1968" i="3"/>
  <c r="J1852" i="2"/>
  <c r="J1856" i="2"/>
  <c r="I522" i="6"/>
  <c r="I1924" i="3"/>
  <c r="I2020" i="1"/>
  <c r="C1294" i="5"/>
  <c r="C1300" i="5"/>
  <c r="C1296" i="5"/>
  <c r="E1300" i="5"/>
  <c r="E1301" i="5"/>
  <c r="E1302" i="5"/>
  <c r="E1294" i="5"/>
  <c r="G1296" i="5"/>
  <c r="G1294" i="5"/>
  <c r="G1300" i="5"/>
  <c r="G1301" i="5"/>
  <c r="G1302" i="5"/>
  <c r="B537" i="6"/>
  <c r="B538" i="6"/>
  <c r="B539" i="6"/>
  <c r="B534" i="6"/>
  <c r="B532" i="6"/>
  <c r="B530" i="6"/>
  <c r="B533" i="6"/>
  <c r="B531" i="6"/>
  <c r="F537" i="6"/>
  <c r="F538" i="6"/>
  <c r="F539" i="6"/>
  <c r="F534" i="6"/>
  <c r="F532" i="6"/>
  <c r="F530" i="6"/>
  <c r="F533" i="6"/>
  <c r="F531" i="6"/>
  <c r="E532" i="6"/>
  <c r="E534" i="6"/>
  <c r="I516" i="6"/>
  <c r="U867" i="6"/>
  <c r="U894" i="6"/>
  <c r="I536" i="6"/>
  <c r="U887" i="6"/>
  <c r="U902" i="6"/>
  <c r="J517" i="6"/>
  <c r="J536" i="6"/>
  <c r="I1285" i="5"/>
  <c r="AW1636" i="5"/>
  <c r="AW1659" i="5"/>
  <c r="E1296" i="5"/>
  <c r="B1300" i="5"/>
  <c r="B1301" i="5"/>
  <c r="B1302" i="5"/>
  <c r="B1296" i="5"/>
  <c r="B1294" i="5"/>
  <c r="B1297" i="5"/>
  <c r="B1295" i="5"/>
  <c r="B1293" i="5"/>
  <c r="D1300" i="5"/>
  <c r="D1296" i="5"/>
  <c r="D1294" i="5"/>
  <c r="D1297" i="5"/>
  <c r="D1295" i="5"/>
  <c r="D1293" i="5"/>
  <c r="F1300" i="5"/>
  <c r="F1301" i="5"/>
  <c r="F1302" i="5"/>
  <c r="F1296" i="5"/>
  <c r="F1294" i="5"/>
  <c r="F1297" i="5"/>
  <c r="F1295" i="5"/>
  <c r="F1293" i="5"/>
  <c r="H1300" i="5"/>
  <c r="H1301" i="5"/>
  <c r="H1302" i="5"/>
  <c r="H1296" i="5"/>
  <c r="H1294" i="5"/>
  <c r="H1297" i="5"/>
  <c r="H1295" i="5"/>
  <c r="H1293" i="5"/>
  <c r="I1279" i="5"/>
  <c r="AW1630" i="5"/>
  <c r="AW1658" i="5"/>
  <c r="C1293" i="5"/>
  <c r="E1293" i="5"/>
  <c r="G1293" i="5"/>
  <c r="C1295" i="5"/>
  <c r="E1295" i="5"/>
  <c r="G1295" i="5"/>
  <c r="C1297" i="5"/>
  <c r="E1297" i="5"/>
  <c r="G1297" i="5"/>
  <c r="C1301" i="5"/>
  <c r="C1302" i="5"/>
  <c r="D1301" i="5"/>
  <c r="D1302" i="5"/>
  <c r="I1299" i="5"/>
  <c r="AW1650" i="5"/>
  <c r="AW1666" i="5"/>
  <c r="J1280" i="5"/>
  <c r="J1299" i="5"/>
  <c r="I1758" i="4"/>
  <c r="BN2109" i="4"/>
  <c r="BN2132" i="4"/>
  <c r="I1772" i="4"/>
  <c r="BN2123" i="4"/>
  <c r="BN2139" i="4"/>
  <c r="J1753" i="4"/>
  <c r="J1772" i="4"/>
  <c r="I1938" i="3"/>
  <c r="BS2289" i="3"/>
  <c r="BS2304" i="3"/>
  <c r="J1919" i="3"/>
  <c r="I1830" i="2"/>
  <c r="BN2193" i="2"/>
  <c r="BN2209" i="2"/>
  <c r="J1811" i="2"/>
  <c r="J1830" i="2"/>
  <c r="I2014" i="1"/>
  <c r="BV2366" i="1"/>
  <c r="BV2399" i="1"/>
  <c r="I2034" i="1"/>
  <c r="BV2391" i="1"/>
  <c r="BV2407" i="1"/>
  <c r="J2015" i="1"/>
  <c r="H489" i="6"/>
  <c r="G489" i="6"/>
  <c r="F489" i="6"/>
  <c r="E489" i="6"/>
  <c r="D489" i="6"/>
  <c r="C489" i="6"/>
  <c r="B489" i="6"/>
  <c r="H1252" i="5"/>
  <c r="G1252" i="5"/>
  <c r="F1252" i="5"/>
  <c r="E1252" i="5"/>
  <c r="D1252" i="5"/>
  <c r="C1252" i="5"/>
  <c r="B1252" i="5"/>
  <c r="H1725" i="4"/>
  <c r="G1725" i="4"/>
  <c r="F1725" i="4"/>
  <c r="E1725" i="4"/>
  <c r="D1725" i="4"/>
  <c r="C1725" i="4"/>
  <c r="B1725" i="4"/>
  <c r="H1891" i="3"/>
  <c r="G1891" i="3"/>
  <c r="F1891" i="3"/>
  <c r="E1891" i="3"/>
  <c r="D1891" i="3"/>
  <c r="C1891" i="3"/>
  <c r="B1891" i="3"/>
  <c r="H1782" i="2"/>
  <c r="G1782" i="2"/>
  <c r="F1782" i="2"/>
  <c r="E1782" i="2"/>
  <c r="D1782" i="2"/>
  <c r="C1782" i="2"/>
  <c r="B1782" i="2"/>
  <c r="H1987" i="1"/>
  <c r="G1987" i="1"/>
  <c r="F1987" i="1"/>
  <c r="E1987" i="1"/>
  <c r="D1987" i="1"/>
  <c r="C1987" i="1"/>
  <c r="B1987" i="1"/>
  <c r="I592" i="6"/>
  <c r="W889" i="6"/>
  <c r="J591" i="6"/>
  <c r="J592" i="6"/>
  <c r="J581" i="6"/>
  <c r="J580" i="6"/>
  <c r="J2020" i="1"/>
  <c r="BV2372" i="1"/>
  <c r="BV2400" i="1"/>
  <c r="J1924" i="3"/>
  <c r="BS2275" i="3"/>
  <c r="BS2297" i="3"/>
  <c r="J522" i="6"/>
  <c r="U873" i="6"/>
  <c r="U895" i="6"/>
  <c r="G1958" i="3"/>
  <c r="G1957" i="3"/>
  <c r="C1958" i="3"/>
  <c r="C1957" i="3"/>
  <c r="J516" i="6"/>
  <c r="J1279" i="5"/>
  <c r="J1285" i="5"/>
  <c r="I1295" i="5"/>
  <c r="AW1646" i="5"/>
  <c r="AW1663" i="5"/>
  <c r="I1294" i="5"/>
  <c r="AW1645" i="5"/>
  <c r="AW1662" i="5"/>
  <c r="I1293" i="5"/>
  <c r="AW1644" i="5"/>
  <c r="AW1661" i="5"/>
  <c r="I1297" i="5"/>
  <c r="AW1648" i="5"/>
  <c r="AW1665" i="5"/>
  <c r="I1296" i="5"/>
  <c r="AW1647" i="5"/>
  <c r="AW1664" i="5"/>
  <c r="D1291" i="5"/>
  <c r="D1292" i="5"/>
  <c r="C1292" i="5"/>
  <c r="C1291" i="5"/>
  <c r="J1758" i="4"/>
  <c r="J1938" i="3"/>
  <c r="J2014" i="1"/>
  <c r="J2034" i="1"/>
  <c r="S893" i="6"/>
  <c r="S896" i="6"/>
  <c r="H509" i="6"/>
  <c r="H508" i="6"/>
  <c r="G509" i="6"/>
  <c r="G508" i="6"/>
  <c r="F509" i="6"/>
  <c r="F508" i="6"/>
  <c r="E509" i="6"/>
  <c r="E508" i="6"/>
  <c r="D509" i="6"/>
  <c r="D508" i="6"/>
  <c r="C509" i="6"/>
  <c r="C508" i="6"/>
  <c r="B509" i="6"/>
  <c r="B508" i="6"/>
  <c r="H495" i="6"/>
  <c r="G495" i="6"/>
  <c r="F495" i="6"/>
  <c r="E495" i="6"/>
  <c r="D495" i="6"/>
  <c r="C495" i="6"/>
  <c r="B495" i="6"/>
  <c r="I494" i="6"/>
  <c r="I493" i="6"/>
  <c r="I492" i="6"/>
  <c r="I491" i="6"/>
  <c r="I490" i="6"/>
  <c r="T868" i="6"/>
  <c r="I489" i="6"/>
  <c r="AU1657" i="5"/>
  <c r="AU1660" i="5"/>
  <c r="H1272" i="5"/>
  <c r="H1271" i="5"/>
  <c r="G1272" i="5"/>
  <c r="G1271" i="5"/>
  <c r="F1272" i="5"/>
  <c r="F1271" i="5"/>
  <c r="E1272" i="5"/>
  <c r="E1271" i="5"/>
  <c r="D1272" i="5"/>
  <c r="D1271" i="5"/>
  <c r="C1272" i="5"/>
  <c r="C1271" i="5"/>
  <c r="B1272" i="5"/>
  <c r="B1271" i="5"/>
  <c r="H1258" i="5"/>
  <c r="G1258" i="5"/>
  <c r="F1258" i="5"/>
  <c r="E1258" i="5"/>
  <c r="D1258" i="5"/>
  <c r="C1258" i="5"/>
  <c r="B1258" i="5"/>
  <c r="I1257" i="5"/>
  <c r="I1256" i="5"/>
  <c r="I1255" i="5"/>
  <c r="I1254" i="5"/>
  <c r="I1253" i="5"/>
  <c r="AV1631" i="5"/>
  <c r="BL2130" i="4"/>
  <c r="BL2133" i="4"/>
  <c r="H1745" i="4"/>
  <c r="H1744" i="4"/>
  <c r="G1745" i="4"/>
  <c r="G1744" i="4"/>
  <c r="F1745" i="4"/>
  <c r="F1744" i="4"/>
  <c r="E1745" i="4"/>
  <c r="E1744" i="4"/>
  <c r="D1745" i="4"/>
  <c r="D1744" i="4"/>
  <c r="C1745" i="4"/>
  <c r="C1744" i="4"/>
  <c r="B1745" i="4"/>
  <c r="B1744" i="4"/>
  <c r="H1731" i="4"/>
  <c r="G1731" i="4"/>
  <c r="F1731" i="4"/>
  <c r="E1731" i="4"/>
  <c r="D1731" i="4"/>
  <c r="C1731" i="4"/>
  <c r="B1731" i="4"/>
  <c r="I1730" i="4"/>
  <c r="J1730" i="4"/>
  <c r="I1729" i="4"/>
  <c r="I1728" i="4"/>
  <c r="J1728" i="4"/>
  <c r="I1727" i="4"/>
  <c r="BM2105" i="4"/>
  <c r="I1726" i="4"/>
  <c r="I1725" i="4"/>
  <c r="BM2103" i="4"/>
  <c r="BM2131" i="4"/>
  <c r="BQ2295" i="3"/>
  <c r="BQ2298" i="3"/>
  <c r="H1911" i="3"/>
  <c r="H1910" i="3"/>
  <c r="G1911" i="3"/>
  <c r="G1910" i="3"/>
  <c r="F1911" i="3"/>
  <c r="F1910" i="3"/>
  <c r="E1911" i="3"/>
  <c r="E1910" i="3"/>
  <c r="D1911" i="3"/>
  <c r="D1910" i="3"/>
  <c r="C1911" i="3"/>
  <c r="C1910" i="3"/>
  <c r="B1911" i="3"/>
  <c r="B1910" i="3"/>
  <c r="H1897" i="3"/>
  <c r="G1897" i="3"/>
  <c r="F1897" i="3"/>
  <c r="E1897" i="3"/>
  <c r="D1897" i="3"/>
  <c r="C1897" i="3"/>
  <c r="B1897" i="3"/>
  <c r="I1896" i="3"/>
  <c r="BR2274" i="3"/>
  <c r="I1895" i="3"/>
  <c r="I1894" i="3"/>
  <c r="BR2272" i="3"/>
  <c r="I1893" i="3"/>
  <c r="I1892" i="3"/>
  <c r="BR2270" i="3"/>
  <c r="I1891" i="3"/>
  <c r="BR2269" i="3"/>
  <c r="BR2296" i="3"/>
  <c r="BL2200" i="2"/>
  <c r="BL2203" i="2"/>
  <c r="H1802" i="2"/>
  <c r="H1801" i="2"/>
  <c r="H1803" i="2"/>
  <c r="G1802" i="2"/>
  <c r="G1801" i="2"/>
  <c r="F1802" i="2"/>
  <c r="F1801" i="2"/>
  <c r="F1800" i="2"/>
  <c r="E1802" i="2"/>
  <c r="E1801" i="2"/>
  <c r="D1802" i="2"/>
  <c r="D1801" i="2"/>
  <c r="D1803" i="2"/>
  <c r="C1802" i="2"/>
  <c r="C1801" i="2"/>
  <c r="B1802" i="2"/>
  <c r="B1801" i="2"/>
  <c r="B1803" i="2"/>
  <c r="H1800" i="2"/>
  <c r="D1800" i="2"/>
  <c r="H1799" i="2"/>
  <c r="F1799" i="2"/>
  <c r="D1799" i="2"/>
  <c r="B1799" i="2"/>
  <c r="B1798" i="2"/>
  <c r="H1796" i="2"/>
  <c r="F1796" i="2"/>
  <c r="D1796" i="2"/>
  <c r="B1796" i="2"/>
  <c r="H1788" i="2"/>
  <c r="G1788" i="2"/>
  <c r="F1788" i="2"/>
  <c r="E1788" i="2"/>
  <c r="D1788" i="2"/>
  <c r="C1788" i="2"/>
  <c r="B1788" i="2"/>
  <c r="I1787" i="2"/>
  <c r="BM2178" i="2"/>
  <c r="I1786" i="2"/>
  <c r="I1785" i="2"/>
  <c r="BM2176" i="2"/>
  <c r="I1784" i="2"/>
  <c r="I1783" i="2"/>
  <c r="I1788" i="2"/>
  <c r="J1788" i="2"/>
  <c r="BT2398" i="1"/>
  <c r="BT2401" i="1"/>
  <c r="H2007" i="1"/>
  <c r="H2006" i="1"/>
  <c r="G2007" i="1"/>
  <c r="G2006" i="1"/>
  <c r="F2007" i="1"/>
  <c r="F2006" i="1"/>
  <c r="E2007" i="1"/>
  <c r="E2006" i="1"/>
  <c r="D2007" i="1"/>
  <c r="D2006" i="1"/>
  <c r="C2007" i="1"/>
  <c r="C2006" i="1"/>
  <c r="B2007" i="1"/>
  <c r="B2006" i="1"/>
  <c r="H1993" i="1"/>
  <c r="G1993" i="1"/>
  <c r="F1993" i="1"/>
  <c r="E1993" i="1"/>
  <c r="D1993" i="1"/>
  <c r="C1993" i="1"/>
  <c r="B1993" i="1"/>
  <c r="I1992" i="1"/>
  <c r="I1991" i="1"/>
  <c r="J1991" i="1"/>
  <c r="I1990" i="1"/>
  <c r="I1989" i="1"/>
  <c r="J1989" i="1"/>
  <c r="I1988" i="1"/>
  <c r="BU2367" i="1"/>
  <c r="I1987" i="1"/>
  <c r="I593" i="6"/>
  <c r="W890" i="6"/>
  <c r="J1987" i="1"/>
  <c r="BU2366" i="1"/>
  <c r="BU2399" i="1"/>
  <c r="BU2368" i="1"/>
  <c r="BU2370" i="1"/>
  <c r="J1784" i="2"/>
  <c r="BM2175" i="2"/>
  <c r="J1786" i="2"/>
  <c r="BM2177" i="2"/>
  <c r="I1745" i="4"/>
  <c r="BM2123" i="4"/>
  <c r="BM2139" i="4"/>
  <c r="BM2104" i="4"/>
  <c r="BM2106" i="4"/>
  <c r="BM2108" i="4"/>
  <c r="J1255" i="5"/>
  <c r="AV1633" i="5"/>
  <c r="J1257" i="5"/>
  <c r="AV1635" i="5"/>
  <c r="J489" i="6"/>
  <c r="T867" i="6"/>
  <c r="T894" i="6"/>
  <c r="J491" i="6"/>
  <c r="T869" i="6"/>
  <c r="J493" i="6"/>
  <c r="T871" i="6"/>
  <c r="J1990" i="1"/>
  <c r="BU2369" i="1"/>
  <c r="J1992" i="1"/>
  <c r="BU2371" i="1"/>
  <c r="J1785" i="2"/>
  <c r="J1787" i="2"/>
  <c r="J1725" i="4"/>
  <c r="J1729" i="4"/>
  <c r="BM2107" i="4"/>
  <c r="J1254" i="5"/>
  <c r="AV1632" i="5"/>
  <c r="J1256" i="5"/>
  <c r="AV1634" i="5"/>
  <c r="J492" i="6"/>
  <c r="T870" i="6"/>
  <c r="J494" i="6"/>
  <c r="T872" i="6"/>
  <c r="J1296" i="5"/>
  <c r="J1293" i="5"/>
  <c r="I1298" i="5"/>
  <c r="J1295" i="5"/>
  <c r="J1297" i="5"/>
  <c r="J1294" i="5"/>
  <c r="J1891" i="3"/>
  <c r="J1895" i="3"/>
  <c r="BR2273" i="3"/>
  <c r="J1893" i="3"/>
  <c r="BR2271" i="3"/>
  <c r="J1894" i="3"/>
  <c r="J1896" i="3"/>
  <c r="I495" i="6"/>
  <c r="I1258" i="5"/>
  <c r="J1727" i="4"/>
  <c r="C1740" i="4"/>
  <c r="C1743" i="4"/>
  <c r="C1742" i="4"/>
  <c r="E1743" i="4"/>
  <c r="E1740" i="4"/>
  <c r="G1742" i="4"/>
  <c r="G1740" i="4"/>
  <c r="G1743" i="4"/>
  <c r="I1782" i="2"/>
  <c r="BM2173" i="2"/>
  <c r="BM2201" i="2"/>
  <c r="I1897" i="3"/>
  <c r="I509" i="6"/>
  <c r="T887" i="6"/>
  <c r="T902" i="6"/>
  <c r="J490" i="6"/>
  <c r="J509" i="6"/>
  <c r="I1252" i="5"/>
  <c r="AV1630" i="5"/>
  <c r="AV1658" i="5"/>
  <c r="I1272" i="5"/>
  <c r="AV1650" i="5"/>
  <c r="AV1666" i="5"/>
  <c r="J1253" i="5"/>
  <c r="J1272" i="5"/>
  <c r="E1742" i="4"/>
  <c r="J1726" i="4"/>
  <c r="J1745" i="4"/>
  <c r="I1731" i="4"/>
  <c r="BM2109" i="4"/>
  <c r="BM2132" i="4"/>
  <c r="B1746" i="4"/>
  <c r="B1742" i="4"/>
  <c r="B1740" i="4"/>
  <c r="B1743" i="4"/>
  <c r="B1741" i="4"/>
  <c r="B1739" i="4"/>
  <c r="D1746" i="4"/>
  <c r="D1742" i="4"/>
  <c r="D1740" i="4"/>
  <c r="D1743" i="4"/>
  <c r="D1741" i="4"/>
  <c r="D1739" i="4"/>
  <c r="F1746" i="4"/>
  <c r="F1742" i="4"/>
  <c r="F1740" i="4"/>
  <c r="F1743" i="4"/>
  <c r="F1741" i="4"/>
  <c r="F1739" i="4"/>
  <c r="H1746" i="4"/>
  <c r="H1742" i="4"/>
  <c r="H1740" i="4"/>
  <c r="H1743" i="4"/>
  <c r="H1741" i="4"/>
  <c r="H1739" i="4"/>
  <c r="C1746" i="4"/>
  <c r="E1746" i="4"/>
  <c r="G1746" i="4"/>
  <c r="G1747" i="4"/>
  <c r="G1748" i="4"/>
  <c r="C1739" i="4"/>
  <c r="E1739" i="4"/>
  <c r="G1739" i="4"/>
  <c r="C1741" i="4"/>
  <c r="E1741" i="4"/>
  <c r="G1741" i="4"/>
  <c r="B1909" i="3"/>
  <c r="B1908" i="3"/>
  <c r="B1906" i="3"/>
  <c r="F1909" i="3"/>
  <c r="F1908" i="3"/>
  <c r="F1906" i="3"/>
  <c r="D1909" i="3"/>
  <c r="D1908" i="3"/>
  <c r="D1906" i="3"/>
  <c r="H1909" i="3"/>
  <c r="H1908" i="3"/>
  <c r="H1906" i="3"/>
  <c r="I1911" i="3"/>
  <c r="BR2289" i="3"/>
  <c r="BR2304" i="3"/>
  <c r="B1912" i="3"/>
  <c r="D1912" i="3"/>
  <c r="F1912" i="3"/>
  <c r="H1912" i="3"/>
  <c r="J1892" i="3"/>
  <c r="B1905" i="3"/>
  <c r="D1905" i="3"/>
  <c r="F1905" i="3"/>
  <c r="H1905" i="3"/>
  <c r="B1907" i="3"/>
  <c r="D1907" i="3"/>
  <c r="F1907" i="3"/>
  <c r="H1907" i="3"/>
  <c r="C1912" i="3"/>
  <c r="E1912" i="3"/>
  <c r="E1913" i="3"/>
  <c r="G1912" i="3"/>
  <c r="I1802" i="2"/>
  <c r="BM2193" i="2"/>
  <c r="BM2209" i="2"/>
  <c r="J1783" i="2"/>
  <c r="J1802" i="2"/>
  <c r="I1993" i="1"/>
  <c r="BU2372" i="1"/>
  <c r="BU2400" i="1"/>
  <c r="I2007" i="1"/>
  <c r="BU2391" i="1"/>
  <c r="BU2407" i="1"/>
  <c r="J1988" i="1"/>
  <c r="H462" i="6"/>
  <c r="G462" i="6"/>
  <c r="F462" i="6"/>
  <c r="E462" i="6"/>
  <c r="D462" i="6"/>
  <c r="C462" i="6"/>
  <c r="B462" i="6"/>
  <c r="I583" i="6"/>
  <c r="W880" i="6"/>
  <c r="I582" i="6"/>
  <c r="W879" i="6"/>
  <c r="J593" i="6"/>
  <c r="I1287" i="5"/>
  <c r="AW1638" i="5"/>
  <c r="AW1649" i="5"/>
  <c r="BM2179" i="2"/>
  <c r="BM2202" i="2"/>
  <c r="J495" i="6"/>
  <c r="T873" i="6"/>
  <c r="T895" i="6"/>
  <c r="J1258" i="5"/>
  <c r="AV1636" i="5"/>
  <c r="AV1659" i="5"/>
  <c r="I1289" i="5"/>
  <c r="AW1640" i="5"/>
  <c r="I1290" i="5"/>
  <c r="AW1641" i="5"/>
  <c r="I1288" i="5"/>
  <c r="AW1639" i="5"/>
  <c r="I1286" i="5"/>
  <c r="AW1637" i="5"/>
  <c r="I1300" i="5"/>
  <c r="AW1651" i="5"/>
  <c r="J1298" i="5"/>
  <c r="J1287" i="5"/>
  <c r="J1897" i="3"/>
  <c r="BR2275" i="3"/>
  <c r="BR2297" i="3"/>
  <c r="J1782" i="2"/>
  <c r="J1252" i="5"/>
  <c r="J1731" i="4"/>
  <c r="C1747" i="4"/>
  <c r="C1748" i="4"/>
  <c r="H1747" i="4"/>
  <c r="H1748" i="4"/>
  <c r="F1747" i="4"/>
  <c r="F1748" i="4"/>
  <c r="D1747" i="4"/>
  <c r="D1748" i="4"/>
  <c r="B1747" i="4"/>
  <c r="B1748" i="4"/>
  <c r="I1741" i="4"/>
  <c r="BM2119" i="4"/>
  <c r="BM2136" i="4"/>
  <c r="I1740" i="4"/>
  <c r="BM2118" i="4"/>
  <c r="BM2135" i="4"/>
  <c r="E1747" i="4"/>
  <c r="E1748" i="4"/>
  <c r="I1739" i="4"/>
  <c r="BM2117" i="4"/>
  <c r="BM2134" i="4"/>
  <c r="I1743" i="4"/>
  <c r="BM2121" i="4"/>
  <c r="BM2138" i="4"/>
  <c r="I1742" i="4"/>
  <c r="BM2120" i="4"/>
  <c r="BM2137" i="4"/>
  <c r="J1911" i="3"/>
  <c r="E1914" i="3"/>
  <c r="G1908" i="3"/>
  <c r="G1906" i="3"/>
  <c r="G1909" i="3"/>
  <c r="G1907" i="3"/>
  <c r="G1905" i="3"/>
  <c r="C1908" i="3"/>
  <c r="C1906" i="3"/>
  <c r="C1909" i="3"/>
  <c r="C1907" i="3"/>
  <c r="C1905" i="3"/>
  <c r="H1913" i="3"/>
  <c r="H1914" i="3"/>
  <c r="D1913" i="3"/>
  <c r="D1914" i="3"/>
  <c r="E1908" i="3"/>
  <c r="E1906" i="3"/>
  <c r="E1909" i="3"/>
  <c r="E1907" i="3"/>
  <c r="E1905" i="3"/>
  <c r="F1913" i="3"/>
  <c r="F1914" i="3"/>
  <c r="B1913" i="3"/>
  <c r="B1914" i="3"/>
  <c r="G1913" i="3"/>
  <c r="G1914" i="3"/>
  <c r="C1913" i="3"/>
  <c r="C1914" i="3"/>
  <c r="J2007" i="1"/>
  <c r="J1993" i="1"/>
  <c r="H1225" i="5"/>
  <c r="G1225" i="5"/>
  <c r="F1225" i="5"/>
  <c r="E1225" i="5"/>
  <c r="D1225" i="5"/>
  <c r="C1225" i="5"/>
  <c r="B1225" i="5"/>
  <c r="H1698" i="4"/>
  <c r="G1698" i="4"/>
  <c r="F1698" i="4"/>
  <c r="E1698" i="4"/>
  <c r="D1698" i="4"/>
  <c r="C1698" i="4"/>
  <c r="B1698" i="4"/>
  <c r="H1864" i="3"/>
  <c r="G1864" i="3"/>
  <c r="F1864" i="3"/>
  <c r="E1864" i="3"/>
  <c r="D1864" i="3"/>
  <c r="C1864" i="3"/>
  <c r="B1864" i="3"/>
  <c r="H1754" i="2"/>
  <c r="G1754" i="2"/>
  <c r="F1754" i="2"/>
  <c r="E1754" i="2"/>
  <c r="D1754" i="2"/>
  <c r="C1754" i="2"/>
  <c r="B1754" i="2"/>
  <c r="H1960" i="1"/>
  <c r="G1960" i="1"/>
  <c r="F1960" i="1"/>
  <c r="E1960" i="1"/>
  <c r="D1960" i="1"/>
  <c r="C1960" i="1"/>
  <c r="B1960" i="1"/>
  <c r="R893" i="6"/>
  <c r="R896" i="6"/>
  <c r="H482" i="6"/>
  <c r="H481" i="6"/>
  <c r="G482" i="6"/>
  <c r="G481" i="6"/>
  <c r="G476" i="6"/>
  <c r="F482" i="6"/>
  <c r="F481" i="6"/>
  <c r="E482" i="6"/>
  <c r="E481" i="6"/>
  <c r="E483" i="6"/>
  <c r="D482" i="6"/>
  <c r="D481" i="6"/>
  <c r="C482" i="6"/>
  <c r="C481" i="6"/>
  <c r="C479" i="6"/>
  <c r="B482" i="6"/>
  <c r="B481" i="6"/>
  <c r="G483" i="6"/>
  <c r="H468" i="6"/>
  <c r="G468" i="6"/>
  <c r="F468" i="6"/>
  <c r="E468" i="6"/>
  <c r="D468" i="6"/>
  <c r="C468" i="6"/>
  <c r="B468" i="6"/>
  <c r="I467" i="6"/>
  <c r="I466" i="6"/>
  <c r="I465" i="6"/>
  <c r="I464" i="6"/>
  <c r="I463" i="6"/>
  <c r="S868" i="6"/>
  <c r="I462" i="6"/>
  <c r="AT1657" i="5"/>
  <c r="AT1660" i="5"/>
  <c r="H1245" i="5"/>
  <c r="H1244" i="5"/>
  <c r="G1245" i="5"/>
  <c r="G1244" i="5"/>
  <c r="F1245" i="5"/>
  <c r="F1244" i="5"/>
  <c r="E1245" i="5"/>
  <c r="E1244" i="5"/>
  <c r="D1245" i="5"/>
  <c r="D1244" i="5"/>
  <c r="C1245" i="5"/>
  <c r="C1244" i="5"/>
  <c r="B1245" i="5"/>
  <c r="B1244" i="5"/>
  <c r="H1231" i="5"/>
  <c r="G1231" i="5"/>
  <c r="F1231" i="5"/>
  <c r="E1231" i="5"/>
  <c r="D1231" i="5"/>
  <c r="C1231" i="5"/>
  <c r="B1231" i="5"/>
  <c r="I1230" i="5"/>
  <c r="I1229" i="5"/>
  <c r="I1228" i="5"/>
  <c r="I1227" i="5"/>
  <c r="I1226" i="5"/>
  <c r="AU1631" i="5"/>
  <c r="BK2130" i="4"/>
  <c r="BK2133" i="4"/>
  <c r="H1718" i="4"/>
  <c r="H1717" i="4"/>
  <c r="G1718" i="4"/>
  <c r="G1717" i="4"/>
  <c r="F1718" i="4"/>
  <c r="F1717" i="4"/>
  <c r="E1718" i="4"/>
  <c r="E1717" i="4"/>
  <c r="D1718" i="4"/>
  <c r="D1717" i="4"/>
  <c r="C1718" i="4"/>
  <c r="C1717" i="4"/>
  <c r="B1718" i="4"/>
  <c r="B1717" i="4"/>
  <c r="H1704" i="4"/>
  <c r="G1704" i="4"/>
  <c r="F1704" i="4"/>
  <c r="E1704" i="4"/>
  <c r="D1704" i="4"/>
  <c r="C1704" i="4"/>
  <c r="B1704" i="4"/>
  <c r="I1703" i="4"/>
  <c r="J1703" i="4"/>
  <c r="I1702" i="4"/>
  <c r="I1701" i="4"/>
  <c r="J1701" i="4"/>
  <c r="I1700" i="4"/>
  <c r="I1699" i="4"/>
  <c r="BL2104" i="4"/>
  <c r="BP2295" i="3"/>
  <c r="BP2298" i="3"/>
  <c r="H1884" i="3"/>
  <c r="H1883" i="3"/>
  <c r="G1884" i="3"/>
  <c r="G1883" i="3"/>
  <c r="F1884" i="3"/>
  <c r="F1883" i="3"/>
  <c r="E1884" i="3"/>
  <c r="E1883" i="3"/>
  <c r="D1884" i="3"/>
  <c r="D1883" i="3"/>
  <c r="C1884" i="3"/>
  <c r="C1883" i="3"/>
  <c r="B1884" i="3"/>
  <c r="B1883" i="3"/>
  <c r="H1870" i="3"/>
  <c r="G1870" i="3"/>
  <c r="F1870" i="3"/>
  <c r="E1870" i="3"/>
  <c r="D1870" i="3"/>
  <c r="C1870" i="3"/>
  <c r="B1870" i="3"/>
  <c r="I1869" i="3"/>
  <c r="I1868" i="3"/>
  <c r="I1867" i="3"/>
  <c r="I1866" i="3"/>
  <c r="I1865" i="3"/>
  <c r="BQ2270" i="3"/>
  <c r="BK2200" i="2"/>
  <c r="BK2203" i="2"/>
  <c r="H1774" i="2"/>
  <c r="H1773" i="2"/>
  <c r="G1774" i="2"/>
  <c r="G1773" i="2"/>
  <c r="F1774" i="2"/>
  <c r="F1773" i="2"/>
  <c r="E1774" i="2"/>
  <c r="E1773" i="2"/>
  <c r="D1774" i="2"/>
  <c r="D1773" i="2"/>
  <c r="C1774" i="2"/>
  <c r="C1773" i="2"/>
  <c r="B1774" i="2"/>
  <c r="B1773" i="2"/>
  <c r="H1760" i="2"/>
  <c r="G1760" i="2"/>
  <c r="F1760" i="2"/>
  <c r="E1760" i="2"/>
  <c r="D1760" i="2"/>
  <c r="C1760" i="2"/>
  <c r="B1760" i="2"/>
  <c r="I1759" i="2"/>
  <c r="J1759" i="2"/>
  <c r="I1758" i="2"/>
  <c r="I1757" i="2"/>
  <c r="J1757" i="2"/>
  <c r="I1756" i="2"/>
  <c r="I1755" i="2"/>
  <c r="BL2174" i="2"/>
  <c r="BS2398" i="1"/>
  <c r="BS2401" i="1"/>
  <c r="H1980" i="1"/>
  <c r="H1979" i="1"/>
  <c r="G1980" i="1"/>
  <c r="G1979" i="1"/>
  <c r="F1980" i="1"/>
  <c r="F1979" i="1"/>
  <c r="E1980" i="1"/>
  <c r="E1979" i="1"/>
  <c r="D1980" i="1"/>
  <c r="D1979" i="1"/>
  <c r="C1980" i="1"/>
  <c r="C1979" i="1"/>
  <c r="B1980" i="1"/>
  <c r="B1979" i="1"/>
  <c r="H1966" i="1"/>
  <c r="G1966" i="1"/>
  <c r="F1966" i="1"/>
  <c r="E1966" i="1"/>
  <c r="D1966" i="1"/>
  <c r="C1966" i="1"/>
  <c r="B1966" i="1"/>
  <c r="I1965" i="1"/>
  <c r="I1964" i="1"/>
  <c r="J1964" i="1"/>
  <c r="I1963" i="1"/>
  <c r="I1962" i="1"/>
  <c r="J1962" i="1"/>
  <c r="I1961" i="1"/>
  <c r="BT2367" i="1"/>
  <c r="I1698" i="4"/>
  <c r="I1225" i="5"/>
  <c r="J1225" i="5"/>
  <c r="I1864" i="3"/>
  <c r="J1864" i="3"/>
  <c r="J583" i="6"/>
  <c r="J582" i="6"/>
  <c r="G477" i="6"/>
  <c r="C476" i="6"/>
  <c r="G479" i="6"/>
  <c r="J1288" i="5"/>
  <c r="I1301" i="5"/>
  <c r="AW1652" i="5"/>
  <c r="J1300" i="5"/>
  <c r="J1301" i="5"/>
  <c r="J1290" i="5"/>
  <c r="J1286" i="5"/>
  <c r="J1289" i="5"/>
  <c r="I1907" i="3"/>
  <c r="BR2285" i="3"/>
  <c r="BR2301" i="3"/>
  <c r="I1905" i="3"/>
  <c r="BR2283" i="3"/>
  <c r="BR2299" i="3"/>
  <c r="J1963" i="1"/>
  <c r="BT2369" i="1"/>
  <c r="J1965" i="1"/>
  <c r="BT2371" i="1"/>
  <c r="BL2176" i="2"/>
  <c r="BL2178" i="2"/>
  <c r="J1698" i="4"/>
  <c r="BL2103" i="4"/>
  <c r="BL2131" i="4"/>
  <c r="J1700" i="4"/>
  <c r="BL2105" i="4"/>
  <c r="J1702" i="4"/>
  <c r="BL2107" i="4"/>
  <c r="J1228" i="5"/>
  <c r="AU1633" i="5"/>
  <c r="J1230" i="5"/>
  <c r="AU1635" i="5"/>
  <c r="J462" i="6"/>
  <c r="S867" i="6"/>
  <c r="S894" i="6"/>
  <c r="J464" i="6"/>
  <c r="S869" i="6"/>
  <c r="J466" i="6"/>
  <c r="S871" i="6"/>
  <c r="C477" i="6"/>
  <c r="I1754" i="2"/>
  <c r="BT2368" i="1"/>
  <c r="BT2370" i="1"/>
  <c r="J1756" i="2"/>
  <c r="BL2175" i="2"/>
  <c r="J1758" i="2"/>
  <c r="BL2177" i="2"/>
  <c r="BL2106" i="4"/>
  <c r="BL2108" i="4"/>
  <c r="AU1630" i="5"/>
  <c r="AU1658" i="5"/>
  <c r="J1227" i="5"/>
  <c r="AU1632" i="5"/>
  <c r="J1229" i="5"/>
  <c r="AU1634" i="5"/>
  <c r="J465" i="6"/>
  <c r="S870" i="6"/>
  <c r="J467" i="6"/>
  <c r="S872" i="6"/>
  <c r="E476" i="6"/>
  <c r="E477" i="6"/>
  <c r="E479" i="6"/>
  <c r="C483" i="6"/>
  <c r="C484" i="6"/>
  <c r="C485" i="6"/>
  <c r="D1738" i="4"/>
  <c r="D1737" i="4"/>
  <c r="H1738" i="4"/>
  <c r="H1737" i="4"/>
  <c r="B1738" i="4"/>
  <c r="B1737" i="4"/>
  <c r="F1738" i="4"/>
  <c r="F1737" i="4"/>
  <c r="J1742" i="4"/>
  <c r="I1744" i="4"/>
  <c r="BM2122" i="4"/>
  <c r="J1739" i="4"/>
  <c r="J1741" i="4"/>
  <c r="J1743" i="4"/>
  <c r="E1737" i="4"/>
  <c r="E1738" i="4"/>
  <c r="J1740" i="4"/>
  <c r="C1737" i="4"/>
  <c r="C1738" i="4"/>
  <c r="BQ2269" i="3"/>
  <c r="BQ2296" i="3"/>
  <c r="J1866" i="3"/>
  <c r="BQ2271" i="3"/>
  <c r="J1868" i="3"/>
  <c r="BQ2273" i="3"/>
  <c r="J1867" i="3"/>
  <c r="BQ2272" i="3"/>
  <c r="J1869" i="3"/>
  <c r="BQ2274" i="3"/>
  <c r="I1909" i="3"/>
  <c r="BR2287" i="3"/>
  <c r="BR2303" i="3"/>
  <c r="I1908" i="3"/>
  <c r="BR2286" i="3"/>
  <c r="BR2302" i="3"/>
  <c r="B1903" i="3"/>
  <c r="B1904" i="3"/>
  <c r="E1904" i="3"/>
  <c r="E1903" i="3"/>
  <c r="F1903" i="3"/>
  <c r="F1904" i="3"/>
  <c r="J1907" i="3"/>
  <c r="I1906" i="3"/>
  <c r="BR2284" i="3"/>
  <c r="BR2300" i="3"/>
  <c r="C1904" i="3"/>
  <c r="C1903" i="3"/>
  <c r="G1904" i="3"/>
  <c r="G1903" i="3"/>
  <c r="J1905" i="3"/>
  <c r="D1903" i="3"/>
  <c r="D1904" i="3"/>
  <c r="H1903" i="3"/>
  <c r="H1904" i="3"/>
  <c r="I468" i="6"/>
  <c r="I1231" i="5"/>
  <c r="G1715" i="4"/>
  <c r="G1712" i="4"/>
  <c r="G1719" i="4"/>
  <c r="G1720" i="4"/>
  <c r="G1721" i="4"/>
  <c r="E1715" i="4"/>
  <c r="E1719" i="4"/>
  <c r="E1720" i="4"/>
  <c r="E1721" i="4"/>
  <c r="E1713" i="4"/>
  <c r="E1712" i="4"/>
  <c r="C1715" i="4"/>
  <c r="C1713" i="4"/>
  <c r="C1719" i="4"/>
  <c r="I1704" i="4"/>
  <c r="I1870" i="3"/>
  <c r="H1771" i="2"/>
  <c r="H1775" i="2"/>
  <c r="H1769" i="2"/>
  <c r="F1775" i="2"/>
  <c r="F1776" i="2"/>
  <c r="F1777" i="2"/>
  <c r="F1771" i="2"/>
  <c r="F1769" i="2"/>
  <c r="D1775" i="2"/>
  <c r="D1769" i="2"/>
  <c r="D1771" i="2"/>
  <c r="B1775" i="2"/>
  <c r="B1776" i="2"/>
  <c r="B1777" i="2"/>
  <c r="B1771" i="2"/>
  <c r="B1769" i="2"/>
  <c r="I1966" i="1"/>
  <c r="B483" i="6"/>
  <c r="B484" i="6"/>
  <c r="B485" i="6"/>
  <c r="B479" i="6"/>
  <c r="B477" i="6"/>
  <c r="B480" i="6"/>
  <c r="B478" i="6"/>
  <c r="B476" i="6"/>
  <c r="H483" i="6"/>
  <c r="H479" i="6"/>
  <c r="H477" i="6"/>
  <c r="H480" i="6"/>
  <c r="H478" i="6"/>
  <c r="H476" i="6"/>
  <c r="C478" i="6"/>
  <c r="E478" i="6"/>
  <c r="G478" i="6"/>
  <c r="C480" i="6"/>
  <c r="E480" i="6"/>
  <c r="G480" i="6"/>
  <c r="G484" i="6"/>
  <c r="G485" i="6"/>
  <c r="H484" i="6"/>
  <c r="H485" i="6"/>
  <c r="I482" i="6"/>
  <c r="S887" i="6"/>
  <c r="S902" i="6"/>
  <c r="J463" i="6"/>
  <c r="J482" i="6"/>
  <c r="I1245" i="5"/>
  <c r="AU1650" i="5"/>
  <c r="AU1666" i="5"/>
  <c r="J1226" i="5"/>
  <c r="J1245" i="5"/>
  <c r="G1713" i="4"/>
  <c r="C1712" i="4"/>
  <c r="B1719" i="4"/>
  <c r="B1720" i="4"/>
  <c r="B1721" i="4"/>
  <c r="B1715" i="4"/>
  <c r="B1713" i="4"/>
  <c r="B1716" i="4"/>
  <c r="B1714" i="4"/>
  <c r="B1712" i="4"/>
  <c r="D1719" i="4"/>
  <c r="D1720" i="4"/>
  <c r="D1721" i="4"/>
  <c r="D1715" i="4"/>
  <c r="D1713" i="4"/>
  <c r="D1716" i="4"/>
  <c r="D1714" i="4"/>
  <c r="D1712" i="4"/>
  <c r="F1719" i="4"/>
  <c r="F1715" i="4"/>
  <c r="F1713" i="4"/>
  <c r="F1716" i="4"/>
  <c r="F1714" i="4"/>
  <c r="F1712" i="4"/>
  <c r="H1719" i="4"/>
  <c r="H1720" i="4"/>
  <c r="H1721" i="4"/>
  <c r="H1715" i="4"/>
  <c r="H1713" i="4"/>
  <c r="H1716" i="4"/>
  <c r="H1714" i="4"/>
  <c r="H1712" i="4"/>
  <c r="C1714" i="4"/>
  <c r="E1714" i="4"/>
  <c r="G1714" i="4"/>
  <c r="C1716" i="4"/>
  <c r="E1716" i="4"/>
  <c r="G1716" i="4"/>
  <c r="C1720" i="4"/>
  <c r="C1721" i="4"/>
  <c r="I1718" i="4"/>
  <c r="BL2123" i="4"/>
  <c r="BL2139" i="4"/>
  <c r="J1699" i="4"/>
  <c r="J1718" i="4"/>
  <c r="I1884" i="3"/>
  <c r="BQ2289" i="3"/>
  <c r="BQ2304" i="3"/>
  <c r="J1865" i="3"/>
  <c r="C1775" i="2"/>
  <c r="C1776" i="2"/>
  <c r="C1777" i="2"/>
  <c r="C1771" i="2"/>
  <c r="C1769" i="2"/>
  <c r="C1770" i="2"/>
  <c r="C1772" i="2"/>
  <c r="C1768" i="2"/>
  <c r="E1775" i="2"/>
  <c r="E1776" i="2"/>
  <c r="E1777" i="2"/>
  <c r="E1771" i="2"/>
  <c r="E1769" i="2"/>
  <c r="E1772" i="2"/>
  <c r="E1770" i="2"/>
  <c r="E1768" i="2"/>
  <c r="G1775" i="2"/>
  <c r="G1776" i="2"/>
  <c r="G1777" i="2"/>
  <c r="G1771" i="2"/>
  <c r="G1769" i="2"/>
  <c r="G1770" i="2"/>
  <c r="G1768" i="2"/>
  <c r="G1772" i="2"/>
  <c r="I1769" i="2"/>
  <c r="BL2188" i="2"/>
  <c r="BL2205" i="2"/>
  <c r="I1771" i="2"/>
  <c r="BL2190" i="2"/>
  <c r="BL2207" i="2"/>
  <c r="I1760" i="2"/>
  <c r="BL2179" i="2"/>
  <c r="BL2202" i="2"/>
  <c r="B1768" i="2"/>
  <c r="D1768" i="2"/>
  <c r="F1768" i="2"/>
  <c r="H1768" i="2"/>
  <c r="B1770" i="2"/>
  <c r="D1770" i="2"/>
  <c r="F1770" i="2"/>
  <c r="H1770" i="2"/>
  <c r="B1772" i="2"/>
  <c r="D1772" i="2"/>
  <c r="F1772" i="2"/>
  <c r="H1772" i="2"/>
  <c r="D1776" i="2"/>
  <c r="D1777" i="2"/>
  <c r="H1776" i="2"/>
  <c r="H1777" i="2"/>
  <c r="I1774" i="2"/>
  <c r="BL2193" i="2"/>
  <c r="BL2209" i="2"/>
  <c r="J1755" i="2"/>
  <c r="J1774" i="2"/>
  <c r="I1960" i="1"/>
  <c r="BT2366" i="1"/>
  <c r="BT2399" i="1"/>
  <c r="I1980" i="1"/>
  <c r="BT2391" i="1"/>
  <c r="BT2407" i="1"/>
  <c r="J1961" i="1"/>
  <c r="H435" i="6"/>
  <c r="G435" i="6"/>
  <c r="F435" i="6"/>
  <c r="E435" i="6"/>
  <c r="D435" i="6"/>
  <c r="C435" i="6"/>
  <c r="B435" i="6"/>
  <c r="H1198" i="5"/>
  <c r="G1198" i="5"/>
  <c r="F1198" i="5"/>
  <c r="E1198" i="5"/>
  <c r="D1198" i="5"/>
  <c r="C1198" i="5"/>
  <c r="B1198" i="5"/>
  <c r="H1671" i="4"/>
  <c r="G1671" i="4"/>
  <c r="F1671" i="4"/>
  <c r="E1671" i="4"/>
  <c r="D1671" i="4"/>
  <c r="C1671" i="4"/>
  <c r="B1671" i="4"/>
  <c r="H1837" i="3"/>
  <c r="G1837" i="3"/>
  <c r="F1837" i="3"/>
  <c r="E1837" i="3"/>
  <c r="D1837" i="3"/>
  <c r="C1837" i="3"/>
  <c r="B1837" i="3"/>
  <c r="H1726" i="2"/>
  <c r="G1726" i="2"/>
  <c r="F1726" i="2"/>
  <c r="E1726" i="2"/>
  <c r="D1726" i="2"/>
  <c r="C1726" i="2"/>
  <c r="B1726" i="2"/>
  <c r="H1933" i="1"/>
  <c r="G1933" i="1"/>
  <c r="F1933" i="1"/>
  <c r="E1933" i="1"/>
  <c r="D1933" i="1"/>
  <c r="C1933" i="1"/>
  <c r="B1933" i="1"/>
  <c r="I1715" i="4"/>
  <c r="BL2120" i="4"/>
  <c r="BL2137" i="4"/>
  <c r="J1771" i="2"/>
  <c r="I1734" i="4"/>
  <c r="BM2112" i="4"/>
  <c r="I1732" i="4"/>
  <c r="BM2110" i="4"/>
  <c r="I1302" i="5"/>
  <c r="AW1653" i="5"/>
  <c r="J1909" i="3"/>
  <c r="I1910" i="3"/>
  <c r="J1910" i="3"/>
  <c r="J1902" i="3"/>
  <c r="J1966" i="1"/>
  <c r="BT2372" i="1"/>
  <c r="BT2400" i="1"/>
  <c r="J1704" i="4"/>
  <c r="BL2109" i="4"/>
  <c r="BL2132" i="4"/>
  <c r="J468" i="6"/>
  <c r="S873" i="6"/>
  <c r="S895" i="6"/>
  <c r="J1754" i="2"/>
  <c r="BL2173" i="2"/>
  <c r="BL2201" i="2"/>
  <c r="J1231" i="5"/>
  <c r="AU1636" i="5"/>
  <c r="AU1659" i="5"/>
  <c r="I1735" i="4"/>
  <c r="BM2113" i="4"/>
  <c r="J1744" i="4"/>
  <c r="J1746" i="4"/>
  <c r="J1747" i="4"/>
  <c r="I1746" i="4"/>
  <c r="BM2124" i="4"/>
  <c r="J1870" i="3"/>
  <c r="BQ2275" i="3"/>
  <c r="BQ2297" i="3"/>
  <c r="J1908" i="3"/>
  <c r="J1906" i="3"/>
  <c r="I1713" i="4"/>
  <c r="BL2118" i="4"/>
  <c r="BL2135" i="4"/>
  <c r="H474" i="6"/>
  <c r="H475" i="6"/>
  <c r="J1713" i="4"/>
  <c r="I1714" i="4"/>
  <c r="BL2119" i="4"/>
  <c r="BL2136" i="4"/>
  <c r="I1712" i="4"/>
  <c r="BL2117" i="4"/>
  <c r="BL2134" i="4"/>
  <c r="I1716" i="4"/>
  <c r="BL2121" i="4"/>
  <c r="BL2138" i="4"/>
  <c r="J1884" i="3"/>
  <c r="J1760" i="2"/>
  <c r="I1772" i="2"/>
  <c r="BL2191" i="2"/>
  <c r="BL2208" i="2"/>
  <c r="I1770" i="2"/>
  <c r="BL2189" i="2"/>
  <c r="BL2206" i="2"/>
  <c r="I1768" i="2"/>
  <c r="BL2187" i="2"/>
  <c r="BL2204" i="2"/>
  <c r="H1766" i="2"/>
  <c r="H1767" i="2"/>
  <c r="D1766" i="2"/>
  <c r="D1767" i="2"/>
  <c r="J1980" i="1"/>
  <c r="J1960" i="1"/>
  <c r="Q893" i="6"/>
  <c r="Q896" i="6"/>
  <c r="H455" i="6"/>
  <c r="H454" i="6"/>
  <c r="G455" i="6"/>
  <c r="G454" i="6"/>
  <c r="F455" i="6"/>
  <c r="F454" i="6"/>
  <c r="E455" i="6"/>
  <c r="E454" i="6"/>
  <c r="D455" i="6"/>
  <c r="D454" i="6"/>
  <c r="C455" i="6"/>
  <c r="C454" i="6"/>
  <c r="B455" i="6"/>
  <c r="B454" i="6"/>
  <c r="H441" i="6"/>
  <c r="G441" i="6"/>
  <c r="F441" i="6"/>
  <c r="E441" i="6"/>
  <c r="D441" i="6"/>
  <c r="C441" i="6"/>
  <c r="B441" i="6"/>
  <c r="I440" i="6"/>
  <c r="I439" i="6"/>
  <c r="J439" i="6"/>
  <c r="I438" i="6"/>
  <c r="I437" i="6"/>
  <c r="J437" i="6"/>
  <c r="I436" i="6"/>
  <c r="R868" i="6"/>
  <c r="I435" i="6"/>
  <c r="AS1657" i="5"/>
  <c r="AS1660" i="5"/>
  <c r="H1218" i="5"/>
  <c r="H1217" i="5"/>
  <c r="G1218" i="5"/>
  <c r="G1217" i="5"/>
  <c r="F1218" i="5"/>
  <c r="F1217" i="5"/>
  <c r="E1218" i="5"/>
  <c r="E1217" i="5"/>
  <c r="D1218" i="5"/>
  <c r="D1217" i="5"/>
  <c r="C1218" i="5"/>
  <c r="C1217" i="5"/>
  <c r="B1218" i="5"/>
  <c r="B1217" i="5"/>
  <c r="H1204" i="5"/>
  <c r="G1204" i="5"/>
  <c r="F1204" i="5"/>
  <c r="E1204" i="5"/>
  <c r="D1204" i="5"/>
  <c r="C1204" i="5"/>
  <c r="B1204" i="5"/>
  <c r="I1203" i="5"/>
  <c r="I1202" i="5"/>
  <c r="J1202" i="5"/>
  <c r="I1201" i="5"/>
  <c r="I1200" i="5"/>
  <c r="J1200" i="5"/>
  <c r="I1199" i="5"/>
  <c r="AT1631" i="5"/>
  <c r="I1198" i="5"/>
  <c r="BJ2130" i="4"/>
  <c r="BJ2133" i="4"/>
  <c r="H1691" i="4"/>
  <c r="H1690" i="4"/>
  <c r="G1691" i="4"/>
  <c r="G1690" i="4"/>
  <c r="F1691" i="4"/>
  <c r="F1690" i="4"/>
  <c r="E1691" i="4"/>
  <c r="E1690" i="4"/>
  <c r="D1691" i="4"/>
  <c r="D1690" i="4"/>
  <c r="C1691" i="4"/>
  <c r="C1690" i="4"/>
  <c r="B1691" i="4"/>
  <c r="B1690" i="4"/>
  <c r="H1677" i="4"/>
  <c r="G1677" i="4"/>
  <c r="F1677" i="4"/>
  <c r="E1677" i="4"/>
  <c r="D1677" i="4"/>
  <c r="C1677" i="4"/>
  <c r="B1677" i="4"/>
  <c r="I1676" i="4"/>
  <c r="I1675" i="4"/>
  <c r="BK2107" i="4"/>
  <c r="I1674" i="4"/>
  <c r="I1673" i="4"/>
  <c r="BK2105" i="4"/>
  <c r="I1672" i="4"/>
  <c r="BK2104" i="4"/>
  <c r="I1671" i="4"/>
  <c r="BO2295" i="3"/>
  <c r="BO2298" i="3"/>
  <c r="H1857" i="3"/>
  <c r="H1856" i="3"/>
  <c r="G1857" i="3"/>
  <c r="G1856" i="3"/>
  <c r="F1857" i="3"/>
  <c r="F1856" i="3"/>
  <c r="E1857" i="3"/>
  <c r="E1856" i="3"/>
  <c r="D1857" i="3"/>
  <c r="D1856" i="3"/>
  <c r="C1857" i="3"/>
  <c r="C1856" i="3"/>
  <c r="B1857" i="3"/>
  <c r="B1856" i="3"/>
  <c r="H1843" i="3"/>
  <c r="G1843" i="3"/>
  <c r="F1843" i="3"/>
  <c r="E1843" i="3"/>
  <c r="D1843" i="3"/>
  <c r="C1843" i="3"/>
  <c r="B1843" i="3"/>
  <c r="I1842" i="3"/>
  <c r="I1841" i="3"/>
  <c r="BP2273" i="3"/>
  <c r="I1840" i="3"/>
  <c r="I1839" i="3"/>
  <c r="BP2271" i="3"/>
  <c r="I1838" i="3"/>
  <c r="BP2270" i="3"/>
  <c r="BJ2200" i="2"/>
  <c r="BJ2203" i="2"/>
  <c r="H1746" i="2"/>
  <c r="H1745" i="2"/>
  <c r="G1746" i="2"/>
  <c r="G1745" i="2"/>
  <c r="G1747" i="2"/>
  <c r="F1746" i="2"/>
  <c r="F1745" i="2"/>
  <c r="E1746" i="2"/>
  <c r="E1745" i="2"/>
  <c r="E1743" i="2"/>
  <c r="B1746" i="2"/>
  <c r="B1745" i="2"/>
  <c r="B1743" i="2"/>
  <c r="C1746" i="2"/>
  <c r="C1745" i="2"/>
  <c r="C1743" i="2"/>
  <c r="D1746" i="2"/>
  <c r="D1745" i="2"/>
  <c r="D1743" i="2"/>
  <c r="F1743" i="2"/>
  <c r="G1743" i="2"/>
  <c r="H1743" i="2"/>
  <c r="I1743" i="2"/>
  <c r="C1747" i="2"/>
  <c r="H1732" i="2"/>
  <c r="G1732" i="2"/>
  <c r="F1732" i="2"/>
  <c r="E1732" i="2"/>
  <c r="D1732" i="2"/>
  <c r="C1732" i="2"/>
  <c r="B1732" i="2"/>
  <c r="I1731" i="2"/>
  <c r="BK2178" i="2"/>
  <c r="I1730" i="2"/>
  <c r="I1729" i="2"/>
  <c r="BK2176" i="2"/>
  <c r="I1728" i="2"/>
  <c r="I1727" i="2"/>
  <c r="BK2174" i="2"/>
  <c r="I1726" i="2"/>
  <c r="J1726" i="2"/>
  <c r="BR2398" i="1"/>
  <c r="BR2401" i="1"/>
  <c r="H1953" i="1"/>
  <c r="H1952" i="1"/>
  <c r="G1953" i="1"/>
  <c r="G1952" i="1"/>
  <c r="G1950" i="1"/>
  <c r="F1953" i="1"/>
  <c r="F1952" i="1"/>
  <c r="E1953" i="1"/>
  <c r="E1952" i="1"/>
  <c r="E1950" i="1"/>
  <c r="D1953" i="1"/>
  <c r="D1952" i="1"/>
  <c r="C1953" i="1"/>
  <c r="C1952" i="1"/>
  <c r="C1950" i="1"/>
  <c r="B1953" i="1"/>
  <c r="B1952" i="1"/>
  <c r="H1939" i="1"/>
  <c r="G1939" i="1"/>
  <c r="F1939" i="1"/>
  <c r="E1939" i="1"/>
  <c r="D1939" i="1"/>
  <c r="C1939" i="1"/>
  <c r="B1939" i="1"/>
  <c r="I1938" i="1"/>
  <c r="BS2371" i="1"/>
  <c r="I1937" i="1"/>
  <c r="I1936" i="1"/>
  <c r="BS2369" i="1"/>
  <c r="I1935" i="1"/>
  <c r="I1934" i="1"/>
  <c r="BS2367" i="1"/>
  <c r="I1933" i="1"/>
  <c r="BS2366" i="1"/>
  <c r="BS2399" i="1"/>
  <c r="J1715" i="4"/>
  <c r="I1292" i="5"/>
  <c r="AW1643" i="5"/>
  <c r="J1302" i="5"/>
  <c r="I1291" i="5"/>
  <c r="AW1642" i="5"/>
  <c r="I1899" i="3"/>
  <c r="BR2277" i="3"/>
  <c r="BR2288" i="3"/>
  <c r="BK2173" i="2"/>
  <c r="BK2201" i="2"/>
  <c r="J1728" i="2"/>
  <c r="BK2175" i="2"/>
  <c r="J1730" i="2"/>
  <c r="BK2177" i="2"/>
  <c r="J1729" i="2"/>
  <c r="J1731" i="2"/>
  <c r="J435" i="6"/>
  <c r="R867" i="6"/>
  <c r="R894" i="6"/>
  <c r="R869" i="6"/>
  <c r="R871" i="6"/>
  <c r="J438" i="6"/>
  <c r="R870" i="6"/>
  <c r="J440" i="6"/>
  <c r="R872" i="6"/>
  <c r="J1201" i="5"/>
  <c r="AT1633" i="5"/>
  <c r="J1203" i="5"/>
  <c r="AT1635" i="5"/>
  <c r="J1198" i="5"/>
  <c r="AT1630" i="5"/>
  <c r="AT1658" i="5"/>
  <c r="AT1632" i="5"/>
  <c r="AT1634" i="5"/>
  <c r="J1732" i="4"/>
  <c r="J1736" i="4"/>
  <c r="J1734" i="4"/>
  <c r="J1733" i="4"/>
  <c r="J1671" i="4"/>
  <c r="BK2103" i="4"/>
  <c r="BK2131" i="4"/>
  <c r="J1673" i="4"/>
  <c r="J1675" i="4"/>
  <c r="J1674" i="4"/>
  <c r="BK2106" i="4"/>
  <c r="J1676" i="4"/>
  <c r="BK2108" i="4"/>
  <c r="I1747" i="4"/>
  <c r="BM2125" i="4"/>
  <c r="I1900" i="3"/>
  <c r="BR2278" i="3"/>
  <c r="I1912" i="3"/>
  <c r="BR2290" i="3"/>
  <c r="I1901" i="3"/>
  <c r="BR2279" i="3"/>
  <c r="I1898" i="3"/>
  <c r="BR2276" i="3"/>
  <c r="I1902" i="3"/>
  <c r="BR2280" i="3"/>
  <c r="J1901" i="3"/>
  <c r="J1899" i="3"/>
  <c r="J1898" i="3"/>
  <c r="J1900" i="3"/>
  <c r="J1840" i="3"/>
  <c r="BP2272" i="3"/>
  <c r="J1842" i="3"/>
  <c r="BP2274" i="3"/>
  <c r="J1839" i="3"/>
  <c r="J1841" i="3"/>
  <c r="J1933" i="1"/>
  <c r="J1935" i="1"/>
  <c r="BS2368" i="1"/>
  <c r="J1937" i="1"/>
  <c r="BS2370" i="1"/>
  <c r="J1936" i="1"/>
  <c r="J1938" i="1"/>
  <c r="J1716" i="4"/>
  <c r="J1714" i="4"/>
  <c r="I1717" i="4"/>
  <c r="J1712" i="4"/>
  <c r="I1773" i="2"/>
  <c r="J1768" i="2"/>
  <c r="J1772" i="2"/>
  <c r="J1770" i="2"/>
  <c r="I1939" i="1"/>
  <c r="C1948" i="1"/>
  <c r="E1951" i="1"/>
  <c r="G1951" i="1"/>
  <c r="G1948" i="1"/>
  <c r="C1741" i="2"/>
  <c r="E1741" i="2"/>
  <c r="G1741" i="2"/>
  <c r="I1677" i="4"/>
  <c r="I441" i="6"/>
  <c r="R873" i="6"/>
  <c r="R895" i="6"/>
  <c r="I455" i="6"/>
  <c r="R887" i="6"/>
  <c r="R902" i="6"/>
  <c r="J436" i="6"/>
  <c r="J455" i="6"/>
  <c r="I1204" i="5"/>
  <c r="AT1636" i="5"/>
  <c r="AT1659" i="5"/>
  <c r="I1218" i="5"/>
  <c r="AT1650" i="5"/>
  <c r="AT1666" i="5"/>
  <c r="J1199" i="5"/>
  <c r="J1218" i="5"/>
  <c r="I1691" i="4"/>
  <c r="BK2123" i="4"/>
  <c r="BK2139" i="4"/>
  <c r="J1672" i="4"/>
  <c r="J1691" i="4"/>
  <c r="I1843" i="3"/>
  <c r="BP2275" i="3"/>
  <c r="BP2297" i="3"/>
  <c r="I1837" i="3"/>
  <c r="BP2269" i="3"/>
  <c r="BP2296" i="3"/>
  <c r="I1857" i="3"/>
  <c r="BP2289" i="3"/>
  <c r="BP2304" i="3"/>
  <c r="J1838" i="3"/>
  <c r="B1747" i="2"/>
  <c r="B1744" i="2"/>
  <c r="C1744" i="2"/>
  <c r="D1744" i="2"/>
  <c r="E1744" i="2"/>
  <c r="F1744" i="2"/>
  <c r="G1744" i="2"/>
  <c r="H1744" i="2"/>
  <c r="I1744" i="2"/>
  <c r="B1742" i="2"/>
  <c r="B1740" i="2"/>
  <c r="B1741" i="2"/>
  <c r="D1741" i="2"/>
  <c r="F1741" i="2"/>
  <c r="H1741" i="2"/>
  <c r="I1741" i="2"/>
  <c r="D1747" i="2"/>
  <c r="D1742" i="2"/>
  <c r="D1740" i="2"/>
  <c r="F1747" i="2"/>
  <c r="F1742" i="2"/>
  <c r="F1740" i="2"/>
  <c r="H1747" i="2"/>
  <c r="H1742" i="2"/>
  <c r="H1740" i="2"/>
  <c r="C1740" i="2"/>
  <c r="E1740" i="2"/>
  <c r="G1740" i="2"/>
  <c r="C1742" i="2"/>
  <c r="E1742" i="2"/>
  <c r="G1742" i="2"/>
  <c r="B1748" i="2"/>
  <c r="B1749" i="2"/>
  <c r="D1748" i="2"/>
  <c r="D1749" i="2"/>
  <c r="F1748" i="2"/>
  <c r="F1749" i="2"/>
  <c r="H1748" i="2"/>
  <c r="H1749" i="2"/>
  <c r="I1746" i="2"/>
  <c r="BK2193" i="2"/>
  <c r="BK2209" i="2"/>
  <c r="J1727" i="2"/>
  <c r="J1746" i="2"/>
  <c r="F1954" i="1"/>
  <c r="F1950" i="1"/>
  <c r="F1948" i="1"/>
  <c r="F1951" i="1"/>
  <c r="F1949" i="1"/>
  <c r="F1947" i="1"/>
  <c r="C1947" i="1"/>
  <c r="E1947" i="1"/>
  <c r="G1947" i="1"/>
  <c r="C1949" i="1"/>
  <c r="E1949" i="1"/>
  <c r="G1949" i="1"/>
  <c r="C1951" i="1"/>
  <c r="C1954" i="1"/>
  <c r="C1955" i="1"/>
  <c r="C1956" i="1"/>
  <c r="E1954" i="1"/>
  <c r="G1954" i="1"/>
  <c r="G1955" i="1"/>
  <c r="G1956" i="1"/>
  <c r="F1955" i="1"/>
  <c r="F1956" i="1"/>
  <c r="F1946" i="1"/>
  <c r="E1955" i="1"/>
  <c r="E1956" i="1"/>
  <c r="E1945" i="1"/>
  <c r="I1953" i="1"/>
  <c r="BS2391" i="1"/>
  <c r="BS2407" i="1"/>
  <c r="B1947" i="1"/>
  <c r="D1947" i="1"/>
  <c r="H1947" i="1"/>
  <c r="I1947" i="1"/>
  <c r="B1948" i="1"/>
  <c r="D1948" i="1"/>
  <c r="H1948" i="1"/>
  <c r="B1949" i="1"/>
  <c r="D1949" i="1"/>
  <c r="H1949" i="1"/>
  <c r="I1949" i="1"/>
  <c r="BS2387" i="1"/>
  <c r="BS2404" i="1"/>
  <c r="B1950" i="1"/>
  <c r="D1950" i="1"/>
  <c r="H1950" i="1"/>
  <c r="I1950" i="1"/>
  <c r="B1951" i="1"/>
  <c r="D1951" i="1"/>
  <c r="H1951" i="1"/>
  <c r="I1951" i="1"/>
  <c r="J1934" i="1"/>
  <c r="J1291" i="5"/>
  <c r="J1292" i="5"/>
  <c r="I1707" i="4"/>
  <c r="BL2112" i="4"/>
  <c r="BL2122" i="4"/>
  <c r="I1761" i="2"/>
  <c r="BL2180" i="2"/>
  <c r="BL2192" i="2"/>
  <c r="I1748" i="4"/>
  <c r="BM2126" i="4"/>
  <c r="J1677" i="4"/>
  <c r="BK2109" i="4"/>
  <c r="BK2132" i="4"/>
  <c r="J1912" i="3"/>
  <c r="I1913" i="3"/>
  <c r="J1939" i="1"/>
  <c r="BS2372" i="1"/>
  <c r="BS2400" i="1"/>
  <c r="I1705" i="4"/>
  <c r="BL2110" i="4"/>
  <c r="I1706" i="4"/>
  <c r="BL2111" i="4"/>
  <c r="I1708" i="4"/>
  <c r="BL2113" i="4"/>
  <c r="I1719" i="4"/>
  <c r="BL2124" i="4"/>
  <c r="J1717" i="4"/>
  <c r="J1705" i="4"/>
  <c r="I1709" i="4"/>
  <c r="BL2114" i="4"/>
  <c r="I1763" i="2"/>
  <c r="BL2182" i="2"/>
  <c r="I1765" i="2"/>
  <c r="BL2184" i="2"/>
  <c r="I1762" i="2"/>
  <c r="BL2181" i="2"/>
  <c r="I1764" i="2"/>
  <c r="BL2183" i="2"/>
  <c r="I1775" i="2"/>
  <c r="BL2194" i="2"/>
  <c r="J1773" i="2"/>
  <c r="J1765" i="2"/>
  <c r="J441" i="6"/>
  <c r="J1204" i="5"/>
  <c r="J1837" i="3"/>
  <c r="J1843" i="3"/>
  <c r="I1742" i="2"/>
  <c r="BK2189" i="2"/>
  <c r="BK2206" i="2"/>
  <c r="I1740" i="2"/>
  <c r="BK2187" i="2"/>
  <c r="BK2204" i="2"/>
  <c r="J1953" i="1"/>
  <c r="D1954" i="1"/>
  <c r="I1952" i="1"/>
  <c r="BS2390" i="1"/>
  <c r="H1954" i="1"/>
  <c r="B1954" i="1"/>
  <c r="E1946" i="1"/>
  <c r="F1945" i="1"/>
  <c r="H408" i="6"/>
  <c r="G408" i="6"/>
  <c r="F408" i="6"/>
  <c r="E408" i="6"/>
  <c r="D408" i="6"/>
  <c r="C408" i="6"/>
  <c r="B408" i="6"/>
  <c r="I408" i="6"/>
  <c r="H1171" i="5"/>
  <c r="G1171" i="5"/>
  <c r="F1171" i="5"/>
  <c r="E1171" i="5"/>
  <c r="D1171" i="5"/>
  <c r="C1171" i="5"/>
  <c r="B1171" i="5"/>
  <c r="I1171" i="5"/>
  <c r="H1644" i="4"/>
  <c r="G1644" i="4"/>
  <c r="F1644" i="4"/>
  <c r="E1644" i="4"/>
  <c r="D1644" i="4"/>
  <c r="C1644" i="4"/>
  <c r="B1644" i="4"/>
  <c r="I1644" i="4"/>
  <c r="H1810" i="3"/>
  <c r="G1810" i="3"/>
  <c r="F1810" i="3"/>
  <c r="E1810" i="3"/>
  <c r="D1810" i="3"/>
  <c r="C1810" i="3"/>
  <c r="B1810" i="3"/>
  <c r="I1810" i="3"/>
  <c r="H1698" i="2"/>
  <c r="G1698" i="2"/>
  <c r="F1698" i="2"/>
  <c r="E1698" i="2"/>
  <c r="D1698" i="2"/>
  <c r="C1698" i="2"/>
  <c r="B1698" i="2"/>
  <c r="I1698" i="2"/>
  <c r="J1698" i="2"/>
  <c r="H1906" i="1"/>
  <c r="G1906" i="1"/>
  <c r="F1906" i="1"/>
  <c r="E1906" i="1"/>
  <c r="D1906" i="1"/>
  <c r="C1906" i="1"/>
  <c r="B1906" i="1"/>
  <c r="P893" i="6"/>
  <c r="P896" i="6"/>
  <c r="H428" i="6"/>
  <c r="H427" i="6"/>
  <c r="G428" i="6"/>
  <c r="G427" i="6"/>
  <c r="F428" i="6"/>
  <c r="F427" i="6"/>
  <c r="E428" i="6"/>
  <c r="E427" i="6"/>
  <c r="D428" i="6"/>
  <c r="D427" i="6"/>
  <c r="C428" i="6"/>
  <c r="C427" i="6"/>
  <c r="B428" i="6"/>
  <c r="B427" i="6"/>
  <c r="H414" i="6"/>
  <c r="G414" i="6"/>
  <c r="F414" i="6"/>
  <c r="E414" i="6"/>
  <c r="D414" i="6"/>
  <c r="C414" i="6"/>
  <c r="B414" i="6"/>
  <c r="I413" i="6"/>
  <c r="I412" i="6"/>
  <c r="Q871" i="6"/>
  <c r="I411" i="6"/>
  <c r="I410" i="6"/>
  <c r="Q869" i="6"/>
  <c r="I409" i="6"/>
  <c r="Q868" i="6"/>
  <c r="AR1657" i="5"/>
  <c r="AR1660" i="5"/>
  <c r="H1191" i="5"/>
  <c r="H1190" i="5"/>
  <c r="G1191" i="5"/>
  <c r="G1190" i="5"/>
  <c r="F1191" i="5"/>
  <c r="F1190" i="5"/>
  <c r="E1191" i="5"/>
  <c r="E1190" i="5"/>
  <c r="D1191" i="5"/>
  <c r="D1190" i="5"/>
  <c r="C1191" i="5"/>
  <c r="C1190" i="5"/>
  <c r="B1191" i="5"/>
  <c r="B1190" i="5"/>
  <c r="H1177" i="5"/>
  <c r="G1177" i="5"/>
  <c r="F1177" i="5"/>
  <c r="E1177" i="5"/>
  <c r="D1177" i="5"/>
  <c r="C1177" i="5"/>
  <c r="B1177" i="5"/>
  <c r="I1176" i="5"/>
  <c r="I1175" i="5"/>
  <c r="J1175" i="5"/>
  <c r="I1174" i="5"/>
  <c r="I1173" i="5"/>
  <c r="J1173" i="5"/>
  <c r="I1172" i="5"/>
  <c r="AS1631" i="5"/>
  <c r="BI2130" i="4"/>
  <c r="BI2133" i="4"/>
  <c r="H1664" i="4"/>
  <c r="H1663" i="4"/>
  <c r="G1664" i="4"/>
  <c r="G1663" i="4"/>
  <c r="F1664" i="4"/>
  <c r="F1663" i="4"/>
  <c r="E1664" i="4"/>
  <c r="E1663" i="4"/>
  <c r="D1664" i="4"/>
  <c r="D1663" i="4"/>
  <c r="C1664" i="4"/>
  <c r="C1663" i="4"/>
  <c r="B1664" i="4"/>
  <c r="B1663" i="4"/>
  <c r="H1650" i="4"/>
  <c r="G1650" i="4"/>
  <c r="F1650" i="4"/>
  <c r="E1650" i="4"/>
  <c r="D1650" i="4"/>
  <c r="C1650" i="4"/>
  <c r="B1650" i="4"/>
  <c r="I1649" i="4"/>
  <c r="BJ2108" i="4"/>
  <c r="I1648" i="4"/>
  <c r="I1647" i="4"/>
  <c r="BJ2106" i="4"/>
  <c r="I1646" i="4"/>
  <c r="I1645" i="4"/>
  <c r="BJ2104" i="4"/>
  <c r="BN2295" i="3"/>
  <c r="BN2298" i="3"/>
  <c r="H1830" i="3"/>
  <c r="H1829" i="3"/>
  <c r="G1830" i="3"/>
  <c r="G1829" i="3"/>
  <c r="F1830" i="3"/>
  <c r="F1829" i="3"/>
  <c r="E1830" i="3"/>
  <c r="E1829" i="3"/>
  <c r="D1830" i="3"/>
  <c r="D1829" i="3"/>
  <c r="C1830" i="3"/>
  <c r="C1829" i="3"/>
  <c r="B1830" i="3"/>
  <c r="B1829" i="3"/>
  <c r="H1816" i="3"/>
  <c r="G1816" i="3"/>
  <c r="F1816" i="3"/>
  <c r="E1816" i="3"/>
  <c r="D1816" i="3"/>
  <c r="C1816" i="3"/>
  <c r="B1816" i="3"/>
  <c r="I1815" i="3"/>
  <c r="I1814" i="3"/>
  <c r="BO2273" i="3"/>
  <c r="I1813" i="3"/>
  <c r="I1812" i="3"/>
  <c r="BO2271" i="3"/>
  <c r="I1811" i="3"/>
  <c r="BO2270" i="3"/>
  <c r="BI2200" i="2"/>
  <c r="BI2203" i="2"/>
  <c r="H1718" i="2"/>
  <c r="H1717" i="2"/>
  <c r="G1718" i="2"/>
  <c r="G1717" i="2"/>
  <c r="F1718" i="2"/>
  <c r="F1717" i="2"/>
  <c r="E1718" i="2"/>
  <c r="E1717" i="2"/>
  <c r="D1718" i="2"/>
  <c r="D1717" i="2"/>
  <c r="C1718" i="2"/>
  <c r="C1717" i="2"/>
  <c r="B1718" i="2"/>
  <c r="B1717" i="2"/>
  <c r="H1704" i="2"/>
  <c r="G1704" i="2"/>
  <c r="F1704" i="2"/>
  <c r="E1704" i="2"/>
  <c r="D1704" i="2"/>
  <c r="C1704" i="2"/>
  <c r="B1704" i="2"/>
  <c r="I1703" i="2"/>
  <c r="I1702" i="2"/>
  <c r="BJ2177" i="2"/>
  <c r="I1701" i="2"/>
  <c r="I1700" i="2"/>
  <c r="I1699" i="2"/>
  <c r="I1704" i="2"/>
  <c r="BJ2174" i="2"/>
  <c r="BQ2398" i="1"/>
  <c r="BQ2401" i="1"/>
  <c r="H1926" i="1"/>
  <c r="H1925" i="1"/>
  <c r="H1923" i="1"/>
  <c r="G1926" i="1"/>
  <c r="G1925" i="1"/>
  <c r="G1922" i="1"/>
  <c r="F1926" i="1"/>
  <c r="F1925" i="1"/>
  <c r="F1921" i="1"/>
  <c r="E1926" i="1"/>
  <c r="E1925" i="1"/>
  <c r="E1920" i="1"/>
  <c r="D1926" i="1"/>
  <c r="D1925" i="1"/>
  <c r="D1922" i="1"/>
  <c r="C1926" i="1"/>
  <c r="C1925" i="1"/>
  <c r="C1923" i="1"/>
  <c r="B1926" i="1"/>
  <c r="B1925" i="1"/>
  <c r="B1923" i="1"/>
  <c r="H1912" i="1"/>
  <c r="G1912" i="1"/>
  <c r="F1912" i="1"/>
  <c r="E1912" i="1"/>
  <c r="D1912" i="1"/>
  <c r="C1912" i="1"/>
  <c r="B1912" i="1"/>
  <c r="I1911" i="1"/>
  <c r="J1911" i="1"/>
  <c r="I1910" i="1"/>
  <c r="I1909" i="1"/>
  <c r="J1909" i="1"/>
  <c r="I1908" i="1"/>
  <c r="I1907" i="1"/>
  <c r="BR2367" i="1"/>
  <c r="I1906" i="1"/>
  <c r="BR2366" i="1"/>
  <c r="BR2399" i="1"/>
  <c r="H381" i="6"/>
  <c r="G381" i="6"/>
  <c r="F381" i="6"/>
  <c r="E381" i="6"/>
  <c r="D381" i="6"/>
  <c r="C381" i="6"/>
  <c r="B381" i="6"/>
  <c r="H1144" i="5"/>
  <c r="G1144" i="5"/>
  <c r="F1144" i="5"/>
  <c r="E1144" i="5"/>
  <c r="D1144" i="5"/>
  <c r="C1144" i="5"/>
  <c r="B1144" i="5"/>
  <c r="H1617" i="4"/>
  <c r="G1617" i="4"/>
  <c r="F1617" i="4"/>
  <c r="E1617" i="4"/>
  <c r="D1617" i="4"/>
  <c r="C1617" i="4"/>
  <c r="B1617" i="4"/>
  <c r="H1783" i="3"/>
  <c r="G1783" i="3"/>
  <c r="F1783" i="3"/>
  <c r="E1783" i="3"/>
  <c r="D1783" i="3"/>
  <c r="C1783" i="3"/>
  <c r="B1783" i="3"/>
  <c r="H1670" i="2"/>
  <c r="G1670" i="2"/>
  <c r="F1670" i="2"/>
  <c r="E1670" i="2"/>
  <c r="D1670" i="2"/>
  <c r="C1670" i="2"/>
  <c r="B1670" i="2"/>
  <c r="H1879" i="1"/>
  <c r="G1879" i="1"/>
  <c r="F1879" i="1"/>
  <c r="E1879" i="1"/>
  <c r="D1879" i="1"/>
  <c r="C1879" i="1"/>
  <c r="B1879" i="1"/>
  <c r="I1914" i="3"/>
  <c r="BR2292" i="3"/>
  <c r="BR2291" i="3"/>
  <c r="I1737" i="4"/>
  <c r="BM2115" i="4"/>
  <c r="I1738" i="4"/>
  <c r="BM2116" i="4"/>
  <c r="J1748" i="4"/>
  <c r="J1738" i="4"/>
  <c r="J1707" i="4"/>
  <c r="J1914" i="3"/>
  <c r="J1903" i="3"/>
  <c r="J1913" i="3"/>
  <c r="J1706" i="4"/>
  <c r="J1708" i="4"/>
  <c r="I1720" i="4"/>
  <c r="BL2125" i="4"/>
  <c r="J1709" i="4"/>
  <c r="J1761" i="2"/>
  <c r="J1763" i="2"/>
  <c r="I1776" i="2"/>
  <c r="BL2195" i="2"/>
  <c r="J1764" i="2"/>
  <c r="BR2369" i="1"/>
  <c r="BR2371" i="1"/>
  <c r="BJ2173" i="2"/>
  <c r="BJ2201" i="2"/>
  <c r="J1700" i="2"/>
  <c r="J1702" i="2"/>
  <c r="J1813" i="3"/>
  <c r="BO2272" i="3"/>
  <c r="J1815" i="3"/>
  <c r="BO2274" i="3"/>
  <c r="J1646" i="4"/>
  <c r="BJ2105" i="4"/>
  <c r="J1648" i="4"/>
  <c r="BJ2107" i="4"/>
  <c r="J1174" i="5"/>
  <c r="AS1633" i="5"/>
  <c r="J1176" i="5"/>
  <c r="AS1635" i="5"/>
  <c r="J410" i="6"/>
  <c r="J412" i="6"/>
  <c r="J1906" i="1"/>
  <c r="J1908" i="1"/>
  <c r="BR2368" i="1"/>
  <c r="J1910" i="1"/>
  <c r="BR2370" i="1"/>
  <c r="J1701" i="2"/>
  <c r="BJ2176" i="2"/>
  <c r="J1703" i="2"/>
  <c r="BJ2178" i="2"/>
  <c r="J1812" i="3"/>
  <c r="J1814" i="3"/>
  <c r="J1647" i="4"/>
  <c r="J1649" i="4"/>
  <c r="J1171" i="5"/>
  <c r="AS1630" i="5"/>
  <c r="AS1658" i="5"/>
  <c r="AS1632" i="5"/>
  <c r="AS1634" i="5"/>
  <c r="J411" i="6"/>
  <c r="Q870" i="6"/>
  <c r="J413" i="6"/>
  <c r="Q872" i="6"/>
  <c r="J1740" i="2"/>
  <c r="J1742" i="2"/>
  <c r="J1952" i="1"/>
  <c r="B1955" i="1"/>
  <c r="B1956" i="1"/>
  <c r="H1955" i="1"/>
  <c r="H1956" i="1"/>
  <c r="D1955" i="1"/>
  <c r="D1956" i="1"/>
  <c r="I1954" i="1"/>
  <c r="I414" i="6"/>
  <c r="I1177" i="5"/>
  <c r="I1816" i="3"/>
  <c r="C1924" i="1"/>
  <c r="C1920" i="1"/>
  <c r="C1921" i="1"/>
  <c r="E1922" i="1"/>
  <c r="E1923" i="1"/>
  <c r="G1924" i="1"/>
  <c r="G1920" i="1"/>
  <c r="G1921" i="1"/>
  <c r="B1665" i="4"/>
  <c r="B1666" i="4"/>
  <c r="B1661" i="4"/>
  <c r="B1659" i="4"/>
  <c r="B1662" i="4"/>
  <c r="B1660" i="4"/>
  <c r="B1658" i="4"/>
  <c r="D1665" i="4"/>
  <c r="D1666" i="4"/>
  <c r="D1667" i="4"/>
  <c r="D1661" i="4"/>
  <c r="D1659" i="4"/>
  <c r="D1662" i="4"/>
  <c r="D1660" i="4"/>
  <c r="D1658" i="4"/>
  <c r="F1665" i="4"/>
  <c r="F1666" i="4"/>
  <c r="F1661" i="4"/>
  <c r="F1659" i="4"/>
  <c r="F1662" i="4"/>
  <c r="F1660" i="4"/>
  <c r="F1658" i="4"/>
  <c r="H1665" i="4"/>
  <c r="H1666" i="4"/>
  <c r="H1667" i="4"/>
  <c r="H1661" i="4"/>
  <c r="H1659" i="4"/>
  <c r="H1662" i="4"/>
  <c r="H1660" i="4"/>
  <c r="H1658" i="4"/>
  <c r="B1921" i="1"/>
  <c r="B1922" i="1"/>
  <c r="D1923" i="1"/>
  <c r="D1924" i="1"/>
  <c r="D1920" i="1"/>
  <c r="F1923" i="1"/>
  <c r="F1924" i="1"/>
  <c r="F1920" i="1"/>
  <c r="H1921" i="1"/>
  <c r="H1922" i="1"/>
  <c r="C1662" i="4"/>
  <c r="C1660" i="4"/>
  <c r="C1658" i="4"/>
  <c r="C1665" i="4"/>
  <c r="C1666" i="4"/>
  <c r="C1661" i="4"/>
  <c r="C1659" i="4"/>
  <c r="E1662" i="4"/>
  <c r="E1660" i="4"/>
  <c r="E1658" i="4"/>
  <c r="E1665" i="4"/>
  <c r="E1666" i="4"/>
  <c r="E1667" i="4"/>
  <c r="E1661" i="4"/>
  <c r="E1659" i="4"/>
  <c r="G1662" i="4"/>
  <c r="G1660" i="4"/>
  <c r="G1658" i="4"/>
  <c r="G1665" i="4"/>
  <c r="G1666" i="4"/>
  <c r="G1661" i="4"/>
  <c r="G1659" i="4"/>
  <c r="B425" i="6"/>
  <c r="B426" i="6"/>
  <c r="B422" i="6"/>
  <c r="D425" i="6"/>
  <c r="D426" i="6"/>
  <c r="D422" i="6"/>
  <c r="F425" i="6"/>
  <c r="F426" i="6"/>
  <c r="F422" i="6"/>
  <c r="H425" i="6"/>
  <c r="H426" i="6"/>
  <c r="H422" i="6"/>
  <c r="E424" i="6"/>
  <c r="C426" i="6"/>
  <c r="G426" i="6"/>
  <c r="I428" i="6"/>
  <c r="Q887" i="6"/>
  <c r="Q902" i="6"/>
  <c r="J409" i="6"/>
  <c r="J428" i="6"/>
  <c r="B1188" i="5"/>
  <c r="B1189" i="5"/>
  <c r="B1185" i="5"/>
  <c r="D1188" i="5"/>
  <c r="D1189" i="5"/>
  <c r="D1185" i="5"/>
  <c r="F1188" i="5"/>
  <c r="F1189" i="5"/>
  <c r="F1185" i="5"/>
  <c r="H1188" i="5"/>
  <c r="H1189" i="5"/>
  <c r="H1185" i="5"/>
  <c r="E1189" i="5"/>
  <c r="I1191" i="5"/>
  <c r="AS1650" i="5"/>
  <c r="AS1666" i="5"/>
  <c r="J1172" i="5"/>
  <c r="J1191" i="5"/>
  <c r="C1667" i="4"/>
  <c r="G1667" i="4"/>
  <c r="B1667" i="4"/>
  <c r="F1667" i="4"/>
  <c r="I1664" i="4"/>
  <c r="BJ2123" i="4"/>
  <c r="BJ2139" i="4"/>
  <c r="J1645" i="4"/>
  <c r="J1664" i="4"/>
  <c r="B1828" i="3"/>
  <c r="B1824" i="3"/>
  <c r="B1825" i="3"/>
  <c r="D1826" i="3"/>
  <c r="D1827" i="3"/>
  <c r="F1831" i="3"/>
  <c r="F1826" i="3"/>
  <c r="F1827" i="3"/>
  <c r="H1828" i="3"/>
  <c r="H1824" i="3"/>
  <c r="H1825" i="3"/>
  <c r="E1824" i="3"/>
  <c r="C1826" i="3"/>
  <c r="G1826" i="3"/>
  <c r="D1831" i="3"/>
  <c r="D1832" i="3"/>
  <c r="E1831" i="3"/>
  <c r="F1832" i="3"/>
  <c r="E1832" i="3"/>
  <c r="I1830" i="3"/>
  <c r="BO2289" i="3"/>
  <c r="BO2304" i="3"/>
  <c r="J1811" i="3"/>
  <c r="B1716" i="2"/>
  <c r="B1712" i="2"/>
  <c r="B1713" i="2"/>
  <c r="D1716" i="2"/>
  <c r="D1712" i="2"/>
  <c r="D1713" i="2"/>
  <c r="F1716" i="2"/>
  <c r="F1712" i="2"/>
  <c r="F1713" i="2"/>
  <c r="H1716" i="2"/>
  <c r="H1712" i="2"/>
  <c r="H1713" i="2"/>
  <c r="E1712" i="2"/>
  <c r="C1714" i="2"/>
  <c r="G1714" i="2"/>
  <c r="E1716" i="2"/>
  <c r="I1718" i="2"/>
  <c r="BJ2193" i="2"/>
  <c r="BJ2209" i="2"/>
  <c r="J1699" i="2"/>
  <c r="J1718" i="2"/>
  <c r="I1925" i="1"/>
  <c r="BR2390" i="1"/>
  <c r="I1912" i="1"/>
  <c r="BR2372" i="1"/>
  <c r="BR2400" i="1"/>
  <c r="B1927" i="1"/>
  <c r="D1927" i="1"/>
  <c r="D1928" i="1"/>
  <c r="D1929" i="1"/>
  <c r="H1927" i="1"/>
  <c r="H1928" i="1"/>
  <c r="C1927" i="1"/>
  <c r="C1928" i="1"/>
  <c r="C1929" i="1"/>
  <c r="E1927" i="1"/>
  <c r="E1928" i="1"/>
  <c r="G1927" i="1"/>
  <c r="G1928" i="1"/>
  <c r="G1929" i="1"/>
  <c r="B1928" i="1"/>
  <c r="B1929" i="1"/>
  <c r="I1926" i="1"/>
  <c r="BR2391" i="1"/>
  <c r="BR2407" i="1"/>
  <c r="J1907" i="1"/>
  <c r="O893" i="6"/>
  <c r="O896" i="6"/>
  <c r="H401" i="6"/>
  <c r="H400" i="6"/>
  <c r="G401" i="6"/>
  <c r="G400" i="6"/>
  <c r="F401" i="6"/>
  <c r="F400" i="6"/>
  <c r="E401" i="6"/>
  <c r="E400" i="6"/>
  <c r="D401" i="6"/>
  <c r="D400" i="6"/>
  <c r="C401" i="6"/>
  <c r="C400" i="6"/>
  <c r="B401" i="6"/>
  <c r="B400" i="6"/>
  <c r="H387" i="6"/>
  <c r="G387" i="6"/>
  <c r="F387" i="6"/>
  <c r="E387" i="6"/>
  <c r="D387" i="6"/>
  <c r="C387" i="6"/>
  <c r="B387" i="6"/>
  <c r="I386" i="6"/>
  <c r="I385" i="6"/>
  <c r="I384" i="6"/>
  <c r="I383" i="6"/>
  <c r="I382" i="6"/>
  <c r="AQ1657" i="5"/>
  <c r="AQ1660" i="5"/>
  <c r="H1164" i="5"/>
  <c r="H1163" i="5"/>
  <c r="G1164" i="5"/>
  <c r="G1163" i="5"/>
  <c r="F1164" i="5"/>
  <c r="F1163" i="5"/>
  <c r="E1164" i="5"/>
  <c r="E1163" i="5"/>
  <c r="D1164" i="5"/>
  <c r="D1163" i="5"/>
  <c r="C1164" i="5"/>
  <c r="C1163" i="5"/>
  <c r="B1164" i="5"/>
  <c r="B1163" i="5"/>
  <c r="H1150" i="5"/>
  <c r="G1150" i="5"/>
  <c r="F1150" i="5"/>
  <c r="E1150" i="5"/>
  <c r="D1150" i="5"/>
  <c r="C1150" i="5"/>
  <c r="B1150" i="5"/>
  <c r="I1149" i="5"/>
  <c r="I1148" i="5"/>
  <c r="I1147" i="5"/>
  <c r="I1146" i="5"/>
  <c r="I1145" i="5"/>
  <c r="AR1631" i="5"/>
  <c r="I1144" i="5"/>
  <c r="BH2130" i="4"/>
  <c r="BH2133" i="4"/>
  <c r="H1637" i="4"/>
  <c r="H1636" i="4"/>
  <c r="G1637" i="4"/>
  <c r="G1636" i="4"/>
  <c r="F1637" i="4"/>
  <c r="F1636" i="4"/>
  <c r="E1637" i="4"/>
  <c r="E1636" i="4"/>
  <c r="D1637" i="4"/>
  <c r="D1636" i="4"/>
  <c r="C1637" i="4"/>
  <c r="C1636" i="4"/>
  <c r="B1637" i="4"/>
  <c r="B1636" i="4"/>
  <c r="H1623" i="4"/>
  <c r="G1623" i="4"/>
  <c r="F1623" i="4"/>
  <c r="E1623" i="4"/>
  <c r="D1623" i="4"/>
  <c r="C1623" i="4"/>
  <c r="B1623" i="4"/>
  <c r="I1622" i="4"/>
  <c r="I1621" i="4"/>
  <c r="I1620" i="4"/>
  <c r="I1619" i="4"/>
  <c r="I1618" i="4"/>
  <c r="BI2104" i="4"/>
  <c r="I1617" i="4"/>
  <c r="BM2295" i="3"/>
  <c r="BM2298" i="3"/>
  <c r="H1803" i="3"/>
  <c r="H1802" i="3"/>
  <c r="G1803" i="3"/>
  <c r="G1802" i="3"/>
  <c r="F1803" i="3"/>
  <c r="F1802" i="3"/>
  <c r="E1803" i="3"/>
  <c r="E1802" i="3"/>
  <c r="D1803" i="3"/>
  <c r="D1802" i="3"/>
  <c r="C1803" i="3"/>
  <c r="C1802" i="3"/>
  <c r="B1803" i="3"/>
  <c r="B1802" i="3"/>
  <c r="H1789" i="3"/>
  <c r="G1789" i="3"/>
  <c r="F1789" i="3"/>
  <c r="E1789" i="3"/>
  <c r="D1789" i="3"/>
  <c r="C1789" i="3"/>
  <c r="B1789" i="3"/>
  <c r="I1788" i="3"/>
  <c r="I1787" i="3"/>
  <c r="I1786" i="3"/>
  <c r="I1785" i="3"/>
  <c r="I1784" i="3"/>
  <c r="BN2270" i="3"/>
  <c r="I1783" i="3"/>
  <c r="BH2200" i="2"/>
  <c r="BH2203" i="2"/>
  <c r="H1690" i="2"/>
  <c r="H1689" i="2"/>
  <c r="G1690" i="2"/>
  <c r="G1689" i="2"/>
  <c r="F1690" i="2"/>
  <c r="F1689" i="2"/>
  <c r="E1690" i="2"/>
  <c r="E1689" i="2"/>
  <c r="D1690" i="2"/>
  <c r="D1689" i="2"/>
  <c r="C1690" i="2"/>
  <c r="C1689" i="2"/>
  <c r="B1690" i="2"/>
  <c r="B1689" i="2"/>
  <c r="H1676" i="2"/>
  <c r="G1676" i="2"/>
  <c r="F1676" i="2"/>
  <c r="E1676" i="2"/>
  <c r="D1676" i="2"/>
  <c r="C1676" i="2"/>
  <c r="B1676" i="2"/>
  <c r="I1675" i="2"/>
  <c r="I1674" i="2"/>
  <c r="I1673" i="2"/>
  <c r="I1672" i="2"/>
  <c r="I1671" i="2"/>
  <c r="BI2174" i="2"/>
  <c r="I1670" i="2"/>
  <c r="BP2398" i="1"/>
  <c r="BP2401" i="1"/>
  <c r="H1899" i="1"/>
  <c r="H1898" i="1"/>
  <c r="G1899" i="1"/>
  <c r="G1898" i="1"/>
  <c r="F1899" i="1"/>
  <c r="F1898" i="1"/>
  <c r="E1899" i="1"/>
  <c r="E1898" i="1"/>
  <c r="D1899" i="1"/>
  <c r="D1898" i="1"/>
  <c r="C1899" i="1"/>
  <c r="C1898" i="1"/>
  <c r="B1899" i="1"/>
  <c r="B1898" i="1"/>
  <c r="H1885" i="1"/>
  <c r="G1885" i="1"/>
  <c r="F1885" i="1"/>
  <c r="E1885" i="1"/>
  <c r="D1885" i="1"/>
  <c r="C1885" i="1"/>
  <c r="B1885" i="1"/>
  <c r="I1884" i="1"/>
  <c r="I1883" i="1"/>
  <c r="I1882" i="1"/>
  <c r="I1881" i="1"/>
  <c r="I1880" i="1"/>
  <c r="BQ2367" i="1"/>
  <c r="I1879" i="1"/>
  <c r="H374" i="6"/>
  <c r="G374" i="6"/>
  <c r="F374" i="6"/>
  <c r="E374" i="6"/>
  <c r="D374" i="6"/>
  <c r="D373" i="6"/>
  <c r="C374" i="6"/>
  <c r="C373" i="6"/>
  <c r="B374" i="6"/>
  <c r="H1137" i="5"/>
  <c r="H1136" i="5"/>
  <c r="G1137" i="5"/>
  <c r="G1136" i="5"/>
  <c r="F1137" i="5"/>
  <c r="E1137" i="5"/>
  <c r="E1136" i="5"/>
  <c r="D1137" i="5"/>
  <c r="D1136" i="5"/>
  <c r="C1137" i="5"/>
  <c r="C1136" i="5"/>
  <c r="B1137" i="5"/>
  <c r="H1610" i="4"/>
  <c r="G1610" i="4"/>
  <c r="G1609" i="4"/>
  <c r="F1610" i="4"/>
  <c r="E1610" i="4"/>
  <c r="E1609" i="4"/>
  <c r="D1610" i="4"/>
  <c r="C1610" i="4"/>
  <c r="C1609" i="4"/>
  <c r="B1610" i="4"/>
  <c r="H1776" i="3"/>
  <c r="G1776" i="3"/>
  <c r="F1776" i="3"/>
  <c r="E1776" i="3"/>
  <c r="D1776" i="3"/>
  <c r="C1776" i="3"/>
  <c r="B1776" i="3"/>
  <c r="H1662" i="2"/>
  <c r="G1662" i="2"/>
  <c r="F1662" i="2"/>
  <c r="E1662" i="2"/>
  <c r="D1662" i="2"/>
  <c r="C1662" i="2"/>
  <c r="B1662" i="2"/>
  <c r="H1872" i="1"/>
  <c r="G1872" i="1"/>
  <c r="G1871" i="1"/>
  <c r="G1866" i="1"/>
  <c r="F1872" i="1"/>
  <c r="F1871" i="1"/>
  <c r="E1872" i="1"/>
  <c r="E1871" i="1"/>
  <c r="D1872" i="1"/>
  <c r="C1872" i="1"/>
  <c r="C1871" i="1"/>
  <c r="B1872" i="1"/>
  <c r="B1871" i="1"/>
  <c r="H354" i="6"/>
  <c r="G354" i="6"/>
  <c r="F354" i="6"/>
  <c r="E354" i="6"/>
  <c r="D354" i="6"/>
  <c r="C354" i="6"/>
  <c r="B354" i="6"/>
  <c r="H1117" i="5"/>
  <c r="G1117" i="5"/>
  <c r="F1117" i="5"/>
  <c r="E1117" i="5"/>
  <c r="D1117" i="5"/>
  <c r="C1117" i="5"/>
  <c r="B1117" i="5"/>
  <c r="H1590" i="4"/>
  <c r="G1590" i="4"/>
  <c r="F1590" i="4"/>
  <c r="E1590" i="4"/>
  <c r="D1590" i="4"/>
  <c r="C1590" i="4"/>
  <c r="B1590" i="4"/>
  <c r="D1756" i="3"/>
  <c r="H1756" i="3"/>
  <c r="G1756" i="3"/>
  <c r="F1756" i="3"/>
  <c r="E1756" i="3"/>
  <c r="C1756" i="3"/>
  <c r="B1756" i="3"/>
  <c r="H1642" i="2"/>
  <c r="G1642" i="2"/>
  <c r="F1642" i="2"/>
  <c r="E1642" i="2"/>
  <c r="D1642" i="2"/>
  <c r="C1642" i="2"/>
  <c r="B1642" i="2"/>
  <c r="H1852" i="1"/>
  <c r="G1852" i="1"/>
  <c r="F1852" i="1"/>
  <c r="E1852" i="1"/>
  <c r="D1852" i="1"/>
  <c r="C1852" i="1"/>
  <c r="B1852" i="1"/>
  <c r="N893" i="6"/>
  <c r="N896" i="6"/>
  <c r="H373" i="6"/>
  <c r="G373" i="6"/>
  <c r="F373" i="6"/>
  <c r="B373" i="6"/>
  <c r="H360" i="6"/>
  <c r="G360" i="6"/>
  <c r="F360" i="6"/>
  <c r="E360" i="6"/>
  <c r="D360" i="6"/>
  <c r="C360" i="6"/>
  <c r="B360" i="6"/>
  <c r="I359" i="6"/>
  <c r="O872" i="6"/>
  <c r="I358" i="6"/>
  <c r="O871" i="6"/>
  <c r="I357" i="6"/>
  <c r="J357" i="6"/>
  <c r="I356" i="6"/>
  <c r="J356" i="6"/>
  <c r="I355" i="6"/>
  <c r="O868" i="6"/>
  <c r="AP1657" i="5"/>
  <c r="AP1660" i="5"/>
  <c r="F1136" i="5"/>
  <c r="B1136" i="5"/>
  <c r="H1123" i="5"/>
  <c r="G1123" i="5"/>
  <c r="F1123" i="5"/>
  <c r="E1123" i="5"/>
  <c r="D1123" i="5"/>
  <c r="C1123" i="5"/>
  <c r="B1123" i="5"/>
  <c r="I1122" i="5"/>
  <c r="J1122" i="5"/>
  <c r="I1121" i="5"/>
  <c r="J1121" i="5"/>
  <c r="I1120" i="5"/>
  <c r="J1120" i="5"/>
  <c r="I1119" i="5"/>
  <c r="J1119" i="5"/>
  <c r="I1118" i="5"/>
  <c r="I1137" i="5"/>
  <c r="AQ1650" i="5"/>
  <c r="AQ1666" i="5"/>
  <c r="BG2130" i="4"/>
  <c r="BG2133" i="4"/>
  <c r="H1609" i="4"/>
  <c r="F1609" i="4"/>
  <c r="D1609" i="4"/>
  <c r="B1609" i="4"/>
  <c r="H1596" i="4"/>
  <c r="G1596" i="4"/>
  <c r="F1596" i="4"/>
  <c r="E1596" i="4"/>
  <c r="D1596" i="4"/>
  <c r="C1596" i="4"/>
  <c r="B1596" i="4"/>
  <c r="I1595" i="4"/>
  <c r="J1595" i="4"/>
  <c r="I1594" i="4"/>
  <c r="J1594" i="4"/>
  <c r="I1593" i="4"/>
  <c r="J1593" i="4"/>
  <c r="I1592" i="4"/>
  <c r="J1592" i="4"/>
  <c r="I1591" i="4"/>
  <c r="I1610" i="4"/>
  <c r="BH2123" i="4"/>
  <c r="BH2139" i="4"/>
  <c r="BL2295" i="3"/>
  <c r="BL2298" i="3"/>
  <c r="H1775" i="3"/>
  <c r="G1775" i="3"/>
  <c r="F1775" i="3"/>
  <c r="E1775" i="3"/>
  <c r="D1775" i="3"/>
  <c r="C1775" i="3"/>
  <c r="B1775" i="3"/>
  <c r="H1762" i="3"/>
  <c r="G1762" i="3"/>
  <c r="F1762" i="3"/>
  <c r="E1762" i="3"/>
  <c r="D1762" i="3"/>
  <c r="C1762" i="3"/>
  <c r="B1762" i="3"/>
  <c r="I1761" i="3"/>
  <c r="J1761" i="3"/>
  <c r="I1760" i="3"/>
  <c r="J1760" i="3"/>
  <c r="I1759" i="3"/>
  <c r="J1759" i="3"/>
  <c r="I1758" i="3"/>
  <c r="J1758" i="3"/>
  <c r="I1757" i="3"/>
  <c r="I1776" i="3"/>
  <c r="BG2200" i="2"/>
  <c r="BG2203" i="2"/>
  <c r="H1661" i="2"/>
  <c r="G1661" i="2"/>
  <c r="F1661" i="2"/>
  <c r="E1661" i="2"/>
  <c r="D1661" i="2"/>
  <c r="C1661" i="2"/>
  <c r="B1661" i="2"/>
  <c r="H1648" i="2"/>
  <c r="G1648" i="2"/>
  <c r="F1648" i="2"/>
  <c r="E1648" i="2"/>
  <c r="D1648" i="2"/>
  <c r="C1648" i="2"/>
  <c r="B1648" i="2"/>
  <c r="I1647" i="2"/>
  <c r="J1647" i="2"/>
  <c r="I1646" i="2"/>
  <c r="J1646" i="2"/>
  <c r="I1645" i="2"/>
  <c r="J1645" i="2"/>
  <c r="I1644" i="2"/>
  <c r="J1644" i="2"/>
  <c r="I1643" i="2"/>
  <c r="BH2174" i="2"/>
  <c r="I1642" i="2"/>
  <c r="J1642" i="2"/>
  <c r="BO2398" i="1"/>
  <c r="BO2401" i="1"/>
  <c r="H1871" i="1"/>
  <c r="H1866" i="1"/>
  <c r="D1871" i="1"/>
  <c r="H1858" i="1"/>
  <c r="G1858" i="1"/>
  <c r="F1858" i="1"/>
  <c r="E1858" i="1"/>
  <c r="D1858" i="1"/>
  <c r="C1858" i="1"/>
  <c r="B1858" i="1"/>
  <c r="I1857" i="1"/>
  <c r="J1857" i="1"/>
  <c r="I1856" i="1"/>
  <c r="J1856" i="1"/>
  <c r="I1855" i="1"/>
  <c r="J1855" i="1"/>
  <c r="I1854" i="1"/>
  <c r="J1854" i="1"/>
  <c r="I1853" i="1"/>
  <c r="I1872" i="1"/>
  <c r="H327" i="6"/>
  <c r="G327" i="6"/>
  <c r="F327" i="6"/>
  <c r="E327" i="6"/>
  <c r="D327" i="6"/>
  <c r="C327" i="6"/>
  <c r="B327" i="6"/>
  <c r="H1090" i="5"/>
  <c r="G1090" i="5"/>
  <c r="F1090" i="5"/>
  <c r="E1090" i="5"/>
  <c r="D1090" i="5"/>
  <c r="C1090" i="5"/>
  <c r="B1090" i="5"/>
  <c r="H1563" i="4"/>
  <c r="G1563" i="4"/>
  <c r="F1563" i="4"/>
  <c r="E1563" i="4"/>
  <c r="D1563" i="4"/>
  <c r="C1563" i="4"/>
  <c r="B1563" i="4"/>
  <c r="H1729" i="3"/>
  <c r="G1729" i="3"/>
  <c r="F1729" i="3"/>
  <c r="E1729" i="3"/>
  <c r="D1729" i="3"/>
  <c r="C1729" i="3"/>
  <c r="B1729" i="3"/>
  <c r="H1614" i="2"/>
  <c r="G1614" i="2"/>
  <c r="F1614" i="2"/>
  <c r="I1756" i="3"/>
  <c r="J1756" i="3"/>
  <c r="I354" i="6"/>
  <c r="J354" i="6"/>
  <c r="I1661" i="4"/>
  <c r="J1661" i="4"/>
  <c r="I1852" i="1"/>
  <c r="J1852" i="1"/>
  <c r="I1117" i="5"/>
  <c r="J1117" i="5"/>
  <c r="J1925" i="1"/>
  <c r="J1947" i="1"/>
  <c r="J1904" i="3"/>
  <c r="I1904" i="3"/>
  <c r="BR2282" i="3"/>
  <c r="I1903" i="3"/>
  <c r="BR2281" i="3"/>
  <c r="J1737" i="4"/>
  <c r="I1944" i="1"/>
  <c r="BS2382" i="1"/>
  <c r="J1954" i="1"/>
  <c r="BS2392" i="1"/>
  <c r="I1721" i="4"/>
  <c r="BL2126" i="4"/>
  <c r="I1777" i="2"/>
  <c r="BL2196" i="2"/>
  <c r="I1943" i="1"/>
  <c r="BS2381" i="1"/>
  <c r="J1816" i="3"/>
  <c r="BO2275" i="3"/>
  <c r="BO2297" i="3"/>
  <c r="J1177" i="5"/>
  <c r="AS1636" i="5"/>
  <c r="AS1659" i="5"/>
  <c r="J1704" i="2"/>
  <c r="BJ2179" i="2"/>
  <c r="BJ2202" i="2"/>
  <c r="J414" i="6"/>
  <c r="Q873" i="6"/>
  <c r="Q895" i="6"/>
  <c r="J1940" i="1"/>
  <c r="I1955" i="1"/>
  <c r="BS2393" i="1"/>
  <c r="D1945" i="1"/>
  <c r="D1946" i="1"/>
  <c r="B1945" i="1"/>
  <c r="B1946" i="1"/>
  <c r="H1945" i="1"/>
  <c r="H1946" i="1"/>
  <c r="J1949" i="1"/>
  <c r="J1942" i="1"/>
  <c r="I1942" i="1"/>
  <c r="BS2380" i="1"/>
  <c r="I1659" i="4"/>
  <c r="BJ2118" i="4"/>
  <c r="BJ2135" i="4"/>
  <c r="J1882" i="1"/>
  <c r="BQ2369" i="1"/>
  <c r="J1884" i="1"/>
  <c r="BQ2371" i="1"/>
  <c r="J1670" i="2"/>
  <c r="BI2173" i="2"/>
  <c r="BI2201" i="2"/>
  <c r="J1672" i="2"/>
  <c r="BI2175" i="2"/>
  <c r="J1674" i="2"/>
  <c r="BI2177" i="2"/>
  <c r="J1786" i="3"/>
  <c r="BN2272" i="3"/>
  <c r="J1788" i="3"/>
  <c r="BN2274" i="3"/>
  <c r="J1617" i="4"/>
  <c r="BI2103" i="4"/>
  <c r="BI2131" i="4"/>
  <c r="J1619" i="4"/>
  <c r="BI2105" i="4"/>
  <c r="J1621" i="4"/>
  <c r="BI2107" i="4"/>
  <c r="J1147" i="5"/>
  <c r="AR1633" i="5"/>
  <c r="J1149" i="5"/>
  <c r="AR1635" i="5"/>
  <c r="I401" i="6"/>
  <c r="P887" i="6"/>
  <c r="P902" i="6"/>
  <c r="P868" i="6"/>
  <c r="J384" i="6"/>
  <c r="P870" i="6"/>
  <c r="J386" i="6"/>
  <c r="P872" i="6"/>
  <c r="I1660" i="4"/>
  <c r="BJ2119" i="4"/>
  <c r="BJ2136" i="4"/>
  <c r="J1879" i="1"/>
  <c r="BQ2366" i="1"/>
  <c r="BQ2399" i="1"/>
  <c r="J1881" i="1"/>
  <c r="BQ2368" i="1"/>
  <c r="J1883" i="1"/>
  <c r="BQ2370" i="1"/>
  <c r="J1673" i="2"/>
  <c r="BI2176" i="2"/>
  <c r="J1675" i="2"/>
  <c r="BI2178" i="2"/>
  <c r="J1783" i="3"/>
  <c r="BN2269" i="3"/>
  <c r="BN2296" i="3"/>
  <c r="J1785" i="3"/>
  <c r="BN2271" i="3"/>
  <c r="J1787" i="3"/>
  <c r="BN2273" i="3"/>
  <c r="J1620" i="4"/>
  <c r="BI2106" i="4"/>
  <c r="J1622" i="4"/>
  <c r="BI2108" i="4"/>
  <c r="J1144" i="5"/>
  <c r="AR1630" i="5"/>
  <c r="AR1658" i="5"/>
  <c r="J1146" i="5"/>
  <c r="AR1632" i="5"/>
  <c r="J1148" i="5"/>
  <c r="AR1634" i="5"/>
  <c r="J383" i="6"/>
  <c r="P869" i="6"/>
  <c r="J385" i="6"/>
  <c r="P871" i="6"/>
  <c r="E1833" i="3"/>
  <c r="I1658" i="4"/>
  <c r="BJ2117" i="4"/>
  <c r="BJ2134" i="4"/>
  <c r="I1662" i="4"/>
  <c r="BJ2121" i="4"/>
  <c r="BJ2138" i="4"/>
  <c r="H1656" i="4"/>
  <c r="H1657" i="4"/>
  <c r="D1656" i="4"/>
  <c r="D1657" i="4"/>
  <c r="F1656" i="4"/>
  <c r="F1657" i="4"/>
  <c r="B1656" i="4"/>
  <c r="B1657" i="4"/>
  <c r="G1657" i="4"/>
  <c r="G1656" i="4"/>
  <c r="C1657" i="4"/>
  <c r="C1656" i="4"/>
  <c r="J1830" i="3"/>
  <c r="E1823" i="3"/>
  <c r="E1822" i="3"/>
  <c r="J1926" i="1"/>
  <c r="J1912" i="1"/>
  <c r="G1919" i="1"/>
  <c r="G1918" i="1"/>
  <c r="C1919" i="1"/>
  <c r="C1918" i="1"/>
  <c r="I1927" i="1"/>
  <c r="BR2392" i="1"/>
  <c r="D1918" i="1"/>
  <c r="D1919" i="1"/>
  <c r="B1918" i="1"/>
  <c r="B1919" i="1"/>
  <c r="I1150" i="5"/>
  <c r="I1623" i="4"/>
  <c r="I1789" i="3"/>
  <c r="I1676" i="2"/>
  <c r="I1885" i="1"/>
  <c r="C1800" i="3"/>
  <c r="C1797" i="3"/>
  <c r="C1801" i="3"/>
  <c r="C1798" i="3"/>
  <c r="E1801" i="3"/>
  <c r="E1798" i="3"/>
  <c r="E1800" i="3"/>
  <c r="E1797" i="3"/>
  <c r="G1800" i="3"/>
  <c r="G1797" i="3"/>
  <c r="G1801" i="3"/>
  <c r="G1798" i="3"/>
  <c r="B1635" i="4"/>
  <c r="B1634" i="4"/>
  <c r="B1633" i="4"/>
  <c r="B1632" i="4"/>
  <c r="B1631" i="4"/>
  <c r="F1635" i="4"/>
  <c r="F1634" i="4"/>
  <c r="F1633" i="4"/>
  <c r="F1632" i="4"/>
  <c r="F1631" i="4"/>
  <c r="C1161" i="5"/>
  <c r="C1158" i="5"/>
  <c r="C1165" i="5"/>
  <c r="C1166" i="5"/>
  <c r="C1167" i="5"/>
  <c r="C1159" i="5"/>
  <c r="E1165" i="5"/>
  <c r="E1166" i="5"/>
  <c r="E1167" i="5"/>
  <c r="E1159" i="5"/>
  <c r="E1161" i="5"/>
  <c r="E1158" i="5"/>
  <c r="G1161" i="5"/>
  <c r="G1158" i="5"/>
  <c r="G1165" i="5"/>
  <c r="G1166" i="5"/>
  <c r="G1167" i="5"/>
  <c r="G1159" i="5"/>
  <c r="C399" i="6"/>
  <c r="C398" i="6"/>
  <c r="C396" i="6"/>
  <c r="E396" i="6"/>
  <c r="E399" i="6"/>
  <c r="G399" i="6"/>
  <c r="G398" i="6"/>
  <c r="G396" i="6"/>
  <c r="B1896" i="1"/>
  <c r="B1894" i="1"/>
  <c r="D1897" i="1"/>
  <c r="D1896" i="1"/>
  <c r="D1894" i="1"/>
  <c r="F1896" i="1"/>
  <c r="F1894" i="1"/>
  <c r="F1897" i="1"/>
  <c r="H1897" i="1"/>
  <c r="H1896" i="1"/>
  <c r="H1894" i="1"/>
  <c r="C1687" i="2"/>
  <c r="C1691" i="2"/>
  <c r="C1685" i="2"/>
  <c r="E1691" i="2"/>
  <c r="E1685" i="2"/>
  <c r="E1687" i="2"/>
  <c r="G1687" i="2"/>
  <c r="G1691" i="2"/>
  <c r="G1685" i="2"/>
  <c r="I1590" i="4"/>
  <c r="I1662" i="2"/>
  <c r="BH2193" i="2"/>
  <c r="BH2209" i="2"/>
  <c r="BP2367" i="1"/>
  <c r="BP2369" i="1"/>
  <c r="BP2371" i="1"/>
  <c r="BH2173" i="2"/>
  <c r="BH2201" i="2"/>
  <c r="BH2175" i="2"/>
  <c r="BH2177" i="2"/>
  <c r="BM2269" i="3"/>
  <c r="BM2296" i="3"/>
  <c r="BM2271" i="3"/>
  <c r="BM2273" i="3"/>
  <c r="BH2105" i="4"/>
  <c r="BH2107" i="4"/>
  <c r="AQ1630" i="5"/>
  <c r="AQ1658" i="5"/>
  <c r="AQ1632" i="5"/>
  <c r="AQ1634" i="5"/>
  <c r="O870" i="6"/>
  <c r="BP2366" i="1"/>
  <c r="BP2399" i="1"/>
  <c r="BP2368" i="1"/>
  <c r="BP2370" i="1"/>
  <c r="BH2176" i="2"/>
  <c r="BH2178" i="2"/>
  <c r="BM2270" i="3"/>
  <c r="BM2272" i="3"/>
  <c r="BM2274" i="3"/>
  <c r="BH2104" i="4"/>
  <c r="BH2106" i="4"/>
  <c r="BH2108" i="4"/>
  <c r="AQ1631" i="5"/>
  <c r="AQ1633" i="5"/>
  <c r="AQ1635" i="5"/>
  <c r="O867" i="6"/>
  <c r="O894" i="6"/>
  <c r="O869" i="6"/>
  <c r="E398" i="6"/>
  <c r="I381" i="6"/>
  <c r="P867" i="6"/>
  <c r="P894" i="6"/>
  <c r="J382" i="6"/>
  <c r="J401" i="6"/>
  <c r="B395" i="6"/>
  <c r="C395" i="6"/>
  <c r="D395" i="6"/>
  <c r="E395" i="6"/>
  <c r="F395" i="6"/>
  <c r="G395" i="6"/>
  <c r="H395" i="6"/>
  <c r="I395" i="6"/>
  <c r="B396" i="6"/>
  <c r="D396" i="6"/>
  <c r="F396" i="6"/>
  <c r="H396" i="6"/>
  <c r="I396" i="6"/>
  <c r="B397" i="6"/>
  <c r="C397" i="6"/>
  <c r="D397" i="6"/>
  <c r="E397" i="6"/>
  <c r="F397" i="6"/>
  <c r="G397" i="6"/>
  <c r="H397" i="6"/>
  <c r="I397" i="6"/>
  <c r="B398" i="6"/>
  <c r="D398" i="6"/>
  <c r="F398" i="6"/>
  <c r="H398" i="6"/>
  <c r="I398" i="6"/>
  <c r="B399" i="6"/>
  <c r="D399" i="6"/>
  <c r="F399" i="6"/>
  <c r="H399" i="6"/>
  <c r="I399" i="6"/>
  <c r="I400" i="6"/>
  <c r="J400" i="6"/>
  <c r="J402" i="6"/>
  <c r="J403" i="6"/>
  <c r="I387" i="6"/>
  <c r="P873" i="6"/>
  <c r="P895" i="6"/>
  <c r="I374" i="6"/>
  <c r="O887" i="6"/>
  <c r="O902" i="6"/>
  <c r="B402" i="6"/>
  <c r="D402" i="6"/>
  <c r="F402" i="6"/>
  <c r="H402" i="6"/>
  <c r="C402" i="6"/>
  <c r="E402" i="6"/>
  <c r="G402" i="6"/>
  <c r="B1165" i="5"/>
  <c r="B1166" i="5"/>
  <c r="B1167" i="5"/>
  <c r="B1161" i="5"/>
  <c r="B1159" i="5"/>
  <c r="B1162" i="5"/>
  <c r="B1160" i="5"/>
  <c r="B1158" i="5"/>
  <c r="D1165" i="5"/>
  <c r="D1166" i="5"/>
  <c r="D1167" i="5"/>
  <c r="D1161" i="5"/>
  <c r="D1159" i="5"/>
  <c r="D1162" i="5"/>
  <c r="D1160" i="5"/>
  <c r="D1158" i="5"/>
  <c r="F1165" i="5"/>
  <c r="F1161" i="5"/>
  <c r="F1159" i="5"/>
  <c r="F1162" i="5"/>
  <c r="F1160" i="5"/>
  <c r="F1158" i="5"/>
  <c r="H1165" i="5"/>
  <c r="H1166" i="5"/>
  <c r="H1167" i="5"/>
  <c r="H1161" i="5"/>
  <c r="H1159" i="5"/>
  <c r="H1162" i="5"/>
  <c r="H1160" i="5"/>
  <c r="H1158" i="5"/>
  <c r="C1160" i="5"/>
  <c r="E1160" i="5"/>
  <c r="G1160" i="5"/>
  <c r="C1162" i="5"/>
  <c r="E1162" i="5"/>
  <c r="G1162" i="5"/>
  <c r="F1166" i="5"/>
  <c r="F1167" i="5"/>
  <c r="I1164" i="5"/>
  <c r="AR1650" i="5"/>
  <c r="AR1666" i="5"/>
  <c r="J1145" i="5"/>
  <c r="J1164" i="5"/>
  <c r="I1158" i="5"/>
  <c r="I1159" i="5"/>
  <c r="I1160" i="5"/>
  <c r="I1161" i="5"/>
  <c r="I1162" i="5"/>
  <c r="I1163" i="5"/>
  <c r="J1163" i="5"/>
  <c r="J1165" i="5"/>
  <c r="J1166" i="5"/>
  <c r="D1635" i="4"/>
  <c r="C1635" i="4"/>
  <c r="E1635" i="4"/>
  <c r="G1635" i="4"/>
  <c r="H1635" i="4"/>
  <c r="I1635" i="4"/>
  <c r="D1634" i="4"/>
  <c r="D1633" i="4"/>
  <c r="D1632" i="4"/>
  <c r="D1631" i="4"/>
  <c r="C1631" i="4"/>
  <c r="E1631" i="4"/>
  <c r="G1631" i="4"/>
  <c r="H1631" i="4"/>
  <c r="I1631" i="4"/>
  <c r="H1634" i="4"/>
  <c r="H1633" i="4"/>
  <c r="H1632" i="4"/>
  <c r="C1638" i="4"/>
  <c r="C1634" i="4"/>
  <c r="C1632" i="4"/>
  <c r="C1633" i="4"/>
  <c r="E1633" i="4"/>
  <c r="G1633" i="4"/>
  <c r="I1633" i="4"/>
  <c r="E1638" i="4"/>
  <c r="E1634" i="4"/>
  <c r="E1632" i="4"/>
  <c r="G1638" i="4"/>
  <c r="G1634" i="4"/>
  <c r="G1632" i="4"/>
  <c r="I1637" i="4"/>
  <c r="BI2123" i="4"/>
  <c r="BI2139" i="4"/>
  <c r="B1638" i="4"/>
  <c r="D1638" i="4"/>
  <c r="F1638" i="4"/>
  <c r="H1638" i="4"/>
  <c r="J1618" i="4"/>
  <c r="J1637" i="4"/>
  <c r="I1632" i="4"/>
  <c r="I1634" i="4"/>
  <c r="B1800" i="3"/>
  <c r="B1798" i="3"/>
  <c r="B1801" i="3"/>
  <c r="B1799" i="3"/>
  <c r="B1797" i="3"/>
  <c r="D1800" i="3"/>
  <c r="D1798" i="3"/>
  <c r="D1801" i="3"/>
  <c r="D1799" i="3"/>
  <c r="D1797" i="3"/>
  <c r="F1804" i="3"/>
  <c r="F1805" i="3"/>
  <c r="F1806" i="3"/>
  <c r="F1800" i="3"/>
  <c r="F1798" i="3"/>
  <c r="F1801" i="3"/>
  <c r="F1799" i="3"/>
  <c r="F1797" i="3"/>
  <c r="H1800" i="3"/>
  <c r="H1798" i="3"/>
  <c r="H1801" i="3"/>
  <c r="H1799" i="3"/>
  <c r="H1797" i="3"/>
  <c r="C1799" i="3"/>
  <c r="E1799" i="3"/>
  <c r="G1799" i="3"/>
  <c r="B1804" i="3"/>
  <c r="B1805" i="3"/>
  <c r="B1806" i="3"/>
  <c r="D1804" i="3"/>
  <c r="H1804" i="3"/>
  <c r="H1805" i="3"/>
  <c r="H1806" i="3"/>
  <c r="C1804" i="3"/>
  <c r="C1805" i="3"/>
  <c r="C1806" i="3"/>
  <c r="E1804" i="3"/>
  <c r="E1805" i="3"/>
  <c r="E1806" i="3"/>
  <c r="G1804" i="3"/>
  <c r="D1805" i="3"/>
  <c r="D1806" i="3"/>
  <c r="G1805" i="3"/>
  <c r="I1803" i="3"/>
  <c r="BN2289" i="3"/>
  <c r="BN2304" i="3"/>
  <c r="J1784" i="3"/>
  <c r="B1691" i="2"/>
  <c r="B1692" i="2"/>
  <c r="B1693" i="2"/>
  <c r="B1688" i="2"/>
  <c r="B1686" i="2"/>
  <c r="B1684" i="2"/>
  <c r="B1687" i="2"/>
  <c r="B1685" i="2"/>
  <c r="D1691" i="2"/>
  <c r="D1688" i="2"/>
  <c r="D1686" i="2"/>
  <c r="D1684" i="2"/>
  <c r="D1687" i="2"/>
  <c r="D1685" i="2"/>
  <c r="F1691" i="2"/>
  <c r="F1688" i="2"/>
  <c r="F1686" i="2"/>
  <c r="F1684" i="2"/>
  <c r="F1687" i="2"/>
  <c r="F1685" i="2"/>
  <c r="H1691" i="2"/>
  <c r="H1692" i="2"/>
  <c r="H1693" i="2"/>
  <c r="H1688" i="2"/>
  <c r="H1686" i="2"/>
  <c r="H1684" i="2"/>
  <c r="H1687" i="2"/>
  <c r="H1685" i="2"/>
  <c r="C1684" i="2"/>
  <c r="E1684" i="2"/>
  <c r="G1684" i="2"/>
  <c r="C1686" i="2"/>
  <c r="E1686" i="2"/>
  <c r="G1686" i="2"/>
  <c r="C1688" i="2"/>
  <c r="E1688" i="2"/>
  <c r="G1688" i="2"/>
  <c r="C1692" i="2"/>
  <c r="C1693" i="2"/>
  <c r="E1692" i="2"/>
  <c r="E1693" i="2"/>
  <c r="G1692" i="2"/>
  <c r="G1693" i="2"/>
  <c r="D1692" i="2"/>
  <c r="D1693" i="2"/>
  <c r="F1692" i="2"/>
  <c r="F1693" i="2"/>
  <c r="I1690" i="2"/>
  <c r="BI2193" i="2"/>
  <c r="BI2209" i="2"/>
  <c r="J1671" i="2"/>
  <c r="J1690" i="2"/>
  <c r="I1899" i="1"/>
  <c r="BQ2391" i="1"/>
  <c r="BQ2407" i="1"/>
  <c r="B1893" i="1"/>
  <c r="C1893" i="1"/>
  <c r="D1893" i="1"/>
  <c r="E1893" i="1"/>
  <c r="F1893" i="1"/>
  <c r="G1893" i="1"/>
  <c r="H1893" i="1"/>
  <c r="I1893" i="1"/>
  <c r="C1894" i="1"/>
  <c r="E1894" i="1"/>
  <c r="G1894" i="1"/>
  <c r="I1894" i="1"/>
  <c r="B1895" i="1"/>
  <c r="C1895" i="1"/>
  <c r="D1895" i="1"/>
  <c r="E1895" i="1"/>
  <c r="F1895" i="1"/>
  <c r="G1895" i="1"/>
  <c r="H1895" i="1"/>
  <c r="I1895" i="1"/>
  <c r="C1896" i="1"/>
  <c r="E1896" i="1"/>
  <c r="G1896" i="1"/>
  <c r="I1896" i="1"/>
  <c r="B1897" i="1"/>
  <c r="C1897" i="1"/>
  <c r="E1897" i="1"/>
  <c r="G1897" i="1"/>
  <c r="I1897" i="1"/>
  <c r="BQ2389" i="1"/>
  <c r="BQ2406" i="1"/>
  <c r="B1900" i="1"/>
  <c r="D1900" i="1"/>
  <c r="F1900" i="1"/>
  <c r="H1900" i="1"/>
  <c r="J1880" i="1"/>
  <c r="E373" i="6"/>
  <c r="E375" i="6"/>
  <c r="E376" i="6"/>
  <c r="E377" i="6"/>
  <c r="I1762" i="3"/>
  <c r="I1648" i="2"/>
  <c r="D1866" i="1"/>
  <c r="D1867" i="1"/>
  <c r="I1858" i="1"/>
  <c r="D1870" i="1"/>
  <c r="D1868" i="1"/>
  <c r="D1869" i="1"/>
  <c r="H1870" i="1"/>
  <c r="H1868" i="1"/>
  <c r="H1869" i="1"/>
  <c r="H1867" i="1"/>
  <c r="C1659" i="2"/>
  <c r="C1663" i="2"/>
  <c r="C1657" i="2"/>
  <c r="E1663" i="2"/>
  <c r="E1657" i="2"/>
  <c r="E1659" i="2"/>
  <c r="G1659" i="2"/>
  <c r="G1663" i="2"/>
  <c r="G1657" i="2"/>
  <c r="C1611" i="4"/>
  <c r="C1612" i="4"/>
  <c r="C1613" i="4"/>
  <c r="C1608" i="4"/>
  <c r="C1607" i="4"/>
  <c r="C1606" i="4"/>
  <c r="C1605" i="4"/>
  <c r="C1604" i="4"/>
  <c r="G1611" i="4"/>
  <c r="G1612" i="4"/>
  <c r="G1613" i="4"/>
  <c r="G1608" i="4"/>
  <c r="G1607" i="4"/>
  <c r="G1606" i="4"/>
  <c r="G1605" i="4"/>
  <c r="G1604" i="4"/>
  <c r="B1135" i="5"/>
  <c r="B1134" i="5"/>
  <c r="B1132" i="5"/>
  <c r="B1131" i="5"/>
  <c r="F1135" i="5"/>
  <c r="F1134" i="5"/>
  <c r="F1132" i="5"/>
  <c r="F1131" i="5"/>
  <c r="C375" i="6"/>
  <c r="C371" i="6"/>
  <c r="C369" i="6"/>
  <c r="G371" i="6"/>
  <c r="G369" i="6"/>
  <c r="G375" i="6"/>
  <c r="G1869" i="1"/>
  <c r="G1867" i="1"/>
  <c r="G1870" i="1"/>
  <c r="G1868" i="1"/>
  <c r="C1774" i="3"/>
  <c r="C1771" i="3"/>
  <c r="C1773" i="3"/>
  <c r="E1773" i="3"/>
  <c r="E1774" i="3"/>
  <c r="E1771" i="3"/>
  <c r="G1774" i="3"/>
  <c r="G1771" i="3"/>
  <c r="G1773" i="3"/>
  <c r="B1611" i="4"/>
  <c r="B1608" i="4"/>
  <c r="B1607" i="4"/>
  <c r="B1606" i="4"/>
  <c r="B1605" i="4"/>
  <c r="B1604" i="4"/>
  <c r="D1611" i="4"/>
  <c r="D1612" i="4"/>
  <c r="D1613" i="4"/>
  <c r="D1608" i="4"/>
  <c r="D1607" i="4"/>
  <c r="D1606" i="4"/>
  <c r="D1605" i="4"/>
  <c r="D1604" i="4"/>
  <c r="F1611" i="4"/>
  <c r="F1608" i="4"/>
  <c r="F1607" i="4"/>
  <c r="F1606" i="4"/>
  <c r="F1605" i="4"/>
  <c r="F1604" i="4"/>
  <c r="I1596" i="4"/>
  <c r="BH2109" i="4"/>
  <c r="BH2132" i="4"/>
  <c r="I1123" i="5"/>
  <c r="J358" i="6"/>
  <c r="J359" i="6"/>
  <c r="E369" i="6"/>
  <c r="J355" i="6"/>
  <c r="J374" i="6"/>
  <c r="I360" i="6"/>
  <c r="O873" i="6"/>
  <c r="O895" i="6"/>
  <c r="E371" i="6"/>
  <c r="B372" i="6"/>
  <c r="B370" i="6"/>
  <c r="B368" i="6"/>
  <c r="B375" i="6"/>
  <c r="B371" i="6"/>
  <c r="B369" i="6"/>
  <c r="F372" i="6"/>
  <c r="F370" i="6"/>
  <c r="F368" i="6"/>
  <c r="F375" i="6"/>
  <c r="F371" i="6"/>
  <c r="F369" i="6"/>
  <c r="H372" i="6"/>
  <c r="H370" i="6"/>
  <c r="H368" i="6"/>
  <c r="H375" i="6"/>
  <c r="H371" i="6"/>
  <c r="H369" i="6"/>
  <c r="C376" i="6"/>
  <c r="C377" i="6"/>
  <c r="C368" i="6"/>
  <c r="E368" i="6"/>
  <c r="G368" i="6"/>
  <c r="C370" i="6"/>
  <c r="E370" i="6"/>
  <c r="G370" i="6"/>
  <c r="C372" i="6"/>
  <c r="E372" i="6"/>
  <c r="G372" i="6"/>
  <c r="D1135" i="5"/>
  <c r="D1134" i="5"/>
  <c r="D1132" i="5"/>
  <c r="D1131" i="5"/>
  <c r="C1138" i="5"/>
  <c r="C1134" i="5"/>
  <c r="C1132" i="5"/>
  <c r="C1135" i="5"/>
  <c r="C1133" i="5"/>
  <c r="C1131" i="5"/>
  <c r="E1138" i="5"/>
  <c r="E1134" i="5"/>
  <c r="E1132" i="5"/>
  <c r="E1135" i="5"/>
  <c r="E1133" i="5"/>
  <c r="E1131" i="5"/>
  <c r="B1138" i="5"/>
  <c r="D1138" i="5"/>
  <c r="F1138" i="5"/>
  <c r="J1118" i="5"/>
  <c r="J1137" i="5"/>
  <c r="B1133" i="5"/>
  <c r="D1133" i="5"/>
  <c r="F1133" i="5"/>
  <c r="H1611" i="4"/>
  <c r="H1612" i="4"/>
  <c r="H1608" i="4"/>
  <c r="H1606" i="4"/>
  <c r="H1604" i="4"/>
  <c r="H1607" i="4"/>
  <c r="H1605" i="4"/>
  <c r="B1612" i="4"/>
  <c r="B1613" i="4"/>
  <c r="F1612" i="4"/>
  <c r="F1613" i="4"/>
  <c r="J1591" i="4"/>
  <c r="J1610" i="4"/>
  <c r="F1777" i="3"/>
  <c r="F1773" i="3"/>
  <c r="F1771" i="3"/>
  <c r="F1774" i="3"/>
  <c r="F1772" i="3"/>
  <c r="F1770" i="3"/>
  <c r="C1770" i="3"/>
  <c r="E1770" i="3"/>
  <c r="G1770" i="3"/>
  <c r="C1772" i="3"/>
  <c r="E1772" i="3"/>
  <c r="G1772" i="3"/>
  <c r="C1777" i="3"/>
  <c r="C1778" i="3"/>
  <c r="C1779" i="3"/>
  <c r="E1777" i="3"/>
  <c r="E1778" i="3"/>
  <c r="E1779" i="3"/>
  <c r="G1777" i="3"/>
  <c r="G1778" i="3"/>
  <c r="G1779" i="3"/>
  <c r="F1778" i="3"/>
  <c r="F1779" i="3"/>
  <c r="J1757" i="3"/>
  <c r="B1663" i="2"/>
  <c r="B1660" i="2"/>
  <c r="B1658" i="2"/>
  <c r="B1656" i="2"/>
  <c r="B1659" i="2"/>
  <c r="B1657" i="2"/>
  <c r="D1663" i="2"/>
  <c r="D1664" i="2"/>
  <c r="D1665" i="2"/>
  <c r="D1660" i="2"/>
  <c r="D1658" i="2"/>
  <c r="D1656" i="2"/>
  <c r="D1659" i="2"/>
  <c r="D1657" i="2"/>
  <c r="F1663" i="2"/>
  <c r="F1660" i="2"/>
  <c r="F1658" i="2"/>
  <c r="F1656" i="2"/>
  <c r="F1659" i="2"/>
  <c r="F1657" i="2"/>
  <c r="H1663" i="2"/>
  <c r="H1664" i="2"/>
  <c r="H1665" i="2"/>
  <c r="H1660" i="2"/>
  <c r="H1658" i="2"/>
  <c r="H1656" i="2"/>
  <c r="H1659" i="2"/>
  <c r="H1657" i="2"/>
  <c r="C1656" i="2"/>
  <c r="E1656" i="2"/>
  <c r="G1656" i="2"/>
  <c r="C1658" i="2"/>
  <c r="E1658" i="2"/>
  <c r="G1658" i="2"/>
  <c r="C1660" i="2"/>
  <c r="E1660" i="2"/>
  <c r="G1660" i="2"/>
  <c r="C1664" i="2"/>
  <c r="C1665" i="2"/>
  <c r="E1664" i="2"/>
  <c r="E1665" i="2"/>
  <c r="G1664" i="2"/>
  <c r="G1665" i="2"/>
  <c r="B1664" i="2"/>
  <c r="B1665" i="2"/>
  <c r="F1664" i="2"/>
  <c r="F1665" i="2"/>
  <c r="J1643" i="2"/>
  <c r="J1662" i="2"/>
  <c r="D1873" i="1"/>
  <c r="H1873" i="1"/>
  <c r="H1874" i="1"/>
  <c r="H1875" i="1"/>
  <c r="G1873" i="1"/>
  <c r="G1874" i="1"/>
  <c r="G1875" i="1"/>
  <c r="D1874" i="1"/>
  <c r="J1853" i="1"/>
  <c r="E1614" i="2"/>
  <c r="D1614" i="2"/>
  <c r="C1614" i="2"/>
  <c r="B1614" i="2"/>
  <c r="H1825" i="1"/>
  <c r="G1825" i="1"/>
  <c r="F1825" i="1"/>
  <c r="E1825" i="1"/>
  <c r="D1825" i="1"/>
  <c r="C1825" i="1"/>
  <c r="B1825" i="1"/>
  <c r="I1956" i="1"/>
  <c r="BS2394" i="1"/>
  <c r="I1711" i="4"/>
  <c r="BL2116" i="4"/>
  <c r="I1710" i="4"/>
  <c r="BL2115" i="4"/>
  <c r="J1721" i="4"/>
  <c r="J1777" i="2"/>
  <c r="I1767" i="2"/>
  <c r="BL2186" i="2"/>
  <c r="I1766" i="2"/>
  <c r="BL2185" i="2"/>
  <c r="I1663" i="4"/>
  <c r="I1652" i="4"/>
  <c r="BJ2111" i="4"/>
  <c r="J1955" i="1"/>
  <c r="I1946" i="1"/>
  <c r="BS2384" i="1"/>
  <c r="J1659" i="4"/>
  <c r="J1676" i="2"/>
  <c r="BI2179" i="2"/>
  <c r="BI2202" i="2"/>
  <c r="J1623" i="4"/>
  <c r="BI2109" i="4"/>
  <c r="BI2132" i="4"/>
  <c r="J1658" i="4"/>
  <c r="J1885" i="1"/>
  <c r="BQ2372" i="1"/>
  <c r="BQ2400" i="1"/>
  <c r="J1789" i="3"/>
  <c r="BN2275" i="3"/>
  <c r="BN2297" i="3"/>
  <c r="J1150" i="5"/>
  <c r="AR1636" i="5"/>
  <c r="AR1659" i="5"/>
  <c r="J1662" i="4"/>
  <c r="J1660" i="4"/>
  <c r="I1928" i="1"/>
  <c r="BR2393" i="1"/>
  <c r="J1927" i="1"/>
  <c r="AR1647" i="5"/>
  <c r="AR1664" i="5"/>
  <c r="J1123" i="5"/>
  <c r="AQ1636" i="5"/>
  <c r="AQ1659" i="5"/>
  <c r="J1648" i="2"/>
  <c r="BH2179" i="2"/>
  <c r="BH2202" i="2"/>
  <c r="J1590" i="4"/>
  <c r="BH2103" i="4"/>
  <c r="BH2131" i="4"/>
  <c r="J1858" i="1"/>
  <c r="BP2372" i="1"/>
  <c r="BP2400" i="1"/>
  <c r="J1762" i="3"/>
  <c r="BM2275" i="3"/>
  <c r="BM2297" i="3"/>
  <c r="J387" i="6"/>
  <c r="J381" i="6"/>
  <c r="G403" i="6"/>
  <c r="G404" i="6"/>
  <c r="C403" i="6"/>
  <c r="C404" i="6"/>
  <c r="H403" i="6"/>
  <c r="H404" i="6"/>
  <c r="F403" i="6"/>
  <c r="F404" i="6"/>
  <c r="D403" i="6"/>
  <c r="D404" i="6"/>
  <c r="B403" i="6"/>
  <c r="B404" i="6"/>
  <c r="P883" i="6"/>
  <c r="P899" i="6"/>
  <c r="P882" i="6"/>
  <c r="P898" i="6"/>
  <c r="E403" i="6"/>
  <c r="E404" i="6"/>
  <c r="P881" i="6"/>
  <c r="P897" i="6"/>
  <c r="P884" i="6"/>
  <c r="P900" i="6"/>
  <c r="P885" i="6"/>
  <c r="P901" i="6"/>
  <c r="P903" i="6"/>
  <c r="AR1646" i="5"/>
  <c r="AR1663" i="5"/>
  <c r="AR1645" i="5"/>
  <c r="AR1662" i="5"/>
  <c r="AR1644" i="5"/>
  <c r="AR1661" i="5"/>
  <c r="AR1648" i="5"/>
  <c r="AR1665" i="5"/>
  <c r="AR1667" i="5"/>
  <c r="F1156" i="5"/>
  <c r="F1157" i="5"/>
  <c r="BI2120" i="4"/>
  <c r="BI2137" i="4"/>
  <c r="BI2118" i="4"/>
  <c r="BI2135" i="4"/>
  <c r="F1639" i="4"/>
  <c r="F1640" i="4"/>
  <c r="B1639" i="4"/>
  <c r="B1640" i="4"/>
  <c r="H1639" i="4"/>
  <c r="H1640" i="4"/>
  <c r="D1639" i="4"/>
  <c r="D1640" i="4"/>
  <c r="G1639" i="4"/>
  <c r="G1640" i="4"/>
  <c r="E1639" i="4"/>
  <c r="E1640" i="4"/>
  <c r="C1639" i="4"/>
  <c r="C1640" i="4"/>
  <c r="J1634" i="4"/>
  <c r="G1806" i="3"/>
  <c r="G1796" i="3"/>
  <c r="I1800" i="3"/>
  <c r="BN2286" i="3"/>
  <c r="BN2302" i="3"/>
  <c r="J1803" i="3"/>
  <c r="I1797" i="3"/>
  <c r="BN2283" i="3"/>
  <c r="BN2299" i="3"/>
  <c r="I1801" i="3"/>
  <c r="BN2287" i="3"/>
  <c r="BN2303" i="3"/>
  <c r="I1799" i="3"/>
  <c r="BN2285" i="3"/>
  <c r="BN2301" i="3"/>
  <c r="I1798" i="3"/>
  <c r="BN2284" i="3"/>
  <c r="BN2300" i="3"/>
  <c r="I1687" i="2"/>
  <c r="BI2190" i="2"/>
  <c r="BI2207" i="2"/>
  <c r="I1686" i="2"/>
  <c r="BI2189" i="2"/>
  <c r="BI2206" i="2"/>
  <c r="I1685" i="2"/>
  <c r="BI2188" i="2"/>
  <c r="BI2205" i="2"/>
  <c r="I1684" i="2"/>
  <c r="BI2187" i="2"/>
  <c r="BI2204" i="2"/>
  <c r="I1688" i="2"/>
  <c r="BI2191" i="2"/>
  <c r="BI2208" i="2"/>
  <c r="J1899" i="1"/>
  <c r="I1898" i="1"/>
  <c r="BQ2390" i="1"/>
  <c r="H1901" i="1"/>
  <c r="H1902" i="1"/>
  <c r="D1901" i="1"/>
  <c r="D1902" i="1"/>
  <c r="E1900" i="1"/>
  <c r="F1901" i="1"/>
  <c r="F1902" i="1"/>
  <c r="B1901" i="1"/>
  <c r="B1902" i="1"/>
  <c r="G1900" i="1"/>
  <c r="C1900" i="1"/>
  <c r="J1596" i="4"/>
  <c r="J360" i="6"/>
  <c r="H376" i="6"/>
  <c r="H377" i="6"/>
  <c r="F376" i="6"/>
  <c r="F377" i="6"/>
  <c r="B376" i="6"/>
  <c r="B377" i="6"/>
  <c r="F1139" i="5"/>
  <c r="F1140" i="5"/>
  <c r="B1139" i="5"/>
  <c r="B1140" i="5"/>
  <c r="D1139" i="5"/>
  <c r="D1140" i="5"/>
  <c r="E1139" i="5"/>
  <c r="E1140" i="5"/>
  <c r="C1139" i="5"/>
  <c r="C1140" i="5"/>
  <c r="F1602" i="4"/>
  <c r="F1603" i="4"/>
  <c r="B1602" i="4"/>
  <c r="B1603" i="4"/>
  <c r="H1773" i="3"/>
  <c r="H1771" i="3"/>
  <c r="H1774" i="3"/>
  <c r="H1772" i="3"/>
  <c r="H1770" i="3"/>
  <c r="B1773" i="3"/>
  <c r="B1771" i="3"/>
  <c r="B1774" i="3"/>
  <c r="B1772" i="3"/>
  <c r="B1770" i="3"/>
  <c r="H1777" i="3"/>
  <c r="H1778" i="3"/>
  <c r="H1779" i="3"/>
  <c r="B1777" i="3"/>
  <c r="B1778" i="3"/>
  <c r="B1779" i="3"/>
  <c r="D1773" i="3"/>
  <c r="D1771" i="3"/>
  <c r="D1774" i="3"/>
  <c r="D1772" i="3"/>
  <c r="D1770" i="3"/>
  <c r="D1777" i="3"/>
  <c r="D1778" i="3"/>
  <c r="D1779" i="3"/>
  <c r="I1659" i="2"/>
  <c r="BH2190" i="2"/>
  <c r="BH2207" i="2"/>
  <c r="I1658" i="2"/>
  <c r="BH2189" i="2"/>
  <c r="BH2206" i="2"/>
  <c r="I1657" i="2"/>
  <c r="BH2188" i="2"/>
  <c r="BH2205" i="2"/>
  <c r="I1656" i="2"/>
  <c r="BH2187" i="2"/>
  <c r="BH2204" i="2"/>
  <c r="I1660" i="2"/>
  <c r="BH2191" i="2"/>
  <c r="BH2208" i="2"/>
  <c r="D1875" i="1"/>
  <c r="D1864" i="1"/>
  <c r="D1865" i="1"/>
  <c r="M893" i="6"/>
  <c r="M896" i="6"/>
  <c r="H347" i="6"/>
  <c r="H346" i="6"/>
  <c r="G347" i="6"/>
  <c r="G346" i="6"/>
  <c r="F347" i="6"/>
  <c r="F346" i="6"/>
  <c r="E347" i="6"/>
  <c r="E346" i="6"/>
  <c r="D347" i="6"/>
  <c r="D346" i="6"/>
  <c r="C347" i="6"/>
  <c r="C346" i="6"/>
  <c r="B347" i="6"/>
  <c r="B346" i="6"/>
  <c r="H333" i="6"/>
  <c r="G333" i="6"/>
  <c r="F333" i="6"/>
  <c r="E333" i="6"/>
  <c r="D333" i="6"/>
  <c r="C333" i="6"/>
  <c r="B333" i="6"/>
  <c r="I332" i="6"/>
  <c r="I331" i="6"/>
  <c r="I330" i="6"/>
  <c r="I329" i="6"/>
  <c r="I328" i="6"/>
  <c r="N868" i="6"/>
  <c r="I327" i="6"/>
  <c r="AO1657" i="5"/>
  <c r="AO1660" i="5"/>
  <c r="H1110" i="5"/>
  <c r="H1109" i="5"/>
  <c r="G1110" i="5"/>
  <c r="G1109" i="5"/>
  <c r="F1110" i="5"/>
  <c r="F1109" i="5"/>
  <c r="E1110" i="5"/>
  <c r="E1109" i="5"/>
  <c r="D1110" i="5"/>
  <c r="D1109" i="5"/>
  <c r="C1110" i="5"/>
  <c r="C1109" i="5"/>
  <c r="B1110" i="5"/>
  <c r="B1109" i="5"/>
  <c r="H1096" i="5"/>
  <c r="G1096" i="5"/>
  <c r="F1096" i="5"/>
  <c r="E1096" i="5"/>
  <c r="D1096" i="5"/>
  <c r="C1096" i="5"/>
  <c r="B1096" i="5"/>
  <c r="I1095" i="5"/>
  <c r="I1094" i="5"/>
  <c r="I1093" i="5"/>
  <c r="I1092" i="5"/>
  <c r="I1091" i="5"/>
  <c r="AP1631" i="5"/>
  <c r="I1090" i="5"/>
  <c r="BF2130" i="4"/>
  <c r="BF2133" i="4"/>
  <c r="H1583" i="4"/>
  <c r="H1582" i="4"/>
  <c r="G1583" i="4"/>
  <c r="G1582" i="4"/>
  <c r="F1583" i="4"/>
  <c r="F1582" i="4"/>
  <c r="E1583" i="4"/>
  <c r="E1582" i="4"/>
  <c r="D1583" i="4"/>
  <c r="D1582" i="4"/>
  <c r="C1583" i="4"/>
  <c r="C1582" i="4"/>
  <c r="B1583" i="4"/>
  <c r="B1582" i="4"/>
  <c r="H1569" i="4"/>
  <c r="G1569" i="4"/>
  <c r="F1569" i="4"/>
  <c r="E1569" i="4"/>
  <c r="D1569" i="4"/>
  <c r="C1569" i="4"/>
  <c r="B1569" i="4"/>
  <c r="I1568" i="4"/>
  <c r="I1567" i="4"/>
  <c r="I1566" i="4"/>
  <c r="I1565" i="4"/>
  <c r="I1564" i="4"/>
  <c r="BG2104" i="4"/>
  <c r="I1563" i="4"/>
  <c r="BK2295" i="3"/>
  <c r="BK2298" i="3"/>
  <c r="H1749" i="3"/>
  <c r="H1748" i="3"/>
  <c r="G1749" i="3"/>
  <c r="G1748" i="3"/>
  <c r="F1749" i="3"/>
  <c r="F1748" i="3"/>
  <c r="E1749" i="3"/>
  <c r="E1748" i="3"/>
  <c r="D1749" i="3"/>
  <c r="D1748" i="3"/>
  <c r="C1749" i="3"/>
  <c r="C1748" i="3"/>
  <c r="B1749" i="3"/>
  <c r="B1748" i="3"/>
  <c r="H1735" i="3"/>
  <c r="G1735" i="3"/>
  <c r="F1735" i="3"/>
  <c r="E1735" i="3"/>
  <c r="D1735" i="3"/>
  <c r="C1735" i="3"/>
  <c r="B1735" i="3"/>
  <c r="I1734" i="3"/>
  <c r="I1733" i="3"/>
  <c r="I1732" i="3"/>
  <c r="I1731" i="3"/>
  <c r="I1730" i="3"/>
  <c r="BF2200" i="2"/>
  <c r="BF2203" i="2"/>
  <c r="H1634" i="2"/>
  <c r="H1633" i="2"/>
  <c r="G1634" i="2"/>
  <c r="G1633" i="2"/>
  <c r="F1634" i="2"/>
  <c r="F1633" i="2"/>
  <c r="E1634" i="2"/>
  <c r="E1633" i="2"/>
  <c r="D1634" i="2"/>
  <c r="D1633" i="2"/>
  <c r="C1634" i="2"/>
  <c r="C1633" i="2"/>
  <c r="B1634" i="2"/>
  <c r="B1633" i="2"/>
  <c r="H1620" i="2"/>
  <c r="G1620" i="2"/>
  <c r="F1620" i="2"/>
  <c r="E1620" i="2"/>
  <c r="D1620" i="2"/>
  <c r="C1620" i="2"/>
  <c r="B1620" i="2"/>
  <c r="I1619" i="2"/>
  <c r="I1618" i="2"/>
  <c r="I1617" i="2"/>
  <c r="I1616" i="2"/>
  <c r="I1615" i="2"/>
  <c r="BG2174" i="2"/>
  <c r="I1614" i="2"/>
  <c r="BN2398" i="1"/>
  <c r="BN2401" i="1"/>
  <c r="H1845" i="1"/>
  <c r="H1844" i="1"/>
  <c r="G1845" i="1"/>
  <c r="G1844" i="1"/>
  <c r="F1845" i="1"/>
  <c r="F1844" i="1"/>
  <c r="E1845" i="1"/>
  <c r="E1844" i="1"/>
  <c r="D1845" i="1"/>
  <c r="D1844" i="1"/>
  <c r="C1845" i="1"/>
  <c r="C1844" i="1"/>
  <c r="B1845" i="1"/>
  <c r="B1844" i="1"/>
  <c r="H1831" i="1"/>
  <c r="G1831" i="1"/>
  <c r="F1831" i="1"/>
  <c r="E1831" i="1"/>
  <c r="D1831" i="1"/>
  <c r="C1831" i="1"/>
  <c r="B1831" i="1"/>
  <c r="I1830" i="1"/>
  <c r="J1830" i="1"/>
  <c r="I1829" i="1"/>
  <c r="I1828" i="1"/>
  <c r="J1828" i="1"/>
  <c r="I1827" i="1"/>
  <c r="I1826" i="1"/>
  <c r="BO2367" i="1"/>
  <c r="H300" i="6"/>
  <c r="G300" i="6"/>
  <c r="F300" i="6"/>
  <c r="E300" i="6"/>
  <c r="D300" i="6"/>
  <c r="C300" i="6"/>
  <c r="B300" i="6"/>
  <c r="H1063" i="5"/>
  <c r="G1063" i="5"/>
  <c r="F1063" i="5"/>
  <c r="E1063" i="5"/>
  <c r="D1063" i="5"/>
  <c r="C1063" i="5"/>
  <c r="B1063" i="5"/>
  <c r="H1536" i="4"/>
  <c r="G1536" i="4"/>
  <c r="F1536" i="4"/>
  <c r="E1536" i="4"/>
  <c r="D1536" i="4"/>
  <c r="C1536" i="4"/>
  <c r="B1536" i="4"/>
  <c r="H1702" i="3"/>
  <c r="G1702" i="3"/>
  <c r="F1702" i="3"/>
  <c r="E1702" i="3"/>
  <c r="D1702" i="3"/>
  <c r="C1702" i="3"/>
  <c r="B1702" i="3"/>
  <c r="H1586" i="2"/>
  <c r="G1586" i="2"/>
  <c r="F1586" i="2"/>
  <c r="E1586" i="2"/>
  <c r="D1586" i="2"/>
  <c r="C1586" i="2"/>
  <c r="B1586" i="2"/>
  <c r="E1798" i="1"/>
  <c r="H1798" i="1"/>
  <c r="G1798" i="1"/>
  <c r="F1798" i="1"/>
  <c r="D1798" i="1"/>
  <c r="C1798" i="1"/>
  <c r="B1798" i="1"/>
  <c r="G1795" i="3"/>
  <c r="I1655" i="4"/>
  <c r="BJ2114" i="4"/>
  <c r="I1945" i="1"/>
  <c r="BS2383" i="1"/>
  <c r="I1651" i="4"/>
  <c r="BJ2110" i="4"/>
  <c r="J1956" i="1"/>
  <c r="J1946" i="1"/>
  <c r="J1711" i="4"/>
  <c r="J1710" i="4"/>
  <c r="I1653" i="4"/>
  <c r="BJ2112" i="4"/>
  <c r="J1766" i="2"/>
  <c r="J1767" i="2"/>
  <c r="J1663" i="4"/>
  <c r="BJ2122" i="4"/>
  <c r="J1653" i="4"/>
  <c r="I1665" i="4"/>
  <c r="BJ2124" i="4"/>
  <c r="I1654" i="4"/>
  <c r="BJ2113" i="4"/>
  <c r="J1928" i="1"/>
  <c r="I1929" i="1"/>
  <c r="BR2394" i="1"/>
  <c r="J1161" i="5"/>
  <c r="J1898" i="1"/>
  <c r="J1800" i="3"/>
  <c r="J398" i="6"/>
  <c r="I388" i="6"/>
  <c r="P874" i="6"/>
  <c r="J395" i="6"/>
  <c r="J397" i="6"/>
  <c r="I390" i="6"/>
  <c r="P876" i="6"/>
  <c r="J399" i="6"/>
  <c r="J396" i="6"/>
  <c r="I389" i="6"/>
  <c r="P875" i="6"/>
  <c r="J1162" i="5"/>
  <c r="J1159" i="5"/>
  <c r="J1158" i="5"/>
  <c r="J1160" i="5"/>
  <c r="D1629" i="4"/>
  <c r="D1630" i="4"/>
  <c r="H1629" i="4"/>
  <c r="H1630" i="4"/>
  <c r="C1630" i="4"/>
  <c r="C1629" i="4"/>
  <c r="E1630" i="4"/>
  <c r="E1629" i="4"/>
  <c r="G1630" i="4"/>
  <c r="G1629" i="4"/>
  <c r="B1629" i="4"/>
  <c r="B1630" i="4"/>
  <c r="F1629" i="4"/>
  <c r="F1630" i="4"/>
  <c r="J1798" i="3"/>
  <c r="J1801" i="3"/>
  <c r="J1799" i="3"/>
  <c r="J1797" i="3"/>
  <c r="I1802" i="3"/>
  <c r="J1688" i="2"/>
  <c r="J1685" i="2"/>
  <c r="J1687" i="2"/>
  <c r="J1684" i="2"/>
  <c r="I1689" i="2"/>
  <c r="J1686" i="2"/>
  <c r="I1900" i="1"/>
  <c r="BQ2392" i="1"/>
  <c r="F1891" i="1"/>
  <c r="F1892" i="1"/>
  <c r="B1891" i="1"/>
  <c r="B1892" i="1"/>
  <c r="C1901" i="1"/>
  <c r="C1902" i="1"/>
  <c r="E1901" i="1"/>
  <c r="E1902" i="1"/>
  <c r="G1901" i="1"/>
  <c r="G1902" i="1"/>
  <c r="BO2369" i="1"/>
  <c r="BO2371" i="1"/>
  <c r="J1614" i="2"/>
  <c r="BG2173" i="2"/>
  <c r="BG2201" i="2"/>
  <c r="J1616" i="2"/>
  <c r="BG2175" i="2"/>
  <c r="J1618" i="2"/>
  <c r="BG2177" i="2"/>
  <c r="J1731" i="3"/>
  <c r="BL2271" i="3"/>
  <c r="J1733" i="3"/>
  <c r="BL2273" i="3"/>
  <c r="J1566" i="4"/>
  <c r="BG2106" i="4"/>
  <c r="J1568" i="4"/>
  <c r="BG2108" i="4"/>
  <c r="J1090" i="5"/>
  <c r="AP1630" i="5"/>
  <c r="AP1658" i="5"/>
  <c r="J1092" i="5"/>
  <c r="AP1632" i="5"/>
  <c r="J1094" i="5"/>
  <c r="AP1634" i="5"/>
  <c r="J330" i="6"/>
  <c r="N870" i="6"/>
  <c r="J332" i="6"/>
  <c r="N872" i="6"/>
  <c r="I1770" i="3"/>
  <c r="BM2283" i="3"/>
  <c r="BM2299" i="3"/>
  <c r="I1774" i="3"/>
  <c r="BM2287" i="3"/>
  <c r="BM2303" i="3"/>
  <c r="I1773" i="3"/>
  <c r="BM2286" i="3"/>
  <c r="BM2302" i="3"/>
  <c r="J1827" i="1"/>
  <c r="BO2368" i="1"/>
  <c r="J1829" i="1"/>
  <c r="BO2370" i="1"/>
  <c r="J1617" i="2"/>
  <c r="BG2176" i="2"/>
  <c r="J1619" i="2"/>
  <c r="BG2178" i="2"/>
  <c r="I1749" i="3"/>
  <c r="BL2270" i="3"/>
  <c r="J1732" i="3"/>
  <c r="BL2272" i="3"/>
  <c r="J1734" i="3"/>
  <c r="BL2274" i="3"/>
  <c r="J1563" i="4"/>
  <c r="BG2103" i="4"/>
  <c r="BG2131" i="4"/>
  <c r="J1565" i="4"/>
  <c r="BG2105" i="4"/>
  <c r="J1567" i="4"/>
  <c r="BG2107" i="4"/>
  <c r="J1093" i="5"/>
  <c r="AP1633" i="5"/>
  <c r="J1095" i="5"/>
  <c r="AP1635" i="5"/>
  <c r="J327" i="6"/>
  <c r="N867" i="6"/>
  <c r="N894" i="6"/>
  <c r="J329" i="6"/>
  <c r="N869" i="6"/>
  <c r="J331" i="6"/>
  <c r="N871" i="6"/>
  <c r="B366" i="6"/>
  <c r="B367" i="6"/>
  <c r="F366" i="6"/>
  <c r="F367" i="6"/>
  <c r="H366" i="6"/>
  <c r="H367" i="6"/>
  <c r="B1129" i="5"/>
  <c r="B1130" i="5"/>
  <c r="F1129" i="5"/>
  <c r="F1130" i="5"/>
  <c r="I1772" i="3"/>
  <c r="BM2285" i="3"/>
  <c r="BM2301" i="3"/>
  <c r="I1771" i="3"/>
  <c r="BM2284" i="3"/>
  <c r="BM2300" i="3"/>
  <c r="J1770" i="3"/>
  <c r="J1774" i="3"/>
  <c r="J1773" i="3"/>
  <c r="J1660" i="2"/>
  <c r="J1657" i="2"/>
  <c r="J1659" i="2"/>
  <c r="J1656" i="2"/>
  <c r="I1661" i="2"/>
  <c r="J1658" i="2"/>
  <c r="I1096" i="5"/>
  <c r="I1620" i="2"/>
  <c r="C1843" i="1"/>
  <c r="C1841" i="1"/>
  <c r="C1839" i="1"/>
  <c r="C1842" i="1"/>
  <c r="C1840" i="1"/>
  <c r="E1843" i="1"/>
  <c r="E1841" i="1"/>
  <c r="E1839" i="1"/>
  <c r="E1842" i="1"/>
  <c r="E1840" i="1"/>
  <c r="G1843" i="1"/>
  <c r="G1841" i="1"/>
  <c r="G1839" i="1"/>
  <c r="G1842" i="1"/>
  <c r="G1840" i="1"/>
  <c r="B1632" i="2"/>
  <c r="B1630" i="2"/>
  <c r="B1628" i="2"/>
  <c r="B1635" i="2"/>
  <c r="B1631" i="2"/>
  <c r="B1629" i="2"/>
  <c r="D1632" i="2"/>
  <c r="D1630" i="2"/>
  <c r="D1628" i="2"/>
  <c r="D1635" i="2"/>
  <c r="D1631" i="2"/>
  <c r="D1629" i="2"/>
  <c r="F1632" i="2"/>
  <c r="F1630" i="2"/>
  <c r="F1628" i="2"/>
  <c r="F1635" i="2"/>
  <c r="F1631" i="2"/>
  <c r="F1629" i="2"/>
  <c r="H1632" i="2"/>
  <c r="H1630" i="2"/>
  <c r="H1628" i="2"/>
  <c r="H1635" i="2"/>
  <c r="H1631" i="2"/>
  <c r="H1629" i="2"/>
  <c r="B1108" i="5"/>
  <c r="B1107" i="5"/>
  <c r="B1105" i="5"/>
  <c r="F1108" i="5"/>
  <c r="F1107" i="5"/>
  <c r="F1105" i="5"/>
  <c r="I1844" i="1"/>
  <c r="B1842" i="1"/>
  <c r="B1840" i="1"/>
  <c r="B1843" i="1"/>
  <c r="B1841" i="1"/>
  <c r="B1839" i="1"/>
  <c r="D1842" i="1"/>
  <c r="D1840" i="1"/>
  <c r="D1843" i="1"/>
  <c r="D1841" i="1"/>
  <c r="D1839" i="1"/>
  <c r="F1842" i="1"/>
  <c r="F1840" i="1"/>
  <c r="F1846" i="1"/>
  <c r="F1843" i="1"/>
  <c r="F1841" i="1"/>
  <c r="F1839" i="1"/>
  <c r="H1842" i="1"/>
  <c r="H1840" i="1"/>
  <c r="H1843" i="1"/>
  <c r="H1841" i="1"/>
  <c r="H1839" i="1"/>
  <c r="C1635" i="2"/>
  <c r="C1631" i="2"/>
  <c r="C1629" i="2"/>
  <c r="C1632" i="2"/>
  <c r="C1630" i="2"/>
  <c r="C1628" i="2"/>
  <c r="E1635" i="2"/>
  <c r="E1631" i="2"/>
  <c r="E1629" i="2"/>
  <c r="E1632" i="2"/>
  <c r="E1630" i="2"/>
  <c r="E1628" i="2"/>
  <c r="G1635" i="2"/>
  <c r="G1631" i="2"/>
  <c r="G1629" i="2"/>
  <c r="G1632" i="2"/>
  <c r="G1630" i="2"/>
  <c r="G1628" i="2"/>
  <c r="C1747" i="3"/>
  <c r="C1746" i="3"/>
  <c r="C1744" i="3"/>
  <c r="E1744" i="3"/>
  <c r="E1747" i="3"/>
  <c r="G1747" i="3"/>
  <c r="G1746" i="3"/>
  <c r="G1744" i="3"/>
  <c r="B1581" i="4"/>
  <c r="B1580" i="4"/>
  <c r="B1578" i="4"/>
  <c r="F1581" i="4"/>
  <c r="F1580" i="4"/>
  <c r="F1578" i="4"/>
  <c r="B348" i="6"/>
  <c r="B344" i="6"/>
  <c r="B343" i="6"/>
  <c r="B342" i="6"/>
  <c r="C342" i="6"/>
  <c r="D342" i="6"/>
  <c r="E342" i="6"/>
  <c r="F342" i="6"/>
  <c r="G342" i="6"/>
  <c r="H342" i="6"/>
  <c r="I342" i="6"/>
  <c r="B341" i="6"/>
  <c r="F348" i="6"/>
  <c r="F349" i="6"/>
  <c r="F350" i="6"/>
  <c r="F344" i="6"/>
  <c r="F343" i="6"/>
  <c r="F341" i="6"/>
  <c r="I1569" i="4"/>
  <c r="D348" i="6"/>
  <c r="D349" i="6"/>
  <c r="D350" i="6"/>
  <c r="D344" i="6"/>
  <c r="D343" i="6"/>
  <c r="D341" i="6"/>
  <c r="H348" i="6"/>
  <c r="H344" i="6"/>
  <c r="H343" i="6"/>
  <c r="H341" i="6"/>
  <c r="C348" i="6"/>
  <c r="C349" i="6"/>
  <c r="C350" i="6"/>
  <c r="C345" i="6"/>
  <c r="C343" i="6"/>
  <c r="C341" i="6"/>
  <c r="C344" i="6"/>
  <c r="E348" i="6"/>
  <c r="E349" i="6"/>
  <c r="E350" i="6"/>
  <c r="E345" i="6"/>
  <c r="E343" i="6"/>
  <c r="E341" i="6"/>
  <c r="E344" i="6"/>
  <c r="G348" i="6"/>
  <c r="G349" i="6"/>
  <c r="G350" i="6"/>
  <c r="G345" i="6"/>
  <c r="G343" i="6"/>
  <c r="G341" i="6"/>
  <c r="G344" i="6"/>
  <c r="I333" i="6"/>
  <c r="N873" i="6"/>
  <c r="N895" i="6"/>
  <c r="B345" i="6"/>
  <c r="D345" i="6"/>
  <c r="F345" i="6"/>
  <c r="H345" i="6"/>
  <c r="I344" i="6"/>
  <c r="N884" i="6"/>
  <c r="N900" i="6"/>
  <c r="B349" i="6"/>
  <c r="B350" i="6"/>
  <c r="H349" i="6"/>
  <c r="H350" i="6"/>
  <c r="I347" i="6"/>
  <c r="N887" i="6"/>
  <c r="N902" i="6"/>
  <c r="J328" i="6"/>
  <c r="J347" i="6"/>
  <c r="D1108" i="5"/>
  <c r="D1107" i="5"/>
  <c r="D1105" i="5"/>
  <c r="H1108" i="5"/>
  <c r="H1107" i="5"/>
  <c r="H1105" i="5"/>
  <c r="C1111" i="5"/>
  <c r="C1107" i="5"/>
  <c r="C1105" i="5"/>
  <c r="C1108" i="5"/>
  <c r="C1106" i="5"/>
  <c r="C1104" i="5"/>
  <c r="E1111" i="5"/>
  <c r="E1107" i="5"/>
  <c r="E1105" i="5"/>
  <c r="E1108" i="5"/>
  <c r="E1106" i="5"/>
  <c r="E1104" i="5"/>
  <c r="G1111" i="5"/>
  <c r="G1107" i="5"/>
  <c r="G1105" i="5"/>
  <c r="G1108" i="5"/>
  <c r="G1106" i="5"/>
  <c r="G1104" i="5"/>
  <c r="I1110" i="5"/>
  <c r="AP1650" i="5"/>
  <c r="AP1666" i="5"/>
  <c r="B1111" i="5"/>
  <c r="D1111" i="5"/>
  <c r="F1111" i="5"/>
  <c r="H1111" i="5"/>
  <c r="J1091" i="5"/>
  <c r="J1110" i="5"/>
  <c r="B1104" i="5"/>
  <c r="D1104" i="5"/>
  <c r="F1104" i="5"/>
  <c r="H1104" i="5"/>
  <c r="I1104" i="5"/>
  <c r="I1105" i="5"/>
  <c r="B1106" i="5"/>
  <c r="D1106" i="5"/>
  <c r="F1106" i="5"/>
  <c r="H1106" i="5"/>
  <c r="I1106" i="5"/>
  <c r="I1107" i="5"/>
  <c r="I1108" i="5"/>
  <c r="I1109" i="5"/>
  <c r="J1109" i="5"/>
  <c r="J1111" i="5"/>
  <c r="J1112" i="5"/>
  <c r="D1581" i="4"/>
  <c r="D1580" i="4"/>
  <c r="D1578" i="4"/>
  <c r="H1581" i="4"/>
  <c r="H1580" i="4"/>
  <c r="H1578" i="4"/>
  <c r="C1584" i="4"/>
  <c r="C1580" i="4"/>
  <c r="C1578" i="4"/>
  <c r="C1581" i="4"/>
  <c r="C1579" i="4"/>
  <c r="C1577" i="4"/>
  <c r="E1584" i="4"/>
  <c r="E1580" i="4"/>
  <c r="E1578" i="4"/>
  <c r="E1581" i="4"/>
  <c r="E1579" i="4"/>
  <c r="E1577" i="4"/>
  <c r="G1584" i="4"/>
  <c r="G1580" i="4"/>
  <c r="G1578" i="4"/>
  <c r="G1581" i="4"/>
  <c r="G1579" i="4"/>
  <c r="G1577" i="4"/>
  <c r="I1583" i="4"/>
  <c r="BG2123" i="4"/>
  <c r="BG2139" i="4"/>
  <c r="B1584" i="4"/>
  <c r="D1584" i="4"/>
  <c r="F1584" i="4"/>
  <c r="H1584" i="4"/>
  <c r="J1564" i="4"/>
  <c r="J1583" i="4"/>
  <c r="B1577" i="4"/>
  <c r="D1577" i="4"/>
  <c r="F1577" i="4"/>
  <c r="H1577" i="4"/>
  <c r="B1579" i="4"/>
  <c r="D1579" i="4"/>
  <c r="F1579" i="4"/>
  <c r="H1579" i="4"/>
  <c r="E1746" i="3"/>
  <c r="I1729" i="3"/>
  <c r="BL2269" i="3"/>
  <c r="BL2296" i="3"/>
  <c r="J1730" i="3"/>
  <c r="I1735" i="3"/>
  <c r="BL2275" i="3"/>
  <c r="BL2297" i="3"/>
  <c r="F1750" i="3"/>
  <c r="F1746" i="3"/>
  <c r="F1744" i="3"/>
  <c r="F1747" i="3"/>
  <c r="F1745" i="3"/>
  <c r="F1743" i="3"/>
  <c r="C1750" i="3"/>
  <c r="E1750" i="3"/>
  <c r="G1750" i="3"/>
  <c r="C1743" i="3"/>
  <c r="E1743" i="3"/>
  <c r="G1743" i="3"/>
  <c r="C1745" i="3"/>
  <c r="E1745" i="3"/>
  <c r="G1745" i="3"/>
  <c r="I1628" i="2"/>
  <c r="BG2187" i="2"/>
  <c r="BG2204" i="2"/>
  <c r="I1630" i="2"/>
  <c r="BG2189" i="2"/>
  <c r="BG2206" i="2"/>
  <c r="I1632" i="2"/>
  <c r="BG2191" i="2"/>
  <c r="BG2208" i="2"/>
  <c r="C1636" i="2"/>
  <c r="C1637" i="2"/>
  <c r="E1636" i="2"/>
  <c r="E1637" i="2"/>
  <c r="G1636" i="2"/>
  <c r="G1637" i="2"/>
  <c r="B1636" i="2"/>
  <c r="B1637" i="2"/>
  <c r="D1636" i="2"/>
  <c r="D1637" i="2"/>
  <c r="F1636" i="2"/>
  <c r="F1637" i="2"/>
  <c r="H1636" i="2"/>
  <c r="H1637" i="2"/>
  <c r="I1634" i="2"/>
  <c r="BG2193" i="2"/>
  <c r="BG2209" i="2"/>
  <c r="J1615" i="2"/>
  <c r="J1634" i="2"/>
  <c r="I1831" i="1"/>
  <c r="BO2372" i="1"/>
  <c r="BO2400" i="1"/>
  <c r="I1839" i="1"/>
  <c r="I1841" i="1"/>
  <c r="BO2387" i="1"/>
  <c r="BO2404" i="1"/>
  <c r="I1843" i="1"/>
  <c r="B1846" i="1"/>
  <c r="B1847" i="1"/>
  <c r="B1848" i="1"/>
  <c r="D1846" i="1"/>
  <c r="D1847" i="1"/>
  <c r="D1848" i="1"/>
  <c r="H1846" i="1"/>
  <c r="H1847" i="1"/>
  <c r="H1848" i="1"/>
  <c r="I1825" i="1"/>
  <c r="BO2366" i="1"/>
  <c r="BO2399" i="1"/>
  <c r="C1846" i="1"/>
  <c r="C1847" i="1"/>
  <c r="C1848" i="1"/>
  <c r="E1846" i="1"/>
  <c r="E1847" i="1"/>
  <c r="E1848" i="1"/>
  <c r="G1846" i="1"/>
  <c r="G1847" i="1"/>
  <c r="G1848" i="1"/>
  <c r="J1843" i="1"/>
  <c r="J1844" i="1"/>
  <c r="F1847" i="1"/>
  <c r="F1848" i="1"/>
  <c r="I1845" i="1"/>
  <c r="BO2391" i="1"/>
  <c r="BO2407" i="1"/>
  <c r="BO2385" i="1"/>
  <c r="BO2402" i="1"/>
  <c r="I1840" i="1"/>
  <c r="BO2386" i="1"/>
  <c r="BO2403" i="1"/>
  <c r="I1842" i="1"/>
  <c r="BO2388" i="1"/>
  <c r="BO2405" i="1"/>
  <c r="BO2389" i="1"/>
  <c r="BO2406" i="1"/>
  <c r="J1826" i="1"/>
  <c r="L893" i="6"/>
  <c r="L896" i="6"/>
  <c r="H320" i="6"/>
  <c r="H319" i="6"/>
  <c r="G320" i="6"/>
  <c r="G319" i="6"/>
  <c r="F320" i="6"/>
  <c r="F319" i="6"/>
  <c r="E320" i="6"/>
  <c r="E319" i="6"/>
  <c r="D320" i="6"/>
  <c r="D319" i="6"/>
  <c r="C320" i="6"/>
  <c r="C319" i="6"/>
  <c r="B320" i="6"/>
  <c r="B319" i="6"/>
  <c r="H306" i="6"/>
  <c r="G306" i="6"/>
  <c r="F306" i="6"/>
  <c r="E306" i="6"/>
  <c r="D306" i="6"/>
  <c r="C306" i="6"/>
  <c r="B306" i="6"/>
  <c r="I305" i="6"/>
  <c r="I304" i="6"/>
  <c r="I303" i="6"/>
  <c r="I302" i="6"/>
  <c r="I301" i="6"/>
  <c r="M868" i="6"/>
  <c r="I300" i="6"/>
  <c r="AN1657" i="5"/>
  <c r="AN1660" i="5"/>
  <c r="H1083" i="5"/>
  <c r="H1082" i="5"/>
  <c r="G1083" i="5"/>
  <c r="G1082" i="5"/>
  <c r="F1083" i="5"/>
  <c r="F1082" i="5"/>
  <c r="E1083" i="5"/>
  <c r="E1082" i="5"/>
  <c r="D1083" i="5"/>
  <c r="D1082" i="5"/>
  <c r="C1083" i="5"/>
  <c r="C1082" i="5"/>
  <c r="B1083" i="5"/>
  <c r="B1082" i="5"/>
  <c r="H1069" i="5"/>
  <c r="G1069" i="5"/>
  <c r="F1069" i="5"/>
  <c r="E1069" i="5"/>
  <c r="D1069" i="5"/>
  <c r="C1069" i="5"/>
  <c r="B1069" i="5"/>
  <c r="I1068" i="5"/>
  <c r="I1067" i="5"/>
  <c r="I1066" i="5"/>
  <c r="I1065" i="5"/>
  <c r="I1064" i="5"/>
  <c r="AO1631" i="5"/>
  <c r="I1063" i="5"/>
  <c r="BE2130" i="4"/>
  <c r="BE2133" i="4"/>
  <c r="H1556" i="4"/>
  <c r="H1555" i="4"/>
  <c r="G1556" i="4"/>
  <c r="G1555" i="4"/>
  <c r="F1556" i="4"/>
  <c r="F1555" i="4"/>
  <c r="E1556" i="4"/>
  <c r="E1555" i="4"/>
  <c r="D1556" i="4"/>
  <c r="D1555" i="4"/>
  <c r="C1556" i="4"/>
  <c r="C1555" i="4"/>
  <c r="B1556" i="4"/>
  <c r="B1555" i="4"/>
  <c r="H1542" i="4"/>
  <c r="G1542" i="4"/>
  <c r="F1542" i="4"/>
  <c r="E1542" i="4"/>
  <c r="D1542" i="4"/>
  <c r="C1542" i="4"/>
  <c r="B1542" i="4"/>
  <c r="I1541" i="4"/>
  <c r="I1540" i="4"/>
  <c r="I1539" i="4"/>
  <c r="I1538" i="4"/>
  <c r="I1537" i="4"/>
  <c r="BF2104" i="4"/>
  <c r="I1536" i="4"/>
  <c r="BJ2295" i="3"/>
  <c r="BJ2298" i="3"/>
  <c r="H1722" i="3"/>
  <c r="H1721" i="3"/>
  <c r="G1722" i="3"/>
  <c r="G1721" i="3"/>
  <c r="F1722" i="3"/>
  <c r="F1721" i="3"/>
  <c r="E1722" i="3"/>
  <c r="E1721" i="3"/>
  <c r="D1722" i="3"/>
  <c r="D1721" i="3"/>
  <c r="C1722" i="3"/>
  <c r="C1721" i="3"/>
  <c r="B1722" i="3"/>
  <c r="B1721" i="3"/>
  <c r="H1708" i="3"/>
  <c r="G1708" i="3"/>
  <c r="F1708" i="3"/>
  <c r="E1708" i="3"/>
  <c r="D1708" i="3"/>
  <c r="C1708" i="3"/>
  <c r="B1708" i="3"/>
  <c r="I1707" i="3"/>
  <c r="I1706" i="3"/>
  <c r="I1705" i="3"/>
  <c r="I1704" i="3"/>
  <c r="I1703" i="3"/>
  <c r="BK2270" i="3"/>
  <c r="I1702" i="3"/>
  <c r="BE2200" i="2"/>
  <c r="BE2203" i="2"/>
  <c r="H1606" i="2"/>
  <c r="H1605" i="2"/>
  <c r="G1606" i="2"/>
  <c r="G1605" i="2"/>
  <c r="F1606" i="2"/>
  <c r="F1605" i="2"/>
  <c r="E1606" i="2"/>
  <c r="E1605" i="2"/>
  <c r="D1606" i="2"/>
  <c r="D1605" i="2"/>
  <c r="C1606" i="2"/>
  <c r="C1605" i="2"/>
  <c r="B1606" i="2"/>
  <c r="B1605" i="2"/>
  <c r="H1592" i="2"/>
  <c r="G1592" i="2"/>
  <c r="F1592" i="2"/>
  <c r="E1592" i="2"/>
  <c r="D1592" i="2"/>
  <c r="C1592" i="2"/>
  <c r="B1592" i="2"/>
  <c r="I1591" i="2"/>
  <c r="I1590" i="2"/>
  <c r="I1589" i="2"/>
  <c r="I1588" i="2"/>
  <c r="I1587" i="2"/>
  <c r="BF2174" i="2"/>
  <c r="I1586" i="2"/>
  <c r="BM2398" i="1"/>
  <c r="BM2401" i="1"/>
  <c r="H1818" i="1"/>
  <c r="H1817" i="1"/>
  <c r="G1818" i="1"/>
  <c r="G1817" i="1"/>
  <c r="F1818" i="1"/>
  <c r="F1817" i="1"/>
  <c r="E1818" i="1"/>
  <c r="E1817" i="1"/>
  <c r="D1818" i="1"/>
  <c r="D1817" i="1"/>
  <c r="C1818" i="1"/>
  <c r="C1817" i="1"/>
  <c r="B1818" i="1"/>
  <c r="B1817" i="1"/>
  <c r="H1804" i="1"/>
  <c r="G1804" i="1"/>
  <c r="F1804" i="1"/>
  <c r="E1804" i="1"/>
  <c r="D1804" i="1"/>
  <c r="C1804" i="1"/>
  <c r="B1804" i="1"/>
  <c r="I1803" i="1"/>
  <c r="I1802" i="1"/>
  <c r="I1801" i="1"/>
  <c r="I1800" i="1"/>
  <c r="I1799" i="1"/>
  <c r="BN2367" i="1"/>
  <c r="I1798" i="1"/>
  <c r="G1509" i="4"/>
  <c r="F1509" i="4"/>
  <c r="H273" i="6"/>
  <c r="G273" i="6"/>
  <c r="F273" i="6"/>
  <c r="E273" i="6"/>
  <c r="D273" i="6"/>
  <c r="C273" i="6"/>
  <c r="H1036" i="5"/>
  <c r="G1036" i="5"/>
  <c r="F1036" i="5"/>
  <c r="E1036" i="5"/>
  <c r="D1036" i="5"/>
  <c r="C1036" i="5"/>
  <c r="I1578" i="4"/>
  <c r="BG2118" i="4"/>
  <c r="BG2135" i="4"/>
  <c r="I1666" i="4"/>
  <c r="BJ2125" i="4"/>
  <c r="J1945" i="1"/>
  <c r="I1581" i="4"/>
  <c r="BG2121" i="4"/>
  <c r="BG2138" i="4"/>
  <c r="J1652" i="4"/>
  <c r="J1651" i="4"/>
  <c r="J1655" i="4"/>
  <c r="I1791" i="3"/>
  <c r="BN2277" i="3"/>
  <c r="BN2288" i="3"/>
  <c r="I1681" i="2"/>
  <c r="BI2184" i="2"/>
  <c r="BI2192" i="2"/>
  <c r="I1152" i="5"/>
  <c r="AR1638" i="5"/>
  <c r="AR1649" i="5"/>
  <c r="I1919" i="1"/>
  <c r="BR2384" i="1"/>
  <c r="J1929" i="1"/>
  <c r="I1918" i="1"/>
  <c r="BR2383" i="1"/>
  <c r="J1900" i="1"/>
  <c r="I1901" i="1"/>
  <c r="J1897" i="1"/>
  <c r="J1890" i="1"/>
  <c r="I1653" i="2"/>
  <c r="BH2184" i="2"/>
  <c r="BH2192" i="2"/>
  <c r="J1628" i="2"/>
  <c r="I391" i="6"/>
  <c r="P877" i="6"/>
  <c r="I402" i="6"/>
  <c r="P888" i="6"/>
  <c r="J391" i="6"/>
  <c r="I1153" i="5"/>
  <c r="AR1639" i="5"/>
  <c r="I1151" i="5"/>
  <c r="AR1637" i="5"/>
  <c r="I1165" i="5"/>
  <c r="AR1651" i="5"/>
  <c r="I1154" i="5"/>
  <c r="AR1640" i="5"/>
  <c r="I1155" i="5"/>
  <c r="AR1641" i="5"/>
  <c r="J1153" i="5"/>
  <c r="I1790" i="3"/>
  <c r="BN2276" i="3"/>
  <c r="I1792" i="3"/>
  <c r="BN2278" i="3"/>
  <c r="I1804" i="3"/>
  <c r="BN2290" i="3"/>
  <c r="I1793" i="3"/>
  <c r="BN2279" i="3"/>
  <c r="J1802" i="3"/>
  <c r="J1792" i="3"/>
  <c r="I1794" i="3"/>
  <c r="BN2280" i="3"/>
  <c r="I1679" i="2"/>
  <c r="BI2182" i="2"/>
  <c r="I1677" i="2"/>
  <c r="BI2180" i="2"/>
  <c r="I1678" i="2"/>
  <c r="BI2181" i="2"/>
  <c r="I1691" i="2"/>
  <c r="BI2194" i="2"/>
  <c r="J1689" i="2"/>
  <c r="J1679" i="2"/>
  <c r="I1680" i="2"/>
  <c r="BI2183" i="2"/>
  <c r="J1678" i="2"/>
  <c r="J1630" i="2"/>
  <c r="I1890" i="1"/>
  <c r="BQ2382" i="1"/>
  <c r="I1651" i="2"/>
  <c r="BH2182" i="2"/>
  <c r="J1569" i="4"/>
  <c r="BG2109" i="4"/>
  <c r="BG2132" i="4"/>
  <c r="J1096" i="5"/>
  <c r="AP1636" i="5"/>
  <c r="AP1659" i="5"/>
  <c r="BO2390" i="1"/>
  <c r="J1620" i="2"/>
  <c r="BG2179" i="2"/>
  <c r="BG2202" i="2"/>
  <c r="J1749" i="3"/>
  <c r="BL2289" i="3"/>
  <c r="BL2304" i="3"/>
  <c r="J1632" i="2"/>
  <c r="I341" i="6"/>
  <c r="N881" i="6"/>
  <c r="N897" i="6"/>
  <c r="I343" i="6"/>
  <c r="N883" i="6"/>
  <c r="N899" i="6"/>
  <c r="I1775" i="3"/>
  <c r="BM2288" i="3"/>
  <c r="J1772" i="3"/>
  <c r="J1771" i="3"/>
  <c r="I1649" i="2"/>
  <c r="BH2180" i="2"/>
  <c r="I1650" i="2"/>
  <c r="BH2181" i="2"/>
  <c r="I1663" i="2"/>
  <c r="BH2194" i="2"/>
  <c r="J1661" i="2"/>
  <c r="J1651" i="2"/>
  <c r="I1652" i="2"/>
  <c r="BH2183" i="2"/>
  <c r="I1834" i="1"/>
  <c r="I1832" i="1"/>
  <c r="BO2378" i="1"/>
  <c r="J1801" i="1"/>
  <c r="BN2369" i="1"/>
  <c r="J1803" i="1"/>
  <c r="BN2371" i="1"/>
  <c r="J1586" i="2"/>
  <c r="BF2173" i="2"/>
  <c r="BF2201" i="2"/>
  <c r="J1588" i="2"/>
  <c r="BF2175" i="2"/>
  <c r="J1590" i="2"/>
  <c r="BF2177" i="2"/>
  <c r="J1705" i="3"/>
  <c r="BK2272" i="3"/>
  <c r="J1707" i="3"/>
  <c r="BK2274" i="3"/>
  <c r="J1536" i="4"/>
  <c r="BF2103" i="4"/>
  <c r="BF2131" i="4"/>
  <c r="J1538" i="4"/>
  <c r="BF2105" i="4"/>
  <c r="J1540" i="4"/>
  <c r="BF2107" i="4"/>
  <c r="J1066" i="5"/>
  <c r="AO1633" i="5"/>
  <c r="J1068" i="5"/>
  <c r="AO1635" i="5"/>
  <c r="J300" i="6"/>
  <c r="M867" i="6"/>
  <c r="M894" i="6"/>
  <c r="J302" i="6"/>
  <c r="M869" i="6"/>
  <c r="J304" i="6"/>
  <c r="M871" i="6"/>
  <c r="I1629" i="2"/>
  <c r="BG2188" i="2"/>
  <c r="BG2205" i="2"/>
  <c r="J1798" i="1"/>
  <c r="BN2366" i="1"/>
  <c r="BN2399" i="1"/>
  <c r="J1800" i="1"/>
  <c r="BN2368" i="1"/>
  <c r="J1802" i="1"/>
  <c r="BN2370" i="1"/>
  <c r="J1589" i="2"/>
  <c r="BF2176" i="2"/>
  <c r="J1591" i="2"/>
  <c r="BF2178" i="2"/>
  <c r="J1702" i="3"/>
  <c r="BK2269" i="3"/>
  <c r="BK2296" i="3"/>
  <c r="J1704" i="3"/>
  <c r="BK2271" i="3"/>
  <c r="J1706" i="3"/>
  <c r="BK2273" i="3"/>
  <c r="J1539" i="4"/>
  <c r="BF2106" i="4"/>
  <c r="J1541" i="4"/>
  <c r="BF2108" i="4"/>
  <c r="J1063" i="5"/>
  <c r="AO1630" i="5"/>
  <c r="AO1658" i="5"/>
  <c r="J1065" i="5"/>
  <c r="AO1632" i="5"/>
  <c r="J1067" i="5"/>
  <c r="AO1634" i="5"/>
  <c r="J303" i="6"/>
  <c r="M870" i="6"/>
  <c r="J305" i="6"/>
  <c r="M872" i="6"/>
  <c r="I1631" i="2"/>
  <c r="BG2190" i="2"/>
  <c r="BG2207" i="2"/>
  <c r="J341" i="6"/>
  <c r="J343" i="6"/>
  <c r="J333" i="6"/>
  <c r="I345" i="6"/>
  <c r="N885" i="6"/>
  <c r="N901" i="6"/>
  <c r="AP1648" i="5"/>
  <c r="AP1665" i="5"/>
  <c r="AP1647" i="5"/>
  <c r="AP1664" i="5"/>
  <c r="AP1645" i="5"/>
  <c r="AP1662" i="5"/>
  <c r="F1112" i="5"/>
  <c r="F1113" i="5"/>
  <c r="B1112" i="5"/>
  <c r="B1113" i="5"/>
  <c r="H1112" i="5"/>
  <c r="H1113" i="5"/>
  <c r="D1112" i="5"/>
  <c r="D1113" i="5"/>
  <c r="G1112" i="5"/>
  <c r="G1113" i="5"/>
  <c r="E1112" i="5"/>
  <c r="E1113" i="5"/>
  <c r="C1112" i="5"/>
  <c r="C1113" i="5"/>
  <c r="AP1646" i="5"/>
  <c r="AP1663" i="5"/>
  <c r="AP1644" i="5"/>
  <c r="AP1661" i="5"/>
  <c r="I1580" i="4"/>
  <c r="BG2120" i="4"/>
  <c r="BG2137" i="4"/>
  <c r="F1585" i="4"/>
  <c r="F1586" i="4"/>
  <c r="B1585" i="4"/>
  <c r="B1586" i="4"/>
  <c r="J1581" i="4"/>
  <c r="J1578" i="4"/>
  <c r="G1585" i="4"/>
  <c r="G1586" i="4"/>
  <c r="E1585" i="4"/>
  <c r="E1586" i="4"/>
  <c r="C1585" i="4"/>
  <c r="C1586" i="4"/>
  <c r="H1585" i="4"/>
  <c r="H1586" i="4"/>
  <c r="D1585" i="4"/>
  <c r="D1586" i="4"/>
  <c r="J1580" i="4"/>
  <c r="I1579" i="4"/>
  <c r="BG2119" i="4"/>
  <c r="BG2136" i="4"/>
  <c r="I1577" i="4"/>
  <c r="BG2117" i="4"/>
  <c r="BG2134" i="4"/>
  <c r="BG2140" i="4"/>
  <c r="J1735" i="3"/>
  <c r="J1729" i="3"/>
  <c r="H1746" i="3"/>
  <c r="H1744" i="3"/>
  <c r="H1747" i="3"/>
  <c r="H1745" i="3"/>
  <c r="H1743" i="3"/>
  <c r="B1746" i="3"/>
  <c r="B1744" i="3"/>
  <c r="B1747" i="3"/>
  <c r="B1745" i="3"/>
  <c r="B1743" i="3"/>
  <c r="E1751" i="3"/>
  <c r="E1752" i="3"/>
  <c r="F1751" i="3"/>
  <c r="F1752" i="3"/>
  <c r="H1750" i="3"/>
  <c r="B1750" i="3"/>
  <c r="D1746" i="3"/>
  <c r="D1744" i="3"/>
  <c r="D1747" i="3"/>
  <c r="D1745" i="3"/>
  <c r="D1743" i="3"/>
  <c r="G1751" i="3"/>
  <c r="G1752" i="3"/>
  <c r="C1751" i="3"/>
  <c r="C1752" i="3"/>
  <c r="D1750" i="3"/>
  <c r="H1626" i="2"/>
  <c r="H1627" i="2"/>
  <c r="D1626" i="2"/>
  <c r="D1627" i="2"/>
  <c r="F1626" i="2"/>
  <c r="F1627" i="2"/>
  <c r="B1626" i="2"/>
  <c r="B1627" i="2"/>
  <c r="G1627" i="2"/>
  <c r="G1626" i="2"/>
  <c r="E1627" i="2"/>
  <c r="E1626" i="2"/>
  <c r="C1627" i="2"/>
  <c r="C1626" i="2"/>
  <c r="I1836" i="1"/>
  <c r="J1825" i="1"/>
  <c r="J1831" i="1"/>
  <c r="J1841" i="1"/>
  <c r="J1839" i="1"/>
  <c r="J1832" i="1"/>
  <c r="J1845" i="1"/>
  <c r="I1846" i="1"/>
  <c r="J1836" i="1"/>
  <c r="J1834" i="1"/>
  <c r="F1837" i="1"/>
  <c r="F1838" i="1"/>
  <c r="I306" i="6"/>
  <c r="I1069" i="5"/>
  <c r="I1708" i="3"/>
  <c r="I1592" i="2"/>
  <c r="I1804" i="1"/>
  <c r="I320" i="6"/>
  <c r="M887" i="6"/>
  <c r="M902" i="6"/>
  <c r="J301" i="6"/>
  <c r="J320" i="6"/>
  <c r="I1083" i="5"/>
  <c r="AO1650" i="5"/>
  <c r="AO1666" i="5"/>
  <c r="J1064" i="5"/>
  <c r="J1083" i="5"/>
  <c r="I1542" i="4"/>
  <c r="BF2109" i="4"/>
  <c r="BF2132" i="4"/>
  <c r="I1556" i="4"/>
  <c r="BF2123" i="4"/>
  <c r="BF2139" i="4"/>
  <c r="J1537" i="4"/>
  <c r="J1556" i="4"/>
  <c r="I1722" i="3"/>
  <c r="BK2289" i="3"/>
  <c r="BK2304" i="3"/>
  <c r="J1703" i="3"/>
  <c r="I1606" i="2"/>
  <c r="BF2193" i="2"/>
  <c r="BF2209" i="2"/>
  <c r="J1587" i="2"/>
  <c r="J1606" i="2"/>
  <c r="I1818" i="1"/>
  <c r="BN2391" i="1"/>
  <c r="BN2407" i="1"/>
  <c r="J1799" i="1"/>
  <c r="H1509" i="4"/>
  <c r="I1667" i="4"/>
  <c r="J1667" i="4"/>
  <c r="I1633" i="2"/>
  <c r="I1625" i="2"/>
  <c r="BG2184" i="2"/>
  <c r="J1901" i="1"/>
  <c r="BQ2393" i="1"/>
  <c r="J1918" i="1"/>
  <c r="J1919" i="1"/>
  <c r="I1902" i="1"/>
  <c r="BQ2394" i="1"/>
  <c r="J390" i="6"/>
  <c r="J388" i="6"/>
  <c r="J392" i="6"/>
  <c r="J389" i="6"/>
  <c r="I403" i="6"/>
  <c r="P889" i="6"/>
  <c r="J1152" i="5"/>
  <c r="J1151" i="5"/>
  <c r="J1154" i="5"/>
  <c r="I1166" i="5"/>
  <c r="AR1652" i="5"/>
  <c r="J1155" i="5"/>
  <c r="J1791" i="3"/>
  <c r="J1793" i="3"/>
  <c r="J1790" i="3"/>
  <c r="J1794" i="3"/>
  <c r="I1805" i="3"/>
  <c r="BN2291" i="3"/>
  <c r="J1804" i="3"/>
  <c r="J1677" i="2"/>
  <c r="J1680" i="2"/>
  <c r="J1681" i="2"/>
  <c r="I1692" i="2"/>
  <c r="BI2195" i="2"/>
  <c r="I1764" i="3"/>
  <c r="BM2277" i="3"/>
  <c r="I1765" i="3"/>
  <c r="BM2278" i="3"/>
  <c r="I1767" i="3"/>
  <c r="BM2280" i="3"/>
  <c r="I1766" i="3"/>
  <c r="BM2279" i="3"/>
  <c r="I1763" i="3"/>
  <c r="BM2276" i="3"/>
  <c r="J1775" i="3"/>
  <c r="J1763" i="3"/>
  <c r="BO2392" i="1"/>
  <c r="BO2380" i="1"/>
  <c r="BO2382" i="1"/>
  <c r="J1653" i="2"/>
  <c r="J1649" i="2"/>
  <c r="J1652" i="2"/>
  <c r="J1650" i="2"/>
  <c r="I1664" i="2"/>
  <c r="BH2195" i="2"/>
  <c r="J1108" i="5"/>
  <c r="J1804" i="1"/>
  <c r="BN2372" i="1"/>
  <c r="BN2400" i="1"/>
  <c r="J1708" i="3"/>
  <c r="BK2275" i="3"/>
  <c r="BK2297" i="3"/>
  <c r="J306" i="6"/>
  <c r="M873" i="6"/>
  <c r="M895" i="6"/>
  <c r="I1835" i="1"/>
  <c r="J1842" i="1"/>
  <c r="J1835" i="1"/>
  <c r="I1833" i="1"/>
  <c r="J1840" i="1"/>
  <c r="J1833" i="1"/>
  <c r="J1592" i="2"/>
  <c r="BF2179" i="2"/>
  <c r="BF2202" i="2"/>
  <c r="J1069" i="5"/>
  <c r="AO1636" i="5"/>
  <c r="AO1659" i="5"/>
  <c r="J1631" i="2"/>
  <c r="J1633" i="2"/>
  <c r="J1624" i="2"/>
  <c r="J1629" i="2"/>
  <c r="J345" i="6"/>
  <c r="J1107" i="5"/>
  <c r="J1105" i="5"/>
  <c r="E1103" i="5"/>
  <c r="E1102" i="5"/>
  <c r="C1103" i="5"/>
  <c r="C1102" i="5"/>
  <c r="G1103" i="5"/>
  <c r="G1102" i="5"/>
  <c r="J1106" i="5"/>
  <c r="I1097" i="5"/>
  <c r="AP1637" i="5"/>
  <c r="J1104" i="5"/>
  <c r="D1102" i="5"/>
  <c r="D1103" i="5"/>
  <c r="H1102" i="5"/>
  <c r="H1103" i="5"/>
  <c r="B1102" i="5"/>
  <c r="B1103" i="5"/>
  <c r="F1102" i="5"/>
  <c r="F1103" i="5"/>
  <c r="J1579" i="4"/>
  <c r="I1582" i="4"/>
  <c r="I1570" i="4"/>
  <c r="BG2110" i="4"/>
  <c r="J1577" i="4"/>
  <c r="I1743" i="3"/>
  <c r="BL2283" i="3"/>
  <c r="BL2299" i="3"/>
  <c r="I1747" i="3"/>
  <c r="J1747" i="3"/>
  <c r="I1746" i="3"/>
  <c r="BL2286" i="3"/>
  <c r="BL2302" i="3"/>
  <c r="G1741" i="3"/>
  <c r="G1742" i="3"/>
  <c r="C1741" i="3"/>
  <c r="C1742" i="3"/>
  <c r="H1751" i="3"/>
  <c r="H1752" i="3"/>
  <c r="I1745" i="3"/>
  <c r="BL2285" i="3"/>
  <c r="BL2301" i="3"/>
  <c r="I1744" i="3"/>
  <c r="BL2284" i="3"/>
  <c r="BL2300" i="3"/>
  <c r="D1751" i="3"/>
  <c r="D1752" i="3"/>
  <c r="B1751" i="3"/>
  <c r="B1752" i="3"/>
  <c r="J1743" i="3"/>
  <c r="J1746" i="3"/>
  <c r="I1847" i="1"/>
  <c r="BO2393" i="1"/>
  <c r="J1846" i="1"/>
  <c r="J1542" i="4"/>
  <c r="J1722" i="3"/>
  <c r="J1818" i="1"/>
  <c r="E1509" i="4"/>
  <c r="D1509" i="4"/>
  <c r="C1509" i="4"/>
  <c r="C1675" i="3"/>
  <c r="H1675" i="3"/>
  <c r="G1675" i="3"/>
  <c r="F1675" i="3"/>
  <c r="E1675" i="3"/>
  <c r="D1675" i="3"/>
  <c r="BJ2126" i="4"/>
  <c r="I1657" i="4"/>
  <c r="BJ2116" i="4"/>
  <c r="I1624" i="2"/>
  <c r="BG2183" i="2"/>
  <c r="BG2192" i="2"/>
  <c r="I1621" i="2"/>
  <c r="BG2180" i="2"/>
  <c r="I1622" i="2"/>
  <c r="BG2181" i="2"/>
  <c r="J1635" i="2"/>
  <c r="J1636" i="2"/>
  <c r="J1765" i="3"/>
  <c r="J1766" i="3"/>
  <c r="J1764" i="3"/>
  <c r="J1902" i="1"/>
  <c r="J1891" i="1"/>
  <c r="I1891" i="1"/>
  <c r="BQ2383" i="1"/>
  <c r="I1892" i="1"/>
  <c r="BQ2384" i="1"/>
  <c r="I404" i="6"/>
  <c r="P890" i="6"/>
  <c r="I1167" i="5"/>
  <c r="AR1653" i="5"/>
  <c r="J1805" i="3"/>
  <c r="I1806" i="3"/>
  <c r="BN2292" i="3"/>
  <c r="I1693" i="2"/>
  <c r="BI2196" i="2"/>
  <c r="BO2381" i="1"/>
  <c r="BO2379" i="1"/>
  <c r="I1665" i="2"/>
  <c r="BH2196" i="2"/>
  <c r="I1111" i="5"/>
  <c r="AP1651" i="5"/>
  <c r="J1101" i="5"/>
  <c r="I1101" i="5"/>
  <c r="AP1641" i="5"/>
  <c r="I1098" i="5"/>
  <c r="AP1638" i="5"/>
  <c r="I1100" i="5"/>
  <c r="AP1640" i="5"/>
  <c r="I1099" i="5"/>
  <c r="AP1639" i="5"/>
  <c r="I1584" i="4"/>
  <c r="BG2124" i="4"/>
  <c r="J1582" i="4"/>
  <c r="J1574" i="4"/>
  <c r="I1574" i="4"/>
  <c r="BG2114" i="4"/>
  <c r="I1571" i="4"/>
  <c r="BG2111" i="4"/>
  <c r="I1573" i="4"/>
  <c r="BG2113" i="4"/>
  <c r="I1572" i="4"/>
  <c r="BG2112" i="4"/>
  <c r="I1748" i="3"/>
  <c r="BL2288" i="3"/>
  <c r="J1745" i="3"/>
  <c r="J1744" i="3"/>
  <c r="I1737" i="3"/>
  <c r="BL2277" i="3"/>
  <c r="J1847" i="1"/>
  <c r="I1848" i="1"/>
  <c r="H1558" i="2"/>
  <c r="G1558" i="2"/>
  <c r="F1558" i="2"/>
  <c r="E1558" i="2"/>
  <c r="D1558" i="2"/>
  <c r="C1558" i="2"/>
  <c r="H1771" i="1"/>
  <c r="G1771" i="1"/>
  <c r="F1771" i="1"/>
  <c r="D1771" i="1"/>
  <c r="E1771" i="1"/>
  <c r="J1625" i="2"/>
  <c r="J1622" i="2"/>
  <c r="J1892" i="1"/>
  <c r="I393" i="6"/>
  <c r="P879" i="6"/>
  <c r="I394" i="6"/>
  <c r="P880" i="6"/>
  <c r="J404" i="6"/>
  <c r="J394" i="6"/>
  <c r="I1157" i="5"/>
  <c r="AR1643" i="5"/>
  <c r="I1156" i="5"/>
  <c r="AR1642" i="5"/>
  <c r="J1167" i="5"/>
  <c r="I1796" i="3"/>
  <c r="BN2282" i="3"/>
  <c r="I1795" i="3"/>
  <c r="BN2281" i="3"/>
  <c r="J1806" i="3"/>
  <c r="BO2394" i="1"/>
  <c r="J1665" i="2"/>
  <c r="I1655" i="2"/>
  <c r="BH2186" i="2"/>
  <c r="I1654" i="2"/>
  <c r="BH2185" i="2"/>
  <c r="I1739" i="3"/>
  <c r="BL2279" i="3"/>
  <c r="I1740" i="3"/>
  <c r="BL2280" i="3"/>
  <c r="I1736" i="3"/>
  <c r="BL2276" i="3"/>
  <c r="I1112" i="5"/>
  <c r="AP1652" i="5"/>
  <c r="J1098" i="5"/>
  <c r="J1100" i="5"/>
  <c r="I1585" i="4"/>
  <c r="BG2125" i="4"/>
  <c r="J1584" i="4"/>
  <c r="J1585" i="4"/>
  <c r="J1571" i="4"/>
  <c r="J1573" i="4"/>
  <c r="I1750" i="3"/>
  <c r="BL2290" i="3"/>
  <c r="I1838" i="1"/>
  <c r="J1848" i="1"/>
  <c r="I1837" i="1"/>
  <c r="C1771" i="1"/>
  <c r="B273" i="6"/>
  <c r="B1036" i="5"/>
  <c r="I1036" i="5"/>
  <c r="B1509" i="4"/>
  <c r="I1509" i="4"/>
  <c r="B1675" i="3"/>
  <c r="B1558" i="2"/>
  <c r="I1558" i="2"/>
  <c r="K893" i="6"/>
  <c r="K896" i="6"/>
  <c r="H293" i="6"/>
  <c r="H292" i="6"/>
  <c r="G293" i="6"/>
  <c r="G292" i="6"/>
  <c r="F293" i="6"/>
  <c r="F292" i="6"/>
  <c r="E293" i="6"/>
  <c r="E292" i="6"/>
  <c r="D293" i="6"/>
  <c r="D292" i="6"/>
  <c r="C293" i="6"/>
  <c r="C292" i="6"/>
  <c r="C294" i="6"/>
  <c r="B293" i="6"/>
  <c r="B292" i="6"/>
  <c r="C290" i="6"/>
  <c r="H279" i="6"/>
  <c r="G279" i="6"/>
  <c r="F279" i="6"/>
  <c r="E279" i="6"/>
  <c r="D279" i="6"/>
  <c r="C279" i="6"/>
  <c r="B279" i="6"/>
  <c r="I278" i="6"/>
  <c r="I277" i="6"/>
  <c r="I276" i="6"/>
  <c r="I275" i="6"/>
  <c r="I274" i="6"/>
  <c r="L868" i="6"/>
  <c r="AM1657" i="5"/>
  <c r="AM1660" i="5"/>
  <c r="H1056" i="5"/>
  <c r="H1055" i="5"/>
  <c r="G1056" i="5"/>
  <c r="G1055" i="5"/>
  <c r="G1053" i="5"/>
  <c r="F1056" i="5"/>
  <c r="F1055" i="5"/>
  <c r="E1056" i="5"/>
  <c r="E1055" i="5"/>
  <c r="E1053" i="5"/>
  <c r="D1056" i="5"/>
  <c r="D1055" i="5"/>
  <c r="C1056" i="5"/>
  <c r="C1055" i="5"/>
  <c r="C1053" i="5"/>
  <c r="B1056" i="5"/>
  <c r="B1055" i="5"/>
  <c r="H1042" i="5"/>
  <c r="G1042" i="5"/>
  <c r="F1042" i="5"/>
  <c r="E1042" i="5"/>
  <c r="D1042" i="5"/>
  <c r="C1042" i="5"/>
  <c r="B1042" i="5"/>
  <c r="I1041" i="5"/>
  <c r="I1040" i="5"/>
  <c r="I1039" i="5"/>
  <c r="I1038" i="5"/>
  <c r="AN1632" i="5"/>
  <c r="I1037" i="5"/>
  <c r="AN1631" i="5"/>
  <c r="BD2130" i="4"/>
  <c r="BD2133" i="4"/>
  <c r="H1529" i="4"/>
  <c r="H1528" i="4"/>
  <c r="G1529" i="4"/>
  <c r="G1528" i="4"/>
  <c r="G1524" i="4"/>
  <c r="F1529" i="4"/>
  <c r="F1528" i="4"/>
  <c r="E1529" i="4"/>
  <c r="E1528" i="4"/>
  <c r="D1529" i="4"/>
  <c r="D1528" i="4"/>
  <c r="C1529" i="4"/>
  <c r="C1528" i="4"/>
  <c r="C1530" i="4"/>
  <c r="B1529" i="4"/>
  <c r="B1528" i="4"/>
  <c r="H1515" i="4"/>
  <c r="G1515" i="4"/>
  <c r="F1515" i="4"/>
  <c r="E1515" i="4"/>
  <c r="D1515" i="4"/>
  <c r="C1515" i="4"/>
  <c r="B1515" i="4"/>
  <c r="I1514" i="4"/>
  <c r="I1513" i="4"/>
  <c r="I1512" i="4"/>
  <c r="I1511" i="4"/>
  <c r="I1510" i="4"/>
  <c r="BE2104" i="4"/>
  <c r="BI2295" i="3"/>
  <c r="BI2298" i="3"/>
  <c r="H1695" i="3"/>
  <c r="H1694" i="3"/>
  <c r="G1695" i="3"/>
  <c r="G1694" i="3"/>
  <c r="G1690" i="3"/>
  <c r="F1695" i="3"/>
  <c r="F1694" i="3"/>
  <c r="E1695" i="3"/>
  <c r="E1694" i="3"/>
  <c r="D1695" i="3"/>
  <c r="D1694" i="3"/>
  <c r="C1695" i="3"/>
  <c r="C1694" i="3"/>
  <c r="C1693" i="3"/>
  <c r="B1695" i="3"/>
  <c r="B1694" i="3"/>
  <c r="H1681" i="3"/>
  <c r="G1681" i="3"/>
  <c r="F1681" i="3"/>
  <c r="E1681" i="3"/>
  <c r="D1681" i="3"/>
  <c r="C1681" i="3"/>
  <c r="B1681" i="3"/>
  <c r="I1680" i="3"/>
  <c r="I1679" i="3"/>
  <c r="I1678" i="3"/>
  <c r="I1677" i="3"/>
  <c r="I1676" i="3"/>
  <c r="BJ2270" i="3"/>
  <c r="I1675" i="3"/>
  <c r="BD2200" i="2"/>
  <c r="BD2203" i="2"/>
  <c r="H1578" i="2"/>
  <c r="H1577" i="2"/>
  <c r="H1575" i="2"/>
  <c r="G1578" i="2"/>
  <c r="G1577" i="2"/>
  <c r="G1574" i="2"/>
  <c r="F1578" i="2"/>
  <c r="F1577" i="2"/>
  <c r="E1578" i="2"/>
  <c r="E1577" i="2"/>
  <c r="D1578" i="2"/>
  <c r="D1577" i="2"/>
  <c r="C1578" i="2"/>
  <c r="C1577" i="2"/>
  <c r="C1574" i="2"/>
  <c r="B1578" i="2"/>
  <c r="B1577" i="2"/>
  <c r="B1574" i="2"/>
  <c r="D1574" i="2"/>
  <c r="E1574" i="2"/>
  <c r="F1574" i="2"/>
  <c r="H1574" i="2"/>
  <c r="I1574" i="2"/>
  <c r="D1575" i="2"/>
  <c r="H1564" i="2"/>
  <c r="G1564" i="2"/>
  <c r="F1564" i="2"/>
  <c r="E1564" i="2"/>
  <c r="D1564" i="2"/>
  <c r="C1564" i="2"/>
  <c r="B1564" i="2"/>
  <c r="I1563" i="2"/>
  <c r="I1562" i="2"/>
  <c r="I1561" i="2"/>
  <c r="I1560" i="2"/>
  <c r="I1559" i="2"/>
  <c r="BE2174" i="2"/>
  <c r="BL2398" i="1"/>
  <c r="BL2401" i="1"/>
  <c r="H1791" i="1"/>
  <c r="H1790" i="1"/>
  <c r="G1791" i="1"/>
  <c r="G1790" i="1"/>
  <c r="G1788" i="1"/>
  <c r="F1791" i="1"/>
  <c r="F1790" i="1"/>
  <c r="E1791" i="1"/>
  <c r="E1790" i="1"/>
  <c r="D1791" i="1"/>
  <c r="D1790" i="1"/>
  <c r="C1791" i="1"/>
  <c r="C1790" i="1"/>
  <c r="C1788" i="1"/>
  <c r="B1791" i="1"/>
  <c r="B1790" i="1"/>
  <c r="H1777" i="1"/>
  <c r="G1777" i="1"/>
  <c r="F1777" i="1"/>
  <c r="E1777" i="1"/>
  <c r="D1777" i="1"/>
  <c r="C1777" i="1"/>
  <c r="B1777" i="1"/>
  <c r="I1776" i="1"/>
  <c r="I1775" i="1"/>
  <c r="I1774" i="1"/>
  <c r="I1773" i="1"/>
  <c r="I1772" i="1"/>
  <c r="BM2367" i="1"/>
  <c r="I1771" i="1"/>
  <c r="H246" i="6"/>
  <c r="G246" i="6"/>
  <c r="F246" i="6"/>
  <c r="E246" i="6"/>
  <c r="D246" i="6"/>
  <c r="C246" i="6"/>
  <c r="B246" i="6"/>
  <c r="H1009" i="5"/>
  <c r="G1009" i="5"/>
  <c r="F1009" i="5"/>
  <c r="E1009" i="5"/>
  <c r="D1009" i="5"/>
  <c r="C1009" i="5"/>
  <c r="B1009" i="5"/>
  <c r="C1482" i="4"/>
  <c r="H1482" i="4"/>
  <c r="G1482" i="4"/>
  <c r="F1482" i="4"/>
  <c r="E1482" i="4"/>
  <c r="D1482" i="4"/>
  <c r="B1482" i="4"/>
  <c r="H1648" i="3"/>
  <c r="G1648" i="3"/>
  <c r="F1648" i="3"/>
  <c r="E1648" i="3"/>
  <c r="D1648" i="3"/>
  <c r="C1648" i="3"/>
  <c r="B1648" i="3"/>
  <c r="H1530" i="2"/>
  <c r="G1530" i="2"/>
  <c r="F1530" i="2"/>
  <c r="E1530" i="2"/>
  <c r="D1530" i="2"/>
  <c r="C1530" i="2"/>
  <c r="B1530" i="2"/>
  <c r="H1744" i="1"/>
  <c r="G1744" i="1"/>
  <c r="F1744" i="1"/>
  <c r="E1744" i="1"/>
  <c r="D1744" i="1"/>
  <c r="C1744" i="1"/>
  <c r="B1744" i="1"/>
  <c r="J893" i="6"/>
  <c r="J896" i="6"/>
  <c r="H266" i="6"/>
  <c r="H265" i="6"/>
  <c r="G266" i="6"/>
  <c r="G265" i="6"/>
  <c r="F266" i="6"/>
  <c r="F265" i="6"/>
  <c r="E266" i="6"/>
  <c r="E265" i="6"/>
  <c r="D266" i="6"/>
  <c r="D265" i="6"/>
  <c r="C266" i="6"/>
  <c r="C265" i="6"/>
  <c r="B266" i="6"/>
  <c r="B265" i="6"/>
  <c r="H252" i="6"/>
  <c r="G252" i="6"/>
  <c r="F252" i="6"/>
  <c r="E252" i="6"/>
  <c r="D252" i="6"/>
  <c r="C252" i="6"/>
  <c r="B252" i="6"/>
  <c r="I251" i="6"/>
  <c r="I250" i="6"/>
  <c r="J250" i="6"/>
  <c r="I249" i="6"/>
  <c r="I248" i="6"/>
  <c r="J248" i="6"/>
  <c r="I247" i="6"/>
  <c r="K868" i="6"/>
  <c r="AL1657" i="5"/>
  <c r="AL1660" i="5"/>
  <c r="H1029" i="5"/>
  <c r="H1028" i="5"/>
  <c r="G1029" i="5"/>
  <c r="G1028" i="5"/>
  <c r="F1029" i="5"/>
  <c r="F1028" i="5"/>
  <c r="E1029" i="5"/>
  <c r="E1028" i="5"/>
  <c r="D1029" i="5"/>
  <c r="D1028" i="5"/>
  <c r="C1029" i="5"/>
  <c r="C1028" i="5"/>
  <c r="B1029" i="5"/>
  <c r="B1028" i="5"/>
  <c r="H1015" i="5"/>
  <c r="G1015" i="5"/>
  <c r="F1015" i="5"/>
  <c r="E1015" i="5"/>
  <c r="D1015" i="5"/>
  <c r="C1015" i="5"/>
  <c r="B1015" i="5"/>
  <c r="I1014" i="5"/>
  <c r="J1014" i="5"/>
  <c r="I1013" i="5"/>
  <c r="I1012" i="5"/>
  <c r="J1012" i="5"/>
  <c r="I1011" i="5"/>
  <c r="J1011" i="5"/>
  <c r="I1010" i="5"/>
  <c r="AM1631" i="5"/>
  <c r="BC2130" i="4"/>
  <c r="BC2133" i="4"/>
  <c r="H1502" i="4"/>
  <c r="H1501" i="4"/>
  <c r="G1502" i="4"/>
  <c r="G1501" i="4"/>
  <c r="F1502" i="4"/>
  <c r="F1501" i="4"/>
  <c r="E1502" i="4"/>
  <c r="E1501" i="4"/>
  <c r="D1502" i="4"/>
  <c r="D1501" i="4"/>
  <c r="C1502" i="4"/>
  <c r="C1501" i="4"/>
  <c r="B1502" i="4"/>
  <c r="B1501" i="4"/>
  <c r="H1488" i="4"/>
  <c r="G1488" i="4"/>
  <c r="F1488" i="4"/>
  <c r="E1488" i="4"/>
  <c r="D1488" i="4"/>
  <c r="C1488" i="4"/>
  <c r="B1488" i="4"/>
  <c r="I1487" i="4"/>
  <c r="I1486" i="4"/>
  <c r="J1486" i="4"/>
  <c r="I1485" i="4"/>
  <c r="I1484" i="4"/>
  <c r="J1484" i="4"/>
  <c r="I1483" i="4"/>
  <c r="BD2104" i="4"/>
  <c r="BH2295" i="3"/>
  <c r="BH2298" i="3"/>
  <c r="H1668" i="3"/>
  <c r="H1667" i="3"/>
  <c r="G1668" i="3"/>
  <c r="G1667" i="3"/>
  <c r="F1668" i="3"/>
  <c r="F1667" i="3"/>
  <c r="E1668" i="3"/>
  <c r="E1667" i="3"/>
  <c r="D1668" i="3"/>
  <c r="D1667" i="3"/>
  <c r="C1668" i="3"/>
  <c r="C1667" i="3"/>
  <c r="B1668" i="3"/>
  <c r="B1667" i="3"/>
  <c r="H1654" i="3"/>
  <c r="G1654" i="3"/>
  <c r="F1654" i="3"/>
  <c r="E1654" i="3"/>
  <c r="D1654" i="3"/>
  <c r="C1654" i="3"/>
  <c r="B1654" i="3"/>
  <c r="I1653" i="3"/>
  <c r="J1653" i="3"/>
  <c r="I1652" i="3"/>
  <c r="J1652" i="3"/>
  <c r="I1651" i="3"/>
  <c r="J1651" i="3"/>
  <c r="I1650" i="3"/>
  <c r="J1650" i="3"/>
  <c r="I1649" i="3"/>
  <c r="BI2270" i="3"/>
  <c r="BC2200" i="2"/>
  <c r="BC2203" i="2"/>
  <c r="H1550" i="2"/>
  <c r="H1549" i="2"/>
  <c r="G1550" i="2"/>
  <c r="G1549" i="2"/>
  <c r="F1550" i="2"/>
  <c r="F1549" i="2"/>
  <c r="E1550" i="2"/>
  <c r="E1549" i="2"/>
  <c r="D1550" i="2"/>
  <c r="D1549" i="2"/>
  <c r="C1550" i="2"/>
  <c r="C1549" i="2"/>
  <c r="B1550" i="2"/>
  <c r="B1549" i="2"/>
  <c r="H1536" i="2"/>
  <c r="G1536" i="2"/>
  <c r="F1536" i="2"/>
  <c r="E1536" i="2"/>
  <c r="D1536" i="2"/>
  <c r="C1536" i="2"/>
  <c r="B1536" i="2"/>
  <c r="I1535" i="2"/>
  <c r="J1535" i="2"/>
  <c r="I1534" i="2"/>
  <c r="J1534" i="2"/>
  <c r="I1533" i="2"/>
  <c r="J1533" i="2"/>
  <c r="I1532" i="2"/>
  <c r="J1532" i="2"/>
  <c r="I1531" i="2"/>
  <c r="BD2174" i="2"/>
  <c r="I1530" i="2"/>
  <c r="J1530" i="2"/>
  <c r="BK2398" i="1"/>
  <c r="BK2401" i="1"/>
  <c r="H1764" i="1"/>
  <c r="H1763" i="1"/>
  <c r="G1764" i="1"/>
  <c r="G1763" i="1"/>
  <c r="F1764" i="1"/>
  <c r="F1763" i="1"/>
  <c r="E1764" i="1"/>
  <c r="E1763" i="1"/>
  <c r="D1764" i="1"/>
  <c r="D1763" i="1"/>
  <c r="C1764" i="1"/>
  <c r="C1763" i="1"/>
  <c r="B1764" i="1"/>
  <c r="B1763" i="1"/>
  <c r="H1750" i="1"/>
  <c r="G1750" i="1"/>
  <c r="F1750" i="1"/>
  <c r="E1750" i="1"/>
  <c r="D1750" i="1"/>
  <c r="C1750" i="1"/>
  <c r="B1750" i="1"/>
  <c r="I1749" i="1"/>
  <c r="J1749" i="1"/>
  <c r="I1748" i="1"/>
  <c r="J1748" i="1"/>
  <c r="I1747" i="1"/>
  <c r="J1747" i="1"/>
  <c r="I1746" i="1"/>
  <c r="J1746" i="1"/>
  <c r="I1745" i="1"/>
  <c r="BL2367" i="1"/>
  <c r="H219" i="6"/>
  <c r="G219" i="6"/>
  <c r="F219" i="6"/>
  <c r="E219" i="6"/>
  <c r="D219" i="6"/>
  <c r="C219" i="6"/>
  <c r="B219" i="6"/>
  <c r="H982" i="5"/>
  <c r="G982" i="5"/>
  <c r="F982" i="5"/>
  <c r="E982" i="5"/>
  <c r="D982" i="5"/>
  <c r="C982" i="5"/>
  <c r="B982" i="5"/>
  <c r="H1455" i="4"/>
  <c r="G1455" i="4"/>
  <c r="F1455" i="4"/>
  <c r="E1455" i="4"/>
  <c r="D1455" i="4"/>
  <c r="C1455" i="4"/>
  <c r="B1455" i="4"/>
  <c r="G1621" i="3"/>
  <c r="H1621" i="3"/>
  <c r="F1621" i="3"/>
  <c r="E1621" i="3"/>
  <c r="D1621" i="3"/>
  <c r="C1621" i="3"/>
  <c r="B1621" i="3"/>
  <c r="H1502" i="2"/>
  <c r="G1502" i="2"/>
  <c r="F1502" i="2"/>
  <c r="E1502" i="2"/>
  <c r="D1502" i="2"/>
  <c r="C1502" i="2"/>
  <c r="B1502" i="2"/>
  <c r="H1717" i="1"/>
  <c r="G1717" i="1"/>
  <c r="F1717" i="1"/>
  <c r="E1717" i="1"/>
  <c r="D1717" i="1"/>
  <c r="C1717" i="1"/>
  <c r="B1717" i="1"/>
  <c r="J393" i="6"/>
  <c r="J1156" i="5"/>
  <c r="J1157" i="5"/>
  <c r="J1795" i="3"/>
  <c r="J1796" i="3"/>
  <c r="BO2383" i="1"/>
  <c r="BO2384" i="1"/>
  <c r="J1654" i="2"/>
  <c r="J1655" i="2"/>
  <c r="J1750" i="3"/>
  <c r="I1482" i="4"/>
  <c r="J1482" i="4"/>
  <c r="I246" i="6"/>
  <c r="J246" i="6"/>
  <c r="I1113" i="5"/>
  <c r="AP1653" i="5"/>
  <c r="I1586" i="4"/>
  <c r="BG2126" i="4"/>
  <c r="I1751" i="3"/>
  <c r="J1837" i="1"/>
  <c r="J1838" i="1"/>
  <c r="B1579" i="2"/>
  <c r="B1573" i="2"/>
  <c r="J1771" i="1"/>
  <c r="BM2366" i="1"/>
  <c r="BM2399" i="1"/>
  <c r="J1773" i="1"/>
  <c r="BM2368" i="1"/>
  <c r="J1775" i="1"/>
  <c r="BM2370" i="1"/>
  <c r="J1558" i="2"/>
  <c r="BE2173" i="2"/>
  <c r="BE2201" i="2"/>
  <c r="J1560" i="2"/>
  <c r="BE2175" i="2"/>
  <c r="J1562" i="2"/>
  <c r="BE2177" i="2"/>
  <c r="J1675" i="3"/>
  <c r="BJ2269" i="3"/>
  <c r="BJ2296" i="3"/>
  <c r="J1677" i="3"/>
  <c r="BJ2271" i="3"/>
  <c r="J1679" i="3"/>
  <c r="BJ2273" i="3"/>
  <c r="J1512" i="4"/>
  <c r="BE2106" i="4"/>
  <c r="J1514" i="4"/>
  <c r="BE2108" i="4"/>
  <c r="J1040" i="5"/>
  <c r="AN1634" i="5"/>
  <c r="J276" i="6"/>
  <c r="L870" i="6"/>
  <c r="J278" i="6"/>
  <c r="L872" i="6"/>
  <c r="J1509" i="4"/>
  <c r="BE2103" i="4"/>
  <c r="BE2131" i="4"/>
  <c r="J1774" i="1"/>
  <c r="BM2369" i="1"/>
  <c r="J1776" i="1"/>
  <c r="BM2371" i="1"/>
  <c r="J1561" i="2"/>
  <c r="BE2176" i="2"/>
  <c r="J1563" i="2"/>
  <c r="BE2178" i="2"/>
  <c r="J1678" i="3"/>
  <c r="BJ2272" i="3"/>
  <c r="J1680" i="3"/>
  <c r="BJ2274" i="3"/>
  <c r="J1511" i="4"/>
  <c r="BE2105" i="4"/>
  <c r="J1513" i="4"/>
  <c r="BE2107" i="4"/>
  <c r="J1039" i="5"/>
  <c r="AN1633" i="5"/>
  <c r="J1041" i="5"/>
  <c r="AN1635" i="5"/>
  <c r="J275" i="6"/>
  <c r="L869" i="6"/>
  <c r="J277" i="6"/>
  <c r="L871" i="6"/>
  <c r="J1036" i="5"/>
  <c r="AN1630" i="5"/>
  <c r="AN1658" i="5"/>
  <c r="K869" i="6"/>
  <c r="K871" i="6"/>
  <c r="AM1632" i="5"/>
  <c r="I1009" i="5"/>
  <c r="J1009" i="5"/>
  <c r="AM1633" i="5"/>
  <c r="BD2105" i="4"/>
  <c r="BD2107" i="4"/>
  <c r="I279" i="6"/>
  <c r="C287" i="6"/>
  <c r="E1051" i="5"/>
  <c r="E1788" i="1"/>
  <c r="E1789" i="1"/>
  <c r="E1579" i="2"/>
  <c r="E1580" i="2"/>
  <c r="E1581" i="2"/>
  <c r="E1575" i="2"/>
  <c r="E1573" i="2"/>
  <c r="E1576" i="2"/>
  <c r="E1572" i="2"/>
  <c r="E1530" i="4"/>
  <c r="E1524" i="4"/>
  <c r="E1526" i="4"/>
  <c r="E1523" i="4"/>
  <c r="E294" i="6"/>
  <c r="E295" i="6"/>
  <c r="E296" i="6"/>
  <c r="E288" i="6"/>
  <c r="E1693" i="3"/>
  <c r="E1690" i="3"/>
  <c r="E1692" i="3"/>
  <c r="E1689" i="3"/>
  <c r="J249" i="6"/>
  <c r="K870" i="6"/>
  <c r="J251" i="6"/>
  <c r="K872" i="6"/>
  <c r="B1576" i="2"/>
  <c r="B1572" i="2"/>
  <c r="D1576" i="2"/>
  <c r="D1572" i="2"/>
  <c r="F1576" i="2"/>
  <c r="F1572" i="2"/>
  <c r="H1576" i="2"/>
  <c r="H1572" i="2"/>
  <c r="C1579" i="2"/>
  <c r="C1575" i="2"/>
  <c r="C1573" i="2"/>
  <c r="G1579" i="2"/>
  <c r="G1580" i="2"/>
  <c r="G1581" i="2"/>
  <c r="G1575" i="2"/>
  <c r="G1573" i="2"/>
  <c r="C1692" i="3"/>
  <c r="C1689" i="3"/>
  <c r="G1692" i="3"/>
  <c r="G1689" i="3"/>
  <c r="C1526" i="4"/>
  <c r="C1523" i="4"/>
  <c r="G1526" i="4"/>
  <c r="G1523" i="4"/>
  <c r="G290" i="6"/>
  <c r="B290" i="6"/>
  <c r="D290" i="6"/>
  <c r="E290" i="6"/>
  <c r="F290" i="6"/>
  <c r="H290" i="6"/>
  <c r="I290" i="6"/>
  <c r="G287" i="6"/>
  <c r="J1485" i="4"/>
  <c r="BD2106" i="4"/>
  <c r="J1487" i="4"/>
  <c r="BD2108" i="4"/>
  <c r="J1013" i="5"/>
  <c r="AM1634" i="5"/>
  <c r="C1789" i="1"/>
  <c r="C1786" i="1"/>
  <c r="G1789" i="1"/>
  <c r="G1786" i="1"/>
  <c r="J1038" i="5"/>
  <c r="C1057" i="5"/>
  <c r="C1051" i="5"/>
  <c r="G1057" i="5"/>
  <c r="G1058" i="5"/>
  <c r="G1059" i="5"/>
  <c r="G1051" i="5"/>
  <c r="BD2175" i="2"/>
  <c r="BI2271" i="3"/>
  <c r="E1786" i="1"/>
  <c r="C1572" i="2"/>
  <c r="G1572" i="2"/>
  <c r="D1573" i="2"/>
  <c r="H1573" i="2"/>
  <c r="B1575" i="2"/>
  <c r="F1575" i="2"/>
  <c r="C1576" i="2"/>
  <c r="G1576" i="2"/>
  <c r="D1579" i="2"/>
  <c r="H1579" i="2"/>
  <c r="H1580" i="2"/>
  <c r="H1581" i="2"/>
  <c r="BD2173" i="2"/>
  <c r="BD2201" i="2"/>
  <c r="BD2177" i="2"/>
  <c r="C1690" i="3"/>
  <c r="G1693" i="3"/>
  <c r="BI2273" i="3"/>
  <c r="C1524" i="4"/>
  <c r="G1530" i="4"/>
  <c r="BD2103" i="4"/>
  <c r="BD2131" i="4"/>
  <c r="E1057" i="5"/>
  <c r="C288" i="6"/>
  <c r="G294" i="6"/>
  <c r="K867" i="6"/>
  <c r="K894" i="6"/>
  <c r="I1777" i="1"/>
  <c r="I1564" i="2"/>
  <c r="BD2176" i="2"/>
  <c r="BD2178" i="2"/>
  <c r="I1681" i="3"/>
  <c r="BI2272" i="3"/>
  <c r="BI2274" i="3"/>
  <c r="I1515" i="4"/>
  <c r="I1042" i="5"/>
  <c r="AM1635" i="5"/>
  <c r="G288" i="6"/>
  <c r="E287" i="6"/>
  <c r="B294" i="6"/>
  <c r="B295" i="6"/>
  <c r="B296" i="6"/>
  <c r="B288" i="6"/>
  <c r="B291" i="6"/>
  <c r="B289" i="6"/>
  <c r="B287" i="6"/>
  <c r="D294" i="6"/>
  <c r="D288" i="6"/>
  <c r="D291" i="6"/>
  <c r="D289" i="6"/>
  <c r="D287" i="6"/>
  <c r="F294" i="6"/>
  <c r="F295" i="6"/>
  <c r="F296" i="6"/>
  <c r="F288" i="6"/>
  <c r="F291" i="6"/>
  <c r="F289" i="6"/>
  <c r="F287" i="6"/>
  <c r="H294" i="6"/>
  <c r="H295" i="6"/>
  <c r="H296" i="6"/>
  <c r="H288" i="6"/>
  <c r="H291" i="6"/>
  <c r="H289" i="6"/>
  <c r="H287" i="6"/>
  <c r="C289" i="6"/>
  <c r="E289" i="6"/>
  <c r="G289" i="6"/>
  <c r="C291" i="6"/>
  <c r="E291" i="6"/>
  <c r="G291" i="6"/>
  <c r="I273" i="6"/>
  <c r="L867" i="6"/>
  <c r="L894" i="6"/>
  <c r="C295" i="6"/>
  <c r="C296" i="6"/>
  <c r="I293" i="6"/>
  <c r="L887" i="6"/>
  <c r="L902" i="6"/>
  <c r="J274" i="6"/>
  <c r="J293" i="6"/>
  <c r="B1057" i="5"/>
  <c r="B1058" i="5"/>
  <c r="B1059" i="5"/>
  <c r="B1053" i="5"/>
  <c r="B1051" i="5"/>
  <c r="B1054" i="5"/>
  <c r="B1052" i="5"/>
  <c r="B1050" i="5"/>
  <c r="D1057" i="5"/>
  <c r="D1058" i="5"/>
  <c r="D1059" i="5"/>
  <c r="D1053" i="5"/>
  <c r="D1051" i="5"/>
  <c r="D1054" i="5"/>
  <c r="D1052" i="5"/>
  <c r="D1050" i="5"/>
  <c r="F1057" i="5"/>
  <c r="F1058" i="5"/>
  <c r="F1059" i="5"/>
  <c r="F1053" i="5"/>
  <c r="F1051" i="5"/>
  <c r="F1054" i="5"/>
  <c r="F1052" i="5"/>
  <c r="F1050" i="5"/>
  <c r="H1057" i="5"/>
  <c r="H1058" i="5"/>
  <c r="H1059" i="5"/>
  <c r="H1053" i="5"/>
  <c r="H1051" i="5"/>
  <c r="H1054" i="5"/>
  <c r="H1052" i="5"/>
  <c r="H1050" i="5"/>
  <c r="C1050" i="5"/>
  <c r="E1050" i="5"/>
  <c r="G1050" i="5"/>
  <c r="C1052" i="5"/>
  <c r="E1052" i="5"/>
  <c r="G1052" i="5"/>
  <c r="C1054" i="5"/>
  <c r="E1054" i="5"/>
  <c r="G1054" i="5"/>
  <c r="I1053" i="5"/>
  <c r="AN1647" i="5"/>
  <c r="AN1664" i="5"/>
  <c r="C1058" i="5"/>
  <c r="C1059" i="5"/>
  <c r="I1056" i="5"/>
  <c r="AN1650" i="5"/>
  <c r="AN1666" i="5"/>
  <c r="J1037" i="5"/>
  <c r="J1056" i="5"/>
  <c r="I1050" i="5"/>
  <c r="I1051" i="5"/>
  <c r="I1052" i="5"/>
  <c r="I1054" i="5"/>
  <c r="I1055" i="5"/>
  <c r="J1055" i="5"/>
  <c r="J1057" i="5"/>
  <c r="J1058" i="5"/>
  <c r="B1530" i="4"/>
  <c r="B1531" i="4"/>
  <c r="B1532" i="4"/>
  <c r="B1526" i="4"/>
  <c r="B1524" i="4"/>
  <c r="B1527" i="4"/>
  <c r="B1525" i="4"/>
  <c r="B1523" i="4"/>
  <c r="D1530" i="4"/>
  <c r="D1531" i="4"/>
  <c r="D1532" i="4"/>
  <c r="D1526" i="4"/>
  <c r="D1524" i="4"/>
  <c r="D1527" i="4"/>
  <c r="D1525" i="4"/>
  <c r="D1523" i="4"/>
  <c r="F1530" i="4"/>
  <c r="F1531" i="4"/>
  <c r="F1532" i="4"/>
  <c r="F1526" i="4"/>
  <c r="F1524" i="4"/>
  <c r="F1527" i="4"/>
  <c r="F1525" i="4"/>
  <c r="F1523" i="4"/>
  <c r="H1530" i="4"/>
  <c r="H1531" i="4"/>
  <c r="H1532" i="4"/>
  <c r="H1526" i="4"/>
  <c r="H1524" i="4"/>
  <c r="H1527" i="4"/>
  <c r="H1525" i="4"/>
  <c r="H1523" i="4"/>
  <c r="C1525" i="4"/>
  <c r="E1525" i="4"/>
  <c r="G1525" i="4"/>
  <c r="C1527" i="4"/>
  <c r="E1527" i="4"/>
  <c r="G1527" i="4"/>
  <c r="G1531" i="4"/>
  <c r="G1532" i="4"/>
  <c r="I1529" i="4"/>
  <c r="BE2123" i="4"/>
  <c r="BE2139" i="4"/>
  <c r="J1510" i="4"/>
  <c r="J1529" i="4"/>
  <c r="B1692" i="3"/>
  <c r="B1690" i="3"/>
  <c r="D1690" i="3"/>
  <c r="F1690" i="3"/>
  <c r="H1690" i="3"/>
  <c r="I1690" i="3"/>
  <c r="B1693" i="3"/>
  <c r="B1691" i="3"/>
  <c r="B1689" i="3"/>
  <c r="D1692" i="3"/>
  <c r="F1692" i="3"/>
  <c r="H1692" i="3"/>
  <c r="I1692" i="3"/>
  <c r="D1693" i="3"/>
  <c r="D1691" i="3"/>
  <c r="D1689" i="3"/>
  <c r="F1696" i="3"/>
  <c r="F1697" i="3"/>
  <c r="F1698" i="3"/>
  <c r="F1693" i="3"/>
  <c r="F1691" i="3"/>
  <c r="F1689" i="3"/>
  <c r="H1693" i="3"/>
  <c r="H1691" i="3"/>
  <c r="H1689" i="3"/>
  <c r="C1691" i="3"/>
  <c r="E1691" i="3"/>
  <c r="G1691" i="3"/>
  <c r="B1696" i="3"/>
  <c r="D1696" i="3"/>
  <c r="D1697" i="3"/>
  <c r="D1698" i="3"/>
  <c r="H1696" i="3"/>
  <c r="C1696" i="3"/>
  <c r="C1697" i="3"/>
  <c r="C1698" i="3"/>
  <c r="E1696" i="3"/>
  <c r="E1697" i="3"/>
  <c r="E1698" i="3"/>
  <c r="G1696" i="3"/>
  <c r="G1697" i="3"/>
  <c r="G1698" i="3"/>
  <c r="B1697" i="3"/>
  <c r="B1698" i="3"/>
  <c r="H1697" i="3"/>
  <c r="H1698" i="3"/>
  <c r="I1695" i="3"/>
  <c r="BJ2289" i="3"/>
  <c r="BJ2304" i="3"/>
  <c r="I1689" i="3"/>
  <c r="BJ2283" i="3"/>
  <c r="BJ2299" i="3"/>
  <c r="I1691" i="3"/>
  <c r="BJ2285" i="3"/>
  <c r="BJ2301" i="3"/>
  <c r="I1693" i="3"/>
  <c r="BJ2287" i="3"/>
  <c r="BJ2303" i="3"/>
  <c r="J1676" i="3"/>
  <c r="C1580" i="2"/>
  <c r="C1581" i="2"/>
  <c r="B1580" i="2"/>
  <c r="B1581" i="2"/>
  <c r="D1580" i="2"/>
  <c r="D1581" i="2"/>
  <c r="I1578" i="2"/>
  <c r="BE2193" i="2"/>
  <c r="BE2209" i="2"/>
  <c r="J1559" i="2"/>
  <c r="J1578" i="2"/>
  <c r="I1790" i="1"/>
  <c r="BM2390" i="1"/>
  <c r="B1788" i="1"/>
  <c r="D1788" i="1"/>
  <c r="F1788" i="1"/>
  <c r="H1788" i="1"/>
  <c r="I1788" i="1"/>
  <c r="B1786" i="1"/>
  <c r="B1789" i="1"/>
  <c r="B1787" i="1"/>
  <c r="B1785" i="1"/>
  <c r="D1786" i="1"/>
  <c r="F1786" i="1"/>
  <c r="H1786" i="1"/>
  <c r="I1786" i="1"/>
  <c r="D1789" i="1"/>
  <c r="D1787" i="1"/>
  <c r="D1785" i="1"/>
  <c r="F1792" i="1"/>
  <c r="F1793" i="1"/>
  <c r="F1794" i="1"/>
  <c r="F1789" i="1"/>
  <c r="F1787" i="1"/>
  <c r="F1785" i="1"/>
  <c r="H1789" i="1"/>
  <c r="H1787" i="1"/>
  <c r="H1785" i="1"/>
  <c r="C1785" i="1"/>
  <c r="E1785" i="1"/>
  <c r="G1785" i="1"/>
  <c r="C1787" i="1"/>
  <c r="E1787" i="1"/>
  <c r="G1787" i="1"/>
  <c r="BL2369" i="1"/>
  <c r="BL2371" i="1"/>
  <c r="BL2368" i="1"/>
  <c r="BL2370" i="1"/>
  <c r="B1792" i="1"/>
  <c r="B1793" i="1"/>
  <c r="D1792" i="1"/>
  <c r="D1793" i="1"/>
  <c r="D1794" i="1"/>
  <c r="H1792" i="1"/>
  <c r="C1792" i="1"/>
  <c r="C1793" i="1"/>
  <c r="C1794" i="1"/>
  <c r="E1792" i="1"/>
  <c r="E1793" i="1"/>
  <c r="E1794" i="1"/>
  <c r="G1792" i="1"/>
  <c r="G1793" i="1"/>
  <c r="G1794" i="1"/>
  <c r="J1790" i="1"/>
  <c r="I1791" i="1"/>
  <c r="BM2391" i="1"/>
  <c r="BM2407" i="1"/>
  <c r="I1785" i="1"/>
  <c r="BM2385" i="1"/>
  <c r="BM2402" i="1"/>
  <c r="I1787" i="1"/>
  <c r="BM2387" i="1"/>
  <c r="BM2404" i="1"/>
  <c r="I1789" i="1"/>
  <c r="BM2389" i="1"/>
  <c r="BM2406" i="1"/>
  <c r="J1772" i="1"/>
  <c r="I252" i="6"/>
  <c r="I1488" i="4"/>
  <c r="I1536" i="2"/>
  <c r="C1548" i="2"/>
  <c r="C1546" i="2"/>
  <c r="C1544" i="2"/>
  <c r="C1551" i="2"/>
  <c r="C1547" i="2"/>
  <c r="C1545" i="2"/>
  <c r="E1548" i="2"/>
  <c r="E1546" i="2"/>
  <c r="E1544" i="2"/>
  <c r="E1551" i="2"/>
  <c r="E1547" i="2"/>
  <c r="E1545" i="2"/>
  <c r="G1548" i="2"/>
  <c r="G1546" i="2"/>
  <c r="G1544" i="2"/>
  <c r="G1551" i="2"/>
  <c r="G1547" i="2"/>
  <c r="G1545" i="2"/>
  <c r="G1664" i="3"/>
  <c r="G1669" i="3"/>
  <c r="G1662" i="3"/>
  <c r="C1027" i="5"/>
  <c r="C1025" i="5"/>
  <c r="C1023" i="5"/>
  <c r="C1030" i="5"/>
  <c r="C1031" i="5"/>
  <c r="C1032" i="5"/>
  <c r="C1026" i="5"/>
  <c r="C1024" i="5"/>
  <c r="E1027" i="5"/>
  <c r="E1025" i="5"/>
  <c r="E1023" i="5"/>
  <c r="E1030" i="5"/>
  <c r="E1031" i="5"/>
  <c r="E1032" i="5"/>
  <c r="E1026" i="5"/>
  <c r="E1024" i="5"/>
  <c r="G1027" i="5"/>
  <c r="G1025" i="5"/>
  <c r="G1023" i="5"/>
  <c r="G1030" i="5"/>
  <c r="G1031" i="5"/>
  <c r="G1032" i="5"/>
  <c r="G1026" i="5"/>
  <c r="G1024" i="5"/>
  <c r="B1551" i="2"/>
  <c r="B1547" i="2"/>
  <c r="B1545" i="2"/>
  <c r="B1548" i="2"/>
  <c r="B1546" i="2"/>
  <c r="B1544" i="2"/>
  <c r="D1551" i="2"/>
  <c r="D1552" i="2"/>
  <c r="D1553" i="2"/>
  <c r="D1547" i="2"/>
  <c r="D1545" i="2"/>
  <c r="D1548" i="2"/>
  <c r="D1546" i="2"/>
  <c r="D1544" i="2"/>
  <c r="F1551" i="2"/>
  <c r="F1547" i="2"/>
  <c r="F1545" i="2"/>
  <c r="F1548" i="2"/>
  <c r="F1546" i="2"/>
  <c r="F1544" i="2"/>
  <c r="H1551" i="2"/>
  <c r="H1552" i="2"/>
  <c r="H1553" i="2"/>
  <c r="H1547" i="2"/>
  <c r="H1545" i="2"/>
  <c r="H1548" i="2"/>
  <c r="H1546" i="2"/>
  <c r="H1544" i="2"/>
  <c r="C1503" i="4"/>
  <c r="C1504" i="4"/>
  <c r="C1505" i="4"/>
  <c r="C1497" i="4"/>
  <c r="C1499" i="4"/>
  <c r="E1499" i="4"/>
  <c r="E1503" i="4"/>
  <c r="E1504" i="4"/>
  <c r="E1505" i="4"/>
  <c r="E1497" i="4"/>
  <c r="G1503" i="4"/>
  <c r="G1504" i="4"/>
  <c r="G1505" i="4"/>
  <c r="G1497" i="4"/>
  <c r="G1499" i="4"/>
  <c r="B1030" i="5"/>
  <c r="B1031" i="5"/>
  <c r="B1032" i="5"/>
  <c r="B1026" i="5"/>
  <c r="B1024" i="5"/>
  <c r="B1027" i="5"/>
  <c r="B1025" i="5"/>
  <c r="B1023" i="5"/>
  <c r="D1030" i="5"/>
  <c r="D1026" i="5"/>
  <c r="D1024" i="5"/>
  <c r="D1027" i="5"/>
  <c r="D1025" i="5"/>
  <c r="D1023" i="5"/>
  <c r="F1030" i="5"/>
  <c r="F1026" i="5"/>
  <c r="F1024" i="5"/>
  <c r="F1027" i="5"/>
  <c r="F1025" i="5"/>
  <c r="F1023" i="5"/>
  <c r="H1030" i="5"/>
  <c r="H1031" i="5"/>
  <c r="H1032" i="5"/>
  <c r="H1026" i="5"/>
  <c r="H1024" i="5"/>
  <c r="H1027" i="5"/>
  <c r="H1025" i="5"/>
  <c r="H1023" i="5"/>
  <c r="I1015" i="5"/>
  <c r="AM1636" i="5"/>
  <c r="AM1659" i="5"/>
  <c r="B260" i="6"/>
  <c r="B267" i="6"/>
  <c r="B268" i="6"/>
  <c r="B263" i="6"/>
  <c r="B261" i="6"/>
  <c r="D267" i="6"/>
  <c r="D261" i="6"/>
  <c r="D260" i="6"/>
  <c r="F261" i="6"/>
  <c r="F267" i="6"/>
  <c r="F263" i="6"/>
  <c r="F262" i="6"/>
  <c r="H267" i="6"/>
  <c r="H268" i="6"/>
  <c r="H269" i="6"/>
  <c r="H260" i="6"/>
  <c r="H261" i="6"/>
  <c r="F260" i="6"/>
  <c r="D262" i="6"/>
  <c r="H262" i="6"/>
  <c r="D263" i="6"/>
  <c r="H263" i="6"/>
  <c r="C267" i="6"/>
  <c r="C268" i="6"/>
  <c r="C269" i="6"/>
  <c r="C264" i="6"/>
  <c r="C262" i="6"/>
  <c r="C260" i="6"/>
  <c r="C263" i="6"/>
  <c r="C261" i="6"/>
  <c r="E267" i="6"/>
  <c r="E268" i="6"/>
  <c r="E269" i="6"/>
  <c r="E264" i="6"/>
  <c r="E262" i="6"/>
  <c r="E260" i="6"/>
  <c r="E263" i="6"/>
  <c r="E261" i="6"/>
  <c r="G267" i="6"/>
  <c r="G264" i="6"/>
  <c r="G262" i="6"/>
  <c r="G260" i="6"/>
  <c r="G263" i="6"/>
  <c r="G261" i="6"/>
  <c r="B262" i="6"/>
  <c r="B264" i="6"/>
  <c r="D264" i="6"/>
  <c r="F264" i="6"/>
  <c r="H264" i="6"/>
  <c r="D268" i="6"/>
  <c r="D269" i="6"/>
  <c r="F268" i="6"/>
  <c r="F269" i="6"/>
  <c r="I266" i="6"/>
  <c r="K887" i="6"/>
  <c r="K902" i="6"/>
  <c r="J247" i="6"/>
  <c r="J266" i="6"/>
  <c r="I260" i="6"/>
  <c r="I261" i="6"/>
  <c r="I262" i="6"/>
  <c r="I263" i="6"/>
  <c r="I264" i="6"/>
  <c r="I265" i="6"/>
  <c r="J265" i="6"/>
  <c r="J267" i="6"/>
  <c r="J268" i="6"/>
  <c r="I1029" i="5"/>
  <c r="AM1650" i="5"/>
  <c r="AM1666" i="5"/>
  <c r="J1010" i="5"/>
  <c r="J1029" i="5"/>
  <c r="B1503" i="4"/>
  <c r="B1504" i="4"/>
  <c r="B1505" i="4"/>
  <c r="B1499" i="4"/>
  <c r="B1497" i="4"/>
  <c r="B1500" i="4"/>
  <c r="B1498" i="4"/>
  <c r="B1496" i="4"/>
  <c r="D1503" i="4"/>
  <c r="D1504" i="4"/>
  <c r="D1505" i="4"/>
  <c r="D1499" i="4"/>
  <c r="D1497" i="4"/>
  <c r="D1500" i="4"/>
  <c r="D1498" i="4"/>
  <c r="D1496" i="4"/>
  <c r="F1503" i="4"/>
  <c r="F1504" i="4"/>
  <c r="F1505" i="4"/>
  <c r="F1499" i="4"/>
  <c r="F1497" i="4"/>
  <c r="F1500" i="4"/>
  <c r="F1498" i="4"/>
  <c r="F1496" i="4"/>
  <c r="H1503" i="4"/>
  <c r="H1504" i="4"/>
  <c r="H1499" i="4"/>
  <c r="H1497" i="4"/>
  <c r="H1500" i="4"/>
  <c r="H1498" i="4"/>
  <c r="H1496" i="4"/>
  <c r="C1496" i="4"/>
  <c r="E1496" i="4"/>
  <c r="G1496" i="4"/>
  <c r="C1498" i="4"/>
  <c r="E1498" i="4"/>
  <c r="G1498" i="4"/>
  <c r="C1500" i="4"/>
  <c r="E1500" i="4"/>
  <c r="G1500" i="4"/>
  <c r="I1502" i="4"/>
  <c r="BD2123" i="4"/>
  <c r="BD2139" i="4"/>
  <c r="J1483" i="4"/>
  <c r="J1502" i="4"/>
  <c r="I1654" i="3"/>
  <c r="BI2275" i="3"/>
  <c r="BI2297" i="3"/>
  <c r="E1669" i="3"/>
  <c r="E1670" i="3"/>
  <c r="E1671" i="3"/>
  <c r="E1664" i="3"/>
  <c r="E1662" i="3"/>
  <c r="E1665" i="3"/>
  <c r="E1663" i="3"/>
  <c r="I1648" i="3"/>
  <c r="BI2269" i="3"/>
  <c r="BI2296" i="3"/>
  <c r="G1663" i="3"/>
  <c r="G1665" i="3"/>
  <c r="F1666" i="3"/>
  <c r="F1664" i="3"/>
  <c r="F1662" i="3"/>
  <c r="F1669" i="3"/>
  <c r="F1665" i="3"/>
  <c r="F1663" i="3"/>
  <c r="G1670" i="3"/>
  <c r="G1671" i="3"/>
  <c r="E1666" i="3"/>
  <c r="G1666" i="3"/>
  <c r="I1668" i="3"/>
  <c r="BI2289" i="3"/>
  <c r="BI2304" i="3"/>
  <c r="D1662" i="3"/>
  <c r="H1662" i="3"/>
  <c r="D1663" i="3"/>
  <c r="H1663" i="3"/>
  <c r="D1664" i="3"/>
  <c r="H1664" i="3"/>
  <c r="D1665" i="3"/>
  <c r="H1665" i="3"/>
  <c r="D1666" i="3"/>
  <c r="H1666" i="3"/>
  <c r="J1649" i="3"/>
  <c r="I1545" i="2"/>
  <c r="BD2188" i="2"/>
  <c r="BD2205" i="2"/>
  <c r="C1552" i="2"/>
  <c r="C1553" i="2"/>
  <c r="G1552" i="2"/>
  <c r="G1553" i="2"/>
  <c r="B1552" i="2"/>
  <c r="B1553" i="2"/>
  <c r="F1552" i="2"/>
  <c r="F1553" i="2"/>
  <c r="I1550" i="2"/>
  <c r="BD2193" i="2"/>
  <c r="BD2209" i="2"/>
  <c r="J1531" i="2"/>
  <c r="J1550" i="2"/>
  <c r="I1750" i="1"/>
  <c r="BL2372" i="1"/>
  <c r="BL2400" i="1"/>
  <c r="I1744" i="1"/>
  <c r="BL2366" i="1"/>
  <c r="BL2399" i="1"/>
  <c r="I1764" i="1"/>
  <c r="BL2391" i="1"/>
  <c r="BL2407" i="1"/>
  <c r="J1745" i="1"/>
  <c r="B56" i="11"/>
  <c r="B59" i="11"/>
  <c r="H22" i="11"/>
  <c r="G22" i="11"/>
  <c r="E22" i="11"/>
  <c r="D22" i="11"/>
  <c r="C22" i="11"/>
  <c r="F22" i="11"/>
  <c r="F24" i="11"/>
  <c r="B22" i="11"/>
  <c r="B20" i="11"/>
  <c r="C20" i="11"/>
  <c r="D20" i="11"/>
  <c r="E20" i="11"/>
  <c r="F20" i="11"/>
  <c r="G20" i="11"/>
  <c r="H20" i="11"/>
  <c r="I20" i="11"/>
  <c r="F18" i="11"/>
  <c r="H9" i="11"/>
  <c r="G9" i="11"/>
  <c r="F9" i="11"/>
  <c r="E9" i="11"/>
  <c r="D9" i="11"/>
  <c r="C9" i="11"/>
  <c r="B9" i="11"/>
  <c r="I8" i="11"/>
  <c r="B35" i="11"/>
  <c r="I7" i="11"/>
  <c r="B34" i="11"/>
  <c r="I6" i="11"/>
  <c r="B33" i="11"/>
  <c r="I5" i="11"/>
  <c r="B32" i="11"/>
  <c r="I4" i="11"/>
  <c r="I3" i="11"/>
  <c r="B30" i="11"/>
  <c r="I893" i="6"/>
  <c r="I896" i="6"/>
  <c r="H239" i="6"/>
  <c r="H238" i="6"/>
  <c r="G239" i="6"/>
  <c r="G238" i="6"/>
  <c r="F239" i="6"/>
  <c r="F238" i="6"/>
  <c r="E239" i="6"/>
  <c r="E238" i="6"/>
  <c r="D239" i="6"/>
  <c r="D238" i="6"/>
  <c r="C239" i="6"/>
  <c r="C238" i="6"/>
  <c r="B239" i="6"/>
  <c r="B238" i="6"/>
  <c r="H225" i="6"/>
  <c r="G225" i="6"/>
  <c r="F225" i="6"/>
  <c r="E225" i="6"/>
  <c r="D225" i="6"/>
  <c r="C225" i="6"/>
  <c r="B225" i="6"/>
  <c r="I224" i="6"/>
  <c r="I223" i="6"/>
  <c r="I222" i="6"/>
  <c r="I221" i="6"/>
  <c r="I220" i="6"/>
  <c r="J868" i="6"/>
  <c r="AK1657" i="5"/>
  <c r="AK1660" i="5"/>
  <c r="H1002" i="5"/>
  <c r="H1001" i="5"/>
  <c r="G1002" i="5"/>
  <c r="G1001" i="5"/>
  <c r="F1002" i="5"/>
  <c r="F1001" i="5"/>
  <c r="E1002" i="5"/>
  <c r="E1001" i="5"/>
  <c r="D1002" i="5"/>
  <c r="D1001" i="5"/>
  <c r="C1002" i="5"/>
  <c r="C1001" i="5"/>
  <c r="B1002" i="5"/>
  <c r="B1001" i="5"/>
  <c r="H988" i="5"/>
  <c r="G988" i="5"/>
  <c r="F988" i="5"/>
  <c r="E988" i="5"/>
  <c r="D988" i="5"/>
  <c r="C988" i="5"/>
  <c r="B988" i="5"/>
  <c r="I987" i="5"/>
  <c r="I986" i="5"/>
  <c r="I985" i="5"/>
  <c r="I984" i="5"/>
  <c r="I983" i="5"/>
  <c r="AL1631" i="5"/>
  <c r="I982" i="5"/>
  <c r="BB2130" i="4"/>
  <c r="BB2133" i="4"/>
  <c r="H1475" i="4"/>
  <c r="H1474" i="4"/>
  <c r="G1475" i="4"/>
  <c r="G1474" i="4"/>
  <c r="F1475" i="4"/>
  <c r="F1474" i="4"/>
  <c r="E1475" i="4"/>
  <c r="E1474" i="4"/>
  <c r="D1475" i="4"/>
  <c r="D1474" i="4"/>
  <c r="C1475" i="4"/>
  <c r="C1474" i="4"/>
  <c r="B1475" i="4"/>
  <c r="B1474" i="4"/>
  <c r="H1461" i="4"/>
  <c r="G1461" i="4"/>
  <c r="F1461" i="4"/>
  <c r="E1461" i="4"/>
  <c r="D1461" i="4"/>
  <c r="C1461" i="4"/>
  <c r="B1461" i="4"/>
  <c r="I1460" i="4"/>
  <c r="I1459" i="4"/>
  <c r="I1458" i="4"/>
  <c r="I1457" i="4"/>
  <c r="I1456" i="4"/>
  <c r="BC2104" i="4"/>
  <c r="I1455" i="4"/>
  <c r="BG2295" i="3"/>
  <c r="BG2298" i="3"/>
  <c r="H1641" i="3"/>
  <c r="H1640" i="3"/>
  <c r="G1641" i="3"/>
  <c r="G1640" i="3"/>
  <c r="F1641" i="3"/>
  <c r="F1640" i="3"/>
  <c r="E1641" i="3"/>
  <c r="E1640" i="3"/>
  <c r="D1641" i="3"/>
  <c r="D1640" i="3"/>
  <c r="C1641" i="3"/>
  <c r="C1640" i="3"/>
  <c r="B1641" i="3"/>
  <c r="B1640" i="3"/>
  <c r="H1627" i="3"/>
  <c r="G1627" i="3"/>
  <c r="F1627" i="3"/>
  <c r="E1627" i="3"/>
  <c r="D1627" i="3"/>
  <c r="C1627" i="3"/>
  <c r="B1627" i="3"/>
  <c r="I1626" i="3"/>
  <c r="I1625" i="3"/>
  <c r="I1624" i="3"/>
  <c r="I1623" i="3"/>
  <c r="I1622" i="3"/>
  <c r="BH2270" i="3"/>
  <c r="I1621" i="3"/>
  <c r="BB2200" i="2"/>
  <c r="BB2203" i="2"/>
  <c r="H1522" i="2"/>
  <c r="H1521" i="2"/>
  <c r="G1522" i="2"/>
  <c r="G1521" i="2"/>
  <c r="F1522" i="2"/>
  <c r="F1521" i="2"/>
  <c r="E1522" i="2"/>
  <c r="E1521" i="2"/>
  <c r="D1522" i="2"/>
  <c r="D1521" i="2"/>
  <c r="C1522" i="2"/>
  <c r="C1521" i="2"/>
  <c r="B1522" i="2"/>
  <c r="B1521" i="2"/>
  <c r="H1508" i="2"/>
  <c r="G1508" i="2"/>
  <c r="F1508" i="2"/>
  <c r="E1508" i="2"/>
  <c r="D1508" i="2"/>
  <c r="C1508" i="2"/>
  <c r="B1508" i="2"/>
  <c r="I1507" i="2"/>
  <c r="I1506" i="2"/>
  <c r="I1505" i="2"/>
  <c r="I1504" i="2"/>
  <c r="I1503" i="2"/>
  <c r="BC2174" i="2"/>
  <c r="I1502" i="2"/>
  <c r="BJ2398" i="1"/>
  <c r="BJ2401" i="1"/>
  <c r="H1737" i="1"/>
  <c r="H1736" i="1"/>
  <c r="G1737" i="1"/>
  <c r="F1737" i="1"/>
  <c r="F1736" i="1"/>
  <c r="E1737" i="1"/>
  <c r="D1737" i="1"/>
  <c r="D1736" i="1"/>
  <c r="C1737" i="1"/>
  <c r="B1737" i="1"/>
  <c r="B1736" i="1"/>
  <c r="H1723" i="1"/>
  <c r="G1723" i="1"/>
  <c r="F1723" i="1"/>
  <c r="E1723" i="1"/>
  <c r="D1723" i="1"/>
  <c r="C1723" i="1"/>
  <c r="B1723" i="1"/>
  <c r="I1722" i="1"/>
  <c r="I1721" i="1"/>
  <c r="I1720" i="1"/>
  <c r="I1719" i="1"/>
  <c r="I1718" i="1"/>
  <c r="BK2367" i="1"/>
  <c r="I1717" i="1"/>
  <c r="H192" i="6"/>
  <c r="G192" i="6"/>
  <c r="F192" i="6"/>
  <c r="E192" i="6"/>
  <c r="D192" i="6"/>
  <c r="C192" i="6"/>
  <c r="B192" i="6"/>
  <c r="H955" i="5"/>
  <c r="G955" i="5"/>
  <c r="F955" i="5"/>
  <c r="E955" i="5"/>
  <c r="D955" i="5"/>
  <c r="C955" i="5"/>
  <c r="B955" i="5"/>
  <c r="H1428" i="4"/>
  <c r="G1428" i="4"/>
  <c r="F1428" i="4"/>
  <c r="E1428" i="4"/>
  <c r="D1428" i="4"/>
  <c r="C1428" i="4"/>
  <c r="B1428" i="4"/>
  <c r="H1594" i="3"/>
  <c r="G1594" i="3"/>
  <c r="F1594" i="3"/>
  <c r="E1594" i="3"/>
  <c r="D1594" i="3"/>
  <c r="C1594" i="3"/>
  <c r="B1594" i="3"/>
  <c r="H1474" i="2"/>
  <c r="G1474" i="2"/>
  <c r="F1474" i="2"/>
  <c r="B31" i="11"/>
  <c r="I23" i="11"/>
  <c r="AM1630" i="5"/>
  <c r="AM1658" i="5"/>
  <c r="I1103" i="5"/>
  <c r="AP1643" i="5"/>
  <c r="I1576" i="4"/>
  <c r="BG2116" i="4"/>
  <c r="I1752" i="3"/>
  <c r="BL2292" i="3"/>
  <c r="BL2291" i="3"/>
  <c r="I1102" i="5"/>
  <c r="AP1642" i="5"/>
  <c r="I1575" i="4"/>
  <c r="BG2115" i="4"/>
  <c r="I1544" i="2"/>
  <c r="BD2187" i="2"/>
  <c r="BD2204" i="2"/>
  <c r="I1575" i="2"/>
  <c r="BE2190" i="2"/>
  <c r="BE2207" i="2"/>
  <c r="J1113" i="5"/>
  <c r="J1102" i="5"/>
  <c r="J1586" i="4"/>
  <c r="J1575" i="4"/>
  <c r="I1741" i="3"/>
  <c r="BL2281" i="3"/>
  <c r="J1751" i="3"/>
  <c r="J1515" i="4"/>
  <c r="BE2109" i="4"/>
  <c r="BE2132" i="4"/>
  <c r="J1564" i="2"/>
  <c r="BE2179" i="2"/>
  <c r="BE2202" i="2"/>
  <c r="J1042" i="5"/>
  <c r="AN1636" i="5"/>
  <c r="AN1659" i="5"/>
  <c r="J1681" i="3"/>
  <c r="BJ2275" i="3"/>
  <c r="BJ2297" i="3"/>
  <c r="J1777" i="1"/>
  <c r="BM2372" i="1"/>
  <c r="BM2400" i="1"/>
  <c r="J279" i="6"/>
  <c r="L873" i="6"/>
  <c r="L895" i="6"/>
  <c r="I1026" i="5"/>
  <c r="AM1647" i="5"/>
  <c r="AM1664" i="5"/>
  <c r="I1546" i="2"/>
  <c r="BD2189" i="2"/>
  <c r="BD2206" i="2"/>
  <c r="I1547" i="2"/>
  <c r="BD2190" i="2"/>
  <c r="BD2207" i="2"/>
  <c r="I1024" i="5"/>
  <c r="AM1645" i="5"/>
  <c r="AM1662" i="5"/>
  <c r="J1053" i="5"/>
  <c r="I1524" i="4"/>
  <c r="BE2118" i="4"/>
  <c r="BE2135" i="4"/>
  <c r="J1488" i="4"/>
  <c r="BD2109" i="4"/>
  <c r="BD2132" i="4"/>
  <c r="J1536" i="2"/>
  <c r="BD2179" i="2"/>
  <c r="BD2202" i="2"/>
  <c r="J252" i="6"/>
  <c r="K873" i="6"/>
  <c r="K895" i="6"/>
  <c r="J1545" i="2"/>
  <c r="K883" i="6"/>
  <c r="K899" i="6"/>
  <c r="K884" i="6"/>
  <c r="K900" i="6"/>
  <c r="I1572" i="2"/>
  <c r="BE2187" i="2"/>
  <c r="BE2204" i="2"/>
  <c r="I1576" i="2"/>
  <c r="BE2191" i="2"/>
  <c r="BE2208" i="2"/>
  <c r="J273" i="6"/>
  <c r="I289" i="6"/>
  <c r="L883" i="6"/>
  <c r="L899" i="6"/>
  <c r="I288" i="6"/>
  <c r="L882" i="6"/>
  <c r="L898" i="6"/>
  <c r="I287" i="6"/>
  <c r="L881" i="6"/>
  <c r="L897" i="6"/>
  <c r="I291" i="6"/>
  <c r="L885" i="6"/>
  <c r="L901" i="6"/>
  <c r="AN1645" i="5"/>
  <c r="AN1662" i="5"/>
  <c r="AN1646" i="5"/>
  <c r="AN1663" i="5"/>
  <c r="AN1644" i="5"/>
  <c r="AN1661" i="5"/>
  <c r="AN1648" i="5"/>
  <c r="AN1665" i="5"/>
  <c r="C1049" i="5"/>
  <c r="C1048" i="5"/>
  <c r="I1526" i="4"/>
  <c r="BE2120" i="4"/>
  <c r="BE2137" i="4"/>
  <c r="I1525" i="4"/>
  <c r="BE2119" i="4"/>
  <c r="BE2136" i="4"/>
  <c r="I1523" i="4"/>
  <c r="BE2117" i="4"/>
  <c r="BE2134" i="4"/>
  <c r="I1527" i="4"/>
  <c r="BE2121" i="4"/>
  <c r="BE2138" i="4"/>
  <c r="J1695" i="3"/>
  <c r="H1687" i="3"/>
  <c r="H1688" i="3"/>
  <c r="B1687" i="3"/>
  <c r="B1688" i="3"/>
  <c r="D1570" i="2"/>
  <c r="D1571" i="2"/>
  <c r="B1570" i="2"/>
  <c r="B1571" i="2"/>
  <c r="C1571" i="2"/>
  <c r="C1570" i="2"/>
  <c r="J1789" i="1"/>
  <c r="J1782" i="1"/>
  <c r="J1785" i="1"/>
  <c r="J1778" i="1"/>
  <c r="B1794" i="1"/>
  <c r="B1784" i="1"/>
  <c r="J1791" i="1"/>
  <c r="I1792" i="1"/>
  <c r="BM2392" i="1"/>
  <c r="B1783" i="1"/>
  <c r="J1717" i="1"/>
  <c r="BK2366" i="1"/>
  <c r="BK2399" i="1"/>
  <c r="J1505" i="2"/>
  <c r="BC2176" i="2"/>
  <c r="J1507" i="2"/>
  <c r="BC2178" i="2"/>
  <c r="J1621" i="3"/>
  <c r="BH2269" i="3"/>
  <c r="BH2296" i="3"/>
  <c r="J1458" i="4"/>
  <c r="BC2106" i="4"/>
  <c r="J1460" i="4"/>
  <c r="BC2108" i="4"/>
  <c r="J982" i="5"/>
  <c r="AL1630" i="5"/>
  <c r="AL1658" i="5"/>
  <c r="J984" i="5"/>
  <c r="AL1632" i="5"/>
  <c r="J986" i="5"/>
  <c r="AL1634" i="5"/>
  <c r="J221" i="6"/>
  <c r="J869" i="6"/>
  <c r="J223" i="6"/>
  <c r="J871" i="6"/>
  <c r="J1015" i="5"/>
  <c r="J262" i="6"/>
  <c r="I1023" i="5"/>
  <c r="AM1644" i="5"/>
  <c r="AM1661" i="5"/>
  <c r="I1027" i="5"/>
  <c r="AM1648" i="5"/>
  <c r="AM1665" i="5"/>
  <c r="J1502" i="2"/>
  <c r="BC2173" i="2"/>
  <c r="BC2201" i="2"/>
  <c r="J1504" i="2"/>
  <c r="BC2175" i="2"/>
  <c r="J1506" i="2"/>
  <c r="BC2177" i="2"/>
  <c r="J1455" i="4"/>
  <c r="BC2103" i="4"/>
  <c r="BC2131" i="4"/>
  <c r="J1457" i="4"/>
  <c r="BC2105" i="4"/>
  <c r="J1459" i="4"/>
  <c r="BC2107" i="4"/>
  <c r="J985" i="5"/>
  <c r="AL1633" i="5"/>
  <c r="J987" i="5"/>
  <c r="AL1635" i="5"/>
  <c r="J222" i="6"/>
  <c r="J870" i="6"/>
  <c r="J224" i="6"/>
  <c r="J872" i="6"/>
  <c r="I1025" i="5"/>
  <c r="AM1646" i="5"/>
  <c r="AM1663" i="5"/>
  <c r="I1548" i="2"/>
  <c r="BD2191" i="2"/>
  <c r="BD2208" i="2"/>
  <c r="J263" i="6"/>
  <c r="K882" i="6"/>
  <c r="K898" i="6"/>
  <c r="K881" i="6"/>
  <c r="K897" i="6"/>
  <c r="J260" i="6"/>
  <c r="K885" i="6"/>
  <c r="K901" i="6"/>
  <c r="D258" i="6"/>
  <c r="D259" i="6"/>
  <c r="F258" i="6"/>
  <c r="F259" i="6"/>
  <c r="H1505" i="4"/>
  <c r="H1495" i="4"/>
  <c r="J1720" i="1"/>
  <c r="BK2369" i="1"/>
  <c r="J1722" i="1"/>
  <c r="BK2371" i="1"/>
  <c r="J1624" i="3"/>
  <c r="BH2272" i="3"/>
  <c r="J1626" i="3"/>
  <c r="BH2274" i="3"/>
  <c r="J1719" i="1"/>
  <c r="BK2368" i="1"/>
  <c r="J1721" i="1"/>
  <c r="BK2370" i="1"/>
  <c r="J1623" i="3"/>
  <c r="BH2271" i="3"/>
  <c r="J1625" i="3"/>
  <c r="BH2273" i="3"/>
  <c r="I1498" i="4"/>
  <c r="BD2119" i="4"/>
  <c r="BD2136" i="4"/>
  <c r="I1497" i="4"/>
  <c r="BD2118" i="4"/>
  <c r="BD2135" i="4"/>
  <c r="I1496" i="4"/>
  <c r="BD2117" i="4"/>
  <c r="BD2134" i="4"/>
  <c r="I1500" i="4"/>
  <c r="BD2121" i="4"/>
  <c r="BD2138" i="4"/>
  <c r="I1499" i="4"/>
  <c r="BD2120" i="4"/>
  <c r="BD2137" i="4"/>
  <c r="H1494" i="4"/>
  <c r="J1668" i="3"/>
  <c r="J1648" i="3"/>
  <c r="J1654" i="3"/>
  <c r="F1670" i="3"/>
  <c r="F1671" i="3"/>
  <c r="D1669" i="3"/>
  <c r="H1669" i="3"/>
  <c r="J1546" i="2"/>
  <c r="G1543" i="2"/>
  <c r="G1542" i="2"/>
  <c r="C1543" i="2"/>
  <c r="C1542" i="2"/>
  <c r="F1542" i="2"/>
  <c r="F1543" i="2"/>
  <c r="B1542" i="2"/>
  <c r="B1543" i="2"/>
  <c r="J1764" i="1"/>
  <c r="J1744" i="1"/>
  <c r="J1750" i="1"/>
  <c r="I1461" i="4"/>
  <c r="I1627" i="3"/>
  <c r="I1508" i="2"/>
  <c r="G1736" i="1"/>
  <c r="G1735" i="1"/>
  <c r="E1736" i="1"/>
  <c r="E1734" i="1"/>
  <c r="C1736" i="1"/>
  <c r="C1732" i="1"/>
  <c r="B237" i="6"/>
  <c r="B235" i="6"/>
  <c r="B233" i="6"/>
  <c r="B240" i="6"/>
  <c r="B241" i="6"/>
  <c r="B242" i="6"/>
  <c r="B236" i="6"/>
  <c r="B234" i="6"/>
  <c r="C234" i="6"/>
  <c r="D234" i="6"/>
  <c r="E234" i="6"/>
  <c r="F234" i="6"/>
  <c r="G234" i="6"/>
  <c r="H234" i="6"/>
  <c r="I234" i="6"/>
  <c r="D237" i="6"/>
  <c r="D235" i="6"/>
  <c r="D233" i="6"/>
  <c r="D240" i="6"/>
  <c r="D241" i="6"/>
  <c r="D242" i="6"/>
  <c r="D236" i="6"/>
  <c r="F237" i="6"/>
  <c r="F235" i="6"/>
  <c r="F233" i="6"/>
  <c r="F240" i="6"/>
  <c r="F241" i="6"/>
  <c r="F242" i="6"/>
  <c r="F236" i="6"/>
  <c r="H237" i="6"/>
  <c r="H235" i="6"/>
  <c r="H233" i="6"/>
  <c r="H240" i="6"/>
  <c r="H241" i="6"/>
  <c r="H242" i="6"/>
  <c r="H236" i="6"/>
  <c r="C1735" i="1"/>
  <c r="C240" i="6"/>
  <c r="C241" i="6"/>
  <c r="C242" i="6"/>
  <c r="C236" i="6"/>
  <c r="C237" i="6"/>
  <c r="C235" i="6"/>
  <c r="C233" i="6"/>
  <c r="E240" i="6"/>
  <c r="E241" i="6"/>
  <c r="E242" i="6"/>
  <c r="E236" i="6"/>
  <c r="E237" i="6"/>
  <c r="E235" i="6"/>
  <c r="E233" i="6"/>
  <c r="G240" i="6"/>
  <c r="G241" i="6"/>
  <c r="G242" i="6"/>
  <c r="G236" i="6"/>
  <c r="G237" i="6"/>
  <c r="G235" i="6"/>
  <c r="G233" i="6"/>
  <c r="D24" i="11"/>
  <c r="D25" i="11"/>
  <c r="D26" i="11"/>
  <c r="D18" i="11"/>
  <c r="H24" i="11"/>
  <c r="H18" i="11"/>
  <c r="I225" i="6"/>
  <c r="C24" i="11"/>
  <c r="C18" i="11"/>
  <c r="C21" i="11"/>
  <c r="C19" i="11"/>
  <c r="C17" i="11"/>
  <c r="E24" i="11"/>
  <c r="E25" i="11"/>
  <c r="E26" i="11"/>
  <c r="E18" i="11"/>
  <c r="E21" i="11"/>
  <c r="E19" i="11"/>
  <c r="E17" i="11"/>
  <c r="G24" i="11"/>
  <c r="G18" i="11"/>
  <c r="G21" i="11"/>
  <c r="G19" i="11"/>
  <c r="G17" i="11"/>
  <c r="B17" i="11"/>
  <c r="D17" i="11"/>
  <c r="F17" i="11"/>
  <c r="H17" i="11"/>
  <c r="B19" i="11"/>
  <c r="D19" i="11"/>
  <c r="F19" i="11"/>
  <c r="H19" i="11"/>
  <c r="B21" i="11"/>
  <c r="D21" i="11"/>
  <c r="F21" i="11"/>
  <c r="H21" i="11"/>
  <c r="C25" i="11"/>
  <c r="C26" i="11"/>
  <c r="G25" i="11"/>
  <c r="G26" i="11"/>
  <c r="H25" i="11"/>
  <c r="H26" i="11"/>
  <c r="C34" i="11"/>
  <c r="D34" i="11"/>
  <c r="J3" i="11"/>
  <c r="J4" i="11"/>
  <c r="J23" i="11"/>
  <c r="J5" i="11"/>
  <c r="J6" i="11"/>
  <c r="J7" i="11"/>
  <c r="J8" i="11"/>
  <c r="I9" i="11"/>
  <c r="C31" i="11"/>
  <c r="D31" i="11"/>
  <c r="C32" i="11"/>
  <c r="D32" i="11"/>
  <c r="C33" i="11"/>
  <c r="D33" i="11"/>
  <c r="C35" i="11"/>
  <c r="D35" i="11"/>
  <c r="B50" i="11"/>
  <c r="B65" i="11"/>
  <c r="C65" i="11"/>
  <c r="D65" i="11"/>
  <c r="I219" i="6"/>
  <c r="J867" i="6"/>
  <c r="J894" i="6"/>
  <c r="I236" i="6"/>
  <c r="J884" i="6"/>
  <c r="J900" i="6"/>
  <c r="I239" i="6"/>
  <c r="J887" i="6"/>
  <c r="J902" i="6"/>
  <c r="J220" i="6"/>
  <c r="J239" i="6"/>
  <c r="I988" i="5"/>
  <c r="AL1636" i="5"/>
  <c r="AL1659" i="5"/>
  <c r="I1002" i="5"/>
  <c r="AL1650" i="5"/>
  <c r="AL1666" i="5"/>
  <c r="J983" i="5"/>
  <c r="J1002" i="5"/>
  <c r="I1475" i="4"/>
  <c r="BC2123" i="4"/>
  <c r="BC2139" i="4"/>
  <c r="J1456" i="4"/>
  <c r="J1475" i="4"/>
  <c r="I1641" i="3"/>
  <c r="BH2289" i="3"/>
  <c r="BH2304" i="3"/>
  <c r="J1622" i="3"/>
  <c r="I1522" i="2"/>
  <c r="BC2193" i="2"/>
  <c r="BC2209" i="2"/>
  <c r="J1503" i="2"/>
  <c r="J1522" i="2"/>
  <c r="I1723" i="1"/>
  <c r="BK2372" i="1"/>
  <c r="BK2400" i="1"/>
  <c r="F1738" i="1"/>
  <c r="F1734" i="1"/>
  <c r="F1732" i="1"/>
  <c r="F1735" i="1"/>
  <c r="F1733" i="1"/>
  <c r="F1731" i="1"/>
  <c r="C1731" i="1"/>
  <c r="E1731" i="1"/>
  <c r="G1731" i="1"/>
  <c r="C1733" i="1"/>
  <c r="G1733" i="1"/>
  <c r="B1738" i="1"/>
  <c r="C1738" i="1"/>
  <c r="C1739" i="1"/>
  <c r="C1740" i="1"/>
  <c r="G1738" i="1"/>
  <c r="F1739" i="1"/>
  <c r="I1737" i="1"/>
  <c r="BK2391" i="1"/>
  <c r="BK2407" i="1"/>
  <c r="B1731" i="1"/>
  <c r="B1732" i="1"/>
  <c r="E1732" i="1"/>
  <c r="B1733" i="1"/>
  <c r="E1733" i="1"/>
  <c r="B1734" i="1"/>
  <c r="C1734" i="1"/>
  <c r="G1734" i="1"/>
  <c r="B1735" i="1"/>
  <c r="E1735" i="1"/>
  <c r="J1718" i="1"/>
  <c r="E1474" i="2"/>
  <c r="D1474" i="2"/>
  <c r="C1474" i="2"/>
  <c r="B1474" i="2"/>
  <c r="H1690" i="1"/>
  <c r="G1690" i="1"/>
  <c r="F1690" i="1"/>
  <c r="E1690" i="1"/>
  <c r="D1690" i="1"/>
  <c r="C1690" i="1"/>
  <c r="B1690" i="1"/>
  <c r="I1028" i="5"/>
  <c r="AM1649" i="5"/>
  <c r="J1024" i="5"/>
  <c r="J1544" i="2"/>
  <c r="I1742" i="3"/>
  <c r="BL2282" i="3"/>
  <c r="J1752" i="3"/>
  <c r="J1741" i="3"/>
  <c r="E1738" i="1"/>
  <c r="E1739" i="1"/>
  <c r="E1740" i="1"/>
  <c r="J1026" i="5"/>
  <c r="J1575" i="2"/>
  <c r="I1549" i="2"/>
  <c r="I1551" i="2"/>
  <c r="J1547" i="2"/>
  <c r="J1103" i="5"/>
  <c r="J1576" i="4"/>
  <c r="I1778" i="1"/>
  <c r="BM2378" i="1"/>
  <c r="J1524" i="4"/>
  <c r="J1051" i="5"/>
  <c r="J1526" i="4"/>
  <c r="I1780" i="1"/>
  <c r="BM2380" i="1"/>
  <c r="I1782" i="1"/>
  <c r="BM2382" i="1"/>
  <c r="BD2192" i="2"/>
  <c r="J1572" i="2"/>
  <c r="J1576" i="2"/>
  <c r="J287" i="6"/>
  <c r="J289" i="6"/>
  <c r="J291" i="6"/>
  <c r="J288" i="6"/>
  <c r="J1054" i="5"/>
  <c r="J1050" i="5"/>
  <c r="J1052" i="5"/>
  <c r="J1523" i="4"/>
  <c r="I1528" i="4"/>
  <c r="J1527" i="4"/>
  <c r="J1525" i="4"/>
  <c r="J1693" i="3"/>
  <c r="J1691" i="3"/>
  <c r="J1689" i="3"/>
  <c r="J1787" i="1"/>
  <c r="J1780" i="1"/>
  <c r="I1793" i="1"/>
  <c r="BM2393" i="1"/>
  <c r="J1792" i="1"/>
  <c r="I1020" i="5"/>
  <c r="AM1641" i="5"/>
  <c r="J1508" i="2"/>
  <c r="BC2179" i="2"/>
  <c r="BC2202" i="2"/>
  <c r="J1461" i="4"/>
  <c r="BC2109" i="4"/>
  <c r="BC2132" i="4"/>
  <c r="J1025" i="5"/>
  <c r="J1027" i="5"/>
  <c r="J225" i="6"/>
  <c r="J873" i="6"/>
  <c r="J895" i="6"/>
  <c r="J1548" i="2"/>
  <c r="J1023" i="5"/>
  <c r="J264" i="6"/>
  <c r="K886" i="6"/>
  <c r="I1030" i="5"/>
  <c r="AM1651" i="5"/>
  <c r="I1018" i="5"/>
  <c r="AM1639" i="5"/>
  <c r="J1627" i="3"/>
  <c r="BH2275" i="3"/>
  <c r="BH2297" i="3"/>
  <c r="J1499" i="4"/>
  <c r="I1501" i="4"/>
  <c r="BD2122" i="4"/>
  <c r="J1496" i="4"/>
  <c r="J1498" i="4"/>
  <c r="J1500" i="4"/>
  <c r="J1497" i="4"/>
  <c r="D1670" i="3"/>
  <c r="D1671" i="3"/>
  <c r="H1670" i="3"/>
  <c r="H1671" i="3"/>
  <c r="J988" i="5"/>
  <c r="I235" i="6"/>
  <c r="J883" i="6"/>
  <c r="J899" i="6"/>
  <c r="I233" i="6"/>
  <c r="J881" i="6"/>
  <c r="J897" i="6"/>
  <c r="I237" i="6"/>
  <c r="J885" i="6"/>
  <c r="J901" i="6"/>
  <c r="I21" i="11"/>
  <c r="I19" i="11"/>
  <c r="I17" i="11"/>
  <c r="C50" i="11"/>
  <c r="D50" i="11"/>
  <c r="J9" i="11"/>
  <c r="B36" i="11"/>
  <c r="B58" i="11"/>
  <c r="C58" i="11"/>
  <c r="D58" i="11"/>
  <c r="J219" i="6"/>
  <c r="J1641" i="3"/>
  <c r="F1740" i="1"/>
  <c r="F1729" i="1"/>
  <c r="J1737" i="1"/>
  <c r="J1723" i="1"/>
  <c r="B1739" i="1"/>
  <c r="B1740" i="1"/>
  <c r="H893" i="6"/>
  <c r="H896" i="6"/>
  <c r="H212" i="6"/>
  <c r="G212" i="6"/>
  <c r="G211" i="6"/>
  <c r="F212" i="6"/>
  <c r="F211" i="6"/>
  <c r="E212" i="6"/>
  <c r="E211" i="6"/>
  <c r="D212" i="6"/>
  <c r="C212" i="6"/>
  <c r="C211" i="6"/>
  <c r="B212" i="6"/>
  <c r="B211" i="6"/>
  <c r="H198" i="6"/>
  <c r="G198" i="6"/>
  <c r="F198" i="6"/>
  <c r="E198" i="6"/>
  <c r="D198" i="6"/>
  <c r="C198" i="6"/>
  <c r="B198" i="6"/>
  <c r="I197" i="6"/>
  <c r="I196" i="6"/>
  <c r="I195" i="6"/>
  <c r="I194" i="6"/>
  <c r="I193" i="6"/>
  <c r="I868" i="6"/>
  <c r="I192" i="6"/>
  <c r="AJ1657" i="5"/>
  <c r="AJ1660" i="5"/>
  <c r="H975" i="5"/>
  <c r="H974" i="5"/>
  <c r="G975" i="5"/>
  <c r="G974" i="5"/>
  <c r="F975" i="5"/>
  <c r="F974" i="5"/>
  <c r="E975" i="5"/>
  <c r="E974" i="5"/>
  <c r="D975" i="5"/>
  <c r="D974" i="5"/>
  <c r="C975" i="5"/>
  <c r="C974" i="5"/>
  <c r="B975" i="5"/>
  <c r="B974" i="5"/>
  <c r="H961" i="5"/>
  <c r="G961" i="5"/>
  <c r="F961" i="5"/>
  <c r="E961" i="5"/>
  <c r="D961" i="5"/>
  <c r="C961" i="5"/>
  <c r="B961" i="5"/>
  <c r="I960" i="5"/>
  <c r="I959" i="5"/>
  <c r="I958" i="5"/>
  <c r="I957" i="5"/>
  <c r="I956" i="5"/>
  <c r="I955" i="5"/>
  <c r="BA2130" i="4"/>
  <c r="BA2133" i="4"/>
  <c r="H1448" i="4"/>
  <c r="H1447" i="4"/>
  <c r="G1448" i="4"/>
  <c r="G1447" i="4"/>
  <c r="F1448" i="4"/>
  <c r="F1447" i="4"/>
  <c r="E1448" i="4"/>
  <c r="E1447" i="4"/>
  <c r="D1448" i="4"/>
  <c r="D1447" i="4"/>
  <c r="C1448" i="4"/>
  <c r="C1447" i="4"/>
  <c r="B1448" i="4"/>
  <c r="B1447" i="4"/>
  <c r="H1434" i="4"/>
  <c r="G1434" i="4"/>
  <c r="F1434" i="4"/>
  <c r="E1434" i="4"/>
  <c r="D1434" i="4"/>
  <c r="C1434" i="4"/>
  <c r="B1434" i="4"/>
  <c r="I1433" i="4"/>
  <c r="I1432" i="4"/>
  <c r="I1431" i="4"/>
  <c r="I1430" i="4"/>
  <c r="I1429" i="4"/>
  <c r="BB2104" i="4"/>
  <c r="I1428" i="4"/>
  <c r="B1600" i="3"/>
  <c r="C1600" i="3"/>
  <c r="D1600" i="3"/>
  <c r="E1600" i="3"/>
  <c r="F1600" i="3"/>
  <c r="G1600" i="3"/>
  <c r="H1600" i="3"/>
  <c r="BF2295" i="3"/>
  <c r="BF2298" i="3"/>
  <c r="H1614" i="3"/>
  <c r="H1613" i="3"/>
  <c r="G1614" i="3"/>
  <c r="G1613" i="3"/>
  <c r="F1614" i="3"/>
  <c r="F1613" i="3"/>
  <c r="E1614" i="3"/>
  <c r="E1613" i="3"/>
  <c r="D1614" i="3"/>
  <c r="D1613" i="3"/>
  <c r="C1614" i="3"/>
  <c r="C1613" i="3"/>
  <c r="B1614" i="3"/>
  <c r="B1613" i="3"/>
  <c r="I1599" i="3"/>
  <c r="I1598" i="3"/>
  <c r="I1597" i="3"/>
  <c r="I1596" i="3"/>
  <c r="I1595" i="3"/>
  <c r="BG2270" i="3"/>
  <c r="BA2200" i="2"/>
  <c r="BA2203" i="2"/>
  <c r="H1494" i="2"/>
  <c r="H1493" i="2"/>
  <c r="G1494" i="2"/>
  <c r="G1493" i="2"/>
  <c r="F1494" i="2"/>
  <c r="F1493" i="2"/>
  <c r="E1494" i="2"/>
  <c r="E1493" i="2"/>
  <c r="D1494" i="2"/>
  <c r="D1493" i="2"/>
  <c r="C1494" i="2"/>
  <c r="C1493" i="2"/>
  <c r="B1494" i="2"/>
  <c r="B1493" i="2"/>
  <c r="H1480" i="2"/>
  <c r="G1480" i="2"/>
  <c r="F1480" i="2"/>
  <c r="E1480" i="2"/>
  <c r="D1480" i="2"/>
  <c r="C1480" i="2"/>
  <c r="B1480" i="2"/>
  <c r="I1479" i="2"/>
  <c r="I1478" i="2"/>
  <c r="I1477" i="2"/>
  <c r="I1476" i="2"/>
  <c r="I1475" i="2"/>
  <c r="BB2174" i="2"/>
  <c r="I1474" i="2"/>
  <c r="BI2398" i="1"/>
  <c r="BI2401" i="1"/>
  <c r="H1710" i="1"/>
  <c r="H1709" i="1"/>
  <c r="G1710" i="1"/>
  <c r="G1709" i="1"/>
  <c r="F1710" i="1"/>
  <c r="F1709" i="1"/>
  <c r="E1710" i="1"/>
  <c r="E1709" i="1"/>
  <c r="D1710" i="1"/>
  <c r="D1709" i="1"/>
  <c r="C1710" i="1"/>
  <c r="C1709" i="1"/>
  <c r="B1710" i="1"/>
  <c r="B1709" i="1"/>
  <c r="H1696" i="1"/>
  <c r="G1696" i="1"/>
  <c r="F1696" i="1"/>
  <c r="E1696" i="1"/>
  <c r="D1696" i="1"/>
  <c r="C1696" i="1"/>
  <c r="B1696" i="1"/>
  <c r="I1695" i="1"/>
  <c r="I1694" i="1"/>
  <c r="I1693" i="1"/>
  <c r="I1692" i="1"/>
  <c r="I1691" i="1"/>
  <c r="I1690" i="1"/>
  <c r="H165" i="6"/>
  <c r="H928" i="5"/>
  <c r="H1401" i="4"/>
  <c r="H1567" i="3"/>
  <c r="H1446" i="2"/>
  <c r="H1663" i="1"/>
  <c r="G165" i="6"/>
  <c r="F165" i="6"/>
  <c r="E165" i="6"/>
  <c r="D165" i="6"/>
  <c r="C165" i="6"/>
  <c r="B165" i="6"/>
  <c r="G928" i="5"/>
  <c r="F928" i="5"/>
  <c r="E928" i="5"/>
  <c r="D928" i="5"/>
  <c r="C928" i="5"/>
  <c r="B928" i="5"/>
  <c r="G1401" i="4"/>
  <c r="F1401" i="4"/>
  <c r="E1401" i="4"/>
  <c r="D1401" i="4"/>
  <c r="C1401" i="4"/>
  <c r="B1401" i="4"/>
  <c r="I1401" i="4"/>
  <c r="J1401" i="4"/>
  <c r="G1567" i="3"/>
  <c r="F1567" i="3"/>
  <c r="E1567" i="3"/>
  <c r="D1567" i="3"/>
  <c r="C1567" i="3"/>
  <c r="B1567" i="3"/>
  <c r="G1446" i="2"/>
  <c r="F1446" i="2"/>
  <c r="E1446" i="2"/>
  <c r="D1446" i="2"/>
  <c r="D1466" i="2"/>
  <c r="D1465" i="2"/>
  <c r="C1446" i="2"/>
  <c r="B1446" i="2"/>
  <c r="I1446" i="2"/>
  <c r="J1446" i="2"/>
  <c r="G1663" i="1"/>
  <c r="F1663" i="1"/>
  <c r="E1663" i="1"/>
  <c r="D1663" i="1"/>
  <c r="C1663" i="1"/>
  <c r="B1683" i="1"/>
  <c r="B1682" i="1"/>
  <c r="G893" i="6"/>
  <c r="G896" i="6"/>
  <c r="H185" i="6"/>
  <c r="H184" i="6"/>
  <c r="G185" i="6"/>
  <c r="G184" i="6"/>
  <c r="F185" i="6"/>
  <c r="F184" i="6"/>
  <c r="E185" i="6"/>
  <c r="E184" i="6"/>
  <c r="D185" i="6"/>
  <c r="D184" i="6"/>
  <c r="C185" i="6"/>
  <c r="C184" i="6"/>
  <c r="B185" i="6"/>
  <c r="B184" i="6"/>
  <c r="H171" i="6"/>
  <c r="G171" i="6"/>
  <c r="F171" i="6"/>
  <c r="E171" i="6"/>
  <c r="D171" i="6"/>
  <c r="C171" i="6"/>
  <c r="B171" i="6"/>
  <c r="I170" i="6"/>
  <c r="J170" i="6"/>
  <c r="I169" i="6"/>
  <c r="J169" i="6"/>
  <c r="I168" i="6"/>
  <c r="J168" i="6"/>
  <c r="I167" i="6"/>
  <c r="J167" i="6"/>
  <c r="I166" i="6"/>
  <c r="H868" i="6"/>
  <c r="AI1657" i="5"/>
  <c r="AI1660" i="5"/>
  <c r="H948" i="5"/>
  <c r="H947" i="5"/>
  <c r="G948" i="5"/>
  <c r="G947" i="5"/>
  <c r="F948" i="5"/>
  <c r="F947" i="5"/>
  <c r="E948" i="5"/>
  <c r="E947" i="5"/>
  <c r="D948" i="5"/>
  <c r="D947" i="5"/>
  <c r="C948" i="5"/>
  <c r="C947" i="5"/>
  <c r="B948" i="5"/>
  <c r="B947" i="5"/>
  <c r="H934" i="5"/>
  <c r="G934" i="5"/>
  <c r="F934" i="5"/>
  <c r="E934" i="5"/>
  <c r="D934" i="5"/>
  <c r="C934" i="5"/>
  <c r="B934" i="5"/>
  <c r="I933" i="5"/>
  <c r="J933" i="5"/>
  <c r="I932" i="5"/>
  <c r="J932" i="5"/>
  <c r="I931" i="5"/>
  <c r="J931" i="5"/>
  <c r="I930" i="5"/>
  <c r="J930" i="5"/>
  <c r="I929" i="5"/>
  <c r="AJ1631" i="5"/>
  <c r="AZ2130" i="4"/>
  <c r="AZ2133" i="4"/>
  <c r="AX2130" i="4"/>
  <c r="AX2133" i="4"/>
  <c r="AY2130" i="4"/>
  <c r="AY2133" i="4"/>
  <c r="H1421" i="4"/>
  <c r="H1420" i="4"/>
  <c r="G1421" i="4"/>
  <c r="G1420" i="4"/>
  <c r="F1421" i="4"/>
  <c r="F1420" i="4"/>
  <c r="E1421" i="4"/>
  <c r="E1420" i="4"/>
  <c r="D1421" i="4"/>
  <c r="D1420" i="4"/>
  <c r="C1421" i="4"/>
  <c r="C1420" i="4"/>
  <c r="B1421" i="4"/>
  <c r="B1420" i="4"/>
  <c r="H1407" i="4"/>
  <c r="G1407" i="4"/>
  <c r="F1407" i="4"/>
  <c r="E1407" i="4"/>
  <c r="D1407" i="4"/>
  <c r="C1407" i="4"/>
  <c r="B1407" i="4"/>
  <c r="I1406" i="4"/>
  <c r="J1406" i="4"/>
  <c r="I1405" i="4"/>
  <c r="J1405" i="4"/>
  <c r="I1404" i="4"/>
  <c r="J1404" i="4"/>
  <c r="I1403" i="4"/>
  <c r="J1403" i="4"/>
  <c r="I1402" i="4"/>
  <c r="BA2104" i="4"/>
  <c r="BE2295" i="3"/>
  <c r="BE2298" i="3"/>
  <c r="H1587" i="3"/>
  <c r="H1586" i="3"/>
  <c r="G1587" i="3"/>
  <c r="G1586" i="3"/>
  <c r="F1587" i="3"/>
  <c r="F1586" i="3"/>
  <c r="E1587" i="3"/>
  <c r="E1586" i="3"/>
  <c r="D1587" i="3"/>
  <c r="D1586" i="3"/>
  <c r="C1587" i="3"/>
  <c r="C1586" i="3"/>
  <c r="B1587" i="3"/>
  <c r="B1586" i="3"/>
  <c r="H1573" i="3"/>
  <c r="G1573" i="3"/>
  <c r="F1573" i="3"/>
  <c r="E1573" i="3"/>
  <c r="D1573" i="3"/>
  <c r="C1573" i="3"/>
  <c r="B1573" i="3"/>
  <c r="I1572" i="3"/>
  <c r="J1572" i="3"/>
  <c r="I1571" i="3"/>
  <c r="J1571" i="3"/>
  <c r="I1570" i="3"/>
  <c r="J1570" i="3"/>
  <c r="I1569" i="3"/>
  <c r="J1569" i="3"/>
  <c r="I1568" i="3"/>
  <c r="BF2270" i="3"/>
  <c r="AZ2200" i="2"/>
  <c r="AZ2203" i="2"/>
  <c r="H1466" i="2"/>
  <c r="H1465" i="2"/>
  <c r="G1466" i="2"/>
  <c r="G1465" i="2"/>
  <c r="F1466" i="2"/>
  <c r="F1465" i="2"/>
  <c r="E1466" i="2"/>
  <c r="E1465" i="2"/>
  <c r="C1466" i="2"/>
  <c r="C1465" i="2"/>
  <c r="B1466" i="2"/>
  <c r="B1465" i="2"/>
  <c r="H1452" i="2"/>
  <c r="G1452" i="2"/>
  <c r="F1452" i="2"/>
  <c r="E1452" i="2"/>
  <c r="D1452" i="2"/>
  <c r="C1452" i="2"/>
  <c r="B1452" i="2"/>
  <c r="I1451" i="2"/>
  <c r="J1451" i="2"/>
  <c r="I1450" i="2"/>
  <c r="J1450" i="2"/>
  <c r="I1449" i="2"/>
  <c r="J1449" i="2"/>
  <c r="I1448" i="2"/>
  <c r="J1448" i="2"/>
  <c r="I1447" i="2"/>
  <c r="BA2174" i="2"/>
  <c r="BH2398" i="1"/>
  <c r="BH2401" i="1"/>
  <c r="H1683" i="1"/>
  <c r="H1682" i="1"/>
  <c r="G1683" i="1"/>
  <c r="G1682" i="1"/>
  <c r="F1683" i="1"/>
  <c r="F1682" i="1"/>
  <c r="E1683" i="1"/>
  <c r="E1682" i="1"/>
  <c r="D1683" i="1"/>
  <c r="D1682" i="1"/>
  <c r="C1683" i="1"/>
  <c r="C1682" i="1"/>
  <c r="H1669" i="1"/>
  <c r="G1669" i="1"/>
  <c r="F1669" i="1"/>
  <c r="E1669" i="1"/>
  <c r="D1669" i="1"/>
  <c r="C1669" i="1"/>
  <c r="B1669" i="1"/>
  <c r="I1668" i="1"/>
  <c r="BI2371" i="1"/>
  <c r="I1667" i="1"/>
  <c r="BI2370" i="1"/>
  <c r="I1666" i="1"/>
  <c r="BI2369" i="1"/>
  <c r="I1665" i="1"/>
  <c r="BI2368" i="1"/>
  <c r="I1664" i="1"/>
  <c r="I1683" i="1"/>
  <c r="F1730" i="1"/>
  <c r="I1540" i="2"/>
  <c r="BD2183" i="2"/>
  <c r="I1017" i="5"/>
  <c r="AM1638" i="5"/>
  <c r="I1019" i="5"/>
  <c r="AM1640" i="5"/>
  <c r="J1549" i="2"/>
  <c r="J1537" i="2"/>
  <c r="I1567" i="3"/>
  <c r="J1567" i="3"/>
  <c r="J1742" i="3"/>
  <c r="I1541" i="2"/>
  <c r="BD2184" i="2"/>
  <c r="I1663" i="1"/>
  <c r="J1663" i="1"/>
  <c r="I928" i="5"/>
  <c r="J928" i="5"/>
  <c r="I1538" i="2"/>
  <c r="BD2181" i="2"/>
  <c r="I1539" i="2"/>
  <c r="BD2182" i="2"/>
  <c r="I1537" i="2"/>
  <c r="BD2180" i="2"/>
  <c r="I1520" i="4"/>
  <c r="BE2114" i="4"/>
  <c r="BE2122" i="4"/>
  <c r="I1047" i="5"/>
  <c r="AN1641" i="5"/>
  <c r="AN1649" i="5"/>
  <c r="I1045" i="5"/>
  <c r="AN1639" i="5"/>
  <c r="I165" i="6"/>
  <c r="J165" i="6"/>
  <c r="I1043" i="5"/>
  <c r="AN1637" i="5"/>
  <c r="I1044" i="5"/>
  <c r="AN1638" i="5"/>
  <c r="I1057" i="5"/>
  <c r="AN1651" i="5"/>
  <c r="I1046" i="5"/>
  <c r="AN1640" i="5"/>
  <c r="I1518" i="4"/>
  <c r="BE2112" i="4"/>
  <c r="I1517" i="4"/>
  <c r="BE2111" i="4"/>
  <c r="I1530" i="4"/>
  <c r="BE2124" i="4"/>
  <c r="I1516" i="4"/>
  <c r="BE2110" i="4"/>
  <c r="I1519" i="4"/>
  <c r="BE2113" i="4"/>
  <c r="J1528" i="4"/>
  <c r="J1518" i="4"/>
  <c r="J1793" i="1"/>
  <c r="I1794" i="1"/>
  <c r="BM2394" i="1"/>
  <c r="I1490" i="4"/>
  <c r="BD2111" i="4"/>
  <c r="I1493" i="4"/>
  <c r="BD2114" i="4"/>
  <c r="I1491" i="4"/>
  <c r="BD2112" i="4"/>
  <c r="I1489" i="4"/>
  <c r="BD2110" i="4"/>
  <c r="I1492" i="4"/>
  <c r="BD2113" i="4"/>
  <c r="J1540" i="2"/>
  <c r="I257" i="6"/>
  <c r="K878" i="6"/>
  <c r="I256" i="6"/>
  <c r="K877" i="6"/>
  <c r="I254" i="6"/>
  <c r="K875" i="6"/>
  <c r="I253" i="6"/>
  <c r="K874" i="6"/>
  <c r="I267" i="6"/>
  <c r="K888" i="6"/>
  <c r="I255" i="6"/>
  <c r="K876" i="6"/>
  <c r="I1031" i="5"/>
  <c r="I1503" i="4"/>
  <c r="BD2124" i="4"/>
  <c r="J1501" i="4"/>
  <c r="J1491" i="4"/>
  <c r="J1538" i="2"/>
  <c r="J1539" i="2"/>
  <c r="J1690" i="1"/>
  <c r="BJ2366" i="1"/>
  <c r="BJ2399" i="1"/>
  <c r="J1692" i="1"/>
  <c r="BJ2368" i="1"/>
  <c r="J1694" i="1"/>
  <c r="BJ2370" i="1"/>
  <c r="J1477" i="2"/>
  <c r="BB2176" i="2"/>
  <c r="J1479" i="2"/>
  <c r="BB2178" i="2"/>
  <c r="J1597" i="3"/>
  <c r="BG2272" i="3"/>
  <c r="J1599" i="3"/>
  <c r="BG2274" i="3"/>
  <c r="J1428" i="4"/>
  <c r="BB2103" i="4"/>
  <c r="BB2131" i="4"/>
  <c r="J1430" i="4"/>
  <c r="BB2105" i="4"/>
  <c r="J1432" i="4"/>
  <c r="BB2107" i="4"/>
  <c r="I975" i="5"/>
  <c r="AK1650" i="5"/>
  <c r="AK1666" i="5"/>
  <c r="AK1631" i="5"/>
  <c r="J958" i="5"/>
  <c r="AK1633" i="5"/>
  <c r="J960" i="5"/>
  <c r="AK1635" i="5"/>
  <c r="J192" i="6"/>
  <c r="I867" i="6"/>
  <c r="I894" i="6"/>
  <c r="J194" i="6"/>
  <c r="I869" i="6"/>
  <c r="J196" i="6"/>
  <c r="I871" i="6"/>
  <c r="J237" i="6"/>
  <c r="I1710" i="1"/>
  <c r="BJ2367" i="1"/>
  <c r="J1693" i="1"/>
  <c r="BJ2369" i="1"/>
  <c r="J1695" i="1"/>
  <c r="BJ2371" i="1"/>
  <c r="J1474" i="2"/>
  <c r="BB2173" i="2"/>
  <c r="BB2201" i="2"/>
  <c r="J1476" i="2"/>
  <c r="BB2175" i="2"/>
  <c r="J1478" i="2"/>
  <c r="BB2177" i="2"/>
  <c r="J1596" i="3"/>
  <c r="BG2271" i="3"/>
  <c r="J1598" i="3"/>
  <c r="BG2273" i="3"/>
  <c r="J1431" i="4"/>
  <c r="BB2106" i="4"/>
  <c r="J1433" i="4"/>
  <c r="BB2108" i="4"/>
  <c r="J955" i="5"/>
  <c r="AK1630" i="5"/>
  <c r="AK1658" i="5"/>
  <c r="J957" i="5"/>
  <c r="AK1632" i="5"/>
  <c r="J959" i="5"/>
  <c r="AK1634" i="5"/>
  <c r="J195" i="6"/>
  <c r="I870" i="6"/>
  <c r="J197" i="6"/>
  <c r="I872" i="6"/>
  <c r="J233" i="6"/>
  <c r="J235" i="6"/>
  <c r="B44" i="11"/>
  <c r="J17" i="11"/>
  <c r="B48" i="11"/>
  <c r="J21" i="11"/>
  <c r="J19" i="11"/>
  <c r="B46" i="11"/>
  <c r="C36" i="11"/>
  <c r="D36" i="11"/>
  <c r="H211" i="6"/>
  <c r="H207" i="6"/>
  <c r="D211" i="6"/>
  <c r="D213" i="6"/>
  <c r="I1480" i="2"/>
  <c r="B1612" i="3"/>
  <c r="B1611" i="3"/>
  <c r="B1609" i="3"/>
  <c r="F1615" i="3"/>
  <c r="F1611" i="3"/>
  <c r="F1609" i="3"/>
  <c r="C973" i="5"/>
  <c r="C972" i="5"/>
  <c r="C970" i="5"/>
  <c r="E970" i="5"/>
  <c r="E973" i="5"/>
  <c r="G973" i="5"/>
  <c r="G972" i="5"/>
  <c r="G970" i="5"/>
  <c r="B213" i="6"/>
  <c r="B214" i="6"/>
  <c r="B215" i="6"/>
  <c r="B209" i="6"/>
  <c r="B207" i="6"/>
  <c r="G1467" i="2"/>
  <c r="G1461" i="2"/>
  <c r="G1462" i="2"/>
  <c r="C1707" i="1"/>
  <c r="C1711" i="1"/>
  <c r="C1705" i="1"/>
  <c r="E1711" i="1"/>
  <c r="E1712" i="1"/>
  <c r="E1713" i="1"/>
  <c r="E1705" i="1"/>
  <c r="E1707" i="1"/>
  <c r="G1707" i="1"/>
  <c r="G1711" i="1"/>
  <c r="G1712" i="1"/>
  <c r="G1713" i="1"/>
  <c r="G1705" i="1"/>
  <c r="B1492" i="2"/>
  <c r="B1491" i="2"/>
  <c r="B1489" i="2"/>
  <c r="D1492" i="2"/>
  <c r="D1491" i="2"/>
  <c r="D1489" i="2"/>
  <c r="F1492" i="2"/>
  <c r="F1491" i="2"/>
  <c r="F1489" i="2"/>
  <c r="H1492" i="2"/>
  <c r="H1491" i="2"/>
  <c r="H1489" i="2"/>
  <c r="BI2366" i="1"/>
  <c r="BI2399" i="1"/>
  <c r="BA2173" i="2"/>
  <c r="BA2201" i="2"/>
  <c r="BA2175" i="2"/>
  <c r="BA2177" i="2"/>
  <c r="BF2269" i="3"/>
  <c r="BF2296" i="3"/>
  <c r="BF2271" i="3"/>
  <c r="BF2273" i="3"/>
  <c r="I1434" i="4"/>
  <c r="BA2106" i="4"/>
  <c r="BA2108" i="4"/>
  <c r="AJ1633" i="5"/>
  <c r="AJ1635" i="5"/>
  <c r="H870" i="6"/>
  <c r="H872" i="6"/>
  <c r="BI2367" i="1"/>
  <c r="BA2176" i="2"/>
  <c r="BA2178" i="2"/>
  <c r="BF2272" i="3"/>
  <c r="BF2274" i="3"/>
  <c r="BA2103" i="4"/>
  <c r="BA2131" i="4"/>
  <c r="BA2105" i="4"/>
  <c r="BA2107" i="4"/>
  <c r="AJ1630" i="5"/>
  <c r="AJ1658" i="5"/>
  <c r="AJ1632" i="5"/>
  <c r="AJ1634" i="5"/>
  <c r="H869" i="6"/>
  <c r="H871" i="6"/>
  <c r="D207" i="6"/>
  <c r="D209" i="6"/>
  <c r="C213" i="6"/>
  <c r="C214" i="6"/>
  <c r="C215" i="6"/>
  <c r="C209" i="6"/>
  <c r="C207" i="6"/>
  <c r="C210" i="6"/>
  <c r="C208" i="6"/>
  <c r="C206" i="6"/>
  <c r="I198" i="6"/>
  <c r="I873" i="6"/>
  <c r="I895" i="6"/>
  <c r="B206" i="6"/>
  <c r="D206" i="6"/>
  <c r="B208" i="6"/>
  <c r="B210" i="6"/>
  <c r="D210" i="6"/>
  <c r="I212" i="6"/>
  <c r="I887" i="6"/>
  <c r="I902" i="6"/>
  <c r="J193" i="6"/>
  <c r="J212" i="6"/>
  <c r="E972" i="5"/>
  <c r="J956" i="5"/>
  <c r="J975" i="5"/>
  <c r="I961" i="5"/>
  <c r="AK1636" i="5"/>
  <c r="AK1659" i="5"/>
  <c r="B976" i="5"/>
  <c r="B972" i="5"/>
  <c r="B970" i="5"/>
  <c r="B973" i="5"/>
  <c r="B971" i="5"/>
  <c r="B969" i="5"/>
  <c r="D976" i="5"/>
  <c r="D972" i="5"/>
  <c r="D970" i="5"/>
  <c r="D973" i="5"/>
  <c r="D971" i="5"/>
  <c r="D969" i="5"/>
  <c r="F976" i="5"/>
  <c r="F972" i="5"/>
  <c r="F970" i="5"/>
  <c r="F973" i="5"/>
  <c r="F971" i="5"/>
  <c r="F969" i="5"/>
  <c r="H976" i="5"/>
  <c r="H972" i="5"/>
  <c r="H970" i="5"/>
  <c r="H973" i="5"/>
  <c r="H971" i="5"/>
  <c r="H969" i="5"/>
  <c r="C976" i="5"/>
  <c r="E976" i="5"/>
  <c r="G976" i="5"/>
  <c r="C969" i="5"/>
  <c r="E969" i="5"/>
  <c r="G969" i="5"/>
  <c r="C971" i="5"/>
  <c r="E971" i="5"/>
  <c r="G971" i="5"/>
  <c r="I1448" i="4"/>
  <c r="BB2123" i="4"/>
  <c r="BB2139" i="4"/>
  <c r="J1429" i="4"/>
  <c r="J1448" i="4"/>
  <c r="D1612" i="3"/>
  <c r="D1611" i="3"/>
  <c r="D1609" i="3"/>
  <c r="H1612" i="3"/>
  <c r="H1611" i="3"/>
  <c r="H1609" i="3"/>
  <c r="I1600" i="3"/>
  <c r="C1611" i="3"/>
  <c r="C1609" i="3"/>
  <c r="C1612" i="3"/>
  <c r="C1610" i="3"/>
  <c r="C1608" i="3"/>
  <c r="E1611" i="3"/>
  <c r="E1609" i="3"/>
  <c r="E1612" i="3"/>
  <c r="E1610" i="3"/>
  <c r="E1608" i="3"/>
  <c r="G1611" i="3"/>
  <c r="G1609" i="3"/>
  <c r="G1612" i="3"/>
  <c r="G1610" i="3"/>
  <c r="G1608" i="3"/>
  <c r="B1608" i="3"/>
  <c r="D1608" i="3"/>
  <c r="F1608" i="3"/>
  <c r="H1608" i="3"/>
  <c r="B1610" i="3"/>
  <c r="D1610" i="3"/>
  <c r="F1610" i="3"/>
  <c r="H1610" i="3"/>
  <c r="F1612" i="3"/>
  <c r="B1615" i="3"/>
  <c r="B1616" i="3"/>
  <c r="B1617" i="3"/>
  <c r="D1615" i="3"/>
  <c r="D1616" i="3"/>
  <c r="D1617" i="3"/>
  <c r="H1615" i="3"/>
  <c r="I1594" i="3"/>
  <c r="BG2269" i="3"/>
  <c r="BG2296" i="3"/>
  <c r="I1611" i="3"/>
  <c r="BG2286" i="3"/>
  <c r="BG2302" i="3"/>
  <c r="C1615" i="3"/>
  <c r="C1616" i="3"/>
  <c r="C1617" i="3"/>
  <c r="E1615" i="3"/>
  <c r="G1615" i="3"/>
  <c r="G1616" i="3"/>
  <c r="G1617" i="3"/>
  <c r="F1616" i="3"/>
  <c r="F1617" i="3"/>
  <c r="I1614" i="3"/>
  <c r="BG2289" i="3"/>
  <c r="BG2304" i="3"/>
  <c r="J1595" i="3"/>
  <c r="C1495" i="2"/>
  <c r="C1491" i="2"/>
  <c r="C1489" i="2"/>
  <c r="C1492" i="2"/>
  <c r="C1490" i="2"/>
  <c r="C1488" i="2"/>
  <c r="E1495" i="2"/>
  <c r="E1491" i="2"/>
  <c r="E1489" i="2"/>
  <c r="E1492" i="2"/>
  <c r="E1490" i="2"/>
  <c r="E1488" i="2"/>
  <c r="G1495" i="2"/>
  <c r="G1491" i="2"/>
  <c r="G1489" i="2"/>
  <c r="G1492" i="2"/>
  <c r="G1490" i="2"/>
  <c r="G1488" i="2"/>
  <c r="I1491" i="2"/>
  <c r="BB2190" i="2"/>
  <c r="BB2207" i="2"/>
  <c r="I1494" i="2"/>
  <c r="BB2193" i="2"/>
  <c r="BB2209" i="2"/>
  <c r="B1495" i="2"/>
  <c r="D1495" i="2"/>
  <c r="F1495" i="2"/>
  <c r="H1495" i="2"/>
  <c r="J1475" i="2"/>
  <c r="J1494" i="2"/>
  <c r="B1488" i="2"/>
  <c r="D1488" i="2"/>
  <c r="F1488" i="2"/>
  <c r="H1488" i="2"/>
  <c r="B1490" i="2"/>
  <c r="D1490" i="2"/>
  <c r="F1490" i="2"/>
  <c r="H1490" i="2"/>
  <c r="J1691" i="1"/>
  <c r="I1696" i="1"/>
  <c r="BJ2372" i="1"/>
  <c r="BJ2400" i="1"/>
  <c r="F1708" i="1"/>
  <c r="F1706" i="1"/>
  <c r="F1704" i="1"/>
  <c r="F1711" i="1"/>
  <c r="F1707" i="1"/>
  <c r="F1705" i="1"/>
  <c r="C1712" i="1"/>
  <c r="C1713" i="1"/>
  <c r="C1704" i="1"/>
  <c r="E1704" i="1"/>
  <c r="G1704" i="1"/>
  <c r="C1706" i="1"/>
  <c r="E1706" i="1"/>
  <c r="G1706" i="1"/>
  <c r="C1708" i="1"/>
  <c r="E1708" i="1"/>
  <c r="G1708" i="1"/>
  <c r="H186" i="6"/>
  <c r="H187" i="6"/>
  <c r="H188" i="6"/>
  <c r="H182" i="6"/>
  <c r="H180" i="6"/>
  <c r="H183" i="6"/>
  <c r="H181" i="6"/>
  <c r="H179" i="6"/>
  <c r="H1419" i="4"/>
  <c r="H1416" i="4"/>
  <c r="H1418" i="4"/>
  <c r="H1467" i="2"/>
  <c r="H1463" i="2"/>
  <c r="H1462" i="2"/>
  <c r="H1461" i="2"/>
  <c r="H1464" i="2"/>
  <c r="H1460" i="2"/>
  <c r="G186" i="6"/>
  <c r="G187" i="6"/>
  <c r="G188" i="6"/>
  <c r="G183" i="6"/>
  <c r="G182" i="6"/>
  <c r="G181" i="6"/>
  <c r="G180" i="6"/>
  <c r="G179" i="6"/>
  <c r="F186" i="6"/>
  <c r="F182" i="6"/>
  <c r="F180" i="6"/>
  <c r="F183" i="6"/>
  <c r="F181" i="6"/>
  <c r="F179" i="6"/>
  <c r="E186" i="6"/>
  <c r="E187" i="6"/>
  <c r="E188" i="6"/>
  <c r="E183" i="6"/>
  <c r="E182" i="6"/>
  <c r="E181" i="6"/>
  <c r="E180" i="6"/>
  <c r="E179" i="6"/>
  <c r="D186" i="6"/>
  <c r="D187" i="6"/>
  <c r="D188" i="6"/>
  <c r="D182" i="6"/>
  <c r="D180" i="6"/>
  <c r="D183" i="6"/>
  <c r="D181" i="6"/>
  <c r="D179" i="6"/>
  <c r="C186" i="6"/>
  <c r="C187" i="6"/>
  <c r="C188" i="6"/>
  <c r="C183" i="6"/>
  <c r="C182" i="6"/>
  <c r="C181" i="6"/>
  <c r="C180" i="6"/>
  <c r="C179" i="6"/>
  <c r="I171" i="6"/>
  <c r="B186" i="6"/>
  <c r="B182" i="6"/>
  <c r="B180" i="6"/>
  <c r="B183" i="6"/>
  <c r="B181" i="6"/>
  <c r="B179" i="6"/>
  <c r="I934" i="5"/>
  <c r="F1419" i="4"/>
  <c r="F1418" i="4"/>
  <c r="F1416" i="4"/>
  <c r="D1419" i="4"/>
  <c r="D1416" i="4"/>
  <c r="D1418" i="4"/>
  <c r="I1407" i="4"/>
  <c r="B1419" i="4"/>
  <c r="B1418" i="4"/>
  <c r="B1416" i="4"/>
  <c r="I1573" i="3"/>
  <c r="G1460" i="2"/>
  <c r="G1463" i="2"/>
  <c r="G1464" i="2"/>
  <c r="F1467" i="2"/>
  <c r="F1463" i="2"/>
  <c r="F1462" i="2"/>
  <c r="F1464" i="2"/>
  <c r="F1461" i="2"/>
  <c r="F1460" i="2"/>
  <c r="E1462" i="2"/>
  <c r="E1461" i="2"/>
  <c r="E1467" i="2"/>
  <c r="E1468" i="2"/>
  <c r="E1469" i="2"/>
  <c r="E1464" i="2"/>
  <c r="E1463" i="2"/>
  <c r="E1460" i="2"/>
  <c r="C1467" i="2"/>
  <c r="C1464" i="2"/>
  <c r="C1463" i="2"/>
  <c r="C1462" i="2"/>
  <c r="C1461" i="2"/>
  <c r="C1460" i="2"/>
  <c r="I1452" i="2"/>
  <c r="B1467" i="2"/>
  <c r="B1468" i="2"/>
  <c r="B1469" i="2"/>
  <c r="B1463" i="2"/>
  <c r="B1461" i="2"/>
  <c r="B1464" i="2"/>
  <c r="B1462" i="2"/>
  <c r="B1460" i="2"/>
  <c r="F187" i="6"/>
  <c r="F188" i="6"/>
  <c r="I185" i="6"/>
  <c r="H887" i="6"/>
  <c r="H902" i="6"/>
  <c r="J166" i="6"/>
  <c r="J185" i="6"/>
  <c r="I948" i="5"/>
  <c r="AJ1650" i="5"/>
  <c r="AJ1666" i="5"/>
  <c r="J929" i="5"/>
  <c r="J948" i="5"/>
  <c r="C1422" i="4"/>
  <c r="C1418" i="4"/>
  <c r="C1416" i="4"/>
  <c r="C1419" i="4"/>
  <c r="C1417" i="4"/>
  <c r="C1415" i="4"/>
  <c r="E1422" i="4"/>
  <c r="E1418" i="4"/>
  <c r="E1416" i="4"/>
  <c r="E1419" i="4"/>
  <c r="E1417" i="4"/>
  <c r="E1415" i="4"/>
  <c r="G1422" i="4"/>
  <c r="G1418" i="4"/>
  <c r="G1416" i="4"/>
  <c r="G1419" i="4"/>
  <c r="G1417" i="4"/>
  <c r="G1415" i="4"/>
  <c r="I1421" i="4"/>
  <c r="BA2123" i="4"/>
  <c r="BA2139" i="4"/>
  <c r="B1422" i="4"/>
  <c r="D1422" i="4"/>
  <c r="F1422" i="4"/>
  <c r="H1422" i="4"/>
  <c r="J1402" i="4"/>
  <c r="J1421" i="4"/>
  <c r="B1415" i="4"/>
  <c r="D1415" i="4"/>
  <c r="F1415" i="4"/>
  <c r="H1415" i="4"/>
  <c r="B1417" i="4"/>
  <c r="D1417" i="4"/>
  <c r="F1417" i="4"/>
  <c r="H1417" i="4"/>
  <c r="I1587" i="3"/>
  <c r="BF2289" i="3"/>
  <c r="BF2304" i="3"/>
  <c r="J1568" i="3"/>
  <c r="C1468" i="2"/>
  <c r="C1469" i="2"/>
  <c r="G1468" i="2"/>
  <c r="G1469" i="2"/>
  <c r="H1468" i="2"/>
  <c r="H1469" i="2"/>
  <c r="I1466" i="2"/>
  <c r="BA2193" i="2"/>
  <c r="BA2209" i="2"/>
  <c r="J1447" i="2"/>
  <c r="J1466" i="2"/>
  <c r="J1664" i="1"/>
  <c r="J1665" i="1"/>
  <c r="J1666" i="1"/>
  <c r="J1667" i="1"/>
  <c r="J1668" i="1"/>
  <c r="I1669" i="1"/>
  <c r="BI2372" i="1"/>
  <c r="BI2400" i="1"/>
  <c r="C1326" i="4"/>
  <c r="C1320" i="4"/>
  <c r="J1541" i="2"/>
  <c r="H210" i="6"/>
  <c r="H208" i="6"/>
  <c r="H206" i="6"/>
  <c r="H867" i="6"/>
  <c r="H894" i="6"/>
  <c r="I1489" i="2"/>
  <c r="BB2188" i="2"/>
  <c r="BB2205" i="2"/>
  <c r="I182" i="6"/>
  <c r="H884" i="6"/>
  <c r="H900" i="6"/>
  <c r="I1032" i="5"/>
  <c r="AM1653" i="5"/>
  <c r="AM1652" i="5"/>
  <c r="I180" i="6"/>
  <c r="H882" i="6"/>
  <c r="H898" i="6"/>
  <c r="J1047" i="5"/>
  <c r="J1044" i="5"/>
  <c r="J1043" i="5"/>
  <c r="J1046" i="5"/>
  <c r="I1058" i="5"/>
  <c r="AN1652" i="5"/>
  <c r="J1045" i="5"/>
  <c r="J1520" i="4"/>
  <c r="J1517" i="4"/>
  <c r="J1516" i="4"/>
  <c r="J1519" i="4"/>
  <c r="I1531" i="4"/>
  <c r="BE2125" i="4"/>
  <c r="I1784" i="1"/>
  <c r="BM2384" i="1"/>
  <c r="J1794" i="1"/>
  <c r="I1783" i="1"/>
  <c r="BM2383" i="1"/>
  <c r="I268" i="6"/>
  <c r="K889" i="6"/>
  <c r="J255" i="6"/>
  <c r="J253" i="6"/>
  <c r="J256" i="6"/>
  <c r="J257" i="6"/>
  <c r="I1504" i="4"/>
  <c r="BD2125" i="4"/>
  <c r="J1490" i="4"/>
  <c r="J1493" i="4"/>
  <c r="J1489" i="4"/>
  <c r="J1492" i="4"/>
  <c r="J1600" i="3"/>
  <c r="BG2275" i="3"/>
  <c r="BG2297" i="3"/>
  <c r="J1434" i="4"/>
  <c r="BB2109" i="4"/>
  <c r="BB2132" i="4"/>
  <c r="J1480" i="2"/>
  <c r="BB2179" i="2"/>
  <c r="BB2202" i="2"/>
  <c r="J1710" i="1"/>
  <c r="BJ2391" i="1"/>
  <c r="BJ2407" i="1"/>
  <c r="B1704" i="1"/>
  <c r="D1704" i="1"/>
  <c r="H1704" i="1"/>
  <c r="I1704" i="1"/>
  <c r="BJ2385" i="1"/>
  <c r="BJ2402" i="1"/>
  <c r="B1705" i="1"/>
  <c r="D1705" i="1"/>
  <c r="H1705" i="1"/>
  <c r="I1705" i="1"/>
  <c r="BJ2386" i="1"/>
  <c r="BJ2403" i="1"/>
  <c r="B1706" i="1"/>
  <c r="D1706" i="1"/>
  <c r="H1706" i="1"/>
  <c r="I1706" i="1"/>
  <c r="BJ2387" i="1"/>
  <c r="BJ2404" i="1"/>
  <c r="B1707" i="1"/>
  <c r="D1707" i="1"/>
  <c r="H1707" i="1"/>
  <c r="I1707" i="1"/>
  <c r="B1708" i="1"/>
  <c r="D1708" i="1"/>
  <c r="H1708" i="1"/>
  <c r="I1708" i="1"/>
  <c r="BJ2389" i="1"/>
  <c r="BJ2406" i="1"/>
  <c r="B62" i="11"/>
  <c r="C62" i="11"/>
  <c r="D62" i="11"/>
  <c r="C46" i="11"/>
  <c r="D46" i="11"/>
  <c r="B64" i="11"/>
  <c r="C64" i="11"/>
  <c r="D64" i="11"/>
  <c r="C48" i="11"/>
  <c r="D48" i="11"/>
  <c r="B60" i="11"/>
  <c r="C44" i="11"/>
  <c r="D44" i="11"/>
  <c r="I1609" i="3"/>
  <c r="BG2284" i="3"/>
  <c r="BG2300" i="3"/>
  <c r="J934" i="5"/>
  <c r="AJ1636" i="5"/>
  <c r="AJ1659" i="5"/>
  <c r="J1452" i="2"/>
  <c r="BA2179" i="2"/>
  <c r="BA2202" i="2"/>
  <c r="J1573" i="3"/>
  <c r="BF2275" i="3"/>
  <c r="BF2297" i="3"/>
  <c r="J1407" i="4"/>
  <c r="BA2109" i="4"/>
  <c r="BA2132" i="4"/>
  <c r="J171" i="6"/>
  <c r="H873" i="6"/>
  <c r="H895" i="6"/>
  <c r="J1611" i="3"/>
  <c r="I1612" i="3"/>
  <c r="BG2287" i="3"/>
  <c r="BG2303" i="3"/>
  <c r="J198" i="6"/>
  <c r="J961" i="5"/>
  <c r="G977" i="5"/>
  <c r="G978" i="5"/>
  <c r="C977" i="5"/>
  <c r="C978" i="5"/>
  <c r="H977" i="5"/>
  <c r="H978" i="5"/>
  <c r="F977" i="5"/>
  <c r="F978" i="5"/>
  <c r="D977" i="5"/>
  <c r="D978" i="5"/>
  <c r="B977" i="5"/>
  <c r="B978" i="5"/>
  <c r="I971" i="5"/>
  <c r="AK1646" i="5"/>
  <c r="AK1663" i="5"/>
  <c r="I970" i="5"/>
  <c r="AK1645" i="5"/>
  <c r="AK1662" i="5"/>
  <c r="E977" i="5"/>
  <c r="E978" i="5"/>
  <c r="I969" i="5"/>
  <c r="AK1644" i="5"/>
  <c r="AK1661" i="5"/>
  <c r="I973" i="5"/>
  <c r="AK1648" i="5"/>
  <c r="AK1665" i="5"/>
  <c r="I972" i="5"/>
  <c r="AK1647" i="5"/>
  <c r="AK1664" i="5"/>
  <c r="J1609" i="3"/>
  <c r="J1594" i="3"/>
  <c r="J1614" i="3"/>
  <c r="I1610" i="3"/>
  <c r="BG2285" i="3"/>
  <c r="BG2301" i="3"/>
  <c r="I1608" i="3"/>
  <c r="BG2283" i="3"/>
  <c r="BG2299" i="3"/>
  <c r="BG2305" i="3"/>
  <c r="I1492" i="2"/>
  <c r="BB2191" i="2"/>
  <c r="BB2208" i="2"/>
  <c r="F1496" i="2"/>
  <c r="F1497" i="2"/>
  <c r="F1486" i="2"/>
  <c r="B1496" i="2"/>
  <c r="B1497" i="2"/>
  <c r="B1486" i="2"/>
  <c r="G1496" i="2"/>
  <c r="G1497" i="2"/>
  <c r="G1487" i="2"/>
  <c r="E1496" i="2"/>
  <c r="E1497" i="2"/>
  <c r="E1487" i="2"/>
  <c r="C1496" i="2"/>
  <c r="C1497" i="2"/>
  <c r="C1487" i="2"/>
  <c r="H1496" i="2"/>
  <c r="H1497" i="2"/>
  <c r="H1486" i="2"/>
  <c r="D1496" i="2"/>
  <c r="D1497" i="2"/>
  <c r="D1486" i="2"/>
  <c r="J1491" i="2"/>
  <c r="I1490" i="2"/>
  <c r="BB2189" i="2"/>
  <c r="BB2206" i="2"/>
  <c r="I1488" i="2"/>
  <c r="BB2187" i="2"/>
  <c r="BB2204" i="2"/>
  <c r="J1696" i="1"/>
  <c r="I1709" i="1"/>
  <c r="BJ2390" i="1"/>
  <c r="H1711" i="1"/>
  <c r="B1711" i="1"/>
  <c r="F1712" i="1"/>
  <c r="F1713" i="1"/>
  <c r="D1711" i="1"/>
  <c r="I181" i="6"/>
  <c r="H883" i="6"/>
  <c r="H899" i="6"/>
  <c r="I183" i="6"/>
  <c r="H885" i="6"/>
  <c r="H901" i="6"/>
  <c r="I179" i="6"/>
  <c r="H881" i="6"/>
  <c r="H897" i="6"/>
  <c r="I1416" i="4"/>
  <c r="BA2118" i="4"/>
  <c r="BA2135" i="4"/>
  <c r="I1419" i="4"/>
  <c r="BA2121" i="4"/>
  <c r="BA2138" i="4"/>
  <c r="I1418" i="4"/>
  <c r="BA2120" i="4"/>
  <c r="BA2137" i="4"/>
  <c r="F1423" i="4"/>
  <c r="F1424" i="4"/>
  <c r="B1423" i="4"/>
  <c r="B1424" i="4"/>
  <c r="H1423" i="4"/>
  <c r="H1424" i="4"/>
  <c r="D1423" i="4"/>
  <c r="D1424" i="4"/>
  <c r="G1423" i="4"/>
  <c r="G1424" i="4"/>
  <c r="E1423" i="4"/>
  <c r="E1424" i="4"/>
  <c r="C1423" i="4"/>
  <c r="C1424" i="4"/>
  <c r="I1417" i="4"/>
  <c r="BA2119" i="4"/>
  <c r="BA2136" i="4"/>
  <c r="I1415" i="4"/>
  <c r="BA2117" i="4"/>
  <c r="BA2134" i="4"/>
  <c r="BA2140" i="4"/>
  <c r="J1587" i="3"/>
  <c r="J1669" i="1"/>
  <c r="B1681" i="1"/>
  <c r="B1679" i="1"/>
  <c r="B1677" i="1"/>
  <c r="B1680" i="1"/>
  <c r="B1678" i="1"/>
  <c r="B1684" i="1"/>
  <c r="H138" i="6"/>
  <c r="G138" i="6"/>
  <c r="F138" i="6"/>
  <c r="E138" i="6"/>
  <c r="D138" i="6"/>
  <c r="C138" i="6"/>
  <c r="B138" i="6"/>
  <c r="E793" i="5"/>
  <c r="H901" i="5"/>
  <c r="G901" i="5"/>
  <c r="F901" i="5"/>
  <c r="E901" i="5"/>
  <c r="D901" i="5"/>
  <c r="C901" i="5"/>
  <c r="B901" i="5"/>
  <c r="H1374" i="4"/>
  <c r="G1374" i="4"/>
  <c r="F1374" i="4"/>
  <c r="E1374" i="4"/>
  <c r="D1374" i="4"/>
  <c r="C1374" i="4"/>
  <c r="B1374" i="4"/>
  <c r="H1540" i="3"/>
  <c r="G1540" i="3"/>
  <c r="F1540" i="3"/>
  <c r="E1540" i="3"/>
  <c r="D1540" i="3"/>
  <c r="C1540" i="3"/>
  <c r="B1540" i="3"/>
  <c r="H1418" i="2"/>
  <c r="G1418" i="2"/>
  <c r="F1418" i="2"/>
  <c r="E1418" i="2"/>
  <c r="D1418" i="2"/>
  <c r="C1418" i="2"/>
  <c r="B1418" i="2"/>
  <c r="H1636" i="1"/>
  <c r="G1636" i="1"/>
  <c r="F1636" i="1"/>
  <c r="E1636" i="1"/>
  <c r="D1636" i="1"/>
  <c r="C1636" i="1"/>
  <c r="B1636" i="1"/>
  <c r="I1021" i="5"/>
  <c r="AM1642" i="5"/>
  <c r="I1022" i="5"/>
  <c r="AM1643" i="5"/>
  <c r="J182" i="6"/>
  <c r="J180" i="6"/>
  <c r="J1489" i="2"/>
  <c r="J1612" i="3"/>
  <c r="J1032" i="5"/>
  <c r="J1021" i="5"/>
  <c r="I1059" i="5"/>
  <c r="AN1653" i="5"/>
  <c r="I1532" i="4"/>
  <c r="BE2126" i="4"/>
  <c r="J1783" i="1"/>
  <c r="J1784" i="1"/>
  <c r="I269" i="6"/>
  <c r="K890" i="6"/>
  <c r="I1505" i="4"/>
  <c r="BD2126" i="4"/>
  <c r="C60" i="11"/>
  <c r="D60" i="11"/>
  <c r="AK1667" i="5"/>
  <c r="J1419" i="4"/>
  <c r="D968" i="5"/>
  <c r="D967" i="5"/>
  <c r="H968" i="5"/>
  <c r="H967" i="5"/>
  <c r="B968" i="5"/>
  <c r="B967" i="5"/>
  <c r="F968" i="5"/>
  <c r="F967" i="5"/>
  <c r="J972" i="5"/>
  <c r="I974" i="5"/>
  <c r="AK1649" i="5"/>
  <c r="J969" i="5"/>
  <c r="J971" i="5"/>
  <c r="J973" i="5"/>
  <c r="E967" i="5"/>
  <c r="E968" i="5"/>
  <c r="J970" i="5"/>
  <c r="C967" i="5"/>
  <c r="C968" i="5"/>
  <c r="G967" i="5"/>
  <c r="G968" i="5"/>
  <c r="J1610" i="3"/>
  <c r="J1608" i="3"/>
  <c r="I1613" i="3"/>
  <c r="J1492" i="2"/>
  <c r="C1486" i="2"/>
  <c r="G1486" i="2"/>
  <c r="E1486" i="2"/>
  <c r="J1490" i="2"/>
  <c r="I1493" i="2"/>
  <c r="BB2192" i="2"/>
  <c r="J1488" i="2"/>
  <c r="D1487" i="2"/>
  <c r="H1487" i="2"/>
  <c r="B1487" i="2"/>
  <c r="F1487" i="2"/>
  <c r="D1712" i="1"/>
  <c r="D1713" i="1"/>
  <c r="B1712" i="1"/>
  <c r="B1713" i="1"/>
  <c r="F1702" i="1"/>
  <c r="F1703" i="1"/>
  <c r="H1712" i="1"/>
  <c r="H1713" i="1"/>
  <c r="I1711" i="1"/>
  <c r="BJ2392" i="1"/>
  <c r="J1709" i="1"/>
  <c r="J181" i="6"/>
  <c r="I184" i="6"/>
  <c r="J183" i="6"/>
  <c r="J179" i="6"/>
  <c r="J1418" i="4"/>
  <c r="J1416" i="4"/>
  <c r="E1414" i="4"/>
  <c r="E1413" i="4"/>
  <c r="D1413" i="4"/>
  <c r="D1414" i="4"/>
  <c r="B1413" i="4"/>
  <c r="B1414" i="4"/>
  <c r="C1414" i="4"/>
  <c r="C1413" i="4"/>
  <c r="G1414" i="4"/>
  <c r="G1413" i="4"/>
  <c r="H1413" i="4"/>
  <c r="H1414" i="4"/>
  <c r="F1413" i="4"/>
  <c r="F1414" i="4"/>
  <c r="J1417" i="4"/>
  <c r="I1420" i="4"/>
  <c r="BA2122" i="4"/>
  <c r="J1415" i="4"/>
  <c r="B1685" i="1"/>
  <c r="B1686" i="1"/>
  <c r="F893" i="6"/>
  <c r="F896" i="6"/>
  <c r="H158" i="6"/>
  <c r="H157" i="6"/>
  <c r="H159" i="6"/>
  <c r="G158" i="6"/>
  <c r="G157" i="6"/>
  <c r="F158" i="6"/>
  <c r="F157" i="6"/>
  <c r="F159" i="6"/>
  <c r="E158" i="6"/>
  <c r="E157" i="6"/>
  <c r="D158" i="6"/>
  <c r="D157" i="6"/>
  <c r="D159" i="6"/>
  <c r="C158" i="6"/>
  <c r="C157" i="6"/>
  <c r="B158" i="6"/>
  <c r="B157" i="6"/>
  <c r="B159" i="6"/>
  <c r="H144" i="6"/>
  <c r="G144" i="6"/>
  <c r="F144" i="6"/>
  <c r="E144" i="6"/>
  <c r="D144" i="6"/>
  <c r="C144" i="6"/>
  <c r="B144" i="6"/>
  <c r="I143" i="6"/>
  <c r="I142" i="6"/>
  <c r="I141" i="6"/>
  <c r="I140" i="6"/>
  <c r="I139" i="6"/>
  <c r="G868" i="6"/>
  <c r="AH1657" i="5"/>
  <c r="AH1660" i="5"/>
  <c r="H921" i="5"/>
  <c r="H920" i="5"/>
  <c r="H922" i="5"/>
  <c r="G921" i="5"/>
  <c r="G920" i="5"/>
  <c r="F921" i="5"/>
  <c r="F920" i="5"/>
  <c r="F916" i="5"/>
  <c r="E921" i="5"/>
  <c r="E920" i="5"/>
  <c r="D921" i="5"/>
  <c r="D920" i="5"/>
  <c r="D922" i="5"/>
  <c r="C921" i="5"/>
  <c r="C920" i="5"/>
  <c r="B921" i="5"/>
  <c r="B920" i="5"/>
  <c r="B919" i="5"/>
  <c r="F919" i="5"/>
  <c r="D918" i="5"/>
  <c r="H916" i="5"/>
  <c r="B916" i="5"/>
  <c r="B915" i="5"/>
  <c r="H907" i="5"/>
  <c r="G907" i="5"/>
  <c r="F907" i="5"/>
  <c r="E907" i="5"/>
  <c r="D907" i="5"/>
  <c r="C907" i="5"/>
  <c r="B907" i="5"/>
  <c r="I906" i="5"/>
  <c r="I905" i="5"/>
  <c r="I904" i="5"/>
  <c r="I903" i="5"/>
  <c r="I902" i="5"/>
  <c r="AI1631" i="5"/>
  <c r="I901" i="5"/>
  <c r="H1394" i="4"/>
  <c r="H1393" i="4"/>
  <c r="H1395" i="4"/>
  <c r="G1394" i="4"/>
  <c r="G1393" i="4"/>
  <c r="F1394" i="4"/>
  <c r="F1393" i="4"/>
  <c r="F1395" i="4"/>
  <c r="E1394" i="4"/>
  <c r="E1393" i="4"/>
  <c r="D1394" i="4"/>
  <c r="D1393" i="4"/>
  <c r="D1395" i="4"/>
  <c r="C1394" i="4"/>
  <c r="C1393" i="4"/>
  <c r="B1394" i="4"/>
  <c r="B1393" i="4"/>
  <c r="B1395" i="4"/>
  <c r="H1380" i="4"/>
  <c r="G1380" i="4"/>
  <c r="F1380" i="4"/>
  <c r="E1380" i="4"/>
  <c r="D1380" i="4"/>
  <c r="C1380" i="4"/>
  <c r="B1380" i="4"/>
  <c r="I1379" i="4"/>
  <c r="I1378" i="4"/>
  <c r="I1377" i="4"/>
  <c r="I1376" i="4"/>
  <c r="I1375" i="4"/>
  <c r="AZ2104" i="4"/>
  <c r="I1374" i="4"/>
  <c r="BD2295" i="3"/>
  <c r="BD2298" i="3"/>
  <c r="H1560" i="3"/>
  <c r="H1559" i="3"/>
  <c r="H1558" i="3"/>
  <c r="G1560" i="3"/>
  <c r="G1559" i="3"/>
  <c r="F1560" i="3"/>
  <c r="F1559" i="3"/>
  <c r="F1561" i="3"/>
  <c r="E1560" i="3"/>
  <c r="E1559" i="3"/>
  <c r="D1560" i="3"/>
  <c r="D1559" i="3"/>
  <c r="D1557" i="3"/>
  <c r="C1560" i="3"/>
  <c r="C1559" i="3"/>
  <c r="B1560" i="3"/>
  <c r="B1559" i="3"/>
  <c r="B1557" i="3"/>
  <c r="D1558" i="3"/>
  <c r="F1556" i="3"/>
  <c r="F1555" i="3"/>
  <c r="D1554" i="3"/>
  <c r="H1546" i="3"/>
  <c r="G1546" i="3"/>
  <c r="F1546" i="3"/>
  <c r="E1546" i="3"/>
  <c r="D1546" i="3"/>
  <c r="C1546" i="3"/>
  <c r="B1546" i="3"/>
  <c r="I1545" i="3"/>
  <c r="I1544" i="3"/>
  <c r="I1543" i="3"/>
  <c r="I1542" i="3"/>
  <c r="I1541" i="3"/>
  <c r="BE2270" i="3"/>
  <c r="AY2200" i="2"/>
  <c r="AY2203" i="2"/>
  <c r="H1438" i="2"/>
  <c r="H1437" i="2"/>
  <c r="G1438" i="2"/>
  <c r="G1437" i="2"/>
  <c r="G1439" i="2"/>
  <c r="F1438" i="2"/>
  <c r="F1437" i="2"/>
  <c r="E1438" i="2"/>
  <c r="E1437" i="2"/>
  <c r="E1439" i="2"/>
  <c r="D1438" i="2"/>
  <c r="D1437" i="2"/>
  <c r="C1438" i="2"/>
  <c r="C1437" i="2"/>
  <c r="C1439" i="2"/>
  <c r="B1438" i="2"/>
  <c r="B1437" i="2"/>
  <c r="E1434" i="2"/>
  <c r="H1424" i="2"/>
  <c r="G1424" i="2"/>
  <c r="F1424" i="2"/>
  <c r="E1424" i="2"/>
  <c r="D1424" i="2"/>
  <c r="C1424" i="2"/>
  <c r="B1424" i="2"/>
  <c r="I1423" i="2"/>
  <c r="I1422" i="2"/>
  <c r="I1421" i="2"/>
  <c r="I1420" i="2"/>
  <c r="I1419" i="2"/>
  <c r="AZ2174" i="2"/>
  <c r="I1418" i="2"/>
  <c r="BG2398" i="1"/>
  <c r="BG2401" i="1"/>
  <c r="H1656" i="1"/>
  <c r="H1655" i="1"/>
  <c r="G1656" i="1"/>
  <c r="G1655" i="1"/>
  <c r="G1652" i="1"/>
  <c r="F1656" i="1"/>
  <c r="F1655" i="1"/>
  <c r="E1656" i="1"/>
  <c r="E1655" i="1"/>
  <c r="E1652" i="1"/>
  <c r="D1656" i="1"/>
  <c r="D1655" i="1"/>
  <c r="C1656" i="1"/>
  <c r="C1655" i="1"/>
  <c r="C1654" i="1"/>
  <c r="B1656" i="1"/>
  <c r="B1655" i="1"/>
  <c r="G1650" i="1"/>
  <c r="H1642" i="1"/>
  <c r="G1642" i="1"/>
  <c r="F1642" i="1"/>
  <c r="E1642" i="1"/>
  <c r="D1642" i="1"/>
  <c r="C1642" i="1"/>
  <c r="B1642" i="1"/>
  <c r="I1641" i="1"/>
  <c r="I1640" i="1"/>
  <c r="I1639" i="1"/>
  <c r="I1638" i="1"/>
  <c r="I1637" i="1"/>
  <c r="BH2367" i="1"/>
  <c r="G1432" i="2"/>
  <c r="E1433" i="2"/>
  <c r="C1434" i="2"/>
  <c r="E1435" i="2"/>
  <c r="B1554" i="3"/>
  <c r="F1554" i="3"/>
  <c r="D1555" i="3"/>
  <c r="H1555" i="3"/>
  <c r="D1556" i="3"/>
  <c r="H1557" i="3"/>
  <c r="D915" i="5"/>
  <c r="H915" i="5"/>
  <c r="B917" i="5"/>
  <c r="F917" i="5"/>
  <c r="H918" i="5"/>
  <c r="D919" i="5"/>
  <c r="H919" i="5"/>
  <c r="H1390" i="4"/>
  <c r="J1022" i="5"/>
  <c r="F1390" i="4"/>
  <c r="C1651" i="1"/>
  <c r="B152" i="6"/>
  <c r="H153" i="6"/>
  <c r="D155" i="6"/>
  <c r="I963" i="5"/>
  <c r="AK1638" i="5"/>
  <c r="I966" i="5"/>
  <c r="AK1641" i="5"/>
  <c r="I964" i="5"/>
  <c r="AK1639" i="5"/>
  <c r="D152" i="6"/>
  <c r="F153" i="6"/>
  <c r="D156" i="6"/>
  <c r="B1392" i="4"/>
  <c r="I1481" i="2"/>
  <c r="BB2180" i="2"/>
  <c r="I1408" i="4"/>
  <c r="BA2110" i="4"/>
  <c r="I962" i="5"/>
  <c r="AK1637" i="5"/>
  <c r="J1059" i="5"/>
  <c r="I1049" i="5"/>
  <c r="AN1643" i="5"/>
  <c r="I1048" i="5"/>
  <c r="AN1642" i="5"/>
  <c r="J1532" i="4"/>
  <c r="I1522" i="4"/>
  <c r="BE2116" i="4"/>
  <c r="I1521" i="4"/>
  <c r="BE2115" i="4"/>
  <c r="B1389" i="4"/>
  <c r="D1389" i="4"/>
  <c r="F1389" i="4"/>
  <c r="H1389" i="4"/>
  <c r="F1392" i="4"/>
  <c r="I259" i="6"/>
  <c r="K880" i="6"/>
  <c r="J269" i="6"/>
  <c r="I258" i="6"/>
  <c r="K879" i="6"/>
  <c r="J1505" i="4"/>
  <c r="I1495" i="4"/>
  <c r="BD2116" i="4"/>
  <c r="I1494" i="4"/>
  <c r="BD2115" i="4"/>
  <c r="C1650" i="1"/>
  <c r="E1650" i="1"/>
  <c r="G1651" i="1"/>
  <c r="C1652" i="1"/>
  <c r="I1603" i="3"/>
  <c r="BG2278" i="3"/>
  <c r="BG2288" i="3"/>
  <c r="C1653" i="1"/>
  <c r="E1653" i="1"/>
  <c r="E1654" i="1"/>
  <c r="G1654" i="1"/>
  <c r="J1707" i="1"/>
  <c r="J1700" i="1"/>
  <c r="J1421" i="2"/>
  <c r="AZ2176" i="2"/>
  <c r="J1423" i="2"/>
  <c r="AZ2178" i="2"/>
  <c r="J1418" i="2"/>
  <c r="AZ2173" i="2"/>
  <c r="AZ2201" i="2"/>
  <c r="J1420" i="2"/>
  <c r="AZ2175" i="2"/>
  <c r="J1422" i="2"/>
  <c r="AZ2177" i="2"/>
  <c r="I186" i="6"/>
  <c r="H888" i="6"/>
  <c r="H886" i="6"/>
  <c r="J140" i="6"/>
  <c r="G869" i="6"/>
  <c r="J142" i="6"/>
  <c r="G871" i="6"/>
  <c r="J141" i="6"/>
  <c r="G870" i="6"/>
  <c r="J143" i="6"/>
  <c r="G872" i="6"/>
  <c r="I965" i="5"/>
  <c r="AK1640" i="5"/>
  <c r="J901" i="5"/>
  <c r="AI1630" i="5"/>
  <c r="AI1658" i="5"/>
  <c r="J903" i="5"/>
  <c r="AI1632" i="5"/>
  <c r="J905" i="5"/>
  <c r="AI1634" i="5"/>
  <c r="J904" i="5"/>
  <c r="AI1633" i="5"/>
  <c r="J906" i="5"/>
  <c r="AI1635" i="5"/>
  <c r="J974" i="5"/>
  <c r="J976" i="5"/>
  <c r="J977" i="5"/>
  <c r="I976" i="5"/>
  <c r="AK1651" i="5"/>
  <c r="J965" i="5"/>
  <c r="J1374" i="4"/>
  <c r="AZ2103" i="4"/>
  <c r="AZ2131" i="4"/>
  <c r="J1376" i="4"/>
  <c r="AZ2105" i="4"/>
  <c r="J1378" i="4"/>
  <c r="AZ2107" i="4"/>
  <c r="J1377" i="4"/>
  <c r="AZ2106" i="4"/>
  <c r="J1379" i="4"/>
  <c r="AZ2108" i="4"/>
  <c r="I1601" i="3"/>
  <c r="BG2276" i="3"/>
  <c r="I1604" i="3"/>
  <c r="BG2279" i="3"/>
  <c r="I1602" i="3"/>
  <c r="BG2277" i="3"/>
  <c r="J1613" i="3"/>
  <c r="J1603" i="3"/>
  <c r="I1605" i="3"/>
  <c r="BG2280" i="3"/>
  <c r="I1615" i="3"/>
  <c r="BG2290" i="3"/>
  <c r="I1495" i="2"/>
  <c r="BB2194" i="2"/>
  <c r="J1493" i="2"/>
  <c r="J1481" i="2"/>
  <c r="I1485" i="2"/>
  <c r="BB2184" i="2"/>
  <c r="I1482" i="2"/>
  <c r="BB2181" i="2"/>
  <c r="I1484" i="2"/>
  <c r="BB2183" i="2"/>
  <c r="I1483" i="2"/>
  <c r="BB2182" i="2"/>
  <c r="I1699" i="1"/>
  <c r="BJ2380" i="1"/>
  <c r="J1706" i="1"/>
  <c r="J1699" i="1"/>
  <c r="H1702" i="1"/>
  <c r="H1703" i="1"/>
  <c r="J1708" i="1"/>
  <c r="J1701" i="1"/>
  <c r="I1701" i="1"/>
  <c r="BJ2382" i="1"/>
  <c r="I1698" i="1"/>
  <c r="BJ2379" i="1"/>
  <c r="J1705" i="1"/>
  <c r="J1698" i="1"/>
  <c r="I1712" i="1"/>
  <c r="BJ2393" i="1"/>
  <c r="J1711" i="1"/>
  <c r="J1704" i="1"/>
  <c r="J1697" i="1"/>
  <c r="I1697" i="1"/>
  <c r="BJ2378" i="1"/>
  <c r="B1702" i="1"/>
  <c r="B1703" i="1"/>
  <c r="D1702" i="1"/>
  <c r="D1703" i="1"/>
  <c r="I175" i="6"/>
  <c r="H877" i="6"/>
  <c r="I174" i="6"/>
  <c r="H876" i="6"/>
  <c r="I176" i="6"/>
  <c r="H878" i="6"/>
  <c r="I172" i="6"/>
  <c r="H874" i="6"/>
  <c r="I173" i="6"/>
  <c r="H875" i="6"/>
  <c r="J184" i="6"/>
  <c r="J174" i="6"/>
  <c r="J1639" i="1"/>
  <c r="BH2369" i="1"/>
  <c r="J1641" i="1"/>
  <c r="BH2371" i="1"/>
  <c r="J1543" i="3"/>
  <c r="BE2272" i="3"/>
  <c r="J1545" i="3"/>
  <c r="BE2274" i="3"/>
  <c r="J1638" i="1"/>
  <c r="BH2368" i="1"/>
  <c r="J1640" i="1"/>
  <c r="BH2370" i="1"/>
  <c r="J1542" i="3"/>
  <c r="BE2271" i="3"/>
  <c r="J1544" i="3"/>
  <c r="BE2273" i="3"/>
  <c r="B154" i="6"/>
  <c r="D154" i="6"/>
  <c r="F154" i="6"/>
  <c r="B156" i="6"/>
  <c r="F156" i="6"/>
  <c r="B1388" i="4"/>
  <c r="D1388" i="4"/>
  <c r="F1388" i="4"/>
  <c r="H1388" i="4"/>
  <c r="B1390" i="4"/>
  <c r="B1391" i="4"/>
  <c r="D1391" i="4"/>
  <c r="F1391" i="4"/>
  <c r="H1391" i="4"/>
  <c r="D1392" i="4"/>
  <c r="H1392" i="4"/>
  <c r="I1422" i="4"/>
  <c r="BA2124" i="4"/>
  <c r="J1420" i="4"/>
  <c r="J1408" i="4"/>
  <c r="I1412" i="4"/>
  <c r="BA2114" i="4"/>
  <c r="I1409" i="4"/>
  <c r="BA2111" i="4"/>
  <c r="I1411" i="4"/>
  <c r="BA2113" i="4"/>
  <c r="I1410" i="4"/>
  <c r="BA2112" i="4"/>
  <c r="B1676" i="1"/>
  <c r="B1675" i="1"/>
  <c r="H152" i="6"/>
  <c r="H155" i="6"/>
  <c r="H156" i="6"/>
  <c r="H154" i="6"/>
  <c r="F155" i="6"/>
  <c r="D153" i="6"/>
  <c r="I144" i="6"/>
  <c r="B153" i="6"/>
  <c r="B155" i="6"/>
  <c r="H917" i="5"/>
  <c r="F918" i="5"/>
  <c r="D916" i="5"/>
  <c r="I907" i="5"/>
  <c r="B918" i="5"/>
  <c r="D1390" i="4"/>
  <c r="I1380" i="4"/>
  <c r="F1557" i="3"/>
  <c r="I1546" i="3"/>
  <c r="B1555" i="3"/>
  <c r="G1436" i="2"/>
  <c r="E1436" i="2"/>
  <c r="C1436" i="2"/>
  <c r="I1424" i="2"/>
  <c r="E1651" i="1"/>
  <c r="I1642" i="1"/>
  <c r="I138" i="6"/>
  <c r="G867" i="6"/>
  <c r="G894" i="6"/>
  <c r="I158" i="6"/>
  <c r="G887" i="6"/>
  <c r="G902" i="6"/>
  <c r="J139" i="6"/>
  <c r="J158" i="6"/>
  <c r="I921" i="5"/>
  <c r="AI1650" i="5"/>
  <c r="AI1666" i="5"/>
  <c r="J902" i="5"/>
  <c r="J921" i="5"/>
  <c r="I1394" i="4"/>
  <c r="AZ2123" i="4"/>
  <c r="AZ2139" i="4"/>
  <c r="J1375" i="4"/>
  <c r="J1394" i="4"/>
  <c r="B1561" i="3"/>
  <c r="B1562" i="3"/>
  <c r="B1563" i="3"/>
  <c r="D1561" i="3"/>
  <c r="H1561" i="3"/>
  <c r="H1562" i="3"/>
  <c r="H1563" i="3"/>
  <c r="I1540" i="3"/>
  <c r="BE2269" i="3"/>
  <c r="BE2296" i="3"/>
  <c r="D1562" i="3"/>
  <c r="D1563" i="3"/>
  <c r="I1560" i="3"/>
  <c r="BE2289" i="3"/>
  <c r="BE2304" i="3"/>
  <c r="J1541" i="3"/>
  <c r="I1438" i="2"/>
  <c r="AZ2193" i="2"/>
  <c r="AZ2209" i="2"/>
  <c r="J1419" i="2"/>
  <c r="J1438" i="2"/>
  <c r="I1636" i="1"/>
  <c r="BH2366" i="1"/>
  <c r="BH2399" i="1"/>
  <c r="C1657" i="1"/>
  <c r="C1658" i="1"/>
  <c r="C1659" i="1"/>
  <c r="E1657" i="1"/>
  <c r="E1658" i="1"/>
  <c r="E1659" i="1"/>
  <c r="G1657" i="1"/>
  <c r="G1658" i="1"/>
  <c r="G1659" i="1"/>
  <c r="I1656" i="1"/>
  <c r="BH2391" i="1"/>
  <c r="BH2407" i="1"/>
  <c r="J1637" i="1"/>
  <c r="I187" i="6"/>
  <c r="I188" i="6"/>
  <c r="J1049" i="5"/>
  <c r="J1048" i="5"/>
  <c r="J1521" i="4"/>
  <c r="J1522" i="4"/>
  <c r="J258" i="6"/>
  <c r="J259" i="6"/>
  <c r="J1495" i="4"/>
  <c r="J1494" i="4"/>
  <c r="J1424" i="2"/>
  <c r="AZ2179" i="2"/>
  <c r="AZ2202" i="2"/>
  <c r="H889" i="6"/>
  <c r="J144" i="6"/>
  <c r="G873" i="6"/>
  <c r="G895" i="6"/>
  <c r="J962" i="5"/>
  <c r="J966" i="5"/>
  <c r="J964" i="5"/>
  <c r="J963" i="5"/>
  <c r="J907" i="5"/>
  <c r="AI1636" i="5"/>
  <c r="AI1659" i="5"/>
  <c r="I977" i="5"/>
  <c r="AK1652" i="5"/>
  <c r="J1380" i="4"/>
  <c r="AZ2109" i="4"/>
  <c r="AZ2132" i="4"/>
  <c r="J1615" i="3"/>
  <c r="I1616" i="3"/>
  <c r="BG2291" i="3"/>
  <c r="J1604" i="3"/>
  <c r="J1602" i="3"/>
  <c r="J1605" i="3"/>
  <c r="J1601" i="3"/>
  <c r="I1496" i="2"/>
  <c r="BB2195" i="2"/>
  <c r="J1482" i="2"/>
  <c r="J1485" i="2"/>
  <c r="J1484" i="2"/>
  <c r="J1483" i="2"/>
  <c r="J1712" i="1"/>
  <c r="I1713" i="1"/>
  <c r="BJ2394" i="1"/>
  <c r="J186" i="6"/>
  <c r="J187" i="6"/>
  <c r="J173" i="6"/>
  <c r="J175" i="6"/>
  <c r="J172" i="6"/>
  <c r="J176" i="6"/>
  <c r="J1642" i="1"/>
  <c r="BH2372" i="1"/>
  <c r="BH2400" i="1"/>
  <c r="J1546" i="3"/>
  <c r="BE2275" i="3"/>
  <c r="BE2297" i="3"/>
  <c r="I1423" i="4"/>
  <c r="BA2125" i="4"/>
  <c r="J1409" i="4"/>
  <c r="J1412" i="4"/>
  <c r="J1411" i="4"/>
  <c r="J1410" i="4"/>
  <c r="J1560" i="3"/>
  <c r="J1540" i="3"/>
  <c r="J138" i="6"/>
  <c r="D1552" i="3"/>
  <c r="D1553" i="3"/>
  <c r="J1656" i="1"/>
  <c r="J1636" i="1"/>
  <c r="H890" i="6"/>
  <c r="J188" i="6"/>
  <c r="J177" i="6"/>
  <c r="I178" i="6"/>
  <c r="H880" i="6"/>
  <c r="I177" i="6"/>
  <c r="H879" i="6"/>
  <c r="I978" i="5"/>
  <c r="AK1653" i="5"/>
  <c r="J1616" i="3"/>
  <c r="I1617" i="3"/>
  <c r="BG2292" i="3"/>
  <c r="I1497" i="2"/>
  <c r="BB2196" i="2"/>
  <c r="J1713" i="1"/>
  <c r="J1702" i="1"/>
  <c r="I1702" i="1"/>
  <c r="BJ2383" i="1"/>
  <c r="I1703" i="1"/>
  <c r="BJ2384" i="1"/>
  <c r="J178" i="6"/>
  <c r="I1424" i="4"/>
  <c r="BA2126" i="4"/>
  <c r="J1703" i="1"/>
  <c r="I1487" i="2"/>
  <c r="BB2186" i="2"/>
  <c r="I968" i="5"/>
  <c r="AK1643" i="5"/>
  <c r="I1486" i="2"/>
  <c r="BB2185" i="2"/>
  <c r="J1497" i="2"/>
  <c r="J1487" i="2"/>
  <c r="I1414" i="4"/>
  <c r="BA2116" i="4"/>
  <c r="I1607" i="3"/>
  <c r="BG2282" i="3"/>
  <c r="I1606" i="3"/>
  <c r="BG2281" i="3"/>
  <c r="J1617" i="3"/>
  <c r="I1413" i="4"/>
  <c r="BA2115" i="4"/>
  <c r="J1424" i="4"/>
  <c r="J1413" i="4"/>
  <c r="J1606" i="3"/>
  <c r="J1607" i="3"/>
  <c r="J1414" i="4"/>
  <c r="I4" i="5"/>
  <c r="J4" i="5"/>
  <c r="I5" i="5"/>
  <c r="I6" i="5"/>
  <c r="J6" i="5"/>
  <c r="I7" i="5"/>
  <c r="I8" i="5"/>
  <c r="J8" i="5"/>
  <c r="I9" i="5"/>
  <c r="G10" i="5"/>
  <c r="H10" i="5"/>
  <c r="G24" i="5"/>
  <c r="G23" i="5"/>
  <c r="H24" i="5"/>
  <c r="H23" i="5"/>
  <c r="H18" i="5"/>
  <c r="I32" i="5"/>
  <c r="J32" i="5"/>
  <c r="I33" i="5"/>
  <c r="J33" i="5"/>
  <c r="J52" i="5"/>
  <c r="I34" i="5"/>
  <c r="J34" i="5"/>
  <c r="I35" i="5"/>
  <c r="BI35" i="5"/>
  <c r="I36" i="5"/>
  <c r="I37" i="5"/>
  <c r="J37" i="5"/>
  <c r="B38" i="5"/>
  <c r="C38" i="5"/>
  <c r="D38" i="5"/>
  <c r="E38" i="5"/>
  <c r="F38" i="5"/>
  <c r="G38" i="5"/>
  <c r="H38" i="5"/>
  <c r="B52" i="5"/>
  <c r="B51" i="5"/>
  <c r="C52" i="5"/>
  <c r="C51" i="5"/>
  <c r="D52" i="5"/>
  <c r="D51" i="5"/>
  <c r="E52" i="5"/>
  <c r="E51" i="5"/>
  <c r="F52" i="5"/>
  <c r="F51" i="5"/>
  <c r="G52" i="5"/>
  <c r="G51" i="5"/>
  <c r="H52" i="5"/>
  <c r="H51" i="5"/>
  <c r="I60" i="5"/>
  <c r="J60" i="5"/>
  <c r="I61" i="5"/>
  <c r="I62" i="5"/>
  <c r="J62" i="5"/>
  <c r="I63" i="5"/>
  <c r="I64" i="5"/>
  <c r="J64" i="5"/>
  <c r="I65" i="5"/>
  <c r="B66" i="5"/>
  <c r="C66" i="5"/>
  <c r="D66" i="5"/>
  <c r="E66" i="5"/>
  <c r="F66" i="5"/>
  <c r="G66" i="5"/>
  <c r="H66" i="5"/>
  <c r="B80" i="5"/>
  <c r="B79" i="5"/>
  <c r="B76" i="5"/>
  <c r="C80" i="5"/>
  <c r="C79" i="5"/>
  <c r="D80" i="5"/>
  <c r="D79" i="5"/>
  <c r="D76" i="5"/>
  <c r="E80" i="5"/>
  <c r="E79" i="5"/>
  <c r="F80" i="5"/>
  <c r="F79" i="5"/>
  <c r="G80" i="5"/>
  <c r="G79" i="5"/>
  <c r="H80" i="5"/>
  <c r="H79" i="5"/>
  <c r="I88" i="5"/>
  <c r="J88" i="5"/>
  <c r="I89" i="5"/>
  <c r="E1631" i="5"/>
  <c r="I90" i="5"/>
  <c r="J90" i="5"/>
  <c r="I91" i="5"/>
  <c r="J91" i="5"/>
  <c r="I92" i="5"/>
  <c r="J92" i="5"/>
  <c r="I93" i="5"/>
  <c r="B94" i="5"/>
  <c r="C94" i="5"/>
  <c r="D94" i="5"/>
  <c r="E94" i="5"/>
  <c r="F94" i="5"/>
  <c r="G94" i="5"/>
  <c r="H94" i="5"/>
  <c r="B108" i="5"/>
  <c r="B107" i="5"/>
  <c r="B103" i="5"/>
  <c r="C108" i="5"/>
  <c r="C107" i="5"/>
  <c r="D108" i="5"/>
  <c r="D107" i="5"/>
  <c r="D103" i="5"/>
  <c r="E108" i="5"/>
  <c r="E107" i="5"/>
  <c r="F108" i="5"/>
  <c r="F107" i="5"/>
  <c r="F103" i="5"/>
  <c r="G108" i="5"/>
  <c r="G107" i="5"/>
  <c r="H108" i="5"/>
  <c r="H107" i="5"/>
  <c r="H103" i="5"/>
  <c r="I116" i="5"/>
  <c r="J116" i="5"/>
  <c r="I117" i="5"/>
  <c r="J117" i="5"/>
  <c r="J136" i="5"/>
  <c r="I118" i="5"/>
  <c r="J118" i="5"/>
  <c r="I119" i="5"/>
  <c r="I120" i="5"/>
  <c r="J120" i="5"/>
  <c r="I121" i="5"/>
  <c r="J121" i="5"/>
  <c r="B122" i="5"/>
  <c r="C122" i="5"/>
  <c r="D122" i="5"/>
  <c r="E122" i="5"/>
  <c r="F122" i="5"/>
  <c r="G122" i="5"/>
  <c r="H122" i="5"/>
  <c r="B136" i="5"/>
  <c r="B135" i="5"/>
  <c r="C136" i="5"/>
  <c r="C135" i="5"/>
  <c r="D136" i="5"/>
  <c r="D135" i="5"/>
  <c r="E136" i="5"/>
  <c r="E135" i="5"/>
  <c r="F136" i="5"/>
  <c r="F135" i="5"/>
  <c r="G136" i="5"/>
  <c r="G135" i="5"/>
  <c r="H136" i="5"/>
  <c r="H135" i="5"/>
  <c r="H137" i="5"/>
  <c r="I144" i="5"/>
  <c r="I145" i="5"/>
  <c r="I146" i="5"/>
  <c r="I147" i="5"/>
  <c r="J147" i="5"/>
  <c r="I148" i="5"/>
  <c r="I149" i="5"/>
  <c r="B150" i="5"/>
  <c r="C150" i="5"/>
  <c r="D150" i="5"/>
  <c r="E150" i="5"/>
  <c r="F150" i="5"/>
  <c r="G150" i="5"/>
  <c r="H150" i="5"/>
  <c r="B164" i="5"/>
  <c r="B163" i="5"/>
  <c r="C164" i="5"/>
  <c r="C163" i="5"/>
  <c r="D164" i="5"/>
  <c r="D163" i="5"/>
  <c r="E164" i="5"/>
  <c r="E163" i="5"/>
  <c r="F164" i="5"/>
  <c r="F163" i="5"/>
  <c r="F162" i="5"/>
  <c r="G164" i="5"/>
  <c r="G163" i="5"/>
  <c r="H164" i="5"/>
  <c r="H163" i="5"/>
  <c r="I172" i="5"/>
  <c r="I173" i="5"/>
  <c r="I174" i="5"/>
  <c r="I175" i="5"/>
  <c r="I176" i="5"/>
  <c r="J176" i="5"/>
  <c r="I177" i="5"/>
  <c r="J177" i="5"/>
  <c r="B178" i="5"/>
  <c r="C178" i="5"/>
  <c r="D178" i="5"/>
  <c r="E178" i="5"/>
  <c r="F178" i="5"/>
  <c r="G178" i="5"/>
  <c r="H178" i="5"/>
  <c r="B192" i="5"/>
  <c r="B191" i="5"/>
  <c r="C192" i="5"/>
  <c r="C191" i="5"/>
  <c r="D192" i="5"/>
  <c r="D191" i="5"/>
  <c r="E192" i="5"/>
  <c r="E191" i="5"/>
  <c r="F192" i="5"/>
  <c r="F191" i="5"/>
  <c r="G192" i="5"/>
  <c r="G191" i="5"/>
  <c r="H192" i="5"/>
  <c r="H191" i="5"/>
  <c r="I199" i="5"/>
  <c r="I200" i="5"/>
  <c r="I201" i="5"/>
  <c r="I202" i="5"/>
  <c r="I203" i="5"/>
  <c r="I204" i="5"/>
  <c r="B205" i="5"/>
  <c r="C205" i="5"/>
  <c r="D205" i="5"/>
  <c r="E205" i="5"/>
  <c r="F205" i="5"/>
  <c r="G205" i="5"/>
  <c r="H205" i="5"/>
  <c r="B219" i="5"/>
  <c r="B218" i="5"/>
  <c r="B217" i="5"/>
  <c r="C219" i="5"/>
  <c r="C218" i="5"/>
  <c r="D219" i="5"/>
  <c r="D218" i="5"/>
  <c r="E219" i="5"/>
  <c r="E218" i="5"/>
  <c r="F219" i="5"/>
  <c r="F218" i="5"/>
  <c r="F216" i="5"/>
  <c r="G219" i="5"/>
  <c r="G218" i="5"/>
  <c r="H219" i="5"/>
  <c r="H218" i="5"/>
  <c r="I226" i="5"/>
  <c r="J226" i="5"/>
  <c r="I227" i="5"/>
  <c r="J227" i="5"/>
  <c r="J246" i="5"/>
  <c r="I228" i="5"/>
  <c r="J1632" i="5"/>
  <c r="I229" i="5"/>
  <c r="J229" i="5"/>
  <c r="I230" i="5"/>
  <c r="I231" i="5"/>
  <c r="J231" i="5"/>
  <c r="B232" i="5"/>
  <c r="C232" i="5"/>
  <c r="D232" i="5"/>
  <c r="E232" i="5"/>
  <c r="F232" i="5"/>
  <c r="G232" i="5"/>
  <c r="H232" i="5"/>
  <c r="B246" i="5"/>
  <c r="B245" i="5"/>
  <c r="B244" i="5"/>
  <c r="C246" i="5"/>
  <c r="C245" i="5"/>
  <c r="D246" i="5"/>
  <c r="D245" i="5"/>
  <c r="D242" i="5"/>
  <c r="E246" i="5"/>
  <c r="E245" i="5"/>
  <c r="E242" i="5"/>
  <c r="F246" i="5"/>
  <c r="F245" i="5"/>
  <c r="F244" i="5"/>
  <c r="G246" i="5"/>
  <c r="G245" i="5"/>
  <c r="H246" i="5"/>
  <c r="H245" i="5"/>
  <c r="H242" i="5"/>
  <c r="I253" i="5"/>
  <c r="I254" i="5"/>
  <c r="I255" i="5"/>
  <c r="I256" i="5"/>
  <c r="I257" i="5"/>
  <c r="I258" i="5"/>
  <c r="B259" i="5"/>
  <c r="C259" i="5"/>
  <c r="D259" i="5"/>
  <c r="E259" i="5"/>
  <c r="F259" i="5"/>
  <c r="G259" i="5"/>
  <c r="H259" i="5"/>
  <c r="B273" i="5"/>
  <c r="B272" i="5"/>
  <c r="C273" i="5"/>
  <c r="C272" i="5"/>
  <c r="D273" i="5"/>
  <c r="D272" i="5"/>
  <c r="E273" i="5"/>
  <c r="E272" i="5"/>
  <c r="F273" i="5"/>
  <c r="F272" i="5"/>
  <c r="G273" i="5"/>
  <c r="G272" i="5"/>
  <c r="H273" i="5"/>
  <c r="H272" i="5"/>
  <c r="I280" i="5"/>
  <c r="I281" i="5"/>
  <c r="I282" i="5"/>
  <c r="L1632" i="5"/>
  <c r="I283" i="5"/>
  <c r="I284" i="5"/>
  <c r="J284" i="5"/>
  <c r="I285" i="5"/>
  <c r="J285" i="5"/>
  <c r="B286" i="5"/>
  <c r="C286" i="5"/>
  <c r="D286" i="5"/>
  <c r="E286" i="5"/>
  <c r="F286" i="5"/>
  <c r="G286" i="5"/>
  <c r="H286" i="5"/>
  <c r="B300" i="5"/>
  <c r="B299" i="5"/>
  <c r="C300" i="5"/>
  <c r="C299" i="5"/>
  <c r="D300" i="5"/>
  <c r="D299" i="5"/>
  <c r="E300" i="5"/>
  <c r="E299" i="5"/>
  <c r="F300" i="5"/>
  <c r="F299" i="5"/>
  <c r="G300" i="5"/>
  <c r="G299" i="5"/>
  <c r="H300" i="5"/>
  <c r="H299" i="5"/>
  <c r="I307" i="5"/>
  <c r="J307" i="5"/>
  <c r="I308" i="5"/>
  <c r="M1631" i="5"/>
  <c r="I309" i="5"/>
  <c r="I310" i="5"/>
  <c r="J310" i="5"/>
  <c r="I311" i="5"/>
  <c r="I312" i="5"/>
  <c r="B313" i="5"/>
  <c r="C313" i="5"/>
  <c r="D313" i="5"/>
  <c r="E313" i="5"/>
  <c r="F313" i="5"/>
  <c r="G313" i="5"/>
  <c r="H313" i="5"/>
  <c r="B327" i="5"/>
  <c r="B326" i="5"/>
  <c r="C327" i="5"/>
  <c r="C326" i="5"/>
  <c r="C325" i="5"/>
  <c r="D327" i="5"/>
  <c r="D326" i="5"/>
  <c r="E327" i="5"/>
  <c r="E326" i="5"/>
  <c r="F327" i="5"/>
  <c r="F326" i="5"/>
  <c r="G327" i="5"/>
  <c r="G326" i="5"/>
  <c r="H327" i="5"/>
  <c r="H326" i="5"/>
  <c r="I334" i="5"/>
  <c r="I335" i="5"/>
  <c r="J335" i="5"/>
  <c r="J354" i="5"/>
  <c r="I336" i="5"/>
  <c r="J336" i="5"/>
  <c r="I337" i="5"/>
  <c r="J337" i="5"/>
  <c r="I338" i="5"/>
  <c r="J338" i="5"/>
  <c r="I339" i="5"/>
  <c r="J339" i="5"/>
  <c r="B340" i="5"/>
  <c r="C340" i="5"/>
  <c r="D340" i="5"/>
  <c r="E340" i="5"/>
  <c r="F340" i="5"/>
  <c r="G340" i="5"/>
  <c r="H340" i="5"/>
  <c r="B354" i="5"/>
  <c r="B353" i="5"/>
  <c r="C354" i="5"/>
  <c r="C353" i="5"/>
  <c r="D354" i="5"/>
  <c r="D353" i="5"/>
  <c r="E354" i="5"/>
  <c r="E353" i="5"/>
  <c r="F354" i="5"/>
  <c r="F353" i="5"/>
  <c r="G354" i="5"/>
  <c r="G353" i="5"/>
  <c r="H354" i="5"/>
  <c r="H353" i="5"/>
  <c r="I361" i="5"/>
  <c r="I362" i="5"/>
  <c r="J362" i="5"/>
  <c r="J381" i="5"/>
  <c r="I363" i="5"/>
  <c r="I364" i="5"/>
  <c r="J364" i="5"/>
  <c r="I365" i="5"/>
  <c r="I366" i="5"/>
  <c r="J366" i="5"/>
  <c r="B367" i="5"/>
  <c r="C367" i="5"/>
  <c r="D367" i="5"/>
  <c r="E367" i="5"/>
  <c r="F367" i="5"/>
  <c r="G367" i="5"/>
  <c r="H367" i="5"/>
  <c r="B381" i="5"/>
  <c r="B380" i="5"/>
  <c r="C381" i="5"/>
  <c r="C380" i="5"/>
  <c r="D381" i="5"/>
  <c r="D380" i="5"/>
  <c r="E381" i="5"/>
  <c r="E380" i="5"/>
  <c r="F381" i="5"/>
  <c r="F380" i="5"/>
  <c r="G381" i="5"/>
  <c r="G380" i="5"/>
  <c r="G378" i="5"/>
  <c r="H381" i="5"/>
  <c r="H380" i="5"/>
  <c r="B388" i="5"/>
  <c r="C388" i="5"/>
  <c r="D388" i="5"/>
  <c r="E388" i="5"/>
  <c r="F388" i="5"/>
  <c r="G388" i="5"/>
  <c r="H388" i="5"/>
  <c r="I389" i="5"/>
  <c r="I390" i="5"/>
  <c r="J390" i="5"/>
  <c r="I391" i="5"/>
  <c r="I392" i="5"/>
  <c r="J392" i="5"/>
  <c r="I393" i="5"/>
  <c r="B394" i="5"/>
  <c r="C394" i="5"/>
  <c r="D394" i="5"/>
  <c r="E394" i="5"/>
  <c r="F394" i="5"/>
  <c r="G394" i="5"/>
  <c r="H394" i="5"/>
  <c r="B408" i="5"/>
  <c r="B407" i="5"/>
  <c r="C408" i="5"/>
  <c r="C407" i="5"/>
  <c r="D408" i="5"/>
  <c r="D407" i="5"/>
  <c r="E408" i="5"/>
  <c r="E407" i="5"/>
  <c r="F408" i="5"/>
  <c r="F407" i="5"/>
  <c r="G408" i="5"/>
  <c r="G407" i="5"/>
  <c r="H408" i="5"/>
  <c r="H407" i="5"/>
  <c r="B415" i="5"/>
  <c r="C415" i="5"/>
  <c r="D415" i="5"/>
  <c r="E415" i="5"/>
  <c r="F415" i="5"/>
  <c r="G415" i="5"/>
  <c r="H415" i="5"/>
  <c r="I416" i="5"/>
  <c r="J416" i="5"/>
  <c r="J435" i="5"/>
  <c r="I417" i="5"/>
  <c r="I418" i="5"/>
  <c r="I419" i="5"/>
  <c r="I420" i="5"/>
  <c r="J420" i="5"/>
  <c r="B421" i="5"/>
  <c r="C421" i="5"/>
  <c r="D421" i="5"/>
  <c r="E421" i="5"/>
  <c r="F421" i="5"/>
  <c r="G421" i="5"/>
  <c r="H421" i="5"/>
  <c r="B435" i="5"/>
  <c r="B434" i="5"/>
  <c r="C435" i="5"/>
  <c r="C434" i="5"/>
  <c r="D435" i="5"/>
  <c r="D434" i="5"/>
  <c r="E435" i="5"/>
  <c r="E434" i="5"/>
  <c r="F435" i="5"/>
  <c r="F434" i="5"/>
  <c r="G435" i="5"/>
  <c r="G434" i="5"/>
  <c r="H435" i="5"/>
  <c r="H434" i="5"/>
  <c r="B442" i="5"/>
  <c r="C442" i="5"/>
  <c r="D442" i="5"/>
  <c r="E442" i="5"/>
  <c r="F442" i="5"/>
  <c r="G442" i="5"/>
  <c r="H442" i="5"/>
  <c r="I443" i="5"/>
  <c r="I444" i="5"/>
  <c r="J444" i="5"/>
  <c r="I445" i="5"/>
  <c r="J445" i="5"/>
  <c r="I446" i="5"/>
  <c r="J446" i="5"/>
  <c r="I447" i="5"/>
  <c r="B448" i="5"/>
  <c r="C448" i="5"/>
  <c r="D448" i="5"/>
  <c r="E448" i="5"/>
  <c r="F448" i="5"/>
  <c r="G448" i="5"/>
  <c r="H448" i="5"/>
  <c r="B462" i="5"/>
  <c r="B461" i="5"/>
  <c r="C462" i="5"/>
  <c r="C461" i="5"/>
  <c r="D462" i="5"/>
  <c r="D461" i="5"/>
  <c r="E462" i="5"/>
  <c r="E461" i="5"/>
  <c r="F462" i="5"/>
  <c r="F461" i="5"/>
  <c r="G462" i="5"/>
  <c r="G461" i="5"/>
  <c r="H462" i="5"/>
  <c r="H461" i="5"/>
  <c r="B469" i="5"/>
  <c r="C469" i="5"/>
  <c r="D469" i="5"/>
  <c r="E469" i="5"/>
  <c r="F469" i="5"/>
  <c r="G469" i="5"/>
  <c r="H469" i="5"/>
  <c r="I470" i="5"/>
  <c r="J470" i="5"/>
  <c r="J489" i="5"/>
  <c r="I471" i="5"/>
  <c r="I472" i="5"/>
  <c r="J472" i="5"/>
  <c r="I473" i="5"/>
  <c r="I474" i="5"/>
  <c r="B475" i="5"/>
  <c r="C475" i="5"/>
  <c r="D475" i="5"/>
  <c r="E475" i="5"/>
  <c r="F475" i="5"/>
  <c r="G475" i="5"/>
  <c r="H475" i="5"/>
  <c r="B489" i="5"/>
  <c r="B488" i="5"/>
  <c r="C489" i="5"/>
  <c r="C488" i="5"/>
  <c r="D489" i="5"/>
  <c r="D488" i="5"/>
  <c r="E489" i="5"/>
  <c r="E488" i="5"/>
  <c r="F489" i="5"/>
  <c r="F488" i="5"/>
  <c r="F487" i="5"/>
  <c r="G489" i="5"/>
  <c r="G488" i="5"/>
  <c r="H489" i="5"/>
  <c r="H488" i="5"/>
  <c r="H486" i="5"/>
  <c r="B496" i="5"/>
  <c r="C496" i="5"/>
  <c r="D496" i="5"/>
  <c r="E496" i="5"/>
  <c r="F496" i="5"/>
  <c r="G496" i="5"/>
  <c r="H496" i="5"/>
  <c r="I497" i="5"/>
  <c r="I498" i="5"/>
  <c r="J498" i="5"/>
  <c r="I499" i="5"/>
  <c r="J499" i="5"/>
  <c r="I500" i="5"/>
  <c r="J500" i="5"/>
  <c r="I501" i="5"/>
  <c r="J501" i="5"/>
  <c r="B502" i="5"/>
  <c r="C502" i="5"/>
  <c r="D502" i="5"/>
  <c r="E502" i="5"/>
  <c r="F502" i="5"/>
  <c r="G502" i="5"/>
  <c r="H502" i="5"/>
  <c r="B516" i="5"/>
  <c r="B515" i="5"/>
  <c r="B513" i="5"/>
  <c r="C516" i="5"/>
  <c r="C515" i="5"/>
  <c r="D516" i="5"/>
  <c r="D515" i="5"/>
  <c r="E516" i="5"/>
  <c r="E515" i="5"/>
  <c r="F516" i="5"/>
  <c r="F515" i="5"/>
  <c r="F514" i="5"/>
  <c r="G516" i="5"/>
  <c r="G515" i="5"/>
  <c r="H516" i="5"/>
  <c r="H515" i="5"/>
  <c r="B523" i="5"/>
  <c r="C523" i="5"/>
  <c r="D523" i="5"/>
  <c r="E523" i="5"/>
  <c r="F523" i="5"/>
  <c r="G523" i="5"/>
  <c r="H523" i="5"/>
  <c r="I524" i="5"/>
  <c r="I525" i="5"/>
  <c r="I526" i="5"/>
  <c r="J526" i="5"/>
  <c r="I527" i="5"/>
  <c r="I528" i="5"/>
  <c r="B529" i="5"/>
  <c r="C529" i="5"/>
  <c r="D529" i="5"/>
  <c r="E529" i="5"/>
  <c r="F529" i="5"/>
  <c r="G529" i="5"/>
  <c r="H529" i="5"/>
  <c r="B543" i="5"/>
  <c r="B542" i="5"/>
  <c r="C543" i="5"/>
  <c r="C542" i="5"/>
  <c r="D543" i="5"/>
  <c r="D542" i="5"/>
  <c r="E543" i="5"/>
  <c r="E542" i="5"/>
  <c r="F543" i="5"/>
  <c r="F542" i="5"/>
  <c r="G543" i="5"/>
  <c r="G542" i="5"/>
  <c r="H543" i="5"/>
  <c r="H542" i="5"/>
  <c r="B550" i="5"/>
  <c r="C550" i="5"/>
  <c r="D550" i="5"/>
  <c r="E550" i="5"/>
  <c r="F550" i="5"/>
  <c r="G550" i="5"/>
  <c r="H550" i="5"/>
  <c r="I551" i="5"/>
  <c r="J551" i="5"/>
  <c r="J570" i="5"/>
  <c r="I552" i="5"/>
  <c r="V1632" i="5"/>
  <c r="I553" i="5"/>
  <c r="J553" i="5"/>
  <c r="I554" i="5"/>
  <c r="J554" i="5"/>
  <c r="I555" i="5"/>
  <c r="J555" i="5"/>
  <c r="B556" i="5"/>
  <c r="C556" i="5"/>
  <c r="D556" i="5"/>
  <c r="E556" i="5"/>
  <c r="F556" i="5"/>
  <c r="G556" i="5"/>
  <c r="H556" i="5"/>
  <c r="B570" i="5"/>
  <c r="B569" i="5"/>
  <c r="C570" i="5"/>
  <c r="C569" i="5"/>
  <c r="D570" i="5"/>
  <c r="D569" i="5"/>
  <c r="E570" i="5"/>
  <c r="E569" i="5"/>
  <c r="F570" i="5"/>
  <c r="F569" i="5"/>
  <c r="G570" i="5"/>
  <c r="G569" i="5"/>
  <c r="H570" i="5"/>
  <c r="H569" i="5"/>
  <c r="B577" i="5"/>
  <c r="C577" i="5"/>
  <c r="D577" i="5"/>
  <c r="E577" i="5"/>
  <c r="F577" i="5"/>
  <c r="G577" i="5"/>
  <c r="H577" i="5"/>
  <c r="I578" i="5"/>
  <c r="J578" i="5"/>
  <c r="J597" i="5"/>
  <c r="I579" i="5"/>
  <c r="I580" i="5"/>
  <c r="J580" i="5"/>
  <c r="I581" i="5"/>
  <c r="I582" i="5"/>
  <c r="J582" i="5"/>
  <c r="B583" i="5"/>
  <c r="C583" i="5"/>
  <c r="D583" i="5"/>
  <c r="E583" i="5"/>
  <c r="F583" i="5"/>
  <c r="G583" i="5"/>
  <c r="H583" i="5"/>
  <c r="B597" i="5"/>
  <c r="B596" i="5"/>
  <c r="C597" i="5"/>
  <c r="C596" i="5"/>
  <c r="D597" i="5"/>
  <c r="D596" i="5"/>
  <c r="E597" i="5"/>
  <c r="E596" i="5"/>
  <c r="F597" i="5"/>
  <c r="F596" i="5"/>
  <c r="G597" i="5"/>
  <c r="G596" i="5"/>
  <c r="H597" i="5"/>
  <c r="H596" i="5"/>
  <c r="B604" i="5"/>
  <c r="C604" i="5"/>
  <c r="D604" i="5"/>
  <c r="E604" i="5"/>
  <c r="F604" i="5"/>
  <c r="G604" i="5"/>
  <c r="H604" i="5"/>
  <c r="I605" i="5"/>
  <c r="I606" i="5"/>
  <c r="J606" i="5"/>
  <c r="I607" i="5"/>
  <c r="I608" i="5"/>
  <c r="J608" i="5"/>
  <c r="I609" i="5"/>
  <c r="B610" i="5"/>
  <c r="C610" i="5"/>
  <c r="D610" i="5"/>
  <c r="E610" i="5"/>
  <c r="F610" i="5"/>
  <c r="G610" i="5"/>
  <c r="H610" i="5"/>
  <c r="B624" i="5"/>
  <c r="B623" i="5"/>
  <c r="C624" i="5"/>
  <c r="C623" i="5"/>
  <c r="D624" i="5"/>
  <c r="D623" i="5"/>
  <c r="E624" i="5"/>
  <c r="E623" i="5"/>
  <c r="F624" i="5"/>
  <c r="F623" i="5"/>
  <c r="G624" i="5"/>
  <c r="G623" i="5"/>
  <c r="H624" i="5"/>
  <c r="H623" i="5"/>
  <c r="B631" i="5"/>
  <c r="C631" i="5"/>
  <c r="D631" i="5"/>
  <c r="E631" i="5"/>
  <c r="F631" i="5"/>
  <c r="G631" i="5"/>
  <c r="H631" i="5"/>
  <c r="I632" i="5"/>
  <c r="I633" i="5"/>
  <c r="I634" i="5"/>
  <c r="J634" i="5"/>
  <c r="I635" i="5"/>
  <c r="I636" i="5"/>
  <c r="J636" i="5"/>
  <c r="B637" i="5"/>
  <c r="C637" i="5"/>
  <c r="D637" i="5"/>
  <c r="E637" i="5"/>
  <c r="F637" i="5"/>
  <c r="G637" i="5"/>
  <c r="H637" i="5"/>
  <c r="B651" i="5"/>
  <c r="B650" i="5"/>
  <c r="C651" i="5"/>
  <c r="C650" i="5"/>
  <c r="D651" i="5"/>
  <c r="D650" i="5"/>
  <c r="D648" i="5"/>
  <c r="E651" i="5"/>
  <c r="E650" i="5"/>
  <c r="F651" i="5"/>
  <c r="F650" i="5"/>
  <c r="G651" i="5"/>
  <c r="G650" i="5"/>
  <c r="H651" i="5"/>
  <c r="H650" i="5"/>
  <c r="H648" i="5"/>
  <c r="B658" i="5"/>
  <c r="C658" i="5"/>
  <c r="D658" i="5"/>
  <c r="E658" i="5"/>
  <c r="F658" i="5"/>
  <c r="G658" i="5"/>
  <c r="H658" i="5"/>
  <c r="I659" i="5"/>
  <c r="I660" i="5"/>
  <c r="I661" i="5"/>
  <c r="I662" i="5"/>
  <c r="J662" i="5"/>
  <c r="I663" i="5"/>
  <c r="J663" i="5"/>
  <c r="B664" i="5"/>
  <c r="C664" i="5"/>
  <c r="D664" i="5"/>
  <c r="E664" i="5"/>
  <c r="F664" i="5"/>
  <c r="G664" i="5"/>
  <c r="H664" i="5"/>
  <c r="B678" i="5"/>
  <c r="B677" i="5"/>
  <c r="B673" i="5"/>
  <c r="C678" i="5"/>
  <c r="C677" i="5"/>
  <c r="D678" i="5"/>
  <c r="D677" i="5"/>
  <c r="D673" i="5"/>
  <c r="E678" i="5"/>
  <c r="E677" i="5"/>
  <c r="F678" i="5"/>
  <c r="F677" i="5"/>
  <c r="F673" i="5"/>
  <c r="G678" i="5"/>
  <c r="G677" i="5"/>
  <c r="H678" i="5"/>
  <c r="H677" i="5"/>
  <c r="B685" i="5"/>
  <c r="C685" i="5"/>
  <c r="D685" i="5"/>
  <c r="E685" i="5"/>
  <c r="F685" i="5"/>
  <c r="G685" i="5"/>
  <c r="H685" i="5"/>
  <c r="I686" i="5"/>
  <c r="I687" i="5"/>
  <c r="I688" i="5"/>
  <c r="J688" i="5"/>
  <c r="I689" i="5"/>
  <c r="I690" i="5"/>
  <c r="B691" i="5"/>
  <c r="C691" i="5"/>
  <c r="D691" i="5"/>
  <c r="E691" i="5"/>
  <c r="F691" i="5"/>
  <c r="G691" i="5"/>
  <c r="H691" i="5"/>
  <c r="B705" i="5"/>
  <c r="B704" i="5"/>
  <c r="C705" i="5"/>
  <c r="C704" i="5"/>
  <c r="D705" i="5"/>
  <c r="D704" i="5"/>
  <c r="E705" i="5"/>
  <c r="E704" i="5"/>
  <c r="F705" i="5"/>
  <c r="F704" i="5"/>
  <c r="G705" i="5"/>
  <c r="G704" i="5"/>
  <c r="H705" i="5"/>
  <c r="H704" i="5"/>
  <c r="B712" i="5"/>
  <c r="C712" i="5"/>
  <c r="D712" i="5"/>
  <c r="E712" i="5"/>
  <c r="F712" i="5"/>
  <c r="G712" i="5"/>
  <c r="H712" i="5"/>
  <c r="I713" i="5"/>
  <c r="J713" i="5"/>
  <c r="J732" i="5"/>
  <c r="I714" i="5"/>
  <c r="AB1632" i="5"/>
  <c r="I715" i="5"/>
  <c r="J715" i="5"/>
  <c r="I716" i="5"/>
  <c r="J716" i="5"/>
  <c r="I717" i="5"/>
  <c r="J717" i="5"/>
  <c r="B718" i="5"/>
  <c r="C718" i="5"/>
  <c r="D718" i="5"/>
  <c r="E718" i="5"/>
  <c r="F718" i="5"/>
  <c r="G718" i="5"/>
  <c r="H718" i="5"/>
  <c r="B732" i="5"/>
  <c r="B731" i="5"/>
  <c r="C732" i="5"/>
  <c r="C731" i="5"/>
  <c r="D732" i="5"/>
  <c r="D731" i="5"/>
  <c r="E732" i="5"/>
  <c r="E731" i="5"/>
  <c r="F732" i="5"/>
  <c r="F731" i="5"/>
  <c r="G732" i="5"/>
  <c r="G731" i="5"/>
  <c r="H732" i="5"/>
  <c r="H731" i="5"/>
  <c r="B739" i="5"/>
  <c r="C739" i="5"/>
  <c r="D739" i="5"/>
  <c r="E739" i="5"/>
  <c r="F739" i="5"/>
  <c r="G739" i="5"/>
  <c r="H739" i="5"/>
  <c r="I740" i="5"/>
  <c r="AC1631" i="5"/>
  <c r="I741" i="5"/>
  <c r="J741" i="5"/>
  <c r="I742" i="5"/>
  <c r="I743" i="5"/>
  <c r="J743" i="5"/>
  <c r="I744" i="5"/>
  <c r="B745" i="5"/>
  <c r="C745" i="5"/>
  <c r="D745" i="5"/>
  <c r="E745" i="5"/>
  <c r="F745" i="5"/>
  <c r="G745" i="5"/>
  <c r="H745" i="5"/>
  <c r="B759" i="5"/>
  <c r="B758" i="5"/>
  <c r="C759" i="5"/>
  <c r="C758" i="5"/>
  <c r="D759" i="5"/>
  <c r="D758" i="5"/>
  <c r="D756" i="5"/>
  <c r="E759" i="5"/>
  <c r="E758" i="5"/>
  <c r="F759" i="5"/>
  <c r="F758" i="5"/>
  <c r="G759" i="5"/>
  <c r="G758" i="5"/>
  <c r="H759" i="5"/>
  <c r="H758" i="5"/>
  <c r="H756" i="5"/>
  <c r="B766" i="5"/>
  <c r="C766" i="5"/>
  <c r="D766" i="5"/>
  <c r="E766" i="5"/>
  <c r="F766" i="5"/>
  <c r="G766" i="5"/>
  <c r="H766" i="5"/>
  <c r="I767" i="5"/>
  <c r="I768" i="5"/>
  <c r="J768" i="5"/>
  <c r="I769" i="5"/>
  <c r="J769" i="5"/>
  <c r="I770" i="5"/>
  <c r="J770" i="5"/>
  <c r="I771" i="5"/>
  <c r="B772" i="5"/>
  <c r="C772" i="5"/>
  <c r="D772" i="5"/>
  <c r="E772" i="5"/>
  <c r="F772" i="5"/>
  <c r="G772" i="5"/>
  <c r="H772" i="5"/>
  <c r="B786" i="5"/>
  <c r="B785" i="5"/>
  <c r="C786" i="5"/>
  <c r="C785" i="5"/>
  <c r="C782" i="5"/>
  <c r="D786" i="5"/>
  <c r="D785" i="5"/>
  <c r="E786" i="5"/>
  <c r="E785" i="5"/>
  <c r="E780" i="5"/>
  <c r="F786" i="5"/>
  <c r="F785" i="5"/>
  <c r="G786" i="5"/>
  <c r="G785" i="5"/>
  <c r="G782" i="5"/>
  <c r="H786" i="5"/>
  <c r="H785" i="5"/>
  <c r="B793" i="5"/>
  <c r="C793" i="5"/>
  <c r="F793" i="5"/>
  <c r="G793" i="5"/>
  <c r="H793" i="5"/>
  <c r="I794" i="5"/>
  <c r="I795" i="5"/>
  <c r="J795" i="5"/>
  <c r="I796" i="5"/>
  <c r="I797" i="5"/>
  <c r="I798" i="5"/>
  <c r="J798" i="5"/>
  <c r="B799" i="5"/>
  <c r="C799" i="5"/>
  <c r="D799" i="5"/>
  <c r="E799" i="5"/>
  <c r="F799" i="5"/>
  <c r="G799" i="5"/>
  <c r="H799" i="5"/>
  <c r="B813" i="5"/>
  <c r="B812" i="5"/>
  <c r="C813" i="5"/>
  <c r="C812" i="5"/>
  <c r="D813" i="5"/>
  <c r="D812" i="5"/>
  <c r="D811" i="5"/>
  <c r="E813" i="5"/>
  <c r="E812" i="5"/>
  <c r="F813" i="5"/>
  <c r="F812" i="5"/>
  <c r="G813" i="5"/>
  <c r="G812" i="5"/>
  <c r="H813" i="5"/>
  <c r="H812" i="5"/>
  <c r="H810" i="5"/>
  <c r="B820" i="5"/>
  <c r="C820" i="5"/>
  <c r="D820" i="5"/>
  <c r="E820" i="5"/>
  <c r="F820" i="5"/>
  <c r="G820" i="5"/>
  <c r="H820" i="5"/>
  <c r="I821" i="5"/>
  <c r="I840" i="5"/>
  <c r="AF1650" i="5"/>
  <c r="AF1666" i="5"/>
  <c r="I822" i="5"/>
  <c r="I823" i="5"/>
  <c r="I824" i="5"/>
  <c r="I825" i="5"/>
  <c r="J825" i="5"/>
  <c r="B826" i="5"/>
  <c r="C826" i="5"/>
  <c r="D826" i="5"/>
  <c r="E826" i="5"/>
  <c r="F826" i="5"/>
  <c r="G826" i="5"/>
  <c r="H826" i="5"/>
  <c r="B840" i="5"/>
  <c r="B839" i="5"/>
  <c r="C840" i="5"/>
  <c r="C839" i="5"/>
  <c r="D840" i="5"/>
  <c r="D839" i="5"/>
  <c r="E840" i="5"/>
  <c r="E839" i="5"/>
  <c r="F840" i="5"/>
  <c r="F839" i="5"/>
  <c r="F837" i="5"/>
  <c r="G840" i="5"/>
  <c r="G839" i="5"/>
  <c r="H840" i="5"/>
  <c r="H839" i="5"/>
  <c r="B847" i="5"/>
  <c r="C847" i="5"/>
  <c r="D847" i="5"/>
  <c r="E847" i="5"/>
  <c r="F847" i="5"/>
  <c r="G847" i="5"/>
  <c r="H847" i="5"/>
  <c r="I848" i="5"/>
  <c r="J848" i="5"/>
  <c r="J867" i="5"/>
  <c r="I849" i="5"/>
  <c r="J849" i="5"/>
  <c r="I850" i="5"/>
  <c r="J850" i="5"/>
  <c r="I851" i="5"/>
  <c r="J851" i="5"/>
  <c r="I852" i="5"/>
  <c r="J852" i="5"/>
  <c r="B853" i="5"/>
  <c r="C853" i="5"/>
  <c r="D853" i="5"/>
  <c r="E853" i="5"/>
  <c r="F853" i="5"/>
  <c r="G853" i="5"/>
  <c r="H853" i="5"/>
  <c r="B867" i="5"/>
  <c r="B866" i="5"/>
  <c r="C867" i="5"/>
  <c r="C866" i="5"/>
  <c r="D867" i="5"/>
  <c r="D866" i="5"/>
  <c r="E867" i="5"/>
  <c r="E866" i="5"/>
  <c r="F867" i="5"/>
  <c r="F866" i="5"/>
  <c r="G867" i="5"/>
  <c r="G866" i="5"/>
  <c r="H867" i="5"/>
  <c r="H866" i="5"/>
  <c r="B874" i="5"/>
  <c r="C874" i="5"/>
  <c r="D874" i="5"/>
  <c r="E874" i="5"/>
  <c r="F874" i="5"/>
  <c r="G874" i="5"/>
  <c r="H874" i="5"/>
  <c r="I875" i="5"/>
  <c r="I876" i="5"/>
  <c r="I877" i="5"/>
  <c r="I878" i="5"/>
  <c r="I879" i="5"/>
  <c r="B880" i="5"/>
  <c r="C880" i="5"/>
  <c r="D880" i="5"/>
  <c r="E880" i="5"/>
  <c r="F880" i="5"/>
  <c r="G880" i="5"/>
  <c r="H880" i="5"/>
  <c r="B894" i="5"/>
  <c r="B893" i="5"/>
  <c r="C894" i="5"/>
  <c r="C893" i="5"/>
  <c r="C892" i="5"/>
  <c r="D894" i="5"/>
  <c r="D893" i="5"/>
  <c r="E894" i="5"/>
  <c r="E893" i="5"/>
  <c r="E888" i="5"/>
  <c r="F894" i="5"/>
  <c r="F893" i="5"/>
  <c r="G894" i="5"/>
  <c r="G893" i="5"/>
  <c r="H894" i="5"/>
  <c r="H893" i="5"/>
  <c r="B1630" i="5"/>
  <c r="B1658" i="5"/>
  <c r="D1630" i="5"/>
  <c r="D1658" i="5"/>
  <c r="F1630" i="5"/>
  <c r="F1658" i="5"/>
  <c r="M1630" i="5"/>
  <c r="M1658" i="5"/>
  <c r="K1631" i="5"/>
  <c r="N1631" i="5"/>
  <c r="U1631" i="5"/>
  <c r="W1631" i="5"/>
  <c r="AA1631" i="5"/>
  <c r="AB1631" i="5"/>
  <c r="C1632" i="5"/>
  <c r="E1632" i="5"/>
  <c r="H1632" i="5"/>
  <c r="R1632" i="5"/>
  <c r="J1633" i="5"/>
  <c r="N1633" i="5"/>
  <c r="R1633" i="5"/>
  <c r="T1633" i="5"/>
  <c r="V1633" i="5"/>
  <c r="Y1633" i="5"/>
  <c r="AA1633" i="5"/>
  <c r="AB1633" i="5"/>
  <c r="D1634" i="5"/>
  <c r="F1634" i="5"/>
  <c r="N1634" i="5"/>
  <c r="T1634" i="5"/>
  <c r="AD1634" i="5"/>
  <c r="H1635" i="5"/>
  <c r="N1635" i="5"/>
  <c r="V1635" i="5"/>
  <c r="Y1635" i="5"/>
  <c r="Z1635" i="5"/>
  <c r="AB1635" i="5"/>
  <c r="E1657" i="5"/>
  <c r="E1660" i="5"/>
  <c r="F1657" i="5"/>
  <c r="F1660" i="5"/>
  <c r="G1657" i="5"/>
  <c r="G1660" i="5"/>
  <c r="H1657" i="5"/>
  <c r="H1660" i="5"/>
  <c r="I1657" i="5"/>
  <c r="I1660" i="5"/>
  <c r="J1657" i="5"/>
  <c r="K1657" i="5"/>
  <c r="K1660" i="5"/>
  <c r="L1657" i="5"/>
  <c r="L1660" i="5"/>
  <c r="M1657" i="5"/>
  <c r="M1660" i="5"/>
  <c r="N1657" i="5"/>
  <c r="N1660" i="5"/>
  <c r="O1657" i="5"/>
  <c r="O1660" i="5"/>
  <c r="P1657" i="5"/>
  <c r="P1660" i="5"/>
  <c r="Q1657" i="5"/>
  <c r="Q1660" i="5"/>
  <c r="R1657" i="5"/>
  <c r="S1657" i="5"/>
  <c r="S1660" i="5"/>
  <c r="T1657" i="5"/>
  <c r="T1660" i="5"/>
  <c r="U1657" i="5"/>
  <c r="U1660" i="5"/>
  <c r="V1657" i="5"/>
  <c r="V1660" i="5"/>
  <c r="W1657" i="5"/>
  <c r="W1660" i="5"/>
  <c r="X1657" i="5"/>
  <c r="X1660" i="5"/>
  <c r="Y1657" i="5"/>
  <c r="Y1660" i="5"/>
  <c r="Z1657" i="5"/>
  <c r="Z1660" i="5"/>
  <c r="AA1657" i="5"/>
  <c r="AA1660" i="5"/>
  <c r="AB1657" i="5"/>
  <c r="AB1660" i="5"/>
  <c r="AC1657" i="5"/>
  <c r="AC1660" i="5"/>
  <c r="AD1657" i="5"/>
  <c r="AD1660" i="5"/>
  <c r="AE1657" i="5"/>
  <c r="AE1660" i="5"/>
  <c r="AF1657" i="5"/>
  <c r="AF1660" i="5"/>
  <c r="AG1657" i="5"/>
  <c r="AG1660" i="5"/>
  <c r="BI1657" i="5"/>
  <c r="BI1660" i="5"/>
  <c r="J1660" i="5"/>
  <c r="R1660" i="5"/>
  <c r="BI1666" i="5"/>
  <c r="I5" i="3"/>
  <c r="I6" i="3"/>
  <c r="J6" i="3"/>
  <c r="I7" i="3"/>
  <c r="I8" i="3"/>
  <c r="J8" i="3"/>
  <c r="I9" i="3"/>
  <c r="B2273" i="3"/>
  <c r="I10" i="3"/>
  <c r="B2274" i="3"/>
  <c r="C11" i="3"/>
  <c r="D11" i="3"/>
  <c r="E11" i="3"/>
  <c r="F11" i="3"/>
  <c r="G11" i="3"/>
  <c r="H11" i="3"/>
  <c r="C25" i="3"/>
  <c r="C24" i="3"/>
  <c r="D25" i="3"/>
  <c r="D24" i="3"/>
  <c r="E25" i="3"/>
  <c r="E24" i="3"/>
  <c r="F25" i="3"/>
  <c r="F24" i="3"/>
  <c r="G25" i="3"/>
  <c r="G24" i="3"/>
  <c r="H25" i="3"/>
  <c r="H24" i="3"/>
  <c r="B26" i="3"/>
  <c r="I32" i="3"/>
  <c r="J32" i="3"/>
  <c r="I33" i="3"/>
  <c r="I34" i="3"/>
  <c r="J34" i="3"/>
  <c r="I35" i="3"/>
  <c r="J35" i="3"/>
  <c r="I36" i="3"/>
  <c r="J36" i="3"/>
  <c r="I37" i="3"/>
  <c r="B38" i="3"/>
  <c r="C38" i="3"/>
  <c r="D38" i="3"/>
  <c r="E38" i="3"/>
  <c r="F38" i="3"/>
  <c r="G38" i="3"/>
  <c r="H38" i="3"/>
  <c r="B52" i="3"/>
  <c r="B51" i="3"/>
  <c r="C52" i="3"/>
  <c r="C51" i="3"/>
  <c r="D52" i="3"/>
  <c r="D51" i="3"/>
  <c r="E52" i="3"/>
  <c r="E51" i="3"/>
  <c r="F52" i="3"/>
  <c r="F51" i="3"/>
  <c r="G52" i="3"/>
  <c r="G51" i="3"/>
  <c r="H52" i="3"/>
  <c r="H51" i="3"/>
  <c r="B60" i="3"/>
  <c r="C60" i="3"/>
  <c r="D60" i="3"/>
  <c r="E60" i="3"/>
  <c r="I61" i="3"/>
  <c r="I62" i="3"/>
  <c r="J62" i="3"/>
  <c r="I63" i="3"/>
  <c r="I64" i="3"/>
  <c r="J64" i="3"/>
  <c r="I65" i="3"/>
  <c r="J65" i="3"/>
  <c r="B66" i="3"/>
  <c r="C66" i="3"/>
  <c r="D66" i="3"/>
  <c r="E66" i="3"/>
  <c r="F66" i="3"/>
  <c r="G66" i="3"/>
  <c r="H66" i="3"/>
  <c r="B80" i="3"/>
  <c r="B79" i="3"/>
  <c r="C80" i="3"/>
  <c r="C79" i="3"/>
  <c r="C76" i="3"/>
  <c r="D80" i="3"/>
  <c r="D79" i="3"/>
  <c r="E80" i="3"/>
  <c r="E79" i="3"/>
  <c r="F80" i="3"/>
  <c r="F79" i="3"/>
  <c r="G80" i="3"/>
  <c r="G79" i="3"/>
  <c r="G76" i="3"/>
  <c r="H80" i="3"/>
  <c r="H79" i="3"/>
  <c r="H75" i="3"/>
  <c r="I88" i="3"/>
  <c r="J88" i="3"/>
  <c r="I89" i="3"/>
  <c r="E2270" i="3"/>
  <c r="I90" i="3"/>
  <c r="J90" i="3"/>
  <c r="I91" i="3"/>
  <c r="J91" i="3"/>
  <c r="I92" i="3"/>
  <c r="J92" i="3"/>
  <c r="I93" i="3"/>
  <c r="B94" i="3"/>
  <c r="B100" i="3"/>
  <c r="C94" i="3"/>
  <c r="D94" i="3"/>
  <c r="E94" i="3"/>
  <c r="F94" i="3"/>
  <c r="G94" i="3"/>
  <c r="H94" i="3"/>
  <c r="B101" i="3"/>
  <c r="B102" i="3"/>
  <c r="B103" i="3"/>
  <c r="B104" i="3"/>
  <c r="B105" i="3"/>
  <c r="B108" i="3"/>
  <c r="B109" i="3"/>
  <c r="B110" i="3"/>
  <c r="B106" i="3"/>
  <c r="C108" i="3"/>
  <c r="C107" i="3"/>
  <c r="D108" i="3"/>
  <c r="E108" i="3"/>
  <c r="E107" i="3"/>
  <c r="E109" i="3"/>
  <c r="F108" i="3"/>
  <c r="F107" i="3"/>
  <c r="G108" i="3"/>
  <c r="G107" i="3"/>
  <c r="H108" i="3"/>
  <c r="I116" i="3"/>
  <c r="J116" i="3"/>
  <c r="I117" i="3"/>
  <c r="J117" i="3"/>
  <c r="I118" i="3"/>
  <c r="J118" i="3"/>
  <c r="I119" i="3"/>
  <c r="J119" i="3"/>
  <c r="I120" i="3"/>
  <c r="J120" i="3"/>
  <c r="I121" i="3"/>
  <c r="J121" i="3"/>
  <c r="B122" i="3"/>
  <c r="C122" i="3"/>
  <c r="D122" i="3"/>
  <c r="E122" i="3"/>
  <c r="F122" i="3"/>
  <c r="G122" i="3"/>
  <c r="H122" i="3"/>
  <c r="B136" i="3"/>
  <c r="C136" i="3"/>
  <c r="C135" i="3"/>
  <c r="D136" i="3"/>
  <c r="E136" i="3"/>
  <c r="E135" i="3"/>
  <c r="F136" i="3"/>
  <c r="F135" i="3"/>
  <c r="G136" i="3"/>
  <c r="G135" i="3"/>
  <c r="G133" i="3"/>
  <c r="H136" i="3"/>
  <c r="I144" i="3"/>
  <c r="J144" i="3"/>
  <c r="I145" i="3"/>
  <c r="J145" i="3"/>
  <c r="I146" i="3"/>
  <c r="J146" i="3"/>
  <c r="I147" i="3"/>
  <c r="J147" i="3"/>
  <c r="I148" i="3"/>
  <c r="J148" i="3"/>
  <c r="I149" i="3"/>
  <c r="J149" i="3"/>
  <c r="B150" i="3"/>
  <c r="C150" i="3"/>
  <c r="D150" i="3"/>
  <c r="E150" i="3"/>
  <c r="F150" i="3"/>
  <c r="G150" i="3"/>
  <c r="H150" i="3"/>
  <c r="B164" i="3"/>
  <c r="B163" i="3"/>
  <c r="C164" i="3"/>
  <c r="D164" i="3"/>
  <c r="D163" i="3"/>
  <c r="E164" i="3"/>
  <c r="F164" i="3"/>
  <c r="F163" i="3"/>
  <c r="G164" i="3"/>
  <c r="H164" i="3"/>
  <c r="H163" i="3"/>
  <c r="I172" i="3"/>
  <c r="J172" i="3"/>
  <c r="I173" i="3"/>
  <c r="J173" i="3"/>
  <c r="I174" i="3"/>
  <c r="J174" i="3"/>
  <c r="I175" i="3"/>
  <c r="J175" i="3"/>
  <c r="I176" i="3"/>
  <c r="J176" i="3"/>
  <c r="I177" i="3"/>
  <c r="J177" i="3"/>
  <c r="B178" i="3"/>
  <c r="C178" i="3"/>
  <c r="D178" i="3"/>
  <c r="E178" i="3"/>
  <c r="F178" i="3"/>
  <c r="G178" i="3"/>
  <c r="H178" i="3"/>
  <c r="B192" i="3"/>
  <c r="C192" i="3"/>
  <c r="C191" i="3"/>
  <c r="D192" i="3"/>
  <c r="E192" i="3"/>
  <c r="E191" i="3"/>
  <c r="E189" i="3"/>
  <c r="F192" i="3"/>
  <c r="F191" i="3"/>
  <c r="G192" i="3"/>
  <c r="G191" i="3"/>
  <c r="H192" i="3"/>
  <c r="I200" i="3"/>
  <c r="J200" i="3"/>
  <c r="I201" i="3"/>
  <c r="J201" i="3"/>
  <c r="I202" i="3"/>
  <c r="J202" i="3"/>
  <c r="I203" i="3"/>
  <c r="J203" i="3"/>
  <c r="I204" i="3"/>
  <c r="J204" i="3"/>
  <c r="I205" i="3"/>
  <c r="J205" i="3"/>
  <c r="B206" i="3"/>
  <c r="C206" i="3"/>
  <c r="D206" i="3"/>
  <c r="E206" i="3"/>
  <c r="F206" i="3"/>
  <c r="G206" i="3"/>
  <c r="H206" i="3"/>
  <c r="B220" i="3"/>
  <c r="C220" i="3"/>
  <c r="D220" i="3"/>
  <c r="D219" i="3"/>
  <c r="E220" i="3"/>
  <c r="F220" i="3"/>
  <c r="F219" i="3"/>
  <c r="G220" i="3"/>
  <c r="H220" i="3"/>
  <c r="H219" i="3"/>
  <c r="H215" i="3"/>
  <c r="I228" i="3"/>
  <c r="J228" i="3"/>
  <c r="I229" i="3"/>
  <c r="J2270" i="3"/>
  <c r="I230" i="3"/>
  <c r="J230" i="3"/>
  <c r="I231" i="3"/>
  <c r="I232" i="3"/>
  <c r="J232" i="3"/>
  <c r="I233" i="3"/>
  <c r="J233" i="3"/>
  <c r="B234" i="3"/>
  <c r="C234" i="3"/>
  <c r="D234" i="3"/>
  <c r="E234" i="3"/>
  <c r="F234" i="3"/>
  <c r="G234" i="3"/>
  <c r="H234" i="3"/>
  <c r="B248" i="3"/>
  <c r="C248" i="3"/>
  <c r="D248" i="3"/>
  <c r="D247" i="3"/>
  <c r="E248" i="3"/>
  <c r="F248" i="3"/>
  <c r="F247" i="3"/>
  <c r="G248" i="3"/>
  <c r="H248" i="3"/>
  <c r="H247" i="3"/>
  <c r="I257" i="3"/>
  <c r="J257" i="3"/>
  <c r="I258" i="3"/>
  <c r="J258" i="3"/>
  <c r="I259" i="3"/>
  <c r="J259" i="3"/>
  <c r="I260" i="3"/>
  <c r="J260" i="3"/>
  <c r="I261" i="3"/>
  <c r="J261" i="3"/>
  <c r="I262" i="3"/>
  <c r="J262" i="3"/>
  <c r="B263" i="3"/>
  <c r="C263" i="3"/>
  <c r="D263" i="3"/>
  <c r="E263" i="3"/>
  <c r="F263" i="3"/>
  <c r="G263" i="3"/>
  <c r="H263" i="3"/>
  <c r="B277" i="3"/>
  <c r="C277" i="3"/>
  <c r="C276" i="3"/>
  <c r="D277" i="3"/>
  <c r="E277" i="3"/>
  <c r="E276" i="3"/>
  <c r="F277" i="3"/>
  <c r="F276" i="3"/>
  <c r="G277" i="3"/>
  <c r="G276" i="3"/>
  <c r="H277" i="3"/>
  <c r="I285" i="3"/>
  <c r="J285" i="3"/>
  <c r="I286" i="3"/>
  <c r="L2270" i="3"/>
  <c r="I287" i="3"/>
  <c r="J287" i="3"/>
  <c r="I288" i="3"/>
  <c r="J288" i="3"/>
  <c r="I289" i="3"/>
  <c r="J289" i="3"/>
  <c r="I290" i="3"/>
  <c r="B291" i="3"/>
  <c r="C291" i="3"/>
  <c r="D291" i="3"/>
  <c r="E291" i="3"/>
  <c r="F291" i="3"/>
  <c r="G291" i="3"/>
  <c r="H291" i="3"/>
  <c r="B305" i="3"/>
  <c r="B304" i="3"/>
  <c r="C305" i="3"/>
  <c r="D305" i="3"/>
  <c r="D304" i="3"/>
  <c r="E305" i="3"/>
  <c r="F305" i="3"/>
  <c r="F304" i="3"/>
  <c r="G305" i="3"/>
  <c r="H305" i="3"/>
  <c r="H304" i="3"/>
  <c r="H300" i="3"/>
  <c r="I313" i="3"/>
  <c r="J313" i="3"/>
  <c r="I314" i="3"/>
  <c r="I315" i="3"/>
  <c r="J315" i="3"/>
  <c r="I316" i="3"/>
  <c r="J316" i="3"/>
  <c r="I317" i="3"/>
  <c r="J317" i="3"/>
  <c r="I318" i="3"/>
  <c r="J318" i="3"/>
  <c r="B319" i="3"/>
  <c r="C319" i="3"/>
  <c r="D319" i="3"/>
  <c r="E319" i="3"/>
  <c r="F319" i="3"/>
  <c r="G319" i="3"/>
  <c r="H319" i="3"/>
  <c r="B333" i="3"/>
  <c r="C333" i="3"/>
  <c r="C332" i="3"/>
  <c r="D333" i="3"/>
  <c r="E333" i="3"/>
  <c r="E332" i="3"/>
  <c r="F333" i="3"/>
  <c r="F332" i="3"/>
  <c r="G333" i="3"/>
  <c r="G332" i="3"/>
  <c r="H333" i="3"/>
  <c r="I340" i="3"/>
  <c r="J340" i="3"/>
  <c r="I341" i="3"/>
  <c r="N2270" i="3"/>
  <c r="I342" i="3"/>
  <c r="J342" i="3"/>
  <c r="I343" i="3"/>
  <c r="I344" i="3"/>
  <c r="J344" i="3"/>
  <c r="I345" i="3"/>
  <c r="J345" i="3"/>
  <c r="B346" i="3"/>
  <c r="C346" i="3"/>
  <c r="D346" i="3"/>
  <c r="E346" i="3"/>
  <c r="F346" i="3"/>
  <c r="G346" i="3"/>
  <c r="H346" i="3"/>
  <c r="B360" i="3"/>
  <c r="C360" i="3"/>
  <c r="C359" i="3"/>
  <c r="D360" i="3"/>
  <c r="E360" i="3"/>
  <c r="E359" i="3"/>
  <c r="E361" i="3"/>
  <c r="F360" i="3"/>
  <c r="F359" i="3"/>
  <c r="F354" i="3"/>
  <c r="G360" i="3"/>
  <c r="G359" i="3"/>
  <c r="H360" i="3"/>
  <c r="I367" i="3"/>
  <c r="J367" i="3"/>
  <c r="I368" i="3"/>
  <c r="I387" i="3"/>
  <c r="I369" i="3"/>
  <c r="J369" i="3"/>
  <c r="I370" i="3"/>
  <c r="J370" i="3"/>
  <c r="I371" i="3"/>
  <c r="J371" i="3"/>
  <c r="I372" i="3"/>
  <c r="J372" i="3"/>
  <c r="B373" i="3"/>
  <c r="C373" i="3"/>
  <c r="D373" i="3"/>
  <c r="E373" i="3"/>
  <c r="F373" i="3"/>
  <c r="G373" i="3"/>
  <c r="H373" i="3"/>
  <c r="B387" i="3"/>
  <c r="B386" i="3"/>
  <c r="C387" i="3"/>
  <c r="D387" i="3"/>
  <c r="D386" i="3"/>
  <c r="E387" i="3"/>
  <c r="F387" i="3"/>
  <c r="F386" i="3"/>
  <c r="G387" i="3"/>
  <c r="H387" i="3"/>
  <c r="H386" i="3"/>
  <c r="I394" i="3"/>
  <c r="J394" i="3"/>
  <c r="I395" i="3"/>
  <c r="I396" i="3"/>
  <c r="J396" i="3"/>
  <c r="I397" i="3"/>
  <c r="J397" i="3"/>
  <c r="I398" i="3"/>
  <c r="J398" i="3"/>
  <c r="I399" i="3"/>
  <c r="B400" i="3"/>
  <c r="C400" i="3"/>
  <c r="D400" i="3"/>
  <c r="E400" i="3"/>
  <c r="F400" i="3"/>
  <c r="G400" i="3"/>
  <c r="H400" i="3"/>
  <c r="B414" i="3"/>
  <c r="C414" i="3"/>
  <c r="C413" i="3"/>
  <c r="D414" i="3"/>
  <c r="E414" i="3"/>
  <c r="E413" i="3"/>
  <c r="F414" i="3"/>
  <c r="F413" i="3"/>
  <c r="F410" i="3"/>
  <c r="G414" i="3"/>
  <c r="G413" i="3"/>
  <c r="H414" i="3"/>
  <c r="I421" i="3"/>
  <c r="J421" i="3"/>
  <c r="I422" i="3"/>
  <c r="Q2270" i="3"/>
  <c r="I423" i="3"/>
  <c r="J423" i="3"/>
  <c r="I424" i="3"/>
  <c r="L424" i="3"/>
  <c r="I425" i="3"/>
  <c r="J425" i="3"/>
  <c r="I426" i="3"/>
  <c r="J426" i="3"/>
  <c r="B427" i="3"/>
  <c r="C427" i="3"/>
  <c r="D427" i="3"/>
  <c r="E427" i="3"/>
  <c r="F427" i="3"/>
  <c r="G427" i="3"/>
  <c r="H427" i="3"/>
  <c r="B441" i="3"/>
  <c r="C441" i="3"/>
  <c r="C440" i="3"/>
  <c r="D441" i="3"/>
  <c r="E441" i="3"/>
  <c r="E440" i="3"/>
  <c r="F441" i="3"/>
  <c r="F440" i="3"/>
  <c r="G441" i="3"/>
  <c r="G440" i="3"/>
  <c r="G442" i="3"/>
  <c r="H441" i="3"/>
  <c r="I448" i="3"/>
  <c r="J448" i="3"/>
  <c r="I449" i="3"/>
  <c r="R2270" i="3"/>
  <c r="I450" i="3"/>
  <c r="I451" i="3"/>
  <c r="J451" i="3"/>
  <c r="I452" i="3"/>
  <c r="I453" i="3"/>
  <c r="J453" i="3"/>
  <c r="B454" i="3"/>
  <c r="C454" i="3"/>
  <c r="D454" i="3"/>
  <c r="E454" i="3"/>
  <c r="F454" i="3"/>
  <c r="G454" i="3"/>
  <c r="H454" i="3"/>
  <c r="B468" i="3"/>
  <c r="B467" i="3"/>
  <c r="C468" i="3"/>
  <c r="D468" i="3"/>
  <c r="D467" i="3"/>
  <c r="E468" i="3"/>
  <c r="F468" i="3"/>
  <c r="F467" i="3"/>
  <c r="G468" i="3"/>
  <c r="H468" i="3"/>
  <c r="H467" i="3"/>
  <c r="I475" i="3"/>
  <c r="I476" i="3"/>
  <c r="J476" i="3"/>
  <c r="I477" i="3"/>
  <c r="J477" i="3"/>
  <c r="I478" i="3"/>
  <c r="J478" i="3"/>
  <c r="L478" i="3"/>
  <c r="I479" i="3"/>
  <c r="J479" i="3"/>
  <c r="I480" i="3"/>
  <c r="S2274" i="3"/>
  <c r="B481" i="3"/>
  <c r="C481" i="3"/>
  <c r="D481" i="3"/>
  <c r="E481" i="3"/>
  <c r="F481" i="3"/>
  <c r="G481" i="3"/>
  <c r="H481" i="3"/>
  <c r="B495" i="3"/>
  <c r="B494" i="3"/>
  <c r="B492" i="3"/>
  <c r="C495" i="3"/>
  <c r="D495" i="3"/>
  <c r="D494" i="3"/>
  <c r="E495" i="3"/>
  <c r="F495" i="3"/>
  <c r="F494" i="3"/>
  <c r="G495" i="3"/>
  <c r="H495" i="3"/>
  <c r="H494" i="3"/>
  <c r="H490" i="3"/>
  <c r="I502" i="3"/>
  <c r="J502" i="3"/>
  <c r="I503" i="3"/>
  <c r="J503" i="3"/>
  <c r="I504" i="3"/>
  <c r="I505" i="3"/>
  <c r="J505" i="3"/>
  <c r="L505" i="3"/>
  <c r="I506" i="3"/>
  <c r="T2273" i="3"/>
  <c r="I507" i="3"/>
  <c r="B508" i="3"/>
  <c r="C508" i="3"/>
  <c r="D508" i="3"/>
  <c r="E508" i="3"/>
  <c r="F508" i="3"/>
  <c r="G508" i="3"/>
  <c r="H508" i="3"/>
  <c r="B522" i="3"/>
  <c r="B521" i="3"/>
  <c r="C522" i="3"/>
  <c r="D522" i="3"/>
  <c r="D521" i="3"/>
  <c r="E522" i="3"/>
  <c r="F522" i="3"/>
  <c r="F521" i="3"/>
  <c r="G522" i="3"/>
  <c r="H522" i="3"/>
  <c r="H521" i="3"/>
  <c r="H517" i="3"/>
  <c r="I522" i="3"/>
  <c r="J522" i="3"/>
  <c r="I530" i="3"/>
  <c r="I531" i="3"/>
  <c r="J531" i="3"/>
  <c r="I532" i="3"/>
  <c r="J532" i="3"/>
  <c r="I533" i="3"/>
  <c r="J533" i="3"/>
  <c r="L533" i="3"/>
  <c r="I534" i="3"/>
  <c r="U2273" i="3"/>
  <c r="I535" i="3"/>
  <c r="U2274" i="3"/>
  <c r="B536" i="3"/>
  <c r="C536" i="3"/>
  <c r="D536" i="3"/>
  <c r="E536" i="3"/>
  <c r="F536" i="3"/>
  <c r="G536" i="3"/>
  <c r="H536" i="3"/>
  <c r="B550" i="3"/>
  <c r="B549" i="3"/>
  <c r="C550" i="3"/>
  <c r="D550" i="3"/>
  <c r="D549" i="3"/>
  <c r="E550" i="3"/>
  <c r="F550" i="3"/>
  <c r="F549" i="3"/>
  <c r="G550" i="3"/>
  <c r="H550" i="3"/>
  <c r="H549" i="3"/>
  <c r="H545" i="3"/>
  <c r="I550" i="3"/>
  <c r="J550" i="3"/>
  <c r="I558" i="3"/>
  <c r="J558" i="3"/>
  <c r="I559" i="3"/>
  <c r="J559" i="3"/>
  <c r="I560" i="3"/>
  <c r="I561" i="3"/>
  <c r="J561" i="3"/>
  <c r="L561" i="3"/>
  <c r="I562" i="3"/>
  <c r="V2273" i="3"/>
  <c r="I563" i="3"/>
  <c r="J563" i="3"/>
  <c r="B564" i="3"/>
  <c r="C564" i="3"/>
  <c r="D564" i="3"/>
  <c r="E564" i="3"/>
  <c r="F564" i="3"/>
  <c r="G564" i="3"/>
  <c r="H564" i="3"/>
  <c r="B578" i="3"/>
  <c r="B577" i="3"/>
  <c r="C578" i="3"/>
  <c r="D578" i="3"/>
  <c r="D577" i="3"/>
  <c r="E578" i="3"/>
  <c r="F578" i="3"/>
  <c r="F577" i="3"/>
  <c r="G578" i="3"/>
  <c r="H578" i="3"/>
  <c r="H577" i="3"/>
  <c r="H573" i="3"/>
  <c r="I586" i="3"/>
  <c r="J586" i="3"/>
  <c r="I587" i="3"/>
  <c r="J587" i="3"/>
  <c r="I588" i="3"/>
  <c r="J588" i="3"/>
  <c r="I589" i="3"/>
  <c r="J589" i="3"/>
  <c r="I590" i="3"/>
  <c r="J590" i="3"/>
  <c r="I591" i="3"/>
  <c r="J591" i="3"/>
  <c r="B592" i="3"/>
  <c r="C592" i="3"/>
  <c r="D592" i="3"/>
  <c r="E592" i="3"/>
  <c r="F592" i="3"/>
  <c r="G592" i="3"/>
  <c r="H592" i="3"/>
  <c r="B606" i="3"/>
  <c r="C606" i="3"/>
  <c r="C605" i="3"/>
  <c r="D606" i="3"/>
  <c r="E606" i="3"/>
  <c r="E605" i="3"/>
  <c r="F606" i="3"/>
  <c r="F605" i="3"/>
  <c r="G606" i="3"/>
  <c r="G605" i="3"/>
  <c r="H606" i="3"/>
  <c r="I615" i="3"/>
  <c r="I616" i="3"/>
  <c r="I635" i="3"/>
  <c r="W2289" i="3"/>
  <c r="W2304" i="3"/>
  <c r="I617" i="3"/>
  <c r="J617" i="3"/>
  <c r="I618" i="3"/>
  <c r="W2272" i="3"/>
  <c r="L618" i="3"/>
  <c r="I619" i="3"/>
  <c r="J619" i="3"/>
  <c r="I620" i="3"/>
  <c r="B621" i="3"/>
  <c r="C621" i="3"/>
  <c r="D621" i="3"/>
  <c r="E621" i="3"/>
  <c r="F621" i="3"/>
  <c r="G621" i="3"/>
  <c r="H621" i="3"/>
  <c r="B635" i="3"/>
  <c r="C635" i="3"/>
  <c r="C634" i="3"/>
  <c r="D635" i="3"/>
  <c r="E635" i="3"/>
  <c r="E634" i="3"/>
  <c r="E636" i="3"/>
  <c r="F635" i="3"/>
  <c r="F634" i="3"/>
  <c r="G635" i="3"/>
  <c r="G634" i="3"/>
  <c r="H635" i="3"/>
  <c r="I643" i="3"/>
  <c r="I644" i="3"/>
  <c r="X2270" i="3"/>
  <c r="I645" i="3"/>
  <c r="X2271" i="3"/>
  <c r="I646" i="3"/>
  <c r="L646" i="3"/>
  <c r="I647" i="3"/>
  <c r="I648" i="3"/>
  <c r="J648" i="3"/>
  <c r="B649" i="3"/>
  <c r="C649" i="3"/>
  <c r="D649" i="3"/>
  <c r="E649" i="3"/>
  <c r="F649" i="3"/>
  <c r="G649" i="3"/>
  <c r="H649" i="3"/>
  <c r="B663" i="3"/>
  <c r="C663" i="3"/>
  <c r="C662" i="3"/>
  <c r="D663" i="3"/>
  <c r="E663" i="3"/>
  <c r="E662" i="3"/>
  <c r="F663" i="3"/>
  <c r="F662" i="3"/>
  <c r="F659" i="3"/>
  <c r="G663" i="3"/>
  <c r="G662" i="3"/>
  <c r="G664" i="3"/>
  <c r="H663" i="3"/>
  <c r="I671" i="3"/>
  <c r="J671" i="3"/>
  <c r="I672" i="3"/>
  <c r="J672" i="3"/>
  <c r="I673" i="3"/>
  <c r="I674" i="3"/>
  <c r="Y2272" i="3"/>
  <c r="L674" i="3"/>
  <c r="I675" i="3"/>
  <c r="J675" i="3"/>
  <c r="I676" i="3"/>
  <c r="B677" i="3"/>
  <c r="C677" i="3"/>
  <c r="D677" i="3"/>
  <c r="E677" i="3"/>
  <c r="G677" i="3"/>
  <c r="H677" i="3"/>
  <c r="G685" i="3"/>
  <c r="H685" i="3"/>
  <c r="G686" i="3"/>
  <c r="H686" i="3"/>
  <c r="G687" i="3"/>
  <c r="H687" i="3"/>
  <c r="G688" i="3"/>
  <c r="H688" i="3"/>
  <c r="G689" i="3"/>
  <c r="H689" i="3"/>
  <c r="B691" i="3"/>
  <c r="B690" i="3"/>
  <c r="C691" i="3"/>
  <c r="D691" i="3"/>
  <c r="D690" i="3"/>
  <c r="E691" i="3"/>
  <c r="F691" i="3"/>
  <c r="F690" i="3"/>
  <c r="F692" i="3"/>
  <c r="G691" i="3"/>
  <c r="G692" i="3"/>
  <c r="G693" i="3"/>
  <c r="H691" i="3"/>
  <c r="H692" i="3"/>
  <c r="I699" i="3"/>
  <c r="I700" i="3"/>
  <c r="J700" i="3"/>
  <c r="I701" i="3"/>
  <c r="J701" i="3"/>
  <c r="I702" i="3"/>
  <c r="J702" i="3"/>
  <c r="I703" i="3"/>
  <c r="I704" i="3"/>
  <c r="J704" i="3"/>
  <c r="B705" i="3"/>
  <c r="C705" i="3"/>
  <c r="D705" i="3"/>
  <c r="E705" i="3"/>
  <c r="G705" i="3"/>
  <c r="H705" i="3"/>
  <c r="B719" i="3"/>
  <c r="B718" i="3"/>
  <c r="C719" i="3"/>
  <c r="D719" i="3"/>
  <c r="D718" i="3"/>
  <c r="E719" i="3"/>
  <c r="F719" i="3"/>
  <c r="F718" i="3"/>
  <c r="G719" i="3"/>
  <c r="H719" i="3"/>
  <c r="H718" i="3"/>
  <c r="I719" i="3"/>
  <c r="J719" i="3"/>
  <c r="I727" i="3"/>
  <c r="J727" i="3"/>
  <c r="I728" i="3"/>
  <c r="J728" i="3"/>
  <c r="I729" i="3"/>
  <c r="I730" i="3"/>
  <c r="J730" i="3"/>
  <c r="I731" i="3"/>
  <c r="J731" i="3"/>
  <c r="I732" i="3"/>
  <c r="J732" i="3"/>
  <c r="B733" i="3"/>
  <c r="C733" i="3"/>
  <c r="D733" i="3"/>
  <c r="E733" i="3"/>
  <c r="F733" i="3"/>
  <c r="G733" i="3"/>
  <c r="H733" i="3"/>
  <c r="B747" i="3"/>
  <c r="C747" i="3"/>
  <c r="C746" i="3"/>
  <c r="C742" i="3"/>
  <c r="D747" i="3"/>
  <c r="E747" i="3"/>
  <c r="E746" i="3"/>
  <c r="F747" i="3"/>
  <c r="F746" i="3"/>
  <c r="F743" i="3"/>
  <c r="G747" i="3"/>
  <c r="G746" i="3"/>
  <c r="H747" i="3"/>
  <c r="I755" i="3"/>
  <c r="I756" i="3"/>
  <c r="I775" i="3"/>
  <c r="I757" i="3"/>
  <c r="J757" i="3"/>
  <c r="I758" i="3"/>
  <c r="J758" i="3"/>
  <c r="I759" i="3"/>
  <c r="J759" i="3"/>
  <c r="I760" i="3"/>
  <c r="J760" i="3"/>
  <c r="B761" i="3"/>
  <c r="C761" i="3"/>
  <c r="D761" i="3"/>
  <c r="E761" i="3"/>
  <c r="F761" i="3"/>
  <c r="G761" i="3"/>
  <c r="H761" i="3"/>
  <c r="B775" i="3"/>
  <c r="B774" i="3"/>
  <c r="B770" i="3"/>
  <c r="C775" i="3"/>
  <c r="D775" i="3"/>
  <c r="D774" i="3"/>
  <c r="E775" i="3"/>
  <c r="F775" i="3"/>
  <c r="F774" i="3"/>
  <c r="G775" i="3"/>
  <c r="H775" i="3"/>
  <c r="H774" i="3"/>
  <c r="I783" i="3"/>
  <c r="I784" i="3"/>
  <c r="J784" i="3"/>
  <c r="I785" i="3"/>
  <c r="J785" i="3"/>
  <c r="I786" i="3"/>
  <c r="J786" i="3"/>
  <c r="I787" i="3"/>
  <c r="J787" i="3"/>
  <c r="I788" i="3"/>
  <c r="J788" i="3"/>
  <c r="B789" i="3"/>
  <c r="C789" i="3"/>
  <c r="D789" i="3"/>
  <c r="E789" i="3"/>
  <c r="F789" i="3"/>
  <c r="G789" i="3"/>
  <c r="H789" i="3"/>
  <c r="B803" i="3"/>
  <c r="C803" i="3"/>
  <c r="C802" i="3"/>
  <c r="C798" i="3"/>
  <c r="D803" i="3"/>
  <c r="E803" i="3"/>
  <c r="E802" i="3"/>
  <c r="F803" i="3"/>
  <c r="F802" i="3"/>
  <c r="F799" i="3"/>
  <c r="G803" i="3"/>
  <c r="G802" i="3"/>
  <c r="H803" i="3"/>
  <c r="I810" i="3"/>
  <c r="I811" i="3"/>
  <c r="I830" i="3"/>
  <c r="I812" i="3"/>
  <c r="AD2271" i="3"/>
  <c r="I813" i="3"/>
  <c r="J813" i="3"/>
  <c r="I814" i="3"/>
  <c r="AD2273" i="3"/>
  <c r="I815" i="3"/>
  <c r="J815" i="3"/>
  <c r="B816" i="3"/>
  <c r="C816" i="3"/>
  <c r="D816" i="3"/>
  <c r="E816" i="3"/>
  <c r="F816" i="3"/>
  <c r="G816" i="3"/>
  <c r="H816" i="3"/>
  <c r="B830" i="3"/>
  <c r="B829" i="3"/>
  <c r="B825" i="3"/>
  <c r="C830" i="3"/>
  <c r="D830" i="3"/>
  <c r="D829" i="3"/>
  <c r="E830" i="3"/>
  <c r="F830" i="3"/>
  <c r="F829" i="3"/>
  <c r="G830" i="3"/>
  <c r="H830" i="3"/>
  <c r="H829" i="3"/>
  <c r="I838" i="3"/>
  <c r="J838" i="3"/>
  <c r="I839" i="3"/>
  <c r="J839" i="3"/>
  <c r="I840" i="3"/>
  <c r="J840" i="3"/>
  <c r="I841" i="3"/>
  <c r="J841" i="3"/>
  <c r="I842" i="3"/>
  <c r="I843" i="3"/>
  <c r="J843" i="3"/>
  <c r="B844" i="3"/>
  <c r="C844" i="3"/>
  <c r="D844" i="3"/>
  <c r="E844" i="3"/>
  <c r="F844" i="3"/>
  <c r="G844" i="3"/>
  <c r="H844" i="3"/>
  <c r="B858" i="3"/>
  <c r="C858" i="3"/>
  <c r="C857" i="3"/>
  <c r="C853" i="3"/>
  <c r="D858" i="3"/>
  <c r="E858" i="3"/>
  <c r="E857" i="3"/>
  <c r="F858" i="3"/>
  <c r="F857" i="3"/>
  <c r="G858" i="3"/>
  <c r="G857" i="3"/>
  <c r="H858" i="3"/>
  <c r="I865" i="3"/>
  <c r="I866" i="3"/>
  <c r="I885" i="3"/>
  <c r="I867" i="3"/>
  <c r="J867" i="3"/>
  <c r="I868" i="3"/>
  <c r="J868" i="3"/>
  <c r="I869" i="3"/>
  <c r="J869" i="3"/>
  <c r="I870" i="3"/>
  <c r="J870" i="3"/>
  <c r="B871" i="3"/>
  <c r="C871" i="3"/>
  <c r="D871" i="3"/>
  <c r="E871" i="3"/>
  <c r="F871" i="3"/>
  <c r="G871" i="3"/>
  <c r="H871" i="3"/>
  <c r="B885" i="3"/>
  <c r="B884" i="3"/>
  <c r="B880" i="3"/>
  <c r="C885" i="3"/>
  <c r="D885" i="3"/>
  <c r="D884" i="3"/>
  <c r="E885" i="3"/>
  <c r="F885" i="3"/>
  <c r="F884" i="3"/>
  <c r="G885" i="3"/>
  <c r="H885" i="3"/>
  <c r="H884" i="3"/>
  <c r="I892" i="3"/>
  <c r="I893" i="3"/>
  <c r="J893" i="3"/>
  <c r="I894" i="3"/>
  <c r="J894" i="3"/>
  <c r="I895" i="3"/>
  <c r="J895" i="3"/>
  <c r="I896" i="3"/>
  <c r="J896" i="3"/>
  <c r="I897" i="3"/>
  <c r="J897" i="3"/>
  <c r="B898" i="3"/>
  <c r="C898" i="3"/>
  <c r="D898" i="3"/>
  <c r="E898" i="3"/>
  <c r="F898" i="3"/>
  <c r="G898" i="3"/>
  <c r="H898" i="3"/>
  <c r="B912" i="3"/>
  <c r="C912" i="3"/>
  <c r="C911" i="3"/>
  <c r="C907" i="3"/>
  <c r="D912" i="3"/>
  <c r="E912" i="3"/>
  <c r="E911" i="3"/>
  <c r="F912" i="3"/>
  <c r="F911" i="3"/>
  <c r="F908" i="3"/>
  <c r="G912" i="3"/>
  <c r="G911" i="3"/>
  <c r="H912" i="3"/>
  <c r="I919" i="3"/>
  <c r="I920" i="3"/>
  <c r="I939" i="3"/>
  <c r="I921" i="3"/>
  <c r="J921" i="3"/>
  <c r="I922" i="3"/>
  <c r="J922" i="3"/>
  <c r="I923" i="3"/>
  <c r="J923" i="3"/>
  <c r="I924" i="3"/>
  <c r="J924" i="3"/>
  <c r="B925" i="3"/>
  <c r="C925" i="3"/>
  <c r="D925" i="3"/>
  <c r="E925" i="3"/>
  <c r="F925" i="3"/>
  <c r="G925" i="3"/>
  <c r="H925" i="3"/>
  <c r="B939" i="3"/>
  <c r="B938" i="3"/>
  <c r="B934" i="3"/>
  <c r="C939" i="3"/>
  <c r="D939" i="3"/>
  <c r="D938" i="3"/>
  <c r="E939" i="3"/>
  <c r="F939" i="3"/>
  <c r="F938" i="3"/>
  <c r="G939" i="3"/>
  <c r="H939" i="3"/>
  <c r="H938" i="3"/>
  <c r="I946" i="3"/>
  <c r="J946" i="3"/>
  <c r="I947" i="3"/>
  <c r="J947" i="3"/>
  <c r="I948" i="3"/>
  <c r="I949" i="3"/>
  <c r="J949" i="3"/>
  <c r="I950" i="3"/>
  <c r="J950" i="3"/>
  <c r="I951" i="3"/>
  <c r="J951" i="3"/>
  <c r="B952" i="3"/>
  <c r="C952" i="3"/>
  <c r="D952" i="3"/>
  <c r="E952" i="3"/>
  <c r="F952" i="3"/>
  <c r="G952" i="3"/>
  <c r="H952" i="3"/>
  <c r="B966" i="3"/>
  <c r="C966" i="3"/>
  <c r="C965" i="3"/>
  <c r="C961" i="3"/>
  <c r="D966" i="3"/>
  <c r="E966" i="3"/>
  <c r="E965" i="3"/>
  <c r="F966" i="3"/>
  <c r="F965" i="3"/>
  <c r="G966" i="3"/>
  <c r="G965" i="3"/>
  <c r="H966" i="3"/>
  <c r="I973" i="3"/>
  <c r="I974" i="3"/>
  <c r="I993" i="3"/>
  <c r="I975" i="3"/>
  <c r="J975" i="3"/>
  <c r="I976" i="3"/>
  <c r="J976" i="3"/>
  <c r="I977" i="3"/>
  <c r="J977" i="3"/>
  <c r="I978" i="3"/>
  <c r="J978" i="3"/>
  <c r="B979" i="3"/>
  <c r="C979" i="3"/>
  <c r="D979" i="3"/>
  <c r="E979" i="3"/>
  <c r="F979" i="3"/>
  <c r="G979" i="3"/>
  <c r="H979" i="3"/>
  <c r="B993" i="3"/>
  <c r="B992" i="3"/>
  <c r="B988" i="3"/>
  <c r="C993" i="3"/>
  <c r="D993" i="3"/>
  <c r="D992" i="3"/>
  <c r="E993" i="3"/>
  <c r="F993" i="3"/>
  <c r="F992" i="3"/>
  <c r="G993" i="3"/>
  <c r="H993" i="3"/>
  <c r="H992" i="3"/>
  <c r="I1000" i="3"/>
  <c r="I1001" i="3"/>
  <c r="J1001" i="3"/>
  <c r="I1002" i="3"/>
  <c r="J1002" i="3"/>
  <c r="I1003" i="3"/>
  <c r="J1003" i="3"/>
  <c r="I1004" i="3"/>
  <c r="J1004" i="3"/>
  <c r="I1005" i="3"/>
  <c r="J1005" i="3"/>
  <c r="B1006" i="3"/>
  <c r="C1006" i="3"/>
  <c r="D1006" i="3"/>
  <c r="E1006" i="3"/>
  <c r="F1006" i="3"/>
  <c r="G1006" i="3"/>
  <c r="H1006" i="3"/>
  <c r="B1020" i="3"/>
  <c r="C1020" i="3"/>
  <c r="C1019" i="3"/>
  <c r="C1015" i="3"/>
  <c r="D1020" i="3"/>
  <c r="E1020" i="3"/>
  <c r="E1019" i="3"/>
  <c r="F1020" i="3"/>
  <c r="F1019" i="3"/>
  <c r="F1016" i="3"/>
  <c r="G1020" i="3"/>
  <c r="G1019" i="3"/>
  <c r="H1020" i="3"/>
  <c r="I1027" i="3"/>
  <c r="I1028" i="3"/>
  <c r="I1047" i="3"/>
  <c r="I1029" i="3"/>
  <c r="AL2271" i="3"/>
  <c r="I1030" i="3"/>
  <c r="J1030" i="3"/>
  <c r="I1031" i="3"/>
  <c r="AL2273" i="3"/>
  <c r="I1032" i="3"/>
  <c r="J1032" i="3"/>
  <c r="B1033" i="3"/>
  <c r="C1033" i="3"/>
  <c r="D1033" i="3"/>
  <c r="E1033" i="3"/>
  <c r="F1033" i="3"/>
  <c r="G1033" i="3"/>
  <c r="H1033" i="3"/>
  <c r="B1047" i="3"/>
  <c r="B1046" i="3"/>
  <c r="B1042" i="3"/>
  <c r="C1047" i="3"/>
  <c r="D1047" i="3"/>
  <c r="D1046" i="3"/>
  <c r="E1047" i="3"/>
  <c r="F1047" i="3"/>
  <c r="F1046" i="3"/>
  <c r="G1047" i="3"/>
  <c r="H1047" i="3"/>
  <c r="H1046" i="3"/>
  <c r="B1054" i="3"/>
  <c r="C1054" i="3"/>
  <c r="D1054" i="3"/>
  <c r="E1054" i="3"/>
  <c r="F1054" i="3"/>
  <c r="G1054" i="3"/>
  <c r="H1054" i="3"/>
  <c r="I1055" i="3"/>
  <c r="I1074" i="3"/>
  <c r="I1056" i="3"/>
  <c r="J1056" i="3"/>
  <c r="I1057" i="3"/>
  <c r="J1057" i="3"/>
  <c r="I1058" i="3"/>
  <c r="I1059" i="3"/>
  <c r="J1059" i="3"/>
  <c r="B1060" i="3"/>
  <c r="C1060" i="3"/>
  <c r="D1060" i="3"/>
  <c r="E1060" i="3"/>
  <c r="F1060" i="3"/>
  <c r="G1060" i="3"/>
  <c r="H1060" i="3"/>
  <c r="B1074" i="3"/>
  <c r="B1073" i="3"/>
  <c r="B1069" i="3"/>
  <c r="C1074" i="3"/>
  <c r="D1074" i="3"/>
  <c r="D1073" i="3"/>
  <c r="E1074" i="3"/>
  <c r="F1074" i="3"/>
  <c r="F1073" i="3"/>
  <c r="G1074" i="3"/>
  <c r="H1074" i="3"/>
  <c r="H1073" i="3"/>
  <c r="B1081" i="3"/>
  <c r="C1081" i="3"/>
  <c r="D1081" i="3"/>
  <c r="E1081" i="3"/>
  <c r="F1081" i="3"/>
  <c r="G1081" i="3"/>
  <c r="H1081" i="3"/>
  <c r="I1082" i="3"/>
  <c r="I1101" i="3"/>
  <c r="I1083" i="3"/>
  <c r="AN2271" i="3"/>
  <c r="I1084" i="3"/>
  <c r="J1084" i="3"/>
  <c r="I1085" i="3"/>
  <c r="AN2273" i="3"/>
  <c r="I1086" i="3"/>
  <c r="J1086" i="3"/>
  <c r="B1087" i="3"/>
  <c r="C1087" i="3"/>
  <c r="D1087" i="3"/>
  <c r="E1087" i="3"/>
  <c r="F1087" i="3"/>
  <c r="G1087" i="3"/>
  <c r="H1087" i="3"/>
  <c r="B1101" i="3"/>
  <c r="B1100" i="3"/>
  <c r="B1102" i="3"/>
  <c r="B1103" i="3"/>
  <c r="C1101" i="3"/>
  <c r="D1101" i="3"/>
  <c r="E1101" i="3"/>
  <c r="F1101" i="3"/>
  <c r="F1100" i="3"/>
  <c r="G1101" i="3"/>
  <c r="H1101" i="3"/>
  <c r="H1100" i="3"/>
  <c r="H1098" i="3"/>
  <c r="B1108" i="3"/>
  <c r="C1108" i="3"/>
  <c r="D1108" i="3"/>
  <c r="E1108" i="3"/>
  <c r="F1108" i="3"/>
  <c r="G1108" i="3"/>
  <c r="H1108" i="3"/>
  <c r="I1109" i="3"/>
  <c r="J1109" i="3"/>
  <c r="I1110" i="3"/>
  <c r="J1110" i="3"/>
  <c r="I1111" i="3"/>
  <c r="J1111" i="3"/>
  <c r="I1112" i="3"/>
  <c r="J1112" i="3"/>
  <c r="I1113" i="3"/>
  <c r="J1113" i="3"/>
  <c r="B1114" i="3"/>
  <c r="C1114" i="3"/>
  <c r="D1114" i="3"/>
  <c r="E1114" i="3"/>
  <c r="F1114" i="3"/>
  <c r="G1114" i="3"/>
  <c r="H1114" i="3"/>
  <c r="B1128" i="3"/>
  <c r="C1128" i="3"/>
  <c r="C1127" i="3"/>
  <c r="D1128" i="3"/>
  <c r="E1128" i="3"/>
  <c r="E1127" i="3"/>
  <c r="F1128" i="3"/>
  <c r="F1127" i="3"/>
  <c r="G1128" i="3"/>
  <c r="G1127" i="3"/>
  <c r="H1128" i="3"/>
  <c r="B1135" i="3"/>
  <c r="C1135" i="3"/>
  <c r="D1135" i="3"/>
  <c r="E1135" i="3"/>
  <c r="F1135" i="3"/>
  <c r="G1135" i="3"/>
  <c r="H1135" i="3"/>
  <c r="I1136" i="3"/>
  <c r="J1136" i="3"/>
  <c r="I1137" i="3"/>
  <c r="I1138" i="3"/>
  <c r="J1138" i="3"/>
  <c r="I1139" i="3"/>
  <c r="J1139" i="3"/>
  <c r="I1140" i="3"/>
  <c r="J1140" i="3"/>
  <c r="B1141" i="3"/>
  <c r="C1141" i="3"/>
  <c r="D1141" i="3"/>
  <c r="E1141" i="3"/>
  <c r="F1141" i="3"/>
  <c r="G1141" i="3"/>
  <c r="H1141" i="3"/>
  <c r="B1155" i="3"/>
  <c r="C1155" i="3"/>
  <c r="C1154" i="3"/>
  <c r="D1155" i="3"/>
  <c r="E1155" i="3"/>
  <c r="E1154" i="3"/>
  <c r="E1152" i="3"/>
  <c r="F1155" i="3"/>
  <c r="F1154" i="3"/>
  <c r="F1153" i="3"/>
  <c r="G1155" i="3"/>
  <c r="G1154" i="3"/>
  <c r="H1155" i="3"/>
  <c r="B1162" i="3"/>
  <c r="C1162" i="3"/>
  <c r="D1162" i="3"/>
  <c r="E1162" i="3"/>
  <c r="F1162" i="3"/>
  <c r="G1162" i="3"/>
  <c r="H1162" i="3"/>
  <c r="I1163" i="3"/>
  <c r="J1163" i="3"/>
  <c r="I1164" i="3"/>
  <c r="J1164" i="3"/>
  <c r="I1165" i="3"/>
  <c r="J1165" i="3"/>
  <c r="I1166" i="3"/>
  <c r="J1166" i="3"/>
  <c r="I1167" i="3"/>
  <c r="J1167" i="3"/>
  <c r="B1168" i="3"/>
  <c r="C1168" i="3"/>
  <c r="D1168" i="3"/>
  <c r="E1168" i="3"/>
  <c r="F1168" i="3"/>
  <c r="G1168" i="3"/>
  <c r="H1168" i="3"/>
  <c r="B1182" i="3"/>
  <c r="C1182" i="3"/>
  <c r="C1181" i="3"/>
  <c r="C1179" i="3"/>
  <c r="D1182" i="3"/>
  <c r="E1182" i="3"/>
  <c r="E1181" i="3"/>
  <c r="F1182" i="3"/>
  <c r="F1181" i="3"/>
  <c r="F1176" i="3"/>
  <c r="G1182" i="3"/>
  <c r="G1181" i="3"/>
  <c r="G1179" i="3"/>
  <c r="H1182" i="3"/>
  <c r="B1189" i="3"/>
  <c r="C1189" i="3"/>
  <c r="D1189" i="3"/>
  <c r="E1189" i="3"/>
  <c r="F1189" i="3"/>
  <c r="G1189" i="3"/>
  <c r="H1189" i="3"/>
  <c r="I1190" i="3"/>
  <c r="J1190" i="3"/>
  <c r="I1191" i="3"/>
  <c r="J1191" i="3"/>
  <c r="I1192" i="3"/>
  <c r="J1192" i="3"/>
  <c r="I1193" i="3"/>
  <c r="I1194" i="3"/>
  <c r="J1194" i="3"/>
  <c r="B1195" i="3"/>
  <c r="C1195" i="3"/>
  <c r="D1195" i="3"/>
  <c r="E1195" i="3"/>
  <c r="F1195" i="3"/>
  <c r="G1195" i="3"/>
  <c r="H1195" i="3"/>
  <c r="B1209" i="3"/>
  <c r="C1209" i="3"/>
  <c r="C1208" i="3"/>
  <c r="D1209" i="3"/>
  <c r="E1209" i="3"/>
  <c r="E1208" i="3"/>
  <c r="E1206" i="3"/>
  <c r="F1209" i="3"/>
  <c r="F1208" i="3"/>
  <c r="G1209" i="3"/>
  <c r="G1208" i="3"/>
  <c r="H1209" i="3"/>
  <c r="B1216" i="3"/>
  <c r="C1216" i="3"/>
  <c r="D1216" i="3"/>
  <c r="E1216" i="3"/>
  <c r="F1216" i="3"/>
  <c r="G1216" i="3"/>
  <c r="H1216" i="3"/>
  <c r="I1217" i="3"/>
  <c r="J1217" i="3"/>
  <c r="I1218" i="3"/>
  <c r="I1219" i="3"/>
  <c r="J1219" i="3"/>
  <c r="I1220" i="3"/>
  <c r="J1220" i="3"/>
  <c r="I1221" i="3"/>
  <c r="J1221" i="3"/>
  <c r="B1222" i="3"/>
  <c r="C1222" i="3"/>
  <c r="D1222" i="3"/>
  <c r="E1222" i="3"/>
  <c r="F1222" i="3"/>
  <c r="G1222" i="3"/>
  <c r="H1222" i="3"/>
  <c r="B1236" i="3"/>
  <c r="C1236" i="3"/>
  <c r="C1235" i="3"/>
  <c r="C1233" i="3"/>
  <c r="D1236" i="3"/>
  <c r="E1236" i="3"/>
  <c r="E1235" i="3"/>
  <c r="F1236" i="3"/>
  <c r="F1235" i="3"/>
  <c r="F1230" i="3"/>
  <c r="G1236" i="3"/>
  <c r="G1235" i="3"/>
  <c r="G1233" i="3"/>
  <c r="H1236" i="3"/>
  <c r="B1243" i="3"/>
  <c r="C1243" i="3"/>
  <c r="D1243" i="3"/>
  <c r="E1243" i="3"/>
  <c r="F1243" i="3"/>
  <c r="G1243" i="3"/>
  <c r="H1243" i="3"/>
  <c r="I1244" i="3"/>
  <c r="J1244" i="3"/>
  <c r="I1245" i="3"/>
  <c r="J1245" i="3"/>
  <c r="I1246" i="3"/>
  <c r="J1246" i="3"/>
  <c r="I1247" i="3"/>
  <c r="I1248" i="3"/>
  <c r="J1248" i="3"/>
  <c r="B1249" i="3"/>
  <c r="C1249" i="3"/>
  <c r="D1249" i="3"/>
  <c r="E1249" i="3"/>
  <c r="F1249" i="3"/>
  <c r="G1249" i="3"/>
  <c r="H1249" i="3"/>
  <c r="B1263" i="3"/>
  <c r="C1263" i="3"/>
  <c r="C1262" i="3"/>
  <c r="D1263" i="3"/>
  <c r="E1263" i="3"/>
  <c r="E1262" i="3"/>
  <c r="E1260" i="3"/>
  <c r="F1263" i="3"/>
  <c r="F1262" i="3"/>
  <c r="G1263" i="3"/>
  <c r="G1262" i="3"/>
  <c r="H1263" i="3"/>
  <c r="B1270" i="3"/>
  <c r="C1270" i="3"/>
  <c r="D1270" i="3"/>
  <c r="E1270" i="3"/>
  <c r="F1270" i="3"/>
  <c r="G1270" i="3"/>
  <c r="H1270" i="3"/>
  <c r="I1271" i="3"/>
  <c r="J1271" i="3"/>
  <c r="I1272" i="3"/>
  <c r="J1272" i="3"/>
  <c r="I1273" i="3"/>
  <c r="I1274" i="3"/>
  <c r="J1274" i="3"/>
  <c r="I1275" i="3"/>
  <c r="B1276" i="3"/>
  <c r="C1276" i="3"/>
  <c r="D1276" i="3"/>
  <c r="E1276" i="3"/>
  <c r="F1276" i="3"/>
  <c r="G1276" i="3"/>
  <c r="H1276" i="3"/>
  <c r="B1290" i="3"/>
  <c r="C1290" i="3"/>
  <c r="C1289" i="3"/>
  <c r="C1287" i="3"/>
  <c r="D1290" i="3"/>
  <c r="E1290" i="3"/>
  <c r="E1289" i="3"/>
  <c r="F1290" i="3"/>
  <c r="F1289" i="3"/>
  <c r="G1290" i="3"/>
  <c r="G1289" i="3"/>
  <c r="G1287" i="3"/>
  <c r="H1290" i="3"/>
  <c r="B1297" i="3"/>
  <c r="C1297" i="3"/>
  <c r="D1297" i="3"/>
  <c r="E1297" i="3"/>
  <c r="F1297" i="3"/>
  <c r="G1297" i="3"/>
  <c r="H1297" i="3"/>
  <c r="I1298" i="3"/>
  <c r="I1299" i="3"/>
  <c r="J1299" i="3"/>
  <c r="I1300" i="3"/>
  <c r="J1300" i="3"/>
  <c r="I1301" i="3"/>
  <c r="J1301" i="3"/>
  <c r="I1302" i="3"/>
  <c r="J1302" i="3"/>
  <c r="B1303" i="3"/>
  <c r="C1303" i="3"/>
  <c r="D1303" i="3"/>
  <c r="E1303" i="3"/>
  <c r="F1303" i="3"/>
  <c r="G1303" i="3"/>
  <c r="H1303" i="3"/>
  <c r="B1317" i="3"/>
  <c r="C1317" i="3"/>
  <c r="C1316" i="3"/>
  <c r="D1317" i="3"/>
  <c r="D1316" i="3"/>
  <c r="D1311" i="3"/>
  <c r="E1317" i="3"/>
  <c r="E1316" i="3"/>
  <c r="E1314" i="3"/>
  <c r="F1317" i="3"/>
  <c r="F1316" i="3"/>
  <c r="F1312" i="3"/>
  <c r="G1317" i="3"/>
  <c r="G1316" i="3"/>
  <c r="H1317" i="3"/>
  <c r="B1324" i="3"/>
  <c r="C1324" i="3"/>
  <c r="D1324" i="3"/>
  <c r="E1324" i="3"/>
  <c r="F1324" i="3"/>
  <c r="G1324" i="3"/>
  <c r="H1324" i="3"/>
  <c r="I1325" i="3"/>
  <c r="AW2270" i="3"/>
  <c r="I1326" i="3"/>
  <c r="J1326" i="3"/>
  <c r="I1327" i="3"/>
  <c r="I1328" i="3"/>
  <c r="J1328" i="3"/>
  <c r="I1329" i="3"/>
  <c r="B1330" i="3"/>
  <c r="C1330" i="3"/>
  <c r="D1330" i="3"/>
  <c r="E1330" i="3"/>
  <c r="F1330" i="3"/>
  <c r="G1330" i="3"/>
  <c r="H1330" i="3"/>
  <c r="B1344" i="3"/>
  <c r="C1344" i="3"/>
  <c r="C1343" i="3"/>
  <c r="C1341" i="3"/>
  <c r="D1344" i="3"/>
  <c r="D1343" i="3"/>
  <c r="D1341" i="3"/>
  <c r="E1344" i="3"/>
  <c r="E1343" i="3"/>
  <c r="F1344" i="3"/>
  <c r="F1343" i="3"/>
  <c r="F1345" i="3"/>
  <c r="G1344" i="3"/>
  <c r="G1343" i="3"/>
  <c r="G1341" i="3"/>
  <c r="H1344" i="3"/>
  <c r="H1343" i="3"/>
  <c r="H1338" i="3"/>
  <c r="B1351" i="3"/>
  <c r="C1351" i="3"/>
  <c r="D1351" i="3"/>
  <c r="E1351" i="3"/>
  <c r="F1351" i="3"/>
  <c r="G1351" i="3"/>
  <c r="H1351" i="3"/>
  <c r="I1352" i="3"/>
  <c r="J1352" i="3"/>
  <c r="I1353" i="3"/>
  <c r="J1353" i="3"/>
  <c r="I1354" i="3"/>
  <c r="J1354" i="3"/>
  <c r="I1355" i="3"/>
  <c r="I1356" i="3"/>
  <c r="J1356" i="3"/>
  <c r="B1357" i="3"/>
  <c r="C1357" i="3"/>
  <c r="D1357" i="3"/>
  <c r="E1357" i="3"/>
  <c r="F1357" i="3"/>
  <c r="G1357" i="3"/>
  <c r="H1357" i="3"/>
  <c r="B1371" i="3"/>
  <c r="B1370" i="3"/>
  <c r="B1365" i="3"/>
  <c r="C1371" i="3"/>
  <c r="C1370" i="3"/>
  <c r="D1371" i="3"/>
  <c r="D1370" i="3"/>
  <c r="E1371" i="3"/>
  <c r="E1370" i="3"/>
  <c r="E1368" i="3"/>
  <c r="F1371" i="3"/>
  <c r="F1370" i="3"/>
  <c r="G1371" i="3"/>
  <c r="G1370" i="3"/>
  <c r="H1371" i="3"/>
  <c r="H1370" i="3"/>
  <c r="B1378" i="3"/>
  <c r="C1378" i="3"/>
  <c r="D1378" i="3"/>
  <c r="E1378" i="3"/>
  <c r="F1378" i="3"/>
  <c r="G1378" i="3"/>
  <c r="H1378" i="3"/>
  <c r="I1379" i="3"/>
  <c r="J1379" i="3"/>
  <c r="I1380" i="3"/>
  <c r="I1381" i="3"/>
  <c r="J1381" i="3"/>
  <c r="I1382" i="3"/>
  <c r="J1382" i="3"/>
  <c r="I1383" i="3"/>
  <c r="J1383" i="3"/>
  <c r="B1384" i="3"/>
  <c r="C1384" i="3"/>
  <c r="D1384" i="3"/>
  <c r="E1384" i="3"/>
  <c r="F1384" i="3"/>
  <c r="G1384" i="3"/>
  <c r="H1384" i="3"/>
  <c r="B1398" i="3"/>
  <c r="B1397" i="3"/>
  <c r="C1398" i="3"/>
  <c r="C1397" i="3"/>
  <c r="C1395" i="3"/>
  <c r="D1398" i="3"/>
  <c r="E1398" i="3"/>
  <c r="E1397" i="3"/>
  <c r="F1398" i="3"/>
  <c r="F1397" i="3"/>
  <c r="F1395" i="3"/>
  <c r="G1398" i="3"/>
  <c r="G1397" i="3"/>
  <c r="G1395" i="3"/>
  <c r="H1398" i="3"/>
  <c r="B1405" i="3"/>
  <c r="C1405" i="3"/>
  <c r="D1405" i="3"/>
  <c r="E1405" i="3"/>
  <c r="F1405" i="3"/>
  <c r="G1405" i="3"/>
  <c r="H1405" i="3"/>
  <c r="I1406" i="3"/>
  <c r="J1406" i="3"/>
  <c r="I1407" i="3"/>
  <c r="J1407" i="3"/>
  <c r="I1408" i="3"/>
  <c r="J1408" i="3"/>
  <c r="I1409" i="3"/>
  <c r="I1410" i="3"/>
  <c r="J1410" i="3"/>
  <c r="B1411" i="3"/>
  <c r="C1411" i="3"/>
  <c r="D1411" i="3"/>
  <c r="E1411" i="3"/>
  <c r="F1411" i="3"/>
  <c r="G1411" i="3"/>
  <c r="H1411" i="3"/>
  <c r="B1425" i="3"/>
  <c r="B1424" i="3"/>
  <c r="C1425" i="3"/>
  <c r="C1424" i="3"/>
  <c r="D1425" i="3"/>
  <c r="D1424" i="3"/>
  <c r="D1419" i="3"/>
  <c r="E1425" i="3"/>
  <c r="E1424" i="3"/>
  <c r="E1422" i="3"/>
  <c r="F1425" i="3"/>
  <c r="F1424" i="3"/>
  <c r="F1420" i="3"/>
  <c r="G1425" i="3"/>
  <c r="G1424" i="3"/>
  <c r="H1425" i="3"/>
  <c r="E1432" i="3"/>
  <c r="F1432" i="3"/>
  <c r="G1432" i="3"/>
  <c r="H1432" i="3"/>
  <c r="I1433" i="3"/>
  <c r="I1452" i="3"/>
  <c r="I1434" i="3"/>
  <c r="J1434" i="3"/>
  <c r="I1435" i="3"/>
  <c r="BA2272" i="3"/>
  <c r="I1436" i="3"/>
  <c r="J1436" i="3"/>
  <c r="I1437" i="3"/>
  <c r="BA2274" i="3"/>
  <c r="B1438" i="3"/>
  <c r="C1438" i="3"/>
  <c r="D1438" i="3"/>
  <c r="E1438" i="3"/>
  <c r="F1438" i="3"/>
  <c r="G1438" i="3"/>
  <c r="H1438" i="3"/>
  <c r="B1452" i="3"/>
  <c r="B1451" i="3"/>
  <c r="C1452" i="3"/>
  <c r="D1452" i="3"/>
  <c r="D1451" i="3"/>
  <c r="D1449" i="3"/>
  <c r="E1452" i="3"/>
  <c r="E1451" i="3"/>
  <c r="E1449" i="3"/>
  <c r="F1452" i="3"/>
  <c r="F1451" i="3"/>
  <c r="G1452" i="3"/>
  <c r="G1451" i="3"/>
  <c r="H1452" i="3"/>
  <c r="H1451" i="3"/>
  <c r="H1449" i="3"/>
  <c r="B1459" i="3"/>
  <c r="C1459" i="3"/>
  <c r="D1459" i="3"/>
  <c r="E1459" i="3"/>
  <c r="F1459" i="3"/>
  <c r="G1459" i="3"/>
  <c r="H1459" i="3"/>
  <c r="I1460" i="3"/>
  <c r="I1479" i="3"/>
  <c r="I1461" i="3"/>
  <c r="BB2271" i="3"/>
  <c r="I1462" i="3"/>
  <c r="J1462" i="3"/>
  <c r="I1463" i="3"/>
  <c r="BB2273" i="3"/>
  <c r="I1464" i="3"/>
  <c r="J1464" i="3"/>
  <c r="B1465" i="3"/>
  <c r="C1465" i="3"/>
  <c r="D1465" i="3"/>
  <c r="E1465" i="3"/>
  <c r="F1465" i="3"/>
  <c r="G1465" i="3"/>
  <c r="H1465" i="3"/>
  <c r="B1479" i="3"/>
  <c r="B1478" i="3"/>
  <c r="C1479" i="3"/>
  <c r="D1479" i="3"/>
  <c r="D1478" i="3"/>
  <c r="D1476" i="3"/>
  <c r="E1479" i="3"/>
  <c r="F1479" i="3"/>
  <c r="F1478" i="3"/>
  <c r="G1479" i="3"/>
  <c r="H1479" i="3"/>
  <c r="H1478" i="3"/>
  <c r="H1476" i="3"/>
  <c r="B1486" i="3"/>
  <c r="C1486" i="3"/>
  <c r="D1486" i="3"/>
  <c r="E1486" i="3"/>
  <c r="F1486" i="3"/>
  <c r="G1486" i="3"/>
  <c r="H1486" i="3"/>
  <c r="I1487" i="3"/>
  <c r="I1506" i="3"/>
  <c r="I1488" i="3"/>
  <c r="J1488" i="3"/>
  <c r="I1489" i="3"/>
  <c r="BC2272" i="3"/>
  <c r="I1490" i="3"/>
  <c r="I1491" i="3"/>
  <c r="BC2274" i="3"/>
  <c r="B1492" i="3"/>
  <c r="C1492" i="3"/>
  <c r="D1492" i="3"/>
  <c r="E1492" i="3"/>
  <c r="F1492" i="3"/>
  <c r="G1492" i="3"/>
  <c r="H1492" i="3"/>
  <c r="B1506" i="3"/>
  <c r="B1505" i="3"/>
  <c r="C1506" i="3"/>
  <c r="C1505" i="3"/>
  <c r="D1506" i="3"/>
  <c r="D1505" i="3"/>
  <c r="D1503" i="3"/>
  <c r="E1506" i="3"/>
  <c r="E1505" i="3"/>
  <c r="E1503" i="3"/>
  <c r="F1506" i="3"/>
  <c r="F1505" i="3"/>
  <c r="G1506" i="3"/>
  <c r="H1506" i="3"/>
  <c r="H1505" i="3"/>
  <c r="H1503" i="3"/>
  <c r="B1513" i="3"/>
  <c r="C1513" i="3"/>
  <c r="D1513" i="3"/>
  <c r="E1513" i="3"/>
  <c r="F1513" i="3"/>
  <c r="G1513" i="3"/>
  <c r="H1513" i="3"/>
  <c r="I1514" i="3"/>
  <c r="BD2270" i="3"/>
  <c r="I1515" i="3"/>
  <c r="BD2271" i="3"/>
  <c r="I1516" i="3"/>
  <c r="I1517" i="3"/>
  <c r="BD2273" i="3"/>
  <c r="I1518" i="3"/>
  <c r="B1519" i="3"/>
  <c r="C1519" i="3"/>
  <c r="D1519" i="3"/>
  <c r="E1519" i="3"/>
  <c r="F1519" i="3"/>
  <c r="G1519" i="3"/>
  <c r="H1519" i="3"/>
  <c r="B1533" i="3"/>
  <c r="B1532" i="3"/>
  <c r="C1533" i="3"/>
  <c r="C1532" i="3"/>
  <c r="C1530" i="3"/>
  <c r="D1533" i="3"/>
  <c r="D1532" i="3"/>
  <c r="D1530" i="3"/>
  <c r="E1533" i="3"/>
  <c r="E1532" i="3"/>
  <c r="F1533" i="3"/>
  <c r="F1532" i="3"/>
  <c r="G1533" i="3"/>
  <c r="G1532" i="3"/>
  <c r="G1530" i="3"/>
  <c r="H1533" i="3"/>
  <c r="H1532" i="3"/>
  <c r="H1530" i="3"/>
  <c r="C2269" i="3"/>
  <c r="E2269" i="3"/>
  <c r="H2269" i="3"/>
  <c r="I2269" i="3"/>
  <c r="I2296" i="3"/>
  <c r="J2269" i="3"/>
  <c r="J2296" i="3"/>
  <c r="K2269" i="3"/>
  <c r="K2296" i="3"/>
  <c r="L2269" i="3"/>
  <c r="L2296" i="3"/>
  <c r="M2269" i="3"/>
  <c r="M2296" i="3"/>
  <c r="N2269" i="3"/>
  <c r="N2296" i="3"/>
  <c r="O2269" i="3"/>
  <c r="O2296" i="3"/>
  <c r="P2269" i="3"/>
  <c r="P2296" i="3"/>
  <c r="Q2269" i="3"/>
  <c r="Q2296" i="3"/>
  <c r="R2269" i="3"/>
  <c r="R2296" i="3"/>
  <c r="V2269" i="3"/>
  <c r="V2296" i="3"/>
  <c r="AA2269" i="3"/>
  <c r="AA2296" i="3"/>
  <c r="C2270" i="3"/>
  <c r="AA2270" i="3"/>
  <c r="AM2270" i="3"/>
  <c r="N2271" i="3"/>
  <c r="W2271" i="3"/>
  <c r="C2272" i="3"/>
  <c r="L2272" i="3"/>
  <c r="T2272" i="3"/>
  <c r="AH2272" i="3"/>
  <c r="C2273" i="3"/>
  <c r="L2273" i="3"/>
  <c r="AI2273" i="3"/>
  <c r="AD2274" i="3"/>
  <c r="AP2274" i="3"/>
  <c r="B2279" i="3"/>
  <c r="C2279" i="3"/>
  <c r="B2280" i="3"/>
  <c r="C2280" i="3"/>
  <c r="AA2295" i="3"/>
  <c r="AA2298" i="3"/>
  <c r="AB2295" i="3"/>
  <c r="AC2295" i="3"/>
  <c r="AC2298" i="3"/>
  <c r="AD2295" i="3"/>
  <c r="AE2295" i="3"/>
  <c r="AE2298" i="3"/>
  <c r="AF2295" i="3"/>
  <c r="AG2295" i="3"/>
  <c r="AG2298" i="3"/>
  <c r="AH2295" i="3"/>
  <c r="AI2295" i="3"/>
  <c r="AI2298" i="3"/>
  <c r="AJ2295" i="3"/>
  <c r="AK2295" i="3"/>
  <c r="AK2298" i="3"/>
  <c r="AL2295" i="3"/>
  <c r="AM2295" i="3"/>
  <c r="AM2298" i="3"/>
  <c r="AN2295" i="3"/>
  <c r="AO2295" i="3"/>
  <c r="AO2298" i="3"/>
  <c r="AP2295" i="3"/>
  <c r="AQ2295" i="3"/>
  <c r="AQ2298" i="3"/>
  <c r="AR2295" i="3"/>
  <c r="AS2295" i="3"/>
  <c r="AS2298" i="3"/>
  <c r="AT2295" i="3"/>
  <c r="AU2295" i="3"/>
  <c r="AU2298" i="3"/>
  <c r="AV2295" i="3"/>
  <c r="AW2295" i="3"/>
  <c r="AW2298" i="3"/>
  <c r="AX2295" i="3"/>
  <c r="AY2295" i="3"/>
  <c r="AY2298" i="3"/>
  <c r="AZ2295" i="3"/>
  <c r="BA2295" i="3"/>
  <c r="BA2298" i="3"/>
  <c r="BB2295" i="3"/>
  <c r="BC2295" i="3"/>
  <c r="BC2298" i="3"/>
  <c r="CE2295" i="3"/>
  <c r="CE2298" i="3"/>
  <c r="AB2298" i="3"/>
  <c r="AD2298" i="3"/>
  <c r="AF2298" i="3"/>
  <c r="AH2298" i="3"/>
  <c r="AJ2298" i="3"/>
  <c r="AL2298" i="3"/>
  <c r="AN2298" i="3"/>
  <c r="AP2298" i="3"/>
  <c r="AR2298" i="3"/>
  <c r="AT2298" i="3"/>
  <c r="AV2298" i="3"/>
  <c r="AX2298" i="3"/>
  <c r="AZ2298" i="3"/>
  <c r="BB2298" i="3"/>
  <c r="B2305" i="3"/>
  <c r="C2305" i="3"/>
  <c r="D2305" i="3"/>
  <c r="E2305" i="3"/>
  <c r="F2305" i="3"/>
  <c r="G2305" i="3"/>
  <c r="H2305" i="3"/>
  <c r="I5" i="2"/>
  <c r="J5" i="2"/>
  <c r="I6" i="2"/>
  <c r="I25" i="2"/>
  <c r="J25" i="2"/>
  <c r="I7" i="2"/>
  <c r="J7" i="2"/>
  <c r="I8" i="2"/>
  <c r="J8" i="2"/>
  <c r="I9" i="2"/>
  <c r="J9" i="2"/>
  <c r="I10" i="2"/>
  <c r="J10" i="2"/>
  <c r="B11" i="2"/>
  <c r="C11" i="2"/>
  <c r="D11" i="2"/>
  <c r="E11" i="2"/>
  <c r="F11" i="2"/>
  <c r="G11" i="2"/>
  <c r="H11" i="2"/>
  <c r="I11" i="2"/>
  <c r="J11" i="2"/>
  <c r="B25" i="2"/>
  <c r="B26" i="2"/>
  <c r="B27" i="2"/>
  <c r="C25" i="2"/>
  <c r="C24" i="2"/>
  <c r="D25" i="2"/>
  <c r="D24" i="2"/>
  <c r="E25" i="2"/>
  <c r="E24" i="2"/>
  <c r="F25" i="2"/>
  <c r="F24" i="2"/>
  <c r="G25" i="2"/>
  <c r="G24" i="2"/>
  <c r="H25" i="2"/>
  <c r="H24" i="2"/>
  <c r="I32" i="2"/>
  <c r="J32" i="2"/>
  <c r="I33" i="2"/>
  <c r="I34" i="2"/>
  <c r="I35" i="2"/>
  <c r="J35" i="2"/>
  <c r="I36" i="2"/>
  <c r="J36" i="2"/>
  <c r="I37" i="2"/>
  <c r="J37" i="2"/>
  <c r="B38" i="2"/>
  <c r="C38" i="2"/>
  <c r="D38" i="2"/>
  <c r="E38" i="2"/>
  <c r="F38" i="2"/>
  <c r="G38" i="2"/>
  <c r="H38" i="2"/>
  <c r="B52" i="2"/>
  <c r="B51" i="2"/>
  <c r="B49" i="2"/>
  <c r="C52" i="2"/>
  <c r="C51" i="2"/>
  <c r="C48" i="2"/>
  <c r="D52" i="2"/>
  <c r="D51" i="2"/>
  <c r="E52" i="2"/>
  <c r="E51" i="2"/>
  <c r="E46" i="2"/>
  <c r="F52" i="2"/>
  <c r="F51" i="2"/>
  <c r="F49" i="2"/>
  <c r="G52" i="2"/>
  <c r="G51" i="2"/>
  <c r="H52" i="2"/>
  <c r="H51" i="2"/>
  <c r="I52" i="2"/>
  <c r="C2193" i="2"/>
  <c r="I60" i="2"/>
  <c r="I61" i="2"/>
  <c r="J61" i="2"/>
  <c r="J80" i="2"/>
  <c r="I62" i="2"/>
  <c r="J62" i="2"/>
  <c r="I63" i="2"/>
  <c r="J63" i="2"/>
  <c r="I64" i="2"/>
  <c r="I65" i="2"/>
  <c r="J65" i="2"/>
  <c r="B66" i="2"/>
  <c r="C66" i="2"/>
  <c r="D66" i="2"/>
  <c r="E66" i="2"/>
  <c r="F66" i="2"/>
  <c r="G66" i="2"/>
  <c r="H66" i="2"/>
  <c r="B80" i="2"/>
  <c r="B79" i="2"/>
  <c r="B74" i="2"/>
  <c r="C80" i="2"/>
  <c r="C79" i="2"/>
  <c r="C77" i="2"/>
  <c r="D80" i="2"/>
  <c r="D79" i="2"/>
  <c r="E80" i="2"/>
  <c r="E79" i="2"/>
  <c r="F80" i="2"/>
  <c r="F79" i="2"/>
  <c r="F74" i="2"/>
  <c r="G80" i="2"/>
  <c r="G79" i="2"/>
  <c r="G77" i="2"/>
  <c r="H80" i="2"/>
  <c r="H79" i="2"/>
  <c r="I88" i="2"/>
  <c r="I89" i="2"/>
  <c r="E2174" i="2"/>
  <c r="I90" i="2"/>
  <c r="J90" i="2"/>
  <c r="I91" i="2"/>
  <c r="J91" i="2"/>
  <c r="I92" i="2"/>
  <c r="I93" i="2"/>
  <c r="J93" i="2"/>
  <c r="B94" i="2"/>
  <c r="C94" i="2"/>
  <c r="D94" i="2"/>
  <c r="E94" i="2"/>
  <c r="F94" i="2"/>
  <c r="G94" i="2"/>
  <c r="H94" i="2"/>
  <c r="B108" i="2"/>
  <c r="B107" i="2"/>
  <c r="B102" i="2"/>
  <c r="C108" i="2"/>
  <c r="C107" i="2"/>
  <c r="D108" i="2"/>
  <c r="D107" i="2"/>
  <c r="D104" i="2"/>
  <c r="E108" i="2"/>
  <c r="E107" i="2"/>
  <c r="F108" i="2"/>
  <c r="F107" i="2"/>
  <c r="F102" i="2"/>
  <c r="G108" i="2"/>
  <c r="G107" i="2"/>
  <c r="H108" i="2"/>
  <c r="H107" i="2"/>
  <c r="H104" i="2"/>
  <c r="I116" i="2"/>
  <c r="J116" i="2"/>
  <c r="I117" i="2"/>
  <c r="I136" i="2"/>
  <c r="F2193" i="2"/>
  <c r="F2209" i="2"/>
  <c r="I118" i="2"/>
  <c r="I119" i="2"/>
  <c r="I120" i="2"/>
  <c r="J120" i="2"/>
  <c r="I121" i="2"/>
  <c r="B122" i="2"/>
  <c r="C122" i="2"/>
  <c r="D122" i="2"/>
  <c r="E122" i="2"/>
  <c r="F122" i="2"/>
  <c r="G122" i="2"/>
  <c r="H122" i="2"/>
  <c r="B136" i="2"/>
  <c r="B135" i="2"/>
  <c r="C136" i="2"/>
  <c r="C135" i="2"/>
  <c r="C132" i="2"/>
  <c r="D136" i="2"/>
  <c r="D135" i="2"/>
  <c r="D133" i="2"/>
  <c r="E136" i="2"/>
  <c r="E135" i="2"/>
  <c r="E134" i="2"/>
  <c r="F136" i="2"/>
  <c r="F135" i="2"/>
  <c r="G136" i="2"/>
  <c r="G135" i="2"/>
  <c r="G132" i="2"/>
  <c r="H136" i="2"/>
  <c r="H135" i="2"/>
  <c r="H133" i="2"/>
  <c r="I145" i="2"/>
  <c r="J145" i="2"/>
  <c r="I146" i="2"/>
  <c r="I147" i="2"/>
  <c r="I148" i="2"/>
  <c r="J148" i="2"/>
  <c r="I149" i="2"/>
  <c r="J149" i="2"/>
  <c r="I150" i="2"/>
  <c r="B151" i="2"/>
  <c r="C151" i="2"/>
  <c r="D151" i="2"/>
  <c r="E151" i="2"/>
  <c r="F151" i="2"/>
  <c r="G151" i="2"/>
  <c r="H151" i="2"/>
  <c r="B165" i="2"/>
  <c r="B164" i="2"/>
  <c r="B159" i="2"/>
  <c r="C165" i="2"/>
  <c r="C164" i="2"/>
  <c r="D165" i="2"/>
  <c r="D164" i="2"/>
  <c r="D161" i="2"/>
  <c r="E165" i="2"/>
  <c r="E164" i="2"/>
  <c r="E162" i="2"/>
  <c r="F165" i="2"/>
  <c r="F164" i="2"/>
  <c r="G165" i="2"/>
  <c r="G164" i="2"/>
  <c r="H165" i="2"/>
  <c r="H164" i="2"/>
  <c r="H161" i="2"/>
  <c r="I174" i="2"/>
  <c r="I175" i="2"/>
  <c r="I194" i="2"/>
  <c r="I176" i="2"/>
  <c r="J176" i="2"/>
  <c r="I177" i="2"/>
  <c r="J177" i="2"/>
  <c r="I178" i="2"/>
  <c r="I179" i="2"/>
  <c r="J179" i="2"/>
  <c r="B180" i="2"/>
  <c r="C180" i="2"/>
  <c r="D180" i="2"/>
  <c r="E180" i="2"/>
  <c r="F180" i="2"/>
  <c r="G180" i="2"/>
  <c r="H180" i="2"/>
  <c r="B194" i="2"/>
  <c r="B193" i="2"/>
  <c r="C194" i="2"/>
  <c r="C193" i="2"/>
  <c r="C190" i="2"/>
  <c r="D194" i="2"/>
  <c r="D193" i="2"/>
  <c r="D191" i="2"/>
  <c r="E194" i="2"/>
  <c r="E193" i="2"/>
  <c r="E188" i="2"/>
  <c r="F194" i="2"/>
  <c r="F193" i="2"/>
  <c r="F191" i="2"/>
  <c r="G194" i="2"/>
  <c r="G193" i="2"/>
  <c r="G190" i="2"/>
  <c r="H194" i="2"/>
  <c r="H193" i="2"/>
  <c r="H191" i="2"/>
  <c r="I202" i="2"/>
  <c r="J202" i="2"/>
  <c r="I203" i="2"/>
  <c r="J203" i="2"/>
  <c r="J222" i="2"/>
  <c r="I204" i="2"/>
  <c r="I205" i="2"/>
  <c r="J205" i="2"/>
  <c r="I206" i="2"/>
  <c r="J206" i="2"/>
  <c r="I207" i="2"/>
  <c r="J207" i="2"/>
  <c r="B208" i="2"/>
  <c r="C208" i="2"/>
  <c r="D208" i="2"/>
  <c r="E208" i="2"/>
  <c r="F208" i="2"/>
  <c r="G208" i="2"/>
  <c r="H208" i="2"/>
  <c r="B222" i="2"/>
  <c r="B221" i="2"/>
  <c r="C222" i="2"/>
  <c r="C221" i="2"/>
  <c r="C218" i="2"/>
  <c r="D222" i="2"/>
  <c r="D221" i="2"/>
  <c r="D219" i="2"/>
  <c r="E222" i="2"/>
  <c r="E221" i="2"/>
  <c r="E216" i="2"/>
  <c r="F222" i="2"/>
  <c r="F221" i="2"/>
  <c r="G222" i="2"/>
  <c r="G221" i="2"/>
  <c r="G218" i="2"/>
  <c r="H222" i="2"/>
  <c r="H221" i="2"/>
  <c r="H219" i="2"/>
  <c r="I230" i="2"/>
  <c r="J230" i="2"/>
  <c r="I231" i="2"/>
  <c r="I232" i="2"/>
  <c r="J232" i="2"/>
  <c r="I233" i="2"/>
  <c r="I234" i="2"/>
  <c r="J234" i="2"/>
  <c r="I235" i="2"/>
  <c r="B236" i="2"/>
  <c r="C236" i="2"/>
  <c r="D236" i="2"/>
  <c r="E236" i="2"/>
  <c r="F236" i="2"/>
  <c r="G236" i="2"/>
  <c r="H236" i="2"/>
  <c r="B250" i="2"/>
  <c r="B249" i="2"/>
  <c r="C250" i="2"/>
  <c r="C249" i="2"/>
  <c r="D250" i="2"/>
  <c r="D249" i="2"/>
  <c r="D246" i="2"/>
  <c r="E250" i="2"/>
  <c r="E249" i="2"/>
  <c r="E247" i="2"/>
  <c r="F250" i="2"/>
  <c r="F249" i="2"/>
  <c r="F244" i="2"/>
  <c r="G250" i="2"/>
  <c r="G249" i="2"/>
  <c r="H250" i="2"/>
  <c r="H249" i="2"/>
  <c r="H246" i="2"/>
  <c r="I260" i="2"/>
  <c r="J260" i="2"/>
  <c r="I261" i="2"/>
  <c r="I262" i="2"/>
  <c r="I263" i="2"/>
  <c r="I264" i="2"/>
  <c r="J264" i="2"/>
  <c r="I265" i="2"/>
  <c r="J265" i="2"/>
  <c r="B266" i="2"/>
  <c r="C266" i="2"/>
  <c r="D266" i="2"/>
  <c r="E266" i="2"/>
  <c r="F266" i="2"/>
  <c r="G266" i="2"/>
  <c r="H266" i="2"/>
  <c r="B280" i="2"/>
  <c r="B279" i="2"/>
  <c r="C280" i="2"/>
  <c r="C279" i="2"/>
  <c r="C276" i="2"/>
  <c r="D280" i="2"/>
  <c r="D279" i="2"/>
  <c r="D277" i="2"/>
  <c r="E280" i="2"/>
  <c r="E279" i="2"/>
  <c r="E274" i="2"/>
  <c r="F280" i="2"/>
  <c r="F279" i="2"/>
  <c r="F277" i="2"/>
  <c r="G280" i="2"/>
  <c r="G279" i="2"/>
  <c r="G276" i="2"/>
  <c r="H280" i="2"/>
  <c r="H279" i="2"/>
  <c r="H277" i="2"/>
  <c r="I289" i="2"/>
  <c r="I290" i="2"/>
  <c r="J290" i="2"/>
  <c r="J309" i="2"/>
  <c r="I291" i="2"/>
  <c r="J291" i="2"/>
  <c r="I292" i="2"/>
  <c r="J292" i="2"/>
  <c r="L292" i="2"/>
  <c r="I293" i="2"/>
  <c r="L2177" i="2"/>
  <c r="I294" i="2"/>
  <c r="B295" i="2"/>
  <c r="C295" i="2"/>
  <c r="D295" i="2"/>
  <c r="E295" i="2"/>
  <c r="F295" i="2"/>
  <c r="G295" i="2"/>
  <c r="H295" i="2"/>
  <c r="B309" i="2"/>
  <c r="B308" i="2"/>
  <c r="C309" i="2"/>
  <c r="C308" i="2"/>
  <c r="C305" i="2"/>
  <c r="D309" i="2"/>
  <c r="D308" i="2"/>
  <c r="D306" i="2"/>
  <c r="E309" i="2"/>
  <c r="E308" i="2"/>
  <c r="F309" i="2"/>
  <c r="F308" i="2"/>
  <c r="G309" i="2"/>
  <c r="G308" i="2"/>
  <c r="G305" i="2"/>
  <c r="H309" i="2"/>
  <c r="H308" i="2"/>
  <c r="H306" i="2"/>
  <c r="I309" i="2"/>
  <c r="L2193" i="2"/>
  <c r="L2209" i="2"/>
  <c r="I318" i="2"/>
  <c r="J318" i="2"/>
  <c r="I319" i="2"/>
  <c r="I338" i="2"/>
  <c r="M2193" i="2"/>
  <c r="M2209" i="2"/>
  <c r="I320" i="2"/>
  <c r="I321" i="2"/>
  <c r="I322" i="2"/>
  <c r="J322" i="2"/>
  <c r="I323" i="2"/>
  <c r="B324" i="2"/>
  <c r="C324" i="2"/>
  <c r="D324" i="2"/>
  <c r="E324" i="2"/>
  <c r="F324" i="2"/>
  <c r="G324" i="2"/>
  <c r="H324" i="2"/>
  <c r="B338" i="2"/>
  <c r="B337" i="2"/>
  <c r="B332" i="2"/>
  <c r="C338" i="2"/>
  <c r="C337" i="2"/>
  <c r="D338" i="2"/>
  <c r="D337" i="2"/>
  <c r="D334" i="2"/>
  <c r="E338" i="2"/>
  <c r="E337" i="2"/>
  <c r="E335" i="2"/>
  <c r="F338" i="2"/>
  <c r="F337" i="2"/>
  <c r="G338" i="2"/>
  <c r="G337" i="2"/>
  <c r="H338" i="2"/>
  <c r="H337" i="2"/>
  <c r="H334" i="2"/>
  <c r="I346" i="2"/>
  <c r="J346" i="2"/>
  <c r="I347" i="2"/>
  <c r="I348" i="2"/>
  <c r="I349" i="2"/>
  <c r="L349" i="2"/>
  <c r="I350" i="2"/>
  <c r="I351" i="2"/>
  <c r="J351" i="2"/>
  <c r="B352" i="2"/>
  <c r="C352" i="2"/>
  <c r="D352" i="2"/>
  <c r="E352" i="2"/>
  <c r="F352" i="2"/>
  <c r="G352" i="2"/>
  <c r="H352" i="2"/>
  <c r="B366" i="2"/>
  <c r="B365" i="2"/>
  <c r="C366" i="2"/>
  <c r="C365" i="2"/>
  <c r="D366" i="2"/>
  <c r="D365" i="2"/>
  <c r="D362" i="2"/>
  <c r="E366" i="2"/>
  <c r="E365" i="2"/>
  <c r="F366" i="2"/>
  <c r="F365" i="2"/>
  <c r="G366" i="2"/>
  <c r="G365" i="2"/>
  <c r="H366" i="2"/>
  <c r="H365" i="2"/>
  <c r="H362" i="2"/>
  <c r="I374" i="2"/>
  <c r="J374" i="2"/>
  <c r="I375" i="2"/>
  <c r="O2174" i="2"/>
  <c r="I376" i="2"/>
  <c r="I377" i="2"/>
  <c r="J377" i="2"/>
  <c r="L377" i="2"/>
  <c r="I378" i="2"/>
  <c r="I379" i="2"/>
  <c r="J379" i="2"/>
  <c r="B380" i="2"/>
  <c r="C380" i="2"/>
  <c r="D380" i="2"/>
  <c r="E380" i="2"/>
  <c r="F380" i="2"/>
  <c r="G380" i="2"/>
  <c r="H380" i="2"/>
  <c r="B394" i="2"/>
  <c r="B393" i="2"/>
  <c r="B388" i="2"/>
  <c r="C394" i="2"/>
  <c r="C393" i="2"/>
  <c r="D394" i="2"/>
  <c r="D393" i="2"/>
  <c r="D390" i="2"/>
  <c r="E394" i="2"/>
  <c r="E393" i="2"/>
  <c r="F394" i="2"/>
  <c r="F393" i="2"/>
  <c r="G394" i="2"/>
  <c r="G393" i="2"/>
  <c r="H394" i="2"/>
  <c r="H393" i="2"/>
  <c r="H390" i="2"/>
  <c r="I403" i="2"/>
  <c r="I404" i="2"/>
  <c r="I423" i="2"/>
  <c r="P2193" i="2"/>
  <c r="P2209" i="2"/>
  <c r="I405" i="2"/>
  <c r="J405" i="2"/>
  <c r="I406" i="2"/>
  <c r="J406" i="2"/>
  <c r="I407" i="2"/>
  <c r="I408" i="2"/>
  <c r="J408" i="2"/>
  <c r="B409" i="2"/>
  <c r="C409" i="2"/>
  <c r="D409" i="2"/>
  <c r="E409" i="2"/>
  <c r="F409" i="2"/>
  <c r="G409" i="2"/>
  <c r="H409" i="2"/>
  <c r="B423" i="2"/>
  <c r="B422" i="2"/>
  <c r="C423" i="2"/>
  <c r="C422" i="2"/>
  <c r="C419" i="2"/>
  <c r="D423" i="2"/>
  <c r="D422" i="2"/>
  <c r="D420" i="2"/>
  <c r="E423" i="2"/>
  <c r="E422" i="2"/>
  <c r="F423" i="2"/>
  <c r="F422" i="2"/>
  <c r="G423" i="2"/>
  <c r="G422" i="2"/>
  <c r="G419" i="2"/>
  <c r="H423" i="2"/>
  <c r="H422" i="2"/>
  <c r="H420" i="2"/>
  <c r="I432" i="2"/>
  <c r="J432" i="2"/>
  <c r="I433" i="2"/>
  <c r="I452" i="2"/>
  <c r="Q2193" i="2"/>
  <c r="Q2209" i="2"/>
  <c r="I434" i="2"/>
  <c r="I435" i="2"/>
  <c r="J435" i="2"/>
  <c r="L435" i="2"/>
  <c r="I436" i="2"/>
  <c r="J436" i="2"/>
  <c r="I437" i="2"/>
  <c r="B438" i="2"/>
  <c r="C438" i="2"/>
  <c r="D438" i="2"/>
  <c r="E438" i="2"/>
  <c r="F438" i="2"/>
  <c r="G438" i="2"/>
  <c r="H438" i="2"/>
  <c r="B452" i="2"/>
  <c r="B451" i="2"/>
  <c r="C452" i="2"/>
  <c r="C451" i="2"/>
  <c r="D452" i="2"/>
  <c r="D451" i="2"/>
  <c r="E452" i="2"/>
  <c r="E451" i="2"/>
  <c r="F452" i="2"/>
  <c r="F451" i="2"/>
  <c r="G452" i="2"/>
  <c r="G451" i="2"/>
  <c r="H452" i="2"/>
  <c r="H451" i="2"/>
  <c r="I461" i="2"/>
  <c r="I462" i="2"/>
  <c r="J462" i="2"/>
  <c r="J481" i="2"/>
  <c r="I463" i="2"/>
  <c r="I464" i="2"/>
  <c r="J464" i="2"/>
  <c r="L464" i="2"/>
  <c r="I465" i="2"/>
  <c r="J465" i="2"/>
  <c r="I466" i="2"/>
  <c r="B467" i="2"/>
  <c r="C467" i="2"/>
  <c r="D467" i="2"/>
  <c r="E467" i="2"/>
  <c r="F467" i="2"/>
  <c r="G467" i="2"/>
  <c r="H467" i="2"/>
  <c r="B481" i="2"/>
  <c r="B480" i="2"/>
  <c r="C481" i="2"/>
  <c r="C480" i="2"/>
  <c r="D481" i="2"/>
  <c r="D480" i="2"/>
  <c r="E481" i="2"/>
  <c r="E480" i="2"/>
  <c r="F481" i="2"/>
  <c r="F480" i="2"/>
  <c r="G481" i="2"/>
  <c r="G480" i="2"/>
  <c r="H481" i="2"/>
  <c r="H480" i="2"/>
  <c r="I481" i="2"/>
  <c r="I490" i="2"/>
  <c r="J490" i="2"/>
  <c r="I491" i="2"/>
  <c r="I492" i="2"/>
  <c r="J492" i="2"/>
  <c r="I493" i="2"/>
  <c r="J493" i="2"/>
  <c r="L493" i="2"/>
  <c r="I494" i="2"/>
  <c r="J494" i="2"/>
  <c r="I495" i="2"/>
  <c r="J495" i="2"/>
  <c r="B496" i="2"/>
  <c r="C496" i="2"/>
  <c r="D496" i="2"/>
  <c r="E496" i="2"/>
  <c r="F496" i="2"/>
  <c r="G496" i="2"/>
  <c r="H496" i="2"/>
  <c r="B510" i="2"/>
  <c r="B509" i="2"/>
  <c r="C510" i="2"/>
  <c r="C509" i="2"/>
  <c r="D510" i="2"/>
  <c r="D509" i="2"/>
  <c r="E510" i="2"/>
  <c r="E509" i="2"/>
  <c r="F510" i="2"/>
  <c r="F509" i="2"/>
  <c r="G510" i="2"/>
  <c r="G509" i="2"/>
  <c r="H510" i="2"/>
  <c r="H509" i="2"/>
  <c r="I519" i="2"/>
  <c r="I520" i="2"/>
  <c r="J520" i="2"/>
  <c r="J539" i="2"/>
  <c r="I521" i="2"/>
  <c r="I522" i="2"/>
  <c r="J522" i="2"/>
  <c r="L522" i="2"/>
  <c r="I523" i="2"/>
  <c r="J523" i="2"/>
  <c r="I524" i="2"/>
  <c r="B525" i="2"/>
  <c r="C525" i="2"/>
  <c r="D525" i="2"/>
  <c r="E525" i="2"/>
  <c r="F525" i="2"/>
  <c r="G525" i="2"/>
  <c r="H525" i="2"/>
  <c r="B539" i="2"/>
  <c r="B538" i="2"/>
  <c r="C539" i="2"/>
  <c r="C538" i="2"/>
  <c r="D539" i="2"/>
  <c r="D538" i="2"/>
  <c r="E539" i="2"/>
  <c r="E538" i="2"/>
  <c r="F539" i="2"/>
  <c r="F538" i="2"/>
  <c r="G539" i="2"/>
  <c r="G538" i="2"/>
  <c r="H539" i="2"/>
  <c r="H538" i="2"/>
  <c r="I539" i="2"/>
  <c r="T2193" i="2"/>
  <c r="T2209" i="2"/>
  <c r="I547" i="2"/>
  <c r="J547" i="2"/>
  <c r="I548" i="2"/>
  <c r="I567" i="2"/>
  <c r="U2193" i="2"/>
  <c r="U2209" i="2"/>
  <c r="I549" i="2"/>
  <c r="J549" i="2"/>
  <c r="I550" i="2"/>
  <c r="J550" i="2"/>
  <c r="I551" i="2"/>
  <c r="J551" i="2"/>
  <c r="I552" i="2"/>
  <c r="B553" i="2"/>
  <c r="C553" i="2"/>
  <c r="D553" i="2"/>
  <c r="E553" i="2"/>
  <c r="F553" i="2"/>
  <c r="G553" i="2"/>
  <c r="H553" i="2"/>
  <c r="B567" i="2"/>
  <c r="B566" i="2"/>
  <c r="C567" i="2"/>
  <c r="C566" i="2"/>
  <c r="D567" i="2"/>
  <c r="D566" i="2"/>
  <c r="E567" i="2"/>
  <c r="E566" i="2"/>
  <c r="F567" i="2"/>
  <c r="F566" i="2"/>
  <c r="G567" i="2"/>
  <c r="G566" i="2"/>
  <c r="H567" i="2"/>
  <c r="H566" i="2"/>
  <c r="I575" i="2"/>
  <c r="J575" i="2"/>
  <c r="I576" i="2"/>
  <c r="I577" i="2"/>
  <c r="J577" i="2"/>
  <c r="I578" i="2"/>
  <c r="J578" i="2"/>
  <c r="I579" i="2"/>
  <c r="I580" i="2"/>
  <c r="J580" i="2"/>
  <c r="B581" i="2"/>
  <c r="C581" i="2"/>
  <c r="D581" i="2"/>
  <c r="E581" i="2"/>
  <c r="F581" i="2"/>
  <c r="G581" i="2"/>
  <c r="H581" i="2"/>
  <c r="B595" i="2"/>
  <c r="B594" i="2"/>
  <c r="C595" i="2"/>
  <c r="C594" i="2"/>
  <c r="D595" i="2"/>
  <c r="D594" i="2"/>
  <c r="E595" i="2"/>
  <c r="E594" i="2"/>
  <c r="F595" i="2"/>
  <c r="F594" i="2"/>
  <c r="G595" i="2"/>
  <c r="G594" i="2"/>
  <c r="H595" i="2"/>
  <c r="H594" i="2"/>
  <c r="I603" i="2"/>
  <c r="J603" i="2"/>
  <c r="I604" i="2"/>
  <c r="J604" i="2"/>
  <c r="J623" i="2"/>
  <c r="I605" i="2"/>
  <c r="I606" i="2"/>
  <c r="J606" i="2"/>
  <c r="I607" i="2"/>
  <c r="I608" i="2"/>
  <c r="J608" i="2"/>
  <c r="B609" i="2"/>
  <c r="C609" i="2"/>
  <c r="D609" i="2"/>
  <c r="E609" i="2"/>
  <c r="F609" i="2"/>
  <c r="G609" i="2"/>
  <c r="H609" i="2"/>
  <c r="B623" i="2"/>
  <c r="B622" i="2"/>
  <c r="C623" i="2"/>
  <c r="C622" i="2"/>
  <c r="D623" i="2"/>
  <c r="D622" i="2"/>
  <c r="E623" i="2"/>
  <c r="E622" i="2"/>
  <c r="F623" i="2"/>
  <c r="F622" i="2"/>
  <c r="G623" i="2"/>
  <c r="G622" i="2"/>
  <c r="H623" i="2"/>
  <c r="H622" i="2"/>
  <c r="I623" i="2"/>
  <c r="I632" i="2"/>
  <c r="I633" i="2"/>
  <c r="I634" i="2"/>
  <c r="J634" i="2"/>
  <c r="I635" i="2"/>
  <c r="I636" i="2"/>
  <c r="I637" i="2"/>
  <c r="J637" i="2"/>
  <c r="B638" i="2"/>
  <c r="C638" i="2"/>
  <c r="D638" i="2"/>
  <c r="E638" i="2"/>
  <c r="F638" i="2"/>
  <c r="G638" i="2"/>
  <c r="H638" i="2"/>
  <c r="B652" i="2"/>
  <c r="B651" i="2"/>
  <c r="C652" i="2"/>
  <c r="C651" i="2"/>
  <c r="D652" i="2"/>
  <c r="D651" i="2"/>
  <c r="E652" i="2"/>
  <c r="E651" i="2"/>
  <c r="F652" i="2"/>
  <c r="F651" i="2"/>
  <c r="G652" i="2"/>
  <c r="G651" i="2"/>
  <c r="H652" i="2"/>
  <c r="H651" i="2"/>
  <c r="I661" i="2"/>
  <c r="I662" i="2"/>
  <c r="I681" i="2"/>
  <c r="Y2193" i="2"/>
  <c r="Y2209" i="2"/>
  <c r="I663" i="2"/>
  <c r="I664" i="2"/>
  <c r="J664" i="2"/>
  <c r="I665" i="2"/>
  <c r="J665" i="2"/>
  <c r="I666" i="2"/>
  <c r="J666" i="2"/>
  <c r="B667" i="2"/>
  <c r="C667" i="2"/>
  <c r="D667" i="2"/>
  <c r="E667" i="2"/>
  <c r="F667" i="2"/>
  <c r="G667" i="2"/>
  <c r="H667" i="2"/>
  <c r="B681" i="2"/>
  <c r="B680" i="2"/>
  <c r="C681" i="2"/>
  <c r="C680" i="2"/>
  <c r="D681" i="2"/>
  <c r="D680" i="2"/>
  <c r="E681" i="2"/>
  <c r="E680" i="2"/>
  <c r="F681" i="2"/>
  <c r="F680" i="2"/>
  <c r="G681" i="2"/>
  <c r="G680" i="2"/>
  <c r="H681" i="2"/>
  <c r="H680" i="2"/>
  <c r="I690" i="2"/>
  <c r="J690" i="2"/>
  <c r="I691" i="2"/>
  <c r="J691" i="2"/>
  <c r="J710" i="2"/>
  <c r="I692" i="2"/>
  <c r="J692" i="2"/>
  <c r="I693" i="2"/>
  <c r="J693" i="2"/>
  <c r="I694" i="2"/>
  <c r="I695" i="2"/>
  <c r="B696" i="2"/>
  <c r="C696" i="2"/>
  <c r="D696" i="2"/>
  <c r="E696" i="2"/>
  <c r="F696" i="2"/>
  <c r="G696" i="2"/>
  <c r="H696" i="2"/>
  <c r="B710" i="2"/>
  <c r="B709" i="2"/>
  <c r="C710" i="2"/>
  <c r="C709" i="2"/>
  <c r="D710" i="2"/>
  <c r="D709" i="2"/>
  <c r="E710" i="2"/>
  <c r="E709" i="2"/>
  <c r="F710" i="2"/>
  <c r="F709" i="2"/>
  <c r="G710" i="2"/>
  <c r="G709" i="2"/>
  <c r="H710" i="2"/>
  <c r="H709" i="2"/>
  <c r="I710" i="2"/>
  <c r="I718" i="2"/>
  <c r="I719" i="2"/>
  <c r="I738" i="2"/>
  <c r="AA2193" i="2"/>
  <c r="AA2209" i="2"/>
  <c r="I720" i="2"/>
  <c r="I721" i="2"/>
  <c r="J721" i="2"/>
  <c r="I722" i="2"/>
  <c r="J722" i="2"/>
  <c r="I723" i="2"/>
  <c r="J723" i="2"/>
  <c r="B724" i="2"/>
  <c r="C724" i="2"/>
  <c r="D724" i="2"/>
  <c r="E724" i="2"/>
  <c r="F724" i="2"/>
  <c r="G724" i="2"/>
  <c r="H724" i="2"/>
  <c r="B738" i="2"/>
  <c r="B737" i="2"/>
  <c r="C738" i="2"/>
  <c r="C737" i="2"/>
  <c r="D738" i="2"/>
  <c r="D737" i="2"/>
  <c r="E738" i="2"/>
  <c r="E737" i="2"/>
  <c r="F738" i="2"/>
  <c r="F737" i="2"/>
  <c r="G738" i="2"/>
  <c r="G737" i="2"/>
  <c r="H738" i="2"/>
  <c r="H737" i="2"/>
  <c r="I746" i="2"/>
  <c r="J746" i="2"/>
  <c r="I747" i="2"/>
  <c r="I748" i="2"/>
  <c r="J748" i="2"/>
  <c r="I749" i="2"/>
  <c r="J749" i="2"/>
  <c r="I750" i="2"/>
  <c r="I751" i="2"/>
  <c r="B752" i="2"/>
  <c r="C752" i="2"/>
  <c r="D752" i="2"/>
  <c r="E752" i="2"/>
  <c r="F752" i="2"/>
  <c r="G752" i="2"/>
  <c r="H752" i="2"/>
  <c r="B766" i="2"/>
  <c r="B765" i="2"/>
  <c r="C766" i="2"/>
  <c r="C765" i="2"/>
  <c r="D766" i="2"/>
  <c r="D765" i="2"/>
  <c r="E766" i="2"/>
  <c r="E765" i="2"/>
  <c r="F766" i="2"/>
  <c r="F765" i="2"/>
  <c r="G766" i="2"/>
  <c r="G765" i="2"/>
  <c r="H766" i="2"/>
  <c r="H765" i="2"/>
  <c r="I774" i="2"/>
  <c r="J774" i="2"/>
  <c r="I775" i="2"/>
  <c r="I776" i="2"/>
  <c r="I777" i="2"/>
  <c r="I778" i="2"/>
  <c r="J778" i="2"/>
  <c r="I779" i="2"/>
  <c r="J779" i="2"/>
  <c r="B780" i="2"/>
  <c r="C780" i="2"/>
  <c r="D780" i="2"/>
  <c r="E780" i="2"/>
  <c r="F780" i="2"/>
  <c r="G780" i="2"/>
  <c r="H780" i="2"/>
  <c r="B794" i="2"/>
  <c r="B793" i="2"/>
  <c r="C794" i="2"/>
  <c r="C793" i="2"/>
  <c r="D794" i="2"/>
  <c r="D793" i="2"/>
  <c r="E794" i="2"/>
  <c r="E793" i="2"/>
  <c r="F794" i="2"/>
  <c r="F793" i="2"/>
  <c r="G794" i="2"/>
  <c r="G793" i="2"/>
  <c r="H794" i="2"/>
  <c r="H793" i="2"/>
  <c r="I802" i="2"/>
  <c r="I803" i="2"/>
  <c r="J803" i="2"/>
  <c r="J822" i="2"/>
  <c r="I804" i="2"/>
  <c r="I805" i="2"/>
  <c r="I806" i="2"/>
  <c r="I807" i="2"/>
  <c r="J807" i="2"/>
  <c r="B808" i="2"/>
  <c r="C808" i="2"/>
  <c r="D808" i="2"/>
  <c r="E808" i="2"/>
  <c r="F808" i="2"/>
  <c r="G808" i="2"/>
  <c r="H808" i="2"/>
  <c r="B822" i="2"/>
  <c r="B821" i="2"/>
  <c r="C822" i="2"/>
  <c r="C821" i="2"/>
  <c r="C816" i="2"/>
  <c r="D822" i="2"/>
  <c r="D821" i="2"/>
  <c r="E822" i="2"/>
  <c r="E821" i="2"/>
  <c r="F822" i="2"/>
  <c r="F821" i="2"/>
  <c r="G822" i="2"/>
  <c r="G821" i="2"/>
  <c r="H822" i="2"/>
  <c r="H821" i="2"/>
  <c r="I822" i="2"/>
  <c r="I830" i="2"/>
  <c r="J830" i="2"/>
  <c r="I831" i="2"/>
  <c r="I832" i="2"/>
  <c r="I833" i="2"/>
  <c r="J833" i="2"/>
  <c r="I834" i="2"/>
  <c r="J834" i="2"/>
  <c r="I835" i="2"/>
  <c r="J835" i="2"/>
  <c r="B836" i="2"/>
  <c r="C836" i="2"/>
  <c r="D836" i="2"/>
  <c r="E836" i="2"/>
  <c r="F836" i="2"/>
  <c r="G836" i="2"/>
  <c r="H836" i="2"/>
  <c r="B850" i="2"/>
  <c r="B849" i="2"/>
  <c r="C850" i="2"/>
  <c r="C849" i="2"/>
  <c r="D850" i="2"/>
  <c r="D849" i="2"/>
  <c r="E850" i="2"/>
  <c r="E849" i="2"/>
  <c r="F850" i="2"/>
  <c r="F849" i="2"/>
  <c r="G850" i="2"/>
  <c r="G849" i="2"/>
  <c r="H850" i="2"/>
  <c r="H849" i="2"/>
  <c r="I858" i="2"/>
  <c r="I859" i="2"/>
  <c r="I860" i="2"/>
  <c r="J860" i="2"/>
  <c r="I861" i="2"/>
  <c r="I862" i="2"/>
  <c r="J862" i="2"/>
  <c r="I863" i="2"/>
  <c r="B864" i="2"/>
  <c r="C864" i="2"/>
  <c r="D864" i="2"/>
  <c r="E864" i="2"/>
  <c r="F864" i="2"/>
  <c r="G864" i="2"/>
  <c r="H864" i="2"/>
  <c r="B878" i="2"/>
  <c r="B877" i="2"/>
  <c r="C878" i="2"/>
  <c r="C877" i="2"/>
  <c r="D878" i="2"/>
  <c r="D877" i="2"/>
  <c r="E878" i="2"/>
  <c r="E877" i="2"/>
  <c r="F878" i="2"/>
  <c r="F877" i="2"/>
  <c r="G878" i="2"/>
  <c r="G877" i="2"/>
  <c r="H878" i="2"/>
  <c r="H877" i="2"/>
  <c r="I886" i="2"/>
  <c r="J886" i="2"/>
  <c r="I887" i="2"/>
  <c r="J887" i="2"/>
  <c r="J906" i="2"/>
  <c r="I888" i="2"/>
  <c r="I889" i="2"/>
  <c r="J889" i="2"/>
  <c r="I890" i="2"/>
  <c r="I891" i="2"/>
  <c r="J891" i="2"/>
  <c r="B892" i="2"/>
  <c r="C892" i="2"/>
  <c r="D892" i="2"/>
  <c r="E892" i="2"/>
  <c r="F892" i="2"/>
  <c r="G892" i="2"/>
  <c r="H892" i="2"/>
  <c r="B906" i="2"/>
  <c r="B905" i="2"/>
  <c r="C906" i="2"/>
  <c r="C905" i="2"/>
  <c r="D906" i="2"/>
  <c r="D905" i="2"/>
  <c r="E906" i="2"/>
  <c r="E905" i="2"/>
  <c r="F906" i="2"/>
  <c r="F905" i="2"/>
  <c r="G906" i="2"/>
  <c r="G905" i="2"/>
  <c r="H906" i="2"/>
  <c r="H905" i="2"/>
  <c r="I906" i="2"/>
  <c r="AG2193" i="2"/>
  <c r="AG2209" i="2"/>
  <c r="B914" i="2"/>
  <c r="C914" i="2"/>
  <c r="D914" i="2"/>
  <c r="E914" i="2"/>
  <c r="F914" i="2"/>
  <c r="G914" i="2"/>
  <c r="H914" i="2"/>
  <c r="I915" i="2"/>
  <c r="J915" i="2"/>
  <c r="J934" i="2"/>
  <c r="I916" i="2"/>
  <c r="J916" i="2"/>
  <c r="I917" i="2"/>
  <c r="J917" i="2"/>
  <c r="I918" i="2"/>
  <c r="I919" i="2"/>
  <c r="J919" i="2"/>
  <c r="B920" i="2"/>
  <c r="C920" i="2"/>
  <c r="D920" i="2"/>
  <c r="E920" i="2"/>
  <c r="F920" i="2"/>
  <c r="G920" i="2"/>
  <c r="H920" i="2"/>
  <c r="B934" i="2"/>
  <c r="B933" i="2"/>
  <c r="C934" i="2"/>
  <c r="C933" i="2"/>
  <c r="D934" i="2"/>
  <c r="D933" i="2"/>
  <c r="E934" i="2"/>
  <c r="E933" i="2"/>
  <c r="F934" i="2"/>
  <c r="F933" i="2"/>
  <c r="G934" i="2"/>
  <c r="G933" i="2"/>
  <c r="H934" i="2"/>
  <c r="H933" i="2"/>
  <c r="I934" i="2"/>
  <c r="AH2193" i="2"/>
  <c r="AH2209" i="2"/>
  <c r="B942" i="2"/>
  <c r="C942" i="2"/>
  <c r="D942" i="2"/>
  <c r="E942" i="2"/>
  <c r="F942" i="2"/>
  <c r="G942" i="2"/>
  <c r="H942" i="2"/>
  <c r="I943" i="2"/>
  <c r="I944" i="2"/>
  <c r="AI2175" i="2"/>
  <c r="I945" i="2"/>
  <c r="I946" i="2"/>
  <c r="J946" i="2"/>
  <c r="I947" i="2"/>
  <c r="B948" i="2"/>
  <c r="C948" i="2"/>
  <c r="D948" i="2"/>
  <c r="E948" i="2"/>
  <c r="F948" i="2"/>
  <c r="G948" i="2"/>
  <c r="H948" i="2"/>
  <c r="B962" i="2"/>
  <c r="B961" i="2"/>
  <c r="C962" i="2"/>
  <c r="C961" i="2"/>
  <c r="D962" i="2"/>
  <c r="D961" i="2"/>
  <c r="E962" i="2"/>
  <c r="E961" i="2"/>
  <c r="F962" i="2"/>
  <c r="F961" i="2"/>
  <c r="G962" i="2"/>
  <c r="G961" i="2"/>
  <c r="H962" i="2"/>
  <c r="H961" i="2"/>
  <c r="B970" i="2"/>
  <c r="C970" i="2"/>
  <c r="D970" i="2"/>
  <c r="E970" i="2"/>
  <c r="F970" i="2"/>
  <c r="G970" i="2"/>
  <c r="H970" i="2"/>
  <c r="I971" i="2"/>
  <c r="I972" i="2"/>
  <c r="I973" i="2"/>
  <c r="J973" i="2"/>
  <c r="I974" i="2"/>
  <c r="I975" i="2"/>
  <c r="J975" i="2"/>
  <c r="B976" i="2"/>
  <c r="C976" i="2"/>
  <c r="D976" i="2"/>
  <c r="E976" i="2"/>
  <c r="F976" i="2"/>
  <c r="G976" i="2"/>
  <c r="H976" i="2"/>
  <c r="B990" i="2"/>
  <c r="B989" i="2"/>
  <c r="C990" i="2"/>
  <c r="C989" i="2"/>
  <c r="D990" i="2"/>
  <c r="D989" i="2"/>
  <c r="E990" i="2"/>
  <c r="E989" i="2"/>
  <c r="F990" i="2"/>
  <c r="F989" i="2"/>
  <c r="G990" i="2"/>
  <c r="G989" i="2"/>
  <c r="H990" i="2"/>
  <c r="H989" i="2"/>
  <c r="B998" i="2"/>
  <c r="C998" i="2"/>
  <c r="D998" i="2"/>
  <c r="E998" i="2"/>
  <c r="F998" i="2"/>
  <c r="G998" i="2"/>
  <c r="H998" i="2"/>
  <c r="I999" i="2"/>
  <c r="J999" i="2"/>
  <c r="J1018" i="2"/>
  <c r="I1000" i="2"/>
  <c r="I1001" i="2"/>
  <c r="J1001" i="2"/>
  <c r="I1002" i="2"/>
  <c r="I1003" i="2"/>
  <c r="J1003" i="2"/>
  <c r="B1004" i="2"/>
  <c r="C1004" i="2"/>
  <c r="D1004" i="2"/>
  <c r="E1004" i="2"/>
  <c r="F1004" i="2"/>
  <c r="G1004" i="2"/>
  <c r="H1004" i="2"/>
  <c r="B1018" i="2"/>
  <c r="B1017" i="2"/>
  <c r="C1018" i="2"/>
  <c r="C1017" i="2"/>
  <c r="D1018" i="2"/>
  <c r="D1017" i="2"/>
  <c r="E1018" i="2"/>
  <c r="E1017" i="2"/>
  <c r="F1018" i="2"/>
  <c r="F1017" i="2"/>
  <c r="G1018" i="2"/>
  <c r="G1017" i="2"/>
  <c r="H1018" i="2"/>
  <c r="H1017" i="2"/>
  <c r="I1018" i="2"/>
  <c r="AK2193" i="2"/>
  <c r="B1026" i="2"/>
  <c r="C1026" i="2"/>
  <c r="D1026" i="2"/>
  <c r="E1026" i="2"/>
  <c r="F1026" i="2"/>
  <c r="G1026" i="2"/>
  <c r="H1026" i="2"/>
  <c r="I1027" i="2"/>
  <c r="I1028" i="2"/>
  <c r="I1029" i="2"/>
  <c r="J1029" i="2"/>
  <c r="I1030" i="2"/>
  <c r="I1031" i="2"/>
  <c r="J1031" i="2"/>
  <c r="B1032" i="2"/>
  <c r="C1032" i="2"/>
  <c r="D1032" i="2"/>
  <c r="E1032" i="2"/>
  <c r="F1032" i="2"/>
  <c r="G1032" i="2"/>
  <c r="H1032" i="2"/>
  <c r="B1046" i="2"/>
  <c r="B1045" i="2"/>
  <c r="C1046" i="2"/>
  <c r="C1045" i="2"/>
  <c r="D1046" i="2"/>
  <c r="D1045" i="2"/>
  <c r="D1040" i="2"/>
  <c r="E1046" i="2"/>
  <c r="E1045" i="2"/>
  <c r="F1046" i="2"/>
  <c r="F1045" i="2"/>
  <c r="G1046" i="2"/>
  <c r="G1045" i="2"/>
  <c r="H1046" i="2"/>
  <c r="H1045" i="2"/>
  <c r="H1041" i="2"/>
  <c r="B1054" i="2"/>
  <c r="C1054" i="2"/>
  <c r="D1054" i="2"/>
  <c r="E1054" i="2"/>
  <c r="F1054" i="2"/>
  <c r="G1054" i="2"/>
  <c r="H1054" i="2"/>
  <c r="I1055" i="2"/>
  <c r="I1056" i="2"/>
  <c r="J1056" i="2"/>
  <c r="I1057" i="2"/>
  <c r="I1058" i="2"/>
  <c r="J1058" i="2"/>
  <c r="I1059" i="2"/>
  <c r="B1060" i="2"/>
  <c r="C1060" i="2"/>
  <c r="D1060" i="2"/>
  <c r="E1060" i="2"/>
  <c r="F1060" i="2"/>
  <c r="G1060" i="2"/>
  <c r="H1060" i="2"/>
  <c r="B1074" i="2"/>
  <c r="B1073" i="2"/>
  <c r="C1074" i="2"/>
  <c r="C1073" i="2"/>
  <c r="D1074" i="2"/>
  <c r="D1073" i="2"/>
  <c r="E1074" i="2"/>
  <c r="E1073" i="2"/>
  <c r="F1074" i="2"/>
  <c r="F1073" i="2"/>
  <c r="G1074" i="2"/>
  <c r="G1073" i="2"/>
  <c r="H1074" i="2"/>
  <c r="H1073" i="2"/>
  <c r="C1082" i="2"/>
  <c r="D1082" i="2"/>
  <c r="E1082" i="2"/>
  <c r="F1082" i="2"/>
  <c r="G1082" i="2"/>
  <c r="H1082" i="2"/>
  <c r="I1083" i="2"/>
  <c r="J1083" i="2"/>
  <c r="J1102" i="2"/>
  <c r="I1084" i="2"/>
  <c r="J1084" i="2"/>
  <c r="I1085" i="2"/>
  <c r="I1086" i="2"/>
  <c r="I1087" i="2"/>
  <c r="B1088" i="2"/>
  <c r="C1088" i="2"/>
  <c r="D1088" i="2"/>
  <c r="E1088" i="2"/>
  <c r="F1088" i="2"/>
  <c r="G1088" i="2"/>
  <c r="H1088" i="2"/>
  <c r="B1102" i="2"/>
  <c r="B1101" i="2"/>
  <c r="C1102" i="2"/>
  <c r="C1101" i="2"/>
  <c r="D1102" i="2"/>
  <c r="D1101" i="2"/>
  <c r="E1102" i="2"/>
  <c r="E1101" i="2"/>
  <c r="F1102" i="2"/>
  <c r="F1101" i="2"/>
  <c r="G1102" i="2"/>
  <c r="G1101" i="2"/>
  <c r="H1102" i="2"/>
  <c r="H1101" i="2"/>
  <c r="B1110" i="2"/>
  <c r="C1110" i="2"/>
  <c r="D1110" i="2"/>
  <c r="E1110" i="2"/>
  <c r="F1110" i="2"/>
  <c r="G1110" i="2"/>
  <c r="H1110" i="2"/>
  <c r="I1111" i="2"/>
  <c r="I1112" i="2"/>
  <c r="I1113" i="2"/>
  <c r="J1113" i="2"/>
  <c r="I1114" i="2"/>
  <c r="J1114" i="2"/>
  <c r="I1115" i="2"/>
  <c r="J1115" i="2"/>
  <c r="B1116" i="2"/>
  <c r="C1116" i="2"/>
  <c r="D1116" i="2"/>
  <c r="E1116" i="2"/>
  <c r="F1116" i="2"/>
  <c r="G1116" i="2"/>
  <c r="H1116" i="2"/>
  <c r="B1130" i="2"/>
  <c r="B1129" i="2"/>
  <c r="C1130" i="2"/>
  <c r="C1129" i="2"/>
  <c r="D1130" i="2"/>
  <c r="D1129" i="2"/>
  <c r="E1130" i="2"/>
  <c r="E1129" i="2"/>
  <c r="F1130" i="2"/>
  <c r="F1129" i="2"/>
  <c r="G1130" i="2"/>
  <c r="G1129" i="2"/>
  <c r="H1130" i="2"/>
  <c r="H1129" i="2"/>
  <c r="B1138" i="2"/>
  <c r="C1138" i="2"/>
  <c r="D1138" i="2"/>
  <c r="E1138" i="2"/>
  <c r="F1138" i="2"/>
  <c r="G1138" i="2"/>
  <c r="H1138" i="2"/>
  <c r="I1139" i="2"/>
  <c r="J1139" i="2"/>
  <c r="J1158" i="2"/>
  <c r="I1140" i="2"/>
  <c r="I1141" i="2"/>
  <c r="I1142" i="2"/>
  <c r="I1143" i="2"/>
  <c r="B1144" i="2"/>
  <c r="C1144" i="2"/>
  <c r="D1144" i="2"/>
  <c r="E1144" i="2"/>
  <c r="F1144" i="2"/>
  <c r="G1144" i="2"/>
  <c r="H1144" i="2"/>
  <c r="B1158" i="2"/>
  <c r="B1157" i="2"/>
  <c r="C1158" i="2"/>
  <c r="C1157" i="2"/>
  <c r="D1158" i="2"/>
  <c r="D1157" i="2"/>
  <c r="E1158" i="2"/>
  <c r="E1157" i="2"/>
  <c r="F1158" i="2"/>
  <c r="F1157" i="2"/>
  <c r="G1158" i="2"/>
  <c r="G1157" i="2"/>
  <c r="H1158" i="2"/>
  <c r="H1157" i="2"/>
  <c r="B1166" i="2"/>
  <c r="C1166" i="2"/>
  <c r="D1166" i="2"/>
  <c r="E1166" i="2"/>
  <c r="F1166" i="2"/>
  <c r="G1166" i="2"/>
  <c r="H1166" i="2"/>
  <c r="I1167" i="2"/>
  <c r="I1186" i="2"/>
  <c r="AQ2193" i="2"/>
  <c r="AQ2209" i="2"/>
  <c r="I1168" i="2"/>
  <c r="I1169" i="2"/>
  <c r="J1169" i="2"/>
  <c r="I1170" i="2"/>
  <c r="J1170" i="2"/>
  <c r="I1171" i="2"/>
  <c r="J1171" i="2"/>
  <c r="B1172" i="2"/>
  <c r="C1172" i="2"/>
  <c r="D1172" i="2"/>
  <c r="E1172" i="2"/>
  <c r="F1172" i="2"/>
  <c r="G1172" i="2"/>
  <c r="H1172" i="2"/>
  <c r="B1186" i="2"/>
  <c r="B1185" i="2"/>
  <c r="C1186" i="2"/>
  <c r="C1185" i="2"/>
  <c r="D1186" i="2"/>
  <c r="D1185" i="2"/>
  <c r="E1186" i="2"/>
  <c r="E1185" i="2"/>
  <c r="F1186" i="2"/>
  <c r="F1185" i="2"/>
  <c r="G1186" i="2"/>
  <c r="G1185" i="2"/>
  <c r="H1186" i="2"/>
  <c r="H1185" i="2"/>
  <c r="B1194" i="2"/>
  <c r="C1194" i="2"/>
  <c r="D1194" i="2"/>
  <c r="E1194" i="2"/>
  <c r="F1194" i="2"/>
  <c r="G1194" i="2"/>
  <c r="H1194" i="2"/>
  <c r="I1195" i="2"/>
  <c r="I1196" i="2"/>
  <c r="J1196" i="2"/>
  <c r="I1197" i="2"/>
  <c r="I1198" i="2"/>
  <c r="I1199" i="2"/>
  <c r="B1200" i="2"/>
  <c r="C1200" i="2"/>
  <c r="D1200" i="2"/>
  <c r="E1200" i="2"/>
  <c r="F1200" i="2"/>
  <c r="G1200" i="2"/>
  <c r="H1200" i="2"/>
  <c r="B1214" i="2"/>
  <c r="B1213" i="2"/>
  <c r="C1214" i="2"/>
  <c r="C1213" i="2"/>
  <c r="D1214" i="2"/>
  <c r="D1213" i="2"/>
  <c r="E1214" i="2"/>
  <c r="E1213" i="2"/>
  <c r="F1214" i="2"/>
  <c r="F1213" i="2"/>
  <c r="G1214" i="2"/>
  <c r="G1213" i="2"/>
  <c r="H1214" i="2"/>
  <c r="H1213" i="2"/>
  <c r="B1222" i="2"/>
  <c r="C1222" i="2"/>
  <c r="D1222" i="2"/>
  <c r="E1222" i="2"/>
  <c r="F1222" i="2"/>
  <c r="G1222" i="2"/>
  <c r="H1222" i="2"/>
  <c r="I1223" i="2"/>
  <c r="J1223" i="2"/>
  <c r="J1242" i="2"/>
  <c r="I1224" i="2"/>
  <c r="I1225" i="2"/>
  <c r="J1225" i="2"/>
  <c r="I1226" i="2"/>
  <c r="J1226" i="2"/>
  <c r="I1227" i="2"/>
  <c r="J1227" i="2"/>
  <c r="B1228" i="2"/>
  <c r="C1228" i="2"/>
  <c r="D1228" i="2"/>
  <c r="E1228" i="2"/>
  <c r="F1228" i="2"/>
  <c r="G1228" i="2"/>
  <c r="H1228" i="2"/>
  <c r="B1242" i="2"/>
  <c r="B1241" i="2"/>
  <c r="C1242" i="2"/>
  <c r="C1241" i="2"/>
  <c r="D1242" i="2"/>
  <c r="D1241" i="2"/>
  <c r="E1242" i="2"/>
  <c r="E1241" i="2"/>
  <c r="F1242" i="2"/>
  <c r="F1241" i="2"/>
  <c r="G1242" i="2"/>
  <c r="G1241" i="2"/>
  <c r="H1242" i="2"/>
  <c r="H1241" i="2"/>
  <c r="B1250" i="2"/>
  <c r="C1250" i="2"/>
  <c r="D1250" i="2"/>
  <c r="E1250" i="2"/>
  <c r="F1250" i="2"/>
  <c r="G1250" i="2"/>
  <c r="H1250" i="2"/>
  <c r="I1251" i="2"/>
  <c r="J1251" i="2"/>
  <c r="J1270" i="2"/>
  <c r="I1252" i="2"/>
  <c r="I1253" i="2"/>
  <c r="J1253" i="2"/>
  <c r="I1254" i="2"/>
  <c r="I1255" i="2"/>
  <c r="J1255" i="2"/>
  <c r="B1256" i="2"/>
  <c r="C1256" i="2"/>
  <c r="D1256" i="2"/>
  <c r="E1256" i="2"/>
  <c r="F1256" i="2"/>
  <c r="G1256" i="2"/>
  <c r="H1256" i="2"/>
  <c r="B1270" i="2"/>
  <c r="B1269" i="2"/>
  <c r="C1270" i="2"/>
  <c r="C1269" i="2"/>
  <c r="D1270" i="2"/>
  <c r="D1269" i="2"/>
  <c r="E1270" i="2"/>
  <c r="E1269" i="2"/>
  <c r="F1270" i="2"/>
  <c r="F1269" i="2"/>
  <c r="G1270" i="2"/>
  <c r="G1269" i="2"/>
  <c r="H1270" i="2"/>
  <c r="H1269" i="2"/>
  <c r="I1270" i="2"/>
  <c r="AT2193" i="2"/>
  <c r="AT2209" i="2"/>
  <c r="B1278" i="2"/>
  <c r="C1278" i="2"/>
  <c r="D1278" i="2"/>
  <c r="E1278" i="2"/>
  <c r="F1278" i="2"/>
  <c r="G1278" i="2"/>
  <c r="H1278" i="2"/>
  <c r="I1279" i="2"/>
  <c r="I1298" i="2"/>
  <c r="AU2193" i="2"/>
  <c r="AU2209" i="2"/>
  <c r="I1280" i="2"/>
  <c r="J1280" i="2"/>
  <c r="I1281" i="2"/>
  <c r="I1282" i="2"/>
  <c r="J1282" i="2"/>
  <c r="I1283" i="2"/>
  <c r="AU2178" i="2"/>
  <c r="B1284" i="2"/>
  <c r="C1284" i="2"/>
  <c r="D1284" i="2"/>
  <c r="E1284" i="2"/>
  <c r="F1284" i="2"/>
  <c r="G1284" i="2"/>
  <c r="H1284" i="2"/>
  <c r="B1298" i="2"/>
  <c r="B1297" i="2"/>
  <c r="C1298" i="2"/>
  <c r="C1297" i="2"/>
  <c r="D1298" i="2"/>
  <c r="D1297" i="2"/>
  <c r="E1298" i="2"/>
  <c r="E1297" i="2"/>
  <c r="F1298" i="2"/>
  <c r="F1297" i="2"/>
  <c r="G1298" i="2"/>
  <c r="G1297" i="2"/>
  <c r="H1298" i="2"/>
  <c r="H1297" i="2"/>
  <c r="E1306" i="2"/>
  <c r="F1306" i="2"/>
  <c r="G1306" i="2"/>
  <c r="H1306" i="2"/>
  <c r="I1307" i="2"/>
  <c r="J1307" i="2"/>
  <c r="J1326" i="2"/>
  <c r="I1308" i="2"/>
  <c r="J1308" i="2"/>
  <c r="I1309" i="2"/>
  <c r="I1310" i="2"/>
  <c r="J1310" i="2"/>
  <c r="I1311" i="2"/>
  <c r="B1312" i="2"/>
  <c r="C1312" i="2"/>
  <c r="D1312" i="2"/>
  <c r="E1312" i="2"/>
  <c r="F1312" i="2"/>
  <c r="G1312" i="2"/>
  <c r="H1312" i="2"/>
  <c r="B1326" i="2"/>
  <c r="B1325" i="2"/>
  <c r="C1326" i="2"/>
  <c r="C1325" i="2"/>
  <c r="D1326" i="2"/>
  <c r="D1325" i="2"/>
  <c r="E1326" i="2"/>
  <c r="E1325" i="2"/>
  <c r="F1326" i="2"/>
  <c r="F1325" i="2"/>
  <c r="G1326" i="2"/>
  <c r="G1325" i="2"/>
  <c r="H1326" i="2"/>
  <c r="H1325" i="2"/>
  <c r="I1326" i="2"/>
  <c r="AV2193" i="2"/>
  <c r="AV2209" i="2"/>
  <c r="B1334" i="2"/>
  <c r="C1334" i="2"/>
  <c r="D1334" i="2"/>
  <c r="E1334" i="2"/>
  <c r="F1334" i="2"/>
  <c r="G1334" i="2"/>
  <c r="H1334" i="2"/>
  <c r="I1335" i="2"/>
  <c r="J1335" i="2"/>
  <c r="J1354" i="2"/>
  <c r="I1336" i="2"/>
  <c r="I1337" i="2"/>
  <c r="J1337" i="2"/>
  <c r="I1338" i="2"/>
  <c r="I1339" i="2"/>
  <c r="J1339" i="2"/>
  <c r="B1340" i="2"/>
  <c r="C1340" i="2"/>
  <c r="D1340" i="2"/>
  <c r="E1340" i="2"/>
  <c r="F1340" i="2"/>
  <c r="G1340" i="2"/>
  <c r="H1340" i="2"/>
  <c r="B1354" i="2"/>
  <c r="B1353" i="2"/>
  <c r="C1354" i="2"/>
  <c r="C1353" i="2"/>
  <c r="D1354" i="2"/>
  <c r="D1353" i="2"/>
  <c r="E1354" i="2"/>
  <c r="E1353" i="2"/>
  <c r="F1354" i="2"/>
  <c r="F1353" i="2"/>
  <c r="G1354" i="2"/>
  <c r="G1353" i="2"/>
  <c r="H1354" i="2"/>
  <c r="H1353" i="2"/>
  <c r="B1362" i="2"/>
  <c r="C1362" i="2"/>
  <c r="D1362" i="2"/>
  <c r="E1362" i="2"/>
  <c r="F1362" i="2"/>
  <c r="G1362" i="2"/>
  <c r="H1362" i="2"/>
  <c r="I1363" i="2"/>
  <c r="J1363" i="2"/>
  <c r="J1382" i="2"/>
  <c r="I1364" i="2"/>
  <c r="AX2175" i="2"/>
  <c r="I1365" i="2"/>
  <c r="J1365" i="2"/>
  <c r="I1366" i="2"/>
  <c r="I1367" i="2"/>
  <c r="J1367" i="2"/>
  <c r="B1368" i="2"/>
  <c r="C1368" i="2"/>
  <c r="D1368" i="2"/>
  <c r="E1368" i="2"/>
  <c r="F1368" i="2"/>
  <c r="G1368" i="2"/>
  <c r="H1368" i="2"/>
  <c r="B1382" i="2"/>
  <c r="B1381" i="2"/>
  <c r="C1382" i="2"/>
  <c r="C1381" i="2"/>
  <c r="D1382" i="2"/>
  <c r="D1381" i="2"/>
  <c r="E1382" i="2"/>
  <c r="E1381" i="2"/>
  <c r="F1382" i="2"/>
  <c r="F1381" i="2"/>
  <c r="G1382" i="2"/>
  <c r="G1381" i="2"/>
  <c r="H1382" i="2"/>
  <c r="H1381" i="2"/>
  <c r="B1390" i="2"/>
  <c r="C1390" i="2"/>
  <c r="D1390" i="2"/>
  <c r="E1390" i="2"/>
  <c r="F1390" i="2"/>
  <c r="G1390" i="2"/>
  <c r="H1390" i="2"/>
  <c r="I1391" i="2"/>
  <c r="I1392" i="2"/>
  <c r="AY2175" i="2"/>
  <c r="I1393" i="2"/>
  <c r="AY2176" i="2"/>
  <c r="I1394" i="2"/>
  <c r="I1395" i="2"/>
  <c r="B1396" i="2"/>
  <c r="C1396" i="2"/>
  <c r="D1396" i="2"/>
  <c r="E1396" i="2"/>
  <c r="F1396" i="2"/>
  <c r="G1396" i="2"/>
  <c r="H1396" i="2"/>
  <c r="B1410" i="2"/>
  <c r="B1409" i="2"/>
  <c r="B1404" i="2"/>
  <c r="C1410" i="2"/>
  <c r="C1409" i="2"/>
  <c r="D1410" i="2"/>
  <c r="D1409" i="2"/>
  <c r="E1410" i="2"/>
  <c r="E1409" i="2"/>
  <c r="F1410" i="2"/>
  <c r="F1409" i="2"/>
  <c r="G1410" i="2"/>
  <c r="G1409" i="2"/>
  <c r="H1410" i="2"/>
  <c r="H1409" i="2"/>
  <c r="C2173" i="2"/>
  <c r="F2173" i="2"/>
  <c r="F2201" i="2"/>
  <c r="G2173" i="2"/>
  <c r="G2201" i="2"/>
  <c r="I2173" i="2"/>
  <c r="I2201" i="2"/>
  <c r="J2173" i="2"/>
  <c r="K2173" i="2"/>
  <c r="K2201" i="2"/>
  <c r="M2173" i="2"/>
  <c r="M2201" i="2"/>
  <c r="N2173" i="2"/>
  <c r="N2201" i="2"/>
  <c r="O2173" i="2"/>
  <c r="O2201" i="2"/>
  <c r="Q2173" i="2"/>
  <c r="Q2201" i="2"/>
  <c r="S2173" i="2"/>
  <c r="S2201" i="2"/>
  <c r="U2173" i="2"/>
  <c r="U2201" i="2"/>
  <c r="V2173" i="2"/>
  <c r="V2201" i="2"/>
  <c r="W2173" i="2"/>
  <c r="W2201" i="2"/>
  <c r="Z2173" i="2"/>
  <c r="Z2201" i="2"/>
  <c r="AB2173" i="2"/>
  <c r="AB2201" i="2"/>
  <c r="AC2173" i="2"/>
  <c r="AC2201" i="2"/>
  <c r="AE2173" i="2"/>
  <c r="AE2201" i="2"/>
  <c r="AG2173" i="2"/>
  <c r="AG2201" i="2"/>
  <c r="C2174" i="2"/>
  <c r="F2174" i="2"/>
  <c r="H2174" i="2"/>
  <c r="I2174" i="2"/>
  <c r="J2174" i="2"/>
  <c r="L2174" i="2"/>
  <c r="N2174" i="2"/>
  <c r="P2174" i="2"/>
  <c r="Q2174" i="2"/>
  <c r="R2174" i="2"/>
  <c r="T2174" i="2"/>
  <c r="V2174" i="2"/>
  <c r="W2174" i="2"/>
  <c r="X2174" i="2"/>
  <c r="Z2174" i="2"/>
  <c r="AB2174" i="2"/>
  <c r="AD2174" i="2"/>
  <c r="AF2174" i="2"/>
  <c r="AG2174" i="2"/>
  <c r="AH2174" i="2"/>
  <c r="AK2174" i="2"/>
  <c r="AN2174" i="2"/>
  <c r="AP2174" i="2"/>
  <c r="AR2174" i="2"/>
  <c r="AS2174" i="2"/>
  <c r="AT2174" i="2"/>
  <c r="AV2174" i="2"/>
  <c r="AX2174" i="2"/>
  <c r="D2175" i="2"/>
  <c r="E2175" i="2"/>
  <c r="H2175" i="2"/>
  <c r="J2175" i="2"/>
  <c r="L2175" i="2"/>
  <c r="P2175" i="2"/>
  <c r="S2175" i="2"/>
  <c r="U2175" i="2"/>
  <c r="V2175" i="2"/>
  <c r="X2175" i="2"/>
  <c r="Z2175" i="2"/>
  <c r="AB2175" i="2"/>
  <c r="AF2175" i="2"/>
  <c r="AH2175" i="2"/>
  <c r="AJ2175" i="2"/>
  <c r="AL2175" i="2"/>
  <c r="AM2175" i="2"/>
  <c r="AR2175" i="2"/>
  <c r="AU2175" i="2"/>
  <c r="AV2175" i="2"/>
  <c r="C2176" i="2"/>
  <c r="D2176" i="2"/>
  <c r="E2176" i="2"/>
  <c r="G2176" i="2"/>
  <c r="H2176" i="2"/>
  <c r="I2176" i="2"/>
  <c r="L2176" i="2"/>
  <c r="O2176" i="2"/>
  <c r="P2176" i="2"/>
  <c r="Q2176" i="2"/>
  <c r="R2176" i="2"/>
  <c r="S2176" i="2"/>
  <c r="T2176" i="2"/>
  <c r="U2176" i="2"/>
  <c r="V2176" i="2"/>
  <c r="W2176" i="2"/>
  <c r="Y2176" i="2"/>
  <c r="Z2176" i="2"/>
  <c r="AA2176" i="2"/>
  <c r="AB2176" i="2"/>
  <c r="AE2176" i="2"/>
  <c r="AG2176" i="2"/>
  <c r="AH2176" i="2"/>
  <c r="AJ2176" i="2"/>
  <c r="AK2176" i="2"/>
  <c r="AL2176" i="2"/>
  <c r="AO2176" i="2"/>
  <c r="AQ2176" i="2"/>
  <c r="AS2176" i="2"/>
  <c r="AT2176" i="2"/>
  <c r="AX2176" i="2"/>
  <c r="C2177" i="2"/>
  <c r="F2177" i="2"/>
  <c r="G2177" i="2"/>
  <c r="I2177" i="2"/>
  <c r="J2177" i="2"/>
  <c r="K2177" i="2"/>
  <c r="M2177" i="2"/>
  <c r="Q2177" i="2"/>
  <c r="R2177" i="2"/>
  <c r="S2177" i="2"/>
  <c r="T2177" i="2"/>
  <c r="U2177" i="2"/>
  <c r="Y2177" i="2"/>
  <c r="AA2177" i="2"/>
  <c r="AC2177" i="2"/>
  <c r="AE2177" i="2"/>
  <c r="AF2177" i="2"/>
  <c r="AI2177" i="2"/>
  <c r="AM2177" i="2"/>
  <c r="AO2177" i="2"/>
  <c r="AQ2177" i="2"/>
  <c r="AS2177" i="2"/>
  <c r="AU2177" i="2"/>
  <c r="C2178" i="2"/>
  <c r="E2178" i="2"/>
  <c r="H2178" i="2"/>
  <c r="I2178" i="2"/>
  <c r="K2178" i="2"/>
  <c r="N2178" i="2"/>
  <c r="O2178" i="2"/>
  <c r="P2178" i="2"/>
  <c r="S2178" i="2"/>
  <c r="V2178" i="2"/>
  <c r="W2178" i="2"/>
  <c r="X2178" i="2"/>
  <c r="Y2178" i="2"/>
  <c r="AA2178" i="2"/>
  <c r="AC2178" i="2"/>
  <c r="AD2178" i="2"/>
  <c r="AE2178" i="2"/>
  <c r="AG2178" i="2"/>
  <c r="AH2178" i="2"/>
  <c r="AJ2178" i="2"/>
  <c r="AL2178" i="2"/>
  <c r="AO2178" i="2"/>
  <c r="AQ2178" i="2"/>
  <c r="AS2178" i="2"/>
  <c r="AT2178" i="2"/>
  <c r="B2179" i="2"/>
  <c r="F2185" i="2"/>
  <c r="H2193" i="2"/>
  <c r="H2209" i="2"/>
  <c r="R2193" i="2"/>
  <c r="R2209" i="2"/>
  <c r="W2193" i="2"/>
  <c r="W2209" i="2"/>
  <c r="Z2193" i="2"/>
  <c r="Z2209" i="2"/>
  <c r="AD2193" i="2"/>
  <c r="AD2209" i="2"/>
  <c r="X2200" i="2"/>
  <c r="X2203" i="2"/>
  <c r="Y2200" i="2"/>
  <c r="Z2200" i="2"/>
  <c r="Z2203" i="2"/>
  <c r="AA2200" i="2"/>
  <c r="AA2203" i="2"/>
  <c r="AB2200" i="2"/>
  <c r="AB2203" i="2"/>
  <c r="AC2200" i="2"/>
  <c r="AD2200" i="2"/>
  <c r="AD2203" i="2"/>
  <c r="AE2200" i="2"/>
  <c r="AE2203" i="2"/>
  <c r="AF2200" i="2"/>
  <c r="AF2203" i="2"/>
  <c r="AG2200" i="2"/>
  <c r="AH2200" i="2"/>
  <c r="AH2203" i="2"/>
  <c r="AI2200" i="2"/>
  <c r="AI2203" i="2"/>
  <c r="AJ2200" i="2"/>
  <c r="AJ2203" i="2"/>
  <c r="AK2200" i="2"/>
  <c r="AL2200" i="2"/>
  <c r="AL2203" i="2"/>
  <c r="AM2200" i="2"/>
  <c r="AM2203" i="2"/>
  <c r="AN2200" i="2"/>
  <c r="AN2203" i="2"/>
  <c r="AO2200" i="2"/>
  <c r="AP2200" i="2"/>
  <c r="AP2203" i="2"/>
  <c r="AQ2200" i="2"/>
  <c r="AQ2203" i="2"/>
  <c r="AR2200" i="2"/>
  <c r="AR2203" i="2"/>
  <c r="AS2200" i="2"/>
  <c r="AT2200" i="2"/>
  <c r="AT2203" i="2"/>
  <c r="AU2200" i="2"/>
  <c r="AU2203" i="2"/>
  <c r="AV2200" i="2"/>
  <c r="AV2203" i="2"/>
  <c r="AW2200" i="2"/>
  <c r="AX2200" i="2"/>
  <c r="AX2203" i="2"/>
  <c r="BZ2200" i="2"/>
  <c r="BZ2203" i="2"/>
  <c r="J2201" i="2"/>
  <c r="BZ2201" i="2"/>
  <c r="BZ2202" i="2"/>
  <c r="Y2203" i="2"/>
  <c r="AC2203" i="2"/>
  <c r="AG2203" i="2"/>
  <c r="AK2203" i="2"/>
  <c r="AO2203" i="2"/>
  <c r="AS2203" i="2"/>
  <c r="AW2203" i="2"/>
  <c r="AK2209" i="2"/>
  <c r="BZ2209" i="2"/>
  <c r="B2210" i="2"/>
  <c r="C2210" i="2"/>
  <c r="D2210" i="2"/>
  <c r="E2210" i="2"/>
  <c r="I5" i="4"/>
  <c r="J5" i="4"/>
  <c r="I6" i="4"/>
  <c r="I7" i="4"/>
  <c r="J7" i="4"/>
  <c r="I8" i="4"/>
  <c r="J8" i="4"/>
  <c r="I9" i="4"/>
  <c r="J9" i="4"/>
  <c r="I10" i="4"/>
  <c r="J10" i="4"/>
  <c r="B11" i="4"/>
  <c r="C11" i="4"/>
  <c r="D11" i="4"/>
  <c r="E11" i="4"/>
  <c r="F11" i="4"/>
  <c r="G11" i="4"/>
  <c r="H11" i="4"/>
  <c r="C19" i="4"/>
  <c r="D19" i="4"/>
  <c r="C20" i="4"/>
  <c r="D20" i="4"/>
  <c r="C21" i="4"/>
  <c r="D21" i="4"/>
  <c r="C22" i="4"/>
  <c r="D22" i="4"/>
  <c r="C23" i="4"/>
  <c r="D23" i="4"/>
  <c r="B25" i="4"/>
  <c r="B26" i="4"/>
  <c r="B27" i="4"/>
  <c r="B28" i="4"/>
  <c r="C25" i="4"/>
  <c r="C26" i="4"/>
  <c r="D25" i="4"/>
  <c r="D26" i="4"/>
  <c r="E25" i="4"/>
  <c r="E24" i="4"/>
  <c r="F25" i="4"/>
  <c r="F24" i="4"/>
  <c r="G25" i="4"/>
  <c r="G24" i="4"/>
  <c r="H25" i="4"/>
  <c r="H24" i="4"/>
  <c r="I32" i="4"/>
  <c r="J32" i="4"/>
  <c r="I33" i="4"/>
  <c r="J33" i="4"/>
  <c r="I34" i="4"/>
  <c r="J34" i="4"/>
  <c r="I35" i="4"/>
  <c r="I36" i="4"/>
  <c r="J36" i="4"/>
  <c r="I37" i="4"/>
  <c r="J37" i="4"/>
  <c r="B38" i="4"/>
  <c r="C38" i="4"/>
  <c r="D38" i="4"/>
  <c r="E38" i="4"/>
  <c r="F38" i="4"/>
  <c r="G38" i="4"/>
  <c r="H38" i="4"/>
  <c r="B52" i="4"/>
  <c r="B51" i="4"/>
  <c r="C52" i="4"/>
  <c r="C51" i="4"/>
  <c r="D52" i="4"/>
  <c r="D51" i="4"/>
  <c r="E52" i="4"/>
  <c r="E51" i="4"/>
  <c r="F52" i="4"/>
  <c r="F51" i="4"/>
  <c r="G52" i="4"/>
  <c r="G51" i="4"/>
  <c r="H52" i="4"/>
  <c r="H51" i="4"/>
  <c r="I60" i="4"/>
  <c r="J60" i="4"/>
  <c r="I61" i="4"/>
  <c r="I80" i="4"/>
  <c r="I62" i="4"/>
  <c r="J62" i="4"/>
  <c r="I63" i="4"/>
  <c r="I64" i="4"/>
  <c r="J64" i="4"/>
  <c r="I65" i="4"/>
  <c r="J65" i="4"/>
  <c r="B66" i="4"/>
  <c r="C66" i="4"/>
  <c r="D66" i="4"/>
  <c r="E66" i="4"/>
  <c r="F66" i="4"/>
  <c r="G66" i="4"/>
  <c r="H66" i="4"/>
  <c r="B80" i="4"/>
  <c r="B79" i="4"/>
  <c r="B77" i="4"/>
  <c r="C80" i="4"/>
  <c r="C79" i="4"/>
  <c r="D80" i="4"/>
  <c r="D79" i="4"/>
  <c r="E80" i="4"/>
  <c r="E79" i="4"/>
  <c r="F80" i="4"/>
  <c r="F79" i="4"/>
  <c r="F77" i="4"/>
  <c r="G80" i="4"/>
  <c r="G79" i="4"/>
  <c r="H80" i="4"/>
  <c r="H79" i="4"/>
  <c r="I88" i="4"/>
  <c r="J88" i="4"/>
  <c r="I89" i="4"/>
  <c r="E2104" i="4"/>
  <c r="E2123" i="4"/>
  <c r="I90" i="4"/>
  <c r="J90" i="4"/>
  <c r="I91" i="4"/>
  <c r="J91" i="4"/>
  <c r="I92" i="4"/>
  <c r="I93" i="4"/>
  <c r="B94" i="4"/>
  <c r="C94" i="4"/>
  <c r="D94" i="4"/>
  <c r="E94" i="4"/>
  <c r="F94" i="4"/>
  <c r="G94" i="4"/>
  <c r="H94" i="4"/>
  <c r="B108" i="4"/>
  <c r="B107" i="4"/>
  <c r="B103" i="4"/>
  <c r="C108" i="4"/>
  <c r="C107" i="4"/>
  <c r="D108" i="4"/>
  <c r="D107" i="4"/>
  <c r="E108" i="4"/>
  <c r="E107" i="4"/>
  <c r="F108" i="4"/>
  <c r="F107" i="4"/>
  <c r="G108" i="4"/>
  <c r="G107" i="4"/>
  <c r="H108" i="4"/>
  <c r="H107" i="4"/>
  <c r="I116" i="4"/>
  <c r="I117" i="4"/>
  <c r="I118" i="4"/>
  <c r="I119" i="4"/>
  <c r="I120" i="4"/>
  <c r="I121" i="4"/>
  <c r="B122" i="4"/>
  <c r="C122" i="4"/>
  <c r="D122" i="4"/>
  <c r="E122" i="4"/>
  <c r="F122" i="4"/>
  <c r="G122" i="4"/>
  <c r="H122" i="4"/>
  <c r="B136" i="4"/>
  <c r="B135" i="4"/>
  <c r="C136" i="4"/>
  <c r="C135" i="4"/>
  <c r="D136" i="4"/>
  <c r="D135" i="4"/>
  <c r="E136" i="4"/>
  <c r="E135" i="4"/>
  <c r="F136" i="4"/>
  <c r="F135" i="4"/>
  <c r="F134" i="4"/>
  <c r="G136" i="4"/>
  <c r="G135" i="4"/>
  <c r="H136" i="4"/>
  <c r="H135" i="4"/>
  <c r="I144" i="4"/>
  <c r="I145" i="4"/>
  <c r="I146" i="4"/>
  <c r="I147" i="4"/>
  <c r="I148" i="4"/>
  <c r="I149" i="4"/>
  <c r="B150" i="4"/>
  <c r="C150" i="4"/>
  <c r="D150" i="4"/>
  <c r="E150" i="4"/>
  <c r="F150" i="4"/>
  <c r="G150" i="4"/>
  <c r="H150" i="4"/>
  <c r="B164" i="4"/>
  <c r="B163" i="4"/>
  <c r="B159" i="4"/>
  <c r="C164" i="4"/>
  <c r="C163" i="4"/>
  <c r="D164" i="4"/>
  <c r="D163" i="4"/>
  <c r="D162" i="4"/>
  <c r="E164" i="4"/>
  <c r="E163" i="4"/>
  <c r="F164" i="4"/>
  <c r="F163" i="4"/>
  <c r="G164" i="4"/>
  <c r="G163" i="4"/>
  <c r="H164" i="4"/>
  <c r="H163" i="4"/>
  <c r="H162" i="4"/>
  <c r="I172" i="4"/>
  <c r="I173" i="4"/>
  <c r="I174" i="4"/>
  <c r="J174" i="4"/>
  <c r="I175" i="4"/>
  <c r="I176" i="4"/>
  <c r="J176" i="4"/>
  <c r="I177" i="4"/>
  <c r="J177" i="4"/>
  <c r="B178" i="4"/>
  <c r="C178" i="4"/>
  <c r="D178" i="4"/>
  <c r="E178" i="4"/>
  <c r="F178" i="4"/>
  <c r="G178" i="4"/>
  <c r="H178" i="4"/>
  <c r="B192" i="4"/>
  <c r="B191" i="4"/>
  <c r="B186" i="4"/>
  <c r="C192" i="4"/>
  <c r="C191" i="4"/>
  <c r="C189" i="4"/>
  <c r="D192" i="4"/>
  <c r="D191" i="4"/>
  <c r="E192" i="4"/>
  <c r="E191" i="4"/>
  <c r="E187" i="4"/>
  <c r="F192" i="4"/>
  <c r="F191" i="4"/>
  <c r="F189" i="4"/>
  <c r="G192" i="4"/>
  <c r="G191" i="4"/>
  <c r="G189" i="4"/>
  <c r="H192" i="4"/>
  <c r="H191" i="4"/>
  <c r="I200" i="4"/>
  <c r="J200" i="4"/>
  <c r="I201" i="4"/>
  <c r="I202" i="4"/>
  <c r="I203" i="4"/>
  <c r="I204" i="4"/>
  <c r="I205" i="4"/>
  <c r="B206" i="4"/>
  <c r="C206" i="4"/>
  <c r="D206" i="4"/>
  <c r="E206" i="4"/>
  <c r="F206" i="4"/>
  <c r="G206" i="4"/>
  <c r="H206" i="4"/>
  <c r="B220" i="4"/>
  <c r="B219" i="4"/>
  <c r="C220" i="4"/>
  <c r="C219" i="4"/>
  <c r="C217" i="4"/>
  <c r="D220" i="4"/>
  <c r="D219" i="4"/>
  <c r="E220" i="4"/>
  <c r="E219" i="4"/>
  <c r="E215" i="4"/>
  <c r="F220" i="4"/>
  <c r="F219" i="4"/>
  <c r="F218" i="4"/>
  <c r="G220" i="4"/>
  <c r="G219" i="4"/>
  <c r="G217" i="4"/>
  <c r="H220" i="4"/>
  <c r="H219" i="4"/>
  <c r="H214" i="4"/>
  <c r="I227" i="4"/>
  <c r="I228" i="4"/>
  <c r="I229" i="4"/>
  <c r="J229" i="4"/>
  <c r="I230" i="4"/>
  <c r="I231" i="4"/>
  <c r="J231" i="4"/>
  <c r="I232" i="4"/>
  <c r="B233" i="4"/>
  <c r="C233" i="4"/>
  <c r="D233" i="4"/>
  <c r="E233" i="4"/>
  <c r="F233" i="4"/>
  <c r="G233" i="4"/>
  <c r="H233" i="4"/>
  <c r="B247" i="4"/>
  <c r="B246" i="4"/>
  <c r="B244" i="4"/>
  <c r="C247" i="4"/>
  <c r="C246" i="4"/>
  <c r="D247" i="4"/>
  <c r="D246" i="4"/>
  <c r="E247" i="4"/>
  <c r="E246" i="4"/>
  <c r="F247" i="4"/>
  <c r="F246" i="4"/>
  <c r="F244" i="4"/>
  <c r="G247" i="4"/>
  <c r="G246" i="4"/>
  <c r="H247" i="4"/>
  <c r="H246" i="4"/>
  <c r="I254" i="4"/>
  <c r="I255" i="4"/>
  <c r="I256" i="4"/>
  <c r="I257" i="4"/>
  <c r="J257" i="4"/>
  <c r="I258" i="4"/>
  <c r="I259" i="4"/>
  <c r="B260" i="4"/>
  <c r="C260" i="4"/>
  <c r="D260" i="4"/>
  <c r="E260" i="4"/>
  <c r="F260" i="4"/>
  <c r="G260" i="4"/>
  <c r="H260" i="4"/>
  <c r="B274" i="4"/>
  <c r="B273" i="4"/>
  <c r="C274" i="4"/>
  <c r="C273" i="4"/>
  <c r="C271" i="4"/>
  <c r="D274" i="4"/>
  <c r="D273" i="4"/>
  <c r="D271" i="4"/>
  <c r="E274" i="4"/>
  <c r="E273" i="4"/>
  <c r="E269" i="4"/>
  <c r="F274" i="4"/>
  <c r="F273" i="4"/>
  <c r="G274" i="4"/>
  <c r="G273" i="4"/>
  <c r="G271" i="4"/>
  <c r="H274" i="4"/>
  <c r="H273" i="4"/>
  <c r="I281" i="4"/>
  <c r="I282" i="4"/>
  <c r="I283" i="4"/>
  <c r="I284" i="4"/>
  <c r="L284" i="4"/>
  <c r="I285" i="4"/>
  <c r="J285" i="4"/>
  <c r="I286" i="4"/>
  <c r="B287" i="4"/>
  <c r="C287" i="4"/>
  <c r="D287" i="4"/>
  <c r="E287" i="4"/>
  <c r="F287" i="4"/>
  <c r="G287" i="4"/>
  <c r="H287" i="4"/>
  <c r="B301" i="4"/>
  <c r="B300" i="4"/>
  <c r="C301" i="4"/>
  <c r="C300" i="4"/>
  <c r="C296" i="4"/>
  <c r="D301" i="4"/>
  <c r="D300" i="4"/>
  <c r="E301" i="4"/>
  <c r="E300" i="4"/>
  <c r="F301" i="4"/>
  <c r="F300" i="4"/>
  <c r="G301" i="4"/>
  <c r="G300" i="4"/>
  <c r="H301" i="4"/>
  <c r="H300" i="4"/>
  <c r="I301" i="4"/>
  <c r="I309" i="4"/>
  <c r="J309" i="4"/>
  <c r="I310" i="4"/>
  <c r="M2104" i="4"/>
  <c r="M2123" i="4"/>
  <c r="M2139" i="4"/>
  <c r="I311" i="4"/>
  <c r="I312" i="4"/>
  <c r="I313" i="4"/>
  <c r="J313" i="4"/>
  <c r="I314" i="4"/>
  <c r="B315" i="4"/>
  <c r="C315" i="4"/>
  <c r="D315" i="4"/>
  <c r="E315" i="4"/>
  <c r="F315" i="4"/>
  <c r="G315" i="4"/>
  <c r="H315" i="4"/>
  <c r="B329" i="4"/>
  <c r="B328" i="4"/>
  <c r="B326" i="4"/>
  <c r="C329" i="4"/>
  <c r="C328" i="4"/>
  <c r="D329" i="4"/>
  <c r="D328" i="4"/>
  <c r="E329" i="4"/>
  <c r="E328" i="4"/>
  <c r="F329" i="4"/>
  <c r="F328" i="4"/>
  <c r="G329" i="4"/>
  <c r="G328" i="4"/>
  <c r="H329" i="4"/>
  <c r="H328" i="4"/>
  <c r="I337" i="4"/>
  <c r="I338" i="4"/>
  <c r="I357" i="4"/>
  <c r="I339" i="4"/>
  <c r="I340" i="4"/>
  <c r="J340" i="4"/>
  <c r="L340" i="4"/>
  <c r="I341" i="4"/>
  <c r="J341" i="4"/>
  <c r="I342" i="4"/>
  <c r="B343" i="4"/>
  <c r="C343" i="4"/>
  <c r="D343" i="4"/>
  <c r="E343" i="4"/>
  <c r="F343" i="4"/>
  <c r="G343" i="4"/>
  <c r="H343" i="4"/>
  <c r="B357" i="4"/>
  <c r="B356" i="4"/>
  <c r="C357" i="4"/>
  <c r="C356" i="4"/>
  <c r="D357" i="4"/>
  <c r="D356" i="4"/>
  <c r="E357" i="4"/>
  <c r="E356" i="4"/>
  <c r="F357" i="4"/>
  <c r="F356" i="4"/>
  <c r="G357" i="4"/>
  <c r="G356" i="4"/>
  <c r="H357" i="4"/>
  <c r="H356" i="4"/>
  <c r="I365" i="4"/>
  <c r="I366" i="4"/>
  <c r="I367" i="4"/>
  <c r="J367" i="4"/>
  <c r="I368" i="4"/>
  <c r="L368" i="4"/>
  <c r="I369" i="4"/>
  <c r="I370" i="4"/>
  <c r="B371" i="4"/>
  <c r="C371" i="4"/>
  <c r="D371" i="4"/>
  <c r="E371" i="4"/>
  <c r="F371" i="4"/>
  <c r="G371" i="4"/>
  <c r="H371" i="4"/>
  <c r="B385" i="4"/>
  <c r="B384" i="4"/>
  <c r="C385" i="4"/>
  <c r="C384" i="4"/>
  <c r="C383" i="4"/>
  <c r="D385" i="4"/>
  <c r="D384" i="4"/>
  <c r="E385" i="4"/>
  <c r="E384" i="4"/>
  <c r="F385" i="4"/>
  <c r="F384" i="4"/>
  <c r="G385" i="4"/>
  <c r="G384" i="4"/>
  <c r="G380" i="4"/>
  <c r="H385" i="4"/>
  <c r="H384" i="4"/>
  <c r="I385" i="4"/>
  <c r="I393" i="4"/>
  <c r="I394" i="4"/>
  <c r="I395" i="4"/>
  <c r="I396" i="4"/>
  <c r="I397" i="4"/>
  <c r="J397" i="4"/>
  <c r="I398" i="4"/>
  <c r="J398" i="4"/>
  <c r="B399" i="4"/>
  <c r="C399" i="4"/>
  <c r="D399" i="4"/>
  <c r="E399" i="4"/>
  <c r="F399" i="4"/>
  <c r="G399" i="4"/>
  <c r="H399" i="4"/>
  <c r="B413" i="4"/>
  <c r="B412" i="4"/>
  <c r="C413" i="4"/>
  <c r="C412" i="4"/>
  <c r="D413" i="4"/>
  <c r="D412" i="4"/>
  <c r="E413" i="4"/>
  <c r="E412" i="4"/>
  <c r="F413" i="4"/>
  <c r="F412" i="4"/>
  <c r="G413" i="4"/>
  <c r="G412" i="4"/>
  <c r="H413" i="4"/>
  <c r="H412" i="4"/>
  <c r="I421" i="4"/>
  <c r="J421" i="4"/>
  <c r="I422" i="4"/>
  <c r="J422" i="4"/>
  <c r="J441" i="4"/>
  <c r="I423" i="4"/>
  <c r="I424" i="4"/>
  <c r="J424" i="4"/>
  <c r="L424" i="4"/>
  <c r="I425" i="4"/>
  <c r="I426" i="4"/>
  <c r="B427" i="4"/>
  <c r="C427" i="4"/>
  <c r="D427" i="4"/>
  <c r="E427" i="4"/>
  <c r="F427" i="4"/>
  <c r="G427" i="4"/>
  <c r="H427" i="4"/>
  <c r="B441" i="4"/>
  <c r="B440" i="4"/>
  <c r="C441" i="4"/>
  <c r="C440" i="4"/>
  <c r="C439" i="4"/>
  <c r="D441" i="4"/>
  <c r="D440" i="4"/>
  <c r="E441" i="4"/>
  <c r="E440" i="4"/>
  <c r="F441" i="4"/>
  <c r="F440" i="4"/>
  <c r="G441" i="4"/>
  <c r="G440" i="4"/>
  <c r="H441" i="4"/>
  <c r="H440" i="4"/>
  <c r="I441" i="4"/>
  <c r="I449" i="4"/>
  <c r="I450" i="4"/>
  <c r="I469" i="4"/>
  <c r="R2123" i="4"/>
  <c r="R2139" i="4"/>
  <c r="I451" i="4"/>
  <c r="I452" i="4"/>
  <c r="L452" i="4"/>
  <c r="I453" i="4"/>
  <c r="J453" i="4"/>
  <c r="I454" i="4"/>
  <c r="B455" i="4"/>
  <c r="C455" i="4"/>
  <c r="D455" i="4"/>
  <c r="E455" i="4"/>
  <c r="F455" i="4"/>
  <c r="G455" i="4"/>
  <c r="H455" i="4"/>
  <c r="B469" i="4"/>
  <c r="B468" i="4"/>
  <c r="C469" i="4"/>
  <c r="C468" i="4"/>
  <c r="D469" i="4"/>
  <c r="D468" i="4"/>
  <c r="E469" i="4"/>
  <c r="E468" i="4"/>
  <c r="F469" i="4"/>
  <c r="F468" i="4"/>
  <c r="G469" i="4"/>
  <c r="G468" i="4"/>
  <c r="H469" i="4"/>
  <c r="H468" i="4"/>
  <c r="I477" i="4"/>
  <c r="I478" i="4"/>
  <c r="I479" i="4"/>
  <c r="J479" i="4"/>
  <c r="I480" i="4"/>
  <c r="L480" i="4"/>
  <c r="I481" i="4"/>
  <c r="I482" i="4"/>
  <c r="B483" i="4"/>
  <c r="C483" i="4"/>
  <c r="D483" i="4"/>
  <c r="E483" i="4"/>
  <c r="F483" i="4"/>
  <c r="G483" i="4"/>
  <c r="H483" i="4"/>
  <c r="B497" i="4"/>
  <c r="B496" i="4"/>
  <c r="C497" i="4"/>
  <c r="C496" i="4"/>
  <c r="C495" i="4"/>
  <c r="D497" i="4"/>
  <c r="D496" i="4"/>
  <c r="E497" i="4"/>
  <c r="E496" i="4"/>
  <c r="F497" i="4"/>
  <c r="F496" i="4"/>
  <c r="G497" i="4"/>
  <c r="G496" i="4"/>
  <c r="H497" i="4"/>
  <c r="H496" i="4"/>
  <c r="I497" i="4"/>
  <c r="S2123" i="4"/>
  <c r="S2139" i="4"/>
  <c r="I505" i="4"/>
  <c r="I506" i="4"/>
  <c r="I507" i="4"/>
  <c r="I508" i="4"/>
  <c r="L508" i="4"/>
  <c r="I509" i="4"/>
  <c r="I510" i="4"/>
  <c r="J510" i="4"/>
  <c r="B511" i="4"/>
  <c r="C511" i="4"/>
  <c r="D511" i="4"/>
  <c r="E511" i="4"/>
  <c r="F511" i="4"/>
  <c r="G511" i="4"/>
  <c r="H511" i="4"/>
  <c r="B525" i="4"/>
  <c r="B524" i="4"/>
  <c r="C525" i="4"/>
  <c r="C524" i="4"/>
  <c r="D525" i="4"/>
  <c r="D524" i="4"/>
  <c r="E525" i="4"/>
  <c r="E524" i="4"/>
  <c r="F525" i="4"/>
  <c r="F524" i="4"/>
  <c r="G525" i="4"/>
  <c r="G524" i="4"/>
  <c r="H525" i="4"/>
  <c r="H524" i="4"/>
  <c r="I533" i="4"/>
  <c r="I534" i="4"/>
  <c r="I535" i="4"/>
  <c r="I536" i="4"/>
  <c r="I537" i="4"/>
  <c r="J537" i="4"/>
  <c r="I538" i="4"/>
  <c r="B539" i="4"/>
  <c r="C539" i="4"/>
  <c r="D539" i="4"/>
  <c r="E539" i="4"/>
  <c r="F539" i="4"/>
  <c r="G539" i="4"/>
  <c r="H539" i="4"/>
  <c r="B553" i="4"/>
  <c r="B552" i="4"/>
  <c r="C553" i="4"/>
  <c r="C552" i="4"/>
  <c r="D553" i="4"/>
  <c r="D552" i="4"/>
  <c r="E553" i="4"/>
  <c r="E552" i="4"/>
  <c r="F553" i="4"/>
  <c r="F552" i="4"/>
  <c r="G553" i="4"/>
  <c r="G552" i="4"/>
  <c r="H553" i="4"/>
  <c r="H552" i="4"/>
  <c r="I561" i="4"/>
  <c r="J561" i="4"/>
  <c r="I562" i="4"/>
  <c r="I563" i="4"/>
  <c r="J563" i="4"/>
  <c r="I564" i="4"/>
  <c r="I565" i="4"/>
  <c r="I566" i="4"/>
  <c r="B567" i="4"/>
  <c r="C567" i="4"/>
  <c r="D567" i="4"/>
  <c r="E567" i="4"/>
  <c r="F567" i="4"/>
  <c r="G567" i="4"/>
  <c r="H567" i="4"/>
  <c r="B581" i="4"/>
  <c r="B580" i="4"/>
  <c r="C581" i="4"/>
  <c r="C580" i="4"/>
  <c r="D581" i="4"/>
  <c r="D580" i="4"/>
  <c r="E581" i="4"/>
  <c r="E580" i="4"/>
  <c r="F581" i="4"/>
  <c r="F580" i="4"/>
  <c r="G581" i="4"/>
  <c r="G580" i="4"/>
  <c r="H581" i="4"/>
  <c r="H580" i="4"/>
  <c r="I589" i="4"/>
  <c r="I590" i="4"/>
  <c r="I591" i="4"/>
  <c r="I592" i="4"/>
  <c r="I593" i="4"/>
  <c r="I594" i="4"/>
  <c r="B595" i="4"/>
  <c r="C595" i="4"/>
  <c r="D595" i="4"/>
  <c r="E595" i="4"/>
  <c r="F595" i="4"/>
  <c r="G595" i="4"/>
  <c r="H595" i="4"/>
  <c r="B609" i="4"/>
  <c r="B608" i="4"/>
  <c r="C609" i="4"/>
  <c r="C608" i="4"/>
  <c r="D609" i="4"/>
  <c r="D608" i="4"/>
  <c r="E609" i="4"/>
  <c r="E608" i="4"/>
  <c r="F609" i="4"/>
  <c r="F608" i="4"/>
  <c r="G609" i="4"/>
  <c r="G608" i="4"/>
  <c r="H609" i="4"/>
  <c r="H608" i="4"/>
  <c r="I617" i="4"/>
  <c r="I618" i="4"/>
  <c r="I619" i="4"/>
  <c r="I620" i="4"/>
  <c r="I621" i="4"/>
  <c r="I622" i="4"/>
  <c r="J622" i="4"/>
  <c r="B623" i="4"/>
  <c r="C623" i="4"/>
  <c r="D623" i="4"/>
  <c r="E623" i="4"/>
  <c r="F623" i="4"/>
  <c r="G623" i="4"/>
  <c r="H623" i="4"/>
  <c r="B637" i="4"/>
  <c r="B636" i="4"/>
  <c r="C637" i="4"/>
  <c r="C636" i="4"/>
  <c r="D637" i="4"/>
  <c r="D636" i="4"/>
  <c r="E637" i="4"/>
  <c r="E636" i="4"/>
  <c r="E633" i="4"/>
  <c r="F637" i="4"/>
  <c r="F636" i="4"/>
  <c r="F632" i="4"/>
  <c r="G637" i="4"/>
  <c r="G636" i="4"/>
  <c r="H637" i="4"/>
  <c r="H636" i="4"/>
  <c r="I645" i="4"/>
  <c r="I646" i="4"/>
  <c r="J646" i="4"/>
  <c r="J665" i="4"/>
  <c r="I647" i="4"/>
  <c r="I648" i="4"/>
  <c r="J648" i="4"/>
  <c r="I649" i="4"/>
  <c r="I650" i="4"/>
  <c r="B651" i="4"/>
  <c r="C651" i="4"/>
  <c r="D651" i="4"/>
  <c r="E651" i="4"/>
  <c r="F651" i="4"/>
  <c r="G651" i="4"/>
  <c r="H651" i="4"/>
  <c r="B665" i="4"/>
  <c r="B664" i="4"/>
  <c r="C665" i="4"/>
  <c r="C664" i="4"/>
  <c r="D665" i="4"/>
  <c r="D664" i="4"/>
  <c r="E665" i="4"/>
  <c r="E664" i="4"/>
  <c r="F665" i="4"/>
  <c r="F664" i="4"/>
  <c r="G665" i="4"/>
  <c r="G664" i="4"/>
  <c r="H665" i="4"/>
  <c r="H664" i="4"/>
  <c r="I672" i="4"/>
  <c r="I673" i="4"/>
  <c r="I674" i="4"/>
  <c r="I675" i="4"/>
  <c r="I676" i="4"/>
  <c r="J676" i="4"/>
  <c r="I677" i="4"/>
  <c r="J677" i="4"/>
  <c r="B678" i="4"/>
  <c r="C678" i="4"/>
  <c r="D678" i="4"/>
  <c r="E678" i="4"/>
  <c r="F678" i="4"/>
  <c r="G678" i="4"/>
  <c r="H678" i="4"/>
  <c r="B692" i="4"/>
  <c r="B691" i="4"/>
  <c r="C692" i="4"/>
  <c r="C691" i="4"/>
  <c r="D692" i="4"/>
  <c r="D691" i="4"/>
  <c r="D687" i="4"/>
  <c r="E692" i="4"/>
  <c r="E691" i="4"/>
  <c r="E688" i="4"/>
  <c r="F692" i="4"/>
  <c r="F691" i="4"/>
  <c r="G692" i="4"/>
  <c r="G691" i="4"/>
  <c r="H692" i="4"/>
  <c r="H691" i="4"/>
  <c r="I699" i="4"/>
  <c r="J699" i="4"/>
  <c r="I700" i="4"/>
  <c r="AA2104" i="4"/>
  <c r="I701" i="4"/>
  <c r="J701" i="4"/>
  <c r="I702" i="4"/>
  <c r="I703" i="4"/>
  <c r="I704" i="4"/>
  <c r="B705" i="4"/>
  <c r="C705" i="4"/>
  <c r="D705" i="4"/>
  <c r="E705" i="4"/>
  <c r="F705" i="4"/>
  <c r="G705" i="4"/>
  <c r="H705" i="4"/>
  <c r="B719" i="4"/>
  <c r="B718" i="4"/>
  <c r="C719" i="4"/>
  <c r="C718" i="4"/>
  <c r="D719" i="4"/>
  <c r="D718" i="4"/>
  <c r="E719" i="4"/>
  <c r="E718" i="4"/>
  <c r="F719" i="4"/>
  <c r="F718" i="4"/>
  <c r="G719" i="4"/>
  <c r="G718" i="4"/>
  <c r="H719" i="4"/>
  <c r="H718" i="4"/>
  <c r="I726" i="4"/>
  <c r="I727" i="4"/>
  <c r="J727" i="4"/>
  <c r="J746" i="4"/>
  <c r="I728" i="4"/>
  <c r="I729" i="4"/>
  <c r="J729" i="4"/>
  <c r="I730" i="4"/>
  <c r="I731" i="4"/>
  <c r="B732" i="4"/>
  <c r="C732" i="4"/>
  <c r="D732" i="4"/>
  <c r="E732" i="4"/>
  <c r="F732" i="4"/>
  <c r="G732" i="4"/>
  <c r="H732" i="4"/>
  <c r="B746" i="4"/>
  <c r="B745" i="4"/>
  <c r="C746" i="4"/>
  <c r="C745" i="4"/>
  <c r="D746" i="4"/>
  <c r="D745" i="4"/>
  <c r="E746" i="4"/>
  <c r="E745" i="4"/>
  <c r="E742" i="4"/>
  <c r="F746" i="4"/>
  <c r="F745" i="4"/>
  <c r="G746" i="4"/>
  <c r="G745" i="4"/>
  <c r="H746" i="4"/>
  <c r="H745" i="4"/>
  <c r="I753" i="4"/>
  <c r="I754" i="4"/>
  <c r="I755" i="4"/>
  <c r="I756" i="4"/>
  <c r="I757" i="4"/>
  <c r="I758" i="4"/>
  <c r="J758" i="4"/>
  <c r="B759" i="4"/>
  <c r="C759" i="4"/>
  <c r="D759" i="4"/>
  <c r="E759" i="4"/>
  <c r="F759" i="4"/>
  <c r="G759" i="4"/>
  <c r="H759" i="4"/>
  <c r="B773" i="4"/>
  <c r="B772" i="4"/>
  <c r="C773" i="4"/>
  <c r="C772" i="4"/>
  <c r="D773" i="4"/>
  <c r="D772" i="4"/>
  <c r="E773" i="4"/>
  <c r="E772" i="4"/>
  <c r="F773" i="4"/>
  <c r="F772" i="4"/>
  <c r="G773" i="4"/>
  <c r="G772" i="4"/>
  <c r="H773" i="4"/>
  <c r="H772" i="4"/>
  <c r="I780" i="4"/>
  <c r="I781" i="4"/>
  <c r="I782" i="4"/>
  <c r="I783" i="4"/>
  <c r="I784" i="4"/>
  <c r="I785" i="4"/>
  <c r="J785" i="4"/>
  <c r="B786" i="4"/>
  <c r="C786" i="4"/>
  <c r="D786" i="4"/>
  <c r="E786" i="4"/>
  <c r="F786" i="4"/>
  <c r="G786" i="4"/>
  <c r="H786" i="4"/>
  <c r="B800" i="4"/>
  <c r="B799" i="4"/>
  <c r="C800" i="4"/>
  <c r="C799" i="4"/>
  <c r="D800" i="4"/>
  <c r="D799" i="4"/>
  <c r="E800" i="4"/>
  <c r="E799" i="4"/>
  <c r="E796" i="4"/>
  <c r="F800" i="4"/>
  <c r="F799" i="4"/>
  <c r="G800" i="4"/>
  <c r="G799" i="4"/>
  <c r="H800" i="4"/>
  <c r="H799" i="4"/>
  <c r="H795" i="4"/>
  <c r="I807" i="4"/>
  <c r="I808" i="4"/>
  <c r="J808" i="4"/>
  <c r="J827" i="4"/>
  <c r="I809" i="4"/>
  <c r="I810" i="4"/>
  <c r="J810" i="4"/>
  <c r="I811" i="4"/>
  <c r="I812" i="4"/>
  <c r="B813" i="4"/>
  <c r="C813" i="4"/>
  <c r="D813" i="4"/>
  <c r="E813" i="4"/>
  <c r="F813" i="4"/>
  <c r="G813" i="4"/>
  <c r="H813" i="4"/>
  <c r="B827" i="4"/>
  <c r="B826" i="4"/>
  <c r="C827" i="4"/>
  <c r="C826" i="4"/>
  <c r="D827" i="4"/>
  <c r="D826" i="4"/>
  <c r="E827" i="4"/>
  <c r="E826" i="4"/>
  <c r="F827" i="4"/>
  <c r="F826" i="4"/>
  <c r="G827" i="4"/>
  <c r="G826" i="4"/>
  <c r="H827" i="4"/>
  <c r="H826" i="4"/>
  <c r="I834" i="4"/>
  <c r="I835" i="4"/>
  <c r="I836" i="4"/>
  <c r="I837" i="4"/>
  <c r="I838" i="4"/>
  <c r="J838" i="4"/>
  <c r="I839" i="4"/>
  <c r="J839" i="4"/>
  <c r="B840" i="4"/>
  <c r="C840" i="4"/>
  <c r="D840" i="4"/>
  <c r="E840" i="4"/>
  <c r="F840" i="4"/>
  <c r="G840" i="4"/>
  <c r="H840" i="4"/>
  <c r="B854" i="4"/>
  <c r="B853" i="4"/>
  <c r="C854" i="4"/>
  <c r="C853" i="4"/>
  <c r="D854" i="4"/>
  <c r="D853" i="4"/>
  <c r="D849" i="4"/>
  <c r="E854" i="4"/>
  <c r="E853" i="4"/>
  <c r="F854" i="4"/>
  <c r="F853" i="4"/>
  <c r="G854" i="4"/>
  <c r="G853" i="4"/>
  <c r="H854" i="4"/>
  <c r="H853" i="4"/>
  <c r="B861" i="4"/>
  <c r="C861" i="4"/>
  <c r="D861" i="4"/>
  <c r="E861" i="4"/>
  <c r="F861" i="4"/>
  <c r="G861" i="4"/>
  <c r="H861" i="4"/>
  <c r="I862" i="4"/>
  <c r="I863" i="4"/>
  <c r="I864" i="4"/>
  <c r="J864" i="4"/>
  <c r="I865" i="4"/>
  <c r="I866" i="4"/>
  <c r="B867" i="4"/>
  <c r="C867" i="4"/>
  <c r="D867" i="4"/>
  <c r="E867" i="4"/>
  <c r="F867" i="4"/>
  <c r="G867" i="4"/>
  <c r="H867" i="4"/>
  <c r="B881" i="4"/>
  <c r="B880" i="4"/>
  <c r="C881" i="4"/>
  <c r="C880" i="4"/>
  <c r="C879" i="4"/>
  <c r="D881" i="4"/>
  <c r="D880" i="4"/>
  <c r="E881" i="4"/>
  <c r="E880" i="4"/>
  <c r="F881" i="4"/>
  <c r="F880" i="4"/>
  <c r="G881" i="4"/>
  <c r="G880" i="4"/>
  <c r="H881" i="4"/>
  <c r="H880" i="4"/>
  <c r="B888" i="4"/>
  <c r="C888" i="4"/>
  <c r="D888" i="4"/>
  <c r="E888" i="4"/>
  <c r="F888" i="4"/>
  <c r="G888" i="4"/>
  <c r="H888" i="4"/>
  <c r="I889" i="4"/>
  <c r="I890" i="4"/>
  <c r="I891" i="4"/>
  <c r="I892" i="4"/>
  <c r="I893" i="4"/>
  <c r="J893" i="4"/>
  <c r="B894" i="4"/>
  <c r="C894" i="4"/>
  <c r="D894" i="4"/>
  <c r="E894" i="4"/>
  <c r="F894" i="4"/>
  <c r="G894" i="4"/>
  <c r="H894" i="4"/>
  <c r="B908" i="4"/>
  <c r="B907" i="4"/>
  <c r="C908" i="4"/>
  <c r="C907" i="4"/>
  <c r="D908" i="4"/>
  <c r="D907" i="4"/>
  <c r="E908" i="4"/>
  <c r="E907" i="4"/>
  <c r="F908" i="4"/>
  <c r="F907" i="4"/>
  <c r="G908" i="4"/>
  <c r="G907" i="4"/>
  <c r="G904" i="4"/>
  <c r="H908" i="4"/>
  <c r="H907" i="4"/>
  <c r="B915" i="4"/>
  <c r="C915" i="4"/>
  <c r="D915" i="4"/>
  <c r="E915" i="4"/>
  <c r="F915" i="4"/>
  <c r="G915" i="4"/>
  <c r="H915" i="4"/>
  <c r="I916" i="4"/>
  <c r="J916" i="4"/>
  <c r="J935" i="4"/>
  <c r="I917" i="4"/>
  <c r="I918" i="4"/>
  <c r="J918" i="4"/>
  <c r="I919" i="4"/>
  <c r="I920" i="4"/>
  <c r="J920" i="4"/>
  <c r="B921" i="4"/>
  <c r="C921" i="4"/>
  <c r="D921" i="4"/>
  <c r="E921" i="4"/>
  <c r="F921" i="4"/>
  <c r="G921" i="4"/>
  <c r="H921" i="4"/>
  <c r="B935" i="4"/>
  <c r="B934" i="4"/>
  <c r="C935" i="4"/>
  <c r="C934" i="4"/>
  <c r="D935" i="4"/>
  <c r="D934" i="4"/>
  <c r="E935" i="4"/>
  <c r="E934" i="4"/>
  <c r="F935" i="4"/>
  <c r="F934" i="4"/>
  <c r="G935" i="4"/>
  <c r="G934" i="4"/>
  <c r="G933" i="4"/>
  <c r="H935" i="4"/>
  <c r="H934" i="4"/>
  <c r="B942" i="4"/>
  <c r="C942" i="4"/>
  <c r="D942" i="4"/>
  <c r="E942" i="4"/>
  <c r="F942" i="4"/>
  <c r="G942" i="4"/>
  <c r="H942" i="4"/>
  <c r="I943" i="4"/>
  <c r="I944" i="4"/>
  <c r="J944" i="4"/>
  <c r="I945" i="4"/>
  <c r="I946" i="4"/>
  <c r="I947" i="4"/>
  <c r="B948" i="4"/>
  <c r="C948" i="4"/>
  <c r="D948" i="4"/>
  <c r="E948" i="4"/>
  <c r="F948" i="4"/>
  <c r="G948" i="4"/>
  <c r="H948" i="4"/>
  <c r="B962" i="4"/>
  <c r="B961" i="4"/>
  <c r="C962" i="4"/>
  <c r="C961" i="4"/>
  <c r="C959" i="4"/>
  <c r="D962" i="4"/>
  <c r="D961" i="4"/>
  <c r="E962" i="4"/>
  <c r="E961" i="4"/>
  <c r="E958" i="4"/>
  <c r="F962" i="4"/>
  <c r="F961" i="4"/>
  <c r="G962" i="4"/>
  <c r="G961" i="4"/>
  <c r="G958" i="4"/>
  <c r="H962" i="4"/>
  <c r="H961" i="4"/>
  <c r="B969" i="4"/>
  <c r="C969" i="4"/>
  <c r="D969" i="4"/>
  <c r="E969" i="4"/>
  <c r="F969" i="4"/>
  <c r="G969" i="4"/>
  <c r="H969" i="4"/>
  <c r="I970" i="4"/>
  <c r="I971" i="4"/>
  <c r="I972" i="4"/>
  <c r="I973" i="4"/>
  <c r="I974" i="4"/>
  <c r="B975" i="4"/>
  <c r="C975" i="4"/>
  <c r="D975" i="4"/>
  <c r="E975" i="4"/>
  <c r="F975" i="4"/>
  <c r="G975" i="4"/>
  <c r="H975" i="4"/>
  <c r="B989" i="4"/>
  <c r="B988" i="4"/>
  <c r="B984" i="4"/>
  <c r="C989" i="4"/>
  <c r="C988" i="4"/>
  <c r="C985" i="4"/>
  <c r="D989" i="4"/>
  <c r="D988" i="4"/>
  <c r="E989" i="4"/>
  <c r="E988" i="4"/>
  <c r="F989" i="4"/>
  <c r="F988" i="4"/>
  <c r="G989" i="4"/>
  <c r="G988" i="4"/>
  <c r="G986" i="4"/>
  <c r="H989" i="4"/>
  <c r="H988" i="4"/>
  <c r="B996" i="4"/>
  <c r="C996" i="4"/>
  <c r="D996" i="4"/>
  <c r="E996" i="4"/>
  <c r="F996" i="4"/>
  <c r="G996" i="4"/>
  <c r="H996" i="4"/>
  <c r="I997" i="4"/>
  <c r="I998" i="4"/>
  <c r="I999" i="4"/>
  <c r="I1000" i="4"/>
  <c r="J1000" i="4"/>
  <c r="I1001" i="4"/>
  <c r="J1001" i="4"/>
  <c r="B1002" i="4"/>
  <c r="C1002" i="4"/>
  <c r="D1002" i="4"/>
  <c r="E1002" i="4"/>
  <c r="F1002" i="4"/>
  <c r="G1002" i="4"/>
  <c r="H1002" i="4"/>
  <c r="B1016" i="4"/>
  <c r="B1015" i="4"/>
  <c r="C1016" i="4"/>
  <c r="C1015" i="4"/>
  <c r="D1016" i="4"/>
  <c r="D1015" i="4"/>
  <c r="E1016" i="4"/>
  <c r="E1015" i="4"/>
  <c r="F1016" i="4"/>
  <c r="F1015" i="4"/>
  <c r="G1016" i="4"/>
  <c r="G1015" i="4"/>
  <c r="H1016" i="4"/>
  <c r="H1015" i="4"/>
  <c r="B1023" i="4"/>
  <c r="C1023" i="4"/>
  <c r="D1023" i="4"/>
  <c r="E1023" i="4"/>
  <c r="F1023" i="4"/>
  <c r="G1023" i="4"/>
  <c r="H1023" i="4"/>
  <c r="I1024" i="4"/>
  <c r="AM2104" i="4"/>
  <c r="I1025" i="4"/>
  <c r="I1026" i="4"/>
  <c r="J1026" i="4"/>
  <c r="I1027" i="4"/>
  <c r="I1028" i="4"/>
  <c r="B1029" i="4"/>
  <c r="C1029" i="4"/>
  <c r="D1029" i="4"/>
  <c r="E1029" i="4"/>
  <c r="F1029" i="4"/>
  <c r="G1029" i="4"/>
  <c r="H1029" i="4"/>
  <c r="B1043" i="4"/>
  <c r="B1042" i="4"/>
  <c r="C1043" i="4"/>
  <c r="C1042" i="4"/>
  <c r="C1041" i="4"/>
  <c r="D1043" i="4"/>
  <c r="D1042" i="4"/>
  <c r="E1043" i="4"/>
  <c r="E1042" i="4"/>
  <c r="E1037" i="4"/>
  <c r="F1043" i="4"/>
  <c r="F1042" i="4"/>
  <c r="G1043" i="4"/>
  <c r="G1042" i="4"/>
  <c r="G1040" i="4"/>
  <c r="H1043" i="4"/>
  <c r="H1042" i="4"/>
  <c r="B1050" i="4"/>
  <c r="C1050" i="4"/>
  <c r="D1050" i="4"/>
  <c r="E1050" i="4"/>
  <c r="F1050" i="4"/>
  <c r="G1050" i="4"/>
  <c r="H1050" i="4"/>
  <c r="I1051" i="4"/>
  <c r="I1052" i="4"/>
  <c r="I1053" i="4"/>
  <c r="I1054" i="4"/>
  <c r="I1055" i="4"/>
  <c r="B1056" i="4"/>
  <c r="C1056" i="4"/>
  <c r="D1056" i="4"/>
  <c r="E1056" i="4"/>
  <c r="F1056" i="4"/>
  <c r="G1056" i="4"/>
  <c r="H1056" i="4"/>
  <c r="B1070" i="4"/>
  <c r="B1069" i="4"/>
  <c r="C1070" i="4"/>
  <c r="C1069" i="4"/>
  <c r="C1068" i="4"/>
  <c r="D1070" i="4"/>
  <c r="D1069" i="4"/>
  <c r="E1070" i="4"/>
  <c r="E1069" i="4"/>
  <c r="F1070" i="4"/>
  <c r="F1069" i="4"/>
  <c r="G1070" i="4"/>
  <c r="G1069" i="4"/>
  <c r="G1064" i="4"/>
  <c r="H1070" i="4"/>
  <c r="H1069" i="4"/>
  <c r="B1077" i="4"/>
  <c r="C1077" i="4"/>
  <c r="D1077" i="4"/>
  <c r="E1077" i="4"/>
  <c r="F1077" i="4"/>
  <c r="G1077" i="4"/>
  <c r="H1077" i="4"/>
  <c r="I1078" i="4"/>
  <c r="AO2104" i="4"/>
  <c r="I1079" i="4"/>
  <c r="J1079" i="4"/>
  <c r="I1080" i="4"/>
  <c r="I1081" i="4"/>
  <c r="I1082" i="4"/>
  <c r="B1083" i="4"/>
  <c r="C1083" i="4"/>
  <c r="D1083" i="4"/>
  <c r="E1083" i="4"/>
  <c r="F1083" i="4"/>
  <c r="G1083" i="4"/>
  <c r="H1083" i="4"/>
  <c r="B1097" i="4"/>
  <c r="B1096" i="4"/>
  <c r="C1097" i="4"/>
  <c r="C1096" i="4"/>
  <c r="D1097" i="4"/>
  <c r="D1096" i="4"/>
  <c r="E1097" i="4"/>
  <c r="E1096" i="4"/>
  <c r="F1097" i="4"/>
  <c r="F1096" i="4"/>
  <c r="G1097" i="4"/>
  <c r="G1096" i="4"/>
  <c r="H1097" i="4"/>
  <c r="H1096" i="4"/>
  <c r="B1104" i="4"/>
  <c r="C1104" i="4"/>
  <c r="D1104" i="4"/>
  <c r="E1104" i="4"/>
  <c r="F1104" i="4"/>
  <c r="G1104" i="4"/>
  <c r="H1104" i="4"/>
  <c r="I1105" i="4"/>
  <c r="J1105" i="4"/>
  <c r="J1124" i="4"/>
  <c r="I1106" i="4"/>
  <c r="I1107" i="4"/>
  <c r="J1107" i="4"/>
  <c r="I1108" i="4"/>
  <c r="J1108" i="4"/>
  <c r="I1109" i="4"/>
  <c r="J1109" i="4"/>
  <c r="B1110" i="4"/>
  <c r="C1110" i="4"/>
  <c r="D1110" i="4"/>
  <c r="E1110" i="4"/>
  <c r="F1110" i="4"/>
  <c r="G1110" i="4"/>
  <c r="H1110" i="4"/>
  <c r="B1124" i="4"/>
  <c r="B1123" i="4"/>
  <c r="C1124" i="4"/>
  <c r="C1123" i="4"/>
  <c r="C1118" i="4"/>
  <c r="D1124" i="4"/>
  <c r="D1123" i="4"/>
  <c r="E1124" i="4"/>
  <c r="E1123" i="4"/>
  <c r="F1124" i="4"/>
  <c r="F1123" i="4"/>
  <c r="G1124" i="4"/>
  <c r="G1123" i="4"/>
  <c r="G1118" i="4"/>
  <c r="H1124" i="4"/>
  <c r="H1123" i="4"/>
  <c r="B1131" i="4"/>
  <c r="C1131" i="4"/>
  <c r="D1131" i="4"/>
  <c r="E1131" i="4"/>
  <c r="F1131" i="4"/>
  <c r="G1131" i="4"/>
  <c r="H1131" i="4"/>
  <c r="I1132" i="4"/>
  <c r="AQ2104" i="4"/>
  <c r="I1133" i="4"/>
  <c r="I1134" i="4"/>
  <c r="I1135" i="4"/>
  <c r="I1136" i="4"/>
  <c r="B1137" i="4"/>
  <c r="C1137" i="4"/>
  <c r="D1137" i="4"/>
  <c r="E1137" i="4"/>
  <c r="F1137" i="4"/>
  <c r="G1137" i="4"/>
  <c r="H1137" i="4"/>
  <c r="B1151" i="4"/>
  <c r="B1150" i="4"/>
  <c r="C1151" i="4"/>
  <c r="C1150" i="4"/>
  <c r="C1145" i="4"/>
  <c r="D1151" i="4"/>
  <c r="D1150" i="4"/>
  <c r="E1151" i="4"/>
  <c r="E1150" i="4"/>
  <c r="F1151" i="4"/>
  <c r="F1150" i="4"/>
  <c r="G1151" i="4"/>
  <c r="G1150" i="4"/>
  <c r="H1151" i="4"/>
  <c r="H1150" i="4"/>
  <c r="B1158" i="4"/>
  <c r="C1158" i="4"/>
  <c r="D1158" i="4"/>
  <c r="E1158" i="4"/>
  <c r="F1158" i="4"/>
  <c r="G1158" i="4"/>
  <c r="H1158" i="4"/>
  <c r="I1159" i="4"/>
  <c r="J1159" i="4"/>
  <c r="J1178" i="4"/>
  <c r="I1160" i="4"/>
  <c r="I1161" i="4"/>
  <c r="I1162" i="4"/>
  <c r="I1163" i="4"/>
  <c r="B1164" i="4"/>
  <c r="C1164" i="4"/>
  <c r="D1164" i="4"/>
  <c r="E1164" i="4"/>
  <c r="F1164" i="4"/>
  <c r="G1164" i="4"/>
  <c r="H1164" i="4"/>
  <c r="B1178" i="4"/>
  <c r="B1177" i="4"/>
  <c r="C1178" i="4"/>
  <c r="C1177" i="4"/>
  <c r="C1179" i="4"/>
  <c r="D1178" i="4"/>
  <c r="D1177" i="4"/>
  <c r="E1178" i="4"/>
  <c r="E1177" i="4"/>
  <c r="F1178" i="4"/>
  <c r="F1177" i="4"/>
  <c r="G1178" i="4"/>
  <c r="G1177" i="4"/>
  <c r="H1178" i="4"/>
  <c r="H1177" i="4"/>
  <c r="B1185" i="4"/>
  <c r="C1185" i="4"/>
  <c r="D1185" i="4"/>
  <c r="E1185" i="4"/>
  <c r="F1185" i="4"/>
  <c r="G1185" i="4"/>
  <c r="H1185" i="4"/>
  <c r="I1186" i="4"/>
  <c r="AS2104" i="4"/>
  <c r="I1187" i="4"/>
  <c r="I1188" i="4"/>
  <c r="J1188" i="4"/>
  <c r="I1189" i="4"/>
  <c r="J1189" i="4"/>
  <c r="I1190" i="4"/>
  <c r="B1191" i="4"/>
  <c r="C1191" i="4"/>
  <c r="D1191" i="4"/>
  <c r="E1191" i="4"/>
  <c r="F1191" i="4"/>
  <c r="G1191" i="4"/>
  <c r="H1191" i="4"/>
  <c r="B1205" i="4"/>
  <c r="B1204" i="4"/>
  <c r="C1205" i="4"/>
  <c r="C1204" i="4"/>
  <c r="C1206" i="4"/>
  <c r="D1205" i="4"/>
  <c r="D1204" i="4"/>
  <c r="E1205" i="4"/>
  <c r="E1204" i="4"/>
  <c r="F1205" i="4"/>
  <c r="F1204" i="4"/>
  <c r="G1205" i="4"/>
  <c r="G1204" i="4"/>
  <c r="H1205" i="4"/>
  <c r="H1204" i="4"/>
  <c r="B1212" i="4"/>
  <c r="C1212" i="4"/>
  <c r="D1212" i="4"/>
  <c r="E1212" i="4"/>
  <c r="F1212" i="4"/>
  <c r="G1212" i="4"/>
  <c r="H1212" i="4"/>
  <c r="I1213" i="4"/>
  <c r="AT2104" i="4"/>
  <c r="I1214" i="4"/>
  <c r="I1215" i="4"/>
  <c r="I1216" i="4"/>
  <c r="I1217" i="4"/>
  <c r="J1217" i="4"/>
  <c r="B1218" i="4"/>
  <c r="C1218" i="4"/>
  <c r="D1218" i="4"/>
  <c r="E1218" i="4"/>
  <c r="F1218" i="4"/>
  <c r="G1218" i="4"/>
  <c r="H1218" i="4"/>
  <c r="B1232" i="4"/>
  <c r="B1231" i="4"/>
  <c r="C1232" i="4"/>
  <c r="C1231" i="4"/>
  <c r="D1232" i="4"/>
  <c r="D1231" i="4"/>
  <c r="E1232" i="4"/>
  <c r="E1231" i="4"/>
  <c r="F1232" i="4"/>
  <c r="F1231" i="4"/>
  <c r="G1232" i="4"/>
  <c r="G1231" i="4"/>
  <c r="G1228" i="4"/>
  <c r="H1232" i="4"/>
  <c r="H1231" i="4"/>
  <c r="B1239" i="4"/>
  <c r="C1239" i="4"/>
  <c r="D1239" i="4"/>
  <c r="E1239" i="4"/>
  <c r="F1239" i="4"/>
  <c r="G1239" i="4"/>
  <c r="H1239" i="4"/>
  <c r="I1240" i="4"/>
  <c r="J1240" i="4"/>
  <c r="J1259" i="4"/>
  <c r="I1241" i="4"/>
  <c r="I1242" i="4"/>
  <c r="J1242" i="4"/>
  <c r="I1243" i="4"/>
  <c r="I1244" i="4"/>
  <c r="J1244" i="4"/>
  <c r="B1245" i="4"/>
  <c r="C1245" i="4"/>
  <c r="D1245" i="4"/>
  <c r="E1245" i="4"/>
  <c r="F1245" i="4"/>
  <c r="G1245" i="4"/>
  <c r="H1245" i="4"/>
  <c r="B1259" i="4"/>
  <c r="B1258" i="4"/>
  <c r="B1257" i="4"/>
  <c r="C1259" i="4"/>
  <c r="C1258" i="4"/>
  <c r="D1259" i="4"/>
  <c r="D1258" i="4"/>
  <c r="D1256" i="4"/>
  <c r="E1259" i="4"/>
  <c r="E1258" i="4"/>
  <c r="F1259" i="4"/>
  <c r="F1258" i="4"/>
  <c r="F1257" i="4"/>
  <c r="G1259" i="4"/>
  <c r="G1258" i="4"/>
  <c r="G1260" i="4"/>
  <c r="H1259" i="4"/>
  <c r="H1258" i="4"/>
  <c r="H1256" i="4"/>
  <c r="E1266" i="4"/>
  <c r="F1266" i="4"/>
  <c r="G1266" i="4"/>
  <c r="H1266" i="4"/>
  <c r="I1267" i="4"/>
  <c r="J1267" i="4"/>
  <c r="J1286" i="4"/>
  <c r="I1268" i="4"/>
  <c r="J1268" i="4"/>
  <c r="I1269" i="4"/>
  <c r="I1270" i="4"/>
  <c r="J1270" i="4"/>
  <c r="I1271" i="4"/>
  <c r="B1272" i="4"/>
  <c r="C1272" i="4"/>
  <c r="D1272" i="4"/>
  <c r="E1272" i="4"/>
  <c r="F1272" i="4"/>
  <c r="G1272" i="4"/>
  <c r="H1272" i="4"/>
  <c r="B1286" i="4"/>
  <c r="B1285" i="4"/>
  <c r="C1286" i="4"/>
  <c r="C1285" i="4"/>
  <c r="C1284" i="4"/>
  <c r="D1286" i="4"/>
  <c r="D1285" i="4"/>
  <c r="E1286" i="4"/>
  <c r="E1285" i="4"/>
  <c r="F1286" i="4"/>
  <c r="F1285" i="4"/>
  <c r="F1287" i="4"/>
  <c r="G1286" i="4"/>
  <c r="G1285" i="4"/>
  <c r="G1283" i="4"/>
  <c r="H1286" i="4"/>
  <c r="H1285" i="4"/>
  <c r="B1293" i="4"/>
  <c r="C1293" i="4"/>
  <c r="D1293" i="4"/>
  <c r="E1293" i="4"/>
  <c r="F1293" i="4"/>
  <c r="G1293" i="4"/>
  <c r="H1293" i="4"/>
  <c r="I1294" i="4"/>
  <c r="J1294" i="4"/>
  <c r="J1313" i="4"/>
  <c r="I1295" i="4"/>
  <c r="I1296" i="4"/>
  <c r="J1296" i="4"/>
  <c r="I1297" i="4"/>
  <c r="J1297" i="4"/>
  <c r="I1298" i="4"/>
  <c r="B1299" i="4"/>
  <c r="C1299" i="4"/>
  <c r="D1299" i="4"/>
  <c r="E1299" i="4"/>
  <c r="F1299" i="4"/>
  <c r="G1299" i="4"/>
  <c r="H1299" i="4"/>
  <c r="B1313" i="4"/>
  <c r="B1312" i="4"/>
  <c r="C1313" i="4"/>
  <c r="C1312" i="4"/>
  <c r="D1313" i="4"/>
  <c r="D1312" i="4"/>
  <c r="D1309" i="4"/>
  <c r="E1313" i="4"/>
  <c r="E1312" i="4"/>
  <c r="F1313" i="4"/>
  <c r="F1312" i="4"/>
  <c r="G1313" i="4"/>
  <c r="G1312" i="4"/>
  <c r="G1310" i="4"/>
  <c r="H1313" i="4"/>
  <c r="H1312" i="4"/>
  <c r="H1314" i="4"/>
  <c r="B1320" i="4"/>
  <c r="D1320" i="4"/>
  <c r="E1320" i="4"/>
  <c r="F1320" i="4"/>
  <c r="G1320" i="4"/>
  <c r="H1320" i="4"/>
  <c r="I1321" i="4"/>
  <c r="I1322" i="4"/>
  <c r="I1323" i="4"/>
  <c r="I1324" i="4"/>
  <c r="I1325" i="4"/>
  <c r="B1326" i="4"/>
  <c r="D1326" i="4"/>
  <c r="F1326" i="4"/>
  <c r="G1326" i="4"/>
  <c r="H1326" i="4"/>
  <c r="B1340" i="4"/>
  <c r="B1339" i="4"/>
  <c r="C1340" i="4"/>
  <c r="C1339" i="4"/>
  <c r="D1340" i="4"/>
  <c r="D1339" i="4"/>
  <c r="D1337" i="4"/>
  <c r="E1340" i="4"/>
  <c r="E1339" i="4"/>
  <c r="F1340" i="4"/>
  <c r="F1339" i="4"/>
  <c r="G1340" i="4"/>
  <c r="G1339" i="4"/>
  <c r="G1341" i="4"/>
  <c r="H1340" i="4"/>
  <c r="H1339" i="4"/>
  <c r="H1337" i="4"/>
  <c r="B1347" i="4"/>
  <c r="C1347" i="4"/>
  <c r="D1347" i="4"/>
  <c r="E1347" i="4"/>
  <c r="F1347" i="4"/>
  <c r="G1347" i="4"/>
  <c r="H1347" i="4"/>
  <c r="I1348" i="4"/>
  <c r="AY2104" i="4"/>
  <c r="I1349" i="4"/>
  <c r="I1350" i="4"/>
  <c r="I1351" i="4"/>
  <c r="I1352" i="4"/>
  <c r="B1353" i="4"/>
  <c r="C1353" i="4"/>
  <c r="D1353" i="4"/>
  <c r="E1353" i="4"/>
  <c r="F1353" i="4"/>
  <c r="G1353" i="4"/>
  <c r="H1353" i="4"/>
  <c r="B1367" i="4"/>
  <c r="B1366" i="4"/>
  <c r="B1365" i="4"/>
  <c r="C1367" i="4"/>
  <c r="C1366" i="4"/>
  <c r="D1367" i="4"/>
  <c r="D1366" i="4"/>
  <c r="D1364" i="4"/>
  <c r="E1367" i="4"/>
  <c r="E1366" i="4"/>
  <c r="F1367" i="4"/>
  <c r="F1366" i="4"/>
  <c r="F1365" i="4"/>
  <c r="G1367" i="4"/>
  <c r="G1366" i="4"/>
  <c r="H1367" i="4"/>
  <c r="H1366" i="4"/>
  <c r="H1364" i="4"/>
  <c r="E2103" i="4"/>
  <c r="M2103" i="4"/>
  <c r="M2131" i="4"/>
  <c r="AA2103" i="4"/>
  <c r="AA2131" i="4"/>
  <c r="K2104" i="4"/>
  <c r="K2123" i="4"/>
  <c r="K2139" i="4"/>
  <c r="Q2104" i="4"/>
  <c r="AB2104" i="4"/>
  <c r="AG2104" i="4"/>
  <c r="D2105" i="4"/>
  <c r="H2105" i="4"/>
  <c r="O2105" i="4"/>
  <c r="V2105" i="4"/>
  <c r="AJ2105" i="4"/>
  <c r="E2106" i="4"/>
  <c r="N2106" i="4"/>
  <c r="Y2106" i="4"/>
  <c r="AE2106" i="4"/>
  <c r="AI2106" i="4"/>
  <c r="AS2106" i="4"/>
  <c r="D2107" i="4"/>
  <c r="J2107" i="4"/>
  <c r="L2107" i="4"/>
  <c r="M2107" i="4"/>
  <c r="N2107" i="4"/>
  <c r="P2107" i="4"/>
  <c r="R2107" i="4"/>
  <c r="Z2107" i="4"/>
  <c r="D2108" i="4"/>
  <c r="P2108" i="4"/>
  <c r="T2108" i="4"/>
  <c r="Z2108" i="4"/>
  <c r="AD2108" i="4"/>
  <c r="AH2108" i="4"/>
  <c r="AL2108" i="4"/>
  <c r="B2123" i="4"/>
  <c r="B2124" i="4"/>
  <c r="B2125" i="4"/>
  <c r="B2126" i="4"/>
  <c r="Q2123" i="4"/>
  <c r="V2130" i="4"/>
  <c r="V2133" i="4"/>
  <c r="W2130" i="4"/>
  <c r="W2133" i="4"/>
  <c r="X2130" i="4"/>
  <c r="X2133" i="4"/>
  <c r="Y2130" i="4"/>
  <c r="Y2133" i="4"/>
  <c r="Z2130" i="4"/>
  <c r="Z2133" i="4"/>
  <c r="AA2130" i="4"/>
  <c r="AA2133" i="4"/>
  <c r="AB2130" i="4"/>
  <c r="AB2133" i="4"/>
  <c r="AC2130" i="4"/>
  <c r="AC2133" i="4"/>
  <c r="AD2130" i="4"/>
  <c r="AD2133" i="4"/>
  <c r="AE2130" i="4"/>
  <c r="AE2133" i="4"/>
  <c r="AF2130" i="4"/>
  <c r="AF2133" i="4"/>
  <c r="AG2130" i="4"/>
  <c r="AG2133" i="4"/>
  <c r="AH2130" i="4"/>
  <c r="AH2133" i="4"/>
  <c r="AI2130" i="4"/>
  <c r="AI2133" i="4"/>
  <c r="AJ2130" i="4"/>
  <c r="AJ2133" i="4"/>
  <c r="AK2130" i="4"/>
  <c r="AK2133" i="4"/>
  <c r="AL2130" i="4"/>
  <c r="AL2133" i="4"/>
  <c r="AM2130" i="4"/>
  <c r="AM2133" i="4"/>
  <c r="AN2130" i="4"/>
  <c r="AN2133" i="4"/>
  <c r="AO2130" i="4"/>
  <c r="AO2133" i="4"/>
  <c r="AP2130" i="4"/>
  <c r="AP2133" i="4"/>
  <c r="AQ2130" i="4"/>
  <c r="AQ2133" i="4"/>
  <c r="AR2130" i="4"/>
  <c r="AR2133" i="4"/>
  <c r="AS2130" i="4"/>
  <c r="AS2133" i="4"/>
  <c r="AT2130" i="4"/>
  <c r="AT2133" i="4"/>
  <c r="AU2130" i="4"/>
  <c r="AU2133" i="4"/>
  <c r="AV2130" i="4"/>
  <c r="AV2133" i="4"/>
  <c r="AW2130" i="4"/>
  <c r="AW2133" i="4"/>
  <c r="BZ2130" i="4"/>
  <c r="BZ2133" i="4"/>
  <c r="Q2139" i="4"/>
  <c r="BZ2139" i="4"/>
  <c r="B2140" i="4"/>
  <c r="C2140" i="4"/>
  <c r="D2140" i="4"/>
  <c r="E2140" i="4"/>
  <c r="I5" i="1"/>
  <c r="B2366" i="1"/>
  <c r="H11" i="1"/>
  <c r="I11" i="1"/>
  <c r="B2372" i="1"/>
  <c r="H25" i="1"/>
  <c r="H24" i="1"/>
  <c r="I25" i="1"/>
  <c r="I24" i="1"/>
  <c r="B28" i="1"/>
  <c r="C28" i="1"/>
  <c r="D28" i="1"/>
  <c r="E28" i="1"/>
  <c r="F28" i="1"/>
  <c r="G28" i="1"/>
  <c r="I33" i="1"/>
  <c r="I34" i="1"/>
  <c r="C2367" i="1"/>
  <c r="C2391" i="1"/>
  <c r="I35" i="1"/>
  <c r="J35" i="1"/>
  <c r="I36" i="1"/>
  <c r="I37" i="1"/>
  <c r="J38" i="1"/>
  <c r="B39" i="1"/>
  <c r="C39" i="1"/>
  <c r="D39" i="1"/>
  <c r="E39" i="1"/>
  <c r="F39" i="1"/>
  <c r="G39" i="1"/>
  <c r="H39" i="1"/>
  <c r="B53" i="1"/>
  <c r="B52" i="1"/>
  <c r="C53" i="1"/>
  <c r="C52" i="1"/>
  <c r="D53" i="1"/>
  <c r="D52" i="1"/>
  <c r="E53" i="1"/>
  <c r="E52" i="1"/>
  <c r="F53" i="1"/>
  <c r="F52" i="1"/>
  <c r="G53" i="1"/>
  <c r="G52" i="1"/>
  <c r="H53" i="1"/>
  <c r="H52" i="1"/>
  <c r="I62" i="1"/>
  <c r="I63" i="1"/>
  <c r="I64" i="1"/>
  <c r="I65" i="1"/>
  <c r="J65" i="1"/>
  <c r="J66" i="1"/>
  <c r="J67" i="1"/>
  <c r="B68" i="1"/>
  <c r="C68" i="1"/>
  <c r="D68" i="1"/>
  <c r="E68" i="1"/>
  <c r="F68" i="1"/>
  <c r="G68" i="1"/>
  <c r="H68" i="1"/>
  <c r="B82" i="1"/>
  <c r="B81" i="1"/>
  <c r="C82" i="1"/>
  <c r="C81" i="1"/>
  <c r="D82" i="1"/>
  <c r="D81" i="1"/>
  <c r="E82" i="1"/>
  <c r="E81" i="1"/>
  <c r="F82" i="1"/>
  <c r="F81" i="1"/>
  <c r="G82" i="1"/>
  <c r="G81" i="1"/>
  <c r="H82" i="1"/>
  <c r="H81" i="1"/>
  <c r="I90" i="1"/>
  <c r="J90" i="1"/>
  <c r="I91" i="1"/>
  <c r="I92" i="1"/>
  <c r="I93" i="1"/>
  <c r="J93" i="1"/>
  <c r="J94" i="1"/>
  <c r="I95" i="1"/>
  <c r="B96" i="1"/>
  <c r="C96" i="1"/>
  <c r="D96" i="1"/>
  <c r="E96" i="1"/>
  <c r="F96" i="1"/>
  <c r="G96" i="1"/>
  <c r="H96" i="1"/>
  <c r="B110" i="1"/>
  <c r="B109" i="1"/>
  <c r="C110" i="1"/>
  <c r="C109" i="1"/>
  <c r="D110" i="1"/>
  <c r="D109" i="1"/>
  <c r="E110" i="1"/>
  <c r="E109" i="1"/>
  <c r="F110" i="1"/>
  <c r="F109" i="1"/>
  <c r="G110" i="1"/>
  <c r="G109" i="1"/>
  <c r="H110" i="1"/>
  <c r="H109" i="1"/>
  <c r="I118" i="1"/>
  <c r="I119" i="1"/>
  <c r="I120" i="1"/>
  <c r="I121" i="1"/>
  <c r="I122" i="1"/>
  <c r="F2370" i="1"/>
  <c r="I123" i="1"/>
  <c r="F2371" i="1"/>
  <c r="B124" i="1"/>
  <c r="C124" i="1"/>
  <c r="D124" i="1"/>
  <c r="E124" i="1"/>
  <c r="F124" i="1"/>
  <c r="G124" i="1"/>
  <c r="H124" i="1"/>
  <c r="B138" i="1"/>
  <c r="B137" i="1"/>
  <c r="C138" i="1"/>
  <c r="C137" i="1"/>
  <c r="D138" i="1"/>
  <c r="D137" i="1"/>
  <c r="E138" i="1"/>
  <c r="E137" i="1"/>
  <c r="F138" i="1"/>
  <c r="F137" i="1"/>
  <c r="G138" i="1"/>
  <c r="G137" i="1"/>
  <c r="H138" i="1"/>
  <c r="H137" i="1"/>
  <c r="I145" i="1"/>
  <c r="I146" i="1"/>
  <c r="I147" i="1"/>
  <c r="I148" i="1"/>
  <c r="J148" i="1"/>
  <c r="I149" i="1"/>
  <c r="J149" i="1"/>
  <c r="I150" i="1"/>
  <c r="J150" i="1"/>
  <c r="B151" i="1"/>
  <c r="C151" i="1"/>
  <c r="B165" i="1"/>
  <c r="B164" i="1"/>
  <c r="C165" i="1"/>
  <c r="C164" i="1"/>
  <c r="D165" i="1"/>
  <c r="D164" i="1"/>
  <c r="E165" i="1"/>
  <c r="E164" i="1"/>
  <c r="F165" i="1"/>
  <c r="F164" i="1"/>
  <c r="G165" i="1"/>
  <c r="G164" i="1"/>
  <c r="H165" i="1"/>
  <c r="H164" i="1"/>
  <c r="I165" i="1"/>
  <c r="J165" i="1"/>
  <c r="C175" i="1"/>
  <c r="I175" i="1"/>
  <c r="I176" i="1"/>
  <c r="I177" i="1"/>
  <c r="J177" i="1"/>
  <c r="I178" i="1"/>
  <c r="I179" i="1"/>
  <c r="J179" i="1"/>
  <c r="I180" i="1"/>
  <c r="B181" i="1"/>
  <c r="C181" i="1"/>
  <c r="D181" i="1"/>
  <c r="E181" i="1"/>
  <c r="F181" i="1"/>
  <c r="G181" i="1"/>
  <c r="H181" i="1"/>
  <c r="B195" i="1"/>
  <c r="B194" i="1"/>
  <c r="C195" i="1"/>
  <c r="C194" i="1"/>
  <c r="D195" i="1"/>
  <c r="D194" i="1"/>
  <c r="E195" i="1"/>
  <c r="E194" i="1"/>
  <c r="F195" i="1"/>
  <c r="F194" i="1"/>
  <c r="G195" i="1"/>
  <c r="G194" i="1"/>
  <c r="H195" i="1"/>
  <c r="H194" i="1"/>
  <c r="D203" i="1"/>
  <c r="I203" i="1"/>
  <c r="I204" i="1"/>
  <c r="J204" i="1"/>
  <c r="I205" i="1"/>
  <c r="J205" i="1"/>
  <c r="I206" i="1"/>
  <c r="J206" i="1"/>
  <c r="I207" i="1"/>
  <c r="I208" i="1"/>
  <c r="J208" i="1"/>
  <c r="B209" i="1"/>
  <c r="C209" i="1"/>
  <c r="D209" i="1"/>
  <c r="E209" i="1"/>
  <c r="F209" i="1"/>
  <c r="G209" i="1"/>
  <c r="H209" i="1"/>
  <c r="B223" i="1"/>
  <c r="B222" i="1"/>
  <c r="C223" i="1"/>
  <c r="C222" i="1"/>
  <c r="C220" i="1"/>
  <c r="D223" i="1"/>
  <c r="D222" i="1"/>
  <c r="E223" i="1"/>
  <c r="E222" i="1"/>
  <c r="F223" i="1"/>
  <c r="F222" i="1"/>
  <c r="G223" i="1"/>
  <c r="G222" i="1"/>
  <c r="H223" i="1"/>
  <c r="H222" i="1"/>
  <c r="I234" i="1"/>
  <c r="I235" i="1"/>
  <c r="J235" i="1"/>
  <c r="I236" i="1"/>
  <c r="I237" i="1"/>
  <c r="J237" i="1"/>
  <c r="I238" i="1"/>
  <c r="J238" i="1"/>
  <c r="I239" i="1"/>
  <c r="J239" i="1"/>
  <c r="B240" i="1"/>
  <c r="C240" i="1"/>
  <c r="D240" i="1"/>
  <c r="E240" i="1"/>
  <c r="F240" i="1"/>
  <c r="G240" i="1"/>
  <c r="H240" i="1"/>
  <c r="B254" i="1"/>
  <c r="B253" i="1"/>
  <c r="C254" i="1"/>
  <c r="C253" i="1"/>
  <c r="D254" i="1"/>
  <c r="D253" i="1"/>
  <c r="E254" i="1"/>
  <c r="E253" i="1"/>
  <c r="F254" i="1"/>
  <c r="F253" i="1"/>
  <c r="G254" i="1"/>
  <c r="G253" i="1"/>
  <c r="G251" i="1"/>
  <c r="H254" i="1"/>
  <c r="H253" i="1"/>
  <c r="I262" i="1"/>
  <c r="J262" i="1"/>
  <c r="I263" i="1"/>
  <c r="I264" i="1"/>
  <c r="J264" i="1"/>
  <c r="I265" i="1"/>
  <c r="J265" i="1"/>
  <c r="I266" i="1"/>
  <c r="J266" i="1"/>
  <c r="I267" i="1"/>
  <c r="J267" i="1"/>
  <c r="B268" i="1"/>
  <c r="C268" i="1"/>
  <c r="D268" i="1"/>
  <c r="E268" i="1"/>
  <c r="F268" i="1"/>
  <c r="G268" i="1"/>
  <c r="H268" i="1"/>
  <c r="B282" i="1"/>
  <c r="B281" i="1"/>
  <c r="C282" i="1"/>
  <c r="C281" i="1"/>
  <c r="D282" i="1"/>
  <c r="D281" i="1"/>
  <c r="E282" i="1"/>
  <c r="E281" i="1"/>
  <c r="F282" i="1"/>
  <c r="F281" i="1"/>
  <c r="G282" i="1"/>
  <c r="G281" i="1"/>
  <c r="H282" i="1"/>
  <c r="H281" i="1"/>
  <c r="I290" i="1"/>
  <c r="I291" i="1"/>
  <c r="J291" i="1"/>
  <c r="I292" i="1"/>
  <c r="J292" i="1"/>
  <c r="I293" i="1"/>
  <c r="J293" i="1"/>
  <c r="I294" i="1"/>
  <c r="J294" i="1"/>
  <c r="I295" i="1"/>
  <c r="J295" i="1"/>
  <c r="B296" i="1"/>
  <c r="C296" i="1"/>
  <c r="D296" i="1"/>
  <c r="E296" i="1"/>
  <c r="F296" i="1"/>
  <c r="G296" i="1"/>
  <c r="H296" i="1"/>
  <c r="B310" i="1"/>
  <c r="B309" i="1"/>
  <c r="C310" i="1"/>
  <c r="C309" i="1"/>
  <c r="D310" i="1"/>
  <c r="D309" i="1"/>
  <c r="E310" i="1"/>
  <c r="E309" i="1"/>
  <c r="F310" i="1"/>
  <c r="F309" i="1"/>
  <c r="G310" i="1"/>
  <c r="G309" i="1"/>
  <c r="G307" i="1"/>
  <c r="H310" i="1"/>
  <c r="H309" i="1"/>
  <c r="I318" i="1"/>
  <c r="J318" i="1"/>
  <c r="I319" i="1"/>
  <c r="I338" i="1"/>
  <c r="J338" i="1"/>
  <c r="I320" i="1"/>
  <c r="J320" i="1"/>
  <c r="I321" i="1"/>
  <c r="I322" i="1"/>
  <c r="J322" i="1"/>
  <c r="I323" i="1"/>
  <c r="B324" i="1"/>
  <c r="C324" i="1"/>
  <c r="D324" i="1"/>
  <c r="E324" i="1"/>
  <c r="F324" i="1"/>
  <c r="G324" i="1"/>
  <c r="H324" i="1"/>
  <c r="B338" i="1"/>
  <c r="B337" i="1"/>
  <c r="C338" i="1"/>
  <c r="C337" i="1"/>
  <c r="D338" i="1"/>
  <c r="D337" i="1"/>
  <c r="E338" i="1"/>
  <c r="E337" i="1"/>
  <c r="F338" i="1"/>
  <c r="F337" i="1"/>
  <c r="G338" i="1"/>
  <c r="G337" i="1"/>
  <c r="H338" i="1"/>
  <c r="H337" i="1"/>
  <c r="I346" i="1"/>
  <c r="J346" i="1"/>
  <c r="I347" i="1"/>
  <c r="I348" i="1"/>
  <c r="J348" i="1"/>
  <c r="I349" i="1"/>
  <c r="J349" i="1"/>
  <c r="I350" i="1"/>
  <c r="J350" i="1"/>
  <c r="I351" i="1"/>
  <c r="J351" i="1"/>
  <c r="B352" i="1"/>
  <c r="C352" i="1"/>
  <c r="D352" i="1"/>
  <c r="E352" i="1"/>
  <c r="F352" i="1"/>
  <c r="G352" i="1"/>
  <c r="H352" i="1"/>
  <c r="B366" i="1"/>
  <c r="B365" i="1"/>
  <c r="C366" i="1"/>
  <c r="C365" i="1"/>
  <c r="D366" i="1"/>
  <c r="D365" i="1"/>
  <c r="E366" i="1"/>
  <c r="E365" i="1"/>
  <c r="E361" i="1"/>
  <c r="F366" i="1"/>
  <c r="F365" i="1"/>
  <c r="G366" i="1"/>
  <c r="G365" i="1"/>
  <c r="H366" i="1"/>
  <c r="H365" i="1"/>
  <c r="I374" i="1"/>
  <c r="I375" i="1"/>
  <c r="I376" i="1"/>
  <c r="J376" i="1"/>
  <c r="I377" i="1"/>
  <c r="I378" i="1"/>
  <c r="J378" i="1"/>
  <c r="I379" i="1"/>
  <c r="B380" i="1"/>
  <c r="C380" i="1"/>
  <c r="D380" i="1"/>
  <c r="E380" i="1"/>
  <c r="F380" i="1"/>
  <c r="G380" i="1"/>
  <c r="H380" i="1"/>
  <c r="B394" i="1"/>
  <c r="B393" i="1"/>
  <c r="C394" i="1"/>
  <c r="C393" i="1"/>
  <c r="D394" i="1"/>
  <c r="D393" i="1"/>
  <c r="E394" i="1"/>
  <c r="E393" i="1"/>
  <c r="F394" i="1"/>
  <c r="F393" i="1"/>
  <c r="G394" i="1"/>
  <c r="G393" i="1"/>
  <c r="H394" i="1"/>
  <c r="H393" i="1"/>
  <c r="I402" i="1"/>
  <c r="L402" i="1"/>
  <c r="L405" i="1"/>
  <c r="I403" i="1"/>
  <c r="J403" i="1"/>
  <c r="I404" i="1"/>
  <c r="J404" i="1"/>
  <c r="I405" i="1"/>
  <c r="J405" i="1"/>
  <c r="I406" i="1"/>
  <c r="I407" i="1"/>
  <c r="J407" i="1"/>
  <c r="B408" i="1"/>
  <c r="C408" i="1"/>
  <c r="D408" i="1"/>
  <c r="E408" i="1"/>
  <c r="F408" i="1"/>
  <c r="G408" i="1"/>
  <c r="H408" i="1"/>
  <c r="B422" i="1"/>
  <c r="B421" i="1"/>
  <c r="C422" i="1"/>
  <c r="C421" i="1"/>
  <c r="D422" i="1"/>
  <c r="D421" i="1"/>
  <c r="E422" i="1"/>
  <c r="E421" i="1"/>
  <c r="F422" i="1"/>
  <c r="F421" i="1"/>
  <c r="G422" i="1"/>
  <c r="G421" i="1"/>
  <c r="H422" i="1"/>
  <c r="H421" i="1"/>
  <c r="I430" i="1"/>
  <c r="L430" i="1"/>
  <c r="I431" i="1"/>
  <c r="J431" i="1"/>
  <c r="I432" i="1"/>
  <c r="J432" i="1"/>
  <c r="I433" i="1"/>
  <c r="L433" i="1"/>
  <c r="I434" i="1"/>
  <c r="J434" i="1"/>
  <c r="I435" i="1"/>
  <c r="J435" i="1"/>
  <c r="B436" i="1"/>
  <c r="C436" i="1"/>
  <c r="D436" i="1"/>
  <c r="E436" i="1"/>
  <c r="F436" i="1"/>
  <c r="G436" i="1"/>
  <c r="H436" i="1"/>
  <c r="B450" i="1"/>
  <c r="C450" i="1"/>
  <c r="C449" i="1"/>
  <c r="D450" i="1"/>
  <c r="D449" i="1"/>
  <c r="D447" i="1"/>
  <c r="E450" i="1"/>
  <c r="E449" i="1"/>
  <c r="F450" i="1"/>
  <c r="F449" i="1"/>
  <c r="G450" i="1"/>
  <c r="G449" i="1"/>
  <c r="H450" i="1"/>
  <c r="I458" i="1"/>
  <c r="I459" i="1"/>
  <c r="J459" i="1"/>
  <c r="I460" i="1"/>
  <c r="J460" i="1"/>
  <c r="I461" i="1"/>
  <c r="I462" i="1"/>
  <c r="J462" i="1"/>
  <c r="I463" i="1"/>
  <c r="J463" i="1"/>
  <c r="B464" i="1"/>
  <c r="C464" i="1"/>
  <c r="D464" i="1"/>
  <c r="E464" i="1"/>
  <c r="F464" i="1"/>
  <c r="G464" i="1"/>
  <c r="H464" i="1"/>
  <c r="B478" i="1"/>
  <c r="C478" i="1"/>
  <c r="C477" i="1"/>
  <c r="D478" i="1"/>
  <c r="E478" i="1"/>
  <c r="E477" i="1"/>
  <c r="F478" i="1"/>
  <c r="F477" i="1"/>
  <c r="G478" i="1"/>
  <c r="G477" i="1"/>
  <c r="H478" i="1"/>
  <c r="I486" i="1"/>
  <c r="I487" i="1"/>
  <c r="J487" i="1"/>
  <c r="I488" i="1"/>
  <c r="I489" i="1"/>
  <c r="J489" i="1"/>
  <c r="L489" i="1"/>
  <c r="I490" i="1"/>
  <c r="J490" i="1"/>
  <c r="I491" i="1"/>
  <c r="J491" i="1"/>
  <c r="B492" i="1"/>
  <c r="C492" i="1"/>
  <c r="D492" i="1"/>
  <c r="E492" i="1"/>
  <c r="F492" i="1"/>
  <c r="G492" i="1"/>
  <c r="H492" i="1"/>
  <c r="B506" i="1"/>
  <c r="B505" i="1"/>
  <c r="C506" i="1"/>
  <c r="C505" i="1"/>
  <c r="D506" i="1"/>
  <c r="D505" i="1"/>
  <c r="E506" i="1"/>
  <c r="E505" i="1"/>
  <c r="F506" i="1"/>
  <c r="F505" i="1"/>
  <c r="G506" i="1"/>
  <c r="G505" i="1"/>
  <c r="H506" i="1"/>
  <c r="H505" i="1"/>
  <c r="I514" i="1"/>
  <c r="J514" i="1"/>
  <c r="I515" i="1"/>
  <c r="I516" i="1"/>
  <c r="J516" i="1"/>
  <c r="I517" i="1"/>
  <c r="J517" i="1"/>
  <c r="I518" i="1"/>
  <c r="I519" i="1"/>
  <c r="J519" i="1"/>
  <c r="B520" i="1"/>
  <c r="C520" i="1"/>
  <c r="D520" i="1"/>
  <c r="E520" i="1"/>
  <c r="F520" i="1"/>
  <c r="G520" i="1"/>
  <c r="H520" i="1"/>
  <c r="B534" i="1"/>
  <c r="B533" i="1"/>
  <c r="C534" i="1"/>
  <c r="C533" i="1"/>
  <c r="D534" i="1"/>
  <c r="E534" i="1"/>
  <c r="E533" i="1"/>
  <c r="F534" i="1"/>
  <c r="F533" i="1"/>
  <c r="G534" i="1"/>
  <c r="G533" i="1"/>
  <c r="H534" i="1"/>
  <c r="I542" i="1"/>
  <c r="I543" i="1"/>
  <c r="J543" i="1"/>
  <c r="I544" i="1"/>
  <c r="I545" i="1"/>
  <c r="J545" i="1"/>
  <c r="L545" i="1"/>
  <c r="I546" i="1"/>
  <c r="J546" i="1"/>
  <c r="I547" i="1"/>
  <c r="B548" i="1"/>
  <c r="C548" i="1"/>
  <c r="D548" i="1"/>
  <c r="E548" i="1"/>
  <c r="F548" i="1"/>
  <c r="G548" i="1"/>
  <c r="H548" i="1"/>
  <c r="B562" i="1"/>
  <c r="B561" i="1"/>
  <c r="C562" i="1"/>
  <c r="C561" i="1"/>
  <c r="D562" i="1"/>
  <c r="D561" i="1"/>
  <c r="E562" i="1"/>
  <c r="E561" i="1"/>
  <c r="F562" i="1"/>
  <c r="F561" i="1"/>
  <c r="G562" i="1"/>
  <c r="G561" i="1"/>
  <c r="H562" i="1"/>
  <c r="H561" i="1"/>
  <c r="I570" i="1"/>
  <c r="I571" i="1"/>
  <c r="J571" i="1"/>
  <c r="I572" i="1"/>
  <c r="J572" i="1"/>
  <c r="I573" i="1"/>
  <c r="L573" i="1"/>
  <c r="I574" i="1"/>
  <c r="I575" i="1"/>
  <c r="J575" i="1"/>
  <c r="B576" i="1"/>
  <c r="C576" i="1"/>
  <c r="D576" i="1"/>
  <c r="E576" i="1"/>
  <c r="F576" i="1"/>
  <c r="G576" i="1"/>
  <c r="H576" i="1"/>
  <c r="B590" i="1"/>
  <c r="B589" i="1"/>
  <c r="C590" i="1"/>
  <c r="C589" i="1"/>
  <c r="D590" i="1"/>
  <c r="D589" i="1"/>
  <c r="E590" i="1"/>
  <c r="E589" i="1"/>
  <c r="F590" i="1"/>
  <c r="F589" i="1"/>
  <c r="G590" i="1"/>
  <c r="G589" i="1"/>
  <c r="H590" i="1"/>
  <c r="H589" i="1"/>
  <c r="I598" i="1"/>
  <c r="I599" i="1"/>
  <c r="J599" i="1"/>
  <c r="I600" i="1"/>
  <c r="I601" i="1"/>
  <c r="J601" i="1"/>
  <c r="L601" i="1"/>
  <c r="I602" i="1"/>
  <c r="J602" i="1"/>
  <c r="I603" i="1"/>
  <c r="B604" i="1"/>
  <c r="C604" i="1"/>
  <c r="D604" i="1"/>
  <c r="E604" i="1"/>
  <c r="F604" i="1"/>
  <c r="G604" i="1"/>
  <c r="H604" i="1"/>
  <c r="B618" i="1"/>
  <c r="B617" i="1"/>
  <c r="C618" i="1"/>
  <c r="C617" i="1"/>
  <c r="D618" i="1"/>
  <c r="D617" i="1"/>
  <c r="E618" i="1"/>
  <c r="E617" i="1"/>
  <c r="F618" i="1"/>
  <c r="F617" i="1"/>
  <c r="G618" i="1"/>
  <c r="G617" i="1"/>
  <c r="H618" i="1"/>
  <c r="H617" i="1"/>
  <c r="I625" i="1"/>
  <c r="J625" i="1"/>
  <c r="I626" i="1"/>
  <c r="J626" i="1"/>
  <c r="I627" i="1"/>
  <c r="J627" i="1"/>
  <c r="I628" i="1"/>
  <c r="J628" i="1"/>
  <c r="L628" i="1"/>
  <c r="I629" i="1"/>
  <c r="J629" i="1"/>
  <c r="I630" i="1"/>
  <c r="B631" i="1"/>
  <c r="C631" i="1"/>
  <c r="D631" i="1"/>
  <c r="E631" i="1"/>
  <c r="F631" i="1"/>
  <c r="G631" i="1"/>
  <c r="H631" i="1"/>
  <c r="B645" i="1"/>
  <c r="B644" i="1"/>
  <c r="C645" i="1"/>
  <c r="C644" i="1"/>
  <c r="D645" i="1"/>
  <c r="E645" i="1"/>
  <c r="E644" i="1"/>
  <c r="F645" i="1"/>
  <c r="F644" i="1"/>
  <c r="G645" i="1"/>
  <c r="G644" i="1"/>
  <c r="H645" i="1"/>
  <c r="I653" i="1"/>
  <c r="I654" i="1"/>
  <c r="J654" i="1"/>
  <c r="I655" i="1"/>
  <c r="J655" i="1"/>
  <c r="I656" i="1"/>
  <c r="J656" i="1"/>
  <c r="L656" i="1"/>
  <c r="I657" i="1"/>
  <c r="J657" i="1"/>
  <c r="I658" i="1"/>
  <c r="B659" i="1"/>
  <c r="C659" i="1"/>
  <c r="D659" i="1"/>
  <c r="E659" i="1"/>
  <c r="F659" i="1"/>
  <c r="G659" i="1"/>
  <c r="H659" i="1"/>
  <c r="B673" i="1"/>
  <c r="B672" i="1"/>
  <c r="C673" i="1"/>
  <c r="C672" i="1"/>
  <c r="D673" i="1"/>
  <c r="D672" i="1"/>
  <c r="E673" i="1"/>
  <c r="E672" i="1"/>
  <c r="F673" i="1"/>
  <c r="F672" i="1"/>
  <c r="G673" i="1"/>
  <c r="G672" i="1"/>
  <c r="H673" i="1"/>
  <c r="H672" i="1"/>
  <c r="I681" i="1"/>
  <c r="I682" i="1"/>
  <c r="J682" i="1"/>
  <c r="I683" i="1"/>
  <c r="J683" i="1"/>
  <c r="I684" i="1"/>
  <c r="L684" i="1"/>
  <c r="I685" i="1"/>
  <c r="J685" i="1"/>
  <c r="I686" i="1"/>
  <c r="J686" i="1"/>
  <c r="B687" i="1"/>
  <c r="C687" i="1"/>
  <c r="D687" i="1"/>
  <c r="E687" i="1"/>
  <c r="F687" i="1"/>
  <c r="G687" i="1"/>
  <c r="H687" i="1"/>
  <c r="B701" i="1"/>
  <c r="B700" i="1"/>
  <c r="C701" i="1"/>
  <c r="C700" i="1"/>
  <c r="D701" i="1"/>
  <c r="E701" i="1"/>
  <c r="E700" i="1"/>
  <c r="F701" i="1"/>
  <c r="F700" i="1"/>
  <c r="G701" i="1"/>
  <c r="G700" i="1"/>
  <c r="H701" i="1"/>
  <c r="I709" i="1"/>
  <c r="I710" i="1"/>
  <c r="J710" i="1"/>
  <c r="I711" i="1"/>
  <c r="I712" i="1"/>
  <c r="J712" i="1"/>
  <c r="I713" i="1"/>
  <c r="J713" i="1"/>
  <c r="I714" i="1"/>
  <c r="J714" i="1"/>
  <c r="B715" i="1"/>
  <c r="C715" i="1"/>
  <c r="D715" i="1"/>
  <c r="E715" i="1"/>
  <c r="F715" i="1"/>
  <c r="G715" i="1"/>
  <c r="H715" i="1"/>
  <c r="B729" i="1"/>
  <c r="C729" i="1"/>
  <c r="C728" i="1"/>
  <c r="D729" i="1"/>
  <c r="E729" i="1"/>
  <c r="E728" i="1"/>
  <c r="F729" i="1"/>
  <c r="F728" i="1"/>
  <c r="G729" i="1"/>
  <c r="G728" i="1"/>
  <c r="H729" i="1"/>
  <c r="I737" i="1"/>
  <c r="J737" i="1"/>
  <c r="I738" i="1"/>
  <c r="I757" i="1"/>
  <c r="I739" i="1"/>
  <c r="J739" i="1"/>
  <c r="I740" i="1"/>
  <c r="J740" i="1"/>
  <c r="L740" i="1"/>
  <c r="I741" i="1"/>
  <c r="J741" i="1"/>
  <c r="I742" i="1"/>
  <c r="B743" i="1"/>
  <c r="C743" i="1"/>
  <c r="D743" i="1"/>
  <c r="E743" i="1"/>
  <c r="F743" i="1"/>
  <c r="G743" i="1"/>
  <c r="H743" i="1"/>
  <c r="B757" i="1"/>
  <c r="B756" i="1"/>
  <c r="C757" i="1"/>
  <c r="C756" i="1"/>
  <c r="D757" i="1"/>
  <c r="D756" i="1"/>
  <c r="E757" i="1"/>
  <c r="E756" i="1"/>
  <c r="F757" i="1"/>
  <c r="F756" i="1"/>
  <c r="G757" i="1"/>
  <c r="G756" i="1"/>
  <c r="H757" i="1"/>
  <c r="H756" i="1"/>
  <c r="I765" i="1"/>
  <c r="I766" i="1"/>
  <c r="J766" i="1"/>
  <c r="I767" i="1"/>
  <c r="I768" i="1"/>
  <c r="J768" i="1"/>
  <c r="L768" i="1"/>
  <c r="I769" i="1"/>
  <c r="J769" i="1"/>
  <c r="I770" i="1"/>
  <c r="B771" i="1"/>
  <c r="C771" i="1"/>
  <c r="D771" i="1"/>
  <c r="E771" i="1"/>
  <c r="F771" i="1"/>
  <c r="G771" i="1"/>
  <c r="H771" i="1"/>
  <c r="B785" i="1"/>
  <c r="B784" i="1"/>
  <c r="C785" i="1"/>
  <c r="C784" i="1"/>
  <c r="D785" i="1"/>
  <c r="D784" i="1"/>
  <c r="E785" i="1"/>
  <c r="E784" i="1"/>
  <c r="F785" i="1"/>
  <c r="F784" i="1"/>
  <c r="G785" i="1"/>
  <c r="G784" i="1"/>
  <c r="H785" i="1"/>
  <c r="H784" i="1"/>
  <c r="I785" i="1"/>
  <c r="J785" i="1"/>
  <c r="I793" i="1"/>
  <c r="I794" i="1"/>
  <c r="J794" i="1"/>
  <c r="I795" i="1"/>
  <c r="J795" i="1"/>
  <c r="I796" i="1"/>
  <c r="J796" i="1"/>
  <c r="I797" i="1"/>
  <c r="J797" i="1"/>
  <c r="I798" i="1"/>
  <c r="J798" i="1"/>
  <c r="B799" i="1"/>
  <c r="C799" i="1"/>
  <c r="D799" i="1"/>
  <c r="E799" i="1"/>
  <c r="F799" i="1"/>
  <c r="G799" i="1"/>
  <c r="H799" i="1"/>
  <c r="B813" i="1"/>
  <c r="B812" i="1"/>
  <c r="C813" i="1"/>
  <c r="C812" i="1"/>
  <c r="D813" i="1"/>
  <c r="D812" i="1"/>
  <c r="E813" i="1"/>
  <c r="E812" i="1"/>
  <c r="F813" i="1"/>
  <c r="F812" i="1"/>
  <c r="G813" i="1"/>
  <c r="G812" i="1"/>
  <c r="H813" i="1"/>
  <c r="H812" i="1"/>
  <c r="I821" i="1"/>
  <c r="I822" i="1"/>
  <c r="J822" i="1"/>
  <c r="I823" i="1"/>
  <c r="J823" i="1"/>
  <c r="I824" i="1"/>
  <c r="I825" i="1"/>
  <c r="I826" i="1"/>
  <c r="J826" i="1"/>
  <c r="B827" i="1"/>
  <c r="C827" i="1"/>
  <c r="D827" i="1"/>
  <c r="E827" i="1"/>
  <c r="F827" i="1"/>
  <c r="G827" i="1"/>
  <c r="H827" i="1"/>
  <c r="B841" i="1"/>
  <c r="B840" i="1"/>
  <c r="C841" i="1"/>
  <c r="C840" i="1"/>
  <c r="C835" i="1"/>
  <c r="D841" i="1"/>
  <c r="D840" i="1"/>
  <c r="E841" i="1"/>
  <c r="E840" i="1"/>
  <c r="F841" i="1"/>
  <c r="F840" i="1"/>
  <c r="G841" i="1"/>
  <c r="G840" i="1"/>
  <c r="H841" i="1"/>
  <c r="H840" i="1"/>
  <c r="I849" i="1"/>
  <c r="J849" i="1"/>
  <c r="I850" i="1"/>
  <c r="J850" i="1"/>
  <c r="I851" i="1"/>
  <c r="J851" i="1"/>
  <c r="I852" i="1"/>
  <c r="J852" i="1"/>
  <c r="I853" i="1"/>
  <c r="J853" i="1"/>
  <c r="I854" i="1"/>
  <c r="J854" i="1"/>
  <c r="B855" i="1"/>
  <c r="C855" i="1"/>
  <c r="D855" i="1"/>
  <c r="E855" i="1"/>
  <c r="F855" i="1"/>
  <c r="G855" i="1"/>
  <c r="H855" i="1"/>
  <c r="B869" i="1"/>
  <c r="B868" i="1"/>
  <c r="C869" i="1"/>
  <c r="C868" i="1"/>
  <c r="D869" i="1"/>
  <c r="D868" i="1"/>
  <c r="E869" i="1"/>
  <c r="E868" i="1"/>
  <c r="F869" i="1"/>
  <c r="F868" i="1"/>
  <c r="G869" i="1"/>
  <c r="G868" i="1"/>
  <c r="H869" i="1"/>
  <c r="H868" i="1"/>
  <c r="I877" i="1"/>
  <c r="I878" i="1"/>
  <c r="I879" i="1"/>
  <c r="I880" i="1"/>
  <c r="J880" i="1"/>
  <c r="I881" i="1"/>
  <c r="I882" i="1"/>
  <c r="J882" i="1"/>
  <c r="B883" i="1"/>
  <c r="C883" i="1"/>
  <c r="D883" i="1"/>
  <c r="E883" i="1"/>
  <c r="F883" i="1"/>
  <c r="G883" i="1"/>
  <c r="H883" i="1"/>
  <c r="B897" i="1"/>
  <c r="C897" i="1"/>
  <c r="C896" i="1"/>
  <c r="D897" i="1"/>
  <c r="D896" i="1"/>
  <c r="E897" i="1"/>
  <c r="E896" i="1"/>
  <c r="F897" i="1"/>
  <c r="F896" i="1"/>
  <c r="G897" i="1"/>
  <c r="G896" i="1"/>
  <c r="H897" i="1"/>
  <c r="H896" i="1"/>
  <c r="I905" i="1"/>
  <c r="J905" i="1"/>
  <c r="I906" i="1"/>
  <c r="J906" i="1"/>
  <c r="I907" i="1"/>
  <c r="J907" i="1"/>
  <c r="I908" i="1"/>
  <c r="J908" i="1"/>
  <c r="I909" i="1"/>
  <c r="J909" i="1"/>
  <c r="I910" i="1"/>
  <c r="J910" i="1"/>
  <c r="B911" i="1"/>
  <c r="C911" i="1"/>
  <c r="D911" i="1"/>
  <c r="E911" i="1"/>
  <c r="F911" i="1"/>
  <c r="G911" i="1"/>
  <c r="H911" i="1"/>
  <c r="B925" i="1"/>
  <c r="B924" i="1"/>
  <c r="C925" i="1"/>
  <c r="C924" i="1"/>
  <c r="D925" i="1"/>
  <c r="D924" i="1"/>
  <c r="E925" i="1"/>
  <c r="E924" i="1"/>
  <c r="F925" i="1"/>
  <c r="F924" i="1"/>
  <c r="G925" i="1"/>
  <c r="G924" i="1"/>
  <c r="H925" i="1"/>
  <c r="H924" i="1"/>
  <c r="I933" i="1"/>
  <c r="I934" i="1"/>
  <c r="J934" i="1"/>
  <c r="I935" i="1"/>
  <c r="I936" i="1"/>
  <c r="J936" i="1"/>
  <c r="I937" i="1"/>
  <c r="I938" i="1"/>
  <c r="J938" i="1"/>
  <c r="B939" i="1"/>
  <c r="C939" i="1"/>
  <c r="D939" i="1"/>
  <c r="E939" i="1"/>
  <c r="F939" i="1"/>
  <c r="G939" i="1"/>
  <c r="H939" i="1"/>
  <c r="B953" i="1"/>
  <c r="B952" i="1"/>
  <c r="C953" i="1"/>
  <c r="C952" i="1"/>
  <c r="D953" i="1"/>
  <c r="D952" i="1"/>
  <c r="E953" i="1"/>
  <c r="E952" i="1"/>
  <c r="F953" i="1"/>
  <c r="F952" i="1"/>
  <c r="G953" i="1"/>
  <c r="G952" i="1"/>
  <c r="H953" i="1"/>
  <c r="H952" i="1"/>
  <c r="I960" i="1"/>
  <c r="I961" i="1"/>
  <c r="J961" i="1"/>
  <c r="I962" i="1"/>
  <c r="J962" i="1"/>
  <c r="I963" i="1"/>
  <c r="J963" i="1"/>
  <c r="I964" i="1"/>
  <c r="J964" i="1"/>
  <c r="I965" i="1"/>
  <c r="J965" i="1"/>
  <c r="B966" i="1"/>
  <c r="C966" i="1"/>
  <c r="D966" i="1"/>
  <c r="E966" i="1"/>
  <c r="F966" i="1"/>
  <c r="G966" i="1"/>
  <c r="H966" i="1"/>
  <c r="B980" i="1"/>
  <c r="B979" i="1"/>
  <c r="C980" i="1"/>
  <c r="C979" i="1"/>
  <c r="D980" i="1"/>
  <c r="D979" i="1"/>
  <c r="E980" i="1"/>
  <c r="E979" i="1"/>
  <c r="F980" i="1"/>
  <c r="F979" i="1"/>
  <c r="G980" i="1"/>
  <c r="G979" i="1"/>
  <c r="H980" i="1"/>
  <c r="H979" i="1"/>
  <c r="I987" i="1"/>
  <c r="J987" i="1"/>
  <c r="I988" i="1"/>
  <c r="I989" i="1"/>
  <c r="J989" i="1"/>
  <c r="I990" i="1"/>
  <c r="I991" i="1"/>
  <c r="J991" i="1"/>
  <c r="I992" i="1"/>
  <c r="B993" i="1"/>
  <c r="C993" i="1"/>
  <c r="D993" i="1"/>
  <c r="E993" i="1"/>
  <c r="F993" i="1"/>
  <c r="G993" i="1"/>
  <c r="H993" i="1"/>
  <c r="B1007" i="1"/>
  <c r="C1007" i="1"/>
  <c r="C1006" i="1"/>
  <c r="D1007" i="1"/>
  <c r="E1007" i="1"/>
  <c r="E1006" i="1"/>
  <c r="F1007" i="1"/>
  <c r="F1006" i="1"/>
  <c r="G1007" i="1"/>
  <c r="G1006" i="1"/>
  <c r="H1007" i="1"/>
  <c r="I1014" i="1"/>
  <c r="I1015" i="1"/>
  <c r="J1015" i="1"/>
  <c r="I1016" i="1"/>
  <c r="J1016" i="1"/>
  <c r="I1017" i="1"/>
  <c r="J1017" i="1"/>
  <c r="I1018" i="1"/>
  <c r="I1019" i="1"/>
  <c r="J1019" i="1"/>
  <c r="B1020" i="1"/>
  <c r="C1020" i="1"/>
  <c r="D1020" i="1"/>
  <c r="E1020" i="1"/>
  <c r="F1020" i="1"/>
  <c r="G1020" i="1"/>
  <c r="H1020" i="1"/>
  <c r="B1034" i="1"/>
  <c r="B1033" i="1"/>
  <c r="B1028" i="1"/>
  <c r="C1034" i="1"/>
  <c r="C1033" i="1"/>
  <c r="D1034" i="1"/>
  <c r="E1034" i="1"/>
  <c r="E1033" i="1"/>
  <c r="F1034" i="1"/>
  <c r="F1033" i="1"/>
  <c r="F1028" i="1"/>
  <c r="G1034" i="1"/>
  <c r="G1033" i="1"/>
  <c r="H1034" i="1"/>
  <c r="H1033" i="1"/>
  <c r="I1041" i="1"/>
  <c r="I1042" i="1"/>
  <c r="J1042" i="1"/>
  <c r="I1043" i="1"/>
  <c r="J1043" i="1"/>
  <c r="I1044" i="1"/>
  <c r="J1044" i="1"/>
  <c r="I1045" i="1"/>
  <c r="J1045" i="1"/>
  <c r="I1046" i="1"/>
  <c r="J1046" i="1"/>
  <c r="B1047" i="1"/>
  <c r="C1047" i="1"/>
  <c r="D1047" i="1"/>
  <c r="E1047" i="1"/>
  <c r="F1047" i="1"/>
  <c r="G1047" i="1"/>
  <c r="H1047" i="1"/>
  <c r="B1061" i="1"/>
  <c r="B1060" i="1"/>
  <c r="C1061" i="1"/>
  <c r="C1060" i="1"/>
  <c r="D1061" i="1"/>
  <c r="D1060" i="1"/>
  <c r="E1061" i="1"/>
  <c r="E1060" i="1"/>
  <c r="F1061" i="1"/>
  <c r="F1060" i="1"/>
  <c r="G1061" i="1"/>
  <c r="G1060" i="1"/>
  <c r="H1061" i="1"/>
  <c r="H1060" i="1"/>
  <c r="I1068" i="1"/>
  <c r="J1068" i="1"/>
  <c r="I1069" i="1"/>
  <c r="J1069" i="1"/>
  <c r="I1070" i="1"/>
  <c r="J1070" i="1"/>
  <c r="I1071" i="1"/>
  <c r="J1071" i="1"/>
  <c r="I1072" i="1"/>
  <c r="J1072" i="1"/>
  <c r="I1073" i="1"/>
  <c r="J1073" i="1"/>
  <c r="B1074" i="1"/>
  <c r="C1074" i="1"/>
  <c r="D1074" i="1"/>
  <c r="E1074" i="1"/>
  <c r="F1074" i="1"/>
  <c r="G1074" i="1"/>
  <c r="H1074" i="1"/>
  <c r="B1088" i="1"/>
  <c r="C1088" i="1"/>
  <c r="C1087" i="1"/>
  <c r="D1088" i="1"/>
  <c r="D1087" i="1"/>
  <c r="E1088" i="1"/>
  <c r="E1087" i="1"/>
  <c r="F1088" i="1"/>
  <c r="F1087" i="1"/>
  <c r="G1088" i="1"/>
  <c r="G1087" i="1"/>
  <c r="H1088" i="1"/>
  <c r="H1087" i="1"/>
  <c r="I1095" i="1"/>
  <c r="I1096" i="1"/>
  <c r="J1096" i="1"/>
  <c r="I1097" i="1"/>
  <c r="J1097" i="1"/>
  <c r="I1098" i="1"/>
  <c r="I1099" i="1"/>
  <c r="J1099" i="1"/>
  <c r="I1100" i="1"/>
  <c r="J1100" i="1"/>
  <c r="B1101" i="1"/>
  <c r="C1101" i="1"/>
  <c r="D1101" i="1"/>
  <c r="E1101" i="1"/>
  <c r="F1101" i="1"/>
  <c r="G1101" i="1"/>
  <c r="H1101" i="1"/>
  <c r="B1115" i="1"/>
  <c r="B1114" i="1"/>
  <c r="C1115" i="1"/>
  <c r="C1114" i="1"/>
  <c r="D1115" i="1"/>
  <c r="D1114" i="1"/>
  <c r="E1115" i="1"/>
  <c r="E1114" i="1"/>
  <c r="F1115" i="1"/>
  <c r="F1114" i="1"/>
  <c r="G1115" i="1"/>
  <c r="G1114" i="1"/>
  <c r="H1115" i="1"/>
  <c r="H1114" i="1"/>
  <c r="I1122" i="1"/>
  <c r="J1122" i="1"/>
  <c r="I1123" i="1"/>
  <c r="J1123" i="1"/>
  <c r="I1124" i="1"/>
  <c r="J1124" i="1"/>
  <c r="I1125" i="1"/>
  <c r="J1125" i="1"/>
  <c r="I1126" i="1"/>
  <c r="I1127" i="1"/>
  <c r="J1127" i="1"/>
  <c r="B1128" i="1"/>
  <c r="C1128" i="1"/>
  <c r="D1128" i="1"/>
  <c r="E1128" i="1"/>
  <c r="F1128" i="1"/>
  <c r="G1128" i="1"/>
  <c r="H1128" i="1"/>
  <c r="B1142" i="1"/>
  <c r="C1142" i="1"/>
  <c r="C1141" i="1"/>
  <c r="D1142" i="1"/>
  <c r="D1141" i="1"/>
  <c r="E1142" i="1"/>
  <c r="E1141" i="1"/>
  <c r="F1142" i="1"/>
  <c r="F1141" i="1"/>
  <c r="G1142" i="1"/>
  <c r="G1141" i="1"/>
  <c r="H1142" i="1"/>
  <c r="H1141" i="1"/>
  <c r="B1149" i="1"/>
  <c r="C1149" i="1"/>
  <c r="D1149" i="1"/>
  <c r="E1149" i="1"/>
  <c r="F1149" i="1"/>
  <c r="G1149" i="1"/>
  <c r="H1149" i="1"/>
  <c r="I1150" i="1"/>
  <c r="J1150" i="1"/>
  <c r="I1151" i="1"/>
  <c r="I1152" i="1"/>
  <c r="J1152" i="1"/>
  <c r="I1153" i="1"/>
  <c r="J1153" i="1"/>
  <c r="I1154" i="1"/>
  <c r="J1154" i="1"/>
  <c r="B1155" i="1"/>
  <c r="C1155" i="1"/>
  <c r="D1155" i="1"/>
  <c r="E1155" i="1"/>
  <c r="F1155" i="1"/>
  <c r="G1155" i="1"/>
  <c r="H1155" i="1"/>
  <c r="B1169" i="1"/>
  <c r="B1168" i="1"/>
  <c r="C1169" i="1"/>
  <c r="C1168" i="1"/>
  <c r="C1163" i="1"/>
  <c r="D1169" i="1"/>
  <c r="D1168" i="1"/>
  <c r="E1169" i="1"/>
  <c r="E1168" i="1"/>
  <c r="E1165" i="1"/>
  <c r="F1169" i="1"/>
  <c r="F1168" i="1"/>
  <c r="G1169" i="1"/>
  <c r="G1168" i="1"/>
  <c r="G1165" i="1"/>
  <c r="H1169" i="1"/>
  <c r="H1168" i="1"/>
  <c r="C1176" i="1"/>
  <c r="D1176" i="1"/>
  <c r="E1176" i="1"/>
  <c r="F1176" i="1"/>
  <c r="G1176" i="1"/>
  <c r="H1176" i="1"/>
  <c r="I1177" i="1"/>
  <c r="I1178" i="1"/>
  <c r="J1178" i="1"/>
  <c r="I1179" i="1"/>
  <c r="I1180" i="1"/>
  <c r="J1180" i="1"/>
  <c r="I1181" i="1"/>
  <c r="J1181" i="1"/>
  <c r="B1182" i="1"/>
  <c r="C1182" i="1"/>
  <c r="D1182" i="1"/>
  <c r="E1182" i="1"/>
  <c r="F1182" i="1"/>
  <c r="G1182" i="1"/>
  <c r="H1182" i="1"/>
  <c r="B1196" i="1"/>
  <c r="B1195" i="1"/>
  <c r="C1196" i="1"/>
  <c r="C1195" i="1"/>
  <c r="D1196" i="1"/>
  <c r="D1195" i="1"/>
  <c r="E1196" i="1"/>
  <c r="E1195" i="1"/>
  <c r="F1196" i="1"/>
  <c r="F1195" i="1"/>
  <c r="G1196" i="1"/>
  <c r="G1195" i="1"/>
  <c r="H1196" i="1"/>
  <c r="H1195" i="1"/>
  <c r="B1203" i="1"/>
  <c r="C1203" i="1"/>
  <c r="D1203" i="1"/>
  <c r="E1203" i="1"/>
  <c r="G1203" i="1"/>
  <c r="H1203" i="1"/>
  <c r="I1204" i="1"/>
  <c r="J1204" i="1"/>
  <c r="I1205" i="1"/>
  <c r="J1205" i="1"/>
  <c r="I1206" i="1"/>
  <c r="J1206" i="1"/>
  <c r="I1207" i="1"/>
  <c r="J1207" i="1"/>
  <c r="I1208" i="1"/>
  <c r="J1208" i="1"/>
  <c r="B1209" i="1"/>
  <c r="C1209" i="1"/>
  <c r="D1209" i="1"/>
  <c r="E1209" i="1"/>
  <c r="F1209" i="1"/>
  <c r="G1209" i="1"/>
  <c r="H1209" i="1"/>
  <c r="B1223" i="1"/>
  <c r="C1223" i="1"/>
  <c r="C1222" i="1"/>
  <c r="D1223" i="1"/>
  <c r="D1222" i="1"/>
  <c r="E1223" i="1"/>
  <c r="E1222" i="1"/>
  <c r="F1223" i="1"/>
  <c r="F1222" i="1"/>
  <c r="G1223" i="1"/>
  <c r="G1222" i="1"/>
  <c r="H1223" i="1"/>
  <c r="H1222" i="1"/>
  <c r="B1231" i="1"/>
  <c r="C1231" i="1"/>
  <c r="D1231" i="1"/>
  <c r="E1231" i="1"/>
  <c r="F1231" i="1"/>
  <c r="G1231" i="1"/>
  <c r="H1231" i="1"/>
  <c r="I1232" i="1"/>
  <c r="J1232" i="1"/>
  <c r="I1233" i="1"/>
  <c r="I1234" i="1"/>
  <c r="J1234" i="1"/>
  <c r="I1235" i="1"/>
  <c r="J1235" i="1"/>
  <c r="I1236" i="1"/>
  <c r="J1236" i="1"/>
  <c r="B1237" i="1"/>
  <c r="C1237" i="1"/>
  <c r="D1237" i="1"/>
  <c r="E1237" i="1"/>
  <c r="F1237" i="1"/>
  <c r="G1237" i="1"/>
  <c r="H1237" i="1"/>
  <c r="B1251" i="1"/>
  <c r="B1250" i="1"/>
  <c r="C1251" i="1"/>
  <c r="C1250" i="1"/>
  <c r="D1251" i="1"/>
  <c r="D1250" i="1"/>
  <c r="E1251" i="1"/>
  <c r="E1250" i="1"/>
  <c r="F1251" i="1"/>
  <c r="F1250" i="1"/>
  <c r="G1251" i="1"/>
  <c r="G1250" i="1"/>
  <c r="H1251" i="1"/>
  <c r="B1258" i="1"/>
  <c r="C1258" i="1"/>
  <c r="D1258" i="1"/>
  <c r="E1258" i="1"/>
  <c r="F1258" i="1"/>
  <c r="G1258" i="1"/>
  <c r="H1258" i="1"/>
  <c r="I1259" i="1"/>
  <c r="J1259" i="1"/>
  <c r="I1260" i="1"/>
  <c r="J1260" i="1"/>
  <c r="I1261" i="1"/>
  <c r="J1261" i="1"/>
  <c r="I1262" i="1"/>
  <c r="J1262" i="1"/>
  <c r="I1263" i="1"/>
  <c r="J1263" i="1"/>
  <c r="B1264" i="1"/>
  <c r="C1264" i="1"/>
  <c r="D1264" i="1"/>
  <c r="E1264" i="1"/>
  <c r="F1264" i="1"/>
  <c r="G1264" i="1"/>
  <c r="H1264" i="1"/>
  <c r="B1278" i="1"/>
  <c r="B1277" i="1"/>
  <c r="C1278" i="1"/>
  <c r="C1277" i="1"/>
  <c r="D1278" i="1"/>
  <c r="D1277" i="1"/>
  <c r="E1278" i="1"/>
  <c r="E1277" i="1"/>
  <c r="F1278" i="1"/>
  <c r="F1277" i="1"/>
  <c r="G1278" i="1"/>
  <c r="G1277" i="1"/>
  <c r="G1272" i="1"/>
  <c r="H1278" i="1"/>
  <c r="H1277" i="1"/>
  <c r="B1285" i="1"/>
  <c r="C1285" i="1"/>
  <c r="D1285" i="1"/>
  <c r="E1285" i="1"/>
  <c r="F1285" i="1"/>
  <c r="G1285" i="1"/>
  <c r="H1285" i="1"/>
  <c r="I1286" i="1"/>
  <c r="J1286" i="1"/>
  <c r="I1287" i="1"/>
  <c r="J1287" i="1"/>
  <c r="I1288" i="1"/>
  <c r="J1288" i="1"/>
  <c r="I1289" i="1"/>
  <c r="I1290" i="1"/>
  <c r="J1290" i="1"/>
  <c r="B1291" i="1"/>
  <c r="C1291" i="1"/>
  <c r="D1291" i="1"/>
  <c r="E1291" i="1"/>
  <c r="F1291" i="1"/>
  <c r="G1291" i="1"/>
  <c r="H1291" i="1"/>
  <c r="B1305" i="1"/>
  <c r="B1304" i="1"/>
  <c r="C1305" i="1"/>
  <c r="C1304" i="1"/>
  <c r="D1305" i="1"/>
  <c r="D1304" i="1"/>
  <c r="E1305" i="1"/>
  <c r="E1304" i="1"/>
  <c r="F1305" i="1"/>
  <c r="F1304" i="1"/>
  <c r="G1305" i="1"/>
  <c r="G1304" i="1"/>
  <c r="H1305" i="1"/>
  <c r="H1304" i="1"/>
  <c r="B1312" i="1"/>
  <c r="C1312" i="1"/>
  <c r="D1312" i="1"/>
  <c r="E1312" i="1"/>
  <c r="F1312" i="1"/>
  <c r="G1312" i="1"/>
  <c r="H1312" i="1"/>
  <c r="I1313" i="1"/>
  <c r="I1314" i="1"/>
  <c r="J1314" i="1"/>
  <c r="I1315" i="1"/>
  <c r="J1315" i="1"/>
  <c r="I1316" i="1"/>
  <c r="J1316" i="1"/>
  <c r="I1317" i="1"/>
  <c r="J1317" i="1"/>
  <c r="B1318" i="1"/>
  <c r="C1318" i="1"/>
  <c r="D1318" i="1"/>
  <c r="E1318" i="1"/>
  <c r="F1318" i="1"/>
  <c r="G1318" i="1"/>
  <c r="H1318" i="1"/>
  <c r="B1332" i="1"/>
  <c r="B1331" i="1"/>
  <c r="C1332" i="1"/>
  <c r="C1331" i="1"/>
  <c r="D1332" i="1"/>
  <c r="D1331" i="1"/>
  <c r="E1332" i="1"/>
  <c r="E1331" i="1"/>
  <c r="F1332" i="1"/>
  <c r="F1331" i="1"/>
  <c r="G1332" i="1"/>
  <c r="G1331" i="1"/>
  <c r="H1332" i="1"/>
  <c r="H1331" i="1"/>
  <c r="B1339" i="1"/>
  <c r="C1339" i="1"/>
  <c r="D1339" i="1"/>
  <c r="E1339" i="1"/>
  <c r="F1339" i="1"/>
  <c r="G1339" i="1"/>
  <c r="H1339" i="1"/>
  <c r="I1340" i="1"/>
  <c r="J1340" i="1"/>
  <c r="I1341" i="1"/>
  <c r="J1341" i="1"/>
  <c r="I1342" i="1"/>
  <c r="J1342" i="1"/>
  <c r="I1343" i="1"/>
  <c r="I1344" i="1"/>
  <c r="J1344" i="1"/>
  <c r="B1345" i="1"/>
  <c r="C1345" i="1"/>
  <c r="D1345" i="1"/>
  <c r="E1345" i="1"/>
  <c r="F1345" i="1"/>
  <c r="G1345" i="1"/>
  <c r="H1345" i="1"/>
  <c r="B1359" i="1"/>
  <c r="C1359" i="1"/>
  <c r="C1358" i="1"/>
  <c r="D1359" i="1"/>
  <c r="D1358" i="1"/>
  <c r="E1359" i="1"/>
  <c r="E1358" i="1"/>
  <c r="E1353" i="1"/>
  <c r="F1359" i="1"/>
  <c r="F1358" i="1"/>
  <c r="G1359" i="1"/>
  <c r="G1358" i="1"/>
  <c r="H1359" i="1"/>
  <c r="B1366" i="1"/>
  <c r="C1366" i="1"/>
  <c r="D1366" i="1"/>
  <c r="E1366" i="1"/>
  <c r="F1366" i="1"/>
  <c r="G1366" i="1"/>
  <c r="H1366" i="1"/>
  <c r="I1367" i="1"/>
  <c r="J1367" i="1"/>
  <c r="I1368" i="1"/>
  <c r="J1368" i="1"/>
  <c r="I1369" i="1"/>
  <c r="J1369" i="1"/>
  <c r="I1370" i="1"/>
  <c r="J1370" i="1"/>
  <c r="I1371" i="1"/>
  <c r="J1371" i="1"/>
  <c r="B1372" i="1"/>
  <c r="C1372" i="1"/>
  <c r="D1372" i="1"/>
  <c r="E1372" i="1"/>
  <c r="F1372" i="1"/>
  <c r="G1372" i="1"/>
  <c r="H1372" i="1"/>
  <c r="B1386" i="1"/>
  <c r="B1385" i="1"/>
  <c r="C1386" i="1"/>
  <c r="C1385" i="1"/>
  <c r="C1380" i="1"/>
  <c r="D1386" i="1"/>
  <c r="D1385" i="1"/>
  <c r="E1386" i="1"/>
  <c r="E1385" i="1"/>
  <c r="F1386" i="1"/>
  <c r="F1385" i="1"/>
  <c r="F1380" i="1"/>
  <c r="G1386" i="1"/>
  <c r="G1385" i="1"/>
  <c r="G1380" i="1"/>
  <c r="H1386" i="1"/>
  <c r="H1385" i="1"/>
  <c r="B1393" i="1"/>
  <c r="C1393" i="1"/>
  <c r="D1393" i="1"/>
  <c r="E1393" i="1"/>
  <c r="F1393" i="1"/>
  <c r="G1393" i="1"/>
  <c r="H1393" i="1"/>
  <c r="I1394" i="1"/>
  <c r="J1394" i="1"/>
  <c r="I1395" i="1"/>
  <c r="I1396" i="1"/>
  <c r="J1396" i="1"/>
  <c r="I1397" i="1"/>
  <c r="J1397" i="1"/>
  <c r="I1398" i="1"/>
  <c r="J1398" i="1"/>
  <c r="B1399" i="1"/>
  <c r="C1399" i="1"/>
  <c r="D1399" i="1"/>
  <c r="E1399" i="1"/>
  <c r="F1399" i="1"/>
  <c r="G1399" i="1"/>
  <c r="H1399" i="1"/>
  <c r="B1413" i="1"/>
  <c r="B1412" i="1"/>
  <c r="C1413" i="1"/>
  <c r="C1412" i="1"/>
  <c r="D1413" i="1"/>
  <c r="D1412" i="1"/>
  <c r="E1413" i="1"/>
  <c r="E1412" i="1"/>
  <c r="E1414" i="1"/>
  <c r="F1413" i="1"/>
  <c r="F1412" i="1"/>
  <c r="F1414" i="1"/>
  <c r="G1413" i="1"/>
  <c r="G1412" i="1"/>
  <c r="H1413" i="1"/>
  <c r="H1412" i="1"/>
  <c r="B1420" i="1"/>
  <c r="C1420" i="1"/>
  <c r="D1420" i="1"/>
  <c r="E1420" i="1"/>
  <c r="F1420" i="1"/>
  <c r="G1420" i="1"/>
  <c r="H1420" i="1"/>
  <c r="I1421" i="1"/>
  <c r="I1422" i="1"/>
  <c r="I1423" i="1"/>
  <c r="J1423" i="1"/>
  <c r="I1424" i="1"/>
  <c r="J1424" i="1"/>
  <c r="I1425" i="1"/>
  <c r="J1425" i="1"/>
  <c r="B1426" i="1"/>
  <c r="C1426" i="1"/>
  <c r="D1426" i="1"/>
  <c r="E1426" i="1"/>
  <c r="F1426" i="1"/>
  <c r="G1426" i="1"/>
  <c r="H1426" i="1"/>
  <c r="B1440" i="1"/>
  <c r="B1439" i="1"/>
  <c r="C1440" i="1"/>
  <c r="C1439" i="1"/>
  <c r="D1440" i="1"/>
  <c r="E1440" i="1"/>
  <c r="E1439" i="1"/>
  <c r="F1440" i="1"/>
  <c r="F1439" i="1"/>
  <c r="F1441" i="1"/>
  <c r="G1440" i="1"/>
  <c r="G1439" i="1"/>
  <c r="H1440" i="1"/>
  <c r="B1447" i="1"/>
  <c r="C1447" i="1"/>
  <c r="D1447" i="1"/>
  <c r="E1447" i="1"/>
  <c r="F1447" i="1"/>
  <c r="G1447" i="1"/>
  <c r="H1447" i="1"/>
  <c r="I1448" i="1"/>
  <c r="J1448" i="1"/>
  <c r="I1449" i="1"/>
  <c r="J1449" i="1"/>
  <c r="I1450" i="1"/>
  <c r="J1450" i="1"/>
  <c r="I1451" i="1"/>
  <c r="J1451" i="1"/>
  <c r="I1452" i="1"/>
  <c r="J1452" i="1"/>
  <c r="B1453" i="1"/>
  <c r="C1453" i="1"/>
  <c r="D1453" i="1"/>
  <c r="E1453" i="1"/>
  <c r="F1453" i="1"/>
  <c r="G1453" i="1"/>
  <c r="H1453" i="1"/>
  <c r="B1467" i="1"/>
  <c r="C1467" i="1"/>
  <c r="C1466" i="1"/>
  <c r="D1467" i="1"/>
  <c r="E1467" i="1"/>
  <c r="E1466" i="1"/>
  <c r="E1465" i="1"/>
  <c r="F1467" i="1"/>
  <c r="F1466" i="1"/>
  <c r="F1461" i="1"/>
  <c r="G1467" i="1"/>
  <c r="G1466" i="1"/>
  <c r="H1467" i="1"/>
  <c r="B1474" i="1"/>
  <c r="C1474" i="1"/>
  <c r="D1474" i="1"/>
  <c r="E1474" i="1"/>
  <c r="F1474" i="1"/>
  <c r="G1474" i="1"/>
  <c r="H1474" i="1"/>
  <c r="I1475" i="1"/>
  <c r="J1475" i="1"/>
  <c r="I1476" i="1"/>
  <c r="J1476" i="1"/>
  <c r="I1477" i="1"/>
  <c r="I1478" i="1"/>
  <c r="J1478" i="1"/>
  <c r="I1479" i="1"/>
  <c r="J1479" i="1"/>
  <c r="B1480" i="1"/>
  <c r="C1480" i="1"/>
  <c r="D1480" i="1"/>
  <c r="E1480" i="1"/>
  <c r="F1480" i="1"/>
  <c r="G1480" i="1"/>
  <c r="H1480" i="1"/>
  <c r="B1494" i="1"/>
  <c r="B1493" i="1"/>
  <c r="C1494" i="1"/>
  <c r="C1493" i="1"/>
  <c r="C1490" i="1"/>
  <c r="D1494" i="1"/>
  <c r="D1493" i="1"/>
  <c r="E1494" i="1"/>
  <c r="E1493" i="1"/>
  <c r="F1494" i="1"/>
  <c r="F1493" i="1"/>
  <c r="F1489" i="1"/>
  <c r="G1494" i="1"/>
  <c r="G1493" i="1"/>
  <c r="H1494" i="1"/>
  <c r="H1493" i="1"/>
  <c r="H1490" i="1"/>
  <c r="B1501" i="1"/>
  <c r="C1501" i="1"/>
  <c r="D1501" i="1"/>
  <c r="E1501" i="1"/>
  <c r="F1501" i="1"/>
  <c r="G1501" i="1"/>
  <c r="H1501" i="1"/>
  <c r="I1502" i="1"/>
  <c r="J1502" i="1"/>
  <c r="I1503" i="1"/>
  <c r="J1503" i="1"/>
  <c r="I1504" i="1"/>
  <c r="J1504" i="1"/>
  <c r="I1505" i="1"/>
  <c r="J1505" i="1"/>
  <c r="I1506" i="1"/>
  <c r="J1506" i="1"/>
  <c r="B1507" i="1"/>
  <c r="C1507" i="1"/>
  <c r="D1507" i="1"/>
  <c r="E1507" i="1"/>
  <c r="F1507" i="1"/>
  <c r="G1507" i="1"/>
  <c r="H1507" i="1"/>
  <c r="B1521" i="1"/>
  <c r="C1521" i="1"/>
  <c r="C1520" i="1"/>
  <c r="D1521" i="1"/>
  <c r="E1521" i="1"/>
  <c r="E1520" i="1"/>
  <c r="F1521" i="1"/>
  <c r="F1520" i="1"/>
  <c r="F1515" i="1"/>
  <c r="G1521" i="1"/>
  <c r="G1520" i="1"/>
  <c r="H1521" i="1"/>
  <c r="E1528" i="1"/>
  <c r="F1528" i="1"/>
  <c r="G1528" i="1"/>
  <c r="H1528" i="1"/>
  <c r="I1529" i="1"/>
  <c r="J1529" i="1"/>
  <c r="I1530" i="1"/>
  <c r="J1530" i="1"/>
  <c r="I1531" i="1"/>
  <c r="J1531" i="1"/>
  <c r="I1532" i="1"/>
  <c r="I1533" i="1"/>
  <c r="J1533" i="1"/>
  <c r="B1534" i="1"/>
  <c r="C1534" i="1"/>
  <c r="D1534" i="1"/>
  <c r="E1534" i="1"/>
  <c r="F1534" i="1"/>
  <c r="G1534" i="1"/>
  <c r="H1534" i="1"/>
  <c r="B1548" i="1"/>
  <c r="B1547" i="1"/>
  <c r="C1548" i="1"/>
  <c r="C1547" i="1"/>
  <c r="D1548" i="1"/>
  <c r="D1547" i="1"/>
  <c r="E1548" i="1"/>
  <c r="F1548" i="1"/>
  <c r="F1547" i="1"/>
  <c r="F1546" i="1"/>
  <c r="G1548" i="1"/>
  <c r="G1547" i="1"/>
  <c r="H1548" i="1"/>
  <c r="H1547" i="1"/>
  <c r="H1542" i="1"/>
  <c r="B1555" i="1"/>
  <c r="C1555" i="1"/>
  <c r="D1555" i="1"/>
  <c r="E1555" i="1"/>
  <c r="F1555" i="1"/>
  <c r="G1555" i="1"/>
  <c r="H1555" i="1"/>
  <c r="I1556" i="1"/>
  <c r="J1556" i="1"/>
  <c r="I1557" i="1"/>
  <c r="I1558" i="1"/>
  <c r="I1559" i="1"/>
  <c r="J1559" i="1"/>
  <c r="I1560" i="1"/>
  <c r="J1560" i="1"/>
  <c r="B1561" i="1"/>
  <c r="C1561" i="1"/>
  <c r="D1561" i="1"/>
  <c r="E1561" i="1"/>
  <c r="F1561" i="1"/>
  <c r="G1561" i="1"/>
  <c r="H1561" i="1"/>
  <c r="B1575" i="1"/>
  <c r="B1574" i="1"/>
  <c r="C1575" i="1"/>
  <c r="C1574" i="1"/>
  <c r="D1575" i="1"/>
  <c r="D1574" i="1"/>
  <c r="E1575" i="1"/>
  <c r="E1574" i="1"/>
  <c r="F1575" i="1"/>
  <c r="F1574" i="1"/>
  <c r="G1575" i="1"/>
  <c r="G1574" i="1"/>
  <c r="H1575" i="1"/>
  <c r="H1574" i="1"/>
  <c r="B1582" i="1"/>
  <c r="C1582" i="1"/>
  <c r="D1582" i="1"/>
  <c r="E1582" i="1"/>
  <c r="F1582" i="1"/>
  <c r="G1582" i="1"/>
  <c r="H1582" i="1"/>
  <c r="I1583" i="1"/>
  <c r="J1583" i="1"/>
  <c r="I1584" i="1"/>
  <c r="J1584" i="1"/>
  <c r="I1585" i="1"/>
  <c r="J1585" i="1"/>
  <c r="I1586" i="1"/>
  <c r="J1586" i="1"/>
  <c r="I1587" i="1"/>
  <c r="J1587" i="1"/>
  <c r="B1588" i="1"/>
  <c r="C1588" i="1"/>
  <c r="D1588" i="1"/>
  <c r="E1588" i="1"/>
  <c r="F1588" i="1"/>
  <c r="G1588" i="1"/>
  <c r="H1588" i="1"/>
  <c r="B1602" i="1"/>
  <c r="B1601" i="1"/>
  <c r="B1603" i="1"/>
  <c r="C1602" i="1"/>
  <c r="C1601" i="1"/>
  <c r="D1602" i="1"/>
  <c r="E1602" i="1"/>
  <c r="E1601" i="1"/>
  <c r="F1602" i="1"/>
  <c r="F1601" i="1"/>
  <c r="G1602" i="1"/>
  <c r="G1601" i="1"/>
  <c r="G1603" i="1"/>
  <c r="H1602" i="1"/>
  <c r="B1609" i="1"/>
  <c r="C1609" i="1"/>
  <c r="D1609" i="1"/>
  <c r="E1609" i="1"/>
  <c r="F1609" i="1"/>
  <c r="G1609" i="1"/>
  <c r="H1609" i="1"/>
  <c r="I1610" i="1"/>
  <c r="I1611" i="1"/>
  <c r="I1612" i="1"/>
  <c r="I1613" i="1"/>
  <c r="I1614" i="1"/>
  <c r="B1615" i="1"/>
  <c r="C1615" i="1"/>
  <c r="D1615" i="1"/>
  <c r="E1615" i="1"/>
  <c r="F1615" i="1"/>
  <c r="G1615" i="1"/>
  <c r="H1615" i="1"/>
  <c r="B1629" i="1"/>
  <c r="C1629" i="1"/>
  <c r="C1628" i="1"/>
  <c r="C1624" i="1"/>
  <c r="D1629" i="1"/>
  <c r="E1629" i="1"/>
  <c r="E1628" i="1"/>
  <c r="F1629" i="1"/>
  <c r="F1628" i="1"/>
  <c r="F1624" i="1"/>
  <c r="G1629" i="1"/>
  <c r="G1628" i="1"/>
  <c r="H1629" i="1"/>
  <c r="M2366" i="1"/>
  <c r="S2366" i="1"/>
  <c r="S2399" i="1"/>
  <c r="W2366" i="1"/>
  <c r="W2399" i="1"/>
  <c r="AA2366" i="1"/>
  <c r="AA2399" i="1"/>
  <c r="AE2366" i="1"/>
  <c r="AE2399" i="1"/>
  <c r="AJ2366" i="1"/>
  <c r="AJ2399" i="1"/>
  <c r="AO2366" i="1"/>
  <c r="AO2399" i="1"/>
  <c r="B2367" i="1"/>
  <c r="B2391" i="1"/>
  <c r="E2367" i="1"/>
  <c r="E2391" i="1"/>
  <c r="B2368" i="1"/>
  <c r="B2369" i="1"/>
  <c r="E2369" i="1"/>
  <c r="G2369" i="1"/>
  <c r="B2370" i="1"/>
  <c r="D2370" i="1"/>
  <c r="E2370" i="1"/>
  <c r="G2370" i="1"/>
  <c r="B2371" i="1"/>
  <c r="C2371" i="1"/>
  <c r="D2371" i="1"/>
  <c r="G2371" i="1"/>
  <c r="B2373" i="1"/>
  <c r="M2373" i="1"/>
  <c r="BF2373" i="1"/>
  <c r="B2374" i="1"/>
  <c r="M2374" i="1"/>
  <c r="BF2374" i="1"/>
  <c r="B2375" i="1"/>
  <c r="M2375" i="1"/>
  <c r="BF2375" i="1"/>
  <c r="B2376" i="1"/>
  <c r="C2376" i="1"/>
  <c r="D2376" i="1"/>
  <c r="E2376" i="1"/>
  <c r="F2376" i="1"/>
  <c r="G2376" i="1"/>
  <c r="M2376" i="1"/>
  <c r="BF2376" i="1"/>
  <c r="B2377" i="1"/>
  <c r="C2377" i="1"/>
  <c r="D2377" i="1"/>
  <c r="E2377" i="1"/>
  <c r="F2377" i="1"/>
  <c r="G2377" i="1"/>
  <c r="M2377" i="1"/>
  <c r="BF2377" i="1"/>
  <c r="B2378" i="1"/>
  <c r="K2378" i="1"/>
  <c r="B2379" i="1"/>
  <c r="K2379" i="1"/>
  <c r="B2380" i="1"/>
  <c r="K2380" i="1"/>
  <c r="B2381" i="1"/>
  <c r="C2381" i="1"/>
  <c r="D2381" i="1"/>
  <c r="E2381" i="1"/>
  <c r="F2381" i="1"/>
  <c r="G2381" i="1"/>
  <c r="K2381" i="1"/>
  <c r="B2382" i="1"/>
  <c r="C2382" i="1"/>
  <c r="D2382" i="1"/>
  <c r="E2382" i="1"/>
  <c r="F2382" i="1"/>
  <c r="G2382" i="1"/>
  <c r="K2382" i="1"/>
  <c r="K2391" i="1"/>
  <c r="K2392" i="1"/>
  <c r="AE2398" i="1"/>
  <c r="AE2401" i="1"/>
  <c r="AF2398" i="1"/>
  <c r="AF2401" i="1"/>
  <c r="AG2398" i="1"/>
  <c r="AG2401" i="1"/>
  <c r="AH2398" i="1"/>
  <c r="AH2401" i="1"/>
  <c r="AI2398" i="1"/>
  <c r="AI2401" i="1"/>
  <c r="AJ2398" i="1"/>
  <c r="AJ2401" i="1"/>
  <c r="AK2398" i="1"/>
  <c r="AK2401" i="1"/>
  <c r="AL2398" i="1"/>
  <c r="AL2401" i="1"/>
  <c r="AM2398" i="1"/>
  <c r="AM2401" i="1"/>
  <c r="AN2398" i="1"/>
  <c r="AN2401" i="1"/>
  <c r="AO2398" i="1"/>
  <c r="AO2401" i="1"/>
  <c r="AP2398" i="1"/>
  <c r="AP2401" i="1"/>
  <c r="AQ2398" i="1"/>
  <c r="AQ2401" i="1"/>
  <c r="AR2398" i="1"/>
  <c r="AR2401" i="1"/>
  <c r="AS2398" i="1"/>
  <c r="AS2401" i="1"/>
  <c r="AT2398" i="1"/>
  <c r="AT2401" i="1"/>
  <c r="AU2398" i="1"/>
  <c r="AU2401" i="1"/>
  <c r="AV2398" i="1"/>
  <c r="AV2401" i="1"/>
  <c r="AW2398" i="1"/>
  <c r="AW2401" i="1"/>
  <c r="AX2398" i="1"/>
  <c r="AX2401" i="1"/>
  <c r="AY2398" i="1"/>
  <c r="AY2401" i="1"/>
  <c r="AZ2398" i="1"/>
  <c r="AZ2401" i="1"/>
  <c r="BA2398" i="1"/>
  <c r="BB2398" i="1"/>
  <c r="BB2401" i="1"/>
  <c r="BC2398" i="1"/>
  <c r="BC2401" i="1"/>
  <c r="BD2398" i="1"/>
  <c r="BD2401" i="1"/>
  <c r="BF2398" i="1"/>
  <c r="BF2401" i="1"/>
  <c r="CH2398" i="1"/>
  <c r="CH2401" i="1"/>
  <c r="BA2401" i="1"/>
  <c r="BE2401" i="1"/>
  <c r="B2408" i="1"/>
  <c r="C2408" i="1"/>
  <c r="D2408" i="1"/>
  <c r="E2408" i="1"/>
  <c r="F2408" i="1"/>
  <c r="G2408" i="1"/>
  <c r="H2408" i="1"/>
  <c r="I2408" i="1"/>
  <c r="K2408" i="1"/>
  <c r="L2408" i="1"/>
  <c r="M2408" i="1"/>
  <c r="F3" i="6"/>
  <c r="G3" i="6"/>
  <c r="H3" i="6"/>
  <c r="I4" i="6"/>
  <c r="I5" i="6"/>
  <c r="J5" i="6"/>
  <c r="I6" i="6"/>
  <c r="I7" i="6"/>
  <c r="J7" i="6"/>
  <c r="I8" i="6"/>
  <c r="F9" i="6"/>
  <c r="G9" i="6"/>
  <c r="H9" i="6"/>
  <c r="F23" i="6"/>
  <c r="F22" i="6"/>
  <c r="G23" i="6"/>
  <c r="G22" i="6"/>
  <c r="G18" i="6"/>
  <c r="H23" i="6"/>
  <c r="H22" i="6"/>
  <c r="B30" i="6"/>
  <c r="C30" i="6"/>
  <c r="D30" i="6"/>
  <c r="E30" i="6"/>
  <c r="F30" i="6"/>
  <c r="G30" i="6"/>
  <c r="H30" i="6"/>
  <c r="I31" i="6"/>
  <c r="I32" i="6"/>
  <c r="J32" i="6"/>
  <c r="I33" i="6"/>
  <c r="I34" i="6"/>
  <c r="J34" i="6"/>
  <c r="I35" i="6"/>
  <c r="B36" i="6"/>
  <c r="C36" i="6"/>
  <c r="D36" i="6"/>
  <c r="E36" i="6"/>
  <c r="F36" i="6"/>
  <c r="G36" i="6"/>
  <c r="H36" i="6"/>
  <c r="B50" i="6"/>
  <c r="B49" i="6"/>
  <c r="C50" i="6"/>
  <c r="C49" i="6"/>
  <c r="D50" i="6"/>
  <c r="D49" i="6"/>
  <c r="E50" i="6"/>
  <c r="E49" i="6"/>
  <c r="F50" i="6"/>
  <c r="F49" i="6"/>
  <c r="G50" i="6"/>
  <c r="G49" i="6"/>
  <c r="H50" i="6"/>
  <c r="H49" i="6"/>
  <c r="B57" i="6"/>
  <c r="C57" i="6"/>
  <c r="D57" i="6"/>
  <c r="E57" i="6"/>
  <c r="F57" i="6"/>
  <c r="G57" i="6"/>
  <c r="H57" i="6"/>
  <c r="I58" i="6"/>
  <c r="J58" i="6"/>
  <c r="J77" i="6"/>
  <c r="I59" i="6"/>
  <c r="I60" i="6"/>
  <c r="J60" i="6"/>
  <c r="I61" i="6"/>
  <c r="I62" i="6"/>
  <c r="J62" i="6"/>
  <c r="B63" i="6"/>
  <c r="C63" i="6"/>
  <c r="D63" i="6"/>
  <c r="E63" i="6"/>
  <c r="F63" i="6"/>
  <c r="G63" i="6"/>
  <c r="H63" i="6"/>
  <c r="B77" i="6"/>
  <c r="B76" i="6"/>
  <c r="B72" i="6"/>
  <c r="C77" i="6"/>
  <c r="C76" i="6"/>
  <c r="C71" i="6"/>
  <c r="D77" i="6"/>
  <c r="D76" i="6"/>
  <c r="E77" i="6"/>
  <c r="E76" i="6"/>
  <c r="F77" i="6"/>
  <c r="F76" i="6"/>
  <c r="F73" i="6"/>
  <c r="G77" i="6"/>
  <c r="G76" i="6"/>
  <c r="G71" i="6"/>
  <c r="H77" i="6"/>
  <c r="H76" i="6"/>
  <c r="B84" i="6"/>
  <c r="C84" i="6"/>
  <c r="D84" i="6"/>
  <c r="E84" i="6"/>
  <c r="F84" i="6"/>
  <c r="G84" i="6"/>
  <c r="H84" i="6"/>
  <c r="I85" i="6"/>
  <c r="E868" i="6"/>
  <c r="I86" i="6"/>
  <c r="J86" i="6"/>
  <c r="I87" i="6"/>
  <c r="J87" i="6"/>
  <c r="I88" i="6"/>
  <c r="J88" i="6"/>
  <c r="I89" i="6"/>
  <c r="J89" i="6"/>
  <c r="B90" i="6"/>
  <c r="C90" i="6"/>
  <c r="D90" i="6"/>
  <c r="E90" i="6"/>
  <c r="F90" i="6"/>
  <c r="G90" i="6"/>
  <c r="H90" i="6"/>
  <c r="B104" i="6"/>
  <c r="B103" i="6"/>
  <c r="C104" i="6"/>
  <c r="C103" i="6"/>
  <c r="D104" i="6"/>
  <c r="D103" i="6"/>
  <c r="E104" i="6"/>
  <c r="E103" i="6"/>
  <c r="F104" i="6"/>
  <c r="F103" i="6"/>
  <c r="F100" i="6"/>
  <c r="G104" i="6"/>
  <c r="G103" i="6"/>
  <c r="G105" i="6"/>
  <c r="H104" i="6"/>
  <c r="H103" i="6"/>
  <c r="B111" i="6"/>
  <c r="C111" i="6"/>
  <c r="D111" i="6"/>
  <c r="E111" i="6"/>
  <c r="F111" i="6"/>
  <c r="G111" i="6"/>
  <c r="H111" i="6"/>
  <c r="I112" i="6"/>
  <c r="I113" i="6"/>
  <c r="I114" i="6"/>
  <c r="I115" i="6"/>
  <c r="I116" i="6"/>
  <c r="B117" i="6"/>
  <c r="C117" i="6"/>
  <c r="D117" i="6"/>
  <c r="E117" i="6"/>
  <c r="F117" i="6"/>
  <c r="G117" i="6"/>
  <c r="H117" i="6"/>
  <c r="B131" i="6"/>
  <c r="B130" i="6"/>
  <c r="B126" i="6"/>
  <c r="C131" i="6"/>
  <c r="C130" i="6"/>
  <c r="C125" i="6"/>
  <c r="D131" i="6"/>
  <c r="D130" i="6"/>
  <c r="D132" i="6"/>
  <c r="E131" i="6"/>
  <c r="E130" i="6"/>
  <c r="F131" i="6"/>
  <c r="F130" i="6"/>
  <c r="F132" i="6"/>
  <c r="G131" i="6"/>
  <c r="G130" i="6"/>
  <c r="G125" i="6"/>
  <c r="H131" i="6"/>
  <c r="H130" i="6"/>
  <c r="H127" i="6"/>
  <c r="E869" i="6"/>
  <c r="D870" i="6"/>
  <c r="B893" i="6"/>
  <c r="C893" i="6"/>
  <c r="D893" i="6"/>
  <c r="E893" i="6"/>
  <c r="AG893" i="6"/>
  <c r="AG895" i="6"/>
  <c r="B896" i="6"/>
  <c r="C896" i="6"/>
  <c r="D896" i="6"/>
  <c r="E896" i="6"/>
  <c r="AG896" i="6"/>
  <c r="AG902" i="6"/>
  <c r="G127" i="6"/>
  <c r="G132" i="6"/>
  <c r="C127" i="6"/>
  <c r="C132" i="6"/>
  <c r="G99" i="6"/>
  <c r="C72" i="6"/>
  <c r="G1549" i="1"/>
  <c r="C1488" i="1"/>
  <c r="C1491" i="1"/>
  <c r="E1463" i="1"/>
  <c r="E1462" i="1"/>
  <c r="E1468" i="1"/>
  <c r="E1408" i="1"/>
  <c r="G1170" i="1"/>
  <c r="E1164" i="1"/>
  <c r="E1163" i="1"/>
  <c r="E1167" i="1"/>
  <c r="C1166" i="1"/>
  <c r="C1165" i="1"/>
  <c r="G1109" i="1"/>
  <c r="G1111" i="1"/>
  <c r="G1113" i="1"/>
  <c r="G1110" i="1"/>
  <c r="G1112" i="1"/>
  <c r="G1116" i="1"/>
  <c r="E1109" i="1"/>
  <c r="E1111" i="1"/>
  <c r="E1113" i="1"/>
  <c r="E1110" i="1"/>
  <c r="E1112" i="1"/>
  <c r="E1116" i="1"/>
  <c r="C1109" i="1"/>
  <c r="C1111" i="1"/>
  <c r="C1113" i="1"/>
  <c r="C1110" i="1"/>
  <c r="C1112" i="1"/>
  <c r="C1116" i="1"/>
  <c r="F1032" i="1"/>
  <c r="B1032" i="1"/>
  <c r="B1035" i="1"/>
  <c r="G1001" i="1"/>
  <c r="G1003" i="1"/>
  <c r="G1005" i="1"/>
  <c r="G1002" i="1"/>
  <c r="G1004" i="1"/>
  <c r="G1008" i="1"/>
  <c r="E1001" i="1"/>
  <c r="E1003" i="1"/>
  <c r="E1005" i="1"/>
  <c r="E1002" i="1"/>
  <c r="E1004" i="1"/>
  <c r="E1008" i="1"/>
  <c r="G947" i="1"/>
  <c r="G949" i="1"/>
  <c r="G951" i="1"/>
  <c r="G948" i="1"/>
  <c r="G950" i="1"/>
  <c r="G954" i="1"/>
  <c r="E947" i="1"/>
  <c r="E949" i="1"/>
  <c r="E951" i="1"/>
  <c r="E948" i="1"/>
  <c r="E950" i="1"/>
  <c r="E954" i="1"/>
  <c r="C947" i="1"/>
  <c r="C949" i="1"/>
  <c r="C951" i="1"/>
  <c r="C948" i="1"/>
  <c r="C950" i="1"/>
  <c r="C954" i="1"/>
  <c r="G920" i="1"/>
  <c r="G922" i="1"/>
  <c r="G919" i="1"/>
  <c r="G921" i="1"/>
  <c r="G923" i="1"/>
  <c r="E920" i="1"/>
  <c r="E922" i="1"/>
  <c r="E919" i="1"/>
  <c r="E921" i="1"/>
  <c r="E923" i="1"/>
  <c r="C920" i="1"/>
  <c r="C922" i="1"/>
  <c r="C919" i="1"/>
  <c r="C921" i="1"/>
  <c r="C923" i="1"/>
  <c r="B836" i="1"/>
  <c r="B835" i="1"/>
  <c r="B839" i="1"/>
  <c r="G781" i="1"/>
  <c r="G780" i="1"/>
  <c r="G786" i="1"/>
  <c r="E781" i="1"/>
  <c r="E780" i="1"/>
  <c r="E786" i="1"/>
  <c r="C781" i="1"/>
  <c r="C780" i="1"/>
  <c r="C786" i="1"/>
  <c r="G753" i="1"/>
  <c r="G752" i="1"/>
  <c r="G758" i="1"/>
  <c r="E753" i="1"/>
  <c r="E752" i="1"/>
  <c r="E758" i="1"/>
  <c r="C753" i="1"/>
  <c r="C752" i="1"/>
  <c r="C758" i="1"/>
  <c r="F726" i="1"/>
  <c r="F723" i="1"/>
  <c r="F727" i="1"/>
  <c r="G696" i="1"/>
  <c r="G698" i="1"/>
  <c r="G702" i="1"/>
  <c r="G695" i="1"/>
  <c r="G697" i="1"/>
  <c r="G699" i="1"/>
  <c r="E696" i="1"/>
  <c r="E698" i="1"/>
  <c r="E702" i="1"/>
  <c r="E695" i="1"/>
  <c r="E697" i="1"/>
  <c r="E699" i="1"/>
  <c r="G640" i="1"/>
  <c r="G642" i="1"/>
  <c r="G646" i="1"/>
  <c r="G639" i="1"/>
  <c r="G641" i="1"/>
  <c r="G643" i="1"/>
  <c r="E640" i="1"/>
  <c r="E642" i="1"/>
  <c r="E646" i="1"/>
  <c r="E639" i="1"/>
  <c r="E641" i="1"/>
  <c r="E643" i="1"/>
  <c r="G613" i="1"/>
  <c r="G619" i="1"/>
  <c r="G614" i="1"/>
  <c r="E613" i="1"/>
  <c r="E619" i="1"/>
  <c r="E614" i="1"/>
  <c r="C613" i="1"/>
  <c r="C619" i="1"/>
  <c r="C614" i="1"/>
  <c r="G557" i="1"/>
  <c r="G563" i="1"/>
  <c r="G558" i="1"/>
  <c r="E557" i="1"/>
  <c r="E563" i="1"/>
  <c r="E558" i="1"/>
  <c r="C557" i="1"/>
  <c r="C563" i="1"/>
  <c r="C558" i="1"/>
  <c r="F528" i="1"/>
  <c r="F532" i="1"/>
  <c r="F531" i="1"/>
  <c r="H501" i="1"/>
  <c r="H503" i="1"/>
  <c r="H507" i="1"/>
  <c r="H500" i="1"/>
  <c r="H502" i="1"/>
  <c r="H504" i="1"/>
  <c r="F501" i="1"/>
  <c r="F503" i="1"/>
  <c r="F507" i="1"/>
  <c r="F500" i="1"/>
  <c r="F502" i="1"/>
  <c r="F504" i="1"/>
  <c r="D501" i="1"/>
  <c r="D503" i="1"/>
  <c r="D507" i="1"/>
  <c r="D500" i="1"/>
  <c r="D502" i="1"/>
  <c r="D504" i="1"/>
  <c r="B501" i="1"/>
  <c r="B503" i="1"/>
  <c r="B507" i="1"/>
  <c r="B500" i="1"/>
  <c r="B502" i="1"/>
  <c r="B504" i="1"/>
  <c r="I505" i="1"/>
  <c r="C472" i="1"/>
  <c r="C474" i="1"/>
  <c r="C476" i="1"/>
  <c r="C473" i="1"/>
  <c r="C475" i="1"/>
  <c r="C479" i="1"/>
  <c r="D305" i="1"/>
  <c r="D307" i="1"/>
  <c r="D304" i="1"/>
  <c r="D306" i="1"/>
  <c r="D308" i="1"/>
  <c r="F249" i="1"/>
  <c r="F251" i="1"/>
  <c r="F255" i="1"/>
  <c r="F248" i="1"/>
  <c r="F250" i="1"/>
  <c r="F252" i="1"/>
  <c r="D249" i="1"/>
  <c r="D251" i="1"/>
  <c r="D248" i="1"/>
  <c r="D250" i="1"/>
  <c r="D252" i="1"/>
  <c r="G190" i="1"/>
  <c r="G196" i="1"/>
  <c r="G191" i="1"/>
  <c r="E190" i="1"/>
  <c r="E196" i="1"/>
  <c r="E191" i="1"/>
  <c r="C190" i="1"/>
  <c r="C196" i="1"/>
  <c r="C191" i="1"/>
  <c r="F126" i="6"/>
  <c r="F127" i="6"/>
  <c r="B132" i="6"/>
  <c r="F105" i="6"/>
  <c r="F78" i="6"/>
  <c r="B78" i="6"/>
  <c r="C1625" i="1"/>
  <c r="H1544" i="1"/>
  <c r="H1543" i="1"/>
  <c r="H1549" i="1"/>
  <c r="F1544" i="1"/>
  <c r="F1543" i="1"/>
  <c r="F1549" i="1"/>
  <c r="H1489" i="1"/>
  <c r="F1495" i="1"/>
  <c r="F1464" i="1"/>
  <c r="F1465" i="1"/>
  <c r="C1434" i="1"/>
  <c r="C1436" i="1"/>
  <c r="C1438" i="1"/>
  <c r="C1435" i="1"/>
  <c r="C1437" i="1"/>
  <c r="C1441" i="1"/>
  <c r="F1408" i="1"/>
  <c r="F1409" i="1"/>
  <c r="F1275" i="1"/>
  <c r="F1272" i="1"/>
  <c r="F1276" i="1"/>
  <c r="F1248" i="1"/>
  <c r="F1245" i="1"/>
  <c r="F1249" i="1"/>
  <c r="H1165" i="1"/>
  <c r="H1164" i="1"/>
  <c r="H1170" i="1"/>
  <c r="F1165" i="1"/>
  <c r="F1164" i="1"/>
  <c r="F1170" i="1"/>
  <c r="D1165" i="1"/>
  <c r="D1164" i="1"/>
  <c r="D1170" i="1"/>
  <c r="H1110" i="1"/>
  <c r="H1116" i="1"/>
  <c r="H1111" i="1"/>
  <c r="F1110" i="1"/>
  <c r="F1116" i="1"/>
  <c r="F1111" i="1"/>
  <c r="D1110" i="1"/>
  <c r="D1116" i="1"/>
  <c r="D1111" i="1"/>
  <c r="B1110" i="1"/>
  <c r="B1116" i="1"/>
  <c r="B1111" i="1"/>
  <c r="I1114" i="1"/>
  <c r="E1029" i="1"/>
  <c r="E1031" i="1"/>
  <c r="E1028" i="1"/>
  <c r="E1030" i="1"/>
  <c r="E1032" i="1"/>
  <c r="F1004" i="1"/>
  <c r="F1001" i="1"/>
  <c r="F1005" i="1"/>
  <c r="H948" i="1"/>
  <c r="H954" i="1"/>
  <c r="H949" i="1"/>
  <c r="F948" i="1"/>
  <c r="F954" i="1"/>
  <c r="F949" i="1"/>
  <c r="D948" i="1"/>
  <c r="D954" i="1"/>
  <c r="D949" i="1"/>
  <c r="H780" i="1"/>
  <c r="H782" i="1"/>
  <c r="H786" i="1"/>
  <c r="H779" i="1"/>
  <c r="H781" i="1"/>
  <c r="H783" i="1"/>
  <c r="F780" i="1"/>
  <c r="F782" i="1"/>
  <c r="F786" i="1"/>
  <c r="F779" i="1"/>
  <c r="F781" i="1"/>
  <c r="F783" i="1"/>
  <c r="D780" i="1"/>
  <c r="D782" i="1"/>
  <c r="D786" i="1"/>
  <c r="D779" i="1"/>
  <c r="D781" i="1"/>
  <c r="D783" i="1"/>
  <c r="B780" i="1"/>
  <c r="B782" i="1"/>
  <c r="B786" i="1"/>
  <c r="B779" i="1"/>
  <c r="B781" i="1"/>
  <c r="B783" i="1"/>
  <c r="I784" i="1"/>
  <c r="H752" i="1"/>
  <c r="H754" i="1"/>
  <c r="H758" i="1"/>
  <c r="H751" i="1"/>
  <c r="H753" i="1"/>
  <c r="H755" i="1"/>
  <c r="F752" i="1"/>
  <c r="F754" i="1"/>
  <c r="F758" i="1"/>
  <c r="F751" i="1"/>
  <c r="F753" i="1"/>
  <c r="F755" i="1"/>
  <c r="D752" i="1"/>
  <c r="D754" i="1"/>
  <c r="D758" i="1"/>
  <c r="D751" i="1"/>
  <c r="D753" i="1"/>
  <c r="D755" i="1"/>
  <c r="B752" i="1"/>
  <c r="B754" i="1"/>
  <c r="B758" i="1"/>
  <c r="B751" i="1"/>
  <c r="B753" i="1"/>
  <c r="B755" i="1"/>
  <c r="G723" i="1"/>
  <c r="G725" i="1"/>
  <c r="G727" i="1"/>
  <c r="G724" i="1"/>
  <c r="G726" i="1"/>
  <c r="G730" i="1"/>
  <c r="E723" i="1"/>
  <c r="E725" i="1"/>
  <c r="E727" i="1"/>
  <c r="E724" i="1"/>
  <c r="E726" i="1"/>
  <c r="E730" i="1"/>
  <c r="F695" i="1"/>
  <c r="F699" i="1"/>
  <c r="F698" i="1"/>
  <c r="F639" i="1"/>
  <c r="F643" i="1"/>
  <c r="F642" i="1"/>
  <c r="H612" i="1"/>
  <c r="H614" i="1"/>
  <c r="H616" i="1"/>
  <c r="H613" i="1"/>
  <c r="H615" i="1"/>
  <c r="H619" i="1"/>
  <c r="F612" i="1"/>
  <c r="F614" i="1"/>
  <c r="F616" i="1"/>
  <c r="F613" i="1"/>
  <c r="F615" i="1"/>
  <c r="F619" i="1"/>
  <c r="D612" i="1"/>
  <c r="D614" i="1"/>
  <c r="D616" i="1"/>
  <c r="D613" i="1"/>
  <c r="D615" i="1"/>
  <c r="D619" i="1"/>
  <c r="B612" i="1"/>
  <c r="B614" i="1"/>
  <c r="I614" i="1"/>
  <c r="B616" i="1"/>
  <c r="I617" i="1"/>
  <c r="B613" i="1"/>
  <c r="B615" i="1"/>
  <c r="B619" i="1"/>
  <c r="H556" i="1"/>
  <c r="H558" i="1"/>
  <c r="H560" i="1"/>
  <c r="H557" i="1"/>
  <c r="H559" i="1"/>
  <c r="H563" i="1"/>
  <c r="F556" i="1"/>
  <c r="F558" i="1"/>
  <c r="F560" i="1"/>
  <c r="F557" i="1"/>
  <c r="F559" i="1"/>
  <c r="F563" i="1"/>
  <c r="D556" i="1"/>
  <c r="D558" i="1"/>
  <c r="D560" i="1"/>
  <c r="D557" i="1"/>
  <c r="D559" i="1"/>
  <c r="D563" i="1"/>
  <c r="B556" i="1"/>
  <c r="B558" i="1"/>
  <c r="B560" i="1"/>
  <c r="B557" i="1"/>
  <c r="B559" i="1"/>
  <c r="B563" i="1"/>
  <c r="G529" i="1"/>
  <c r="G531" i="1"/>
  <c r="G535" i="1"/>
  <c r="G528" i="1"/>
  <c r="G530" i="1"/>
  <c r="G532" i="1"/>
  <c r="E529" i="1"/>
  <c r="E531" i="1"/>
  <c r="E535" i="1"/>
  <c r="E528" i="1"/>
  <c r="E530" i="1"/>
  <c r="E532" i="1"/>
  <c r="G502" i="1"/>
  <c r="G501" i="1"/>
  <c r="G507" i="1"/>
  <c r="E502" i="1"/>
  <c r="E501" i="1"/>
  <c r="E507" i="1"/>
  <c r="C502" i="1"/>
  <c r="C501" i="1"/>
  <c r="C507" i="1"/>
  <c r="C444" i="1"/>
  <c r="C446" i="1"/>
  <c r="C448" i="1"/>
  <c r="C445" i="1"/>
  <c r="C447" i="1"/>
  <c r="C451" i="1"/>
  <c r="H361" i="1"/>
  <c r="H363" i="1"/>
  <c r="H360" i="1"/>
  <c r="H362" i="1"/>
  <c r="H364" i="1"/>
  <c r="D361" i="1"/>
  <c r="D363" i="1"/>
  <c r="D360" i="1"/>
  <c r="D362" i="1"/>
  <c r="D364" i="1"/>
  <c r="H218" i="1"/>
  <c r="H220" i="1"/>
  <c r="H217" i="1"/>
  <c r="H219" i="1"/>
  <c r="H221" i="1"/>
  <c r="H189" i="1"/>
  <c r="H191" i="1"/>
  <c r="H193" i="1"/>
  <c r="H190" i="1"/>
  <c r="H192" i="1"/>
  <c r="H196" i="1"/>
  <c r="F189" i="1"/>
  <c r="F191" i="1"/>
  <c r="F193" i="1"/>
  <c r="F190" i="1"/>
  <c r="F192" i="1"/>
  <c r="F196" i="1"/>
  <c r="D189" i="1"/>
  <c r="D191" i="1"/>
  <c r="D193" i="1"/>
  <c r="D190" i="1"/>
  <c r="D192" i="1"/>
  <c r="D196" i="1"/>
  <c r="B189" i="1"/>
  <c r="B191" i="1"/>
  <c r="B193" i="1"/>
  <c r="B190" i="1"/>
  <c r="B192" i="1"/>
  <c r="B196" i="1"/>
  <c r="G135" i="1"/>
  <c r="G139" i="1"/>
  <c r="G134" i="1"/>
  <c r="C135" i="1"/>
  <c r="C139" i="1"/>
  <c r="C134" i="1"/>
  <c r="C1341" i="4"/>
  <c r="C1342" i="4"/>
  <c r="D1308" i="4"/>
  <c r="G1227" i="4"/>
  <c r="I90" i="6"/>
  <c r="G20" i="6"/>
  <c r="G1383" i="1"/>
  <c r="C1383" i="1"/>
  <c r="G1381" i="1"/>
  <c r="C1381" i="1"/>
  <c r="G1356" i="1"/>
  <c r="E1356" i="1"/>
  <c r="G1354" i="1"/>
  <c r="E1354" i="1"/>
  <c r="G1275" i="1"/>
  <c r="G1273" i="1"/>
  <c r="G1248" i="1"/>
  <c r="G1246" i="1"/>
  <c r="H922" i="1"/>
  <c r="D922" i="1"/>
  <c r="H920" i="1"/>
  <c r="D920" i="1"/>
  <c r="C838" i="1"/>
  <c r="C836" i="1"/>
  <c r="L458" i="1"/>
  <c r="E363" i="1"/>
  <c r="E307" i="1"/>
  <c r="G305" i="1"/>
  <c r="E251" i="1"/>
  <c r="G249" i="1"/>
  <c r="C218" i="1"/>
  <c r="H136" i="1"/>
  <c r="F136" i="1"/>
  <c r="D136" i="1"/>
  <c r="B136" i="1"/>
  <c r="H135" i="1"/>
  <c r="F135" i="1"/>
  <c r="D135" i="1"/>
  <c r="B135" i="1"/>
  <c r="H133" i="1"/>
  <c r="F133" i="1"/>
  <c r="D133" i="1"/>
  <c r="B133" i="1"/>
  <c r="G21" i="6"/>
  <c r="G19" i="6"/>
  <c r="G1384" i="1"/>
  <c r="C1384" i="1"/>
  <c r="G1382" i="1"/>
  <c r="C1382" i="1"/>
  <c r="G1357" i="1"/>
  <c r="E1357" i="1"/>
  <c r="G1355" i="1"/>
  <c r="E1355" i="1"/>
  <c r="G1276" i="1"/>
  <c r="G1274" i="1"/>
  <c r="G1249" i="1"/>
  <c r="G1247" i="1"/>
  <c r="E1170" i="1"/>
  <c r="C1170" i="1"/>
  <c r="E1035" i="1"/>
  <c r="G926" i="1"/>
  <c r="E926" i="1"/>
  <c r="C926" i="1"/>
  <c r="I924" i="1"/>
  <c r="F923" i="1"/>
  <c r="B923" i="1"/>
  <c r="F921" i="1"/>
  <c r="B921" i="1"/>
  <c r="E895" i="1"/>
  <c r="G893" i="1"/>
  <c r="C893" i="1"/>
  <c r="E870" i="1"/>
  <c r="H867" i="1"/>
  <c r="H865" i="1"/>
  <c r="B842" i="1"/>
  <c r="C839" i="1"/>
  <c r="C837" i="1"/>
  <c r="J486" i="1"/>
  <c r="H395" i="1"/>
  <c r="B395" i="1"/>
  <c r="H367" i="1"/>
  <c r="D367" i="1"/>
  <c r="E364" i="1"/>
  <c r="G362" i="1"/>
  <c r="E362" i="1"/>
  <c r="C362" i="1"/>
  <c r="F336" i="1"/>
  <c r="F334" i="1"/>
  <c r="H311" i="1"/>
  <c r="D311" i="1"/>
  <c r="B311" i="1"/>
  <c r="G308" i="1"/>
  <c r="E308" i="1"/>
  <c r="G306" i="1"/>
  <c r="E306" i="1"/>
  <c r="C306" i="1"/>
  <c r="F280" i="1"/>
  <c r="F278" i="1"/>
  <c r="H255" i="1"/>
  <c r="D255" i="1"/>
  <c r="I254" i="1"/>
  <c r="G252" i="1"/>
  <c r="E252" i="1"/>
  <c r="G250" i="1"/>
  <c r="E250" i="1"/>
  <c r="C250" i="1"/>
  <c r="H224" i="1"/>
  <c r="D224" i="1"/>
  <c r="E221" i="1"/>
  <c r="C221" i="1"/>
  <c r="G219" i="1"/>
  <c r="C219" i="1"/>
  <c r="H134" i="1"/>
  <c r="F134" i="1"/>
  <c r="D134" i="1"/>
  <c r="B134" i="1"/>
  <c r="G1091" i="4"/>
  <c r="C1067" i="4"/>
  <c r="H1039" i="4"/>
  <c r="H1038" i="4"/>
  <c r="H1044" i="4"/>
  <c r="F1037" i="4"/>
  <c r="F1039" i="4"/>
  <c r="F1041" i="4"/>
  <c r="F1038" i="4"/>
  <c r="F1040" i="4"/>
  <c r="F1044" i="4"/>
  <c r="F1045" i="4"/>
  <c r="D1039" i="4"/>
  <c r="D1038" i="4"/>
  <c r="D1044" i="4"/>
  <c r="D1045" i="4"/>
  <c r="B1037" i="4"/>
  <c r="B1039" i="4"/>
  <c r="B1041" i="4"/>
  <c r="B1038" i="4"/>
  <c r="B1040" i="4"/>
  <c r="B1044" i="4"/>
  <c r="B1045" i="4"/>
  <c r="B1046" i="4"/>
  <c r="F983" i="4"/>
  <c r="F985" i="4"/>
  <c r="F987" i="4"/>
  <c r="F984" i="4"/>
  <c r="F986" i="4"/>
  <c r="F990" i="4"/>
  <c r="D985" i="4"/>
  <c r="D984" i="4"/>
  <c r="D990" i="4"/>
  <c r="D991" i="4"/>
  <c r="D992" i="4"/>
  <c r="B985" i="4"/>
  <c r="B990" i="4"/>
  <c r="H958" i="4"/>
  <c r="H957" i="4"/>
  <c r="H963" i="4"/>
  <c r="H964" i="4"/>
  <c r="H965" i="4"/>
  <c r="D958" i="4"/>
  <c r="D957" i="4"/>
  <c r="D963" i="4"/>
  <c r="F929" i="4"/>
  <c r="F931" i="4"/>
  <c r="F933" i="4"/>
  <c r="F930" i="4"/>
  <c r="F932" i="4"/>
  <c r="F936" i="4"/>
  <c r="F937" i="4"/>
  <c r="F938" i="4"/>
  <c r="B929" i="4"/>
  <c r="B931" i="4"/>
  <c r="B933" i="4"/>
  <c r="B930" i="4"/>
  <c r="B932" i="4"/>
  <c r="B936" i="4"/>
  <c r="B937" i="4"/>
  <c r="H903" i="4"/>
  <c r="D904" i="4"/>
  <c r="D903" i="4"/>
  <c r="D909" i="4"/>
  <c r="D910" i="4"/>
  <c r="F877" i="4"/>
  <c r="F876" i="4"/>
  <c r="F882" i="4"/>
  <c r="F883" i="4"/>
  <c r="B875" i="4"/>
  <c r="B877" i="4"/>
  <c r="B879" i="4"/>
  <c r="B876" i="4"/>
  <c r="B878" i="4"/>
  <c r="B882" i="4"/>
  <c r="H850" i="4"/>
  <c r="H849" i="4"/>
  <c r="H855" i="4"/>
  <c r="H856" i="4"/>
  <c r="H857" i="4"/>
  <c r="D850" i="4"/>
  <c r="D855" i="4"/>
  <c r="H796" i="4"/>
  <c r="H801" i="4"/>
  <c r="D796" i="4"/>
  <c r="D795" i="4"/>
  <c r="D801" i="4"/>
  <c r="G768" i="4"/>
  <c r="H740" i="4"/>
  <c r="H744" i="4"/>
  <c r="H743" i="4"/>
  <c r="D740" i="4"/>
  <c r="D742" i="4"/>
  <c r="D744" i="4"/>
  <c r="D741" i="4"/>
  <c r="D743" i="4"/>
  <c r="D747" i="4"/>
  <c r="D748" i="4"/>
  <c r="D749" i="4"/>
  <c r="G714" i="4"/>
  <c r="C715" i="4"/>
  <c r="C720" i="4"/>
  <c r="H688" i="4"/>
  <c r="H687" i="4"/>
  <c r="H693" i="4"/>
  <c r="H694" i="4"/>
  <c r="H695" i="4"/>
  <c r="D688" i="4"/>
  <c r="D693" i="4"/>
  <c r="H631" i="4"/>
  <c r="H635" i="4"/>
  <c r="H634" i="4"/>
  <c r="F633" i="4"/>
  <c r="F638" i="4"/>
  <c r="F639" i="4"/>
  <c r="D633" i="4"/>
  <c r="D632" i="4"/>
  <c r="D638" i="4"/>
  <c r="D639" i="4"/>
  <c r="D640" i="4"/>
  <c r="G604" i="4"/>
  <c r="H577" i="4"/>
  <c r="H576" i="4"/>
  <c r="H582" i="4"/>
  <c r="H583" i="4"/>
  <c r="D576" i="4"/>
  <c r="G548" i="4"/>
  <c r="C549" i="4"/>
  <c r="C554" i="4"/>
  <c r="C555" i="4"/>
  <c r="C556" i="4"/>
  <c r="F493" i="4"/>
  <c r="F492" i="4"/>
  <c r="F498" i="4"/>
  <c r="F499" i="4"/>
  <c r="F500" i="4"/>
  <c r="B491" i="4"/>
  <c r="B493" i="4"/>
  <c r="B495" i="4"/>
  <c r="B492" i="4"/>
  <c r="B494" i="4"/>
  <c r="B498" i="4"/>
  <c r="F437" i="4"/>
  <c r="F436" i="4"/>
  <c r="F442" i="4"/>
  <c r="F443" i="4"/>
  <c r="F444" i="4"/>
  <c r="B435" i="4"/>
  <c r="B437" i="4"/>
  <c r="B439" i="4"/>
  <c r="B436" i="4"/>
  <c r="B438" i="4"/>
  <c r="B442" i="4"/>
  <c r="B443" i="4"/>
  <c r="H408" i="4"/>
  <c r="D409" i="4"/>
  <c r="D414" i="4"/>
  <c r="G383" i="4"/>
  <c r="C382" i="4"/>
  <c r="H351" i="4"/>
  <c r="H355" i="4"/>
  <c r="H354" i="4"/>
  <c r="H358" i="4"/>
  <c r="H359" i="4"/>
  <c r="H360" i="4"/>
  <c r="F351" i="4"/>
  <c r="F353" i="4"/>
  <c r="F355" i="4"/>
  <c r="F352" i="4"/>
  <c r="F354" i="4"/>
  <c r="F358" i="4"/>
  <c r="F359" i="4"/>
  <c r="F360" i="4"/>
  <c r="D351" i="4"/>
  <c r="D353" i="4"/>
  <c r="D355" i="4"/>
  <c r="D352" i="4"/>
  <c r="D354" i="4"/>
  <c r="D358" i="4"/>
  <c r="D359" i="4"/>
  <c r="D360" i="4"/>
  <c r="B351" i="4"/>
  <c r="B353" i="4"/>
  <c r="B355" i="4"/>
  <c r="B352" i="4"/>
  <c r="B354" i="4"/>
  <c r="B358" i="4"/>
  <c r="B359" i="4"/>
  <c r="F296" i="4"/>
  <c r="F302" i="4"/>
  <c r="F303" i="4"/>
  <c r="F297" i="4"/>
  <c r="B296" i="4"/>
  <c r="B298" i="4"/>
  <c r="B302" i="4"/>
  <c r="B295" i="4"/>
  <c r="B297" i="4"/>
  <c r="B299" i="4"/>
  <c r="H268" i="4"/>
  <c r="D272" i="4"/>
  <c r="G244" i="4"/>
  <c r="G241" i="4"/>
  <c r="G245" i="4"/>
  <c r="C244" i="4"/>
  <c r="C241" i="4"/>
  <c r="C245" i="4"/>
  <c r="F217" i="4"/>
  <c r="D214" i="4"/>
  <c r="F190" i="4"/>
  <c r="E159" i="4"/>
  <c r="E161" i="4"/>
  <c r="E165" i="4"/>
  <c r="E166" i="4"/>
  <c r="E158" i="4"/>
  <c r="E160" i="4"/>
  <c r="E162" i="4"/>
  <c r="C159" i="4"/>
  <c r="C165" i="4"/>
  <c r="C160" i="4"/>
  <c r="F133" i="4"/>
  <c r="B130" i="4"/>
  <c r="E103" i="4"/>
  <c r="E105" i="4"/>
  <c r="E109" i="4"/>
  <c r="E102" i="4"/>
  <c r="E104" i="4"/>
  <c r="E106" i="4"/>
  <c r="G77" i="4"/>
  <c r="G74" i="4"/>
  <c r="G78" i="4"/>
  <c r="C77" i="4"/>
  <c r="C74" i="4"/>
  <c r="C78" i="4"/>
  <c r="H49" i="4"/>
  <c r="H50" i="4"/>
  <c r="D46" i="4"/>
  <c r="E19" i="4"/>
  <c r="E20" i="4"/>
  <c r="E21" i="4"/>
  <c r="E22" i="4"/>
  <c r="E23" i="4"/>
  <c r="E26" i="4"/>
  <c r="G1404" i="2"/>
  <c r="G1408" i="2"/>
  <c r="G1407" i="2"/>
  <c r="E1404" i="2"/>
  <c r="E1408" i="2"/>
  <c r="E1407" i="2"/>
  <c r="C1404" i="2"/>
  <c r="C1408" i="2"/>
  <c r="C1407" i="2"/>
  <c r="G1376" i="2"/>
  <c r="G1378" i="2"/>
  <c r="G1380" i="2"/>
  <c r="G1377" i="2"/>
  <c r="G1379" i="2"/>
  <c r="G1383" i="2"/>
  <c r="E1376" i="2"/>
  <c r="E1378" i="2"/>
  <c r="E1380" i="2"/>
  <c r="E1377" i="2"/>
  <c r="E1379" i="2"/>
  <c r="E1383" i="2"/>
  <c r="C1376" i="2"/>
  <c r="C1378" i="2"/>
  <c r="C1380" i="2"/>
  <c r="C1377" i="2"/>
  <c r="C1379" i="2"/>
  <c r="C1383" i="2"/>
  <c r="G1320" i="2"/>
  <c r="G1322" i="2"/>
  <c r="G1324" i="2"/>
  <c r="G1321" i="2"/>
  <c r="G1323" i="2"/>
  <c r="G1327" i="2"/>
  <c r="E1320" i="2"/>
  <c r="E1322" i="2"/>
  <c r="E1324" i="2"/>
  <c r="E1321" i="2"/>
  <c r="E1323" i="2"/>
  <c r="E1327" i="2"/>
  <c r="C1320" i="2"/>
  <c r="C1322" i="2"/>
  <c r="C1324" i="2"/>
  <c r="C1321" i="2"/>
  <c r="C1323" i="2"/>
  <c r="C1327" i="2"/>
  <c r="H1292" i="2"/>
  <c r="H1294" i="2"/>
  <c r="H1296" i="2"/>
  <c r="H1293" i="2"/>
  <c r="H1295" i="2"/>
  <c r="H1299" i="2"/>
  <c r="F1292" i="2"/>
  <c r="F1294" i="2"/>
  <c r="F1296" i="2"/>
  <c r="F1293" i="2"/>
  <c r="F1295" i="2"/>
  <c r="F1299" i="2"/>
  <c r="D1292" i="2"/>
  <c r="D1294" i="2"/>
  <c r="D1296" i="2"/>
  <c r="D1293" i="2"/>
  <c r="D1295" i="2"/>
  <c r="D1299" i="2"/>
  <c r="B1292" i="2"/>
  <c r="B1294" i="2"/>
  <c r="B1296" i="2"/>
  <c r="B1293" i="2"/>
  <c r="B1295" i="2"/>
  <c r="B1299" i="2"/>
  <c r="G1181" i="2"/>
  <c r="G1183" i="2"/>
  <c r="G1187" i="2"/>
  <c r="G1180" i="2"/>
  <c r="G1182" i="2"/>
  <c r="G1184" i="2"/>
  <c r="E1181" i="2"/>
  <c r="E1183" i="2"/>
  <c r="E1187" i="2"/>
  <c r="E1180" i="2"/>
  <c r="E1182" i="2"/>
  <c r="E1184" i="2"/>
  <c r="C1181" i="2"/>
  <c r="C1183" i="2"/>
  <c r="C1187" i="2"/>
  <c r="C1180" i="2"/>
  <c r="C1182" i="2"/>
  <c r="C1184" i="2"/>
  <c r="H1152" i="2"/>
  <c r="H1154" i="2"/>
  <c r="H1156" i="2"/>
  <c r="H1153" i="2"/>
  <c r="H1155" i="2"/>
  <c r="H1159" i="2"/>
  <c r="F1152" i="2"/>
  <c r="F1154" i="2"/>
  <c r="F1156" i="2"/>
  <c r="F1153" i="2"/>
  <c r="F1155" i="2"/>
  <c r="F1159" i="2"/>
  <c r="D1152" i="2"/>
  <c r="D1154" i="2"/>
  <c r="D1156" i="2"/>
  <c r="D1153" i="2"/>
  <c r="D1155" i="2"/>
  <c r="D1159" i="2"/>
  <c r="B1152" i="2"/>
  <c r="B1154" i="2"/>
  <c r="B1156" i="2"/>
  <c r="B1153" i="2"/>
  <c r="B1155" i="2"/>
  <c r="B1159" i="2"/>
  <c r="H1124" i="2"/>
  <c r="H1128" i="2"/>
  <c r="H1127" i="2"/>
  <c r="F1124" i="2"/>
  <c r="F1128" i="2"/>
  <c r="F1127" i="2"/>
  <c r="D1124" i="2"/>
  <c r="D1128" i="2"/>
  <c r="D1127" i="2"/>
  <c r="B1124" i="2"/>
  <c r="B1128" i="2"/>
  <c r="B1127" i="2"/>
  <c r="G1040" i="2"/>
  <c r="G1044" i="2"/>
  <c r="G1043" i="2"/>
  <c r="E1040" i="2"/>
  <c r="E1044" i="2"/>
  <c r="E1041" i="2"/>
  <c r="C1040" i="2"/>
  <c r="C1042" i="2"/>
  <c r="C1044" i="2"/>
  <c r="C1041" i="2"/>
  <c r="C1043" i="2"/>
  <c r="C1047" i="2"/>
  <c r="G1041" i="4"/>
  <c r="C1040" i="4"/>
  <c r="F519" i="4"/>
  <c r="F521" i="4"/>
  <c r="F523" i="4"/>
  <c r="F520" i="4"/>
  <c r="F522" i="4"/>
  <c r="F526" i="4"/>
  <c r="F527" i="4"/>
  <c r="B519" i="4"/>
  <c r="B523" i="4"/>
  <c r="B522" i="4"/>
  <c r="F463" i="4"/>
  <c r="F465" i="4"/>
  <c r="F467" i="4"/>
  <c r="F464" i="4"/>
  <c r="F466" i="4"/>
  <c r="F470" i="4"/>
  <c r="F471" i="4"/>
  <c r="F472" i="4"/>
  <c r="B463" i="4"/>
  <c r="B467" i="4"/>
  <c r="B466" i="4"/>
  <c r="G351" i="4"/>
  <c r="E354" i="4"/>
  <c r="E355" i="4"/>
  <c r="C351" i="4"/>
  <c r="G324" i="4"/>
  <c r="G326" i="4"/>
  <c r="G330" i="4"/>
  <c r="G331" i="4"/>
  <c r="G332" i="4"/>
  <c r="G323" i="4"/>
  <c r="G325" i="4"/>
  <c r="G327" i="4"/>
  <c r="C324" i="4"/>
  <c r="C330" i="4"/>
  <c r="C325" i="4"/>
  <c r="H1405" i="2"/>
  <c r="H1411" i="2"/>
  <c r="H1406" i="2"/>
  <c r="F1405" i="2"/>
  <c r="F1411" i="2"/>
  <c r="F1406" i="2"/>
  <c r="D1405" i="2"/>
  <c r="D1411" i="2"/>
  <c r="D1406" i="2"/>
  <c r="B1405" i="2"/>
  <c r="B1407" i="2"/>
  <c r="B1411" i="2"/>
  <c r="B1406" i="2"/>
  <c r="B1408" i="2"/>
  <c r="H1377" i="2"/>
  <c r="H1379" i="2"/>
  <c r="H1383" i="2"/>
  <c r="H1376" i="2"/>
  <c r="H1378" i="2"/>
  <c r="H1380" i="2"/>
  <c r="F1377" i="2"/>
  <c r="F1379" i="2"/>
  <c r="F1383" i="2"/>
  <c r="F1376" i="2"/>
  <c r="F1378" i="2"/>
  <c r="F1380" i="2"/>
  <c r="D1377" i="2"/>
  <c r="D1379" i="2"/>
  <c r="D1383" i="2"/>
  <c r="D1376" i="2"/>
  <c r="D1378" i="2"/>
  <c r="D1380" i="2"/>
  <c r="B1377" i="2"/>
  <c r="I1377" i="2"/>
  <c r="B1379" i="2"/>
  <c r="B1383" i="2"/>
  <c r="B1376" i="2"/>
  <c r="B1378" i="2"/>
  <c r="I1378" i="2"/>
  <c r="J1378" i="2"/>
  <c r="B1380" i="2"/>
  <c r="H1321" i="2"/>
  <c r="H1323" i="2"/>
  <c r="H1327" i="2"/>
  <c r="H1320" i="2"/>
  <c r="H1322" i="2"/>
  <c r="H1324" i="2"/>
  <c r="F1321" i="2"/>
  <c r="F1323" i="2"/>
  <c r="F1327" i="2"/>
  <c r="F1320" i="2"/>
  <c r="F1322" i="2"/>
  <c r="F1324" i="2"/>
  <c r="D1321" i="2"/>
  <c r="D1323" i="2"/>
  <c r="D1327" i="2"/>
  <c r="D1320" i="2"/>
  <c r="D1322" i="2"/>
  <c r="D1324" i="2"/>
  <c r="B1321" i="2"/>
  <c r="I1321" i="2"/>
  <c r="AV2188" i="2"/>
  <c r="AV2205" i="2"/>
  <c r="B1323" i="2"/>
  <c r="B1327" i="2"/>
  <c r="B1320" i="2"/>
  <c r="B1322" i="2"/>
  <c r="I1322" i="2"/>
  <c r="J1322" i="2"/>
  <c r="B1324" i="2"/>
  <c r="G1293" i="2"/>
  <c r="G1295" i="2"/>
  <c r="G1299" i="2"/>
  <c r="G1292" i="2"/>
  <c r="G1294" i="2"/>
  <c r="G1296" i="2"/>
  <c r="E1293" i="2"/>
  <c r="E1295" i="2"/>
  <c r="E1299" i="2"/>
  <c r="E1292" i="2"/>
  <c r="E1294" i="2"/>
  <c r="E1296" i="2"/>
  <c r="C1293" i="2"/>
  <c r="C1295" i="2"/>
  <c r="C1299" i="2"/>
  <c r="C1292" i="2"/>
  <c r="C1294" i="2"/>
  <c r="C1296" i="2"/>
  <c r="H1180" i="2"/>
  <c r="H1182" i="2"/>
  <c r="H1184" i="2"/>
  <c r="H1181" i="2"/>
  <c r="H1183" i="2"/>
  <c r="H1187" i="2"/>
  <c r="F1180" i="2"/>
  <c r="F1182" i="2"/>
  <c r="F1184" i="2"/>
  <c r="F1181" i="2"/>
  <c r="F1183" i="2"/>
  <c r="F1187" i="2"/>
  <c r="D1180" i="2"/>
  <c r="D1182" i="2"/>
  <c r="D1184" i="2"/>
  <c r="D1181" i="2"/>
  <c r="D1183" i="2"/>
  <c r="D1187" i="2"/>
  <c r="B1180" i="2"/>
  <c r="I1180" i="2"/>
  <c r="J1180" i="2"/>
  <c r="B1182" i="2"/>
  <c r="B1184" i="2"/>
  <c r="I1184" i="2"/>
  <c r="J1184" i="2"/>
  <c r="B1181" i="2"/>
  <c r="B1183" i="2"/>
  <c r="I1183" i="2"/>
  <c r="J1183" i="2"/>
  <c r="B1187" i="2"/>
  <c r="G1153" i="2"/>
  <c r="G1155" i="2"/>
  <c r="G1159" i="2"/>
  <c r="G1152" i="2"/>
  <c r="G1154" i="2"/>
  <c r="G1156" i="2"/>
  <c r="E1153" i="2"/>
  <c r="E1155" i="2"/>
  <c r="E1159" i="2"/>
  <c r="E1152" i="2"/>
  <c r="E1154" i="2"/>
  <c r="E1156" i="2"/>
  <c r="C1153" i="2"/>
  <c r="C1155" i="2"/>
  <c r="C1159" i="2"/>
  <c r="C1152" i="2"/>
  <c r="C1154" i="2"/>
  <c r="C1156" i="2"/>
  <c r="G1127" i="2"/>
  <c r="G1124" i="2"/>
  <c r="G1128" i="2"/>
  <c r="E1127" i="2"/>
  <c r="E1124" i="2"/>
  <c r="E1128" i="2"/>
  <c r="C1127" i="2"/>
  <c r="C1124" i="2"/>
  <c r="C1128" i="2"/>
  <c r="E1068" i="2"/>
  <c r="E1070" i="2"/>
  <c r="E1072" i="2"/>
  <c r="E1069" i="2"/>
  <c r="E1071" i="2"/>
  <c r="E1075" i="2"/>
  <c r="D1041" i="2"/>
  <c r="D1043" i="2"/>
  <c r="B1043" i="2"/>
  <c r="G535" i="2"/>
  <c r="G534" i="2"/>
  <c r="G540" i="2"/>
  <c r="C535" i="2"/>
  <c r="C534" i="2"/>
  <c r="C540" i="2"/>
  <c r="E506" i="2"/>
  <c r="E505" i="2"/>
  <c r="E511" i="2"/>
  <c r="C506" i="2"/>
  <c r="C505" i="2"/>
  <c r="C511" i="2"/>
  <c r="F1364" i="4"/>
  <c r="B1364" i="4"/>
  <c r="F1362" i="4"/>
  <c r="B1362" i="4"/>
  <c r="B1337" i="4"/>
  <c r="B1335" i="4"/>
  <c r="G1308" i="4"/>
  <c r="C1283" i="4"/>
  <c r="C1281" i="4"/>
  <c r="F1256" i="4"/>
  <c r="B1256" i="4"/>
  <c r="F1254" i="4"/>
  <c r="B1254" i="4"/>
  <c r="H1229" i="4"/>
  <c r="F1229" i="4"/>
  <c r="D1229" i="4"/>
  <c r="H1227" i="4"/>
  <c r="F1227" i="4"/>
  <c r="D1227" i="4"/>
  <c r="H1202" i="4"/>
  <c r="D1202" i="4"/>
  <c r="B1202" i="4"/>
  <c r="H1200" i="4"/>
  <c r="D1200" i="4"/>
  <c r="B1200" i="4"/>
  <c r="H1175" i="4"/>
  <c r="D1175" i="4"/>
  <c r="H1173" i="4"/>
  <c r="D1173" i="4"/>
  <c r="H1148" i="4"/>
  <c r="F1148" i="4"/>
  <c r="D1148" i="4"/>
  <c r="H1146" i="4"/>
  <c r="F1146" i="4"/>
  <c r="D1146" i="4"/>
  <c r="H1121" i="4"/>
  <c r="D1121" i="4"/>
  <c r="B1121" i="4"/>
  <c r="H1119" i="4"/>
  <c r="D1119" i="4"/>
  <c r="B1119" i="4"/>
  <c r="H1094" i="4"/>
  <c r="F1094" i="4"/>
  <c r="D1094" i="4"/>
  <c r="H1092" i="4"/>
  <c r="F1092" i="4"/>
  <c r="D1092" i="4"/>
  <c r="H1067" i="4"/>
  <c r="D1067" i="4"/>
  <c r="B1067" i="4"/>
  <c r="H1065" i="4"/>
  <c r="D1065" i="4"/>
  <c r="B1065" i="4"/>
  <c r="C983" i="4"/>
  <c r="E956" i="4"/>
  <c r="G931" i="4"/>
  <c r="G906" i="4"/>
  <c r="E904" i="4"/>
  <c r="C877" i="4"/>
  <c r="C850" i="4"/>
  <c r="H825" i="4"/>
  <c r="F825" i="4"/>
  <c r="D825" i="4"/>
  <c r="B825" i="4"/>
  <c r="H823" i="4"/>
  <c r="F823" i="4"/>
  <c r="D823" i="4"/>
  <c r="B823" i="4"/>
  <c r="H821" i="4"/>
  <c r="F821" i="4"/>
  <c r="D821" i="4"/>
  <c r="B821" i="4"/>
  <c r="I813" i="4"/>
  <c r="AE2109" i="4"/>
  <c r="AE2132" i="4"/>
  <c r="G796" i="4"/>
  <c r="E794" i="4"/>
  <c r="H771" i="4"/>
  <c r="F771" i="4"/>
  <c r="D771" i="4"/>
  <c r="H769" i="4"/>
  <c r="F769" i="4"/>
  <c r="D769" i="4"/>
  <c r="H767" i="4"/>
  <c r="F767" i="4"/>
  <c r="D767" i="4"/>
  <c r="E744" i="4"/>
  <c r="C742" i="4"/>
  <c r="H717" i="4"/>
  <c r="F717" i="4"/>
  <c r="D717" i="4"/>
  <c r="B717" i="4"/>
  <c r="H715" i="4"/>
  <c r="F715" i="4"/>
  <c r="D715" i="4"/>
  <c r="B715" i="4"/>
  <c r="H713" i="4"/>
  <c r="F713" i="4"/>
  <c r="D713" i="4"/>
  <c r="B713" i="4"/>
  <c r="I705" i="4"/>
  <c r="AA2109" i="4"/>
  <c r="AA2132" i="4"/>
  <c r="G688" i="4"/>
  <c r="E686" i="4"/>
  <c r="H663" i="4"/>
  <c r="F663" i="4"/>
  <c r="D663" i="4"/>
  <c r="B663" i="4"/>
  <c r="H661" i="4"/>
  <c r="F661" i="4"/>
  <c r="D661" i="4"/>
  <c r="B661" i="4"/>
  <c r="H659" i="4"/>
  <c r="F659" i="4"/>
  <c r="D659" i="4"/>
  <c r="B659" i="4"/>
  <c r="E635" i="4"/>
  <c r="C633" i="4"/>
  <c r="H607" i="4"/>
  <c r="F607" i="4"/>
  <c r="D607" i="4"/>
  <c r="B607" i="4"/>
  <c r="H605" i="4"/>
  <c r="F605" i="4"/>
  <c r="D605" i="4"/>
  <c r="B605" i="4"/>
  <c r="H603" i="4"/>
  <c r="F603" i="4"/>
  <c r="D603" i="4"/>
  <c r="B603" i="4"/>
  <c r="I595" i="4"/>
  <c r="W2109" i="4"/>
  <c r="W2132" i="4"/>
  <c r="G577" i="4"/>
  <c r="H551" i="4"/>
  <c r="F551" i="4"/>
  <c r="D551" i="4"/>
  <c r="B551" i="4"/>
  <c r="H549" i="4"/>
  <c r="F549" i="4"/>
  <c r="D549" i="4"/>
  <c r="B549" i="4"/>
  <c r="H547" i="4"/>
  <c r="F547" i="4"/>
  <c r="D547" i="4"/>
  <c r="B547" i="4"/>
  <c r="C523" i="4"/>
  <c r="C493" i="4"/>
  <c r="C463" i="4"/>
  <c r="C437" i="4"/>
  <c r="G411" i="4"/>
  <c r="E411" i="4"/>
  <c r="C411" i="4"/>
  <c r="G409" i="4"/>
  <c r="E409" i="4"/>
  <c r="C409" i="4"/>
  <c r="G407" i="4"/>
  <c r="E407" i="4"/>
  <c r="C407" i="4"/>
  <c r="H383" i="4"/>
  <c r="F383" i="4"/>
  <c r="B383" i="4"/>
  <c r="H381" i="4"/>
  <c r="F381" i="4"/>
  <c r="B381" i="4"/>
  <c r="B380" i="4"/>
  <c r="F326" i="4"/>
  <c r="C298" i="4"/>
  <c r="E271" i="4"/>
  <c r="G269" i="4"/>
  <c r="C269" i="4"/>
  <c r="F242" i="4"/>
  <c r="E217" i="4"/>
  <c r="G215" i="4"/>
  <c r="C215" i="4"/>
  <c r="E189" i="4"/>
  <c r="G187" i="4"/>
  <c r="C187" i="4"/>
  <c r="B161" i="4"/>
  <c r="G133" i="4"/>
  <c r="G131" i="4"/>
  <c r="B105" i="4"/>
  <c r="F75" i="4"/>
  <c r="G49" i="4"/>
  <c r="E49" i="4"/>
  <c r="C49" i="4"/>
  <c r="G47" i="4"/>
  <c r="E47" i="4"/>
  <c r="C47" i="4"/>
  <c r="F22" i="4"/>
  <c r="F1072" i="2"/>
  <c r="B1072" i="2"/>
  <c r="F1070" i="2"/>
  <c r="B1070" i="2"/>
  <c r="F1068" i="2"/>
  <c r="B1068" i="2"/>
  <c r="I1060" i="2"/>
  <c r="B1044" i="2"/>
  <c r="D1042" i="2"/>
  <c r="B1040" i="2"/>
  <c r="H1043" i="2"/>
  <c r="F1043" i="2"/>
  <c r="F1012" i="2"/>
  <c r="F1014" i="2"/>
  <c r="F1016" i="2"/>
  <c r="F1013" i="2"/>
  <c r="F1015" i="2"/>
  <c r="F1019" i="2"/>
  <c r="B1012" i="2"/>
  <c r="B1014" i="2"/>
  <c r="B1016" i="2"/>
  <c r="B1013" i="2"/>
  <c r="B1015" i="2"/>
  <c r="B1019" i="2"/>
  <c r="F986" i="2"/>
  <c r="F985" i="2"/>
  <c r="F991" i="2"/>
  <c r="B986" i="2"/>
  <c r="B985" i="2"/>
  <c r="B991" i="2"/>
  <c r="F956" i="2"/>
  <c r="F958" i="2"/>
  <c r="F960" i="2"/>
  <c r="F957" i="2"/>
  <c r="F959" i="2"/>
  <c r="F963" i="2"/>
  <c r="B956" i="2"/>
  <c r="B958" i="2"/>
  <c r="B960" i="2"/>
  <c r="B957" i="2"/>
  <c r="B959" i="2"/>
  <c r="B963" i="2"/>
  <c r="F930" i="2"/>
  <c r="F929" i="2"/>
  <c r="F935" i="2"/>
  <c r="B930" i="2"/>
  <c r="B929" i="2"/>
  <c r="B935" i="2"/>
  <c r="F900" i="2"/>
  <c r="F902" i="2"/>
  <c r="F904" i="2"/>
  <c r="F901" i="2"/>
  <c r="F903" i="2"/>
  <c r="F907" i="2"/>
  <c r="B900" i="2"/>
  <c r="B902" i="2"/>
  <c r="B904" i="2"/>
  <c r="B901" i="2"/>
  <c r="B903" i="2"/>
  <c r="B907" i="2"/>
  <c r="E872" i="2"/>
  <c r="E874" i="2"/>
  <c r="E876" i="2"/>
  <c r="E873" i="2"/>
  <c r="E875" i="2"/>
  <c r="E879" i="2"/>
  <c r="F846" i="2"/>
  <c r="F845" i="2"/>
  <c r="F851" i="2"/>
  <c r="B846" i="2"/>
  <c r="B845" i="2"/>
  <c r="B851" i="2"/>
  <c r="E818" i="2"/>
  <c r="E817" i="2"/>
  <c r="E823" i="2"/>
  <c r="C818" i="2"/>
  <c r="C820" i="2"/>
  <c r="C817" i="2"/>
  <c r="C819" i="2"/>
  <c r="C823" i="2"/>
  <c r="F788" i="2"/>
  <c r="F790" i="2"/>
  <c r="F792" i="2"/>
  <c r="F789" i="2"/>
  <c r="F791" i="2"/>
  <c r="F795" i="2"/>
  <c r="B788" i="2"/>
  <c r="B790" i="2"/>
  <c r="B792" i="2"/>
  <c r="B789" i="2"/>
  <c r="B791" i="2"/>
  <c r="B795" i="2"/>
  <c r="E760" i="2"/>
  <c r="E762" i="2"/>
  <c r="E764" i="2"/>
  <c r="E761" i="2"/>
  <c r="E763" i="2"/>
  <c r="E767" i="2"/>
  <c r="C760" i="2"/>
  <c r="C762" i="2"/>
  <c r="C764" i="2"/>
  <c r="C761" i="2"/>
  <c r="C763" i="2"/>
  <c r="C767" i="2"/>
  <c r="F732" i="2"/>
  <c r="F734" i="2"/>
  <c r="F736" i="2"/>
  <c r="F733" i="2"/>
  <c r="F735" i="2"/>
  <c r="F739" i="2"/>
  <c r="B732" i="2"/>
  <c r="B734" i="2"/>
  <c r="B736" i="2"/>
  <c r="B733" i="2"/>
  <c r="B735" i="2"/>
  <c r="B739" i="2"/>
  <c r="E704" i="2"/>
  <c r="E706" i="2"/>
  <c r="E708" i="2"/>
  <c r="E705" i="2"/>
  <c r="E707" i="2"/>
  <c r="E711" i="2"/>
  <c r="C704" i="2"/>
  <c r="C706" i="2"/>
  <c r="C708" i="2"/>
  <c r="C705" i="2"/>
  <c r="C707" i="2"/>
  <c r="C711" i="2"/>
  <c r="F675" i="2"/>
  <c r="F677" i="2"/>
  <c r="F679" i="2"/>
  <c r="F676" i="2"/>
  <c r="F678" i="2"/>
  <c r="F682" i="2"/>
  <c r="B675" i="2"/>
  <c r="B677" i="2"/>
  <c r="B679" i="2"/>
  <c r="B676" i="2"/>
  <c r="B678" i="2"/>
  <c r="B682" i="2"/>
  <c r="E646" i="2"/>
  <c r="E648" i="2"/>
  <c r="E650" i="2"/>
  <c r="E647" i="2"/>
  <c r="E649" i="2"/>
  <c r="E653" i="2"/>
  <c r="F617" i="2"/>
  <c r="F619" i="2"/>
  <c r="F621" i="2"/>
  <c r="F618" i="2"/>
  <c r="F620" i="2"/>
  <c r="F624" i="2"/>
  <c r="B617" i="2"/>
  <c r="B619" i="2"/>
  <c r="B621" i="2"/>
  <c r="B618" i="2"/>
  <c r="B620" i="2"/>
  <c r="B624" i="2"/>
  <c r="E589" i="2"/>
  <c r="E591" i="2"/>
  <c r="E593" i="2"/>
  <c r="E590" i="2"/>
  <c r="E592" i="2"/>
  <c r="E596" i="2"/>
  <c r="C589" i="2"/>
  <c r="C591" i="2"/>
  <c r="C593" i="2"/>
  <c r="C590" i="2"/>
  <c r="C592" i="2"/>
  <c r="C596" i="2"/>
  <c r="F561" i="2"/>
  <c r="F563" i="2"/>
  <c r="F565" i="2"/>
  <c r="F562" i="2"/>
  <c r="F564" i="2"/>
  <c r="F568" i="2"/>
  <c r="D561" i="2"/>
  <c r="D563" i="2"/>
  <c r="D565" i="2"/>
  <c r="D562" i="2"/>
  <c r="D564" i="2"/>
  <c r="D568" i="2"/>
  <c r="B561" i="2"/>
  <c r="B563" i="2"/>
  <c r="B565" i="2"/>
  <c r="B562" i="2"/>
  <c r="B564" i="2"/>
  <c r="B568" i="2"/>
  <c r="G475" i="2"/>
  <c r="G477" i="2"/>
  <c r="G479" i="2"/>
  <c r="G476" i="2"/>
  <c r="G478" i="2"/>
  <c r="G482" i="2"/>
  <c r="C475" i="2"/>
  <c r="C477" i="2"/>
  <c r="C479" i="2"/>
  <c r="C476" i="2"/>
  <c r="C478" i="2"/>
  <c r="C482" i="2"/>
  <c r="E446" i="2"/>
  <c r="E448" i="2"/>
  <c r="E450" i="2"/>
  <c r="E447" i="2"/>
  <c r="E449" i="2"/>
  <c r="E453" i="2"/>
  <c r="H1365" i="4"/>
  <c r="D1365" i="4"/>
  <c r="H1363" i="4"/>
  <c r="D1363" i="4"/>
  <c r="F1338" i="4"/>
  <c r="B1338" i="4"/>
  <c r="F1336" i="4"/>
  <c r="B1336" i="4"/>
  <c r="G1311" i="4"/>
  <c r="C1311" i="4"/>
  <c r="E1309" i="4"/>
  <c r="G1284" i="4"/>
  <c r="G1282" i="4"/>
  <c r="H1257" i="4"/>
  <c r="D1257" i="4"/>
  <c r="H1255" i="4"/>
  <c r="D1255" i="4"/>
  <c r="H1230" i="4"/>
  <c r="F1230" i="4"/>
  <c r="D1230" i="4"/>
  <c r="B1230" i="4"/>
  <c r="H1228" i="4"/>
  <c r="F1228" i="4"/>
  <c r="D1228" i="4"/>
  <c r="B1228" i="4"/>
  <c r="H1203" i="4"/>
  <c r="F1203" i="4"/>
  <c r="D1203" i="4"/>
  <c r="B1203" i="4"/>
  <c r="H1201" i="4"/>
  <c r="F1201" i="4"/>
  <c r="D1201" i="4"/>
  <c r="B1201" i="4"/>
  <c r="H1176" i="4"/>
  <c r="F1176" i="4"/>
  <c r="D1176" i="4"/>
  <c r="B1176" i="4"/>
  <c r="H1174" i="4"/>
  <c r="F1174" i="4"/>
  <c r="D1174" i="4"/>
  <c r="B1174" i="4"/>
  <c r="H1149" i="4"/>
  <c r="F1149" i="4"/>
  <c r="D1149" i="4"/>
  <c r="B1149" i="4"/>
  <c r="H1147" i="4"/>
  <c r="F1147" i="4"/>
  <c r="D1147" i="4"/>
  <c r="B1147" i="4"/>
  <c r="H1122" i="4"/>
  <c r="F1122" i="4"/>
  <c r="D1122" i="4"/>
  <c r="B1122" i="4"/>
  <c r="H1120" i="4"/>
  <c r="F1120" i="4"/>
  <c r="D1120" i="4"/>
  <c r="B1120" i="4"/>
  <c r="H1095" i="4"/>
  <c r="F1095" i="4"/>
  <c r="D1095" i="4"/>
  <c r="B1095" i="4"/>
  <c r="H1093" i="4"/>
  <c r="F1093" i="4"/>
  <c r="D1093" i="4"/>
  <c r="B1093" i="4"/>
  <c r="I1083" i="4"/>
  <c r="AO2109" i="4"/>
  <c r="AO2132" i="4"/>
  <c r="H1068" i="4"/>
  <c r="F1068" i="4"/>
  <c r="D1068" i="4"/>
  <c r="B1068" i="4"/>
  <c r="H1066" i="4"/>
  <c r="F1066" i="4"/>
  <c r="D1066" i="4"/>
  <c r="B1066" i="4"/>
  <c r="G959" i="4"/>
  <c r="C932" i="4"/>
  <c r="E905" i="4"/>
  <c r="G878" i="4"/>
  <c r="G851" i="4"/>
  <c r="C851" i="4"/>
  <c r="H824" i="4"/>
  <c r="F824" i="4"/>
  <c r="D824" i="4"/>
  <c r="B824" i="4"/>
  <c r="E797" i="4"/>
  <c r="H770" i="4"/>
  <c r="F770" i="4"/>
  <c r="D770" i="4"/>
  <c r="B770" i="4"/>
  <c r="G743" i="4"/>
  <c r="C743" i="4"/>
  <c r="H716" i="4"/>
  <c r="F716" i="4"/>
  <c r="D716" i="4"/>
  <c r="B716" i="4"/>
  <c r="E689" i="4"/>
  <c r="H662" i="4"/>
  <c r="F662" i="4"/>
  <c r="D662" i="4"/>
  <c r="B662" i="4"/>
  <c r="G634" i="4"/>
  <c r="C634" i="4"/>
  <c r="H606" i="4"/>
  <c r="F606" i="4"/>
  <c r="D606" i="4"/>
  <c r="B606" i="4"/>
  <c r="E578" i="4"/>
  <c r="H550" i="4"/>
  <c r="F550" i="4"/>
  <c r="D550" i="4"/>
  <c r="B550" i="4"/>
  <c r="G522" i="4"/>
  <c r="G494" i="4"/>
  <c r="G466" i="4"/>
  <c r="G438" i="4"/>
  <c r="G410" i="4"/>
  <c r="E410" i="4"/>
  <c r="C410" i="4"/>
  <c r="H382" i="4"/>
  <c r="F382" i="4"/>
  <c r="D382" i="4"/>
  <c r="B382" i="4"/>
  <c r="H380" i="4"/>
  <c r="F380" i="4"/>
  <c r="D380" i="4"/>
  <c r="H327" i="4"/>
  <c r="D327" i="4"/>
  <c r="H325" i="4"/>
  <c r="D325" i="4"/>
  <c r="I315" i="4"/>
  <c r="M2109" i="4"/>
  <c r="M2132" i="4"/>
  <c r="C299" i="4"/>
  <c r="C297" i="4"/>
  <c r="G272" i="4"/>
  <c r="E272" i="4"/>
  <c r="C272" i="4"/>
  <c r="G270" i="4"/>
  <c r="E270" i="4"/>
  <c r="C270" i="4"/>
  <c r="F245" i="4"/>
  <c r="B245" i="4"/>
  <c r="F243" i="4"/>
  <c r="B243" i="4"/>
  <c r="G218" i="4"/>
  <c r="E218" i="4"/>
  <c r="C218" i="4"/>
  <c r="G216" i="4"/>
  <c r="E216" i="4"/>
  <c r="C216" i="4"/>
  <c r="G190" i="4"/>
  <c r="E190" i="4"/>
  <c r="C190" i="4"/>
  <c r="G188" i="4"/>
  <c r="E188" i="4"/>
  <c r="C188" i="4"/>
  <c r="I163" i="4"/>
  <c r="J163" i="4"/>
  <c r="F162" i="4"/>
  <c r="B162" i="4"/>
  <c r="F160" i="4"/>
  <c r="B160" i="4"/>
  <c r="G134" i="4"/>
  <c r="C134" i="4"/>
  <c r="G132" i="4"/>
  <c r="C132" i="4"/>
  <c r="H106" i="4"/>
  <c r="D106" i="4"/>
  <c r="H104" i="4"/>
  <c r="D104" i="4"/>
  <c r="I94" i="4"/>
  <c r="E2109" i="4"/>
  <c r="F78" i="4"/>
  <c r="B78" i="4"/>
  <c r="F76" i="4"/>
  <c r="B76" i="4"/>
  <c r="G50" i="4"/>
  <c r="E50" i="4"/>
  <c r="C50" i="4"/>
  <c r="G48" i="4"/>
  <c r="E48" i="4"/>
  <c r="C48" i="4"/>
  <c r="F1071" i="2"/>
  <c r="B1071" i="2"/>
  <c r="H1044" i="2"/>
  <c r="F1042" i="2"/>
  <c r="H1040" i="2"/>
  <c r="G418" i="2"/>
  <c r="G420" i="2"/>
  <c r="G424" i="2"/>
  <c r="C418" i="2"/>
  <c r="C420" i="2"/>
  <c r="C424" i="2"/>
  <c r="B417" i="2"/>
  <c r="B419" i="2"/>
  <c r="B421" i="2"/>
  <c r="E388" i="2"/>
  <c r="E390" i="2"/>
  <c r="E392" i="2"/>
  <c r="J375" i="2"/>
  <c r="J394" i="2"/>
  <c r="I394" i="2"/>
  <c r="O2193" i="2"/>
  <c r="O2209" i="2"/>
  <c r="H361" i="2"/>
  <c r="H363" i="2"/>
  <c r="H367" i="2"/>
  <c r="D361" i="2"/>
  <c r="D363" i="2"/>
  <c r="D367" i="2"/>
  <c r="B361" i="2"/>
  <c r="B363" i="2"/>
  <c r="B367" i="2"/>
  <c r="C360" i="2"/>
  <c r="C362" i="2"/>
  <c r="C364" i="2"/>
  <c r="H333" i="2"/>
  <c r="H335" i="2"/>
  <c r="H339" i="2"/>
  <c r="D333" i="2"/>
  <c r="D335" i="2"/>
  <c r="D339" i="2"/>
  <c r="B333" i="2"/>
  <c r="B335" i="2"/>
  <c r="B339" i="2"/>
  <c r="C332" i="2"/>
  <c r="C334" i="2"/>
  <c r="C336" i="2"/>
  <c r="G304" i="2"/>
  <c r="G306" i="2"/>
  <c r="G310" i="2"/>
  <c r="C304" i="2"/>
  <c r="C306" i="2"/>
  <c r="C310" i="2"/>
  <c r="B303" i="2"/>
  <c r="B305" i="2"/>
  <c r="B307" i="2"/>
  <c r="J293" i="2"/>
  <c r="I295" i="2"/>
  <c r="G275" i="2"/>
  <c r="G277" i="2"/>
  <c r="G281" i="2"/>
  <c r="E275" i="2"/>
  <c r="E277" i="2"/>
  <c r="E281" i="2"/>
  <c r="C275" i="2"/>
  <c r="C277" i="2"/>
  <c r="C281" i="2"/>
  <c r="F274" i="2"/>
  <c r="F276" i="2"/>
  <c r="F278" i="2"/>
  <c r="B274" i="2"/>
  <c r="B276" i="2"/>
  <c r="B278" i="2"/>
  <c r="H245" i="2"/>
  <c r="H247" i="2"/>
  <c r="H251" i="2"/>
  <c r="F245" i="2"/>
  <c r="F247" i="2"/>
  <c r="F251" i="2"/>
  <c r="D245" i="2"/>
  <c r="D247" i="2"/>
  <c r="D251" i="2"/>
  <c r="G244" i="2"/>
  <c r="G246" i="2"/>
  <c r="G248" i="2"/>
  <c r="C244" i="2"/>
  <c r="C246" i="2"/>
  <c r="C248" i="2"/>
  <c r="G217" i="2"/>
  <c r="G219" i="2"/>
  <c r="G223" i="2"/>
  <c r="E217" i="2"/>
  <c r="E219" i="2"/>
  <c r="E223" i="2"/>
  <c r="C217" i="2"/>
  <c r="C219" i="2"/>
  <c r="C223" i="2"/>
  <c r="F216" i="2"/>
  <c r="F218" i="2"/>
  <c r="F220" i="2"/>
  <c r="B216" i="2"/>
  <c r="B218" i="2"/>
  <c r="B220" i="2"/>
  <c r="G189" i="2"/>
  <c r="G191" i="2"/>
  <c r="G195" i="2"/>
  <c r="E189" i="2"/>
  <c r="E191" i="2"/>
  <c r="E195" i="2"/>
  <c r="C189" i="2"/>
  <c r="C191" i="2"/>
  <c r="C195" i="2"/>
  <c r="F188" i="2"/>
  <c r="F190" i="2"/>
  <c r="F192" i="2"/>
  <c r="B188" i="2"/>
  <c r="B190" i="2"/>
  <c r="B192" i="2"/>
  <c r="H160" i="2"/>
  <c r="H162" i="2"/>
  <c r="H166" i="2"/>
  <c r="D160" i="2"/>
  <c r="D162" i="2"/>
  <c r="D166" i="2"/>
  <c r="B160" i="2"/>
  <c r="B162" i="2"/>
  <c r="B166" i="2"/>
  <c r="G159" i="2"/>
  <c r="G161" i="2"/>
  <c r="G163" i="2"/>
  <c r="C159" i="2"/>
  <c r="C161" i="2"/>
  <c r="C163" i="2"/>
  <c r="G131" i="2"/>
  <c r="G133" i="2"/>
  <c r="G137" i="2"/>
  <c r="E131" i="2"/>
  <c r="E133" i="2"/>
  <c r="E137" i="2"/>
  <c r="C131" i="2"/>
  <c r="C133" i="2"/>
  <c r="C137" i="2"/>
  <c r="F130" i="2"/>
  <c r="F132" i="2"/>
  <c r="F134" i="2"/>
  <c r="B130" i="2"/>
  <c r="B132" i="2"/>
  <c r="B134" i="2"/>
  <c r="E102" i="2"/>
  <c r="E104" i="2"/>
  <c r="E106" i="2"/>
  <c r="J89" i="2"/>
  <c r="J108" i="2"/>
  <c r="I108" i="2"/>
  <c r="E2193" i="2"/>
  <c r="E74" i="2"/>
  <c r="E76" i="2"/>
  <c r="E78" i="2"/>
  <c r="H46" i="2"/>
  <c r="H48" i="2"/>
  <c r="H50" i="2"/>
  <c r="D46" i="2"/>
  <c r="D48" i="2"/>
  <c r="D50" i="2"/>
  <c r="J33" i="2"/>
  <c r="J52" i="2"/>
  <c r="I38" i="2"/>
  <c r="F19" i="2"/>
  <c r="F20" i="2"/>
  <c r="F21" i="2"/>
  <c r="F22" i="2"/>
  <c r="F23" i="2"/>
  <c r="F26" i="2"/>
  <c r="D19" i="2"/>
  <c r="D20" i="2"/>
  <c r="D21" i="2"/>
  <c r="D22" i="2"/>
  <c r="D23" i="2"/>
  <c r="D26" i="2"/>
  <c r="J6" i="2"/>
  <c r="G1016" i="2"/>
  <c r="E1016" i="2"/>
  <c r="C1016" i="2"/>
  <c r="G1014" i="2"/>
  <c r="E1014" i="2"/>
  <c r="C1014" i="2"/>
  <c r="G1012" i="2"/>
  <c r="E1012" i="2"/>
  <c r="C1012" i="2"/>
  <c r="G988" i="2"/>
  <c r="E988" i="2"/>
  <c r="C988" i="2"/>
  <c r="G986" i="2"/>
  <c r="E986" i="2"/>
  <c r="C986" i="2"/>
  <c r="G984" i="2"/>
  <c r="E984" i="2"/>
  <c r="C984" i="2"/>
  <c r="G960" i="2"/>
  <c r="E960" i="2"/>
  <c r="C960" i="2"/>
  <c r="G958" i="2"/>
  <c r="E958" i="2"/>
  <c r="C958" i="2"/>
  <c r="G956" i="2"/>
  <c r="E956" i="2"/>
  <c r="C956" i="2"/>
  <c r="G932" i="2"/>
  <c r="E932" i="2"/>
  <c r="C932" i="2"/>
  <c r="G930" i="2"/>
  <c r="E930" i="2"/>
  <c r="C930" i="2"/>
  <c r="G928" i="2"/>
  <c r="E928" i="2"/>
  <c r="C928" i="2"/>
  <c r="G904" i="2"/>
  <c r="E904" i="2"/>
  <c r="C904" i="2"/>
  <c r="G902" i="2"/>
  <c r="E902" i="2"/>
  <c r="C902" i="2"/>
  <c r="G900" i="2"/>
  <c r="E900" i="2"/>
  <c r="C900" i="2"/>
  <c r="H876" i="2"/>
  <c r="F876" i="2"/>
  <c r="D876" i="2"/>
  <c r="B876" i="2"/>
  <c r="H874" i="2"/>
  <c r="F874" i="2"/>
  <c r="D874" i="2"/>
  <c r="B874" i="2"/>
  <c r="H872" i="2"/>
  <c r="F872" i="2"/>
  <c r="D872" i="2"/>
  <c r="B872" i="2"/>
  <c r="I864" i="2"/>
  <c r="G848" i="2"/>
  <c r="E848" i="2"/>
  <c r="C848" i="2"/>
  <c r="G846" i="2"/>
  <c r="E846" i="2"/>
  <c r="C846" i="2"/>
  <c r="G844" i="2"/>
  <c r="E844" i="2"/>
  <c r="C844" i="2"/>
  <c r="H820" i="2"/>
  <c r="F820" i="2"/>
  <c r="D820" i="2"/>
  <c r="B820" i="2"/>
  <c r="H818" i="2"/>
  <c r="F818" i="2"/>
  <c r="D818" i="2"/>
  <c r="B818" i="2"/>
  <c r="H816" i="2"/>
  <c r="F816" i="2"/>
  <c r="D816" i="2"/>
  <c r="B816" i="2"/>
  <c r="I808" i="2"/>
  <c r="G792" i="2"/>
  <c r="E792" i="2"/>
  <c r="C792" i="2"/>
  <c r="G790" i="2"/>
  <c r="E790" i="2"/>
  <c r="C790" i="2"/>
  <c r="G788" i="2"/>
  <c r="E788" i="2"/>
  <c r="C788" i="2"/>
  <c r="H764" i="2"/>
  <c r="F764" i="2"/>
  <c r="D764" i="2"/>
  <c r="B764" i="2"/>
  <c r="H762" i="2"/>
  <c r="F762" i="2"/>
  <c r="D762" i="2"/>
  <c r="B762" i="2"/>
  <c r="H760" i="2"/>
  <c r="F760" i="2"/>
  <c r="D760" i="2"/>
  <c r="B760" i="2"/>
  <c r="I752" i="2"/>
  <c r="G736" i="2"/>
  <c r="E736" i="2"/>
  <c r="C736" i="2"/>
  <c r="G734" i="2"/>
  <c r="E734" i="2"/>
  <c r="C734" i="2"/>
  <c r="G732" i="2"/>
  <c r="E732" i="2"/>
  <c r="C732" i="2"/>
  <c r="H708" i="2"/>
  <c r="F708" i="2"/>
  <c r="D708" i="2"/>
  <c r="B708" i="2"/>
  <c r="H706" i="2"/>
  <c r="F706" i="2"/>
  <c r="D706" i="2"/>
  <c r="B706" i="2"/>
  <c r="H704" i="2"/>
  <c r="F704" i="2"/>
  <c r="D704" i="2"/>
  <c r="B704" i="2"/>
  <c r="I696" i="2"/>
  <c r="G679" i="2"/>
  <c r="E679" i="2"/>
  <c r="C679" i="2"/>
  <c r="G677" i="2"/>
  <c r="E677" i="2"/>
  <c r="C677" i="2"/>
  <c r="G675" i="2"/>
  <c r="E675" i="2"/>
  <c r="C675" i="2"/>
  <c r="H650" i="2"/>
  <c r="F650" i="2"/>
  <c r="D650" i="2"/>
  <c r="B650" i="2"/>
  <c r="H648" i="2"/>
  <c r="F648" i="2"/>
  <c r="D648" i="2"/>
  <c r="B648" i="2"/>
  <c r="H646" i="2"/>
  <c r="F646" i="2"/>
  <c r="D646" i="2"/>
  <c r="B646" i="2"/>
  <c r="I638" i="2"/>
  <c r="G621" i="2"/>
  <c r="E621" i="2"/>
  <c r="C621" i="2"/>
  <c r="G619" i="2"/>
  <c r="E619" i="2"/>
  <c r="C619" i="2"/>
  <c r="G617" i="2"/>
  <c r="E617" i="2"/>
  <c r="C617" i="2"/>
  <c r="H593" i="2"/>
  <c r="F593" i="2"/>
  <c r="D593" i="2"/>
  <c r="B593" i="2"/>
  <c r="H591" i="2"/>
  <c r="F591" i="2"/>
  <c r="D591" i="2"/>
  <c r="B591" i="2"/>
  <c r="H589" i="2"/>
  <c r="F589" i="2"/>
  <c r="D589" i="2"/>
  <c r="B589" i="2"/>
  <c r="I581" i="2"/>
  <c r="G565" i="2"/>
  <c r="E565" i="2"/>
  <c r="C565" i="2"/>
  <c r="G563" i="2"/>
  <c r="E563" i="2"/>
  <c r="C563" i="2"/>
  <c r="G561" i="2"/>
  <c r="E561" i="2"/>
  <c r="C561" i="2"/>
  <c r="H537" i="2"/>
  <c r="F537" i="2"/>
  <c r="D537" i="2"/>
  <c r="B537" i="2"/>
  <c r="H535" i="2"/>
  <c r="F535" i="2"/>
  <c r="D535" i="2"/>
  <c r="B535" i="2"/>
  <c r="H533" i="2"/>
  <c r="F533" i="2"/>
  <c r="D533" i="2"/>
  <c r="B533" i="2"/>
  <c r="I525" i="2"/>
  <c r="H508" i="2"/>
  <c r="F508" i="2"/>
  <c r="D508" i="2"/>
  <c r="B508" i="2"/>
  <c r="H506" i="2"/>
  <c r="F506" i="2"/>
  <c r="D506" i="2"/>
  <c r="B506" i="2"/>
  <c r="H504" i="2"/>
  <c r="F504" i="2"/>
  <c r="D504" i="2"/>
  <c r="B504" i="2"/>
  <c r="I496" i="2"/>
  <c r="H479" i="2"/>
  <c r="F479" i="2"/>
  <c r="D479" i="2"/>
  <c r="B479" i="2"/>
  <c r="H477" i="2"/>
  <c r="F477" i="2"/>
  <c r="D477" i="2"/>
  <c r="B477" i="2"/>
  <c r="H475" i="2"/>
  <c r="F475" i="2"/>
  <c r="D475" i="2"/>
  <c r="B475" i="2"/>
  <c r="I467" i="2"/>
  <c r="H450" i="2"/>
  <c r="F450" i="2"/>
  <c r="D450" i="2"/>
  <c r="B450" i="2"/>
  <c r="H448" i="2"/>
  <c r="F448" i="2"/>
  <c r="D448" i="2"/>
  <c r="B448" i="2"/>
  <c r="H446" i="2"/>
  <c r="F446" i="2"/>
  <c r="D446" i="2"/>
  <c r="B446" i="2"/>
  <c r="I438" i="2"/>
  <c r="H424" i="2"/>
  <c r="D424" i="2"/>
  <c r="G421" i="2"/>
  <c r="C421" i="2"/>
  <c r="E419" i="2"/>
  <c r="F418" i="2"/>
  <c r="B418" i="2"/>
  <c r="G417" i="2"/>
  <c r="C417" i="2"/>
  <c r="B392" i="2"/>
  <c r="E389" i="2"/>
  <c r="H364" i="2"/>
  <c r="D364" i="2"/>
  <c r="F362" i="2"/>
  <c r="B362" i="2"/>
  <c r="G361" i="2"/>
  <c r="C361" i="2"/>
  <c r="H360" i="2"/>
  <c r="D360" i="2"/>
  <c r="E339" i="2"/>
  <c r="H336" i="2"/>
  <c r="D336" i="2"/>
  <c r="F334" i="2"/>
  <c r="B334" i="2"/>
  <c r="G333" i="2"/>
  <c r="C333" i="2"/>
  <c r="H332" i="2"/>
  <c r="D332" i="2"/>
  <c r="H310" i="2"/>
  <c r="D310" i="2"/>
  <c r="G307" i="2"/>
  <c r="C307" i="2"/>
  <c r="E305" i="2"/>
  <c r="F304" i="2"/>
  <c r="B304" i="2"/>
  <c r="G303" i="2"/>
  <c r="C303" i="2"/>
  <c r="H281" i="2"/>
  <c r="D281" i="2"/>
  <c r="G278" i="2"/>
  <c r="C278" i="2"/>
  <c r="E276" i="2"/>
  <c r="F275" i="2"/>
  <c r="B275" i="2"/>
  <c r="G274" i="2"/>
  <c r="C274" i="2"/>
  <c r="E251" i="2"/>
  <c r="H248" i="2"/>
  <c r="D248" i="2"/>
  <c r="F246" i="2"/>
  <c r="G245" i="2"/>
  <c r="C245" i="2"/>
  <c r="H244" i="2"/>
  <c r="D244" i="2"/>
  <c r="H223" i="2"/>
  <c r="D223" i="2"/>
  <c r="G220" i="2"/>
  <c r="C220" i="2"/>
  <c r="E218" i="2"/>
  <c r="F217" i="2"/>
  <c r="B217" i="2"/>
  <c r="G216" i="2"/>
  <c r="C216" i="2"/>
  <c r="H195" i="2"/>
  <c r="D195" i="2"/>
  <c r="G192" i="2"/>
  <c r="C192" i="2"/>
  <c r="E190" i="2"/>
  <c r="F189" i="2"/>
  <c r="B189" i="2"/>
  <c r="G188" i="2"/>
  <c r="C188" i="2"/>
  <c r="E166" i="2"/>
  <c r="H163" i="2"/>
  <c r="D163" i="2"/>
  <c r="B161" i="2"/>
  <c r="G160" i="2"/>
  <c r="C160" i="2"/>
  <c r="H159" i="2"/>
  <c r="D159" i="2"/>
  <c r="H137" i="2"/>
  <c r="D137" i="2"/>
  <c r="G134" i="2"/>
  <c r="C134" i="2"/>
  <c r="E132" i="2"/>
  <c r="F131" i="2"/>
  <c r="B131" i="2"/>
  <c r="G130" i="2"/>
  <c r="C130" i="2"/>
  <c r="F106" i="2"/>
  <c r="B106" i="2"/>
  <c r="E103" i="2"/>
  <c r="G81" i="2"/>
  <c r="C81" i="2"/>
  <c r="F78" i="2"/>
  <c r="B78" i="2"/>
  <c r="E75" i="2"/>
  <c r="F53" i="2"/>
  <c r="B53" i="2"/>
  <c r="E50" i="2"/>
  <c r="H47" i="2"/>
  <c r="D47" i="2"/>
  <c r="B28" i="2"/>
  <c r="G23" i="2"/>
  <c r="C23" i="2"/>
  <c r="G22" i="2"/>
  <c r="C22" i="2"/>
  <c r="G21" i="2"/>
  <c r="C21" i="2"/>
  <c r="G20" i="2"/>
  <c r="C20" i="2"/>
  <c r="H417" i="2"/>
  <c r="H419" i="2"/>
  <c r="H421" i="2"/>
  <c r="D417" i="2"/>
  <c r="D419" i="2"/>
  <c r="D421" i="2"/>
  <c r="J404" i="2"/>
  <c r="J423" i="2"/>
  <c r="I409" i="2"/>
  <c r="H389" i="2"/>
  <c r="H391" i="2"/>
  <c r="H395" i="2"/>
  <c r="D389" i="2"/>
  <c r="D391" i="2"/>
  <c r="D395" i="2"/>
  <c r="B389" i="2"/>
  <c r="B391" i="2"/>
  <c r="B395" i="2"/>
  <c r="G388" i="2"/>
  <c r="G390" i="2"/>
  <c r="G392" i="2"/>
  <c r="C388" i="2"/>
  <c r="C390" i="2"/>
  <c r="C392" i="2"/>
  <c r="E360" i="2"/>
  <c r="E362" i="2"/>
  <c r="E364" i="2"/>
  <c r="J347" i="2"/>
  <c r="J366" i="2"/>
  <c r="I366" i="2"/>
  <c r="N2193" i="2"/>
  <c r="N2209" i="2"/>
  <c r="E332" i="2"/>
  <c r="E334" i="2"/>
  <c r="E336" i="2"/>
  <c r="H303" i="2"/>
  <c r="H305" i="2"/>
  <c r="H307" i="2"/>
  <c r="D303" i="2"/>
  <c r="D305" i="2"/>
  <c r="D307" i="2"/>
  <c r="H274" i="2"/>
  <c r="H276" i="2"/>
  <c r="H278" i="2"/>
  <c r="D274" i="2"/>
  <c r="D276" i="2"/>
  <c r="D278" i="2"/>
  <c r="J261" i="2"/>
  <c r="J280" i="2"/>
  <c r="I266" i="2"/>
  <c r="E244" i="2"/>
  <c r="E246" i="2"/>
  <c r="E248" i="2"/>
  <c r="H216" i="2"/>
  <c r="H218" i="2"/>
  <c r="H220" i="2"/>
  <c r="D216" i="2"/>
  <c r="D218" i="2"/>
  <c r="D220" i="2"/>
  <c r="H188" i="2"/>
  <c r="H190" i="2"/>
  <c r="H192" i="2"/>
  <c r="D188" i="2"/>
  <c r="D190" i="2"/>
  <c r="D192" i="2"/>
  <c r="J175" i="2"/>
  <c r="J194" i="2"/>
  <c r="I180" i="2"/>
  <c r="E159" i="2"/>
  <c r="E161" i="2"/>
  <c r="E163" i="2"/>
  <c r="H130" i="2"/>
  <c r="H132" i="2"/>
  <c r="H134" i="2"/>
  <c r="D130" i="2"/>
  <c r="D132" i="2"/>
  <c r="D134" i="2"/>
  <c r="J117" i="2"/>
  <c r="J136" i="2"/>
  <c r="I122" i="2"/>
  <c r="H103" i="2"/>
  <c r="H105" i="2"/>
  <c r="H109" i="2"/>
  <c r="F103" i="2"/>
  <c r="F105" i="2"/>
  <c r="F109" i="2"/>
  <c r="D103" i="2"/>
  <c r="D105" i="2"/>
  <c r="D109" i="2"/>
  <c r="B103" i="2"/>
  <c r="B105" i="2"/>
  <c r="B109" i="2"/>
  <c r="G102" i="2"/>
  <c r="G104" i="2"/>
  <c r="G106" i="2"/>
  <c r="C102" i="2"/>
  <c r="C104" i="2"/>
  <c r="C106" i="2"/>
  <c r="F75" i="2"/>
  <c r="F77" i="2"/>
  <c r="F81" i="2"/>
  <c r="B75" i="2"/>
  <c r="B77" i="2"/>
  <c r="B81" i="2"/>
  <c r="G74" i="2"/>
  <c r="G76" i="2"/>
  <c r="G78" i="2"/>
  <c r="C74" i="2"/>
  <c r="C76" i="2"/>
  <c r="C78" i="2"/>
  <c r="E47" i="2"/>
  <c r="E49" i="2"/>
  <c r="E53" i="2"/>
  <c r="C47" i="2"/>
  <c r="C49" i="2"/>
  <c r="C53" i="2"/>
  <c r="F46" i="2"/>
  <c r="F48" i="2"/>
  <c r="F50" i="2"/>
  <c r="B46" i="2"/>
  <c r="B48" i="2"/>
  <c r="B50" i="2"/>
  <c r="G1015" i="2"/>
  <c r="E1015" i="2"/>
  <c r="C1015" i="2"/>
  <c r="G987" i="2"/>
  <c r="E987" i="2"/>
  <c r="C987" i="2"/>
  <c r="G959" i="2"/>
  <c r="E959" i="2"/>
  <c r="C959" i="2"/>
  <c r="G931" i="2"/>
  <c r="E931" i="2"/>
  <c r="C931" i="2"/>
  <c r="G903" i="2"/>
  <c r="E903" i="2"/>
  <c r="C903" i="2"/>
  <c r="H875" i="2"/>
  <c r="F875" i="2"/>
  <c r="D875" i="2"/>
  <c r="B875" i="2"/>
  <c r="G847" i="2"/>
  <c r="E847" i="2"/>
  <c r="C847" i="2"/>
  <c r="H819" i="2"/>
  <c r="F819" i="2"/>
  <c r="D819" i="2"/>
  <c r="B819" i="2"/>
  <c r="G791" i="2"/>
  <c r="E791" i="2"/>
  <c r="C791" i="2"/>
  <c r="H763" i="2"/>
  <c r="F763" i="2"/>
  <c r="D763" i="2"/>
  <c r="B763" i="2"/>
  <c r="G735" i="2"/>
  <c r="E735" i="2"/>
  <c r="C735" i="2"/>
  <c r="H707" i="2"/>
  <c r="F707" i="2"/>
  <c r="D707" i="2"/>
  <c r="B707" i="2"/>
  <c r="G678" i="2"/>
  <c r="E678" i="2"/>
  <c r="C678" i="2"/>
  <c r="H649" i="2"/>
  <c r="F649" i="2"/>
  <c r="D649" i="2"/>
  <c r="B649" i="2"/>
  <c r="G620" i="2"/>
  <c r="E620" i="2"/>
  <c r="C620" i="2"/>
  <c r="H592" i="2"/>
  <c r="F592" i="2"/>
  <c r="D592" i="2"/>
  <c r="B592" i="2"/>
  <c r="G564" i="2"/>
  <c r="E564" i="2"/>
  <c r="C564" i="2"/>
  <c r="H536" i="2"/>
  <c r="F536" i="2"/>
  <c r="D536" i="2"/>
  <c r="B536" i="2"/>
  <c r="H507" i="2"/>
  <c r="F507" i="2"/>
  <c r="D507" i="2"/>
  <c r="B507" i="2"/>
  <c r="H478" i="2"/>
  <c r="F478" i="2"/>
  <c r="D478" i="2"/>
  <c r="B478" i="2"/>
  <c r="H449" i="2"/>
  <c r="F449" i="2"/>
  <c r="D449" i="2"/>
  <c r="B449" i="2"/>
  <c r="H418" i="2"/>
  <c r="D418" i="2"/>
  <c r="H392" i="2"/>
  <c r="D392" i="2"/>
  <c r="B390" i="2"/>
  <c r="G389" i="2"/>
  <c r="C389" i="2"/>
  <c r="H388" i="2"/>
  <c r="D388" i="2"/>
  <c r="E361" i="2"/>
  <c r="E333" i="2"/>
  <c r="H304" i="2"/>
  <c r="D304" i="2"/>
  <c r="H275" i="2"/>
  <c r="D275" i="2"/>
  <c r="E245" i="2"/>
  <c r="H217" i="2"/>
  <c r="D217" i="2"/>
  <c r="H189" i="2"/>
  <c r="D189" i="2"/>
  <c r="E160" i="2"/>
  <c r="H131" i="2"/>
  <c r="D131" i="2"/>
  <c r="H106" i="2"/>
  <c r="D106" i="2"/>
  <c r="F104" i="2"/>
  <c r="B104" i="2"/>
  <c r="G103" i="2"/>
  <c r="C103" i="2"/>
  <c r="H102" i="2"/>
  <c r="D102" i="2"/>
  <c r="F76" i="2"/>
  <c r="B76" i="2"/>
  <c r="G75" i="2"/>
  <c r="C75" i="2"/>
  <c r="C50" i="2"/>
  <c r="E48" i="2"/>
  <c r="F47" i="2"/>
  <c r="B47" i="2"/>
  <c r="C46" i="2"/>
  <c r="E23" i="2"/>
  <c r="E22" i="2"/>
  <c r="E21" i="2"/>
  <c r="E20" i="2"/>
  <c r="CE2304" i="3"/>
  <c r="F1527" i="3"/>
  <c r="F1529" i="3"/>
  <c r="F1531" i="3"/>
  <c r="B1527" i="3"/>
  <c r="B1529" i="3"/>
  <c r="B1531" i="3"/>
  <c r="J1515" i="3"/>
  <c r="CE2296" i="3"/>
  <c r="G1505" i="3"/>
  <c r="G1502" i="3"/>
  <c r="F1500" i="3"/>
  <c r="F1502" i="3"/>
  <c r="F1504" i="3"/>
  <c r="B1500" i="3"/>
  <c r="B1502" i="3"/>
  <c r="B1504" i="3"/>
  <c r="E1478" i="3"/>
  <c r="E1473" i="3"/>
  <c r="F1473" i="3"/>
  <c r="F1475" i="3"/>
  <c r="F1477" i="3"/>
  <c r="B1473" i="3"/>
  <c r="B1475" i="3"/>
  <c r="B1477" i="3"/>
  <c r="J1461" i="3"/>
  <c r="C1451" i="3"/>
  <c r="C1448" i="3"/>
  <c r="B1448" i="3"/>
  <c r="D1448" i="3"/>
  <c r="E1448" i="3"/>
  <c r="F1448" i="3"/>
  <c r="G1448" i="3"/>
  <c r="H1448" i="3"/>
  <c r="I1448" i="3"/>
  <c r="F1446" i="3"/>
  <c r="F1450" i="3"/>
  <c r="B1446" i="3"/>
  <c r="B1450" i="3"/>
  <c r="F1426" i="3"/>
  <c r="G1419" i="3"/>
  <c r="G1421" i="3"/>
  <c r="G1423" i="3"/>
  <c r="C1419" i="3"/>
  <c r="C1421" i="3"/>
  <c r="C1423" i="3"/>
  <c r="E1392" i="3"/>
  <c r="E1394" i="3"/>
  <c r="E1396" i="3"/>
  <c r="F1368" i="3"/>
  <c r="G1365" i="3"/>
  <c r="G1367" i="3"/>
  <c r="G1369" i="3"/>
  <c r="C1365" i="3"/>
  <c r="C1367" i="3"/>
  <c r="C1369" i="3"/>
  <c r="E1338" i="3"/>
  <c r="E1340" i="3"/>
  <c r="E1342" i="3"/>
  <c r="F1318" i="3"/>
  <c r="F1319" i="3"/>
  <c r="F1320" i="3"/>
  <c r="F1309" i="3"/>
  <c r="B1316" i="3"/>
  <c r="B1315" i="3"/>
  <c r="G1311" i="3"/>
  <c r="G1313" i="3"/>
  <c r="G1315" i="3"/>
  <c r="C1311" i="3"/>
  <c r="C1313" i="3"/>
  <c r="C1315" i="3"/>
  <c r="E1284" i="3"/>
  <c r="E1286" i="3"/>
  <c r="E1288" i="3"/>
  <c r="H1262" i="3"/>
  <c r="D1262" i="3"/>
  <c r="B1262" i="3"/>
  <c r="B1264" i="3"/>
  <c r="G1257" i="3"/>
  <c r="G1259" i="3"/>
  <c r="G1261" i="3"/>
  <c r="C1257" i="3"/>
  <c r="C1259" i="3"/>
  <c r="C1261" i="3"/>
  <c r="E1230" i="3"/>
  <c r="E1232" i="3"/>
  <c r="E1234" i="3"/>
  <c r="H1208" i="3"/>
  <c r="D1208" i="3"/>
  <c r="B1208" i="3"/>
  <c r="B1210" i="3"/>
  <c r="G1203" i="3"/>
  <c r="G1205" i="3"/>
  <c r="G1207" i="3"/>
  <c r="C1203" i="3"/>
  <c r="C1205" i="3"/>
  <c r="C1207" i="3"/>
  <c r="E1176" i="3"/>
  <c r="E1178" i="3"/>
  <c r="E1180" i="3"/>
  <c r="H1154" i="3"/>
  <c r="F1150" i="3"/>
  <c r="F1152" i="3"/>
  <c r="F1156" i="3"/>
  <c r="F1157" i="3"/>
  <c r="F1158" i="3"/>
  <c r="D1154" i="3"/>
  <c r="D1156" i="3"/>
  <c r="B1154" i="3"/>
  <c r="B1156" i="3"/>
  <c r="G1149" i="3"/>
  <c r="G1151" i="3"/>
  <c r="G1153" i="3"/>
  <c r="C1149" i="3"/>
  <c r="C1151" i="3"/>
  <c r="C1153" i="3"/>
  <c r="H1127" i="3"/>
  <c r="H1122" i="3"/>
  <c r="F1123" i="3"/>
  <c r="F1125" i="3"/>
  <c r="F1129" i="3"/>
  <c r="D1127" i="3"/>
  <c r="D1124" i="3"/>
  <c r="B1127" i="3"/>
  <c r="B1129" i="3"/>
  <c r="B1130" i="3"/>
  <c r="B1131" i="3"/>
  <c r="G1122" i="3"/>
  <c r="G1124" i="3"/>
  <c r="G1126" i="3"/>
  <c r="C1122" i="3"/>
  <c r="C1124" i="3"/>
  <c r="C1126" i="3"/>
  <c r="G1100" i="3"/>
  <c r="G1097" i="3"/>
  <c r="E1100" i="3"/>
  <c r="C1100" i="3"/>
  <c r="F1095" i="3"/>
  <c r="F1097" i="3"/>
  <c r="F1099" i="3"/>
  <c r="F1098" i="3"/>
  <c r="B1095" i="3"/>
  <c r="B1097" i="3"/>
  <c r="B1099" i="3"/>
  <c r="B1098" i="3"/>
  <c r="J1083" i="3"/>
  <c r="J1029" i="3"/>
  <c r="J1027" i="3"/>
  <c r="AL2269" i="3"/>
  <c r="AL2296" i="3"/>
  <c r="G1014" i="3"/>
  <c r="G1016" i="3"/>
  <c r="G1018" i="3"/>
  <c r="G1017" i="3"/>
  <c r="G1021" i="3"/>
  <c r="C1014" i="3"/>
  <c r="C1016" i="3"/>
  <c r="C1018" i="3"/>
  <c r="C1017" i="3"/>
  <c r="C1021" i="3"/>
  <c r="C1022" i="3"/>
  <c r="C1023" i="3"/>
  <c r="G992" i="3"/>
  <c r="G994" i="3"/>
  <c r="E992" i="3"/>
  <c r="E990" i="3"/>
  <c r="C992" i="3"/>
  <c r="C994" i="3"/>
  <c r="F987" i="3"/>
  <c r="F989" i="3"/>
  <c r="F991" i="3"/>
  <c r="F990" i="3"/>
  <c r="F994" i="3"/>
  <c r="B987" i="3"/>
  <c r="B989" i="3"/>
  <c r="B991" i="3"/>
  <c r="B990" i="3"/>
  <c r="B994" i="3"/>
  <c r="H965" i="3"/>
  <c r="D965" i="3"/>
  <c r="D967" i="3"/>
  <c r="D968" i="3"/>
  <c r="D969" i="3"/>
  <c r="D959" i="3"/>
  <c r="B965" i="3"/>
  <c r="B960" i="3"/>
  <c r="AH2273" i="3"/>
  <c r="AH2271" i="3"/>
  <c r="J919" i="3"/>
  <c r="AH2269" i="3"/>
  <c r="AH2296" i="3"/>
  <c r="G906" i="3"/>
  <c r="G908" i="3"/>
  <c r="G910" i="3"/>
  <c r="G909" i="3"/>
  <c r="G913" i="3"/>
  <c r="G914" i="3"/>
  <c r="G915" i="3"/>
  <c r="C906" i="3"/>
  <c r="C908" i="3"/>
  <c r="C910" i="3"/>
  <c r="C909" i="3"/>
  <c r="C913" i="3"/>
  <c r="G884" i="3"/>
  <c r="E884" i="3"/>
  <c r="E886" i="3"/>
  <c r="C884" i="3"/>
  <c r="F879" i="3"/>
  <c r="F881" i="3"/>
  <c r="F883" i="3"/>
  <c r="F882" i="3"/>
  <c r="F886" i="3"/>
  <c r="B879" i="3"/>
  <c r="B881" i="3"/>
  <c r="B883" i="3"/>
  <c r="B882" i="3"/>
  <c r="B886" i="3"/>
  <c r="B887" i="3"/>
  <c r="B888" i="3"/>
  <c r="H857" i="3"/>
  <c r="D857" i="3"/>
  <c r="D854" i="3"/>
  <c r="B857" i="3"/>
  <c r="B859" i="3"/>
  <c r="J814" i="3"/>
  <c r="J812" i="3"/>
  <c r="J810" i="3"/>
  <c r="AD2269" i="3"/>
  <c r="AD2296" i="3"/>
  <c r="G797" i="3"/>
  <c r="G799" i="3"/>
  <c r="G801" i="3"/>
  <c r="G800" i="3"/>
  <c r="G804" i="3"/>
  <c r="C797" i="3"/>
  <c r="C799" i="3"/>
  <c r="C801" i="3"/>
  <c r="C800" i="3"/>
  <c r="C804" i="3"/>
  <c r="C805" i="3"/>
  <c r="C806" i="3"/>
  <c r="G774" i="3"/>
  <c r="E774" i="3"/>
  <c r="C774" i="3"/>
  <c r="F769" i="3"/>
  <c r="F771" i="3"/>
  <c r="F773" i="3"/>
  <c r="F772" i="3"/>
  <c r="F776" i="3"/>
  <c r="B769" i="3"/>
  <c r="B771" i="3"/>
  <c r="B773" i="3"/>
  <c r="B772" i="3"/>
  <c r="B776" i="3"/>
  <c r="H746" i="3"/>
  <c r="F742" i="3"/>
  <c r="F744" i="3"/>
  <c r="F748" i="3"/>
  <c r="F749" i="3"/>
  <c r="F750" i="3"/>
  <c r="F739" i="3"/>
  <c r="F741" i="3"/>
  <c r="F745" i="3"/>
  <c r="D746" i="3"/>
  <c r="B746" i="3"/>
  <c r="G665" i="3"/>
  <c r="G666" i="3"/>
  <c r="G657" i="3"/>
  <c r="G659" i="3"/>
  <c r="G661" i="3"/>
  <c r="G660" i="3"/>
  <c r="C657" i="3"/>
  <c r="C659" i="3"/>
  <c r="C661" i="3"/>
  <c r="C660" i="3"/>
  <c r="E637" i="3"/>
  <c r="E638" i="3"/>
  <c r="E629" i="3"/>
  <c r="E631" i="3"/>
  <c r="E633" i="3"/>
  <c r="E632" i="3"/>
  <c r="H462" i="3"/>
  <c r="H464" i="3"/>
  <c r="H466" i="3"/>
  <c r="H465" i="3"/>
  <c r="H469" i="3"/>
  <c r="H470" i="3"/>
  <c r="H471" i="3"/>
  <c r="D462" i="3"/>
  <c r="D464" i="3"/>
  <c r="D466" i="3"/>
  <c r="D465" i="3"/>
  <c r="D469" i="3"/>
  <c r="D470" i="3"/>
  <c r="D471" i="3"/>
  <c r="I468" i="3"/>
  <c r="R2289" i="3"/>
  <c r="R2304" i="3"/>
  <c r="H440" i="3"/>
  <c r="H438" i="3"/>
  <c r="F436" i="3"/>
  <c r="F438" i="3"/>
  <c r="F442" i="3"/>
  <c r="F435" i="3"/>
  <c r="F439" i="3"/>
  <c r="D440" i="3"/>
  <c r="D438" i="3"/>
  <c r="B440" i="3"/>
  <c r="B442" i="3"/>
  <c r="B443" i="3"/>
  <c r="B444" i="3"/>
  <c r="G408" i="3"/>
  <c r="G410" i="3"/>
  <c r="G412" i="3"/>
  <c r="G411" i="3"/>
  <c r="G415" i="3"/>
  <c r="G416" i="3"/>
  <c r="G417" i="3"/>
  <c r="C408" i="3"/>
  <c r="C410" i="3"/>
  <c r="C412" i="3"/>
  <c r="C411" i="3"/>
  <c r="C415" i="3"/>
  <c r="G386" i="3"/>
  <c r="E386" i="3"/>
  <c r="E388" i="3"/>
  <c r="C386" i="3"/>
  <c r="F381" i="3"/>
  <c r="F383" i="3"/>
  <c r="F385" i="3"/>
  <c r="F384" i="3"/>
  <c r="F388" i="3"/>
  <c r="B381" i="3"/>
  <c r="B383" i="3"/>
  <c r="B385" i="3"/>
  <c r="B384" i="3"/>
  <c r="B388" i="3"/>
  <c r="E362" i="3"/>
  <c r="E363" i="3"/>
  <c r="E354" i="3"/>
  <c r="E356" i="3"/>
  <c r="E358" i="3"/>
  <c r="E357" i="3"/>
  <c r="E327" i="3"/>
  <c r="E329" i="3"/>
  <c r="E331" i="3"/>
  <c r="E330" i="3"/>
  <c r="E334" i="3"/>
  <c r="H242" i="3"/>
  <c r="H244" i="3"/>
  <c r="H246" i="3"/>
  <c r="H245" i="3"/>
  <c r="H249" i="3"/>
  <c r="H250" i="3"/>
  <c r="D242" i="3"/>
  <c r="D244" i="3"/>
  <c r="D246" i="3"/>
  <c r="D245" i="3"/>
  <c r="D249" i="3"/>
  <c r="C186" i="3"/>
  <c r="C188" i="3"/>
  <c r="C190" i="3"/>
  <c r="C189" i="3"/>
  <c r="C193" i="3"/>
  <c r="C187" i="3"/>
  <c r="G163" i="3"/>
  <c r="E163" i="3"/>
  <c r="C163" i="3"/>
  <c r="F158" i="3"/>
  <c r="F160" i="3"/>
  <c r="F162" i="3"/>
  <c r="F161" i="3"/>
  <c r="F165" i="3"/>
  <c r="F166" i="3"/>
  <c r="F167" i="3"/>
  <c r="B158" i="3"/>
  <c r="B160" i="3"/>
  <c r="B162" i="3"/>
  <c r="B161" i="3"/>
  <c r="B165" i="3"/>
  <c r="B166" i="3"/>
  <c r="B167" i="3"/>
  <c r="B159" i="3"/>
  <c r="E110" i="3"/>
  <c r="E111" i="3"/>
  <c r="E100" i="3"/>
  <c r="E103" i="3"/>
  <c r="E105" i="3"/>
  <c r="E102" i="3"/>
  <c r="E104" i="3"/>
  <c r="E106" i="3"/>
  <c r="G46" i="3"/>
  <c r="G48" i="3"/>
  <c r="G50" i="3"/>
  <c r="G47" i="3"/>
  <c r="G49" i="3"/>
  <c r="G53" i="3"/>
  <c r="G54" i="3"/>
  <c r="G55" i="3"/>
  <c r="E48" i="3"/>
  <c r="E47" i="3"/>
  <c r="E53" i="3"/>
  <c r="C46" i="3"/>
  <c r="C48" i="3"/>
  <c r="C50" i="3"/>
  <c r="C47" i="3"/>
  <c r="C49" i="3"/>
  <c r="C53" i="3"/>
  <c r="C54" i="3"/>
  <c r="C55" i="3"/>
  <c r="H1534" i="3"/>
  <c r="D1534" i="3"/>
  <c r="F1528" i="3"/>
  <c r="B1528" i="3"/>
  <c r="H1507" i="3"/>
  <c r="D1507" i="3"/>
  <c r="D1508" i="3"/>
  <c r="D1509" i="3"/>
  <c r="F1501" i="3"/>
  <c r="B1501" i="3"/>
  <c r="H1480" i="3"/>
  <c r="D1480" i="3"/>
  <c r="D1481" i="3"/>
  <c r="D1482" i="3"/>
  <c r="F1474" i="3"/>
  <c r="B1474" i="3"/>
  <c r="H1453" i="3"/>
  <c r="D1453" i="3"/>
  <c r="D1454" i="3"/>
  <c r="D1455" i="3"/>
  <c r="F1447" i="3"/>
  <c r="B1447" i="3"/>
  <c r="E1426" i="3"/>
  <c r="G1420" i="3"/>
  <c r="C1420" i="3"/>
  <c r="G1399" i="3"/>
  <c r="C1399" i="3"/>
  <c r="C1400" i="3"/>
  <c r="C1401" i="3"/>
  <c r="E1393" i="3"/>
  <c r="E1372" i="3"/>
  <c r="G1366" i="3"/>
  <c r="C1366" i="3"/>
  <c r="G1345" i="3"/>
  <c r="G1346" i="3"/>
  <c r="G1347" i="3"/>
  <c r="C1345" i="3"/>
  <c r="F1342" i="3"/>
  <c r="E1339" i="3"/>
  <c r="I1324" i="3"/>
  <c r="E1318" i="3"/>
  <c r="F1313" i="3"/>
  <c r="G1312" i="3"/>
  <c r="C1312" i="3"/>
  <c r="G1291" i="3"/>
  <c r="C1291" i="3"/>
  <c r="C1292" i="3"/>
  <c r="C1293" i="3"/>
  <c r="E1285" i="3"/>
  <c r="I1270" i="3"/>
  <c r="E1264" i="3"/>
  <c r="G1258" i="3"/>
  <c r="C1258" i="3"/>
  <c r="G1237" i="3"/>
  <c r="C1237" i="3"/>
  <c r="F1234" i="3"/>
  <c r="E1231" i="3"/>
  <c r="I1216" i="3"/>
  <c r="E1210" i="3"/>
  <c r="G1204" i="3"/>
  <c r="C1204" i="3"/>
  <c r="G1183" i="3"/>
  <c r="C1183" i="3"/>
  <c r="C1184" i="3"/>
  <c r="C1185" i="3"/>
  <c r="F1180" i="3"/>
  <c r="E1177" i="3"/>
  <c r="I1162" i="3"/>
  <c r="E1156" i="3"/>
  <c r="E1157" i="3"/>
  <c r="E1158" i="3"/>
  <c r="F1151" i="3"/>
  <c r="G1150" i="3"/>
  <c r="C1150" i="3"/>
  <c r="F1124" i="3"/>
  <c r="G1123" i="3"/>
  <c r="C1123" i="3"/>
  <c r="B1104" i="3"/>
  <c r="H1102" i="3"/>
  <c r="H1103" i="3"/>
  <c r="H1104" i="3"/>
  <c r="B1096" i="3"/>
  <c r="G1015" i="3"/>
  <c r="F988" i="3"/>
  <c r="G907" i="3"/>
  <c r="F880" i="3"/>
  <c r="G798" i="3"/>
  <c r="F770" i="3"/>
  <c r="G658" i="3"/>
  <c r="E630" i="3"/>
  <c r="D463" i="3"/>
  <c r="G409" i="3"/>
  <c r="F382" i="3"/>
  <c r="E355" i="3"/>
  <c r="E328" i="3"/>
  <c r="D243" i="3"/>
  <c r="H1527" i="3"/>
  <c r="H1529" i="3"/>
  <c r="H1531" i="3"/>
  <c r="D1527" i="3"/>
  <c r="D1529" i="3"/>
  <c r="D1531" i="3"/>
  <c r="J1514" i="3"/>
  <c r="H1500" i="3"/>
  <c r="H1502" i="3"/>
  <c r="H1504" i="3"/>
  <c r="D1500" i="3"/>
  <c r="D1502" i="3"/>
  <c r="D1504" i="3"/>
  <c r="BC2270" i="3"/>
  <c r="H1473" i="3"/>
  <c r="H1475" i="3"/>
  <c r="H1477" i="3"/>
  <c r="D1473" i="3"/>
  <c r="D1475" i="3"/>
  <c r="D1477" i="3"/>
  <c r="H1446" i="3"/>
  <c r="H1450" i="3"/>
  <c r="D1446" i="3"/>
  <c r="D1450" i="3"/>
  <c r="BA2270" i="3"/>
  <c r="E1419" i="3"/>
  <c r="E1421" i="3"/>
  <c r="E1423" i="3"/>
  <c r="H1397" i="3"/>
  <c r="H1395" i="3"/>
  <c r="D1397" i="3"/>
  <c r="D1393" i="3"/>
  <c r="G1392" i="3"/>
  <c r="G1394" i="3"/>
  <c r="G1396" i="3"/>
  <c r="C1392" i="3"/>
  <c r="C1394" i="3"/>
  <c r="C1396" i="3"/>
  <c r="E1365" i="3"/>
  <c r="E1367" i="3"/>
  <c r="E1369" i="3"/>
  <c r="F1339" i="3"/>
  <c r="B1343" i="3"/>
  <c r="G1338" i="3"/>
  <c r="G1340" i="3"/>
  <c r="G1342" i="3"/>
  <c r="C1338" i="3"/>
  <c r="C1340" i="3"/>
  <c r="C1342" i="3"/>
  <c r="E1311" i="3"/>
  <c r="E1313" i="3"/>
  <c r="E1315" i="3"/>
  <c r="H1289" i="3"/>
  <c r="D1289" i="3"/>
  <c r="B1289" i="3"/>
  <c r="B1284" i="3"/>
  <c r="C1284" i="3"/>
  <c r="D1284" i="3"/>
  <c r="F1284" i="3"/>
  <c r="G1284" i="3"/>
  <c r="H1284" i="3"/>
  <c r="I1284" i="3"/>
  <c r="G1286" i="3"/>
  <c r="G1288" i="3"/>
  <c r="C1286" i="3"/>
  <c r="C1288" i="3"/>
  <c r="E1257" i="3"/>
  <c r="E1259" i="3"/>
  <c r="E1261" i="3"/>
  <c r="H1235" i="3"/>
  <c r="H1234" i="3"/>
  <c r="F1231" i="3"/>
  <c r="F1233" i="3"/>
  <c r="F1237" i="3"/>
  <c r="D1235" i="3"/>
  <c r="D1231" i="3"/>
  <c r="B1235" i="3"/>
  <c r="B1231" i="3"/>
  <c r="C1231" i="3"/>
  <c r="G1231" i="3"/>
  <c r="H1231" i="3"/>
  <c r="I1231" i="3"/>
  <c r="G1230" i="3"/>
  <c r="G1232" i="3"/>
  <c r="G1234" i="3"/>
  <c r="C1230" i="3"/>
  <c r="C1232" i="3"/>
  <c r="C1234" i="3"/>
  <c r="E1203" i="3"/>
  <c r="E1205" i="3"/>
  <c r="E1207" i="3"/>
  <c r="H1181" i="3"/>
  <c r="F1177" i="3"/>
  <c r="F1179" i="3"/>
  <c r="F1183" i="3"/>
  <c r="F1184" i="3"/>
  <c r="F1185" i="3"/>
  <c r="D1181" i="3"/>
  <c r="B1181" i="3"/>
  <c r="G1176" i="3"/>
  <c r="G1178" i="3"/>
  <c r="G1180" i="3"/>
  <c r="C1176" i="3"/>
  <c r="C1178" i="3"/>
  <c r="C1180" i="3"/>
  <c r="E1149" i="3"/>
  <c r="E1151" i="3"/>
  <c r="E1153" i="3"/>
  <c r="E1122" i="3"/>
  <c r="E1124" i="3"/>
  <c r="E1126" i="3"/>
  <c r="AO2274" i="3"/>
  <c r="AO2272" i="3"/>
  <c r="I1128" i="3"/>
  <c r="AO2289" i="3"/>
  <c r="AO2304" i="3"/>
  <c r="H1095" i="3"/>
  <c r="H1097" i="3"/>
  <c r="H1096" i="3"/>
  <c r="H1099" i="3"/>
  <c r="G1073" i="3"/>
  <c r="E1073" i="3"/>
  <c r="C1073" i="3"/>
  <c r="C1069" i="3"/>
  <c r="D1069" i="3"/>
  <c r="E1069" i="3"/>
  <c r="F1069" i="3"/>
  <c r="G1069" i="3"/>
  <c r="H1069" i="3"/>
  <c r="I1069" i="3"/>
  <c r="F1068" i="3"/>
  <c r="F1070" i="3"/>
  <c r="F1072" i="3"/>
  <c r="F1071" i="3"/>
  <c r="F1075" i="3"/>
  <c r="F1076" i="3"/>
  <c r="F1077" i="3"/>
  <c r="B1068" i="3"/>
  <c r="B1070" i="3"/>
  <c r="B1072" i="3"/>
  <c r="B1071" i="3"/>
  <c r="B1075" i="3"/>
  <c r="B1076" i="3"/>
  <c r="B1077" i="3"/>
  <c r="G1046" i="3"/>
  <c r="E1046" i="3"/>
  <c r="E1048" i="3"/>
  <c r="C1046" i="3"/>
  <c r="F1041" i="3"/>
  <c r="F1043" i="3"/>
  <c r="F1045" i="3"/>
  <c r="F1044" i="3"/>
  <c r="F1048" i="3"/>
  <c r="B1041" i="3"/>
  <c r="B1043" i="3"/>
  <c r="B1045" i="3"/>
  <c r="B1044" i="3"/>
  <c r="B1048" i="3"/>
  <c r="B1049" i="3"/>
  <c r="B1050" i="3"/>
  <c r="H1019" i="3"/>
  <c r="H1021" i="3"/>
  <c r="F1015" i="3"/>
  <c r="F1017" i="3"/>
  <c r="F1021" i="3"/>
  <c r="F1014" i="3"/>
  <c r="F1018" i="3"/>
  <c r="D1019" i="3"/>
  <c r="B1019" i="3"/>
  <c r="B1017" i="3"/>
  <c r="AJ2271" i="3"/>
  <c r="J973" i="3"/>
  <c r="AJ2269" i="3"/>
  <c r="AJ2296" i="3"/>
  <c r="G960" i="3"/>
  <c r="G962" i="3"/>
  <c r="G964" i="3"/>
  <c r="G963" i="3"/>
  <c r="G967" i="3"/>
  <c r="C960" i="3"/>
  <c r="C962" i="3"/>
  <c r="C964" i="3"/>
  <c r="C963" i="3"/>
  <c r="C967" i="3"/>
  <c r="C968" i="3"/>
  <c r="G938" i="3"/>
  <c r="E938" i="3"/>
  <c r="C938" i="3"/>
  <c r="C937" i="3"/>
  <c r="F933" i="3"/>
  <c r="F935" i="3"/>
  <c r="F937" i="3"/>
  <c r="F936" i="3"/>
  <c r="F940" i="3"/>
  <c r="B933" i="3"/>
  <c r="B935" i="3"/>
  <c r="B937" i="3"/>
  <c r="B936" i="3"/>
  <c r="B940" i="3"/>
  <c r="B941" i="3"/>
  <c r="H911" i="3"/>
  <c r="F907" i="3"/>
  <c r="F909" i="3"/>
  <c r="F913" i="3"/>
  <c r="F914" i="3"/>
  <c r="F915" i="3"/>
  <c r="F906" i="3"/>
  <c r="F910" i="3"/>
  <c r="D911" i="3"/>
  <c r="B911" i="3"/>
  <c r="B910" i="3"/>
  <c r="D910" i="3"/>
  <c r="E910" i="3"/>
  <c r="H910" i="3"/>
  <c r="I910" i="3"/>
  <c r="AF2271" i="3"/>
  <c r="J865" i="3"/>
  <c r="AF2269" i="3"/>
  <c r="AF2296" i="3"/>
  <c r="G852" i="3"/>
  <c r="G854" i="3"/>
  <c r="G856" i="3"/>
  <c r="G855" i="3"/>
  <c r="G859" i="3"/>
  <c r="C852" i="3"/>
  <c r="C854" i="3"/>
  <c r="C856" i="3"/>
  <c r="C855" i="3"/>
  <c r="C859" i="3"/>
  <c r="C860" i="3"/>
  <c r="C861" i="3"/>
  <c r="G829" i="3"/>
  <c r="G824" i="3"/>
  <c r="E829" i="3"/>
  <c r="E831" i="3"/>
  <c r="C829" i="3"/>
  <c r="C827" i="3"/>
  <c r="F824" i="3"/>
  <c r="F826" i="3"/>
  <c r="F828" i="3"/>
  <c r="F827" i="3"/>
  <c r="F831" i="3"/>
  <c r="B824" i="3"/>
  <c r="B826" i="3"/>
  <c r="B828" i="3"/>
  <c r="B827" i="3"/>
  <c r="B831" i="3"/>
  <c r="H802" i="3"/>
  <c r="H804" i="3"/>
  <c r="F798" i="3"/>
  <c r="F800" i="3"/>
  <c r="F804" i="3"/>
  <c r="F805" i="3"/>
  <c r="F806" i="3"/>
  <c r="F797" i="3"/>
  <c r="F801" i="3"/>
  <c r="D802" i="3"/>
  <c r="B802" i="3"/>
  <c r="B797" i="3"/>
  <c r="AB2271" i="3"/>
  <c r="J755" i="3"/>
  <c r="AB2269" i="3"/>
  <c r="AB2296" i="3"/>
  <c r="G741" i="3"/>
  <c r="G743" i="3"/>
  <c r="G745" i="3"/>
  <c r="G744" i="3"/>
  <c r="G748" i="3"/>
  <c r="C741" i="3"/>
  <c r="C743" i="3"/>
  <c r="C745" i="3"/>
  <c r="C744" i="3"/>
  <c r="C748" i="3"/>
  <c r="Z2289" i="3"/>
  <c r="Z2304" i="3"/>
  <c r="G718" i="3"/>
  <c r="G715" i="3"/>
  <c r="E718" i="3"/>
  <c r="E720" i="3"/>
  <c r="E721" i="3"/>
  <c r="C718" i="3"/>
  <c r="C715" i="3"/>
  <c r="F713" i="3"/>
  <c r="F715" i="3"/>
  <c r="F717" i="3"/>
  <c r="F716" i="3"/>
  <c r="F720" i="3"/>
  <c r="F693" i="3"/>
  <c r="F694" i="3"/>
  <c r="F685" i="3"/>
  <c r="F687" i="3"/>
  <c r="F689" i="3"/>
  <c r="F688" i="3"/>
  <c r="B685" i="3"/>
  <c r="B687" i="3"/>
  <c r="B689" i="3"/>
  <c r="B688" i="3"/>
  <c r="J674" i="3"/>
  <c r="I691" i="3"/>
  <c r="Y2289" i="3"/>
  <c r="Y2304" i="3"/>
  <c r="H662" i="3"/>
  <c r="F658" i="3"/>
  <c r="F660" i="3"/>
  <c r="F664" i="3"/>
  <c r="F665" i="3"/>
  <c r="F666" i="3"/>
  <c r="F657" i="3"/>
  <c r="F661" i="3"/>
  <c r="D662" i="3"/>
  <c r="B662" i="3"/>
  <c r="J643" i="3"/>
  <c r="X2269" i="3"/>
  <c r="X2296" i="3"/>
  <c r="J618" i="3"/>
  <c r="I621" i="3"/>
  <c r="J621" i="3"/>
  <c r="E600" i="3"/>
  <c r="E602" i="3"/>
  <c r="E604" i="3"/>
  <c r="E603" i="3"/>
  <c r="E607" i="3"/>
  <c r="E608" i="3"/>
  <c r="E609" i="3"/>
  <c r="H572" i="3"/>
  <c r="H574" i="3"/>
  <c r="H576" i="3"/>
  <c r="H575" i="3"/>
  <c r="H579" i="3"/>
  <c r="D572" i="3"/>
  <c r="D574" i="3"/>
  <c r="D576" i="3"/>
  <c r="D575" i="3"/>
  <c r="D579" i="3"/>
  <c r="H544" i="3"/>
  <c r="H546" i="3"/>
  <c r="H548" i="3"/>
  <c r="H547" i="3"/>
  <c r="H551" i="3"/>
  <c r="H552" i="3"/>
  <c r="H553" i="3"/>
  <c r="D544" i="3"/>
  <c r="D546" i="3"/>
  <c r="D548" i="3"/>
  <c r="D547" i="3"/>
  <c r="D551" i="3"/>
  <c r="J535" i="3"/>
  <c r="H516" i="3"/>
  <c r="H518" i="3"/>
  <c r="H520" i="3"/>
  <c r="H519" i="3"/>
  <c r="H523" i="3"/>
  <c r="D516" i="3"/>
  <c r="D518" i="3"/>
  <c r="D520" i="3"/>
  <c r="D519" i="3"/>
  <c r="D523" i="3"/>
  <c r="H489" i="3"/>
  <c r="H491" i="3"/>
  <c r="H493" i="3"/>
  <c r="H492" i="3"/>
  <c r="H496" i="3"/>
  <c r="H497" i="3"/>
  <c r="H498" i="3"/>
  <c r="D489" i="3"/>
  <c r="D491" i="3"/>
  <c r="D493" i="3"/>
  <c r="D492" i="3"/>
  <c r="D496" i="3"/>
  <c r="D497" i="3"/>
  <c r="D498" i="3"/>
  <c r="J480" i="3"/>
  <c r="G443" i="3"/>
  <c r="G444" i="3"/>
  <c r="G435" i="3"/>
  <c r="G437" i="3"/>
  <c r="G439" i="3"/>
  <c r="G438" i="3"/>
  <c r="C435" i="3"/>
  <c r="C437" i="3"/>
  <c r="C439" i="3"/>
  <c r="C438" i="3"/>
  <c r="H413" i="3"/>
  <c r="F409" i="3"/>
  <c r="F411" i="3"/>
  <c r="F415" i="3"/>
  <c r="F408" i="3"/>
  <c r="F412" i="3"/>
  <c r="D413" i="3"/>
  <c r="B413" i="3"/>
  <c r="B409" i="3"/>
  <c r="C409" i="3"/>
  <c r="D409" i="3"/>
  <c r="E409" i="3"/>
  <c r="H409" i="3"/>
  <c r="I409" i="3"/>
  <c r="H299" i="3"/>
  <c r="H301" i="3"/>
  <c r="H303" i="3"/>
  <c r="H302" i="3"/>
  <c r="H306" i="3"/>
  <c r="D299" i="3"/>
  <c r="D301" i="3"/>
  <c r="D303" i="3"/>
  <c r="D302" i="3"/>
  <c r="D306" i="3"/>
  <c r="D307" i="3"/>
  <c r="D308" i="3"/>
  <c r="E271" i="3"/>
  <c r="E273" i="3"/>
  <c r="E275" i="3"/>
  <c r="E274" i="3"/>
  <c r="E278" i="3"/>
  <c r="E279" i="3"/>
  <c r="E280" i="3"/>
  <c r="H214" i="3"/>
  <c r="H216" i="3"/>
  <c r="H218" i="3"/>
  <c r="H217" i="3"/>
  <c r="H221" i="3"/>
  <c r="H222" i="3"/>
  <c r="H223" i="3"/>
  <c r="D214" i="3"/>
  <c r="D216" i="3"/>
  <c r="D218" i="3"/>
  <c r="D217" i="3"/>
  <c r="D221" i="3"/>
  <c r="I2274" i="3"/>
  <c r="I2270" i="3"/>
  <c r="H1528" i="3"/>
  <c r="D1528" i="3"/>
  <c r="H1501" i="3"/>
  <c r="D1501" i="3"/>
  <c r="H1474" i="3"/>
  <c r="D1474" i="3"/>
  <c r="H1447" i="3"/>
  <c r="D1447" i="3"/>
  <c r="E1420" i="3"/>
  <c r="I1405" i="3"/>
  <c r="G1393" i="3"/>
  <c r="C1393" i="3"/>
  <c r="E1366" i="3"/>
  <c r="F1340" i="3"/>
  <c r="G1339" i="3"/>
  <c r="C1339" i="3"/>
  <c r="E1312" i="3"/>
  <c r="I1297" i="3"/>
  <c r="J1297" i="3"/>
  <c r="G1285" i="3"/>
  <c r="C1285" i="3"/>
  <c r="E1258" i="3"/>
  <c r="I1243" i="3"/>
  <c r="F1232" i="3"/>
  <c r="E1204" i="3"/>
  <c r="I1189" i="3"/>
  <c r="F1178" i="3"/>
  <c r="G1177" i="3"/>
  <c r="C1177" i="3"/>
  <c r="E1150" i="3"/>
  <c r="F1149" i="3"/>
  <c r="I1135" i="3"/>
  <c r="E1123" i="3"/>
  <c r="F1042" i="3"/>
  <c r="G961" i="3"/>
  <c r="F934" i="3"/>
  <c r="G853" i="3"/>
  <c r="F825" i="3"/>
  <c r="G742" i="3"/>
  <c r="F714" i="3"/>
  <c r="F686" i="3"/>
  <c r="E601" i="3"/>
  <c r="D573" i="3"/>
  <c r="D545" i="3"/>
  <c r="D517" i="3"/>
  <c r="D490" i="3"/>
  <c r="H463" i="3"/>
  <c r="F437" i="3"/>
  <c r="G436" i="3"/>
  <c r="B382" i="3"/>
  <c r="D300" i="3"/>
  <c r="E272" i="3"/>
  <c r="H243" i="3"/>
  <c r="D215" i="3"/>
  <c r="F159" i="3"/>
  <c r="H1068" i="3"/>
  <c r="H1070" i="3"/>
  <c r="H1072" i="3"/>
  <c r="D1068" i="3"/>
  <c r="D1070" i="3"/>
  <c r="D1072" i="3"/>
  <c r="J1055" i="3"/>
  <c r="H1041" i="3"/>
  <c r="H1043" i="3"/>
  <c r="H1045" i="3"/>
  <c r="D1041" i="3"/>
  <c r="D1043" i="3"/>
  <c r="D1045" i="3"/>
  <c r="E1014" i="3"/>
  <c r="E1016" i="3"/>
  <c r="E1018" i="3"/>
  <c r="H987" i="3"/>
  <c r="H989" i="3"/>
  <c r="H991" i="3"/>
  <c r="D987" i="3"/>
  <c r="D989" i="3"/>
  <c r="D991" i="3"/>
  <c r="E960" i="3"/>
  <c r="E962" i="3"/>
  <c r="E964" i="3"/>
  <c r="H933" i="3"/>
  <c r="H935" i="3"/>
  <c r="H937" i="3"/>
  <c r="D933" i="3"/>
  <c r="D935" i="3"/>
  <c r="D937" i="3"/>
  <c r="J920" i="3"/>
  <c r="E906" i="3"/>
  <c r="E908" i="3"/>
  <c r="H879" i="3"/>
  <c r="H881" i="3"/>
  <c r="H883" i="3"/>
  <c r="D879" i="3"/>
  <c r="D881" i="3"/>
  <c r="D883" i="3"/>
  <c r="J866" i="3"/>
  <c r="E852" i="3"/>
  <c r="E854" i="3"/>
  <c r="E856" i="3"/>
  <c r="H824" i="3"/>
  <c r="H826" i="3"/>
  <c r="H828" i="3"/>
  <c r="D824" i="3"/>
  <c r="D826" i="3"/>
  <c r="D828" i="3"/>
  <c r="E797" i="3"/>
  <c r="E799" i="3"/>
  <c r="E801" i="3"/>
  <c r="H769" i="3"/>
  <c r="H771" i="3"/>
  <c r="H773" i="3"/>
  <c r="D769" i="3"/>
  <c r="D771" i="3"/>
  <c r="D773" i="3"/>
  <c r="I761" i="3"/>
  <c r="J761" i="3"/>
  <c r="E741" i="3"/>
  <c r="E743" i="3"/>
  <c r="E745" i="3"/>
  <c r="E690" i="3"/>
  <c r="E687" i="3"/>
  <c r="C690" i="3"/>
  <c r="C687" i="3"/>
  <c r="D687" i="3"/>
  <c r="I687" i="3"/>
  <c r="C692" i="3"/>
  <c r="C693" i="3"/>
  <c r="D685" i="3"/>
  <c r="D689" i="3"/>
  <c r="E657" i="3"/>
  <c r="E659" i="3"/>
  <c r="E661" i="3"/>
  <c r="J644" i="3"/>
  <c r="H634" i="3"/>
  <c r="H629" i="3"/>
  <c r="D634" i="3"/>
  <c r="D636" i="3"/>
  <c r="D637" i="3"/>
  <c r="D638" i="3"/>
  <c r="B634" i="3"/>
  <c r="B632" i="3"/>
  <c r="G629" i="3"/>
  <c r="G631" i="3"/>
  <c r="G633" i="3"/>
  <c r="C629" i="3"/>
  <c r="C631" i="3"/>
  <c r="C633" i="3"/>
  <c r="H605" i="3"/>
  <c r="H607" i="3"/>
  <c r="F601" i="3"/>
  <c r="F603" i="3"/>
  <c r="F607" i="3"/>
  <c r="F608" i="3"/>
  <c r="F609" i="3"/>
  <c r="D605" i="3"/>
  <c r="D607" i="3"/>
  <c r="B605" i="3"/>
  <c r="B602" i="3"/>
  <c r="G600" i="3"/>
  <c r="G602" i="3"/>
  <c r="G604" i="3"/>
  <c r="C600" i="3"/>
  <c r="C602" i="3"/>
  <c r="C604" i="3"/>
  <c r="G577" i="3"/>
  <c r="G579" i="3"/>
  <c r="E577" i="3"/>
  <c r="E574" i="3"/>
  <c r="C577" i="3"/>
  <c r="C579" i="3"/>
  <c r="F572" i="3"/>
  <c r="F574" i="3"/>
  <c r="F576" i="3"/>
  <c r="B572" i="3"/>
  <c r="B574" i="3"/>
  <c r="B576" i="3"/>
  <c r="J562" i="3"/>
  <c r="G549" i="3"/>
  <c r="G551" i="3"/>
  <c r="E549" i="3"/>
  <c r="E544" i="3"/>
  <c r="C549" i="3"/>
  <c r="C551" i="3"/>
  <c r="J534" i="3"/>
  <c r="G521" i="3"/>
  <c r="G523" i="3"/>
  <c r="E521" i="3"/>
  <c r="E518" i="3"/>
  <c r="C521" i="3"/>
  <c r="C523" i="3"/>
  <c r="J506" i="3"/>
  <c r="G494" i="3"/>
  <c r="G496" i="3"/>
  <c r="E494" i="3"/>
  <c r="E492" i="3"/>
  <c r="C494" i="3"/>
  <c r="C490" i="3"/>
  <c r="B490" i="3"/>
  <c r="E490" i="3"/>
  <c r="F490" i="3"/>
  <c r="G490" i="3"/>
  <c r="I490" i="3"/>
  <c r="F489" i="3"/>
  <c r="F491" i="3"/>
  <c r="F493" i="3"/>
  <c r="B489" i="3"/>
  <c r="B491" i="3"/>
  <c r="B493" i="3"/>
  <c r="I481" i="3"/>
  <c r="G467" i="3"/>
  <c r="G469" i="3"/>
  <c r="G470" i="3"/>
  <c r="G471" i="3"/>
  <c r="E467" i="3"/>
  <c r="E464" i="3"/>
  <c r="C467" i="3"/>
  <c r="C469" i="3"/>
  <c r="F462" i="3"/>
  <c r="F464" i="3"/>
  <c r="F466" i="3"/>
  <c r="B462" i="3"/>
  <c r="B464" i="3"/>
  <c r="B466" i="3"/>
  <c r="E435" i="3"/>
  <c r="E437" i="3"/>
  <c r="E439" i="3"/>
  <c r="I441" i="3"/>
  <c r="J441" i="3"/>
  <c r="E408" i="3"/>
  <c r="E410" i="3"/>
  <c r="E412" i="3"/>
  <c r="H381" i="3"/>
  <c r="H383" i="3"/>
  <c r="H385" i="3"/>
  <c r="D381" i="3"/>
  <c r="D383" i="3"/>
  <c r="D385" i="3"/>
  <c r="I373" i="3"/>
  <c r="H359" i="3"/>
  <c r="H361" i="3"/>
  <c r="F355" i="3"/>
  <c r="F357" i="3"/>
  <c r="F361" i="3"/>
  <c r="D359" i="3"/>
  <c r="B359" i="3"/>
  <c r="G354" i="3"/>
  <c r="G356" i="3"/>
  <c r="G358" i="3"/>
  <c r="C354" i="3"/>
  <c r="C356" i="3"/>
  <c r="C358" i="3"/>
  <c r="H332" i="3"/>
  <c r="F328" i="3"/>
  <c r="F330" i="3"/>
  <c r="F334" i="3"/>
  <c r="F335" i="3"/>
  <c r="F336" i="3"/>
  <c r="D332" i="3"/>
  <c r="D327" i="3"/>
  <c r="B332" i="3"/>
  <c r="B327" i="3"/>
  <c r="G327" i="3"/>
  <c r="G329" i="3"/>
  <c r="G331" i="3"/>
  <c r="C327" i="3"/>
  <c r="C329" i="3"/>
  <c r="C331" i="3"/>
  <c r="G304" i="3"/>
  <c r="G299" i="3"/>
  <c r="E304" i="3"/>
  <c r="E300" i="3"/>
  <c r="B300" i="3"/>
  <c r="C304" i="3"/>
  <c r="C300" i="3"/>
  <c r="F300" i="3"/>
  <c r="G300" i="3"/>
  <c r="I300" i="3"/>
  <c r="C299" i="3"/>
  <c r="B299" i="3"/>
  <c r="E299" i="3"/>
  <c r="F299" i="3"/>
  <c r="I299" i="3"/>
  <c r="F301" i="3"/>
  <c r="F303" i="3"/>
  <c r="B301" i="3"/>
  <c r="B303" i="3"/>
  <c r="H276" i="3"/>
  <c r="H274" i="3"/>
  <c r="D276" i="3"/>
  <c r="B276" i="3"/>
  <c r="G271" i="3"/>
  <c r="G273" i="3"/>
  <c r="G275" i="3"/>
  <c r="C271" i="3"/>
  <c r="C273" i="3"/>
  <c r="C275" i="3"/>
  <c r="G247" i="3"/>
  <c r="E247" i="3"/>
  <c r="C247" i="3"/>
  <c r="F242" i="3"/>
  <c r="F244" i="3"/>
  <c r="F246" i="3"/>
  <c r="G219" i="3"/>
  <c r="E219" i="3"/>
  <c r="E217" i="3"/>
  <c r="C219" i="3"/>
  <c r="H191" i="3"/>
  <c r="D191" i="3"/>
  <c r="D188" i="3"/>
  <c r="B191" i="3"/>
  <c r="B190" i="3"/>
  <c r="J89" i="3"/>
  <c r="H74" i="3"/>
  <c r="H76" i="3"/>
  <c r="H78" i="3"/>
  <c r="H77" i="3"/>
  <c r="H81" i="3"/>
  <c r="H82" i="3"/>
  <c r="H83" i="3"/>
  <c r="D74" i="3"/>
  <c r="D76" i="3"/>
  <c r="D78" i="3"/>
  <c r="D77" i="3"/>
  <c r="D81" i="3"/>
  <c r="H1042" i="3"/>
  <c r="D1042" i="3"/>
  <c r="E1015" i="3"/>
  <c r="H988" i="3"/>
  <c r="D988" i="3"/>
  <c r="E961" i="3"/>
  <c r="H934" i="3"/>
  <c r="D934" i="3"/>
  <c r="E907" i="3"/>
  <c r="H880" i="3"/>
  <c r="D880" i="3"/>
  <c r="E853" i="3"/>
  <c r="H825" i="3"/>
  <c r="D825" i="3"/>
  <c r="E798" i="3"/>
  <c r="H770" i="3"/>
  <c r="D770" i="3"/>
  <c r="E742" i="3"/>
  <c r="G694" i="3"/>
  <c r="G683" i="3"/>
  <c r="D686" i="3"/>
  <c r="E658" i="3"/>
  <c r="G630" i="3"/>
  <c r="C630" i="3"/>
  <c r="F602" i="3"/>
  <c r="G601" i="3"/>
  <c r="C601" i="3"/>
  <c r="F573" i="3"/>
  <c r="B573" i="3"/>
  <c r="F463" i="3"/>
  <c r="B463" i="3"/>
  <c r="E436" i="3"/>
  <c r="H382" i="3"/>
  <c r="D382" i="3"/>
  <c r="F356" i="3"/>
  <c r="G355" i="3"/>
  <c r="C355" i="3"/>
  <c r="F329" i="3"/>
  <c r="G328" i="3"/>
  <c r="C328" i="3"/>
  <c r="G272" i="3"/>
  <c r="C272" i="3"/>
  <c r="F243" i="3"/>
  <c r="D75" i="3"/>
  <c r="E186" i="3"/>
  <c r="E188" i="3"/>
  <c r="E190" i="3"/>
  <c r="H135" i="3"/>
  <c r="H134" i="3"/>
  <c r="F131" i="3"/>
  <c r="F133" i="3"/>
  <c r="F137" i="3"/>
  <c r="D135" i="3"/>
  <c r="D133" i="3"/>
  <c r="B135" i="3"/>
  <c r="B137" i="3"/>
  <c r="I136" i="3"/>
  <c r="J136" i="3"/>
  <c r="G130" i="3"/>
  <c r="G132" i="3"/>
  <c r="G134" i="3"/>
  <c r="C130" i="3"/>
  <c r="C132" i="3"/>
  <c r="C134" i="3"/>
  <c r="H107" i="3"/>
  <c r="H106" i="3"/>
  <c r="C106" i="3"/>
  <c r="D107" i="3"/>
  <c r="D106" i="3"/>
  <c r="F106" i="3"/>
  <c r="G106" i="3"/>
  <c r="I106" i="3"/>
  <c r="D109" i="3"/>
  <c r="G103" i="3"/>
  <c r="G105" i="3"/>
  <c r="C103" i="3"/>
  <c r="C105" i="3"/>
  <c r="G75" i="3"/>
  <c r="G77" i="3"/>
  <c r="G81" i="3"/>
  <c r="G82" i="3"/>
  <c r="G83" i="3"/>
  <c r="G74" i="3"/>
  <c r="C75" i="3"/>
  <c r="C77" i="3"/>
  <c r="C81" i="3"/>
  <c r="C74" i="3"/>
  <c r="F74" i="3"/>
  <c r="F76" i="3"/>
  <c r="F78" i="3"/>
  <c r="B74" i="3"/>
  <c r="B76" i="3"/>
  <c r="B78" i="3"/>
  <c r="G892" i="5"/>
  <c r="E891" i="5"/>
  <c r="G861" i="5"/>
  <c r="G864" i="5"/>
  <c r="C865" i="5"/>
  <c r="G834" i="5"/>
  <c r="G836" i="5"/>
  <c r="G838" i="5"/>
  <c r="G835" i="5"/>
  <c r="G837" i="5"/>
  <c r="G841" i="5"/>
  <c r="G842" i="5"/>
  <c r="G843" i="5"/>
  <c r="E834" i="5"/>
  <c r="E838" i="5"/>
  <c r="E837" i="5"/>
  <c r="C834" i="5"/>
  <c r="C838" i="5"/>
  <c r="C837" i="5"/>
  <c r="G807" i="5"/>
  <c r="G809" i="5"/>
  <c r="G811" i="5"/>
  <c r="G808" i="5"/>
  <c r="G810" i="5"/>
  <c r="G814" i="5"/>
  <c r="G815" i="5"/>
  <c r="G816" i="5"/>
  <c r="E807" i="5"/>
  <c r="E809" i="5"/>
  <c r="E811" i="5"/>
  <c r="E808" i="5"/>
  <c r="E810" i="5"/>
  <c r="E814" i="5"/>
  <c r="C807" i="5"/>
  <c r="C809" i="5"/>
  <c r="C811" i="5"/>
  <c r="C808" i="5"/>
  <c r="C810" i="5"/>
  <c r="C814" i="5"/>
  <c r="C815" i="5"/>
  <c r="C816" i="5"/>
  <c r="E187" i="3"/>
  <c r="F132" i="3"/>
  <c r="G131" i="3"/>
  <c r="C131" i="3"/>
  <c r="G78" i="3"/>
  <c r="C78" i="3"/>
  <c r="F75" i="3"/>
  <c r="B75" i="3"/>
  <c r="D780" i="5"/>
  <c r="I772" i="5"/>
  <c r="J772" i="5"/>
  <c r="G753" i="5"/>
  <c r="G755" i="5"/>
  <c r="G757" i="5"/>
  <c r="G754" i="5"/>
  <c r="G756" i="5"/>
  <c r="G760" i="5"/>
  <c r="G761" i="5"/>
  <c r="G762" i="5"/>
  <c r="C753" i="5"/>
  <c r="C755" i="5"/>
  <c r="C757" i="5"/>
  <c r="C754" i="5"/>
  <c r="C756" i="5"/>
  <c r="C760" i="5"/>
  <c r="G727" i="5"/>
  <c r="E728" i="5"/>
  <c r="E733" i="5"/>
  <c r="E734" i="5"/>
  <c r="E735" i="5"/>
  <c r="C727" i="5"/>
  <c r="G701" i="5"/>
  <c r="G706" i="5"/>
  <c r="G707" i="5"/>
  <c r="G708" i="5"/>
  <c r="E700" i="5"/>
  <c r="C701" i="5"/>
  <c r="C706" i="5"/>
  <c r="C707" i="5"/>
  <c r="C708" i="5"/>
  <c r="G673" i="5"/>
  <c r="C674" i="5"/>
  <c r="C679" i="5"/>
  <c r="C680" i="5"/>
  <c r="C681" i="5"/>
  <c r="E645" i="5"/>
  <c r="E647" i="5"/>
  <c r="E649" i="5"/>
  <c r="E646" i="5"/>
  <c r="E648" i="5"/>
  <c r="E652" i="5"/>
  <c r="E653" i="5"/>
  <c r="E654" i="5"/>
  <c r="C645" i="5"/>
  <c r="C647" i="5"/>
  <c r="C649" i="5"/>
  <c r="C646" i="5"/>
  <c r="C648" i="5"/>
  <c r="C652" i="5"/>
  <c r="C653" i="5"/>
  <c r="C654" i="5"/>
  <c r="E618" i="5"/>
  <c r="E620" i="5"/>
  <c r="E622" i="5"/>
  <c r="E619" i="5"/>
  <c r="E621" i="5"/>
  <c r="E625" i="5"/>
  <c r="E626" i="5"/>
  <c r="E627" i="5"/>
  <c r="E593" i="5"/>
  <c r="E592" i="5"/>
  <c r="E598" i="5"/>
  <c r="E599" i="5"/>
  <c r="E600" i="5"/>
  <c r="E566" i="5"/>
  <c r="E565" i="5"/>
  <c r="E571" i="5"/>
  <c r="E572" i="5"/>
  <c r="E573" i="5"/>
  <c r="E539" i="5"/>
  <c r="E538" i="5"/>
  <c r="E544" i="5"/>
  <c r="E545" i="5"/>
  <c r="E546" i="5"/>
  <c r="E510" i="5"/>
  <c r="E512" i="5"/>
  <c r="E514" i="5"/>
  <c r="E511" i="5"/>
  <c r="E513" i="5"/>
  <c r="E517" i="5"/>
  <c r="E518" i="5"/>
  <c r="E519" i="5"/>
  <c r="C510" i="5"/>
  <c r="C512" i="5"/>
  <c r="C514" i="5"/>
  <c r="C511" i="5"/>
  <c r="C513" i="5"/>
  <c r="C517" i="5"/>
  <c r="C518" i="5"/>
  <c r="C519" i="5"/>
  <c r="H50" i="3"/>
  <c r="F50" i="3"/>
  <c r="D50" i="3"/>
  <c r="B50" i="3"/>
  <c r="H48" i="3"/>
  <c r="F48" i="3"/>
  <c r="D48" i="3"/>
  <c r="B48" i="3"/>
  <c r="H46" i="3"/>
  <c r="F46" i="3"/>
  <c r="D46" i="3"/>
  <c r="B46" i="3"/>
  <c r="I38" i="3"/>
  <c r="J38" i="3"/>
  <c r="I25" i="3"/>
  <c r="B2289" i="3"/>
  <c r="H892" i="5"/>
  <c r="F892" i="5"/>
  <c r="D892" i="5"/>
  <c r="B892" i="5"/>
  <c r="H890" i="5"/>
  <c r="F890" i="5"/>
  <c r="D890" i="5"/>
  <c r="B890" i="5"/>
  <c r="H888" i="5"/>
  <c r="F888" i="5"/>
  <c r="D888" i="5"/>
  <c r="B888" i="5"/>
  <c r="H865" i="5"/>
  <c r="F865" i="5"/>
  <c r="D865" i="5"/>
  <c r="B865" i="5"/>
  <c r="H863" i="5"/>
  <c r="F863" i="5"/>
  <c r="D863" i="5"/>
  <c r="B863" i="5"/>
  <c r="H861" i="5"/>
  <c r="F861" i="5"/>
  <c r="D861" i="5"/>
  <c r="B861" i="5"/>
  <c r="I853" i="5"/>
  <c r="AG1636" i="5"/>
  <c r="AG1659" i="5"/>
  <c r="D838" i="5"/>
  <c r="B838" i="5"/>
  <c r="F836" i="5"/>
  <c r="D836" i="5"/>
  <c r="B836" i="5"/>
  <c r="D834" i="5"/>
  <c r="B834" i="5"/>
  <c r="H811" i="5"/>
  <c r="H809" i="5"/>
  <c r="H807" i="5"/>
  <c r="I799" i="5"/>
  <c r="AE1636" i="5"/>
  <c r="AE1659" i="5"/>
  <c r="E784" i="5"/>
  <c r="G781" i="5"/>
  <c r="G783" i="5"/>
  <c r="G787" i="5"/>
  <c r="G788" i="5"/>
  <c r="G789" i="5"/>
  <c r="E781" i="5"/>
  <c r="E783" i="5"/>
  <c r="E787" i="5"/>
  <c r="C781" i="5"/>
  <c r="C783" i="5"/>
  <c r="C787" i="5"/>
  <c r="C788" i="5"/>
  <c r="C789" i="5"/>
  <c r="E483" i="5"/>
  <c r="E485" i="5"/>
  <c r="E487" i="5"/>
  <c r="E484" i="5"/>
  <c r="E486" i="5"/>
  <c r="E490" i="5"/>
  <c r="E491" i="5"/>
  <c r="E492" i="5"/>
  <c r="C483" i="5"/>
  <c r="C485" i="5"/>
  <c r="C484" i="5"/>
  <c r="C487" i="5"/>
  <c r="C486" i="5"/>
  <c r="C490" i="5"/>
  <c r="H49" i="3"/>
  <c r="F49" i="3"/>
  <c r="D49" i="3"/>
  <c r="B49" i="3"/>
  <c r="H891" i="5"/>
  <c r="F891" i="5"/>
  <c r="D891" i="5"/>
  <c r="B891" i="5"/>
  <c r="H864" i="5"/>
  <c r="F864" i="5"/>
  <c r="D864" i="5"/>
  <c r="B864" i="5"/>
  <c r="H837" i="5"/>
  <c r="D837" i="5"/>
  <c r="B837" i="5"/>
  <c r="D810" i="5"/>
  <c r="G784" i="5"/>
  <c r="C784" i="5"/>
  <c r="E782" i="5"/>
  <c r="G780" i="5"/>
  <c r="C780" i="5"/>
  <c r="H267" i="5"/>
  <c r="H271" i="5"/>
  <c r="H270" i="5"/>
  <c r="D267" i="5"/>
  <c r="D271" i="5"/>
  <c r="D270" i="5"/>
  <c r="H757" i="5"/>
  <c r="H755" i="5"/>
  <c r="H753" i="5"/>
  <c r="I745" i="5"/>
  <c r="J745" i="5"/>
  <c r="H730" i="5"/>
  <c r="F730" i="5"/>
  <c r="D730" i="5"/>
  <c r="B730" i="5"/>
  <c r="H728" i="5"/>
  <c r="F728" i="5"/>
  <c r="D728" i="5"/>
  <c r="B728" i="5"/>
  <c r="H726" i="5"/>
  <c r="F726" i="5"/>
  <c r="D726" i="5"/>
  <c r="B726" i="5"/>
  <c r="H703" i="5"/>
  <c r="F703" i="5"/>
  <c r="D703" i="5"/>
  <c r="B703" i="5"/>
  <c r="H701" i="5"/>
  <c r="F701" i="5"/>
  <c r="D701" i="5"/>
  <c r="B701" i="5"/>
  <c r="H699" i="5"/>
  <c r="F699" i="5"/>
  <c r="D699" i="5"/>
  <c r="B699" i="5"/>
  <c r="H676" i="5"/>
  <c r="F676" i="5"/>
  <c r="D676" i="5"/>
  <c r="B676" i="5"/>
  <c r="H674" i="5"/>
  <c r="F674" i="5"/>
  <c r="D674" i="5"/>
  <c r="B674" i="5"/>
  <c r="H672" i="5"/>
  <c r="F672" i="5"/>
  <c r="D672" i="5"/>
  <c r="B672" i="5"/>
  <c r="H649" i="5"/>
  <c r="D649" i="5"/>
  <c r="H647" i="5"/>
  <c r="D647" i="5"/>
  <c r="H645" i="5"/>
  <c r="D645" i="5"/>
  <c r="I637" i="5"/>
  <c r="J637" i="5"/>
  <c r="F622" i="5"/>
  <c r="B622" i="5"/>
  <c r="F620" i="5"/>
  <c r="B620" i="5"/>
  <c r="F618" i="5"/>
  <c r="B618" i="5"/>
  <c r="H595" i="5"/>
  <c r="F595" i="5"/>
  <c r="D595" i="5"/>
  <c r="B595" i="5"/>
  <c r="H593" i="5"/>
  <c r="F593" i="5"/>
  <c r="D593" i="5"/>
  <c r="B593" i="5"/>
  <c r="H591" i="5"/>
  <c r="F591" i="5"/>
  <c r="D591" i="5"/>
  <c r="B591" i="5"/>
  <c r="I583" i="5"/>
  <c r="J583" i="5"/>
  <c r="H568" i="5"/>
  <c r="F568" i="5"/>
  <c r="D568" i="5"/>
  <c r="B568" i="5"/>
  <c r="H566" i="5"/>
  <c r="F566" i="5"/>
  <c r="D566" i="5"/>
  <c r="B566" i="5"/>
  <c r="H564" i="5"/>
  <c r="F564" i="5"/>
  <c r="D564" i="5"/>
  <c r="B564" i="5"/>
  <c r="H541" i="5"/>
  <c r="F541" i="5"/>
  <c r="D541" i="5"/>
  <c r="B541" i="5"/>
  <c r="H539" i="5"/>
  <c r="F539" i="5"/>
  <c r="D539" i="5"/>
  <c r="B539" i="5"/>
  <c r="H537" i="5"/>
  <c r="F537" i="5"/>
  <c r="D537" i="5"/>
  <c r="B537" i="5"/>
  <c r="I529" i="5"/>
  <c r="J529" i="5"/>
  <c r="B514" i="5"/>
  <c r="B512" i="5"/>
  <c r="B510" i="5"/>
  <c r="D487" i="5"/>
  <c r="F483" i="5"/>
  <c r="H458" i="5"/>
  <c r="H463" i="5"/>
  <c r="H464" i="5"/>
  <c r="F457" i="5"/>
  <c r="B458" i="5"/>
  <c r="B463" i="5"/>
  <c r="B464" i="5"/>
  <c r="B465" i="5"/>
  <c r="F430" i="5"/>
  <c r="D431" i="5"/>
  <c r="D436" i="5"/>
  <c r="D437" i="5"/>
  <c r="D438" i="5"/>
  <c r="B430" i="5"/>
  <c r="F404" i="5"/>
  <c r="F409" i="5"/>
  <c r="D403" i="5"/>
  <c r="B404" i="5"/>
  <c r="B409" i="5"/>
  <c r="F375" i="5"/>
  <c r="F377" i="5"/>
  <c r="F379" i="5"/>
  <c r="F376" i="5"/>
  <c r="F378" i="5"/>
  <c r="F382" i="5"/>
  <c r="B375" i="5"/>
  <c r="B377" i="5"/>
  <c r="B379" i="5"/>
  <c r="B376" i="5"/>
  <c r="B378" i="5"/>
  <c r="B382" i="5"/>
  <c r="E349" i="5"/>
  <c r="F321" i="5"/>
  <c r="F323" i="5"/>
  <c r="F325" i="5"/>
  <c r="F322" i="5"/>
  <c r="F324" i="5"/>
  <c r="F328" i="5"/>
  <c r="F329" i="5"/>
  <c r="F330" i="5"/>
  <c r="D321" i="5"/>
  <c r="D323" i="5"/>
  <c r="D325" i="5"/>
  <c r="D322" i="5"/>
  <c r="D324" i="5"/>
  <c r="D328" i="5"/>
  <c r="D329" i="5"/>
  <c r="D330" i="5"/>
  <c r="B321" i="5"/>
  <c r="B323" i="5"/>
  <c r="B325" i="5"/>
  <c r="B322" i="5"/>
  <c r="B324" i="5"/>
  <c r="B328" i="5"/>
  <c r="B329" i="5"/>
  <c r="B330" i="5"/>
  <c r="E296" i="5"/>
  <c r="E301" i="5"/>
  <c r="E302" i="5"/>
  <c r="E303" i="5"/>
  <c r="C295" i="5"/>
  <c r="F756" i="5"/>
  <c r="H729" i="5"/>
  <c r="F729" i="5"/>
  <c r="D729" i="5"/>
  <c r="B729" i="5"/>
  <c r="H702" i="5"/>
  <c r="F702" i="5"/>
  <c r="D702" i="5"/>
  <c r="B702" i="5"/>
  <c r="H675" i="5"/>
  <c r="F675" i="5"/>
  <c r="D675" i="5"/>
  <c r="B675" i="5"/>
  <c r="F648" i="5"/>
  <c r="B648" i="5"/>
  <c r="F621" i="5"/>
  <c r="B621" i="5"/>
  <c r="H594" i="5"/>
  <c r="F594" i="5"/>
  <c r="D594" i="5"/>
  <c r="B594" i="5"/>
  <c r="H567" i="5"/>
  <c r="F567" i="5"/>
  <c r="D567" i="5"/>
  <c r="B567" i="5"/>
  <c r="H540" i="5"/>
  <c r="F540" i="5"/>
  <c r="D540" i="5"/>
  <c r="B540" i="5"/>
  <c r="F513" i="5"/>
  <c r="F486" i="5"/>
  <c r="H483" i="5"/>
  <c r="J254" i="5"/>
  <c r="J273" i="5"/>
  <c r="E240" i="5"/>
  <c r="E244" i="5"/>
  <c r="G460" i="5"/>
  <c r="E460" i="5"/>
  <c r="C460" i="5"/>
  <c r="G458" i="5"/>
  <c r="E458" i="5"/>
  <c r="C458" i="5"/>
  <c r="G456" i="5"/>
  <c r="E456" i="5"/>
  <c r="C456" i="5"/>
  <c r="G433" i="5"/>
  <c r="C433" i="5"/>
  <c r="G431" i="5"/>
  <c r="C431" i="5"/>
  <c r="G429" i="5"/>
  <c r="C429" i="5"/>
  <c r="G406" i="5"/>
  <c r="C406" i="5"/>
  <c r="G404" i="5"/>
  <c r="C404" i="5"/>
  <c r="G402" i="5"/>
  <c r="C402" i="5"/>
  <c r="G377" i="5"/>
  <c r="F352" i="5"/>
  <c r="B352" i="5"/>
  <c r="F350" i="5"/>
  <c r="B350" i="5"/>
  <c r="F348" i="5"/>
  <c r="B348" i="5"/>
  <c r="I340" i="5"/>
  <c r="N1636" i="5"/>
  <c r="N1659" i="5"/>
  <c r="C323" i="5"/>
  <c r="F298" i="5"/>
  <c r="B298" i="5"/>
  <c r="F296" i="5"/>
  <c r="B296" i="5"/>
  <c r="F294" i="5"/>
  <c r="B294" i="5"/>
  <c r="G271" i="5"/>
  <c r="E271" i="5"/>
  <c r="C271" i="5"/>
  <c r="G269" i="5"/>
  <c r="E269" i="5"/>
  <c r="C269" i="5"/>
  <c r="G267" i="5"/>
  <c r="E267" i="5"/>
  <c r="C267" i="5"/>
  <c r="E241" i="5"/>
  <c r="H240" i="5"/>
  <c r="H241" i="5"/>
  <c r="H243" i="5"/>
  <c r="H247" i="5"/>
  <c r="H248" i="5"/>
  <c r="H249" i="5"/>
  <c r="F240" i="5"/>
  <c r="F241" i="5"/>
  <c r="F243" i="5"/>
  <c r="F247" i="5"/>
  <c r="D240" i="5"/>
  <c r="D241" i="5"/>
  <c r="D243" i="5"/>
  <c r="D247" i="5"/>
  <c r="D248" i="5"/>
  <c r="D249" i="5"/>
  <c r="B240" i="5"/>
  <c r="B241" i="5"/>
  <c r="B243" i="5"/>
  <c r="B247" i="5"/>
  <c r="C242" i="5"/>
  <c r="E213" i="5"/>
  <c r="E215" i="5"/>
  <c r="E217" i="5"/>
  <c r="E214" i="5"/>
  <c r="E216" i="5"/>
  <c r="E220" i="5"/>
  <c r="C213" i="5"/>
  <c r="C215" i="5"/>
  <c r="C217" i="5"/>
  <c r="C214" i="5"/>
  <c r="C216" i="5"/>
  <c r="C220" i="5"/>
  <c r="F190" i="5"/>
  <c r="B186" i="5"/>
  <c r="B189" i="5"/>
  <c r="E158" i="5"/>
  <c r="E160" i="5"/>
  <c r="E162" i="5"/>
  <c r="E159" i="5"/>
  <c r="E161" i="5"/>
  <c r="E165" i="5"/>
  <c r="E166" i="5"/>
  <c r="G459" i="5"/>
  <c r="E459" i="5"/>
  <c r="C459" i="5"/>
  <c r="G432" i="5"/>
  <c r="C432" i="5"/>
  <c r="G405" i="5"/>
  <c r="C405" i="5"/>
  <c r="C378" i="5"/>
  <c r="F351" i="5"/>
  <c r="B351" i="5"/>
  <c r="F297" i="5"/>
  <c r="B297" i="5"/>
  <c r="G270" i="5"/>
  <c r="E270" i="5"/>
  <c r="C270" i="5"/>
  <c r="H244" i="5"/>
  <c r="D244" i="5"/>
  <c r="F242" i="5"/>
  <c r="B242" i="5"/>
  <c r="C241" i="5"/>
  <c r="G131" i="5"/>
  <c r="G133" i="5"/>
  <c r="G137" i="5"/>
  <c r="G138" i="5"/>
  <c r="G139" i="5"/>
  <c r="G130" i="5"/>
  <c r="G132" i="5"/>
  <c r="G134" i="5"/>
  <c r="G102" i="5"/>
  <c r="G104" i="5"/>
  <c r="G106" i="5"/>
  <c r="G103" i="5"/>
  <c r="G105" i="5"/>
  <c r="G109" i="5"/>
  <c r="E102" i="5"/>
  <c r="E104" i="5"/>
  <c r="E106" i="5"/>
  <c r="E103" i="5"/>
  <c r="E105" i="5"/>
  <c r="E109" i="5"/>
  <c r="C102" i="5"/>
  <c r="C104" i="5"/>
  <c r="C106" i="5"/>
  <c r="C103" i="5"/>
  <c r="C105" i="5"/>
  <c r="C109" i="5"/>
  <c r="H76" i="5"/>
  <c r="H81" i="5"/>
  <c r="F75" i="5"/>
  <c r="D74" i="5"/>
  <c r="D78" i="5"/>
  <c r="D77" i="5"/>
  <c r="B74" i="5"/>
  <c r="B78" i="5"/>
  <c r="B77" i="5"/>
  <c r="G18" i="5"/>
  <c r="G19" i="5"/>
  <c r="G20" i="5"/>
  <c r="G21" i="5"/>
  <c r="G22" i="5"/>
  <c r="G25" i="5"/>
  <c r="G26" i="5"/>
  <c r="G27" i="5"/>
  <c r="F217" i="5"/>
  <c r="F215" i="5"/>
  <c r="F213" i="5"/>
  <c r="I205" i="5"/>
  <c r="I1636" i="5"/>
  <c r="I1659" i="5"/>
  <c r="G190" i="5"/>
  <c r="C190" i="5"/>
  <c r="G188" i="5"/>
  <c r="C188" i="5"/>
  <c r="G186" i="5"/>
  <c r="C186" i="5"/>
  <c r="B162" i="5"/>
  <c r="B160" i="5"/>
  <c r="B158" i="5"/>
  <c r="H130" i="5"/>
  <c r="H134" i="5"/>
  <c r="H133" i="5"/>
  <c r="H105" i="5"/>
  <c r="H102" i="5"/>
  <c r="H106" i="5"/>
  <c r="F105" i="5"/>
  <c r="F102" i="5"/>
  <c r="F106" i="5"/>
  <c r="D105" i="5"/>
  <c r="D102" i="5"/>
  <c r="D106" i="5"/>
  <c r="B105" i="5"/>
  <c r="B102" i="5"/>
  <c r="B106" i="5"/>
  <c r="G75" i="5"/>
  <c r="G77" i="5"/>
  <c r="G81" i="5"/>
  <c r="G82" i="5"/>
  <c r="G83" i="5"/>
  <c r="G74" i="5"/>
  <c r="G76" i="5"/>
  <c r="G78" i="5"/>
  <c r="E75" i="5"/>
  <c r="E77" i="5"/>
  <c r="E81" i="5"/>
  <c r="E82" i="5"/>
  <c r="E83" i="5"/>
  <c r="E74" i="5"/>
  <c r="E76" i="5"/>
  <c r="E78" i="5"/>
  <c r="C75" i="5"/>
  <c r="C77" i="5"/>
  <c r="C81" i="5"/>
  <c r="C82" i="5"/>
  <c r="C83" i="5"/>
  <c r="C74" i="5"/>
  <c r="C76" i="5"/>
  <c r="C78" i="5"/>
  <c r="H19" i="5"/>
  <c r="H21" i="5"/>
  <c r="I21" i="5"/>
  <c r="H25" i="5"/>
  <c r="H26" i="5"/>
  <c r="H27" i="5"/>
  <c r="B216" i="5"/>
  <c r="G189" i="5"/>
  <c r="C189" i="5"/>
  <c r="B161" i="5"/>
  <c r="C221" i="5"/>
  <c r="C222" i="5"/>
  <c r="B248" i="5"/>
  <c r="B249" i="5"/>
  <c r="B238" i="5"/>
  <c r="F410" i="5"/>
  <c r="E788" i="5"/>
  <c r="E789" i="5"/>
  <c r="J799" i="5"/>
  <c r="J853" i="5"/>
  <c r="BI1663" i="5"/>
  <c r="B131" i="3"/>
  <c r="B133" i="3"/>
  <c r="B132" i="3"/>
  <c r="B130" i="3"/>
  <c r="B134" i="3"/>
  <c r="D134" i="3"/>
  <c r="D82" i="3"/>
  <c r="D83" i="3"/>
  <c r="D72" i="3"/>
  <c r="B189" i="3"/>
  <c r="D187" i="3"/>
  <c r="D190" i="3"/>
  <c r="H275" i="3"/>
  <c r="C301" i="3"/>
  <c r="E301" i="3"/>
  <c r="G301" i="3"/>
  <c r="B330" i="3"/>
  <c r="D328" i="3"/>
  <c r="D329" i="3"/>
  <c r="F362" i="3"/>
  <c r="F363" i="3"/>
  <c r="H355" i="3"/>
  <c r="H354" i="3"/>
  <c r="H356" i="3"/>
  <c r="C463" i="3"/>
  <c r="C462" i="3"/>
  <c r="C464" i="3"/>
  <c r="E463" i="3"/>
  <c r="G463" i="3"/>
  <c r="G462" i="3"/>
  <c r="G464" i="3"/>
  <c r="C489" i="3"/>
  <c r="E489" i="3"/>
  <c r="G489" i="3"/>
  <c r="G491" i="3"/>
  <c r="C519" i="3"/>
  <c r="C520" i="3"/>
  <c r="E517" i="3"/>
  <c r="G519" i="3"/>
  <c r="G520" i="3"/>
  <c r="C545" i="3"/>
  <c r="C544" i="3"/>
  <c r="C546" i="3"/>
  <c r="G547" i="3"/>
  <c r="G548" i="3"/>
  <c r="C573" i="3"/>
  <c r="C572" i="3"/>
  <c r="C574" i="3"/>
  <c r="G573" i="3"/>
  <c r="G572" i="3"/>
  <c r="G574" i="3"/>
  <c r="D601" i="3"/>
  <c r="D600" i="3"/>
  <c r="D602" i="3"/>
  <c r="C686" i="3"/>
  <c r="C685" i="3"/>
  <c r="AP2269" i="3"/>
  <c r="AP2296" i="3"/>
  <c r="J1135" i="3"/>
  <c r="AR2269" i="3"/>
  <c r="AR2296" i="3"/>
  <c r="J1189" i="3"/>
  <c r="AV2269" i="3"/>
  <c r="AV2296" i="3"/>
  <c r="D222" i="3"/>
  <c r="D223" i="3"/>
  <c r="F416" i="3"/>
  <c r="F417" i="3"/>
  <c r="H411" i="3"/>
  <c r="H412" i="3"/>
  <c r="H580" i="3"/>
  <c r="H581" i="3"/>
  <c r="H660" i="3"/>
  <c r="H661" i="3"/>
  <c r="F721" i="3"/>
  <c r="F722" i="3"/>
  <c r="C713" i="3"/>
  <c r="E714" i="3"/>
  <c r="E716" i="3"/>
  <c r="E713" i="3"/>
  <c r="E717" i="3"/>
  <c r="E715" i="3"/>
  <c r="G714" i="3"/>
  <c r="G749" i="3"/>
  <c r="G750" i="3"/>
  <c r="B799" i="3"/>
  <c r="D798" i="3"/>
  <c r="D800" i="3"/>
  <c r="D799" i="3"/>
  <c r="D797" i="3"/>
  <c r="D801" i="3"/>
  <c r="B832" i="3"/>
  <c r="B833" i="3"/>
  <c r="H909" i="3"/>
  <c r="F941" i="3"/>
  <c r="F942" i="3"/>
  <c r="C936" i="3"/>
  <c r="E934" i="3"/>
  <c r="E933" i="3"/>
  <c r="E935" i="3"/>
  <c r="G933" i="3"/>
  <c r="G968" i="3"/>
  <c r="G969" i="3"/>
  <c r="G959" i="3"/>
  <c r="B1018" i="3"/>
  <c r="D1015" i="3"/>
  <c r="D1017" i="3"/>
  <c r="D1016" i="3"/>
  <c r="D1014" i="3"/>
  <c r="D1018" i="3"/>
  <c r="B1178" i="3"/>
  <c r="D1179" i="3"/>
  <c r="D1180" i="3"/>
  <c r="B1232" i="3"/>
  <c r="B1234" i="3"/>
  <c r="D1230" i="3"/>
  <c r="B1287" i="3"/>
  <c r="D1287" i="3"/>
  <c r="D1288" i="3"/>
  <c r="B1339" i="3"/>
  <c r="B1342" i="3"/>
  <c r="B1394" i="3"/>
  <c r="D1392" i="3"/>
  <c r="B1093" i="3"/>
  <c r="B1094" i="3"/>
  <c r="E1211" i="3"/>
  <c r="E1212" i="3"/>
  <c r="E1265" i="3"/>
  <c r="E1266" i="3"/>
  <c r="E1319" i="3"/>
  <c r="E1320" i="3"/>
  <c r="E1310" i="3"/>
  <c r="C1346" i="3"/>
  <c r="C1347" i="3"/>
  <c r="E1373" i="3"/>
  <c r="E1374" i="3"/>
  <c r="E1427" i="3"/>
  <c r="E1428" i="3"/>
  <c r="H1454" i="3"/>
  <c r="H1455" i="3"/>
  <c r="H1445" i="3"/>
  <c r="H1481" i="3"/>
  <c r="H1482" i="3"/>
  <c r="H1508" i="3"/>
  <c r="H1509" i="3"/>
  <c r="H1535" i="3"/>
  <c r="H1536" i="3"/>
  <c r="E54" i="3"/>
  <c r="E55" i="3"/>
  <c r="E45" i="3"/>
  <c r="C194" i="3"/>
  <c r="C195" i="3"/>
  <c r="F389" i="3"/>
  <c r="F390" i="3"/>
  <c r="C383" i="3"/>
  <c r="E382" i="3"/>
  <c r="E384" i="3"/>
  <c r="E381" i="3"/>
  <c r="E385" i="3"/>
  <c r="E383" i="3"/>
  <c r="G383" i="3"/>
  <c r="B436" i="3"/>
  <c r="B438" i="3"/>
  <c r="B435" i="3"/>
  <c r="B439" i="3"/>
  <c r="B437" i="3"/>
  <c r="D439" i="3"/>
  <c r="B744" i="3"/>
  <c r="B745" i="3"/>
  <c r="D744" i="3"/>
  <c r="D745" i="3"/>
  <c r="B777" i="3"/>
  <c r="B778" i="3"/>
  <c r="B768" i="3"/>
  <c r="H853" i="3"/>
  <c r="H855" i="3"/>
  <c r="H854" i="3"/>
  <c r="H852" i="3"/>
  <c r="H856" i="3"/>
  <c r="F887" i="3"/>
  <c r="F888" i="3"/>
  <c r="C881" i="3"/>
  <c r="E880" i="3"/>
  <c r="E882" i="3"/>
  <c r="E879" i="3"/>
  <c r="E883" i="3"/>
  <c r="E881" i="3"/>
  <c r="G881" i="3"/>
  <c r="B961" i="3"/>
  <c r="B962" i="3"/>
  <c r="D961" i="3"/>
  <c r="D963" i="3"/>
  <c r="D962" i="3"/>
  <c r="D964" i="3"/>
  <c r="D960" i="3"/>
  <c r="B995" i="3"/>
  <c r="B996" i="3"/>
  <c r="F1130" i="3"/>
  <c r="F1131" i="3"/>
  <c r="F1120" i="3"/>
  <c r="H1125" i="3"/>
  <c r="H1150" i="3"/>
  <c r="H1152" i="3"/>
  <c r="H1151" i="3"/>
  <c r="H1149" i="3"/>
  <c r="H1153" i="3"/>
  <c r="H1156" i="3"/>
  <c r="AC1636" i="5"/>
  <c r="AC1659" i="5"/>
  <c r="C2275" i="3"/>
  <c r="E815" i="5"/>
  <c r="E816" i="5"/>
  <c r="D102" i="3"/>
  <c r="D104" i="3"/>
  <c r="D103" i="3"/>
  <c r="D105" i="3"/>
  <c r="H102" i="3"/>
  <c r="F138" i="3"/>
  <c r="F139" i="3"/>
  <c r="G684" i="3"/>
  <c r="H189" i="3"/>
  <c r="C215" i="3"/>
  <c r="C214" i="3"/>
  <c r="C216" i="3"/>
  <c r="E214" i="3"/>
  <c r="G215" i="3"/>
  <c r="G214" i="3"/>
  <c r="G216" i="3"/>
  <c r="C245" i="3"/>
  <c r="C246" i="3"/>
  <c r="E245" i="3"/>
  <c r="G245" i="3"/>
  <c r="G246" i="3"/>
  <c r="B272" i="3"/>
  <c r="B271" i="3"/>
  <c r="D274" i="3"/>
  <c r="D275" i="3"/>
  <c r="H330" i="3"/>
  <c r="H331" i="3"/>
  <c r="B356" i="3"/>
  <c r="D357" i="3"/>
  <c r="D358" i="3"/>
  <c r="C524" i="3"/>
  <c r="C525" i="3"/>
  <c r="G524" i="3"/>
  <c r="G525" i="3"/>
  <c r="H601" i="3"/>
  <c r="H603" i="3"/>
  <c r="H600" i="3"/>
  <c r="H604" i="3"/>
  <c r="H602" i="3"/>
  <c r="D630" i="3"/>
  <c r="D632" i="3"/>
  <c r="D629" i="3"/>
  <c r="D633" i="3"/>
  <c r="D631" i="3"/>
  <c r="H307" i="3"/>
  <c r="H308" i="3"/>
  <c r="B408" i="3"/>
  <c r="D410" i="3"/>
  <c r="D412" i="3"/>
  <c r="D524" i="3"/>
  <c r="D525" i="3"/>
  <c r="D580" i="3"/>
  <c r="D581" i="3"/>
  <c r="B657" i="3"/>
  <c r="D658" i="3"/>
  <c r="D659" i="3"/>
  <c r="D661" i="3"/>
  <c r="H798" i="3"/>
  <c r="H800" i="3"/>
  <c r="H799" i="3"/>
  <c r="H801" i="3"/>
  <c r="H797" i="3"/>
  <c r="F832" i="3"/>
  <c r="F833" i="3"/>
  <c r="C828" i="3"/>
  <c r="E825" i="3"/>
  <c r="E827" i="3"/>
  <c r="E824" i="3"/>
  <c r="E828" i="3"/>
  <c r="E826" i="3"/>
  <c r="G827" i="3"/>
  <c r="G860" i="3"/>
  <c r="G861" i="3"/>
  <c r="B909" i="3"/>
  <c r="D907" i="3"/>
  <c r="D908" i="3"/>
  <c r="H1015" i="3"/>
  <c r="H1017" i="3"/>
  <c r="H1016" i="3"/>
  <c r="H1018" i="3"/>
  <c r="H1014" i="3"/>
  <c r="F1049" i="3"/>
  <c r="F1050" i="3"/>
  <c r="C1043" i="3"/>
  <c r="E1042" i="3"/>
  <c r="E1044" i="3"/>
  <c r="E1041" i="3"/>
  <c r="E1045" i="3"/>
  <c r="E1043" i="3"/>
  <c r="G1043" i="3"/>
  <c r="C1070" i="3"/>
  <c r="E1071" i="3"/>
  <c r="E1072" i="3"/>
  <c r="G1071" i="3"/>
  <c r="J1128" i="3"/>
  <c r="H1179" i="3"/>
  <c r="H1180" i="3"/>
  <c r="F1238" i="3"/>
  <c r="F1239" i="3"/>
  <c r="F1228" i="3"/>
  <c r="H1233" i="3"/>
  <c r="H1285" i="3"/>
  <c r="H1286" i="3"/>
  <c r="H1340" i="3"/>
  <c r="H1396" i="3"/>
  <c r="CE2297" i="3"/>
  <c r="J1162" i="3"/>
  <c r="AQ2269" i="3"/>
  <c r="AQ2296" i="3"/>
  <c r="G1184" i="3"/>
  <c r="G1185" i="3"/>
  <c r="J1216" i="3"/>
  <c r="AS2269" i="3"/>
  <c r="AS2296" i="3"/>
  <c r="G1238" i="3"/>
  <c r="G1239" i="3"/>
  <c r="G1292" i="3"/>
  <c r="G1293" i="3"/>
  <c r="G1400" i="3"/>
  <c r="G1401" i="3"/>
  <c r="G1390" i="3"/>
  <c r="D1535" i="3"/>
  <c r="D1536" i="3"/>
  <c r="C161" i="3"/>
  <c r="C158" i="3"/>
  <c r="E161" i="3"/>
  <c r="E162" i="3"/>
  <c r="G159" i="3"/>
  <c r="G160" i="3"/>
  <c r="G158" i="3"/>
  <c r="D250" i="3"/>
  <c r="D251" i="3"/>
  <c r="E335" i="3"/>
  <c r="E336" i="3"/>
  <c r="E325" i="3"/>
  <c r="C416" i="3"/>
  <c r="C417" i="3"/>
  <c r="F443" i="3"/>
  <c r="F444" i="3"/>
  <c r="F434" i="3"/>
  <c r="H435" i="3"/>
  <c r="H744" i="3"/>
  <c r="H741" i="3"/>
  <c r="F777" i="3"/>
  <c r="F778" i="3"/>
  <c r="C772" i="3"/>
  <c r="C769" i="3"/>
  <c r="E770" i="3"/>
  <c r="E769" i="3"/>
  <c r="E771" i="3"/>
  <c r="G772" i="3"/>
  <c r="G773" i="3"/>
  <c r="G805" i="3"/>
  <c r="G806" i="3"/>
  <c r="B853" i="3"/>
  <c r="B855" i="3"/>
  <c r="B852" i="3"/>
  <c r="B856" i="3"/>
  <c r="B854" i="3"/>
  <c r="D853" i="3"/>
  <c r="D852" i="3"/>
  <c r="E887" i="3"/>
  <c r="E888" i="3"/>
  <c r="C914" i="3"/>
  <c r="C915" i="3"/>
  <c r="H962" i="3"/>
  <c r="C988" i="3"/>
  <c r="C990" i="3"/>
  <c r="C989" i="3"/>
  <c r="C987" i="3"/>
  <c r="C991" i="3"/>
  <c r="E991" i="3"/>
  <c r="G988" i="3"/>
  <c r="G990" i="3"/>
  <c r="G989" i="3"/>
  <c r="G991" i="3"/>
  <c r="G987" i="3"/>
  <c r="G1022" i="3"/>
  <c r="G1023" i="3"/>
  <c r="C1097" i="3"/>
  <c r="E1098" i="3"/>
  <c r="E1099" i="3"/>
  <c r="G1096" i="3"/>
  <c r="G1099" i="3"/>
  <c r="B1123" i="3"/>
  <c r="B1125" i="3"/>
  <c r="B1122" i="3"/>
  <c r="B1126" i="3"/>
  <c r="B1124" i="3"/>
  <c r="D1123" i="3"/>
  <c r="D1126" i="3"/>
  <c r="H1204" i="3"/>
  <c r="H1206" i="3"/>
  <c r="H1205" i="3"/>
  <c r="H1203" i="3"/>
  <c r="H1207" i="3"/>
  <c r="H1210" i="3"/>
  <c r="D804" i="3"/>
  <c r="E940" i="3"/>
  <c r="B1021" i="3"/>
  <c r="B1022" i="3"/>
  <c r="B1023" i="3"/>
  <c r="D1021" i="3"/>
  <c r="I1043" i="3"/>
  <c r="AL2285" i="3"/>
  <c r="AL2301" i="3"/>
  <c r="D748" i="3"/>
  <c r="D749" i="3"/>
  <c r="D750" i="3"/>
  <c r="H859" i="3"/>
  <c r="H860" i="3"/>
  <c r="H861" i="3"/>
  <c r="H1260" i="3"/>
  <c r="H1257" i="3"/>
  <c r="F1427" i="3"/>
  <c r="F1428" i="3"/>
  <c r="F1418" i="3"/>
  <c r="C1450" i="3"/>
  <c r="E1450" i="3"/>
  <c r="E1475" i="3"/>
  <c r="E1504" i="3"/>
  <c r="G1504" i="3"/>
  <c r="C1527" i="3"/>
  <c r="G1527" i="3"/>
  <c r="E54" i="2"/>
  <c r="E55" i="2"/>
  <c r="B82" i="2"/>
  <c r="B83" i="2"/>
  <c r="F82" i="2"/>
  <c r="F83" i="2"/>
  <c r="B110" i="2"/>
  <c r="B111" i="2"/>
  <c r="F110" i="2"/>
  <c r="F111" i="2"/>
  <c r="J122" i="2"/>
  <c r="F2179" i="2"/>
  <c r="F2202" i="2"/>
  <c r="J266" i="2"/>
  <c r="K2179" i="2"/>
  <c r="K2202" i="2"/>
  <c r="B396" i="2"/>
  <c r="B397" i="2"/>
  <c r="J409" i="2"/>
  <c r="P2179" i="2"/>
  <c r="P2202" i="2"/>
  <c r="B18" i="2"/>
  <c r="B17" i="2"/>
  <c r="F54" i="2"/>
  <c r="F55" i="2"/>
  <c r="F44" i="2"/>
  <c r="G82" i="2"/>
  <c r="G83" i="2"/>
  <c r="D138" i="2"/>
  <c r="D139" i="2"/>
  <c r="D128" i="2"/>
  <c r="E167" i="2"/>
  <c r="E168" i="2"/>
  <c r="E158" i="2"/>
  <c r="D196" i="2"/>
  <c r="D197" i="2"/>
  <c r="D186" i="2"/>
  <c r="D224" i="2"/>
  <c r="D225" i="2"/>
  <c r="D215" i="2"/>
  <c r="E252" i="2"/>
  <c r="E253" i="2"/>
  <c r="E242" i="2"/>
  <c r="D282" i="2"/>
  <c r="D283" i="2"/>
  <c r="D273" i="2"/>
  <c r="H311" i="2"/>
  <c r="H312" i="2"/>
  <c r="H301" i="2"/>
  <c r="H425" i="2"/>
  <c r="H426" i="2"/>
  <c r="H415" i="2"/>
  <c r="J467" i="2"/>
  <c r="R2179" i="2"/>
  <c r="R2202" i="2"/>
  <c r="J525" i="2"/>
  <c r="T2179" i="2"/>
  <c r="T2202" i="2"/>
  <c r="J581" i="2"/>
  <c r="V2179" i="2"/>
  <c r="V2202" i="2"/>
  <c r="J638" i="2"/>
  <c r="X2179" i="2"/>
  <c r="X2202" i="2"/>
  <c r="J696" i="2"/>
  <c r="Z2179" i="2"/>
  <c r="Z2202" i="2"/>
  <c r="J752" i="2"/>
  <c r="AB2179" i="2"/>
  <c r="AB2202" i="2"/>
  <c r="J808" i="2"/>
  <c r="AD2179" i="2"/>
  <c r="AD2202" i="2"/>
  <c r="J864" i="2"/>
  <c r="AF2179" i="2"/>
  <c r="AF2202" i="2"/>
  <c r="E138" i="2"/>
  <c r="E139" i="2"/>
  <c r="E129" i="2"/>
  <c r="B167" i="2"/>
  <c r="B168" i="2"/>
  <c r="B157" i="2"/>
  <c r="C196" i="2"/>
  <c r="C197" i="2"/>
  <c r="C186" i="2"/>
  <c r="G196" i="2"/>
  <c r="G197" i="2"/>
  <c r="E224" i="2"/>
  <c r="E225" i="2"/>
  <c r="F252" i="2"/>
  <c r="F253" i="2"/>
  <c r="C282" i="2"/>
  <c r="C283" i="2"/>
  <c r="G282" i="2"/>
  <c r="G283" i="2"/>
  <c r="B340" i="2"/>
  <c r="B341" i="2"/>
  <c r="B368" i="2"/>
  <c r="B369" i="2"/>
  <c r="J315" i="4"/>
  <c r="BZ2136" i="4"/>
  <c r="E454" i="2"/>
  <c r="E455" i="2"/>
  <c r="E445" i="2"/>
  <c r="C483" i="2"/>
  <c r="C484" i="2"/>
  <c r="C474" i="2"/>
  <c r="G483" i="2"/>
  <c r="G484" i="2"/>
  <c r="G474" i="2"/>
  <c r="B569" i="2"/>
  <c r="B570" i="2"/>
  <c r="B560" i="2"/>
  <c r="D569" i="2"/>
  <c r="D570" i="2"/>
  <c r="D559" i="2"/>
  <c r="F569" i="2"/>
  <c r="F570" i="2"/>
  <c r="F559" i="2"/>
  <c r="C597" i="2"/>
  <c r="C598" i="2"/>
  <c r="E597" i="2"/>
  <c r="E598" i="2"/>
  <c r="B625" i="2"/>
  <c r="B626" i="2"/>
  <c r="F625" i="2"/>
  <c r="F626" i="2"/>
  <c r="F616" i="2"/>
  <c r="E654" i="2"/>
  <c r="E655" i="2"/>
  <c r="E644" i="2"/>
  <c r="B683" i="2"/>
  <c r="B684" i="2"/>
  <c r="B673" i="2"/>
  <c r="F683" i="2"/>
  <c r="F684" i="2"/>
  <c r="F674" i="2"/>
  <c r="C712" i="2"/>
  <c r="C713" i="2"/>
  <c r="C703" i="2"/>
  <c r="E712" i="2"/>
  <c r="E713" i="2"/>
  <c r="E702" i="2"/>
  <c r="B740" i="2"/>
  <c r="B741" i="2"/>
  <c r="B730" i="2"/>
  <c r="F740" i="2"/>
  <c r="F741" i="2"/>
  <c r="F731" i="2"/>
  <c r="C768" i="2"/>
  <c r="C769" i="2"/>
  <c r="C759" i="2"/>
  <c r="E768" i="2"/>
  <c r="E769" i="2"/>
  <c r="E759" i="2"/>
  <c r="B796" i="2"/>
  <c r="B797" i="2"/>
  <c r="B787" i="2"/>
  <c r="F796" i="2"/>
  <c r="F797" i="2"/>
  <c r="F786" i="2"/>
  <c r="C824" i="2"/>
  <c r="C825" i="2"/>
  <c r="C814" i="2"/>
  <c r="E824" i="2"/>
  <c r="E825" i="2"/>
  <c r="E815" i="2"/>
  <c r="B852" i="2"/>
  <c r="B853" i="2"/>
  <c r="B843" i="2"/>
  <c r="F852" i="2"/>
  <c r="F853" i="2"/>
  <c r="F842" i="2"/>
  <c r="E880" i="2"/>
  <c r="E881" i="2"/>
  <c r="E870" i="2"/>
  <c r="B908" i="2"/>
  <c r="B909" i="2"/>
  <c r="B898" i="2"/>
  <c r="F908" i="2"/>
  <c r="F909" i="2"/>
  <c r="F899" i="2"/>
  <c r="B936" i="2"/>
  <c r="B937" i="2"/>
  <c r="B927" i="2"/>
  <c r="F936" i="2"/>
  <c r="F937" i="2"/>
  <c r="B964" i="2"/>
  <c r="B965" i="2"/>
  <c r="F964" i="2"/>
  <c r="F965" i="2"/>
  <c r="B992" i="2"/>
  <c r="B993" i="2"/>
  <c r="F992" i="2"/>
  <c r="F993" i="2"/>
  <c r="B1020" i="2"/>
  <c r="B1021" i="2"/>
  <c r="F1020" i="2"/>
  <c r="F1021" i="2"/>
  <c r="E1076" i="2"/>
  <c r="E1077" i="2"/>
  <c r="B1188" i="2"/>
  <c r="B1189" i="2"/>
  <c r="D1188" i="2"/>
  <c r="D1189" i="2"/>
  <c r="F1188" i="2"/>
  <c r="F1189" i="2"/>
  <c r="H1188" i="2"/>
  <c r="H1189" i="2"/>
  <c r="BZ2208" i="2"/>
  <c r="C1188" i="2"/>
  <c r="C1189" i="2"/>
  <c r="C1178" i="2"/>
  <c r="E1188" i="2"/>
  <c r="E1189" i="2"/>
  <c r="E1179" i="2"/>
  <c r="G1188" i="2"/>
  <c r="G1189" i="2"/>
  <c r="G1178" i="2"/>
  <c r="C166" i="4"/>
  <c r="C167" i="4"/>
  <c r="C157" i="4"/>
  <c r="D415" i="4"/>
  <c r="D416" i="4"/>
  <c r="D406" i="4"/>
  <c r="B499" i="4"/>
  <c r="B500" i="4"/>
  <c r="B489" i="4"/>
  <c r="D694" i="4"/>
  <c r="D695" i="4"/>
  <c r="D685" i="4"/>
  <c r="C721" i="4"/>
  <c r="C722" i="4"/>
  <c r="D802" i="4"/>
  <c r="D803" i="4"/>
  <c r="D793" i="4"/>
  <c r="H802" i="4"/>
  <c r="H803" i="4"/>
  <c r="H793" i="4"/>
  <c r="D856" i="4"/>
  <c r="D857" i="4"/>
  <c r="D847" i="4"/>
  <c r="B883" i="4"/>
  <c r="B884" i="4"/>
  <c r="B873" i="4"/>
  <c r="D964" i="4"/>
  <c r="D965" i="4"/>
  <c r="D954" i="4"/>
  <c r="B991" i="4"/>
  <c r="B992" i="4"/>
  <c r="B981" i="4"/>
  <c r="F991" i="4"/>
  <c r="F992" i="4"/>
  <c r="F981" i="4"/>
  <c r="H1045" i="4"/>
  <c r="H1046" i="4"/>
  <c r="H1036" i="4"/>
  <c r="H225" i="1"/>
  <c r="H226" i="1"/>
  <c r="H215" i="1"/>
  <c r="H256" i="1"/>
  <c r="H257" i="1"/>
  <c r="H247" i="1"/>
  <c r="B312" i="1"/>
  <c r="B313" i="1"/>
  <c r="B303" i="1"/>
  <c r="H312" i="1"/>
  <c r="H313" i="1"/>
  <c r="H302" i="1"/>
  <c r="H368" i="1"/>
  <c r="H369" i="1"/>
  <c r="B396" i="1"/>
  <c r="B397" i="1"/>
  <c r="B386" i="1"/>
  <c r="H396" i="1"/>
  <c r="H397" i="1"/>
  <c r="H387" i="1"/>
  <c r="B843" i="1"/>
  <c r="B844" i="1"/>
  <c r="B833" i="1"/>
  <c r="E871" i="1"/>
  <c r="E872" i="1"/>
  <c r="E862" i="1"/>
  <c r="J924" i="1"/>
  <c r="AG2390" i="1"/>
  <c r="E927" i="1"/>
  <c r="E928" i="1"/>
  <c r="E917" i="1"/>
  <c r="E1171" i="1"/>
  <c r="E1172" i="1"/>
  <c r="E1161" i="1"/>
  <c r="D197" i="1"/>
  <c r="D198" i="1"/>
  <c r="D187" i="1"/>
  <c r="F197" i="1"/>
  <c r="F198" i="1"/>
  <c r="F188" i="1"/>
  <c r="H197" i="1"/>
  <c r="H198" i="1"/>
  <c r="H187" i="1"/>
  <c r="I103" i="2"/>
  <c r="E2188" i="2"/>
  <c r="I132" i="2"/>
  <c r="J132" i="2"/>
  <c r="I188" i="2"/>
  <c r="H2187" i="2"/>
  <c r="H2204" i="2"/>
  <c r="I218" i="2"/>
  <c r="J218" i="2"/>
  <c r="I274" i="2"/>
  <c r="K2187" i="2"/>
  <c r="K2204" i="2"/>
  <c r="I1127" i="2"/>
  <c r="AO2190" i="2"/>
  <c r="AO2207" i="2"/>
  <c r="I1128" i="2"/>
  <c r="J1128" i="2"/>
  <c r="I1124" i="2"/>
  <c r="AO2187" i="2"/>
  <c r="AO2204" i="2"/>
  <c r="I1155" i="2"/>
  <c r="AP2190" i="2"/>
  <c r="AP2207" i="2"/>
  <c r="I1156" i="2"/>
  <c r="AP2191" i="2"/>
  <c r="AP2208" i="2"/>
  <c r="I1152" i="2"/>
  <c r="J1152" i="2"/>
  <c r="I1295" i="2"/>
  <c r="J1295" i="2"/>
  <c r="I1296" i="2"/>
  <c r="J1296" i="2"/>
  <c r="I1292" i="2"/>
  <c r="AU2187" i="2"/>
  <c r="AU2204" i="2"/>
  <c r="B1150" i="3"/>
  <c r="B1152" i="3"/>
  <c r="B1149" i="3"/>
  <c r="B1153" i="3"/>
  <c r="B1151" i="3"/>
  <c r="D1150" i="3"/>
  <c r="D1152" i="3"/>
  <c r="D1151" i="3"/>
  <c r="D1149" i="3"/>
  <c r="D1153" i="3"/>
  <c r="B1204" i="3"/>
  <c r="B1206" i="3"/>
  <c r="B1203" i="3"/>
  <c r="B1207" i="3"/>
  <c r="B1205" i="3"/>
  <c r="D1205" i="3"/>
  <c r="B1258" i="3"/>
  <c r="B1260" i="3"/>
  <c r="B1257" i="3"/>
  <c r="B1261" i="3"/>
  <c r="B1259" i="3"/>
  <c r="D1260" i="3"/>
  <c r="D1257" i="3"/>
  <c r="B1314" i="3"/>
  <c r="B1313" i="3"/>
  <c r="D1314" i="3"/>
  <c r="B1366" i="3"/>
  <c r="B1367" i="3"/>
  <c r="D1422" i="3"/>
  <c r="C54" i="2"/>
  <c r="C55" i="2"/>
  <c r="C44" i="2"/>
  <c r="D110" i="2"/>
  <c r="D111" i="2"/>
  <c r="D101" i="2"/>
  <c r="H110" i="2"/>
  <c r="H111" i="2"/>
  <c r="H100" i="2"/>
  <c r="J180" i="2"/>
  <c r="H2179" i="2"/>
  <c r="H2202" i="2"/>
  <c r="D396" i="2"/>
  <c r="D397" i="2"/>
  <c r="H396" i="2"/>
  <c r="H397" i="2"/>
  <c r="B54" i="2"/>
  <c r="B55" i="2"/>
  <c r="C82" i="2"/>
  <c r="C83" i="2"/>
  <c r="H138" i="2"/>
  <c r="H139" i="2"/>
  <c r="H196" i="2"/>
  <c r="H197" i="2"/>
  <c r="H224" i="2"/>
  <c r="H225" i="2"/>
  <c r="H282" i="2"/>
  <c r="H283" i="2"/>
  <c r="D311" i="2"/>
  <c r="D312" i="2"/>
  <c r="E340" i="2"/>
  <c r="E341" i="2"/>
  <c r="D425" i="2"/>
  <c r="D426" i="2"/>
  <c r="J438" i="2"/>
  <c r="Q2179" i="2"/>
  <c r="Q2202" i="2"/>
  <c r="J496" i="2"/>
  <c r="S2179" i="2"/>
  <c r="S2202" i="2"/>
  <c r="D27" i="2"/>
  <c r="D28" i="2"/>
  <c r="F27" i="2"/>
  <c r="F28" i="2"/>
  <c r="J38" i="2"/>
  <c r="C2179" i="2"/>
  <c r="C138" i="2"/>
  <c r="C139" i="2"/>
  <c r="G138" i="2"/>
  <c r="G139" i="2"/>
  <c r="D167" i="2"/>
  <c r="D168" i="2"/>
  <c r="H167" i="2"/>
  <c r="H168" i="2"/>
  <c r="E196" i="2"/>
  <c r="E197" i="2"/>
  <c r="C224" i="2"/>
  <c r="C225" i="2"/>
  <c r="G224" i="2"/>
  <c r="G225" i="2"/>
  <c r="D252" i="2"/>
  <c r="D253" i="2"/>
  <c r="H252" i="2"/>
  <c r="H253" i="2"/>
  <c r="E282" i="2"/>
  <c r="E283" i="2"/>
  <c r="J295" i="2"/>
  <c r="L2179" i="2"/>
  <c r="L2202" i="2"/>
  <c r="C311" i="2"/>
  <c r="C312" i="2"/>
  <c r="C302" i="2"/>
  <c r="G311" i="2"/>
  <c r="G312" i="2"/>
  <c r="G301" i="2"/>
  <c r="D340" i="2"/>
  <c r="D341" i="2"/>
  <c r="D331" i="2"/>
  <c r="H340" i="2"/>
  <c r="H341" i="2"/>
  <c r="H330" i="2"/>
  <c r="D368" i="2"/>
  <c r="D369" i="2"/>
  <c r="D359" i="2"/>
  <c r="H368" i="2"/>
  <c r="H369" i="2"/>
  <c r="H358" i="2"/>
  <c r="C425" i="2"/>
  <c r="C426" i="2"/>
  <c r="C415" i="2"/>
  <c r="G425" i="2"/>
  <c r="G426" i="2"/>
  <c r="G416" i="2"/>
  <c r="J94" i="4"/>
  <c r="BZ2132" i="4"/>
  <c r="J1060" i="2"/>
  <c r="AM2179" i="2"/>
  <c r="AM2202" i="2"/>
  <c r="C512" i="2"/>
  <c r="C513" i="2"/>
  <c r="E512" i="2"/>
  <c r="E513" i="2"/>
  <c r="C541" i="2"/>
  <c r="C542" i="2"/>
  <c r="G541" i="2"/>
  <c r="G542" i="2"/>
  <c r="C1160" i="2"/>
  <c r="C1161" i="2"/>
  <c r="E1160" i="2"/>
  <c r="E1161" i="2"/>
  <c r="G1160" i="2"/>
  <c r="G1161" i="2"/>
  <c r="AQ2190" i="2"/>
  <c r="AQ2207" i="2"/>
  <c r="AQ2191" i="2"/>
  <c r="AQ2208" i="2"/>
  <c r="C1300" i="2"/>
  <c r="C1301" i="2"/>
  <c r="E1300" i="2"/>
  <c r="E1301" i="2"/>
  <c r="G1300" i="2"/>
  <c r="G1301" i="2"/>
  <c r="AV2189" i="2"/>
  <c r="AV2206" i="2"/>
  <c r="B1328" i="2"/>
  <c r="B1329" i="2"/>
  <c r="J1321" i="2"/>
  <c r="D1328" i="2"/>
  <c r="D1329" i="2"/>
  <c r="D1318" i="2"/>
  <c r="F1328" i="2"/>
  <c r="F1329" i="2"/>
  <c r="F1319" i="2"/>
  <c r="H1328" i="2"/>
  <c r="H1329" i="2"/>
  <c r="H1318" i="2"/>
  <c r="AX2189" i="2"/>
  <c r="AX2206" i="2"/>
  <c r="B1384" i="2"/>
  <c r="B1385" i="2"/>
  <c r="B1374" i="2"/>
  <c r="J1377" i="2"/>
  <c r="D1384" i="2"/>
  <c r="D1385" i="2"/>
  <c r="F1384" i="2"/>
  <c r="F1385" i="2"/>
  <c r="H1384" i="2"/>
  <c r="H1385" i="2"/>
  <c r="BZ2206" i="2"/>
  <c r="B1412" i="2"/>
  <c r="B1413" i="2"/>
  <c r="B1402" i="2"/>
  <c r="D1412" i="2"/>
  <c r="D1413" i="2"/>
  <c r="D1402" i="2"/>
  <c r="F1412" i="2"/>
  <c r="F1413" i="2"/>
  <c r="F1403" i="2"/>
  <c r="H1412" i="2"/>
  <c r="H1413" i="2"/>
  <c r="H1402" i="2"/>
  <c r="C331" i="4"/>
  <c r="C332" i="4"/>
  <c r="C321" i="4"/>
  <c r="C1048" i="2"/>
  <c r="C1049" i="2"/>
  <c r="C1039" i="2"/>
  <c r="B1160" i="2"/>
  <c r="B1161" i="2"/>
  <c r="D1160" i="2"/>
  <c r="D1161" i="2"/>
  <c r="D1151" i="2"/>
  <c r="F1160" i="2"/>
  <c r="F1161" i="2"/>
  <c r="H1160" i="2"/>
  <c r="H1161" i="2"/>
  <c r="H1151" i="2"/>
  <c r="B1300" i="2"/>
  <c r="B1301" i="2"/>
  <c r="D1300" i="2"/>
  <c r="D1301" i="2"/>
  <c r="D1291" i="2"/>
  <c r="F1300" i="2"/>
  <c r="F1301" i="2"/>
  <c r="H1300" i="2"/>
  <c r="H1301" i="2"/>
  <c r="H1291" i="2"/>
  <c r="C1328" i="2"/>
  <c r="C1329" i="2"/>
  <c r="E1328" i="2"/>
  <c r="E1329" i="2"/>
  <c r="E1319" i="2"/>
  <c r="G1328" i="2"/>
  <c r="G1329" i="2"/>
  <c r="C1384" i="2"/>
  <c r="C1385" i="2"/>
  <c r="C1375" i="2"/>
  <c r="E1384" i="2"/>
  <c r="E1385" i="2"/>
  <c r="G1384" i="2"/>
  <c r="G1385" i="2"/>
  <c r="G1375" i="2"/>
  <c r="E27" i="4"/>
  <c r="E28" i="4"/>
  <c r="E17" i="4"/>
  <c r="E110" i="4"/>
  <c r="E111" i="4"/>
  <c r="B303" i="4"/>
  <c r="B304" i="4"/>
  <c r="D225" i="1"/>
  <c r="D226" i="1"/>
  <c r="J2391" i="1"/>
  <c r="J254" i="1"/>
  <c r="D256" i="1"/>
  <c r="D257" i="1"/>
  <c r="D312" i="1"/>
  <c r="D313" i="1"/>
  <c r="D368" i="1"/>
  <c r="D369" i="1"/>
  <c r="C927" i="1"/>
  <c r="C928" i="1"/>
  <c r="C917" i="1"/>
  <c r="G927" i="1"/>
  <c r="G928" i="1"/>
  <c r="E1036" i="1"/>
  <c r="E1037" i="1"/>
  <c r="C1171" i="1"/>
  <c r="C1172" i="1"/>
  <c r="J90" i="6"/>
  <c r="E873" i="6"/>
  <c r="H1264" i="3"/>
  <c r="H1265" i="3"/>
  <c r="H1266" i="3"/>
  <c r="I106" i="2"/>
  <c r="J106" i="2"/>
  <c r="I131" i="2"/>
  <c r="F2188" i="2"/>
  <c r="F2205" i="2"/>
  <c r="I189" i="2"/>
  <c r="J189" i="2"/>
  <c r="I217" i="2"/>
  <c r="I2188" i="2"/>
  <c r="I2205" i="2"/>
  <c r="I275" i="2"/>
  <c r="J275" i="2"/>
  <c r="I134" i="2"/>
  <c r="J134" i="2"/>
  <c r="I190" i="2"/>
  <c r="J190" i="2"/>
  <c r="I216" i="2"/>
  <c r="J216" i="2"/>
  <c r="I276" i="2"/>
  <c r="J276" i="2"/>
  <c r="I1153" i="2"/>
  <c r="I1154" i="2"/>
  <c r="AP2189" i="2"/>
  <c r="AP2206" i="2"/>
  <c r="I1293" i="2"/>
  <c r="I1294" i="2"/>
  <c r="AU2189" i="2"/>
  <c r="AU2206" i="2"/>
  <c r="C140" i="1"/>
  <c r="C141" i="1"/>
  <c r="C131" i="1"/>
  <c r="G140" i="1"/>
  <c r="G141" i="1"/>
  <c r="G131" i="1"/>
  <c r="I196" i="1"/>
  <c r="J196" i="1"/>
  <c r="B197" i="1"/>
  <c r="C197" i="1"/>
  <c r="E197" i="1"/>
  <c r="G197" i="1"/>
  <c r="I197" i="1"/>
  <c r="J197" i="1"/>
  <c r="C508" i="1"/>
  <c r="C509" i="1"/>
  <c r="C498" i="1"/>
  <c r="E508" i="1"/>
  <c r="E509" i="1"/>
  <c r="G508" i="1"/>
  <c r="G509" i="1"/>
  <c r="G498" i="1"/>
  <c r="B564" i="1"/>
  <c r="B565" i="1"/>
  <c r="B620" i="1"/>
  <c r="B621" i="1"/>
  <c r="B610" i="1"/>
  <c r="E731" i="1"/>
  <c r="E732" i="1"/>
  <c r="G731" i="1"/>
  <c r="G732" i="1"/>
  <c r="G721" i="1"/>
  <c r="B759" i="1"/>
  <c r="B760" i="1"/>
  <c r="D759" i="1"/>
  <c r="D760" i="1"/>
  <c r="D750" i="1"/>
  <c r="F759" i="1"/>
  <c r="F760" i="1"/>
  <c r="H759" i="1"/>
  <c r="H760" i="1"/>
  <c r="H750" i="1"/>
  <c r="D1171" i="1"/>
  <c r="D1172" i="1"/>
  <c r="F1171" i="1"/>
  <c r="F1172" i="1"/>
  <c r="H1171" i="1"/>
  <c r="H1172" i="1"/>
  <c r="C1442" i="1"/>
  <c r="C1443" i="1"/>
  <c r="F1550" i="1"/>
  <c r="F1551" i="1"/>
  <c r="H1550" i="1"/>
  <c r="H1551" i="1"/>
  <c r="G1604" i="1"/>
  <c r="G1605" i="1"/>
  <c r="B79" i="6"/>
  <c r="B80" i="6"/>
  <c r="F79" i="6"/>
  <c r="F80" i="6"/>
  <c r="F106" i="6"/>
  <c r="F107" i="6"/>
  <c r="AG899" i="6"/>
  <c r="B133" i="6"/>
  <c r="B134" i="6"/>
  <c r="AG898" i="6"/>
  <c r="F133" i="6"/>
  <c r="F134" i="6"/>
  <c r="C198" i="1"/>
  <c r="E198" i="1"/>
  <c r="G198" i="1"/>
  <c r="C480" i="1"/>
  <c r="C481" i="1"/>
  <c r="J505" i="1"/>
  <c r="R2390" i="1"/>
  <c r="B508" i="1"/>
  <c r="B509" i="1"/>
  <c r="D508" i="1"/>
  <c r="D509" i="1"/>
  <c r="F508" i="1"/>
  <c r="F509" i="1"/>
  <c r="H508" i="1"/>
  <c r="H509" i="1"/>
  <c r="C1117" i="1"/>
  <c r="C1118" i="1"/>
  <c r="E1117" i="1"/>
  <c r="E1118" i="1"/>
  <c r="G1117" i="1"/>
  <c r="G1118" i="1"/>
  <c r="E1469" i="1"/>
  <c r="E1470" i="1"/>
  <c r="G1550" i="1"/>
  <c r="G1551" i="1"/>
  <c r="D133" i="6"/>
  <c r="D134" i="6"/>
  <c r="I190" i="1"/>
  <c r="I557" i="1"/>
  <c r="I613" i="1"/>
  <c r="I502" i="1"/>
  <c r="I501" i="1"/>
  <c r="R2386" i="1"/>
  <c r="R2403" i="1"/>
  <c r="C452" i="1"/>
  <c r="C453" i="1"/>
  <c r="C443" i="1"/>
  <c r="E536" i="1"/>
  <c r="E537" i="1"/>
  <c r="G536" i="1"/>
  <c r="G537" i="1"/>
  <c r="D564" i="1"/>
  <c r="D565" i="1"/>
  <c r="F564" i="1"/>
  <c r="F565" i="1"/>
  <c r="H564" i="1"/>
  <c r="H565" i="1"/>
  <c r="V2390" i="1"/>
  <c r="J617" i="1"/>
  <c r="I607" i="1"/>
  <c r="J614" i="1"/>
  <c r="J607" i="1"/>
  <c r="V2387" i="1"/>
  <c r="V2404" i="1"/>
  <c r="D620" i="1"/>
  <c r="D621" i="1"/>
  <c r="F620" i="1"/>
  <c r="F621" i="1"/>
  <c r="F611" i="1"/>
  <c r="H620" i="1"/>
  <c r="H621" i="1"/>
  <c r="J784" i="1"/>
  <c r="AB2390" i="1"/>
  <c r="B787" i="1"/>
  <c r="B788" i="1"/>
  <c r="D787" i="1"/>
  <c r="D788" i="1"/>
  <c r="F787" i="1"/>
  <c r="F788" i="1"/>
  <c r="H787" i="1"/>
  <c r="H788" i="1"/>
  <c r="D955" i="1"/>
  <c r="D956" i="1"/>
  <c r="F955" i="1"/>
  <c r="F956" i="1"/>
  <c r="H955" i="1"/>
  <c r="H956" i="1"/>
  <c r="J1114" i="1"/>
  <c r="AN2390" i="1"/>
  <c r="B1117" i="1"/>
  <c r="B1118" i="1"/>
  <c r="D1117" i="1"/>
  <c r="D1118" i="1"/>
  <c r="F1117" i="1"/>
  <c r="F1118" i="1"/>
  <c r="H1117" i="1"/>
  <c r="H1118" i="1"/>
  <c r="H1107" i="1"/>
  <c r="F1496" i="1"/>
  <c r="F1497" i="1"/>
  <c r="AG897" i="6"/>
  <c r="AG900" i="6"/>
  <c r="F256" i="1"/>
  <c r="F257" i="1"/>
  <c r="C564" i="1"/>
  <c r="C565" i="1"/>
  <c r="E564" i="1"/>
  <c r="E565" i="1"/>
  <c r="G564" i="1"/>
  <c r="G565" i="1"/>
  <c r="C620" i="1"/>
  <c r="C621" i="1"/>
  <c r="E620" i="1"/>
  <c r="E621" i="1"/>
  <c r="G620" i="1"/>
  <c r="G621" i="1"/>
  <c r="E647" i="1"/>
  <c r="E648" i="1"/>
  <c r="G647" i="1"/>
  <c r="G648" i="1"/>
  <c r="E703" i="1"/>
  <c r="E704" i="1"/>
  <c r="G703" i="1"/>
  <c r="G704" i="1"/>
  <c r="C759" i="1"/>
  <c r="C760" i="1"/>
  <c r="E759" i="1"/>
  <c r="E760" i="1"/>
  <c r="G759" i="1"/>
  <c r="G760" i="1"/>
  <c r="C787" i="1"/>
  <c r="C788" i="1"/>
  <c r="E787" i="1"/>
  <c r="E788" i="1"/>
  <c r="G787" i="1"/>
  <c r="G788" i="1"/>
  <c r="C955" i="1"/>
  <c r="C956" i="1"/>
  <c r="E955" i="1"/>
  <c r="E956" i="1"/>
  <c r="G955" i="1"/>
  <c r="G956" i="1"/>
  <c r="E1009" i="1"/>
  <c r="E1010" i="1"/>
  <c r="G1009" i="1"/>
  <c r="G1010" i="1"/>
  <c r="B1036" i="1"/>
  <c r="B1037" i="1"/>
  <c r="G1171" i="1"/>
  <c r="G1172" i="1"/>
  <c r="E1415" i="1"/>
  <c r="E1416" i="1"/>
  <c r="F1442" i="1"/>
  <c r="F1443" i="1"/>
  <c r="B1604" i="1"/>
  <c r="B1605" i="1"/>
  <c r="G106" i="6"/>
  <c r="G107" i="6"/>
  <c r="C133" i="6"/>
  <c r="C134" i="6"/>
  <c r="G133" i="6"/>
  <c r="G134" i="6"/>
  <c r="R2387" i="1"/>
  <c r="R2404" i="1"/>
  <c r="I495" i="1"/>
  <c r="R2380" i="1"/>
  <c r="J502" i="1"/>
  <c r="V2386" i="1"/>
  <c r="V2403" i="1"/>
  <c r="T2386" i="1"/>
  <c r="T2403" i="1"/>
  <c r="J557" i="1"/>
  <c r="E895" i="6"/>
  <c r="F1229" i="3"/>
  <c r="F1121" i="3"/>
  <c r="G958" i="3"/>
  <c r="CH2404" i="1"/>
  <c r="V2375" i="1"/>
  <c r="V2380" i="1"/>
  <c r="C442" i="1"/>
  <c r="CE2299" i="3"/>
  <c r="D73" i="3"/>
  <c r="D1022" i="3"/>
  <c r="D1023" i="3"/>
  <c r="D1012" i="3"/>
  <c r="D805" i="3"/>
  <c r="D806" i="3"/>
  <c r="BI1664" i="5"/>
  <c r="H1211" i="3"/>
  <c r="H1212" i="3"/>
  <c r="H1157" i="3"/>
  <c r="H1158" i="3"/>
  <c r="H1148" i="3"/>
  <c r="CE2301" i="3"/>
  <c r="E941" i="3"/>
  <c r="E942" i="3"/>
  <c r="E932" i="3"/>
  <c r="F433" i="3"/>
  <c r="G1391" i="3"/>
  <c r="D570" i="3"/>
  <c r="D571" i="3"/>
  <c r="D514" i="3"/>
  <c r="D515" i="3"/>
  <c r="G515" i="3"/>
  <c r="G514" i="3"/>
  <c r="B767" i="3"/>
  <c r="E44" i="3"/>
  <c r="H1525" i="3"/>
  <c r="H1444" i="3"/>
  <c r="E1417" i="3"/>
  <c r="E1309" i="3"/>
  <c r="E1255" i="3"/>
  <c r="E1256" i="3"/>
  <c r="F711" i="3"/>
  <c r="F712" i="3"/>
  <c r="I799" i="3"/>
  <c r="AC2285" i="3"/>
  <c r="AC2301" i="3"/>
  <c r="R2375" i="1"/>
  <c r="J799" i="3"/>
  <c r="E931" i="3"/>
  <c r="H1147" i="3"/>
  <c r="B239" i="5"/>
  <c r="I1191" i="4"/>
  <c r="AS2109" i="4"/>
  <c r="AS2132" i="4"/>
  <c r="C987" i="4"/>
  <c r="C1122" i="4"/>
  <c r="C1148" i="4"/>
  <c r="G1255" i="4"/>
  <c r="G1335" i="4"/>
  <c r="AW2106" i="4"/>
  <c r="F188" i="3"/>
  <c r="F187" i="3"/>
  <c r="F193" i="3"/>
  <c r="F194" i="3"/>
  <c r="F190" i="3"/>
  <c r="F189" i="3"/>
  <c r="F186" i="3"/>
  <c r="AQ2371" i="1"/>
  <c r="U2289" i="3"/>
  <c r="U2304" i="3"/>
  <c r="AJ2274" i="3"/>
  <c r="X2274" i="3"/>
  <c r="S2273" i="3"/>
  <c r="AN2272" i="3"/>
  <c r="AC2272" i="3"/>
  <c r="J2271" i="3"/>
  <c r="AF2270" i="3"/>
  <c r="I150" i="3"/>
  <c r="J150" i="3"/>
  <c r="I108" i="3"/>
  <c r="J422" i="3"/>
  <c r="I663" i="3"/>
  <c r="I979" i="3"/>
  <c r="I2272" i="3"/>
  <c r="AB2273" i="3"/>
  <c r="AF2273" i="3"/>
  <c r="AJ2273" i="3"/>
  <c r="J1435" i="3"/>
  <c r="J1489" i="3"/>
  <c r="I360" i="3"/>
  <c r="J1031" i="3"/>
  <c r="J1085" i="3"/>
  <c r="D2274" i="3"/>
  <c r="H2273" i="3"/>
  <c r="W2370" i="1"/>
  <c r="AD2368" i="1"/>
  <c r="Y2367" i="1"/>
  <c r="H102" i="1"/>
  <c r="F102" i="1"/>
  <c r="D102" i="1"/>
  <c r="B102" i="1"/>
  <c r="R2371" i="1"/>
  <c r="Q2370" i="1"/>
  <c r="AJ2368" i="1"/>
  <c r="P2367" i="1"/>
  <c r="F128" i="6"/>
  <c r="F125" i="6"/>
  <c r="F129" i="6"/>
  <c r="B128" i="6"/>
  <c r="B125" i="6"/>
  <c r="B129" i="6"/>
  <c r="H101" i="6"/>
  <c r="H98" i="6"/>
  <c r="H102" i="6"/>
  <c r="F101" i="6"/>
  <c r="F98" i="6"/>
  <c r="F102" i="6"/>
  <c r="D101" i="6"/>
  <c r="D98" i="6"/>
  <c r="D102" i="6"/>
  <c r="B101" i="6"/>
  <c r="B98" i="6"/>
  <c r="B102" i="6"/>
  <c r="H74" i="6"/>
  <c r="H71" i="6"/>
  <c r="H75" i="6"/>
  <c r="F74" i="6"/>
  <c r="F71" i="6"/>
  <c r="F75" i="6"/>
  <c r="D74" i="6"/>
  <c r="D71" i="6"/>
  <c r="D75" i="6"/>
  <c r="B74" i="6"/>
  <c r="B71" i="6"/>
  <c r="B75" i="6"/>
  <c r="J35" i="6"/>
  <c r="C872" i="6"/>
  <c r="J33" i="6"/>
  <c r="C870" i="6"/>
  <c r="J31" i="6"/>
  <c r="J50" i="6"/>
  <c r="C868" i="6"/>
  <c r="I1181" i="2"/>
  <c r="I1182" i="2"/>
  <c r="I1324" i="2"/>
  <c r="I1320" i="2"/>
  <c r="J1320" i="2"/>
  <c r="I1323" i="2"/>
  <c r="AV2190" i="2"/>
  <c r="AV2207" i="2"/>
  <c r="I1380" i="2"/>
  <c r="J1380" i="2"/>
  <c r="I1376" i="2"/>
  <c r="I1379" i="2"/>
  <c r="J1379" i="2"/>
  <c r="I781" i="1"/>
  <c r="I780" i="1"/>
  <c r="I1110" i="1"/>
  <c r="H1409" i="1"/>
  <c r="B1490" i="1"/>
  <c r="D1495" i="1"/>
  <c r="D1496" i="1"/>
  <c r="D1497" i="1"/>
  <c r="F1490" i="1"/>
  <c r="H1495" i="1"/>
  <c r="H1496" i="1"/>
  <c r="H1497" i="1"/>
  <c r="F1519" i="1"/>
  <c r="C1598" i="1"/>
  <c r="E1603" i="1"/>
  <c r="E1604" i="1"/>
  <c r="E1605" i="1"/>
  <c r="G1598" i="1"/>
  <c r="C1630" i="1"/>
  <c r="C1631" i="1"/>
  <c r="C1632" i="1"/>
  <c r="E1625" i="1"/>
  <c r="G1630" i="1"/>
  <c r="G1631" i="1"/>
  <c r="G1632" i="1"/>
  <c r="B1029" i="1"/>
  <c r="F1031" i="1"/>
  <c r="F1354" i="1"/>
  <c r="B1441" i="1"/>
  <c r="B1442" i="1"/>
  <c r="B1443" i="1"/>
  <c r="C1549" i="1"/>
  <c r="C1550" i="1"/>
  <c r="C1551" i="1"/>
  <c r="G1626" i="1"/>
  <c r="G1623" i="1"/>
  <c r="G1627" i="1"/>
  <c r="E1626" i="1"/>
  <c r="E1623" i="1"/>
  <c r="E1627" i="1"/>
  <c r="C1626" i="1"/>
  <c r="C1623" i="1"/>
  <c r="C1627" i="1"/>
  <c r="G1599" i="1"/>
  <c r="G1596" i="1"/>
  <c r="G1600" i="1"/>
  <c r="E1599" i="1"/>
  <c r="E1596" i="1"/>
  <c r="E1600" i="1"/>
  <c r="C1599" i="1"/>
  <c r="C1596" i="1"/>
  <c r="C1600" i="1"/>
  <c r="G1543" i="1"/>
  <c r="G1544" i="1"/>
  <c r="E1547" i="1"/>
  <c r="E1549" i="1"/>
  <c r="C1543" i="1"/>
  <c r="C1544" i="1"/>
  <c r="H1520" i="1"/>
  <c r="F1516" i="1"/>
  <c r="F1522" i="1"/>
  <c r="F1517" i="1"/>
  <c r="D1520" i="1"/>
  <c r="D1522" i="1"/>
  <c r="B1520" i="1"/>
  <c r="B1522" i="1"/>
  <c r="H1491" i="1"/>
  <c r="H1488" i="1"/>
  <c r="H1492" i="1"/>
  <c r="F1491" i="1"/>
  <c r="F1488" i="1"/>
  <c r="F1492" i="1"/>
  <c r="D1491" i="1"/>
  <c r="D1488" i="1"/>
  <c r="D1492" i="1"/>
  <c r="B1491" i="1"/>
  <c r="B1488" i="1"/>
  <c r="B1492" i="1"/>
  <c r="H1466" i="1"/>
  <c r="H1468" i="1"/>
  <c r="H1469" i="1"/>
  <c r="H1470" i="1"/>
  <c r="F1462" i="1"/>
  <c r="F1468" i="1"/>
  <c r="F1469" i="1"/>
  <c r="F1470" i="1"/>
  <c r="F1459" i="1"/>
  <c r="F1463" i="1"/>
  <c r="D1466" i="1"/>
  <c r="B1466" i="1"/>
  <c r="H1439" i="1"/>
  <c r="F1435" i="1"/>
  <c r="F1436" i="1"/>
  <c r="D1439" i="1"/>
  <c r="B1435" i="1"/>
  <c r="B1436" i="1"/>
  <c r="H1410" i="1"/>
  <c r="H1407" i="1"/>
  <c r="H1411" i="1"/>
  <c r="F1410" i="1"/>
  <c r="F1407" i="1"/>
  <c r="F1411" i="1"/>
  <c r="F1383" i="1"/>
  <c r="F1384" i="1"/>
  <c r="B1383" i="1"/>
  <c r="B1382" i="1"/>
  <c r="H1358" i="1"/>
  <c r="D1354" i="1"/>
  <c r="D1357" i="1"/>
  <c r="B1358" i="1"/>
  <c r="H1329" i="1"/>
  <c r="H1326" i="1"/>
  <c r="H1330" i="1"/>
  <c r="F1329" i="1"/>
  <c r="F1326" i="1"/>
  <c r="F1330" i="1"/>
  <c r="D1329" i="1"/>
  <c r="D1326" i="1"/>
  <c r="D1330" i="1"/>
  <c r="B1329" i="1"/>
  <c r="B1326" i="1"/>
  <c r="B1330" i="1"/>
  <c r="F1273" i="1"/>
  <c r="F1279" i="1"/>
  <c r="F1280" i="1"/>
  <c r="F1281" i="1"/>
  <c r="F1271" i="1"/>
  <c r="F1274" i="1"/>
  <c r="B1273" i="1"/>
  <c r="B1272" i="1"/>
  <c r="B1276" i="1"/>
  <c r="H1250" i="1"/>
  <c r="F1246" i="1"/>
  <c r="F1252" i="1"/>
  <c r="F1253" i="1"/>
  <c r="F1247" i="1"/>
  <c r="D1246" i="1"/>
  <c r="D1245" i="1"/>
  <c r="D1249" i="1"/>
  <c r="F1220" i="1"/>
  <c r="F1217" i="1"/>
  <c r="F1221" i="1"/>
  <c r="B1222" i="1"/>
  <c r="B1224" i="1"/>
  <c r="G1191" i="1"/>
  <c r="G1192" i="1"/>
  <c r="E1190" i="1"/>
  <c r="E1193" i="1"/>
  <c r="E1194" i="1"/>
  <c r="C1191" i="1"/>
  <c r="C1192" i="1"/>
  <c r="H1163" i="1"/>
  <c r="H1167" i="1"/>
  <c r="H1166" i="1"/>
  <c r="F1163" i="1"/>
  <c r="F1167" i="1"/>
  <c r="F1166" i="1"/>
  <c r="D1163" i="1"/>
  <c r="D1167" i="1"/>
  <c r="D1166" i="1"/>
  <c r="H1136" i="1"/>
  <c r="H1140" i="1"/>
  <c r="H1139" i="1"/>
  <c r="F1136" i="1"/>
  <c r="F1140" i="1"/>
  <c r="F1139" i="1"/>
  <c r="D1136" i="1"/>
  <c r="D1140" i="1"/>
  <c r="D1139" i="1"/>
  <c r="B1141" i="1"/>
  <c r="H1112" i="1"/>
  <c r="H1109" i="1"/>
  <c r="H1113" i="1"/>
  <c r="F1112" i="1"/>
  <c r="F1109" i="1"/>
  <c r="F1113" i="1"/>
  <c r="D1112" i="1"/>
  <c r="D1109" i="1"/>
  <c r="D1113" i="1"/>
  <c r="B1112" i="1"/>
  <c r="I1112" i="1"/>
  <c r="B1109" i="1"/>
  <c r="B1113" i="1"/>
  <c r="H1082" i="1"/>
  <c r="H1086" i="1"/>
  <c r="H1085" i="1"/>
  <c r="F1082" i="1"/>
  <c r="F1086" i="1"/>
  <c r="F1085" i="1"/>
  <c r="D1082" i="1"/>
  <c r="D1086" i="1"/>
  <c r="D1085" i="1"/>
  <c r="B1087" i="1"/>
  <c r="B1089" i="1"/>
  <c r="H1029" i="1"/>
  <c r="H1032" i="1"/>
  <c r="F1030" i="1"/>
  <c r="F1029" i="1"/>
  <c r="F1035" i="1"/>
  <c r="D1033" i="1"/>
  <c r="D1035" i="1"/>
  <c r="B1030" i="1"/>
  <c r="B1031" i="1"/>
  <c r="H1006" i="1"/>
  <c r="H1008" i="1"/>
  <c r="H1009" i="1"/>
  <c r="H1010" i="1"/>
  <c r="F1002" i="1"/>
  <c r="F1008" i="1"/>
  <c r="F1009" i="1"/>
  <c r="F1010" i="1"/>
  <c r="F1003" i="1"/>
  <c r="D1006" i="1"/>
  <c r="B1006" i="1"/>
  <c r="H950" i="1"/>
  <c r="H947" i="1"/>
  <c r="H951" i="1"/>
  <c r="F950" i="1"/>
  <c r="F947" i="1"/>
  <c r="F951" i="1"/>
  <c r="D950" i="1"/>
  <c r="D947" i="1"/>
  <c r="D951" i="1"/>
  <c r="H923" i="1"/>
  <c r="H921" i="1"/>
  <c r="F922" i="1"/>
  <c r="F920" i="1"/>
  <c r="D923" i="1"/>
  <c r="D921" i="1"/>
  <c r="B922" i="1"/>
  <c r="I922" i="1"/>
  <c r="B920" i="1"/>
  <c r="I920" i="1"/>
  <c r="F894" i="1"/>
  <c r="F891" i="1"/>
  <c r="F895" i="1"/>
  <c r="B896" i="1"/>
  <c r="F866" i="1"/>
  <c r="F864" i="1"/>
  <c r="F867" i="1"/>
  <c r="F865" i="1"/>
  <c r="B866" i="1"/>
  <c r="B864" i="1"/>
  <c r="I868" i="1"/>
  <c r="B867" i="1"/>
  <c r="B865" i="1"/>
  <c r="F838" i="1"/>
  <c r="F835" i="1"/>
  <c r="F839" i="1"/>
  <c r="B838" i="1"/>
  <c r="B837" i="1"/>
  <c r="G779" i="1"/>
  <c r="G783" i="1"/>
  <c r="G782" i="1"/>
  <c r="E779" i="1"/>
  <c r="E783" i="1"/>
  <c r="C783" i="1"/>
  <c r="I783" i="1"/>
  <c r="E782" i="1"/>
  <c r="C779" i="1"/>
  <c r="C782" i="1"/>
  <c r="I782" i="1"/>
  <c r="G751" i="1"/>
  <c r="G755" i="1"/>
  <c r="G754" i="1"/>
  <c r="E751" i="1"/>
  <c r="E755" i="1"/>
  <c r="E754" i="1"/>
  <c r="C751" i="1"/>
  <c r="I751" i="1"/>
  <c r="C755" i="1"/>
  <c r="I755" i="1"/>
  <c r="C754" i="1"/>
  <c r="I754" i="1"/>
  <c r="I756" i="1"/>
  <c r="H728" i="1"/>
  <c r="H730" i="1"/>
  <c r="F724" i="1"/>
  <c r="F730" i="1"/>
  <c r="F731" i="1"/>
  <c r="F732" i="1"/>
  <c r="F725" i="1"/>
  <c r="D728" i="1"/>
  <c r="B728" i="1"/>
  <c r="H700" i="1"/>
  <c r="F697" i="1"/>
  <c r="F696" i="1"/>
  <c r="F702" i="1"/>
  <c r="D700" i="1"/>
  <c r="D702" i="1"/>
  <c r="B697" i="1"/>
  <c r="I700" i="1"/>
  <c r="B698" i="1"/>
  <c r="G670" i="1"/>
  <c r="G667" i="1"/>
  <c r="G671" i="1"/>
  <c r="E670" i="1"/>
  <c r="E667" i="1"/>
  <c r="E671" i="1"/>
  <c r="C670" i="1"/>
  <c r="C667" i="1"/>
  <c r="C671" i="1"/>
  <c r="H644" i="1"/>
  <c r="H646" i="1"/>
  <c r="F641" i="1"/>
  <c r="F640" i="1"/>
  <c r="F646" i="1"/>
  <c r="F647" i="1"/>
  <c r="F648" i="1"/>
  <c r="D644" i="1"/>
  <c r="D646" i="1"/>
  <c r="B641" i="1"/>
  <c r="B642" i="1"/>
  <c r="G615" i="1"/>
  <c r="G612" i="1"/>
  <c r="G616" i="1"/>
  <c r="E615" i="1"/>
  <c r="E612" i="1"/>
  <c r="E616" i="1"/>
  <c r="C616" i="1"/>
  <c r="I616" i="1"/>
  <c r="C615" i="1"/>
  <c r="C612" i="1"/>
  <c r="J570" i="1"/>
  <c r="U2366" i="1"/>
  <c r="U2399" i="1"/>
  <c r="G559" i="1"/>
  <c r="G556" i="1"/>
  <c r="G560" i="1"/>
  <c r="E559" i="1"/>
  <c r="E556" i="1"/>
  <c r="E560" i="1"/>
  <c r="C559" i="1"/>
  <c r="C556" i="1"/>
  <c r="I556" i="1"/>
  <c r="C560" i="1"/>
  <c r="I561" i="1"/>
  <c r="H533" i="1"/>
  <c r="H535" i="1"/>
  <c r="H536" i="1"/>
  <c r="H537" i="1"/>
  <c r="F530" i="1"/>
  <c r="F529" i="1"/>
  <c r="F535" i="1"/>
  <c r="F536" i="1"/>
  <c r="F537" i="1"/>
  <c r="D533" i="1"/>
  <c r="D535" i="1"/>
  <c r="G500" i="1"/>
  <c r="G504" i="1"/>
  <c r="G503" i="1"/>
  <c r="E500" i="1"/>
  <c r="E504" i="1"/>
  <c r="E503" i="1"/>
  <c r="C500" i="1"/>
  <c r="C504" i="1"/>
  <c r="I504" i="1"/>
  <c r="I497" i="1"/>
  <c r="C503" i="1"/>
  <c r="I503" i="1"/>
  <c r="J503" i="1"/>
  <c r="J496" i="1"/>
  <c r="H477" i="1"/>
  <c r="H479" i="1"/>
  <c r="F473" i="1"/>
  <c r="F479" i="1"/>
  <c r="F480" i="1"/>
  <c r="F481" i="1"/>
  <c r="F474" i="1"/>
  <c r="D477" i="1"/>
  <c r="D479" i="1"/>
  <c r="D480" i="1"/>
  <c r="D481" i="1"/>
  <c r="B477" i="1"/>
  <c r="B479" i="1"/>
  <c r="B480" i="1"/>
  <c r="B481" i="1"/>
  <c r="H449" i="1"/>
  <c r="H451" i="1"/>
  <c r="F445" i="1"/>
  <c r="F451" i="1"/>
  <c r="F446" i="1"/>
  <c r="B449" i="1"/>
  <c r="B451" i="1"/>
  <c r="G388" i="1"/>
  <c r="G392" i="1"/>
  <c r="G391" i="1"/>
  <c r="E388" i="1"/>
  <c r="E392" i="1"/>
  <c r="E391" i="1"/>
  <c r="C388" i="1"/>
  <c r="C392" i="1"/>
  <c r="C391" i="1"/>
  <c r="I393" i="1"/>
  <c r="J374" i="1"/>
  <c r="N2366" i="1"/>
  <c r="N2399" i="1"/>
  <c r="E333" i="1"/>
  <c r="E332" i="1"/>
  <c r="E336" i="1"/>
  <c r="E304" i="1"/>
  <c r="E305" i="1"/>
  <c r="E277" i="1"/>
  <c r="E276" i="1"/>
  <c r="E280" i="1"/>
  <c r="E248" i="1"/>
  <c r="E249" i="1"/>
  <c r="E217" i="1"/>
  <c r="E218" i="1"/>
  <c r="G192" i="1"/>
  <c r="G189" i="1"/>
  <c r="G193" i="1"/>
  <c r="E192" i="1"/>
  <c r="E189" i="1"/>
  <c r="E193" i="1"/>
  <c r="C193" i="1"/>
  <c r="I193" i="1"/>
  <c r="C192" i="1"/>
  <c r="C189" i="1"/>
  <c r="I194" i="1"/>
  <c r="H161" i="1"/>
  <c r="H160" i="1"/>
  <c r="H166" i="1"/>
  <c r="H167" i="1"/>
  <c r="H168" i="1"/>
  <c r="F161" i="1"/>
  <c r="F160" i="1"/>
  <c r="F166" i="1"/>
  <c r="F167" i="1"/>
  <c r="F168" i="1"/>
  <c r="D161" i="1"/>
  <c r="D160" i="1"/>
  <c r="D166" i="1"/>
  <c r="D167" i="1"/>
  <c r="D168" i="1"/>
  <c r="B161" i="1"/>
  <c r="B160" i="1"/>
  <c r="B166" i="1"/>
  <c r="B167" i="1"/>
  <c r="B168" i="1"/>
  <c r="G133" i="1"/>
  <c r="G136" i="1"/>
  <c r="G132" i="1"/>
  <c r="C133" i="1"/>
  <c r="C136" i="1"/>
  <c r="C132" i="1"/>
  <c r="J120" i="1"/>
  <c r="F2368" i="1"/>
  <c r="G102" i="1"/>
  <c r="G104" i="1"/>
  <c r="G108" i="1"/>
  <c r="G107" i="1"/>
  <c r="E102" i="1"/>
  <c r="E104" i="1"/>
  <c r="E108" i="1"/>
  <c r="E107" i="1"/>
  <c r="C102" i="1"/>
  <c r="C104" i="1"/>
  <c r="C108" i="1"/>
  <c r="C107" i="1"/>
  <c r="I560" i="1"/>
  <c r="L90" i="1"/>
  <c r="I191" i="1"/>
  <c r="I558" i="1"/>
  <c r="I612" i="1"/>
  <c r="I753" i="1"/>
  <c r="I752" i="1"/>
  <c r="I779" i="1"/>
  <c r="AP2108" i="4"/>
  <c r="AI2108" i="4"/>
  <c r="AF2108" i="4"/>
  <c r="AC2108" i="4"/>
  <c r="X2108" i="4"/>
  <c r="H2107" i="4"/>
  <c r="AM2106" i="4"/>
  <c r="AG2106" i="4"/>
  <c r="AB2106" i="4"/>
  <c r="S2105" i="4"/>
  <c r="J2105" i="4"/>
  <c r="E2105" i="4"/>
  <c r="AI2104" i="4"/>
  <c r="AE2104" i="4"/>
  <c r="Y2104" i="4"/>
  <c r="Q2103" i="4"/>
  <c r="Q2131" i="4"/>
  <c r="I2103" i="4"/>
  <c r="I2131" i="4"/>
  <c r="D2103" i="4"/>
  <c r="AX2178" i="2"/>
  <c r="AW2176" i="2"/>
  <c r="I1382" i="2"/>
  <c r="AX2193" i="2"/>
  <c r="AX2209" i="2"/>
  <c r="F2189" i="2"/>
  <c r="F2206" i="2"/>
  <c r="F305" i="1"/>
  <c r="F311" i="1"/>
  <c r="F312" i="1"/>
  <c r="F313" i="1"/>
  <c r="F306" i="1"/>
  <c r="I309" i="1"/>
  <c r="F307" i="1"/>
  <c r="F304" i="1"/>
  <c r="F308" i="1"/>
  <c r="E101" i="6"/>
  <c r="E102" i="6"/>
  <c r="G101" i="6"/>
  <c r="G102" i="6"/>
  <c r="C128" i="6"/>
  <c r="C129" i="6"/>
  <c r="E128" i="6"/>
  <c r="E129" i="6"/>
  <c r="G128" i="6"/>
  <c r="G129" i="6"/>
  <c r="D872" i="6"/>
  <c r="E871" i="6"/>
  <c r="D868" i="6"/>
  <c r="I77" i="6"/>
  <c r="D887" i="6"/>
  <c r="D902" i="6"/>
  <c r="AP2106" i="4"/>
  <c r="I183" i="1"/>
  <c r="H2379" i="1"/>
  <c r="C1635" i="5"/>
  <c r="Z1634" i="5"/>
  <c r="P1634" i="5"/>
  <c r="H1634" i="5"/>
  <c r="E1634" i="5"/>
  <c r="B1634" i="5"/>
  <c r="F1632" i="5"/>
  <c r="D1632" i="5"/>
  <c r="B1632" i="5"/>
  <c r="J1630" i="5"/>
  <c r="J1658" i="5"/>
  <c r="E1630" i="5"/>
  <c r="E1658" i="5"/>
  <c r="C1630" i="5"/>
  <c r="C1658" i="5"/>
  <c r="W1636" i="5"/>
  <c r="W1659" i="5"/>
  <c r="AD1636" i="5"/>
  <c r="AD1659" i="5"/>
  <c r="I837" i="5"/>
  <c r="K2188" i="2"/>
  <c r="K2205" i="2"/>
  <c r="J1323" i="2"/>
  <c r="I553" i="2"/>
  <c r="I222" i="2"/>
  <c r="I2193" i="2"/>
  <c r="I2209" i="2"/>
  <c r="I1353" i="4"/>
  <c r="AY2109" i="4"/>
  <c r="AY2132" i="4"/>
  <c r="I1245" i="4"/>
  <c r="I1137" i="4"/>
  <c r="AQ2109" i="4"/>
  <c r="AQ2132" i="4"/>
  <c r="I1056" i="4"/>
  <c r="I759" i="4"/>
  <c r="J759" i="4"/>
  <c r="I651" i="4"/>
  <c r="I233" i="4"/>
  <c r="J233" i="4"/>
  <c r="I150" i="4"/>
  <c r="AU2109" i="4"/>
  <c r="AU2132" i="4"/>
  <c r="J1245" i="4"/>
  <c r="J1056" i="4"/>
  <c r="AN2109" i="4"/>
  <c r="AN2132" i="4"/>
  <c r="Y2109" i="4"/>
  <c r="Y2132" i="4"/>
  <c r="J651" i="4"/>
  <c r="J2109" i="4"/>
  <c r="J2132" i="4"/>
  <c r="G2109" i="4"/>
  <c r="G2132" i="4"/>
  <c r="J150" i="4"/>
  <c r="G1364" i="4"/>
  <c r="G1361" i="4"/>
  <c r="G1365" i="4"/>
  <c r="C1362" i="4"/>
  <c r="C1363" i="4"/>
  <c r="C1335" i="4"/>
  <c r="C1336" i="4"/>
  <c r="H1310" i="4"/>
  <c r="H1307" i="4"/>
  <c r="H1311" i="4"/>
  <c r="D1310" i="4"/>
  <c r="D1307" i="4"/>
  <c r="D1311" i="4"/>
  <c r="J1298" i="4"/>
  <c r="AW2108" i="4"/>
  <c r="F1283" i="4"/>
  <c r="F1280" i="4"/>
  <c r="F1284" i="4"/>
  <c r="B1283" i="4"/>
  <c r="B1280" i="4"/>
  <c r="B1284" i="4"/>
  <c r="C1254" i="4"/>
  <c r="C1255" i="4"/>
  <c r="J1243" i="4"/>
  <c r="AU2107" i="4"/>
  <c r="G1229" i="4"/>
  <c r="G1226" i="4"/>
  <c r="G1230" i="4"/>
  <c r="C1227" i="4"/>
  <c r="C1228" i="4"/>
  <c r="J1214" i="4"/>
  <c r="AT2105" i="4"/>
  <c r="I1218" i="4"/>
  <c r="G1202" i="4"/>
  <c r="G1199" i="4"/>
  <c r="G1203" i="4"/>
  <c r="C1202" i="4"/>
  <c r="C1199" i="4"/>
  <c r="C1203" i="4"/>
  <c r="G1175" i="4"/>
  <c r="G1172" i="4"/>
  <c r="G1176" i="4"/>
  <c r="C1175" i="4"/>
  <c r="C1172" i="4"/>
  <c r="C1176" i="4"/>
  <c r="J1160" i="4"/>
  <c r="I1164" i="4"/>
  <c r="G1148" i="4"/>
  <c r="G1149" i="4"/>
  <c r="G1121" i="4"/>
  <c r="G1122" i="4"/>
  <c r="J1106" i="4"/>
  <c r="I1110" i="4"/>
  <c r="G1092" i="4"/>
  <c r="G1098" i="4"/>
  <c r="G1099" i="4"/>
  <c r="G1100" i="4"/>
  <c r="G1090" i="4"/>
  <c r="G1093" i="4"/>
  <c r="C1092" i="4"/>
  <c r="C1098" i="4"/>
  <c r="C1093" i="4"/>
  <c r="G1065" i="4"/>
  <c r="G1071" i="4"/>
  <c r="G1072" i="4"/>
  <c r="G1073" i="4"/>
  <c r="G1066" i="4"/>
  <c r="C1065" i="4"/>
  <c r="C1071" i="4"/>
  <c r="C1072" i="4"/>
  <c r="C1073" i="4"/>
  <c r="C1066" i="4"/>
  <c r="J1054" i="4"/>
  <c r="AN2107" i="4"/>
  <c r="G1038" i="4"/>
  <c r="G1044" i="4"/>
  <c r="G1045" i="4"/>
  <c r="G1046" i="4"/>
  <c r="G1036" i="4"/>
  <c r="G1039" i="4"/>
  <c r="E1038" i="4"/>
  <c r="E1044" i="4"/>
  <c r="E1039" i="4"/>
  <c r="C1038" i="4"/>
  <c r="C1044" i="4"/>
  <c r="C1045" i="4"/>
  <c r="C1046" i="4"/>
  <c r="C1036" i="4"/>
  <c r="C1039" i="4"/>
  <c r="J998" i="4"/>
  <c r="AL2105" i="4"/>
  <c r="G987" i="4"/>
  <c r="G985" i="4"/>
  <c r="G983" i="4"/>
  <c r="G960" i="4"/>
  <c r="G956" i="4"/>
  <c r="C960" i="4"/>
  <c r="C956" i="4"/>
  <c r="J946" i="4"/>
  <c r="AJ2107" i="4"/>
  <c r="C933" i="4"/>
  <c r="C931" i="4"/>
  <c r="C929" i="4"/>
  <c r="E906" i="4"/>
  <c r="E902" i="4"/>
  <c r="G879" i="4"/>
  <c r="G877" i="4"/>
  <c r="G875" i="4"/>
  <c r="G852" i="4"/>
  <c r="G848" i="4"/>
  <c r="C852" i="4"/>
  <c r="C848" i="4"/>
  <c r="J836" i="4"/>
  <c r="AF2105" i="4"/>
  <c r="G823" i="4"/>
  <c r="G828" i="4"/>
  <c r="G798" i="4"/>
  <c r="G794" i="4"/>
  <c r="C798" i="4"/>
  <c r="C794" i="4"/>
  <c r="J780" i="4"/>
  <c r="AD2103" i="4"/>
  <c r="AD2131" i="4"/>
  <c r="G769" i="4"/>
  <c r="G774" i="4"/>
  <c r="G775" i="4"/>
  <c r="G776" i="4"/>
  <c r="G744" i="4"/>
  <c r="G740" i="4"/>
  <c r="C744" i="4"/>
  <c r="C740" i="4"/>
  <c r="J730" i="4"/>
  <c r="AB2107" i="4"/>
  <c r="G713" i="4"/>
  <c r="G717" i="4"/>
  <c r="G716" i="4"/>
  <c r="C713" i="4"/>
  <c r="C717" i="4"/>
  <c r="C716" i="4"/>
  <c r="G690" i="4"/>
  <c r="G686" i="4"/>
  <c r="C690" i="4"/>
  <c r="C686" i="4"/>
  <c r="G661" i="4"/>
  <c r="G666" i="4"/>
  <c r="G667" i="4"/>
  <c r="G668" i="4"/>
  <c r="G658" i="4"/>
  <c r="G635" i="4"/>
  <c r="G631" i="4"/>
  <c r="C635" i="4"/>
  <c r="C631" i="4"/>
  <c r="J619" i="4"/>
  <c r="X2105" i="4"/>
  <c r="J617" i="4"/>
  <c r="X2103" i="4"/>
  <c r="X2131" i="4"/>
  <c r="G605" i="4"/>
  <c r="G610" i="4"/>
  <c r="G611" i="4"/>
  <c r="G612" i="4"/>
  <c r="G602" i="4"/>
  <c r="G579" i="4"/>
  <c r="G575" i="4"/>
  <c r="C579" i="4"/>
  <c r="C575" i="4"/>
  <c r="J565" i="4"/>
  <c r="V2107" i="4"/>
  <c r="G547" i="4"/>
  <c r="G551" i="4"/>
  <c r="G550" i="4"/>
  <c r="C547" i="4"/>
  <c r="C551" i="4"/>
  <c r="C550" i="4"/>
  <c r="J535" i="4"/>
  <c r="U2105" i="4"/>
  <c r="J533" i="4"/>
  <c r="U2103" i="4"/>
  <c r="U2131" i="4"/>
  <c r="G523" i="4"/>
  <c r="G521" i="4"/>
  <c r="G519" i="4"/>
  <c r="J509" i="4"/>
  <c r="T2107" i="4"/>
  <c r="G495" i="4"/>
  <c r="G493" i="4"/>
  <c r="G491" i="4"/>
  <c r="J480" i="4"/>
  <c r="S2106" i="4"/>
  <c r="J478" i="4"/>
  <c r="J497" i="4"/>
  <c r="S2104" i="4"/>
  <c r="G467" i="4"/>
  <c r="G465" i="4"/>
  <c r="G463" i="4"/>
  <c r="G439" i="4"/>
  <c r="G437" i="4"/>
  <c r="G435" i="4"/>
  <c r="H407" i="4"/>
  <c r="H411" i="4"/>
  <c r="H410" i="4"/>
  <c r="D407" i="4"/>
  <c r="D411" i="4"/>
  <c r="D410" i="4"/>
  <c r="B409" i="4"/>
  <c r="B414" i="4"/>
  <c r="B415" i="4"/>
  <c r="B416" i="4"/>
  <c r="B405" i="4"/>
  <c r="J368" i="4"/>
  <c r="O2106" i="4"/>
  <c r="J366" i="4"/>
  <c r="J385" i="4"/>
  <c r="O2104" i="4"/>
  <c r="O2123" i="4"/>
  <c r="O2139" i="4"/>
  <c r="G352" i="4"/>
  <c r="G358" i="4"/>
  <c r="G359" i="4"/>
  <c r="G360" i="4"/>
  <c r="G350" i="4"/>
  <c r="G353" i="4"/>
  <c r="E352" i="4"/>
  <c r="E358" i="4"/>
  <c r="E359" i="4"/>
  <c r="E360" i="4"/>
  <c r="E353" i="4"/>
  <c r="C352" i="4"/>
  <c r="C358" i="4"/>
  <c r="C359" i="4"/>
  <c r="C360" i="4"/>
  <c r="C350" i="4"/>
  <c r="C353" i="4"/>
  <c r="H326" i="4"/>
  <c r="H324" i="4"/>
  <c r="D326" i="4"/>
  <c r="D324" i="4"/>
  <c r="J312" i="4"/>
  <c r="M2106" i="4"/>
  <c r="G298" i="4"/>
  <c r="G296" i="4"/>
  <c r="H269" i="4"/>
  <c r="H275" i="4"/>
  <c r="H276" i="4"/>
  <c r="H277" i="4"/>
  <c r="H270" i="4"/>
  <c r="D269" i="4"/>
  <c r="D275" i="4"/>
  <c r="D276" i="4"/>
  <c r="D277" i="4"/>
  <c r="D267" i="4"/>
  <c r="D270" i="4"/>
  <c r="J259" i="4"/>
  <c r="K2108" i="4"/>
  <c r="H244" i="4"/>
  <c r="H242" i="4"/>
  <c r="D244" i="4"/>
  <c r="D242" i="4"/>
  <c r="H215" i="4"/>
  <c r="H221" i="4"/>
  <c r="H222" i="4"/>
  <c r="H216" i="4"/>
  <c r="F215" i="4"/>
  <c r="F221" i="4"/>
  <c r="F222" i="4"/>
  <c r="F223" i="4"/>
  <c r="F213" i="4"/>
  <c r="F216" i="4"/>
  <c r="D215" i="4"/>
  <c r="D221" i="4"/>
  <c r="D222" i="4"/>
  <c r="D223" i="4"/>
  <c r="D216" i="4"/>
  <c r="F187" i="4"/>
  <c r="F193" i="4"/>
  <c r="F194" i="4"/>
  <c r="F195" i="4"/>
  <c r="F184" i="4"/>
  <c r="F188" i="4"/>
  <c r="B187" i="4"/>
  <c r="B193" i="4"/>
  <c r="B188" i="4"/>
  <c r="J175" i="4"/>
  <c r="H2106" i="4"/>
  <c r="J173" i="4"/>
  <c r="J192" i="4"/>
  <c r="H2104" i="4"/>
  <c r="H2123" i="4"/>
  <c r="H2139" i="4"/>
  <c r="F161" i="4"/>
  <c r="F159" i="4"/>
  <c r="J149" i="4"/>
  <c r="G2108" i="4"/>
  <c r="F131" i="4"/>
  <c r="F137" i="4"/>
  <c r="F138" i="4"/>
  <c r="F139" i="4"/>
  <c r="F128" i="4"/>
  <c r="F132" i="4"/>
  <c r="B131" i="4"/>
  <c r="B137" i="4"/>
  <c r="B138" i="4"/>
  <c r="B132" i="4"/>
  <c r="F105" i="4"/>
  <c r="F103" i="4"/>
  <c r="H77" i="4"/>
  <c r="H75" i="4"/>
  <c r="D77" i="4"/>
  <c r="D75" i="4"/>
  <c r="H47" i="4"/>
  <c r="H53" i="4"/>
  <c r="H54" i="4"/>
  <c r="H48" i="4"/>
  <c r="D47" i="4"/>
  <c r="D53" i="4"/>
  <c r="D54" i="4"/>
  <c r="D55" i="4"/>
  <c r="D44" i="4"/>
  <c r="D48" i="4"/>
  <c r="F23" i="4"/>
  <c r="F21" i="4"/>
  <c r="I66" i="4"/>
  <c r="D76" i="4"/>
  <c r="H76" i="4"/>
  <c r="D78" i="4"/>
  <c r="H78" i="4"/>
  <c r="B104" i="4"/>
  <c r="F104" i="4"/>
  <c r="B106" i="4"/>
  <c r="F106" i="4"/>
  <c r="D160" i="4"/>
  <c r="H160" i="4"/>
  <c r="D243" i="4"/>
  <c r="H243" i="4"/>
  <c r="D245" i="4"/>
  <c r="H245" i="4"/>
  <c r="G297" i="4"/>
  <c r="G299" i="4"/>
  <c r="B325" i="4"/>
  <c r="F325" i="4"/>
  <c r="B327" i="4"/>
  <c r="C438" i="4"/>
  <c r="C466" i="4"/>
  <c r="C494" i="4"/>
  <c r="C522" i="4"/>
  <c r="C578" i="4"/>
  <c r="G578" i="4"/>
  <c r="E634" i="4"/>
  <c r="C689" i="4"/>
  <c r="G689" i="4"/>
  <c r="E743" i="4"/>
  <c r="C797" i="4"/>
  <c r="G797" i="4"/>
  <c r="E851" i="4"/>
  <c r="C878" i="4"/>
  <c r="C905" i="4"/>
  <c r="G905" i="4"/>
  <c r="G932" i="4"/>
  <c r="E959" i="4"/>
  <c r="C986" i="4"/>
  <c r="F20" i="4"/>
  <c r="B75" i="4"/>
  <c r="B242" i="4"/>
  <c r="B324" i="4"/>
  <c r="C435" i="4"/>
  <c r="C491" i="4"/>
  <c r="I539" i="4"/>
  <c r="C577" i="4"/>
  <c r="E579" i="4"/>
  <c r="E631" i="4"/>
  <c r="G633" i="4"/>
  <c r="C688" i="4"/>
  <c r="E690" i="4"/>
  <c r="E740" i="4"/>
  <c r="G742" i="4"/>
  <c r="C796" i="4"/>
  <c r="E798" i="4"/>
  <c r="E848" i="4"/>
  <c r="G850" i="4"/>
  <c r="C875" i="4"/>
  <c r="G902" i="4"/>
  <c r="C906" i="4"/>
  <c r="G929" i="4"/>
  <c r="C958" i="4"/>
  <c r="E960" i="4"/>
  <c r="C355" i="4"/>
  <c r="C354" i="4"/>
  <c r="E351" i="4"/>
  <c r="I351" i="4"/>
  <c r="G355" i="4"/>
  <c r="G354" i="4"/>
  <c r="C1037" i="4"/>
  <c r="E1041" i="4"/>
  <c r="E1040" i="4"/>
  <c r="G1037" i="4"/>
  <c r="D50" i="4"/>
  <c r="D49" i="4"/>
  <c r="H46" i="4"/>
  <c r="B134" i="4"/>
  <c r="B133" i="4"/>
  <c r="F130" i="4"/>
  <c r="B190" i="4"/>
  <c r="B189" i="4"/>
  <c r="F186" i="4"/>
  <c r="D218" i="4"/>
  <c r="D217" i="4"/>
  <c r="F214" i="4"/>
  <c r="H218" i="4"/>
  <c r="H217" i="4"/>
  <c r="D268" i="4"/>
  <c r="H272" i="4"/>
  <c r="H271" i="4"/>
  <c r="G386" i="4"/>
  <c r="G387" i="4"/>
  <c r="G388" i="4"/>
  <c r="B408" i="4"/>
  <c r="D408" i="4"/>
  <c r="H414" i="4"/>
  <c r="H415" i="4"/>
  <c r="H416" i="4"/>
  <c r="H406" i="4"/>
  <c r="H409" i="4"/>
  <c r="C548" i="4"/>
  <c r="G554" i="4"/>
  <c r="G549" i="4"/>
  <c r="C605" i="4"/>
  <c r="C666" i="4"/>
  <c r="C667" i="4"/>
  <c r="C668" i="4"/>
  <c r="C658" i="4"/>
  <c r="G660" i="4"/>
  <c r="C714" i="4"/>
  <c r="G720" i="4"/>
  <c r="G721" i="4"/>
  <c r="G722" i="4"/>
  <c r="G715" i="4"/>
  <c r="C769" i="4"/>
  <c r="C828" i="4"/>
  <c r="C829" i="4"/>
  <c r="C830" i="4"/>
  <c r="C819" i="4"/>
  <c r="G822" i="4"/>
  <c r="C1064" i="4"/>
  <c r="G1068" i="4"/>
  <c r="G1067" i="4"/>
  <c r="C1091" i="4"/>
  <c r="G1095" i="4"/>
  <c r="G1094" i="4"/>
  <c r="C1121" i="4"/>
  <c r="C1149" i="4"/>
  <c r="G1145" i="4"/>
  <c r="C1174" i="4"/>
  <c r="C1173" i="4"/>
  <c r="G1179" i="4"/>
  <c r="C1201" i="4"/>
  <c r="C1200" i="4"/>
  <c r="G1206" i="4"/>
  <c r="G1207" i="4"/>
  <c r="G1208" i="4"/>
  <c r="C1233" i="4"/>
  <c r="C1234" i="4"/>
  <c r="C1235" i="4"/>
  <c r="E1227" i="4"/>
  <c r="G1233" i="4"/>
  <c r="G1234" i="4"/>
  <c r="C1260" i="4"/>
  <c r="C1261" i="4"/>
  <c r="C1262" i="4"/>
  <c r="G1254" i="4"/>
  <c r="B1287" i="4"/>
  <c r="B1288" i="4"/>
  <c r="B1289" i="4"/>
  <c r="B1278" i="4"/>
  <c r="F1282" i="4"/>
  <c r="F1281" i="4"/>
  <c r="D1314" i="4"/>
  <c r="D1315" i="4"/>
  <c r="D1316" i="4"/>
  <c r="H1309" i="4"/>
  <c r="H1308" i="4"/>
  <c r="G1336" i="4"/>
  <c r="C1368" i="4"/>
  <c r="C1369" i="4"/>
  <c r="C1370" i="4"/>
  <c r="E1362" i="4"/>
  <c r="G1368" i="4"/>
  <c r="G1369" i="4"/>
  <c r="G1370" i="4"/>
  <c r="H2108" i="4"/>
  <c r="AP2107" i="4"/>
  <c r="AF2107" i="4"/>
  <c r="U2107" i="4"/>
  <c r="Q2106" i="4"/>
  <c r="K2106" i="4"/>
  <c r="AO2105" i="4"/>
  <c r="AA2105" i="4"/>
  <c r="AW2104" i="4"/>
  <c r="N2104" i="4"/>
  <c r="N2123" i="4"/>
  <c r="N2139" i="4"/>
  <c r="V2103" i="4"/>
  <c r="V2131" i="4"/>
  <c r="C78" i="6"/>
  <c r="C73" i="6"/>
  <c r="E72" i="6"/>
  <c r="G78" i="6"/>
  <c r="G79" i="6"/>
  <c r="G80" i="6"/>
  <c r="G73" i="6"/>
  <c r="H126" i="6"/>
  <c r="B871" i="6"/>
  <c r="B869" i="6"/>
  <c r="I1334" i="2"/>
  <c r="I1039" i="4"/>
  <c r="AM2119" i="4"/>
  <c r="AM2136" i="4"/>
  <c r="J1191" i="4"/>
  <c r="J1083" i="4"/>
  <c r="J813" i="4"/>
  <c r="J705" i="4"/>
  <c r="J595" i="4"/>
  <c r="I1038" i="4"/>
  <c r="J1038" i="4"/>
  <c r="Q2289" i="3"/>
  <c r="Q2304" i="3"/>
  <c r="F1261" i="3"/>
  <c r="F1258" i="3"/>
  <c r="F1264" i="3"/>
  <c r="F1265" i="3"/>
  <c r="F1266" i="3"/>
  <c r="F1255" i="3"/>
  <c r="F1260" i="3"/>
  <c r="F1259" i="3"/>
  <c r="C333" i="1"/>
  <c r="C332" i="1"/>
  <c r="C336" i="1"/>
  <c r="C335" i="1"/>
  <c r="C334" i="1"/>
  <c r="C339" i="1"/>
  <c r="C340" i="1"/>
  <c r="C341" i="1"/>
  <c r="I1326" i="4"/>
  <c r="AX2109" i="4"/>
  <c r="AX2132" i="4"/>
  <c r="AW2178" i="2"/>
  <c r="AV2177" i="2"/>
  <c r="AW2174" i="2"/>
  <c r="I1354" i="2"/>
  <c r="AW2193" i="2"/>
  <c r="AW2209" i="2"/>
  <c r="I1312" i="2"/>
  <c r="I1242" i="2"/>
  <c r="AS2193" i="2"/>
  <c r="AS2209" i="2"/>
  <c r="I1158" i="2"/>
  <c r="AP2193" i="2"/>
  <c r="AP2209" i="2"/>
  <c r="J1353" i="4"/>
  <c r="B1255" i="4"/>
  <c r="F1255" i="4"/>
  <c r="C1282" i="4"/>
  <c r="C1309" i="4"/>
  <c r="G1309" i="4"/>
  <c r="E1311" i="4"/>
  <c r="D1336" i="4"/>
  <c r="H1336" i="4"/>
  <c r="D1338" i="4"/>
  <c r="H1338" i="4"/>
  <c r="B1363" i="4"/>
  <c r="F1363" i="4"/>
  <c r="D1254" i="4"/>
  <c r="H1254" i="4"/>
  <c r="G1281" i="4"/>
  <c r="D1335" i="4"/>
  <c r="H1335" i="4"/>
  <c r="D1362" i="4"/>
  <c r="H1362" i="4"/>
  <c r="I1018" i="3"/>
  <c r="I489" i="3"/>
  <c r="I602" i="3"/>
  <c r="J602" i="3"/>
  <c r="I1149" i="3"/>
  <c r="I797" i="3"/>
  <c r="J797" i="3"/>
  <c r="H1526" i="3"/>
  <c r="E1480" i="3"/>
  <c r="E1418" i="3"/>
  <c r="AK2287" i="3"/>
  <c r="AK2303" i="3"/>
  <c r="J1018" i="3"/>
  <c r="S2283" i="3"/>
  <c r="S2299" i="3"/>
  <c r="J489" i="3"/>
  <c r="AP2283" i="3"/>
  <c r="AP2299" i="3"/>
  <c r="J1149" i="3"/>
  <c r="E1527" i="3"/>
  <c r="I1527" i="3"/>
  <c r="E1528" i="3"/>
  <c r="E1529" i="3"/>
  <c r="E1534" i="3"/>
  <c r="E1535" i="3"/>
  <c r="E1536" i="3"/>
  <c r="C1502" i="3"/>
  <c r="C1504" i="3"/>
  <c r="I1504" i="3"/>
  <c r="J1504" i="3"/>
  <c r="C1501" i="3"/>
  <c r="G1447" i="3"/>
  <c r="G1450" i="3"/>
  <c r="I1450" i="3"/>
  <c r="BA2287" i="3"/>
  <c r="BA2303" i="3"/>
  <c r="B1426" i="3"/>
  <c r="B1427" i="3"/>
  <c r="B1428" i="3"/>
  <c r="B1418" i="3"/>
  <c r="B1422" i="3"/>
  <c r="B1423" i="3"/>
  <c r="B1420" i="3"/>
  <c r="B1421" i="3"/>
  <c r="B1419" i="3"/>
  <c r="H1366" i="3"/>
  <c r="H1367" i="3"/>
  <c r="H1369" i="3"/>
  <c r="H1365" i="3"/>
  <c r="H1368" i="3"/>
  <c r="D1372" i="3"/>
  <c r="D1373" i="3"/>
  <c r="D1374" i="3"/>
  <c r="D1366" i="3"/>
  <c r="D1367" i="3"/>
  <c r="D1369" i="3"/>
  <c r="D1365" i="3"/>
  <c r="D1368" i="3"/>
  <c r="H193" i="3"/>
  <c r="H187" i="3"/>
  <c r="H188" i="3"/>
  <c r="H186" i="3"/>
  <c r="E249" i="3"/>
  <c r="E250" i="3"/>
  <c r="E251" i="3"/>
  <c r="E243" i="3"/>
  <c r="E244" i="3"/>
  <c r="E242" i="3"/>
  <c r="B278" i="3"/>
  <c r="B274" i="3"/>
  <c r="B275" i="3"/>
  <c r="B361" i="3"/>
  <c r="B357" i="3"/>
  <c r="B354" i="3"/>
  <c r="AT2269" i="3"/>
  <c r="AT2296" i="3"/>
  <c r="J1243" i="3"/>
  <c r="B664" i="3"/>
  <c r="B660" i="3"/>
  <c r="B661" i="3"/>
  <c r="I661" i="3"/>
  <c r="G934" i="3"/>
  <c r="G935" i="3"/>
  <c r="G937" i="3"/>
  <c r="G940" i="3"/>
  <c r="G941" i="3"/>
  <c r="G942" i="3"/>
  <c r="G1042" i="3"/>
  <c r="G1045" i="3"/>
  <c r="G1075" i="3"/>
  <c r="G1070" i="3"/>
  <c r="G1072" i="3"/>
  <c r="B1183" i="3"/>
  <c r="B1179" i="3"/>
  <c r="B1176" i="3"/>
  <c r="H1291" i="3"/>
  <c r="H1287" i="3"/>
  <c r="H1288" i="3"/>
  <c r="B1345" i="3"/>
  <c r="B1341" i="3"/>
  <c r="B1338" i="3"/>
  <c r="C165" i="3"/>
  <c r="C166" i="3"/>
  <c r="C167" i="3"/>
  <c r="C159" i="3"/>
  <c r="C160" i="3"/>
  <c r="C162" i="3"/>
  <c r="G165" i="3"/>
  <c r="G161" i="3"/>
  <c r="G162" i="3"/>
  <c r="J360" i="3"/>
  <c r="N2289" i="3"/>
  <c r="N2304" i="3"/>
  <c r="C382" i="3"/>
  <c r="C385" i="3"/>
  <c r="G382" i="3"/>
  <c r="G381" i="3"/>
  <c r="B748" i="3"/>
  <c r="B742" i="3"/>
  <c r="B741" i="3"/>
  <c r="B743" i="3"/>
  <c r="C776" i="3"/>
  <c r="C770" i="3"/>
  <c r="C771" i="3"/>
  <c r="C773" i="3"/>
  <c r="G776" i="3"/>
  <c r="G770" i="3"/>
  <c r="G771" i="3"/>
  <c r="G769" i="3"/>
  <c r="C880" i="3"/>
  <c r="C883" i="3"/>
  <c r="G880" i="3"/>
  <c r="G879" i="3"/>
  <c r="H961" i="3"/>
  <c r="H964" i="3"/>
  <c r="C1096" i="3"/>
  <c r="C1095" i="3"/>
  <c r="D1204" i="3"/>
  <c r="D1207" i="3"/>
  <c r="D1264" i="3"/>
  <c r="D1258" i="3"/>
  <c r="D1259" i="3"/>
  <c r="D1261" i="3"/>
  <c r="H1258" i="3"/>
  <c r="H1259" i="3"/>
  <c r="H1261" i="3"/>
  <c r="D1013" i="3"/>
  <c r="J1043" i="3"/>
  <c r="E326" i="3"/>
  <c r="G1534" i="3"/>
  <c r="G1535" i="3"/>
  <c r="G1536" i="3"/>
  <c r="C1534" i="3"/>
  <c r="C1535" i="3"/>
  <c r="C1536" i="3"/>
  <c r="E1507" i="3"/>
  <c r="E1508" i="3"/>
  <c r="E1509" i="3"/>
  <c r="E1453" i="3"/>
  <c r="E1454" i="3"/>
  <c r="E1455" i="3"/>
  <c r="H1372" i="3"/>
  <c r="H1373" i="3"/>
  <c r="H1374" i="3"/>
  <c r="G1501" i="3"/>
  <c r="E1474" i="3"/>
  <c r="C1447" i="3"/>
  <c r="H1339" i="3"/>
  <c r="G1068" i="3"/>
  <c r="C1068" i="3"/>
  <c r="B659" i="3"/>
  <c r="B658" i="3"/>
  <c r="B410" i="3"/>
  <c r="B629" i="3"/>
  <c r="B358" i="3"/>
  <c r="B355" i="3"/>
  <c r="B273" i="3"/>
  <c r="E246" i="3"/>
  <c r="H190" i="3"/>
  <c r="H133" i="3"/>
  <c r="H105" i="3"/>
  <c r="D1394" i="3"/>
  <c r="D1342" i="3"/>
  <c r="B1340" i="3"/>
  <c r="D1232" i="3"/>
  <c r="B1180" i="3"/>
  <c r="I1180" i="3"/>
  <c r="B1177" i="3"/>
  <c r="G936" i="3"/>
  <c r="B798" i="3"/>
  <c r="I798" i="3"/>
  <c r="G717" i="3"/>
  <c r="C714" i="3"/>
  <c r="J691" i="3"/>
  <c r="E547" i="3"/>
  <c r="E520" i="3"/>
  <c r="E462" i="3"/>
  <c r="E303" i="3"/>
  <c r="F1421" i="3"/>
  <c r="J1463" i="3"/>
  <c r="AY2274" i="3"/>
  <c r="D193" i="3"/>
  <c r="D189" i="3"/>
  <c r="D186" i="3"/>
  <c r="E221" i="3"/>
  <c r="E215" i="3"/>
  <c r="E216" i="3"/>
  <c r="E218" i="3"/>
  <c r="H278" i="3"/>
  <c r="H272" i="3"/>
  <c r="H271" i="3"/>
  <c r="H273" i="3"/>
  <c r="E306" i="3"/>
  <c r="E302" i="3"/>
  <c r="B334" i="3"/>
  <c r="B328" i="3"/>
  <c r="B329" i="3"/>
  <c r="B331" i="3"/>
  <c r="S2275" i="3"/>
  <c r="S2297" i="3"/>
  <c r="J481" i="3"/>
  <c r="E573" i="3"/>
  <c r="E576" i="3"/>
  <c r="B601" i="3"/>
  <c r="I601" i="3"/>
  <c r="J601" i="3"/>
  <c r="B600" i="3"/>
  <c r="H630" i="3"/>
  <c r="H631" i="3"/>
  <c r="E686" i="3"/>
  <c r="E689" i="3"/>
  <c r="J1405" i="3"/>
  <c r="AZ2269" i="3"/>
  <c r="AZ2296" i="3"/>
  <c r="B415" i="3"/>
  <c r="B416" i="3"/>
  <c r="B417" i="3"/>
  <c r="B411" i="3"/>
  <c r="B412" i="3"/>
  <c r="I412" i="3"/>
  <c r="B913" i="3"/>
  <c r="B907" i="3"/>
  <c r="B906" i="3"/>
  <c r="B908" i="3"/>
  <c r="C940" i="3"/>
  <c r="C941" i="3"/>
  <c r="C942" i="3"/>
  <c r="C934" i="3"/>
  <c r="C935" i="3"/>
  <c r="C933" i="3"/>
  <c r="C1042" i="3"/>
  <c r="I1042" i="3"/>
  <c r="C1041" i="3"/>
  <c r="C1075" i="3"/>
  <c r="C1071" i="3"/>
  <c r="C1072" i="3"/>
  <c r="D1237" i="3"/>
  <c r="D1233" i="3"/>
  <c r="D1234" i="3"/>
  <c r="I1234" i="3"/>
  <c r="H1237" i="3"/>
  <c r="H1238" i="3"/>
  <c r="H1239" i="3"/>
  <c r="H1230" i="3"/>
  <c r="H1232" i="3"/>
  <c r="B1291" i="3"/>
  <c r="B1285" i="3"/>
  <c r="B1286" i="3"/>
  <c r="B1288" i="3"/>
  <c r="D1399" i="3"/>
  <c r="D1395" i="3"/>
  <c r="D1396" i="3"/>
  <c r="H1399" i="3"/>
  <c r="H1400" i="3"/>
  <c r="H1401" i="3"/>
  <c r="H1393" i="3"/>
  <c r="H1392" i="3"/>
  <c r="H1394" i="3"/>
  <c r="AU2269" i="3"/>
  <c r="AU2296" i="3"/>
  <c r="J1270" i="3"/>
  <c r="J1324" i="3"/>
  <c r="AW2269" i="3"/>
  <c r="AW2296" i="3"/>
  <c r="G1528" i="3"/>
  <c r="G1529" i="3"/>
  <c r="G1531" i="3"/>
  <c r="C1528" i="3"/>
  <c r="C1529" i="3"/>
  <c r="C1531" i="3"/>
  <c r="E1501" i="3"/>
  <c r="E1500" i="3"/>
  <c r="E1502" i="3"/>
  <c r="G1478" i="3"/>
  <c r="G1480" i="3"/>
  <c r="G1481" i="3"/>
  <c r="G1482" i="3"/>
  <c r="C1478" i="3"/>
  <c r="C1480" i="3"/>
  <c r="C1481" i="3"/>
  <c r="E1447" i="3"/>
  <c r="E1446" i="3"/>
  <c r="H1424" i="3"/>
  <c r="H1426" i="3"/>
  <c r="F1423" i="3"/>
  <c r="F1422" i="3"/>
  <c r="D1426" i="3"/>
  <c r="D1427" i="3"/>
  <c r="D1428" i="3"/>
  <c r="D1417" i="3"/>
  <c r="D1420" i="3"/>
  <c r="D1421" i="3"/>
  <c r="D1423" i="3"/>
  <c r="F1392" i="3"/>
  <c r="F1396" i="3"/>
  <c r="F1393" i="3"/>
  <c r="F1399" i="3"/>
  <c r="F1400" i="3"/>
  <c r="F1401" i="3"/>
  <c r="F1394" i="3"/>
  <c r="B1393" i="3"/>
  <c r="B1396" i="3"/>
  <c r="F1366" i="3"/>
  <c r="F1372" i="3"/>
  <c r="F1373" i="3"/>
  <c r="F1374" i="3"/>
  <c r="F1367" i="3"/>
  <c r="B1372" i="3"/>
  <c r="B1373" i="3"/>
  <c r="B1374" i="3"/>
  <c r="B1368" i="3"/>
  <c r="B1369" i="3"/>
  <c r="F1338" i="3"/>
  <c r="F1341" i="3"/>
  <c r="H1316" i="3"/>
  <c r="H1318" i="3"/>
  <c r="H1319" i="3"/>
  <c r="H1320" i="3"/>
  <c r="F1315" i="3"/>
  <c r="F1314" i="3"/>
  <c r="D1318" i="3"/>
  <c r="D1319" i="3"/>
  <c r="D1320" i="3"/>
  <c r="D1310" i="3"/>
  <c r="D1312" i="3"/>
  <c r="D1313" i="3"/>
  <c r="D1315" i="3"/>
  <c r="G1507" i="3"/>
  <c r="G1508" i="3"/>
  <c r="G1509" i="3"/>
  <c r="C1507" i="3"/>
  <c r="G1453" i="3"/>
  <c r="G1454" i="3"/>
  <c r="G1455" i="3"/>
  <c r="C1453" i="3"/>
  <c r="C1454" i="3"/>
  <c r="C1455" i="3"/>
  <c r="I1378" i="3"/>
  <c r="I1351" i="3"/>
  <c r="W2275" i="3"/>
  <c r="W2297" i="3"/>
  <c r="J468" i="3"/>
  <c r="I94" i="3"/>
  <c r="E2275" i="3"/>
  <c r="J756" i="3"/>
  <c r="J811" i="3"/>
  <c r="I871" i="3"/>
  <c r="J871" i="3"/>
  <c r="J974" i="3"/>
  <c r="J1028" i="3"/>
  <c r="J1082" i="3"/>
  <c r="I206" i="3"/>
  <c r="J206" i="3"/>
  <c r="I291" i="3"/>
  <c r="J291" i="3"/>
  <c r="J616" i="3"/>
  <c r="J645" i="3"/>
  <c r="AO2270" i="3"/>
  <c r="J1433" i="3"/>
  <c r="J1437" i="3"/>
  <c r="J1487" i="3"/>
  <c r="J1491" i="3"/>
  <c r="I234" i="3"/>
  <c r="J2275" i="3"/>
  <c r="J2297" i="3"/>
  <c r="J449" i="3"/>
  <c r="BB2274" i="3"/>
  <c r="AT2274" i="3"/>
  <c r="AL2274" i="3"/>
  <c r="AG2274" i="3"/>
  <c r="AB2274" i="3"/>
  <c r="W2273" i="3"/>
  <c r="N2273" i="3"/>
  <c r="J2273" i="3"/>
  <c r="AS2272" i="3"/>
  <c r="AK2272" i="3"/>
  <c r="AF2272" i="3"/>
  <c r="Z2272" i="3"/>
  <c r="AX2271" i="3"/>
  <c r="P2271" i="3"/>
  <c r="L2271" i="3"/>
  <c r="D2271" i="3"/>
  <c r="AR2270" i="3"/>
  <c r="AI2270" i="3"/>
  <c r="AC2270" i="3"/>
  <c r="S2270" i="3"/>
  <c r="J1460" i="3"/>
  <c r="I1492" i="3"/>
  <c r="I1519" i="3"/>
  <c r="BD2275" i="3"/>
  <c r="BD2297" i="3"/>
  <c r="AR2274" i="3"/>
  <c r="AM2274" i="3"/>
  <c r="AK2274" i="3"/>
  <c r="AH2274" i="3"/>
  <c r="AF2274" i="3"/>
  <c r="AC2274" i="3"/>
  <c r="Z2274" i="3"/>
  <c r="R2274" i="3"/>
  <c r="AY2273" i="3"/>
  <c r="Y2273" i="3"/>
  <c r="O2273" i="3"/>
  <c r="M2273" i="3"/>
  <c r="K2273" i="3"/>
  <c r="I2273" i="3"/>
  <c r="E2273" i="3"/>
  <c r="AQ2272" i="3"/>
  <c r="AL2272" i="3"/>
  <c r="AJ2272" i="3"/>
  <c r="AG2272" i="3"/>
  <c r="AD2272" i="3"/>
  <c r="AB2272" i="3"/>
  <c r="V2272" i="3"/>
  <c r="R2272" i="3"/>
  <c r="O2271" i="3"/>
  <c r="M2271" i="3"/>
  <c r="K2271" i="3"/>
  <c r="I2271" i="3"/>
  <c r="AP2270" i="3"/>
  <c r="AK2270" i="3"/>
  <c r="AG2270" i="3"/>
  <c r="AE2270" i="3"/>
  <c r="AB2270" i="3"/>
  <c r="U2270" i="3"/>
  <c r="H2270" i="3"/>
  <c r="H2289" i="3"/>
  <c r="I104" i="2"/>
  <c r="J274" i="2"/>
  <c r="E2191" i="2"/>
  <c r="F2191" i="2"/>
  <c r="D446" i="1"/>
  <c r="I1367" i="4"/>
  <c r="AY2123" i="4"/>
  <c r="AY2139" i="4"/>
  <c r="I1313" i="4"/>
  <c r="AW2123" i="4"/>
  <c r="AW2139" i="4"/>
  <c r="I935" i="4"/>
  <c r="AI2123" i="4"/>
  <c r="AI2139" i="4"/>
  <c r="AS2274" i="3"/>
  <c r="AQ2274" i="3"/>
  <c r="AN2274" i="3"/>
  <c r="AV2273" i="3"/>
  <c r="BB2272" i="3"/>
  <c r="AT2272" i="3"/>
  <c r="AR2272" i="3"/>
  <c r="AP2272" i="3"/>
  <c r="AM2272" i="3"/>
  <c r="AZ2271" i="3"/>
  <c r="AV2271" i="3"/>
  <c r="AT2270" i="3"/>
  <c r="AQ2270" i="3"/>
  <c r="AN2270" i="3"/>
  <c r="AL2270" i="3"/>
  <c r="AJ2270" i="3"/>
  <c r="AV2105" i="4"/>
  <c r="AF1647" i="5"/>
  <c r="AF1664" i="5"/>
  <c r="J837" i="5"/>
  <c r="Y1636" i="5"/>
  <c r="Y1659" i="5"/>
  <c r="U1636" i="5"/>
  <c r="U1659" i="5"/>
  <c r="I106" i="5"/>
  <c r="I105" i="5"/>
  <c r="E1647" i="5"/>
  <c r="E1664" i="5"/>
  <c r="O1635" i="5"/>
  <c r="L1635" i="5"/>
  <c r="AC1634" i="5"/>
  <c r="V1634" i="5"/>
  <c r="R1634" i="5"/>
  <c r="O1633" i="5"/>
  <c r="M1633" i="5"/>
  <c r="AD1632" i="5"/>
  <c r="T1632" i="5"/>
  <c r="P1632" i="5"/>
  <c r="O1631" i="5"/>
  <c r="J1631" i="5"/>
  <c r="I381" i="5"/>
  <c r="O1650" i="5"/>
  <c r="O1666" i="5"/>
  <c r="I732" i="5"/>
  <c r="AB1650" i="5"/>
  <c r="AB1666" i="5"/>
  <c r="J103" i="2"/>
  <c r="J1124" i="2"/>
  <c r="J1292" i="2"/>
  <c r="AX2190" i="2"/>
  <c r="AX2207" i="2"/>
  <c r="AX2191" i="2"/>
  <c r="AX2208" i="2"/>
  <c r="I1325" i="2"/>
  <c r="I1317" i="2"/>
  <c r="AV2184" i="2"/>
  <c r="J1181" i="2"/>
  <c r="D445" i="1"/>
  <c r="AF2371" i="1"/>
  <c r="J2371" i="1"/>
  <c r="O2369" i="1"/>
  <c r="T2367" i="1"/>
  <c r="H1351" i="2"/>
  <c r="H1348" i="2"/>
  <c r="H1352" i="2"/>
  <c r="H1349" i="2"/>
  <c r="H1355" i="2"/>
  <c r="H1356" i="2"/>
  <c r="H1350" i="2"/>
  <c r="F1351" i="2"/>
  <c r="F1348" i="2"/>
  <c r="F1352" i="2"/>
  <c r="F1349" i="2"/>
  <c r="F1355" i="2"/>
  <c r="F1356" i="2"/>
  <c r="F1350" i="2"/>
  <c r="D1351" i="2"/>
  <c r="D1348" i="2"/>
  <c r="D1352" i="2"/>
  <c r="D1349" i="2"/>
  <c r="D1355" i="2"/>
  <c r="D1356" i="2"/>
  <c r="D1350" i="2"/>
  <c r="B1351" i="2"/>
  <c r="B1348" i="2"/>
  <c r="B1352" i="2"/>
  <c r="B1349" i="2"/>
  <c r="B1355" i="2"/>
  <c r="B1356" i="2"/>
  <c r="B1350" i="2"/>
  <c r="H1238" i="2"/>
  <c r="H1237" i="2"/>
  <c r="H1243" i="2"/>
  <c r="H1244" i="2"/>
  <c r="H1245" i="2"/>
  <c r="H1235" i="2"/>
  <c r="H1236" i="2"/>
  <c r="H1240" i="2"/>
  <c r="H1239" i="2"/>
  <c r="F1238" i="2"/>
  <c r="F1237" i="2"/>
  <c r="F1243" i="2"/>
  <c r="F1244" i="2"/>
  <c r="F1245" i="2"/>
  <c r="F1236" i="2"/>
  <c r="F1240" i="2"/>
  <c r="F1239" i="2"/>
  <c r="D1238" i="2"/>
  <c r="D1237" i="2"/>
  <c r="D1243" i="2"/>
  <c r="D1244" i="2"/>
  <c r="D1245" i="2"/>
  <c r="D1235" i="2"/>
  <c r="D1236" i="2"/>
  <c r="D1240" i="2"/>
  <c r="D1239" i="2"/>
  <c r="B1238" i="2"/>
  <c r="B1237" i="2"/>
  <c r="B1243" i="2"/>
  <c r="B1244" i="2"/>
  <c r="B1245" i="2"/>
  <c r="B1236" i="2"/>
  <c r="B1240" i="2"/>
  <c r="B1239" i="2"/>
  <c r="E533" i="2"/>
  <c r="E537" i="2"/>
  <c r="E536" i="2"/>
  <c r="E535" i="2"/>
  <c r="I535" i="2"/>
  <c r="J535" i="2"/>
  <c r="E534" i="2"/>
  <c r="E540" i="2"/>
  <c r="E541" i="2"/>
  <c r="E542" i="2"/>
  <c r="E532" i="2"/>
  <c r="G1348" i="2"/>
  <c r="G1352" i="2"/>
  <c r="G1351" i="2"/>
  <c r="G1350" i="2"/>
  <c r="G1349" i="2"/>
  <c r="G1355" i="2"/>
  <c r="G1356" i="2"/>
  <c r="G1357" i="2"/>
  <c r="G1347" i="2"/>
  <c r="E1348" i="2"/>
  <c r="E1352" i="2"/>
  <c r="E1351" i="2"/>
  <c r="E1350" i="2"/>
  <c r="E1349" i="2"/>
  <c r="E1355" i="2"/>
  <c r="E1356" i="2"/>
  <c r="E1357" i="2"/>
  <c r="E1346" i="2"/>
  <c r="C1348" i="2"/>
  <c r="C1352" i="2"/>
  <c r="C1351" i="2"/>
  <c r="C1350" i="2"/>
  <c r="C1349" i="2"/>
  <c r="C1355" i="2"/>
  <c r="C1356" i="2"/>
  <c r="C1357" i="2"/>
  <c r="C1347" i="2"/>
  <c r="G1237" i="2"/>
  <c r="G1243" i="2"/>
  <c r="G1244" i="2"/>
  <c r="G1245" i="2"/>
  <c r="G1234" i="2"/>
  <c r="G1238" i="2"/>
  <c r="G1239" i="2"/>
  <c r="G1236" i="2"/>
  <c r="G1240" i="2"/>
  <c r="E1237" i="2"/>
  <c r="E1243" i="2"/>
  <c r="E1244" i="2"/>
  <c r="E1245" i="2"/>
  <c r="E1235" i="2"/>
  <c r="E1238" i="2"/>
  <c r="E1239" i="2"/>
  <c r="E1236" i="2"/>
  <c r="E1240" i="2"/>
  <c r="C1237" i="2"/>
  <c r="C1243" i="2"/>
  <c r="C1244" i="2"/>
  <c r="C1245" i="2"/>
  <c r="C1234" i="2"/>
  <c r="C1238" i="2"/>
  <c r="C1239" i="2"/>
  <c r="C1236" i="2"/>
  <c r="C1240" i="2"/>
  <c r="E477" i="2"/>
  <c r="I477" i="2"/>
  <c r="J477" i="2"/>
  <c r="E476" i="2"/>
  <c r="E482" i="2"/>
  <c r="E483" i="2"/>
  <c r="E484" i="2"/>
  <c r="E474" i="2"/>
  <c r="E475" i="2"/>
  <c r="I475" i="2"/>
  <c r="J475" i="2"/>
  <c r="E479" i="2"/>
  <c r="I479" i="2"/>
  <c r="E478" i="2"/>
  <c r="I478" i="2"/>
  <c r="I1153" i="3"/>
  <c r="AP2287" i="3"/>
  <c r="AP2303" i="3"/>
  <c r="J1392" i="2"/>
  <c r="AT2108" i="4"/>
  <c r="AV2107" i="4"/>
  <c r="AU2104" i="4"/>
  <c r="I1272" i="4"/>
  <c r="J1153" i="3"/>
  <c r="I463" i="3"/>
  <c r="R2284" i="3"/>
  <c r="R2300" i="3"/>
  <c r="I1486" i="3"/>
  <c r="J1486" i="3"/>
  <c r="AC2283" i="3"/>
  <c r="AC2299" i="3"/>
  <c r="BC2287" i="3"/>
  <c r="BC2303" i="3"/>
  <c r="V2274" i="3"/>
  <c r="N2274" i="3"/>
  <c r="BA2273" i="3"/>
  <c r="Q2273" i="3"/>
  <c r="AZ2272" i="3"/>
  <c r="BC2271" i="3"/>
  <c r="AE2271" i="3"/>
  <c r="S2271" i="3"/>
  <c r="AZ2270" i="3"/>
  <c r="O2270" i="3"/>
  <c r="BC2371" i="1"/>
  <c r="AL2371" i="1"/>
  <c r="AL2367" i="1"/>
  <c r="J463" i="3"/>
  <c r="J1343" i="1"/>
  <c r="AW2370" i="1"/>
  <c r="J1151" i="1"/>
  <c r="AP2368" i="1"/>
  <c r="J1095" i="1"/>
  <c r="AN2366" i="1"/>
  <c r="AN2399" i="1"/>
  <c r="J1018" i="1"/>
  <c r="AK2370" i="1"/>
  <c r="J1014" i="1"/>
  <c r="AK2366" i="1"/>
  <c r="AK2399" i="1"/>
  <c r="J960" i="1"/>
  <c r="AI2366" i="1"/>
  <c r="AI2399" i="1"/>
  <c r="J935" i="1"/>
  <c r="AH2368" i="1"/>
  <c r="J658" i="1"/>
  <c r="X2371" i="1"/>
  <c r="J600" i="1"/>
  <c r="V2368" i="1"/>
  <c r="J574" i="1"/>
  <c r="U2370" i="1"/>
  <c r="J458" i="1"/>
  <c r="Q2366" i="1"/>
  <c r="Q2399" i="1"/>
  <c r="J319" i="1"/>
  <c r="J147" i="1"/>
  <c r="G2368" i="1"/>
  <c r="J118" i="1"/>
  <c r="F2366" i="1"/>
  <c r="J1136" i="4"/>
  <c r="AQ2108" i="4"/>
  <c r="J1134" i="4"/>
  <c r="AQ2106" i="4"/>
  <c r="J1132" i="4"/>
  <c r="J1151" i="4"/>
  <c r="I1151" i="4"/>
  <c r="AQ2123" i="4"/>
  <c r="AQ2139" i="4"/>
  <c r="J1080" i="4"/>
  <c r="AO2106" i="4"/>
  <c r="J1055" i="4"/>
  <c r="AN2108" i="4"/>
  <c r="J972" i="4"/>
  <c r="AK2106" i="4"/>
  <c r="J970" i="4"/>
  <c r="J989" i="4"/>
  <c r="AK2104" i="4"/>
  <c r="J947" i="4"/>
  <c r="AJ2108" i="4"/>
  <c r="J890" i="4"/>
  <c r="AH2105" i="4"/>
  <c r="J834" i="4"/>
  <c r="AF2103" i="4"/>
  <c r="AF2131" i="4"/>
  <c r="J784" i="4"/>
  <c r="AD2107" i="4"/>
  <c r="J782" i="4"/>
  <c r="AD2105" i="4"/>
  <c r="J147" i="4"/>
  <c r="G2106" i="4"/>
  <c r="J145" i="4"/>
  <c r="J164" i="4"/>
  <c r="I164" i="4"/>
  <c r="G2104" i="4"/>
  <c r="G2123" i="4"/>
  <c r="J121" i="4"/>
  <c r="F2108" i="4"/>
  <c r="J1338" i="2"/>
  <c r="AW2177" i="2"/>
  <c r="J1334" i="2"/>
  <c r="AW2173" i="2"/>
  <c r="AW2201" i="2"/>
  <c r="J1141" i="2"/>
  <c r="AP2176" i="2"/>
  <c r="J1111" i="2"/>
  <c r="J1130" i="2"/>
  <c r="I1130" i="2"/>
  <c r="AO2193" i="2"/>
  <c r="AO2209" i="2"/>
  <c r="AO2174" i="2"/>
  <c r="J1027" i="2"/>
  <c r="J1046" i="2"/>
  <c r="I1046" i="2"/>
  <c r="AL2193" i="2"/>
  <c r="AL2209" i="2"/>
  <c r="AL2174" i="2"/>
  <c r="J1002" i="2"/>
  <c r="AK2177" i="2"/>
  <c r="J831" i="2"/>
  <c r="J850" i="2"/>
  <c r="I850" i="2"/>
  <c r="AE2193" i="2"/>
  <c r="AE2209" i="2"/>
  <c r="AE2174" i="2"/>
  <c r="J804" i="2"/>
  <c r="AD2175" i="2"/>
  <c r="J750" i="2"/>
  <c r="AB2177" i="2"/>
  <c r="J694" i="2"/>
  <c r="Z2177" i="2"/>
  <c r="J633" i="2"/>
  <c r="J652" i="2"/>
  <c r="I652" i="2"/>
  <c r="X2193" i="2"/>
  <c r="X2209" i="2"/>
  <c r="J607" i="2"/>
  <c r="W2177" i="2"/>
  <c r="J552" i="2"/>
  <c r="U2178" i="2"/>
  <c r="J521" i="2"/>
  <c r="T2175" i="2"/>
  <c r="J463" i="2"/>
  <c r="R2175" i="2"/>
  <c r="J437" i="2"/>
  <c r="Q2178" i="2"/>
  <c r="J378" i="2"/>
  <c r="O2177" i="2"/>
  <c r="C335" i="2"/>
  <c r="C339" i="2"/>
  <c r="J150" i="2"/>
  <c r="G2178" i="2"/>
  <c r="J146" i="2"/>
  <c r="J165" i="2"/>
  <c r="I165" i="2"/>
  <c r="G2193" i="2"/>
  <c r="G2209" i="2"/>
  <c r="G2174" i="2"/>
  <c r="BC2269" i="3"/>
  <c r="BC2296" i="3"/>
  <c r="H1108" i="1"/>
  <c r="J340" i="5"/>
  <c r="C689" i="3"/>
  <c r="C688" i="3"/>
  <c r="D604" i="3"/>
  <c r="D603" i="3"/>
  <c r="G576" i="3"/>
  <c r="G575" i="3"/>
  <c r="C576" i="3"/>
  <c r="C575" i="3"/>
  <c r="G546" i="3"/>
  <c r="G544" i="3"/>
  <c r="G545" i="3"/>
  <c r="C548" i="3"/>
  <c r="C547" i="3"/>
  <c r="G518" i="3"/>
  <c r="G516" i="3"/>
  <c r="G517" i="3"/>
  <c r="C518" i="3"/>
  <c r="C516" i="3"/>
  <c r="C517" i="3"/>
  <c r="G493" i="3"/>
  <c r="G492" i="3"/>
  <c r="C491" i="3"/>
  <c r="G466" i="3"/>
  <c r="G465" i="3"/>
  <c r="I462" i="3"/>
  <c r="C466" i="3"/>
  <c r="C465" i="3"/>
  <c r="H358" i="3"/>
  <c r="H357" i="3"/>
  <c r="I19" i="5"/>
  <c r="B1645" i="5"/>
  <c r="B1662" i="5"/>
  <c r="I102" i="5"/>
  <c r="F411" i="5"/>
  <c r="F401" i="5"/>
  <c r="I48" i="3"/>
  <c r="C2285" i="3"/>
  <c r="I1172" i="2"/>
  <c r="J878" i="1"/>
  <c r="I897" i="1"/>
  <c r="J897" i="1"/>
  <c r="AF2367" i="1"/>
  <c r="J824" i="1"/>
  <c r="AD2369" i="1"/>
  <c r="J757" i="1"/>
  <c r="AA2391" i="1"/>
  <c r="AA2407" i="1"/>
  <c r="J681" i="1"/>
  <c r="Y2366" i="1"/>
  <c r="Y2399" i="1"/>
  <c r="J95" i="1"/>
  <c r="E2371" i="1"/>
  <c r="J91" i="1"/>
  <c r="I110" i="1"/>
  <c r="J110" i="1"/>
  <c r="J63" i="1"/>
  <c r="D2367" i="1"/>
  <c r="D2391" i="1"/>
  <c r="J1269" i="4"/>
  <c r="AV2106" i="4"/>
  <c r="J1187" i="4"/>
  <c r="AS2105" i="4"/>
  <c r="J1162" i="4"/>
  <c r="AR2107" i="4"/>
  <c r="J756" i="4"/>
  <c r="AC2106" i="4"/>
  <c r="J754" i="4"/>
  <c r="J773" i="4"/>
  <c r="I773" i="4"/>
  <c r="AC2123" i="4"/>
  <c r="AC2139" i="4"/>
  <c r="AC2104" i="4"/>
  <c r="J731" i="4"/>
  <c r="AB2108" i="4"/>
  <c r="J702" i="4"/>
  <c r="AA2106" i="4"/>
  <c r="J650" i="4"/>
  <c r="Y2108" i="4"/>
  <c r="J594" i="4"/>
  <c r="W2108" i="4"/>
  <c r="J536" i="4"/>
  <c r="U2106" i="4"/>
  <c r="J534" i="4"/>
  <c r="J553" i="4"/>
  <c r="U2104" i="4"/>
  <c r="J477" i="4"/>
  <c r="S2103" i="4"/>
  <c r="S2131" i="4"/>
  <c r="J454" i="4"/>
  <c r="R2108" i="4"/>
  <c r="J423" i="4"/>
  <c r="Q2105" i="4"/>
  <c r="J365" i="4"/>
  <c r="O2103" i="4"/>
  <c r="O2131" i="4"/>
  <c r="J342" i="4"/>
  <c r="N2108" i="4"/>
  <c r="J311" i="4"/>
  <c r="M2105" i="4"/>
  <c r="J227" i="4"/>
  <c r="J2103" i="4"/>
  <c r="J2131" i="4"/>
  <c r="J204" i="4"/>
  <c r="I2107" i="4"/>
  <c r="J202" i="4"/>
  <c r="I2105" i="4"/>
  <c r="J172" i="4"/>
  <c r="H2103" i="4"/>
  <c r="H2131" i="4"/>
  <c r="J1281" i="2"/>
  <c r="AU2176" i="2"/>
  <c r="J1252" i="2"/>
  <c r="AT2175" i="2"/>
  <c r="J1198" i="2"/>
  <c r="AR2177" i="2"/>
  <c r="J1142" i="2"/>
  <c r="AP2177" i="2"/>
  <c r="J1140" i="2"/>
  <c r="I1144" i="2"/>
  <c r="AP2179" i="2"/>
  <c r="AP2202" i="2"/>
  <c r="AP2175" i="2"/>
  <c r="J1086" i="2"/>
  <c r="AN2177" i="2"/>
  <c r="J1059" i="2"/>
  <c r="AM2178" i="2"/>
  <c r="J1057" i="2"/>
  <c r="AM2176" i="2"/>
  <c r="J971" i="2"/>
  <c r="J990" i="2"/>
  <c r="I990" i="2"/>
  <c r="AJ2193" i="2"/>
  <c r="AJ2209" i="2"/>
  <c r="AJ2174" i="2"/>
  <c r="J947" i="2"/>
  <c r="AI2178" i="2"/>
  <c r="J945" i="2"/>
  <c r="AI2176" i="2"/>
  <c r="J890" i="2"/>
  <c r="AG2177" i="2"/>
  <c r="J858" i="2"/>
  <c r="AF2173" i="2"/>
  <c r="AF2201" i="2"/>
  <c r="J777" i="2"/>
  <c r="AC2176" i="2"/>
  <c r="J775" i="2"/>
  <c r="J794" i="2"/>
  <c r="I794" i="2"/>
  <c r="AC2193" i="2"/>
  <c r="AC2209" i="2"/>
  <c r="AC2174" i="2"/>
  <c r="J751" i="2"/>
  <c r="AB2178" i="2"/>
  <c r="J720" i="2"/>
  <c r="I724" i="2"/>
  <c r="AA2175" i="2"/>
  <c r="J718" i="2"/>
  <c r="AA2173" i="2"/>
  <c r="AA2201" i="2"/>
  <c r="J663" i="2"/>
  <c r="I667" i="2"/>
  <c r="Y2175" i="2"/>
  <c r="J661" i="2"/>
  <c r="Y2173" i="2"/>
  <c r="Y2201" i="2"/>
  <c r="J348" i="2"/>
  <c r="N2175" i="2"/>
  <c r="J323" i="2"/>
  <c r="M2178" i="2"/>
  <c r="J321" i="2"/>
  <c r="M2176" i="2"/>
  <c r="J319" i="2"/>
  <c r="J338" i="2"/>
  <c r="M2174" i="2"/>
  <c r="J263" i="2"/>
  <c r="K2176" i="2"/>
  <c r="I280" i="2"/>
  <c r="K2193" i="2"/>
  <c r="K2209" i="2"/>
  <c r="K2174" i="2"/>
  <c r="J118" i="2"/>
  <c r="F2175" i="2"/>
  <c r="J92" i="2"/>
  <c r="E2177" i="2"/>
  <c r="J88" i="2"/>
  <c r="E2173" i="2"/>
  <c r="H465" i="5"/>
  <c r="H454" i="5"/>
  <c r="I165" i="4"/>
  <c r="I166" i="4"/>
  <c r="C1495" i="1"/>
  <c r="C1496" i="1"/>
  <c r="C1497" i="1"/>
  <c r="C1489" i="1"/>
  <c r="E1495" i="1"/>
  <c r="E1496" i="1"/>
  <c r="E1497" i="1"/>
  <c r="E1489" i="1"/>
  <c r="G1495" i="1"/>
  <c r="G1496" i="1"/>
  <c r="G1497" i="1"/>
  <c r="G1489" i="1"/>
  <c r="C1518" i="1"/>
  <c r="C1519" i="1"/>
  <c r="F1596" i="1"/>
  <c r="F1625" i="1"/>
  <c r="C74" i="6"/>
  <c r="C75" i="6"/>
  <c r="E74" i="6"/>
  <c r="E75" i="6"/>
  <c r="G74" i="6"/>
  <c r="G75" i="6"/>
  <c r="E872" i="6"/>
  <c r="C871" i="6"/>
  <c r="E870" i="6"/>
  <c r="C869" i="6"/>
  <c r="AS2370" i="1"/>
  <c r="AV2368" i="1"/>
  <c r="AM2366" i="1"/>
  <c r="AM2399" i="1"/>
  <c r="I1110" i="2"/>
  <c r="D1047" i="2"/>
  <c r="D1048" i="2"/>
  <c r="D2178" i="2"/>
  <c r="D2174" i="2"/>
  <c r="I80" i="2"/>
  <c r="D2193" i="2"/>
  <c r="AZ2274" i="3"/>
  <c r="AV2274" i="3"/>
  <c r="J2274" i="3"/>
  <c r="AS2273" i="3"/>
  <c r="AA2273" i="3"/>
  <c r="AY2272" i="3"/>
  <c r="P2272" i="3"/>
  <c r="E2272" i="3"/>
  <c r="B2272" i="3"/>
  <c r="BA2271" i="3"/>
  <c r="AR2271" i="3"/>
  <c r="Z2271" i="3"/>
  <c r="U2271" i="3"/>
  <c r="H2271" i="3"/>
  <c r="C2271" i="3"/>
  <c r="AX2270" i="3"/>
  <c r="K2270" i="3"/>
  <c r="B2270" i="3"/>
  <c r="AI2269" i="3"/>
  <c r="AI2296" i="3"/>
  <c r="Y2269" i="3"/>
  <c r="Y2296" i="3"/>
  <c r="T2269" i="3"/>
  <c r="T2296" i="3"/>
  <c r="AF1635" i="5"/>
  <c r="W1635" i="5"/>
  <c r="Q1635" i="5"/>
  <c r="J1635" i="5"/>
  <c r="F1635" i="5"/>
  <c r="AG1634" i="5"/>
  <c r="X1634" i="5"/>
  <c r="W1633" i="5"/>
  <c r="U1633" i="5"/>
  <c r="S1633" i="5"/>
  <c r="E1633" i="5"/>
  <c r="X1632" i="5"/>
  <c r="V1631" i="5"/>
  <c r="S1631" i="5"/>
  <c r="F1631" i="5"/>
  <c r="I597" i="5"/>
  <c r="W1650" i="5"/>
  <c r="W1666" i="5"/>
  <c r="I577" i="5"/>
  <c r="W1630" i="5"/>
  <c r="W1658" i="5"/>
  <c r="I246" i="5"/>
  <c r="J1650" i="5"/>
  <c r="J1666" i="5"/>
  <c r="I18" i="5"/>
  <c r="B1644" i="5"/>
  <c r="B1661" i="5"/>
  <c r="B1647" i="5"/>
  <c r="B1664" i="5"/>
  <c r="J21" i="5"/>
  <c r="I103" i="5"/>
  <c r="J103" i="5"/>
  <c r="G890" i="5"/>
  <c r="G889" i="5"/>
  <c r="G895" i="5"/>
  <c r="G896" i="5"/>
  <c r="G897" i="5"/>
  <c r="E890" i="5"/>
  <c r="E889" i="5"/>
  <c r="E895" i="5"/>
  <c r="C890" i="5"/>
  <c r="C889" i="5"/>
  <c r="C895" i="5"/>
  <c r="C896" i="5"/>
  <c r="C897" i="5"/>
  <c r="G863" i="5"/>
  <c r="G862" i="5"/>
  <c r="G868" i="5"/>
  <c r="G869" i="5"/>
  <c r="G870" i="5"/>
  <c r="G860" i="5"/>
  <c r="C863" i="5"/>
  <c r="C862" i="5"/>
  <c r="C868" i="5"/>
  <c r="C869" i="5"/>
  <c r="C870" i="5"/>
  <c r="C860" i="5"/>
  <c r="H838" i="5"/>
  <c r="H836" i="5"/>
  <c r="H834" i="5"/>
  <c r="F811" i="5"/>
  <c r="F809" i="5"/>
  <c r="F807" i="5"/>
  <c r="F810" i="5"/>
  <c r="B811" i="5"/>
  <c r="I811" i="5"/>
  <c r="B809" i="5"/>
  <c r="B807" i="5"/>
  <c r="B810" i="5"/>
  <c r="I810" i="5"/>
  <c r="J796" i="5"/>
  <c r="AE1633" i="5"/>
  <c r="J794" i="5"/>
  <c r="J813" i="5"/>
  <c r="I813" i="5"/>
  <c r="AE1650" i="5"/>
  <c r="AE1666" i="5"/>
  <c r="D782" i="5"/>
  <c r="D781" i="5"/>
  <c r="B783" i="5"/>
  <c r="B787" i="5"/>
  <c r="B788" i="5"/>
  <c r="B789" i="5"/>
  <c r="B780" i="5"/>
  <c r="B784" i="5"/>
  <c r="B781" i="5"/>
  <c r="J771" i="5"/>
  <c r="AD1635" i="5"/>
  <c r="I786" i="5"/>
  <c r="AD1650" i="5"/>
  <c r="AD1666" i="5"/>
  <c r="AD1631" i="5"/>
  <c r="J767" i="5"/>
  <c r="J786" i="5"/>
  <c r="F757" i="5"/>
  <c r="F755" i="5"/>
  <c r="F753" i="5"/>
  <c r="B757" i="5"/>
  <c r="B755" i="5"/>
  <c r="B753" i="5"/>
  <c r="J742" i="5"/>
  <c r="AC1633" i="5"/>
  <c r="G726" i="5"/>
  <c r="G730" i="5"/>
  <c r="G729" i="5"/>
  <c r="E726" i="5"/>
  <c r="E730" i="5"/>
  <c r="E729" i="5"/>
  <c r="C726" i="5"/>
  <c r="C730" i="5"/>
  <c r="C729" i="5"/>
  <c r="J714" i="5"/>
  <c r="I718" i="5"/>
  <c r="G699" i="5"/>
  <c r="G703" i="5"/>
  <c r="G702" i="5"/>
  <c r="E699" i="5"/>
  <c r="E703" i="5"/>
  <c r="E702" i="5"/>
  <c r="C699" i="5"/>
  <c r="C703" i="5"/>
  <c r="C702" i="5"/>
  <c r="J689" i="5"/>
  <c r="AA1634" i="5"/>
  <c r="J687" i="5"/>
  <c r="AA1632" i="5"/>
  <c r="G672" i="5"/>
  <c r="G676" i="5"/>
  <c r="G675" i="5"/>
  <c r="C672" i="5"/>
  <c r="C676" i="5"/>
  <c r="C675" i="5"/>
  <c r="J660" i="5"/>
  <c r="I664" i="5"/>
  <c r="H514" i="5"/>
  <c r="H512" i="5"/>
  <c r="H510" i="5"/>
  <c r="H513" i="5"/>
  <c r="D514" i="5"/>
  <c r="D512" i="5"/>
  <c r="D510" i="5"/>
  <c r="D513" i="5"/>
  <c r="J497" i="5"/>
  <c r="J516" i="5"/>
  <c r="I516" i="5"/>
  <c r="T1650" i="5"/>
  <c r="T1666" i="5"/>
  <c r="T1631" i="5"/>
  <c r="I502" i="5"/>
  <c r="D485" i="5"/>
  <c r="D486" i="5"/>
  <c r="D483" i="5"/>
  <c r="B487" i="5"/>
  <c r="B484" i="5"/>
  <c r="B485" i="5"/>
  <c r="H456" i="5"/>
  <c r="H460" i="5"/>
  <c r="H459" i="5"/>
  <c r="F456" i="5"/>
  <c r="F460" i="5"/>
  <c r="F459" i="5"/>
  <c r="B456" i="5"/>
  <c r="B460" i="5"/>
  <c r="B459" i="5"/>
  <c r="J447" i="5"/>
  <c r="R1635" i="5"/>
  <c r="J443" i="5"/>
  <c r="J462" i="5"/>
  <c r="I462" i="5"/>
  <c r="R1650" i="5"/>
  <c r="R1666" i="5"/>
  <c r="R1631" i="5"/>
  <c r="F429" i="5"/>
  <c r="F433" i="5"/>
  <c r="F432" i="5"/>
  <c r="D429" i="5"/>
  <c r="D433" i="5"/>
  <c r="D432" i="5"/>
  <c r="B429" i="5"/>
  <c r="B433" i="5"/>
  <c r="B432" i="5"/>
  <c r="J418" i="5"/>
  <c r="Q1633" i="5"/>
  <c r="F402" i="5"/>
  <c r="F406" i="5"/>
  <c r="F405" i="5"/>
  <c r="D402" i="5"/>
  <c r="D406" i="5"/>
  <c r="D405" i="5"/>
  <c r="B402" i="5"/>
  <c r="B406" i="5"/>
  <c r="B405" i="5"/>
  <c r="J393" i="5"/>
  <c r="P1635" i="5"/>
  <c r="C379" i="5"/>
  <c r="C377" i="5"/>
  <c r="C375" i="5"/>
  <c r="E348" i="5"/>
  <c r="E352" i="5"/>
  <c r="E351" i="5"/>
  <c r="J334" i="5"/>
  <c r="N1630" i="5"/>
  <c r="N1658" i="5"/>
  <c r="G325" i="5"/>
  <c r="G323" i="5"/>
  <c r="G321" i="5"/>
  <c r="G324" i="5"/>
  <c r="J311" i="5"/>
  <c r="M1634" i="5"/>
  <c r="J309" i="5"/>
  <c r="M1632" i="5"/>
  <c r="E294" i="5"/>
  <c r="E298" i="5"/>
  <c r="E297" i="5"/>
  <c r="C294" i="5"/>
  <c r="C298" i="5"/>
  <c r="C297" i="5"/>
  <c r="J282" i="5"/>
  <c r="I286" i="5"/>
  <c r="J280" i="5"/>
  <c r="L1630" i="5"/>
  <c r="L1658" i="5"/>
  <c r="J204" i="5"/>
  <c r="I1635" i="5"/>
  <c r="J202" i="5"/>
  <c r="I1633" i="5"/>
  <c r="J200" i="5"/>
  <c r="J219" i="5"/>
  <c r="I219" i="5"/>
  <c r="I1650" i="5"/>
  <c r="I1666" i="5"/>
  <c r="F188" i="5"/>
  <c r="F187" i="5"/>
  <c r="F193" i="5"/>
  <c r="F194" i="5"/>
  <c r="F195" i="5"/>
  <c r="B188" i="5"/>
  <c r="B187" i="5"/>
  <c r="B193" i="5"/>
  <c r="B194" i="5"/>
  <c r="B195" i="5"/>
  <c r="J149" i="5"/>
  <c r="G1635" i="5"/>
  <c r="J145" i="5"/>
  <c r="J164" i="5"/>
  <c r="I164" i="5"/>
  <c r="G1650" i="5"/>
  <c r="G1666" i="5"/>
  <c r="G1631" i="5"/>
  <c r="J119" i="5"/>
  <c r="F1633" i="5"/>
  <c r="H74" i="5"/>
  <c r="H78" i="5"/>
  <c r="H77" i="5"/>
  <c r="F74" i="5"/>
  <c r="F78" i="5"/>
  <c r="F77" i="5"/>
  <c r="J65" i="5"/>
  <c r="D1635" i="5"/>
  <c r="J35" i="5"/>
  <c r="C1633" i="5"/>
  <c r="J9" i="5"/>
  <c r="B1635" i="5"/>
  <c r="E836" i="5"/>
  <c r="E835" i="5"/>
  <c r="E841" i="5"/>
  <c r="E842" i="5"/>
  <c r="E843" i="5"/>
  <c r="E833" i="5"/>
  <c r="C836" i="5"/>
  <c r="C835" i="5"/>
  <c r="C841" i="5"/>
  <c r="C842" i="5"/>
  <c r="C843" i="5"/>
  <c r="J824" i="5"/>
  <c r="AF1634" i="5"/>
  <c r="J822" i="5"/>
  <c r="AF1632" i="5"/>
  <c r="I826" i="5"/>
  <c r="F649" i="5"/>
  <c r="F647" i="5"/>
  <c r="F645" i="5"/>
  <c r="B649" i="5"/>
  <c r="B647" i="5"/>
  <c r="B645" i="5"/>
  <c r="J632" i="5"/>
  <c r="J651" i="5"/>
  <c r="I651" i="5"/>
  <c r="Y1650" i="5"/>
  <c r="Y1666" i="5"/>
  <c r="Y1631" i="5"/>
  <c r="H622" i="5"/>
  <c r="H620" i="5"/>
  <c r="H618" i="5"/>
  <c r="H621" i="5"/>
  <c r="D622" i="5"/>
  <c r="D620" i="5"/>
  <c r="D618" i="5"/>
  <c r="D621" i="5"/>
  <c r="J609" i="5"/>
  <c r="X1635" i="5"/>
  <c r="E591" i="5"/>
  <c r="E595" i="5"/>
  <c r="E594" i="5"/>
  <c r="E564" i="5"/>
  <c r="E568" i="5"/>
  <c r="E567" i="5"/>
  <c r="J552" i="5"/>
  <c r="I556" i="5"/>
  <c r="E537" i="5"/>
  <c r="E541" i="5"/>
  <c r="E540" i="5"/>
  <c r="J527" i="5"/>
  <c r="U1634" i="5"/>
  <c r="J525" i="5"/>
  <c r="U1632" i="5"/>
  <c r="J473" i="5"/>
  <c r="S1634" i="5"/>
  <c r="J471" i="5"/>
  <c r="I475" i="5"/>
  <c r="S1632" i="5"/>
  <c r="H269" i="5"/>
  <c r="H268" i="5"/>
  <c r="H274" i="5"/>
  <c r="H275" i="5"/>
  <c r="H276" i="5"/>
  <c r="D269" i="5"/>
  <c r="D268" i="5"/>
  <c r="D274" i="5"/>
  <c r="D275" i="5"/>
  <c r="D276" i="5"/>
  <c r="J258" i="5"/>
  <c r="K1635" i="5"/>
  <c r="J256" i="5"/>
  <c r="K1633" i="5"/>
  <c r="I273" i="5"/>
  <c r="K1650" i="5"/>
  <c r="K1666" i="5"/>
  <c r="I259" i="5"/>
  <c r="C243" i="5"/>
  <c r="C247" i="5"/>
  <c r="C248" i="5"/>
  <c r="C249" i="5"/>
  <c r="C240" i="5"/>
  <c r="C244" i="5"/>
  <c r="J230" i="5"/>
  <c r="J1634" i="5"/>
  <c r="J174" i="5"/>
  <c r="I178" i="5"/>
  <c r="J178" i="5"/>
  <c r="J172" i="5"/>
  <c r="H1630" i="5"/>
  <c r="H1658" i="5"/>
  <c r="I880" i="5"/>
  <c r="J205" i="5"/>
  <c r="F161" i="5"/>
  <c r="H22" i="5"/>
  <c r="I22" i="5"/>
  <c r="H20" i="5"/>
  <c r="B104" i="5"/>
  <c r="B109" i="5"/>
  <c r="B110" i="5"/>
  <c r="B111" i="5"/>
  <c r="B101" i="5"/>
  <c r="D104" i="5"/>
  <c r="D109" i="5"/>
  <c r="F104" i="5"/>
  <c r="F109" i="5"/>
  <c r="F110" i="5"/>
  <c r="F111" i="5"/>
  <c r="H104" i="5"/>
  <c r="H109" i="5"/>
  <c r="H110" i="5"/>
  <c r="H111" i="5"/>
  <c r="H100" i="5"/>
  <c r="H131" i="5"/>
  <c r="H132" i="5"/>
  <c r="I150" i="5"/>
  <c r="F158" i="5"/>
  <c r="F160" i="5"/>
  <c r="B213" i="5"/>
  <c r="B215" i="5"/>
  <c r="B81" i="5"/>
  <c r="B82" i="5"/>
  <c r="B83" i="5"/>
  <c r="B75" i="5"/>
  <c r="D81" i="5"/>
  <c r="D82" i="5"/>
  <c r="D83" i="5"/>
  <c r="D75" i="5"/>
  <c r="F81" i="5"/>
  <c r="F82" i="5"/>
  <c r="F83" i="5"/>
  <c r="F76" i="5"/>
  <c r="I76" i="5"/>
  <c r="H75" i="5"/>
  <c r="C324" i="5"/>
  <c r="B190" i="5"/>
  <c r="F189" i="5"/>
  <c r="F186" i="5"/>
  <c r="C321" i="5"/>
  <c r="G375" i="5"/>
  <c r="G379" i="5"/>
  <c r="F485" i="5"/>
  <c r="B756" i="5"/>
  <c r="C301" i="5"/>
  <c r="C296" i="5"/>
  <c r="E295" i="5"/>
  <c r="E355" i="5"/>
  <c r="E356" i="5"/>
  <c r="E357" i="5"/>
  <c r="E350" i="5"/>
  <c r="B403" i="5"/>
  <c r="D409" i="5"/>
  <c r="D404" i="5"/>
  <c r="F403" i="5"/>
  <c r="B436" i="5"/>
  <c r="B437" i="5"/>
  <c r="B438" i="5"/>
  <c r="B428" i="5"/>
  <c r="B431" i="5"/>
  <c r="D430" i="5"/>
  <c r="F436" i="5"/>
  <c r="F437" i="5"/>
  <c r="F438" i="5"/>
  <c r="F431" i="5"/>
  <c r="B457" i="5"/>
  <c r="F463" i="5"/>
  <c r="F458" i="5"/>
  <c r="H457" i="5"/>
  <c r="B486" i="5"/>
  <c r="H485" i="5"/>
  <c r="H487" i="5"/>
  <c r="F510" i="5"/>
  <c r="F512" i="5"/>
  <c r="I691" i="5"/>
  <c r="D753" i="5"/>
  <c r="D755" i="5"/>
  <c r="D757" i="5"/>
  <c r="B782" i="5"/>
  <c r="D807" i="5"/>
  <c r="D809" i="5"/>
  <c r="F834" i="5"/>
  <c r="F838" i="5"/>
  <c r="C673" i="5"/>
  <c r="G679" i="5"/>
  <c r="G680" i="5"/>
  <c r="G681" i="5"/>
  <c r="G674" i="5"/>
  <c r="C700" i="5"/>
  <c r="E706" i="5"/>
  <c r="E707" i="5"/>
  <c r="E708" i="5"/>
  <c r="E701" i="5"/>
  <c r="I701" i="5"/>
  <c r="G700" i="5"/>
  <c r="C733" i="5"/>
  <c r="C734" i="5"/>
  <c r="C735" i="5"/>
  <c r="C728" i="5"/>
  <c r="E727" i="5"/>
  <c r="G733" i="5"/>
  <c r="G734" i="5"/>
  <c r="G735" i="5"/>
  <c r="G728" i="5"/>
  <c r="D784" i="5"/>
  <c r="C864" i="5"/>
  <c r="C861" i="5"/>
  <c r="G865" i="5"/>
  <c r="C891" i="5"/>
  <c r="C888" i="5"/>
  <c r="E892" i="5"/>
  <c r="G891" i="5"/>
  <c r="G888" i="5"/>
  <c r="AE1635" i="5"/>
  <c r="T1635" i="5"/>
  <c r="AB1634" i="5"/>
  <c r="L1634" i="5"/>
  <c r="AD1633" i="5"/>
  <c r="G1633" i="5"/>
  <c r="AG1632" i="5"/>
  <c r="Z1632" i="5"/>
  <c r="N1632" i="5"/>
  <c r="AE1631" i="5"/>
  <c r="Q1631" i="5"/>
  <c r="I1631" i="5"/>
  <c r="C1631" i="5"/>
  <c r="I610" i="5"/>
  <c r="H298" i="3"/>
  <c r="H297" i="3"/>
  <c r="J462" i="3"/>
  <c r="R2283" i="3"/>
  <c r="R2299" i="3"/>
  <c r="J1450" i="3"/>
  <c r="I935" i="3"/>
  <c r="I934" i="3"/>
  <c r="J1155" i="2"/>
  <c r="Z2370" i="1"/>
  <c r="AW2369" i="1"/>
  <c r="X2369" i="1"/>
  <c r="V2367" i="1"/>
  <c r="AN2388" i="1"/>
  <c r="AN2405" i="1"/>
  <c r="J1112" i="1"/>
  <c r="J1105" i="1"/>
  <c r="I1105" i="1"/>
  <c r="H128" i="6"/>
  <c r="H125" i="6"/>
  <c r="H129" i="6"/>
  <c r="D128" i="6"/>
  <c r="D125" i="6"/>
  <c r="D129" i="6"/>
  <c r="F868" i="6"/>
  <c r="I131" i="6"/>
  <c r="F887" i="6"/>
  <c r="F902" i="6"/>
  <c r="J85" i="6"/>
  <c r="J104" i="6"/>
  <c r="I104" i="6"/>
  <c r="E887" i="6"/>
  <c r="E902" i="6"/>
  <c r="J61" i="6"/>
  <c r="D871" i="6"/>
  <c r="J59" i="6"/>
  <c r="I63" i="6"/>
  <c r="D869" i="6"/>
  <c r="J1313" i="1"/>
  <c r="AV2367" i="1"/>
  <c r="J1098" i="1"/>
  <c r="AN2369" i="1"/>
  <c r="J992" i="1"/>
  <c r="AJ2371" i="1"/>
  <c r="J881" i="1"/>
  <c r="AF2370" i="1"/>
  <c r="J793" i="1"/>
  <c r="AC2366" i="1"/>
  <c r="AC2399" i="1"/>
  <c r="J770" i="1"/>
  <c r="AB2371" i="1"/>
  <c r="J711" i="1"/>
  <c r="Z2368" i="1"/>
  <c r="J684" i="1"/>
  <c r="Y2369" i="1"/>
  <c r="J515" i="1"/>
  <c r="I534" i="1"/>
  <c r="J534" i="1"/>
  <c r="J461" i="1"/>
  <c r="Q2369" i="1"/>
  <c r="J402" i="1"/>
  <c r="O2366" i="1"/>
  <c r="O2399" i="1"/>
  <c r="J263" i="1"/>
  <c r="I282" i="1"/>
  <c r="J282" i="1"/>
  <c r="J180" i="1"/>
  <c r="H2371" i="1"/>
  <c r="J146" i="1"/>
  <c r="G2367" i="1"/>
  <c r="G2391" i="1"/>
  <c r="J92" i="1"/>
  <c r="E2368" i="1"/>
  <c r="J37" i="1"/>
  <c r="C2370" i="1"/>
  <c r="J33" i="1"/>
  <c r="C2366" i="1"/>
  <c r="J1215" i="4"/>
  <c r="AT2106" i="4"/>
  <c r="J1213" i="4"/>
  <c r="J1232" i="4"/>
  <c r="I1232" i="4"/>
  <c r="AT2123" i="4"/>
  <c r="AT2139" i="4"/>
  <c r="J1163" i="4"/>
  <c r="AR2108" i="4"/>
  <c r="J1133" i="4"/>
  <c r="AQ2105" i="4"/>
  <c r="J1081" i="4"/>
  <c r="AO2107" i="4"/>
  <c r="J1052" i="4"/>
  <c r="AN2105" i="4"/>
  <c r="J866" i="4"/>
  <c r="AG2108" i="4"/>
  <c r="J862" i="4"/>
  <c r="J881" i="4"/>
  <c r="I881" i="4"/>
  <c r="AG2123" i="4"/>
  <c r="AG2139" i="4"/>
  <c r="J837" i="4"/>
  <c r="AF2106" i="4"/>
  <c r="J835" i="4"/>
  <c r="J854" i="4"/>
  <c r="AF2104" i="4"/>
  <c r="J812" i="4"/>
  <c r="AE2108" i="4"/>
  <c r="J728" i="4"/>
  <c r="AB2105" i="4"/>
  <c r="J726" i="4"/>
  <c r="AB2103" i="4"/>
  <c r="AB2131" i="4"/>
  <c r="J703" i="4"/>
  <c r="AA2107" i="4"/>
  <c r="J674" i="4"/>
  <c r="Z2105" i="4"/>
  <c r="J672" i="4"/>
  <c r="Z2103" i="4"/>
  <c r="Z2131" i="4"/>
  <c r="J621" i="4"/>
  <c r="X2107" i="4"/>
  <c r="J255" i="4"/>
  <c r="J274" i="4"/>
  <c r="I274" i="4"/>
  <c r="J232" i="4"/>
  <c r="J2108" i="4"/>
  <c r="J203" i="4"/>
  <c r="I2106" i="4"/>
  <c r="J201" i="4"/>
  <c r="J220" i="4"/>
  <c r="I2104" i="4"/>
  <c r="I2123" i="4"/>
  <c r="I2139" i="4"/>
  <c r="J120" i="4"/>
  <c r="F2107" i="4"/>
  <c r="J118" i="4"/>
  <c r="F2105" i="4"/>
  <c r="J116" i="4"/>
  <c r="F2103" i="4"/>
  <c r="F2131" i="4"/>
  <c r="J1199" i="2"/>
  <c r="AR2178" i="2"/>
  <c r="J1197" i="2"/>
  <c r="AR2176" i="2"/>
  <c r="J1195" i="2"/>
  <c r="J1214" i="2"/>
  <c r="I1214" i="2"/>
  <c r="AR2193" i="2"/>
  <c r="AR2209" i="2"/>
  <c r="J1167" i="2"/>
  <c r="J1186" i="2"/>
  <c r="AQ2174" i="2"/>
  <c r="J1144" i="2"/>
  <c r="J1143" i="2"/>
  <c r="AP2178" i="2"/>
  <c r="J1112" i="2"/>
  <c r="I1116" i="2"/>
  <c r="AO2175" i="2"/>
  <c r="J1110" i="2"/>
  <c r="AO2173" i="2"/>
  <c r="AO2201" i="2"/>
  <c r="J1087" i="2"/>
  <c r="AN2178" i="2"/>
  <c r="J1085" i="2"/>
  <c r="AN2176" i="2"/>
  <c r="J1030" i="2"/>
  <c r="AL2177" i="2"/>
  <c r="J1028" i="2"/>
  <c r="I1032" i="2"/>
  <c r="J974" i="2"/>
  <c r="AJ2177" i="2"/>
  <c r="J972" i="2"/>
  <c r="I976" i="2"/>
  <c r="J863" i="2"/>
  <c r="AF2178" i="2"/>
  <c r="J861" i="2"/>
  <c r="AF2176" i="2"/>
  <c r="J859" i="2"/>
  <c r="J878" i="2"/>
  <c r="I878" i="2"/>
  <c r="AF2193" i="2"/>
  <c r="AF2209" i="2"/>
  <c r="J832" i="2"/>
  <c r="AE2175" i="2"/>
  <c r="J805" i="2"/>
  <c r="AD2176" i="2"/>
  <c r="J776" i="2"/>
  <c r="I780" i="2"/>
  <c r="AC2175" i="2"/>
  <c r="J747" i="2"/>
  <c r="J766" i="2"/>
  <c r="I766" i="2"/>
  <c r="AB2193" i="2"/>
  <c r="AB2209" i="2"/>
  <c r="J724" i="2"/>
  <c r="AA2179" i="2"/>
  <c r="AA2202" i="2"/>
  <c r="J719" i="2"/>
  <c r="J738" i="2"/>
  <c r="AA2174" i="2"/>
  <c r="J695" i="2"/>
  <c r="Z2178" i="2"/>
  <c r="J662" i="2"/>
  <c r="J681" i="2"/>
  <c r="Y2174" i="2"/>
  <c r="J636" i="2"/>
  <c r="X2177" i="2"/>
  <c r="J632" i="2"/>
  <c r="X2173" i="2"/>
  <c r="X2201" i="2"/>
  <c r="J376" i="2"/>
  <c r="O2175" i="2"/>
  <c r="J350" i="2"/>
  <c r="N2177" i="2"/>
  <c r="J349" i="2"/>
  <c r="N2176" i="2"/>
  <c r="J320" i="2"/>
  <c r="M2175" i="2"/>
  <c r="J294" i="2"/>
  <c r="L2178" i="2"/>
  <c r="J289" i="2"/>
  <c r="L2173" i="2"/>
  <c r="L2201" i="2"/>
  <c r="J262" i="2"/>
  <c r="K2175" i="2"/>
  <c r="J147" i="2"/>
  <c r="I151" i="2"/>
  <c r="G2175" i="2"/>
  <c r="J121" i="2"/>
  <c r="F2178" i="2"/>
  <c r="J119" i="2"/>
  <c r="F2176" i="2"/>
  <c r="J64" i="2"/>
  <c r="D2177" i="2"/>
  <c r="J60" i="2"/>
  <c r="D2173" i="2"/>
  <c r="J1329" i="3"/>
  <c r="AW2274" i="3"/>
  <c r="J1327" i="3"/>
  <c r="AW2272" i="3"/>
  <c r="J1325" i="3"/>
  <c r="I1344" i="3"/>
  <c r="J1344" i="3"/>
  <c r="J1298" i="3"/>
  <c r="AV2270" i="3"/>
  <c r="J1275" i="3"/>
  <c r="AU2274" i="3"/>
  <c r="J1273" i="3"/>
  <c r="AU2272" i="3"/>
  <c r="J1247" i="3"/>
  <c r="AT2273" i="3"/>
  <c r="J1218" i="3"/>
  <c r="AS2271" i="3"/>
  <c r="J1193" i="3"/>
  <c r="AR2273" i="3"/>
  <c r="J1137" i="3"/>
  <c r="AP2271" i="3"/>
  <c r="J1058" i="3"/>
  <c r="AM2273" i="3"/>
  <c r="J1000" i="3"/>
  <c r="AK2269" i="3"/>
  <c r="AK2296" i="3"/>
  <c r="J948" i="3"/>
  <c r="AI2271" i="3"/>
  <c r="J892" i="3"/>
  <c r="AG2269" i="3"/>
  <c r="AG2296" i="3"/>
  <c r="J842" i="3"/>
  <c r="AE2273" i="3"/>
  <c r="J783" i="3"/>
  <c r="AC2269" i="3"/>
  <c r="AC2296" i="3"/>
  <c r="J729" i="3"/>
  <c r="AA2271" i="3"/>
  <c r="J703" i="3"/>
  <c r="Z2273" i="3"/>
  <c r="J699" i="3"/>
  <c r="Z2269" i="3"/>
  <c r="Z2296" i="3"/>
  <c r="J676" i="3"/>
  <c r="Y2274" i="3"/>
  <c r="J673" i="3"/>
  <c r="Y2271" i="3"/>
  <c r="J647" i="3"/>
  <c r="X2273" i="3"/>
  <c r="J646" i="3"/>
  <c r="X2272" i="3"/>
  <c r="J620" i="3"/>
  <c r="W2274" i="3"/>
  <c r="J615" i="3"/>
  <c r="W2269" i="3"/>
  <c r="W2296" i="3"/>
  <c r="J560" i="3"/>
  <c r="V2271" i="3"/>
  <c r="J530" i="3"/>
  <c r="U2269" i="3"/>
  <c r="U2296" i="3"/>
  <c r="J507" i="3"/>
  <c r="T2274" i="3"/>
  <c r="J504" i="3"/>
  <c r="T2271" i="3"/>
  <c r="J475" i="3"/>
  <c r="S2269" i="3"/>
  <c r="S2296" i="3"/>
  <c r="J452" i="3"/>
  <c r="R2273" i="3"/>
  <c r="J450" i="3"/>
  <c r="R2271" i="3"/>
  <c r="J424" i="3"/>
  <c r="Q2272" i="3"/>
  <c r="J399" i="3"/>
  <c r="P2274" i="3"/>
  <c r="J395" i="3"/>
  <c r="P2270" i="3"/>
  <c r="J343" i="3"/>
  <c r="N2272" i="3"/>
  <c r="J314" i="3"/>
  <c r="M2270" i="3"/>
  <c r="J290" i="3"/>
  <c r="L2274" i="3"/>
  <c r="J231" i="3"/>
  <c r="J2272" i="3"/>
  <c r="J93" i="3"/>
  <c r="E2274" i="3"/>
  <c r="J63" i="3"/>
  <c r="D2272" i="3"/>
  <c r="J61" i="3"/>
  <c r="D2270" i="3"/>
  <c r="J744" i="5"/>
  <c r="AC1635" i="5"/>
  <c r="J740" i="5"/>
  <c r="J759" i="5"/>
  <c r="I759" i="5"/>
  <c r="AC1650" i="5"/>
  <c r="AC1666" i="5"/>
  <c r="J661" i="5"/>
  <c r="Z1633" i="5"/>
  <c r="J659" i="5"/>
  <c r="J678" i="5"/>
  <c r="I678" i="5"/>
  <c r="Z1650" i="5"/>
  <c r="Z1666" i="5"/>
  <c r="Z1631" i="5"/>
  <c r="J635" i="5"/>
  <c r="Y1634" i="5"/>
  <c r="J633" i="5"/>
  <c r="Y1632" i="5"/>
  <c r="J528" i="5"/>
  <c r="U1635" i="5"/>
  <c r="J524" i="5"/>
  <c r="J543" i="5"/>
  <c r="I543" i="5"/>
  <c r="U1650" i="5"/>
  <c r="U1666" i="5"/>
  <c r="J474" i="5"/>
  <c r="S1635" i="5"/>
  <c r="J419" i="5"/>
  <c r="Q1634" i="5"/>
  <c r="J417" i="5"/>
  <c r="I421" i="5"/>
  <c r="Q1632" i="5"/>
  <c r="J312" i="5"/>
  <c r="M1635" i="5"/>
  <c r="J308" i="5"/>
  <c r="J327" i="5"/>
  <c r="I327" i="5"/>
  <c r="M1650" i="5"/>
  <c r="M1666" i="5"/>
  <c r="J283" i="5"/>
  <c r="L1633" i="5"/>
  <c r="J281" i="5"/>
  <c r="J300" i="5"/>
  <c r="L1631" i="5"/>
  <c r="J257" i="5"/>
  <c r="K1634" i="5"/>
  <c r="J255" i="5"/>
  <c r="K1632" i="5"/>
  <c r="J253" i="5"/>
  <c r="K1630" i="5"/>
  <c r="K1658" i="5"/>
  <c r="J203" i="5"/>
  <c r="I1634" i="5"/>
  <c r="J201" i="5"/>
  <c r="I1632" i="5"/>
  <c r="J199" i="5"/>
  <c r="I1630" i="5"/>
  <c r="I1658" i="5"/>
  <c r="J175" i="5"/>
  <c r="H1633" i="5"/>
  <c r="J173" i="5"/>
  <c r="J192" i="5"/>
  <c r="H1631" i="5"/>
  <c r="J148" i="5"/>
  <c r="G1634" i="5"/>
  <c r="J146" i="5"/>
  <c r="G1632" i="5"/>
  <c r="J144" i="5"/>
  <c r="G1630" i="5"/>
  <c r="G1658" i="5"/>
  <c r="I1529" i="3"/>
  <c r="I771" i="3"/>
  <c r="I574" i="3"/>
  <c r="I464" i="3"/>
  <c r="H2109" i="4"/>
  <c r="H2132" i="4"/>
  <c r="I1390" i="2"/>
  <c r="I1306" i="2"/>
  <c r="F20" i="6"/>
  <c r="F17" i="6"/>
  <c r="F21" i="6"/>
  <c r="J8" i="6"/>
  <c r="B872" i="6"/>
  <c r="J6" i="6"/>
  <c r="B870" i="6"/>
  <c r="J4" i="6"/>
  <c r="J23" i="6"/>
  <c r="I23" i="6"/>
  <c r="B887" i="6"/>
  <c r="B902" i="6"/>
  <c r="B868" i="6"/>
  <c r="AH868" i="6"/>
  <c r="AI868" i="6"/>
  <c r="H1628" i="1"/>
  <c r="H1630" i="1"/>
  <c r="D1628" i="1"/>
  <c r="D1630" i="1"/>
  <c r="B1596" i="1"/>
  <c r="B1597" i="1"/>
  <c r="J1558" i="1"/>
  <c r="BE2369" i="1"/>
  <c r="G1517" i="1"/>
  <c r="G1516" i="1"/>
  <c r="E1515" i="1"/>
  <c r="E1519" i="1"/>
  <c r="E1518" i="1"/>
  <c r="J1422" i="1"/>
  <c r="AZ2368" i="1"/>
  <c r="J603" i="1"/>
  <c r="V2371" i="1"/>
  <c r="J598" i="1"/>
  <c r="V2366" i="1"/>
  <c r="V2399" i="1"/>
  <c r="J544" i="1"/>
  <c r="T2368" i="1"/>
  <c r="J347" i="1"/>
  <c r="I366" i="1"/>
  <c r="J323" i="1"/>
  <c r="J321" i="1"/>
  <c r="J290" i="1"/>
  <c r="L2366" i="1"/>
  <c r="J1028" i="4"/>
  <c r="AM2108" i="4"/>
  <c r="J1024" i="4"/>
  <c r="J1043" i="4"/>
  <c r="I1043" i="4"/>
  <c r="AM2123" i="4"/>
  <c r="AM2139" i="4"/>
  <c r="J999" i="4"/>
  <c r="AL2106" i="4"/>
  <c r="J997" i="4"/>
  <c r="J1016" i="4"/>
  <c r="AL2104" i="4"/>
  <c r="J974" i="4"/>
  <c r="AK2108" i="4"/>
  <c r="J892" i="4"/>
  <c r="AH2107" i="4"/>
  <c r="J592" i="4"/>
  <c r="W2106" i="4"/>
  <c r="J590" i="4"/>
  <c r="J609" i="4"/>
  <c r="I609" i="4"/>
  <c r="W2123" i="4"/>
  <c r="W2139" i="4"/>
  <c r="W2104" i="4"/>
  <c r="J566" i="4"/>
  <c r="V2108" i="4"/>
  <c r="J507" i="4"/>
  <c r="T2105" i="4"/>
  <c r="J505" i="4"/>
  <c r="T2103" i="4"/>
  <c r="T2131" i="4"/>
  <c r="J482" i="4"/>
  <c r="S2108" i="4"/>
  <c r="J451" i="4"/>
  <c r="R2105" i="4"/>
  <c r="J449" i="4"/>
  <c r="R2103" i="4"/>
  <c r="R2131" i="4"/>
  <c r="J426" i="4"/>
  <c r="Q2108" i="4"/>
  <c r="J395" i="4"/>
  <c r="P2105" i="4"/>
  <c r="J393" i="4"/>
  <c r="P2103" i="4"/>
  <c r="P2131" i="4"/>
  <c r="J370" i="4"/>
  <c r="O2108" i="4"/>
  <c r="J339" i="4"/>
  <c r="N2105" i="4"/>
  <c r="J337" i="4"/>
  <c r="N2103" i="4"/>
  <c r="N2131" i="4"/>
  <c r="J286" i="4"/>
  <c r="L2108" i="4"/>
  <c r="J283" i="4"/>
  <c r="L2105" i="4"/>
  <c r="J281" i="4"/>
  <c r="L2103" i="4"/>
  <c r="L2131" i="4"/>
  <c r="J93" i="4"/>
  <c r="E2108" i="4"/>
  <c r="J89" i="4"/>
  <c r="J108" i="4"/>
  <c r="I108" i="4"/>
  <c r="J35" i="4"/>
  <c r="C2106" i="4"/>
  <c r="I1396" i="2"/>
  <c r="I1410" i="2"/>
  <c r="AY2193" i="2"/>
  <c r="AY2209" i="2"/>
  <c r="J1366" i="2"/>
  <c r="AX2177" i="2"/>
  <c r="J1364" i="2"/>
  <c r="I1368" i="2"/>
  <c r="J1336" i="2"/>
  <c r="AW2175" i="2"/>
  <c r="J1312" i="2"/>
  <c r="AV2179" i="2"/>
  <c r="AV2202" i="2"/>
  <c r="J1311" i="2"/>
  <c r="AV2178" i="2"/>
  <c r="J1309" i="2"/>
  <c r="AV2176" i="2"/>
  <c r="J1279" i="2"/>
  <c r="J1298" i="2"/>
  <c r="AU2174" i="2"/>
  <c r="J1254" i="2"/>
  <c r="AT2177" i="2"/>
  <c r="J1224" i="2"/>
  <c r="AS2175" i="2"/>
  <c r="J1168" i="2"/>
  <c r="AQ2175" i="2"/>
  <c r="J1055" i="2"/>
  <c r="J1074" i="2"/>
  <c r="I1074" i="2"/>
  <c r="AM2193" i="2"/>
  <c r="AM2209" i="2"/>
  <c r="AM2174" i="2"/>
  <c r="J1000" i="2"/>
  <c r="I1004" i="2"/>
  <c r="AK2175" i="2"/>
  <c r="J943" i="2"/>
  <c r="J962" i="2"/>
  <c r="I962" i="2"/>
  <c r="AI2193" i="2"/>
  <c r="AI2209" i="2"/>
  <c r="AI2174" i="2"/>
  <c r="J918" i="2"/>
  <c r="AH2177" i="2"/>
  <c r="J888" i="2"/>
  <c r="AG2175" i="2"/>
  <c r="J806" i="2"/>
  <c r="AD2177" i="2"/>
  <c r="J802" i="2"/>
  <c r="AD2173" i="2"/>
  <c r="AD2201" i="2"/>
  <c r="J635" i="2"/>
  <c r="X2176" i="2"/>
  <c r="J605" i="2"/>
  <c r="I609" i="2"/>
  <c r="W2175" i="2"/>
  <c r="J579" i="2"/>
  <c r="V2177" i="2"/>
  <c r="J576" i="2"/>
  <c r="J595" i="2"/>
  <c r="I595" i="2"/>
  <c r="V2193" i="2"/>
  <c r="V2209" i="2"/>
  <c r="J548" i="2"/>
  <c r="J567" i="2"/>
  <c r="U2174" i="2"/>
  <c r="J524" i="2"/>
  <c r="T2178" i="2"/>
  <c r="J519" i="2"/>
  <c r="T2173" i="2"/>
  <c r="T2201" i="2"/>
  <c r="J491" i="2"/>
  <c r="J510" i="2"/>
  <c r="I510" i="2"/>
  <c r="S2193" i="2"/>
  <c r="S2209" i="2"/>
  <c r="S2174" i="2"/>
  <c r="J466" i="2"/>
  <c r="R2178" i="2"/>
  <c r="J461" i="2"/>
  <c r="R2173" i="2"/>
  <c r="R2201" i="2"/>
  <c r="J434" i="2"/>
  <c r="Q2175" i="2"/>
  <c r="J407" i="2"/>
  <c r="P2177" i="2"/>
  <c r="J403" i="2"/>
  <c r="P2173" i="2"/>
  <c r="P2201" i="2"/>
  <c r="J235" i="2"/>
  <c r="J2178" i="2"/>
  <c r="J233" i="2"/>
  <c r="J2176" i="2"/>
  <c r="J231" i="2"/>
  <c r="J250" i="2"/>
  <c r="I250" i="2"/>
  <c r="J2193" i="2"/>
  <c r="J2209" i="2"/>
  <c r="J204" i="2"/>
  <c r="I2175" i="2"/>
  <c r="J178" i="2"/>
  <c r="H2177" i="2"/>
  <c r="J174" i="2"/>
  <c r="H2173" i="2"/>
  <c r="H2201" i="2"/>
  <c r="J34" i="2"/>
  <c r="C2175" i="2"/>
  <c r="J1490" i="3"/>
  <c r="BC2273" i="3"/>
  <c r="J1409" i="3"/>
  <c r="AZ2273" i="3"/>
  <c r="J1380" i="3"/>
  <c r="AY2271" i="3"/>
  <c r="J1355" i="3"/>
  <c r="AX2273" i="3"/>
  <c r="J37" i="3"/>
  <c r="C2274" i="3"/>
  <c r="J33" i="3"/>
  <c r="I52" i="3"/>
  <c r="J7" i="3"/>
  <c r="J11" i="3"/>
  <c r="B2271" i="3"/>
  <c r="J5" i="3"/>
  <c r="B2269" i="3"/>
  <c r="AH1631" i="5"/>
  <c r="I894" i="5"/>
  <c r="AH1650" i="5"/>
  <c r="AH1666" i="5"/>
  <c r="J823" i="5"/>
  <c r="AF1633" i="5"/>
  <c r="J821" i="5"/>
  <c r="J840" i="5"/>
  <c r="AF1631" i="5"/>
  <c r="J797" i="5"/>
  <c r="AE1634" i="5"/>
  <c r="J690" i="5"/>
  <c r="AA1635" i="5"/>
  <c r="J686" i="5"/>
  <c r="J705" i="5"/>
  <c r="I705" i="5"/>
  <c r="AA1650" i="5"/>
  <c r="AA1666" i="5"/>
  <c r="J607" i="5"/>
  <c r="X1633" i="5"/>
  <c r="J605" i="5"/>
  <c r="J624" i="5"/>
  <c r="I624" i="5"/>
  <c r="X1650" i="5"/>
  <c r="X1666" i="5"/>
  <c r="X1631" i="5"/>
  <c r="J581" i="5"/>
  <c r="W1634" i="5"/>
  <c r="J579" i="5"/>
  <c r="W1632" i="5"/>
  <c r="J391" i="5"/>
  <c r="P1633" i="5"/>
  <c r="J389" i="5"/>
  <c r="J408" i="5"/>
  <c r="I408" i="5"/>
  <c r="P1650" i="5"/>
  <c r="P1666" i="5"/>
  <c r="P1631" i="5"/>
  <c r="J365" i="5"/>
  <c r="O1634" i="5"/>
  <c r="J363" i="5"/>
  <c r="O1632" i="5"/>
  <c r="J361" i="5"/>
  <c r="O1630" i="5"/>
  <c r="O1658" i="5"/>
  <c r="J228" i="5"/>
  <c r="I232" i="5"/>
  <c r="J93" i="5"/>
  <c r="E1635" i="5"/>
  <c r="J89" i="5"/>
  <c r="J108" i="5"/>
  <c r="I108" i="5"/>
  <c r="E1650" i="5"/>
  <c r="E1666" i="5"/>
  <c r="J63" i="5"/>
  <c r="D1633" i="5"/>
  <c r="J61" i="5"/>
  <c r="J80" i="5"/>
  <c r="D1631" i="5"/>
  <c r="J36" i="5"/>
  <c r="C1634" i="5"/>
  <c r="J7" i="5"/>
  <c r="B1633" i="5"/>
  <c r="J5" i="5"/>
  <c r="J24" i="5"/>
  <c r="B1631" i="5"/>
  <c r="I573" i="3"/>
  <c r="I192" i="1"/>
  <c r="H2388" i="1"/>
  <c r="I1113" i="1"/>
  <c r="I1109" i="1"/>
  <c r="D127" i="6"/>
  <c r="D126" i="6"/>
  <c r="H132" i="6"/>
  <c r="H133" i="6"/>
  <c r="H134" i="6"/>
  <c r="I111" i="6"/>
  <c r="F867" i="6"/>
  <c r="F894" i="6"/>
  <c r="I84" i="6"/>
  <c r="AT2371" i="1"/>
  <c r="I1339" i="1"/>
  <c r="I1138" i="2"/>
  <c r="AP2273" i="3"/>
  <c r="AT2271" i="3"/>
  <c r="AM2271" i="3"/>
  <c r="AU2270" i="3"/>
  <c r="AE2269" i="3"/>
  <c r="AE2296" i="3"/>
  <c r="B679" i="5"/>
  <c r="B680" i="5"/>
  <c r="B681" i="5"/>
  <c r="I658" i="5"/>
  <c r="I1528" i="1"/>
  <c r="I1312" i="1"/>
  <c r="AV2366" i="1"/>
  <c r="AV2399" i="1"/>
  <c r="I1166" i="2"/>
  <c r="I604" i="5"/>
  <c r="J604" i="5"/>
  <c r="I523" i="5"/>
  <c r="J523" i="5"/>
  <c r="I20" i="5"/>
  <c r="I854" i="4"/>
  <c r="AF2123" i="4"/>
  <c r="AF2139" i="4"/>
  <c r="I665" i="4"/>
  <c r="Y2123" i="4"/>
  <c r="Y2139" i="4"/>
  <c r="I192" i="4"/>
  <c r="H109" i="3"/>
  <c r="H104" i="3"/>
  <c r="H103" i="3"/>
  <c r="D137" i="3"/>
  <c r="D138" i="3"/>
  <c r="D139" i="3"/>
  <c r="D131" i="3"/>
  <c r="D130" i="3"/>
  <c r="D132" i="3"/>
  <c r="H137" i="3"/>
  <c r="H131" i="3"/>
  <c r="H130" i="3"/>
  <c r="H132" i="3"/>
  <c r="J94" i="3"/>
  <c r="B193" i="3"/>
  <c r="B194" i="3"/>
  <c r="B195" i="3"/>
  <c r="B187" i="3"/>
  <c r="B186" i="3"/>
  <c r="B188" i="3"/>
  <c r="C221" i="3"/>
  <c r="C217" i="3"/>
  <c r="C218" i="3"/>
  <c r="G221" i="3"/>
  <c r="G217" i="3"/>
  <c r="G218" i="3"/>
  <c r="C249" i="3"/>
  <c r="C250" i="3"/>
  <c r="C251" i="3"/>
  <c r="C243" i="3"/>
  <c r="C242" i="3"/>
  <c r="C244" i="3"/>
  <c r="G249" i="3"/>
  <c r="G250" i="3"/>
  <c r="G251" i="3"/>
  <c r="G243" i="3"/>
  <c r="G242" i="3"/>
  <c r="G244" i="3"/>
  <c r="D278" i="3"/>
  <c r="D279" i="3"/>
  <c r="D280" i="3"/>
  <c r="D272" i="3"/>
  <c r="D271" i="3"/>
  <c r="D273" i="3"/>
  <c r="C306" i="3"/>
  <c r="C302" i="3"/>
  <c r="C303" i="3"/>
  <c r="G306" i="3"/>
  <c r="G307" i="3"/>
  <c r="G308" i="3"/>
  <c r="G302" i="3"/>
  <c r="G303" i="3"/>
  <c r="D334" i="3"/>
  <c r="D335" i="3"/>
  <c r="D336" i="3"/>
  <c r="D330" i="3"/>
  <c r="D331" i="3"/>
  <c r="H334" i="3"/>
  <c r="H335" i="3"/>
  <c r="H336" i="3"/>
  <c r="H328" i="3"/>
  <c r="I328" i="3"/>
  <c r="H327" i="3"/>
  <c r="H329" i="3"/>
  <c r="I329" i="3"/>
  <c r="D361" i="3"/>
  <c r="D355" i="3"/>
  <c r="I355" i="3"/>
  <c r="D354" i="3"/>
  <c r="I354" i="3"/>
  <c r="D356" i="3"/>
  <c r="J373" i="3"/>
  <c r="O2275" i="3"/>
  <c r="O2297" i="3"/>
  <c r="E469" i="3"/>
  <c r="E470" i="3"/>
  <c r="E471" i="3"/>
  <c r="E465" i="3"/>
  <c r="E466" i="3"/>
  <c r="E496" i="3"/>
  <c r="E497" i="3"/>
  <c r="E498" i="3"/>
  <c r="E491" i="3"/>
  <c r="E493" i="3"/>
  <c r="E523" i="3"/>
  <c r="E519" i="3"/>
  <c r="E516" i="3"/>
  <c r="E551" i="3"/>
  <c r="E552" i="3"/>
  <c r="E553" i="3"/>
  <c r="E545" i="3"/>
  <c r="E546" i="3"/>
  <c r="E548" i="3"/>
  <c r="E579" i="3"/>
  <c r="E575" i="3"/>
  <c r="E572" i="3"/>
  <c r="B607" i="3"/>
  <c r="B603" i="3"/>
  <c r="B604" i="3"/>
  <c r="B636" i="3"/>
  <c r="B637" i="3"/>
  <c r="B638" i="3"/>
  <c r="B630" i="3"/>
  <c r="B631" i="3"/>
  <c r="B633" i="3"/>
  <c r="H636" i="3"/>
  <c r="H632" i="3"/>
  <c r="H633" i="3"/>
  <c r="E692" i="3"/>
  <c r="E693" i="3"/>
  <c r="E694" i="3"/>
  <c r="E688" i="3"/>
  <c r="E685" i="3"/>
  <c r="I685" i="3"/>
  <c r="J979" i="3"/>
  <c r="AJ2275" i="3"/>
  <c r="AJ2297" i="3"/>
  <c r="D415" i="3"/>
  <c r="D416" i="3"/>
  <c r="D417" i="3"/>
  <c r="D411" i="3"/>
  <c r="D408" i="3"/>
  <c r="H415" i="3"/>
  <c r="H410" i="3"/>
  <c r="H408" i="3"/>
  <c r="D664" i="3"/>
  <c r="D660" i="3"/>
  <c r="D657" i="3"/>
  <c r="H664" i="3"/>
  <c r="H658" i="3"/>
  <c r="H659" i="3"/>
  <c r="H657" i="3"/>
  <c r="C720" i="3"/>
  <c r="C716" i="3"/>
  <c r="C717" i="3"/>
  <c r="G720" i="3"/>
  <c r="G721" i="3"/>
  <c r="G722" i="3"/>
  <c r="G716" i="3"/>
  <c r="G713" i="3"/>
  <c r="B800" i="3"/>
  <c r="B801" i="3"/>
  <c r="I801" i="3"/>
  <c r="B804" i="3"/>
  <c r="B805" i="3"/>
  <c r="B806" i="3"/>
  <c r="C831" i="3"/>
  <c r="C825" i="3"/>
  <c r="C826" i="3"/>
  <c r="C824" i="3"/>
  <c r="G831" i="3"/>
  <c r="G832" i="3"/>
  <c r="G833" i="3"/>
  <c r="G825" i="3"/>
  <c r="G826" i="3"/>
  <c r="G828" i="3"/>
  <c r="D913" i="3"/>
  <c r="D909" i="3"/>
  <c r="D906" i="3"/>
  <c r="H913" i="3"/>
  <c r="H914" i="3"/>
  <c r="H915" i="3"/>
  <c r="H907" i="3"/>
  <c r="I907" i="3"/>
  <c r="H908" i="3"/>
  <c r="I908" i="3"/>
  <c r="H906" i="3"/>
  <c r="E936" i="3"/>
  <c r="E937" i="3"/>
  <c r="E165" i="3"/>
  <c r="E159" i="3"/>
  <c r="E158" i="3"/>
  <c r="E160" i="3"/>
  <c r="J234" i="3"/>
  <c r="C388" i="3"/>
  <c r="C389" i="3"/>
  <c r="C384" i="3"/>
  <c r="C381" i="3"/>
  <c r="G388" i="3"/>
  <c r="G389" i="3"/>
  <c r="G390" i="3"/>
  <c r="G384" i="3"/>
  <c r="G385" i="3"/>
  <c r="I385" i="3"/>
  <c r="D442" i="3"/>
  <c r="D443" i="3"/>
  <c r="D444" i="3"/>
  <c r="D436" i="3"/>
  <c r="D437" i="3"/>
  <c r="D435" i="3"/>
  <c r="I435" i="3"/>
  <c r="H442" i="3"/>
  <c r="H436" i="3"/>
  <c r="H437" i="3"/>
  <c r="H439" i="3"/>
  <c r="I439" i="3"/>
  <c r="D742" i="3"/>
  <c r="D743" i="3"/>
  <c r="D741" i="3"/>
  <c r="I741" i="3"/>
  <c r="H748" i="3"/>
  <c r="H749" i="3"/>
  <c r="H750" i="3"/>
  <c r="H742" i="3"/>
  <c r="I742" i="3"/>
  <c r="H743" i="3"/>
  <c r="H745" i="3"/>
  <c r="I745" i="3"/>
  <c r="E776" i="3"/>
  <c r="E772" i="3"/>
  <c r="E773" i="3"/>
  <c r="I773" i="3"/>
  <c r="D859" i="3"/>
  <c r="D855" i="3"/>
  <c r="D856" i="3"/>
  <c r="C886" i="3"/>
  <c r="C887" i="3"/>
  <c r="C888" i="3"/>
  <c r="C882" i="3"/>
  <c r="C879" i="3"/>
  <c r="G886" i="3"/>
  <c r="G887" i="3"/>
  <c r="G888" i="3"/>
  <c r="G882" i="3"/>
  <c r="G883" i="3"/>
  <c r="C1102" i="3"/>
  <c r="C1103" i="3"/>
  <c r="C1104" i="3"/>
  <c r="C1098" i="3"/>
  <c r="C1099" i="3"/>
  <c r="G1102" i="3"/>
  <c r="G1103" i="3"/>
  <c r="G1104" i="3"/>
  <c r="G1098" i="3"/>
  <c r="G1095" i="3"/>
  <c r="D1129" i="3"/>
  <c r="D1125" i="3"/>
  <c r="D1122" i="3"/>
  <c r="H1129" i="3"/>
  <c r="H1130" i="3"/>
  <c r="H1131" i="3"/>
  <c r="H1123" i="3"/>
  <c r="I1123" i="3"/>
  <c r="H1124" i="3"/>
  <c r="H1126" i="3"/>
  <c r="D1210" i="3"/>
  <c r="D1206" i="3"/>
  <c r="D1203" i="3"/>
  <c r="H1314" i="3"/>
  <c r="H1311" i="3"/>
  <c r="E46" i="3"/>
  <c r="E50" i="3"/>
  <c r="E49" i="3"/>
  <c r="I1502" i="3"/>
  <c r="BC2285" i="3"/>
  <c r="BC2301" i="3"/>
  <c r="I410" i="3"/>
  <c r="I881" i="3"/>
  <c r="I381" i="3"/>
  <c r="I689" i="3"/>
  <c r="I572" i="3"/>
  <c r="C496" i="3"/>
  <c r="C497" i="3"/>
  <c r="C498" i="3"/>
  <c r="C492" i="3"/>
  <c r="C493" i="3"/>
  <c r="I493" i="3"/>
  <c r="B1015" i="3"/>
  <c r="I1015" i="3"/>
  <c r="B1014" i="3"/>
  <c r="I1014" i="3"/>
  <c r="B1016" i="3"/>
  <c r="I1016" i="3"/>
  <c r="C1048" i="3"/>
  <c r="C1049" i="3"/>
  <c r="C1050" i="3"/>
  <c r="C1044" i="3"/>
  <c r="C1045" i="3"/>
  <c r="G1048" i="3"/>
  <c r="G1044" i="3"/>
  <c r="G1041" i="3"/>
  <c r="E1075" i="3"/>
  <c r="E1076" i="3"/>
  <c r="E1077" i="3"/>
  <c r="E1068" i="3"/>
  <c r="I1068" i="3"/>
  <c r="E1070" i="3"/>
  <c r="I1070" i="3"/>
  <c r="D1183" i="3"/>
  <c r="D1177" i="3"/>
  <c r="D1176" i="3"/>
  <c r="D1178" i="3"/>
  <c r="H1183" i="3"/>
  <c r="H1184" i="3"/>
  <c r="H1185" i="3"/>
  <c r="H1177" i="3"/>
  <c r="H1176" i="3"/>
  <c r="H1178" i="3"/>
  <c r="B1237" i="3"/>
  <c r="B1233" i="3"/>
  <c r="B1230" i="3"/>
  <c r="I1230" i="3"/>
  <c r="D1291" i="3"/>
  <c r="D1285" i="3"/>
  <c r="D1286" i="3"/>
  <c r="D1345" i="3"/>
  <c r="D1339" i="3"/>
  <c r="I1339" i="3"/>
  <c r="D1338" i="3"/>
  <c r="I1338" i="3"/>
  <c r="D1340" i="3"/>
  <c r="I1340" i="3"/>
  <c r="H1345" i="3"/>
  <c r="H1346" i="3"/>
  <c r="H1347" i="3"/>
  <c r="H1341" i="3"/>
  <c r="H1342" i="3"/>
  <c r="I1342" i="3"/>
  <c r="B1399" i="3"/>
  <c r="B1400" i="3"/>
  <c r="B1401" i="3"/>
  <c r="B1395" i="3"/>
  <c r="B1392" i="3"/>
  <c r="I1392" i="3"/>
  <c r="B967" i="3"/>
  <c r="B968" i="3"/>
  <c r="B969" i="3"/>
  <c r="B958" i="3"/>
  <c r="B963" i="3"/>
  <c r="B964" i="3"/>
  <c r="H967" i="3"/>
  <c r="H963" i="3"/>
  <c r="H960" i="3"/>
  <c r="E994" i="3"/>
  <c r="E995" i="3"/>
  <c r="E996" i="3"/>
  <c r="E988" i="3"/>
  <c r="I988" i="3"/>
  <c r="E987" i="3"/>
  <c r="E989" i="3"/>
  <c r="E1102" i="3"/>
  <c r="E1103" i="3"/>
  <c r="E1104" i="3"/>
  <c r="E1096" i="3"/>
  <c r="E1095" i="3"/>
  <c r="E1097" i="3"/>
  <c r="B1318" i="3"/>
  <c r="B1319" i="3"/>
  <c r="B1320" i="3"/>
  <c r="B1309" i="3"/>
  <c r="B1312" i="3"/>
  <c r="B1311" i="3"/>
  <c r="C1449" i="3"/>
  <c r="C1446" i="3"/>
  <c r="G1449" i="3"/>
  <c r="G1446" i="3"/>
  <c r="E1476" i="3"/>
  <c r="E1477" i="3"/>
  <c r="C1503" i="3"/>
  <c r="C1500" i="3"/>
  <c r="G1503" i="3"/>
  <c r="G1500" i="3"/>
  <c r="E1530" i="3"/>
  <c r="E1531" i="3"/>
  <c r="I1531" i="3"/>
  <c r="I659" i="3"/>
  <c r="I879" i="3"/>
  <c r="AF2283" i="3"/>
  <c r="AF2299" i="3"/>
  <c r="I937" i="3"/>
  <c r="I301" i="3"/>
  <c r="H2189" i="2"/>
  <c r="H2206" i="2"/>
  <c r="J217" i="2"/>
  <c r="J1154" i="2"/>
  <c r="J1294" i="2"/>
  <c r="J188" i="2"/>
  <c r="J1127" i="2"/>
  <c r="J1156" i="2"/>
  <c r="H2188" i="2"/>
  <c r="H2205" i="2"/>
  <c r="I2187" i="2"/>
  <c r="I2204" i="2"/>
  <c r="I1223" i="1"/>
  <c r="J1223" i="1"/>
  <c r="H2386" i="1"/>
  <c r="I1386" i="1"/>
  <c r="J1502" i="3"/>
  <c r="AH2285" i="3"/>
  <c r="AH2301" i="3"/>
  <c r="J935" i="3"/>
  <c r="J689" i="3"/>
  <c r="Y2287" i="3"/>
  <c r="Y2303" i="3"/>
  <c r="J301" i="3"/>
  <c r="L2285" i="3"/>
  <c r="L2301" i="3"/>
  <c r="B849" i="4"/>
  <c r="B850" i="4"/>
  <c r="B855" i="4"/>
  <c r="B856" i="4"/>
  <c r="B857" i="4"/>
  <c r="B847" i="4"/>
  <c r="H1208" i="2"/>
  <c r="H1212" i="2"/>
  <c r="H1211" i="2"/>
  <c r="H1210" i="2"/>
  <c r="H1209" i="2"/>
  <c r="H1215" i="2"/>
  <c r="H1216" i="2"/>
  <c r="H1217" i="2"/>
  <c r="F1208" i="2"/>
  <c r="F1212" i="2"/>
  <c r="F1211" i="2"/>
  <c r="F1210" i="2"/>
  <c r="F1209" i="2"/>
  <c r="F1215" i="2"/>
  <c r="F1216" i="2"/>
  <c r="F1217" i="2"/>
  <c r="D1208" i="2"/>
  <c r="D1212" i="2"/>
  <c r="D1211" i="2"/>
  <c r="D1210" i="2"/>
  <c r="D1209" i="2"/>
  <c r="D1215" i="2"/>
  <c r="D1216" i="2"/>
  <c r="D1217" i="2"/>
  <c r="D1206" i="2"/>
  <c r="D619" i="2"/>
  <c r="D618" i="2"/>
  <c r="D624" i="2"/>
  <c r="D617" i="2"/>
  <c r="D621" i="2"/>
  <c r="D620" i="2"/>
  <c r="I1261" i="3"/>
  <c r="I883" i="3"/>
  <c r="I383" i="3"/>
  <c r="I382" i="3"/>
  <c r="I933" i="3"/>
  <c r="I576" i="3"/>
  <c r="R2389" i="1"/>
  <c r="R2406" i="1"/>
  <c r="J504" i="1"/>
  <c r="J497" i="1"/>
  <c r="J501" i="1"/>
  <c r="J494" i="1"/>
  <c r="I494" i="1"/>
  <c r="I606" i="1"/>
  <c r="J613" i="1"/>
  <c r="J606" i="1"/>
  <c r="AU2188" i="2"/>
  <c r="AU2205" i="2"/>
  <c r="J1293" i="2"/>
  <c r="J1153" i="2"/>
  <c r="AP2188" i="2"/>
  <c r="AP2205" i="2"/>
  <c r="I1157" i="2"/>
  <c r="I1147" i="2"/>
  <c r="AP2182" i="2"/>
  <c r="BD2283" i="3"/>
  <c r="BD2299" i="3"/>
  <c r="J1527" i="3"/>
  <c r="G1209" i="2"/>
  <c r="G1215" i="2"/>
  <c r="G1216" i="2"/>
  <c r="G1217" i="2"/>
  <c r="G1207" i="2"/>
  <c r="G1210" i="2"/>
  <c r="G1211" i="2"/>
  <c r="G1208" i="2"/>
  <c r="G1212" i="2"/>
  <c r="E1209" i="2"/>
  <c r="E1215" i="2"/>
  <c r="E1216" i="2"/>
  <c r="E1217" i="2"/>
  <c r="E1210" i="2"/>
  <c r="E1211" i="2"/>
  <c r="E1208" i="2"/>
  <c r="E1212" i="2"/>
  <c r="I989" i="3"/>
  <c r="I1513" i="3"/>
  <c r="BD2269" i="3"/>
  <c r="BD2296" i="3"/>
  <c r="J495" i="1"/>
  <c r="J105" i="5"/>
  <c r="I80" i="5"/>
  <c r="I24" i="5"/>
  <c r="E75" i="4"/>
  <c r="E81" i="4"/>
  <c r="E82" i="4"/>
  <c r="E83" i="4"/>
  <c r="E72" i="4"/>
  <c r="E76" i="4"/>
  <c r="I79" i="4"/>
  <c r="D2122" i="4"/>
  <c r="E77" i="4"/>
  <c r="I77" i="4"/>
  <c r="J77" i="4"/>
  <c r="E74" i="4"/>
  <c r="E78" i="4"/>
  <c r="I78" i="4"/>
  <c r="J78" i="4"/>
  <c r="I912" i="3"/>
  <c r="J912" i="3"/>
  <c r="B985" i="3"/>
  <c r="B986" i="3"/>
  <c r="F1285" i="3"/>
  <c r="I1285" i="3"/>
  <c r="F1291" i="3"/>
  <c r="F1292" i="3"/>
  <c r="F1293" i="3"/>
  <c r="F1286" i="3"/>
  <c r="I1286" i="3"/>
  <c r="F1288" i="3"/>
  <c r="I1288" i="3"/>
  <c r="F1287" i="3"/>
  <c r="J1513" i="3"/>
  <c r="I46" i="3"/>
  <c r="C2283" i="3"/>
  <c r="I1209" i="3"/>
  <c r="J1209" i="3"/>
  <c r="I803" i="3"/>
  <c r="J803" i="3"/>
  <c r="I178" i="3"/>
  <c r="J178" i="3"/>
  <c r="I677" i="3"/>
  <c r="J677" i="3"/>
  <c r="L2275" i="3"/>
  <c r="L2297" i="3"/>
  <c r="AB2275" i="3"/>
  <c r="AB2297" i="3"/>
  <c r="J368" i="3"/>
  <c r="I508" i="3"/>
  <c r="I536" i="3"/>
  <c r="I564" i="3"/>
  <c r="I816" i="3"/>
  <c r="I925" i="3"/>
  <c r="I1033" i="3"/>
  <c r="I1060" i="3"/>
  <c r="I1087" i="3"/>
  <c r="I220" i="3"/>
  <c r="I305" i="3"/>
  <c r="J286" i="3"/>
  <c r="W2270" i="3"/>
  <c r="Y2270" i="3"/>
  <c r="I1438" i="3"/>
  <c r="BA2275" i="3"/>
  <c r="BA2297" i="3"/>
  <c r="I1465" i="3"/>
  <c r="I1114" i="3"/>
  <c r="L1110" i="3"/>
  <c r="I248" i="3"/>
  <c r="J248" i="3"/>
  <c r="J229" i="3"/>
  <c r="I346" i="3"/>
  <c r="N2275" i="3"/>
  <c r="N2297" i="3"/>
  <c r="J341" i="3"/>
  <c r="I454" i="3"/>
  <c r="J1517" i="3"/>
  <c r="AR2289" i="3"/>
  <c r="AR2304" i="3"/>
  <c r="T2289" i="3"/>
  <c r="T2304" i="3"/>
  <c r="AX2274" i="3"/>
  <c r="AI2274" i="3"/>
  <c r="AE2274" i="3"/>
  <c r="AA2274" i="3"/>
  <c r="Q2274" i="3"/>
  <c r="O2274" i="3"/>
  <c r="M2274" i="3"/>
  <c r="K2274" i="3"/>
  <c r="H2274" i="3"/>
  <c r="AW2273" i="3"/>
  <c r="AU2273" i="3"/>
  <c r="AQ2273" i="3"/>
  <c r="AO2273" i="3"/>
  <c r="AK2273" i="3"/>
  <c r="AG2273" i="3"/>
  <c r="AC2273" i="3"/>
  <c r="P2273" i="3"/>
  <c r="D2273" i="3"/>
  <c r="AX2272" i="3"/>
  <c r="AI2272" i="3"/>
  <c r="AE2272" i="3"/>
  <c r="AA2272" i="3"/>
  <c r="U2272" i="3"/>
  <c r="S2272" i="3"/>
  <c r="O2272" i="3"/>
  <c r="M2272" i="3"/>
  <c r="K2272" i="3"/>
  <c r="H2272" i="3"/>
  <c r="AW2271" i="3"/>
  <c r="AU2271" i="3"/>
  <c r="AQ2271" i="3"/>
  <c r="AO2271" i="3"/>
  <c r="AK2271" i="3"/>
  <c r="AG2271" i="3"/>
  <c r="AC2271" i="3"/>
  <c r="Q2271" i="3"/>
  <c r="E2271" i="3"/>
  <c r="BB2270" i="3"/>
  <c r="AY2270" i="3"/>
  <c r="AS2270" i="3"/>
  <c r="AH2270" i="3"/>
  <c r="AD2270" i="3"/>
  <c r="Z2270" i="3"/>
  <c r="V2270" i="3"/>
  <c r="T2270" i="3"/>
  <c r="I1398" i="3"/>
  <c r="I1276" i="3"/>
  <c r="I1249" i="3"/>
  <c r="I1236" i="3"/>
  <c r="I966" i="3"/>
  <c r="I858" i="3"/>
  <c r="I747" i="3"/>
  <c r="I1297" i="2"/>
  <c r="I1299" i="2"/>
  <c r="I2189" i="2"/>
  <c r="I2206" i="2"/>
  <c r="AO2191" i="2"/>
  <c r="AO2208" i="2"/>
  <c r="AU2190" i="2"/>
  <c r="AU2207" i="2"/>
  <c r="R2187" i="2"/>
  <c r="R2204" i="2"/>
  <c r="K2189" i="2"/>
  <c r="K2206" i="2"/>
  <c r="J131" i="2"/>
  <c r="AV2187" i="2"/>
  <c r="AV2204" i="2"/>
  <c r="I1278" i="1"/>
  <c r="J1278" i="1"/>
  <c r="D1275" i="1"/>
  <c r="D1274" i="1"/>
  <c r="D1273" i="1"/>
  <c r="D1272" i="1"/>
  <c r="D1276" i="1"/>
  <c r="D1279" i="1"/>
  <c r="G977" i="1"/>
  <c r="G974" i="1"/>
  <c r="G978" i="1"/>
  <c r="G975" i="1"/>
  <c r="G981" i="1"/>
  <c r="G976" i="1"/>
  <c r="E977" i="1"/>
  <c r="E974" i="1"/>
  <c r="E978" i="1"/>
  <c r="E975" i="1"/>
  <c r="E981" i="1"/>
  <c r="E982" i="1"/>
  <c r="E983" i="1"/>
  <c r="E976" i="1"/>
  <c r="C977" i="1"/>
  <c r="C974" i="1"/>
  <c r="C978" i="1"/>
  <c r="C975" i="1"/>
  <c r="C981" i="1"/>
  <c r="C982" i="1"/>
  <c r="C983" i="1"/>
  <c r="C976" i="1"/>
  <c r="B528" i="1"/>
  <c r="B532" i="1"/>
  <c r="B529" i="1"/>
  <c r="B535" i="1"/>
  <c r="B536" i="1"/>
  <c r="B537" i="1"/>
  <c r="B530" i="1"/>
  <c r="I533" i="1"/>
  <c r="B531" i="1"/>
  <c r="B218" i="1"/>
  <c r="B217" i="1"/>
  <c r="I222" i="1"/>
  <c r="B220" i="1"/>
  <c r="B219" i="1"/>
  <c r="B224" i="1"/>
  <c r="B225" i="1"/>
  <c r="B226" i="1"/>
  <c r="B216" i="1"/>
  <c r="D1383" i="1"/>
  <c r="D1387" i="1"/>
  <c r="D1388" i="1"/>
  <c r="D1382" i="1"/>
  <c r="H976" i="1"/>
  <c r="H975" i="1"/>
  <c r="H981" i="1"/>
  <c r="H982" i="1"/>
  <c r="H983" i="1"/>
  <c r="H974" i="1"/>
  <c r="H978" i="1"/>
  <c r="H977" i="1"/>
  <c r="F976" i="1"/>
  <c r="F975" i="1"/>
  <c r="F981" i="1"/>
  <c r="F982" i="1"/>
  <c r="F983" i="1"/>
  <c r="F974" i="1"/>
  <c r="F978" i="1"/>
  <c r="F977" i="1"/>
  <c r="D976" i="1"/>
  <c r="D975" i="1"/>
  <c r="D981" i="1"/>
  <c r="D982" i="1"/>
  <c r="D983" i="1"/>
  <c r="D974" i="1"/>
  <c r="D978" i="1"/>
  <c r="D977" i="1"/>
  <c r="B976" i="1"/>
  <c r="I979" i="1"/>
  <c r="B977" i="1"/>
  <c r="I977" i="1"/>
  <c r="B974" i="1"/>
  <c r="I974" i="1"/>
  <c r="B978" i="1"/>
  <c r="I978" i="1"/>
  <c r="B975" i="1"/>
  <c r="I975" i="1"/>
  <c r="B981" i="1"/>
  <c r="C279" i="1"/>
  <c r="C278" i="1"/>
  <c r="C277" i="1"/>
  <c r="C276" i="1"/>
  <c r="C280" i="1"/>
  <c r="C283" i="1"/>
  <c r="C284" i="1"/>
  <c r="C285" i="1"/>
  <c r="J203" i="1"/>
  <c r="I2366" i="1"/>
  <c r="I559" i="1"/>
  <c r="T2388" i="1"/>
  <c r="T2405" i="1"/>
  <c r="I841" i="1"/>
  <c r="J841" i="1"/>
  <c r="B249" i="1"/>
  <c r="B248" i="1"/>
  <c r="B252" i="1"/>
  <c r="B255" i="1"/>
  <c r="B256" i="1"/>
  <c r="B257" i="1"/>
  <c r="B251" i="1"/>
  <c r="B250" i="1"/>
  <c r="I253" i="1"/>
  <c r="C1068" i="2"/>
  <c r="C1072" i="2"/>
  <c r="C1071" i="2"/>
  <c r="C1070" i="2"/>
  <c r="C1069" i="2"/>
  <c r="C1075" i="2"/>
  <c r="C1076" i="2"/>
  <c r="C1077" i="2"/>
  <c r="C1067" i="2"/>
  <c r="G1174" i="3"/>
  <c r="G1175" i="3"/>
  <c r="I1054" i="2"/>
  <c r="J1054" i="2"/>
  <c r="I1366" i="3"/>
  <c r="D186" i="5"/>
  <c r="D190" i="5"/>
  <c r="D189" i="5"/>
  <c r="D188" i="5"/>
  <c r="D187" i="5"/>
  <c r="D193" i="5"/>
  <c r="D194" i="5"/>
  <c r="I496" i="5"/>
  <c r="T1630" i="5"/>
  <c r="T1658" i="5"/>
  <c r="B17" i="4"/>
  <c r="B18" i="4"/>
  <c r="E1229" i="4"/>
  <c r="E1226" i="4"/>
  <c r="E1230" i="4"/>
  <c r="C1229" i="4"/>
  <c r="C1226" i="4"/>
  <c r="C1230" i="4"/>
  <c r="J1216" i="4"/>
  <c r="AT2107" i="4"/>
  <c r="J1082" i="4"/>
  <c r="AO2108" i="4"/>
  <c r="J1078" i="4"/>
  <c r="J1097" i="4"/>
  <c r="I1097" i="4"/>
  <c r="AO2123" i="4"/>
  <c r="AO2139" i="4"/>
  <c r="J1053" i="4"/>
  <c r="AN2106" i="4"/>
  <c r="J1051" i="4"/>
  <c r="J1070" i="4"/>
  <c r="AN2104" i="4"/>
  <c r="J1027" i="4"/>
  <c r="AM2107" i="4"/>
  <c r="J1025" i="4"/>
  <c r="AM2105" i="4"/>
  <c r="J973" i="4"/>
  <c r="AK2107" i="4"/>
  <c r="J971" i="4"/>
  <c r="I975" i="4"/>
  <c r="AK2105" i="4"/>
  <c r="H902" i="4"/>
  <c r="H906" i="4"/>
  <c r="H905" i="4"/>
  <c r="D902" i="4"/>
  <c r="D906" i="4"/>
  <c r="D905" i="4"/>
  <c r="J891" i="4"/>
  <c r="AH2106" i="4"/>
  <c r="J889" i="4"/>
  <c r="J908" i="4"/>
  <c r="I908" i="4"/>
  <c r="AH2123" i="4"/>
  <c r="AH2139" i="4"/>
  <c r="AH2104" i="4"/>
  <c r="J865" i="4"/>
  <c r="AG2107" i="4"/>
  <c r="J863" i="4"/>
  <c r="AG2105" i="4"/>
  <c r="H848" i="4"/>
  <c r="H852" i="4"/>
  <c r="H851" i="4"/>
  <c r="D848" i="4"/>
  <c r="D852" i="4"/>
  <c r="D851" i="4"/>
  <c r="B848" i="4"/>
  <c r="B852" i="4"/>
  <c r="B851" i="4"/>
  <c r="G821" i="4"/>
  <c r="G825" i="4"/>
  <c r="G824" i="4"/>
  <c r="C821" i="4"/>
  <c r="C825" i="4"/>
  <c r="C824" i="4"/>
  <c r="J811" i="4"/>
  <c r="AE2107" i="4"/>
  <c r="J809" i="4"/>
  <c r="AE2105" i="4"/>
  <c r="J807" i="4"/>
  <c r="AE2103" i="4"/>
  <c r="AE2131" i="4"/>
  <c r="J704" i="4"/>
  <c r="AA2108" i="4"/>
  <c r="J700" i="4"/>
  <c r="J719" i="4"/>
  <c r="I719" i="4"/>
  <c r="AA2123" i="4"/>
  <c r="AA2139" i="4"/>
  <c r="H686" i="4"/>
  <c r="H690" i="4"/>
  <c r="H689" i="4"/>
  <c r="D686" i="4"/>
  <c r="D690" i="4"/>
  <c r="D689" i="4"/>
  <c r="J675" i="4"/>
  <c r="Z2106" i="4"/>
  <c r="J673" i="4"/>
  <c r="J692" i="4"/>
  <c r="Z2104" i="4"/>
  <c r="G659" i="4"/>
  <c r="G663" i="4"/>
  <c r="G662" i="4"/>
  <c r="C659" i="4"/>
  <c r="C663" i="4"/>
  <c r="C662" i="4"/>
  <c r="J649" i="4"/>
  <c r="Y2107" i="4"/>
  <c r="J647" i="4"/>
  <c r="Y2105" i="4"/>
  <c r="J645" i="4"/>
  <c r="Y2103" i="4"/>
  <c r="Y2131" i="4"/>
  <c r="H575" i="4"/>
  <c r="H579" i="4"/>
  <c r="H578" i="4"/>
  <c r="D575" i="4"/>
  <c r="D579" i="4"/>
  <c r="D578" i="4"/>
  <c r="J564" i="4"/>
  <c r="V2106" i="4"/>
  <c r="J562" i="4"/>
  <c r="J581" i="4"/>
  <c r="I581" i="4"/>
  <c r="V2123" i="4"/>
  <c r="V2139" i="4"/>
  <c r="V2104" i="4"/>
  <c r="J538" i="4"/>
  <c r="U2108" i="4"/>
  <c r="B407" i="4"/>
  <c r="B411" i="4"/>
  <c r="B410" i="4"/>
  <c r="J396" i="4"/>
  <c r="P2106" i="4"/>
  <c r="J394" i="4"/>
  <c r="J413" i="4"/>
  <c r="P2104" i="4"/>
  <c r="G381" i="4"/>
  <c r="G379" i="4"/>
  <c r="G382" i="4"/>
  <c r="C381" i="4"/>
  <c r="C379" i="4"/>
  <c r="C386" i="4"/>
  <c r="C387" i="4"/>
  <c r="C388" i="4"/>
  <c r="C378" i="4"/>
  <c r="J369" i="4"/>
  <c r="O2107" i="4"/>
  <c r="J314" i="4"/>
  <c r="M2108" i="4"/>
  <c r="J310" i="4"/>
  <c r="J329" i="4"/>
  <c r="I329" i="4"/>
  <c r="J284" i="4"/>
  <c r="L2106" i="4"/>
  <c r="J282" i="4"/>
  <c r="J301" i="4"/>
  <c r="L2104" i="4"/>
  <c r="L2123" i="4"/>
  <c r="L2139" i="4"/>
  <c r="J258" i="4"/>
  <c r="K2107" i="4"/>
  <c r="J256" i="4"/>
  <c r="K2105" i="4"/>
  <c r="J254" i="4"/>
  <c r="K2103" i="4"/>
  <c r="K2131" i="4"/>
  <c r="J205" i="4"/>
  <c r="I2108" i="4"/>
  <c r="J119" i="4"/>
  <c r="F2106" i="4"/>
  <c r="J117" i="4"/>
  <c r="J136" i="4"/>
  <c r="I136" i="4"/>
  <c r="F2104" i="4"/>
  <c r="F2123" i="4"/>
  <c r="F2139" i="4"/>
  <c r="J92" i="4"/>
  <c r="E2107" i="4"/>
  <c r="J63" i="4"/>
  <c r="D2106" i="4"/>
  <c r="J61" i="4"/>
  <c r="J80" i="4"/>
  <c r="D2104" i="4"/>
  <c r="D2123" i="4"/>
  <c r="J6" i="4"/>
  <c r="I25" i="4"/>
  <c r="J25" i="4"/>
  <c r="E1364" i="4"/>
  <c r="E1361" i="4"/>
  <c r="E1365" i="4"/>
  <c r="C1364" i="4"/>
  <c r="C1361" i="4"/>
  <c r="C1365" i="4"/>
  <c r="G1337" i="4"/>
  <c r="G1334" i="4"/>
  <c r="G1338" i="4"/>
  <c r="C1337" i="4"/>
  <c r="C1334" i="4"/>
  <c r="C1338" i="4"/>
  <c r="J1295" i="4"/>
  <c r="AW2105" i="4"/>
  <c r="J1272" i="4"/>
  <c r="AV2109" i="4"/>
  <c r="AV2132" i="4"/>
  <c r="J1271" i="4"/>
  <c r="AV2108" i="4"/>
  <c r="G1256" i="4"/>
  <c r="G1253" i="4"/>
  <c r="G1257" i="4"/>
  <c r="C1256" i="4"/>
  <c r="C1253" i="4"/>
  <c r="C1257" i="4"/>
  <c r="J1241" i="4"/>
  <c r="AU2105" i="4"/>
  <c r="J1190" i="4"/>
  <c r="AS2108" i="4"/>
  <c r="J1186" i="4"/>
  <c r="J1205" i="4"/>
  <c r="I1205" i="4"/>
  <c r="AS2123" i="4"/>
  <c r="AS2139" i="4"/>
  <c r="J1161" i="4"/>
  <c r="AR2106" i="4"/>
  <c r="G1146" i="4"/>
  <c r="G1152" i="4"/>
  <c r="G1153" i="4"/>
  <c r="G1154" i="4"/>
  <c r="G1147" i="4"/>
  <c r="C1146" i="4"/>
  <c r="C1152" i="4"/>
  <c r="C1147" i="4"/>
  <c r="J1135" i="4"/>
  <c r="AQ2107" i="4"/>
  <c r="G1119" i="4"/>
  <c r="G1125" i="4"/>
  <c r="G1120" i="4"/>
  <c r="C1119" i="4"/>
  <c r="C1125" i="4"/>
  <c r="C1126" i="4"/>
  <c r="C1127" i="4"/>
  <c r="C1120" i="4"/>
  <c r="D983" i="4"/>
  <c r="D987" i="4"/>
  <c r="D986" i="4"/>
  <c r="B983" i="4"/>
  <c r="B987" i="4"/>
  <c r="B986" i="4"/>
  <c r="H956" i="4"/>
  <c r="H960" i="4"/>
  <c r="H959" i="4"/>
  <c r="D956" i="4"/>
  <c r="D960" i="4"/>
  <c r="D959" i="4"/>
  <c r="J945" i="4"/>
  <c r="AJ2106" i="4"/>
  <c r="J943" i="4"/>
  <c r="J962" i="4"/>
  <c r="I962" i="4"/>
  <c r="AJ2123" i="4"/>
  <c r="AJ2139" i="4"/>
  <c r="AJ2104" i="4"/>
  <c r="J919" i="4"/>
  <c r="AI2107" i="4"/>
  <c r="J917" i="4"/>
  <c r="AI2105" i="4"/>
  <c r="H794" i="4"/>
  <c r="H798" i="4"/>
  <c r="H797" i="4"/>
  <c r="D794" i="4"/>
  <c r="D798" i="4"/>
  <c r="D797" i="4"/>
  <c r="J783" i="4"/>
  <c r="AD2106" i="4"/>
  <c r="J781" i="4"/>
  <c r="J800" i="4"/>
  <c r="I800" i="4"/>
  <c r="AD2123" i="4"/>
  <c r="AD2139" i="4"/>
  <c r="AD2104" i="4"/>
  <c r="G767" i="4"/>
  <c r="G771" i="4"/>
  <c r="G770" i="4"/>
  <c r="C767" i="4"/>
  <c r="C771" i="4"/>
  <c r="C770" i="4"/>
  <c r="J757" i="4"/>
  <c r="AC2107" i="4"/>
  <c r="J755" i="4"/>
  <c r="AC2105" i="4"/>
  <c r="J753" i="4"/>
  <c r="AC2103" i="4"/>
  <c r="AC2131" i="4"/>
  <c r="F631" i="4"/>
  <c r="F635" i="4"/>
  <c r="F634" i="4"/>
  <c r="D631" i="4"/>
  <c r="D635" i="4"/>
  <c r="D634" i="4"/>
  <c r="J620" i="4"/>
  <c r="X2106" i="4"/>
  <c r="J618" i="4"/>
  <c r="J637" i="4"/>
  <c r="X2104" i="4"/>
  <c r="G603" i="4"/>
  <c r="G607" i="4"/>
  <c r="G606" i="4"/>
  <c r="C603" i="4"/>
  <c r="C607" i="4"/>
  <c r="C606" i="4"/>
  <c r="J593" i="4"/>
  <c r="W2107" i="4"/>
  <c r="J591" i="4"/>
  <c r="W2105" i="4"/>
  <c r="J589" i="4"/>
  <c r="W2103" i="4"/>
  <c r="W2131" i="4"/>
  <c r="J508" i="4"/>
  <c r="T2106" i="4"/>
  <c r="J506" i="4"/>
  <c r="J525" i="4"/>
  <c r="I511" i="4"/>
  <c r="T2104" i="4"/>
  <c r="J481" i="4"/>
  <c r="S2107" i="4"/>
  <c r="J452" i="4"/>
  <c r="R2106" i="4"/>
  <c r="J450" i="4"/>
  <c r="J469" i="4"/>
  <c r="R2104" i="4"/>
  <c r="J425" i="4"/>
  <c r="Q2107" i="4"/>
  <c r="H353" i="4"/>
  <c r="I353" i="4"/>
  <c r="H352" i="4"/>
  <c r="J230" i="4"/>
  <c r="J2106" i="4"/>
  <c r="J228" i="4"/>
  <c r="J247" i="4"/>
  <c r="I247" i="4"/>
  <c r="J2104" i="4"/>
  <c r="J2123" i="4"/>
  <c r="J2139" i="4"/>
  <c r="J148" i="4"/>
  <c r="G2107" i="4"/>
  <c r="J146" i="4"/>
  <c r="G2105" i="4"/>
  <c r="J144" i="4"/>
  <c r="G2103" i="4"/>
  <c r="G2131" i="4"/>
  <c r="I413" i="4"/>
  <c r="P2123" i="4"/>
  <c r="P2139" i="4"/>
  <c r="I220" i="4"/>
  <c r="J635" i="3"/>
  <c r="AF2275" i="3"/>
  <c r="AF2297" i="3"/>
  <c r="I606" i="3"/>
  <c r="J606" i="3"/>
  <c r="I414" i="3"/>
  <c r="I333" i="3"/>
  <c r="I80" i="3"/>
  <c r="J1074" i="3"/>
  <c r="AM2289" i="3"/>
  <c r="AM2304" i="3"/>
  <c r="I1317" i="3"/>
  <c r="H555" i="1"/>
  <c r="H554" i="1"/>
  <c r="D555" i="1"/>
  <c r="D554" i="1"/>
  <c r="H1056" i="1"/>
  <c r="H1062" i="1"/>
  <c r="H1063" i="1"/>
  <c r="H1064" i="1"/>
  <c r="H1057" i="1"/>
  <c r="H1058" i="1"/>
  <c r="H1055" i="1"/>
  <c r="H1059" i="1"/>
  <c r="F1056" i="1"/>
  <c r="F1062" i="1"/>
  <c r="F1063" i="1"/>
  <c r="F1064" i="1"/>
  <c r="F1057" i="1"/>
  <c r="F1058" i="1"/>
  <c r="F1055" i="1"/>
  <c r="F1059" i="1"/>
  <c r="D1056" i="1"/>
  <c r="D1062" i="1"/>
  <c r="D1063" i="1"/>
  <c r="D1064" i="1"/>
  <c r="D1057" i="1"/>
  <c r="D1058" i="1"/>
  <c r="D1055" i="1"/>
  <c r="D1059" i="1"/>
  <c r="B1056" i="1"/>
  <c r="B1058" i="1"/>
  <c r="B1062" i="1"/>
  <c r="B1063" i="1"/>
  <c r="B1064" i="1"/>
  <c r="B1057" i="1"/>
  <c r="B1059" i="1"/>
  <c r="I1060" i="1"/>
  <c r="B1055" i="1"/>
  <c r="F555" i="1"/>
  <c r="F554" i="1"/>
  <c r="G1055" i="1"/>
  <c r="G1059" i="1"/>
  <c r="G1058" i="1"/>
  <c r="G1057" i="1"/>
  <c r="G1056" i="1"/>
  <c r="G1062" i="1"/>
  <c r="E1055" i="1"/>
  <c r="E1059" i="1"/>
  <c r="E1058" i="1"/>
  <c r="E1057" i="1"/>
  <c r="E1056" i="1"/>
  <c r="E1062" i="1"/>
  <c r="E1063" i="1"/>
  <c r="E1064" i="1"/>
  <c r="C1055" i="1"/>
  <c r="C1059" i="1"/>
  <c r="C1058" i="1"/>
  <c r="C1057" i="1"/>
  <c r="C1056" i="1"/>
  <c r="C1062" i="1"/>
  <c r="C1063" i="1"/>
  <c r="C1064" i="1"/>
  <c r="D836" i="1"/>
  <c r="D835" i="1"/>
  <c r="D839" i="1"/>
  <c r="D842" i="1"/>
  <c r="D843" i="1"/>
  <c r="D844" i="1"/>
  <c r="D838" i="1"/>
  <c r="D837" i="1"/>
  <c r="I925" i="1"/>
  <c r="J925" i="1"/>
  <c r="I869" i="1"/>
  <c r="J869" i="1"/>
  <c r="C1162" i="1"/>
  <c r="C1161" i="1"/>
  <c r="B954" i="2"/>
  <c r="B955" i="2"/>
  <c r="H570" i="3"/>
  <c r="H571" i="3"/>
  <c r="E1027" i="1"/>
  <c r="E1026" i="1"/>
  <c r="G1013" i="3"/>
  <c r="G1012" i="3"/>
  <c r="F877" i="3"/>
  <c r="F878" i="3"/>
  <c r="H637" i="3"/>
  <c r="H638" i="3"/>
  <c r="G1576" i="1"/>
  <c r="G1577" i="1"/>
  <c r="G1578" i="1"/>
  <c r="G1567" i="1"/>
  <c r="G1570" i="1"/>
  <c r="G1571" i="1"/>
  <c r="E1570" i="1"/>
  <c r="E1571" i="1"/>
  <c r="E1576" i="1"/>
  <c r="E1577" i="1"/>
  <c r="E1578" i="1"/>
  <c r="C1576" i="1"/>
  <c r="C1577" i="1"/>
  <c r="C1578" i="1"/>
  <c r="C1570" i="1"/>
  <c r="C1571" i="1"/>
  <c r="D1410" i="1"/>
  <c r="D1407" i="1"/>
  <c r="D1411" i="1"/>
  <c r="D1408" i="1"/>
  <c r="D1414" i="1"/>
  <c r="D1409" i="1"/>
  <c r="B1410" i="1"/>
  <c r="B1407" i="1"/>
  <c r="B1411" i="1"/>
  <c r="B1408" i="1"/>
  <c r="B1414" i="1"/>
  <c r="B1409" i="1"/>
  <c r="I1412" i="1"/>
  <c r="H1299" i="1"/>
  <c r="H1302" i="1"/>
  <c r="H1303" i="1"/>
  <c r="F1302" i="1"/>
  <c r="F1303" i="1"/>
  <c r="F1299" i="1"/>
  <c r="D1299" i="1"/>
  <c r="D1302" i="1"/>
  <c r="D1303" i="1"/>
  <c r="B1302" i="1"/>
  <c r="B1303" i="1"/>
  <c r="B1299" i="1"/>
  <c r="B1248" i="1"/>
  <c r="B1247" i="1"/>
  <c r="I1250" i="1"/>
  <c r="B1246" i="1"/>
  <c r="B1245" i="1"/>
  <c r="B1249" i="1"/>
  <c r="B1252" i="1"/>
  <c r="B1253" i="1"/>
  <c r="B1254" i="1"/>
  <c r="B1244" i="1"/>
  <c r="H584" i="1"/>
  <c r="H588" i="1"/>
  <c r="H587" i="1"/>
  <c r="H586" i="1"/>
  <c r="H585" i="1"/>
  <c r="H591" i="1"/>
  <c r="F584" i="1"/>
  <c r="F588" i="1"/>
  <c r="F587" i="1"/>
  <c r="F586" i="1"/>
  <c r="F585" i="1"/>
  <c r="F591" i="1"/>
  <c r="D584" i="1"/>
  <c r="D588" i="1"/>
  <c r="D587" i="1"/>
  <c r="D586" i="1"/>
  <c r="D585" i="1"/>
  <c r="D591" i="1"/>
  <c r="B584" i="1"/>
  <c r="B588" i="1"/>
  <c r="B585" i="1"/>
  <c r="B591" i="1"/>
  <c r="B586" i="1"/>
  <c r="I589" i="1"/>
  <c r="B587" i="1"/>
  <c r="H20" i="1"/>
  <c r="H22" i="1"/>
  <c r="H26" i="1"/>
  <c r="H27" i="1"/>
  <c r="H28" i="1"/>
  <c r="H19" i="1"/>
  <c r="H21" i="1"/>
  <c r="H23" i="1"/>
  <c r="F688" i="4"/>
  <c r="F687" i="4"/>
  <c r="F693" i="4"/>
  <c r="F694" i="4"/>
  <c r="F695" i="4"/>
  <c r="F686" i="4"/>
  <c r="F690" i="4"/>
  <c r="F689" i="4"/>
  <c r="B577" i="4"/>
  <c r="B576" i="4"/>
  <c r="B582" i="4"/>
  <c r="B583" i="4"/>
  <c r="B584" i="4"/>
  <c r="B575" i="4"/>
  <c r="B579" i="4"/>
  <c r="B578" i="4"/>
  <c r="G1265" i="2"/>
  <c r="G1271" i="2"/>
  <c r="G1272" i="2"/>
  <c r="G1273" i="2"/>
  <c r="G1263" i="2"/>
  <c r="G1266" i="2"/>
  <c r="G1267" i="2"/>
  <c r="G1264" i="2"/>
  <c r="G1268" i="2"/>
  <c r="E1265" i="2"/>
  <c r="E1271" i="2"/>
  <c r="E1272" i="2"/>
  <c r="E1273" i="2"/>
  <c r="E1262" i="2"/>
  <c r="E1266" i="2"/>
  <c r="E1267" i="2"/>
  <c r="E1264" i="2"/>
  <c r="E1268" i="2"/>
  <c r="C1265" i="2"/>
  <c r="C1271" i="2"/>
  <c r="C1272" i="2"/>
  <c r="C1273" i="2"/>
  <c r="C1263" i="2"/>
  <c r="C1266" i="2"/>
  <c r="C1267" i="2"/>
  <c r="C1264" i="2"/>
  <c r="C1268" i="2"/>
  <c r="C1209" i="2"/>
  <c r="C1215" i="2"/>
  <c r="C1216" i="2"/>
  <c r="C1217" i="2"/>
  <c r="C1206" i="2"/>
  <c r="C1210" i="2"/>
  <c r="C1211" i="2"/>
  <c r="C1208" i="2"/>
  <c r="C1212" i="2"/>
  <c r="G1099" i="2"/>
  <c r="G1096" i="2"/>
  <c r="G1100" i="2"/>
  <c r="G1097" i="2"/>
  <c r="G1103" i="2"/>
  <c r="G1104" i="2"/>
  <c r="G1105" i="2"/>
  <c r="G1094" i="2"/>
  <c r="G1098" i="2"/>
  <c r="E1099" i="2"/>
  <c r="E1096" i="2"/>
  <c r="E1100" i="2"/>
  <c r="E1097" i="2"/>
  <c r="E1103" i="2"/>
  <c r="E1104" i="2"/>
  <c r="E1105" i="2"/>
  <c r="E1098" i="2"/>
  <c r="C1099" i="2"/>
  <c r="C1096" i="2"/>
  <c r="C1100" i="2"/>
  <c r="C1097" i="2"/>
  <c r="C1103" i="2"/>
  <c r="C1098" i="2"/>
  <c r="H1571" i="1"/>
  <c r="H1570" i="1"/>
  <c r="H1576" i="1"/>
  <c r="H1577" i="1"/>
  <c r="H1578" i="1"/>
  <c r="H1568" i="1"/>
  <c r="H1569" i="1"/>
  <c r="H1573" i="1"/>
  <c r="H1572" i="1"/>
  <c r="F1571" i="1"/>
  <c r="F1570" i="1"/>
  <c r="F1576" i="1"/>
  <c r="F1569" i="1"/>
  <c r="F1573" i="1"/>
  <c r="F1572" i="1"/>
  <c r="D1571" i="1"/>
  <c r="D1570" i="1"/>
  <c r="D1576" i="1"/>
  <c r="D1577" i="1"/>
  <c r="D1578" i="1"/>
  <c r="D1569" i="1"/>
  <c r="D1573" i="1"/>
  <c r="D1572" i="1"/>
  <c r="B1571" i="1"/>
  <c r="B1573" i="1"/>
  <c r="B1570" i="1"/>
  <c r="B1576" i="1"/>
  <c r="B1577" i="1"/>
  <c r="B1578" i="1"/>
  <c r="B1569" i="1"/>
  <c r="I1574" i="1"/>
  <c r="B1572" i="1"/>
  <c r="C1408" i="1"/>
  <c r="C1409" i="1"/>
  <c r="C1414" i="1"/>
  <c r="C1415" i="1"/>
  <c r="C1416" i="1"/>
  <c r="G1301" i="1"/>
  <c r="G1300" i="1"/>
  <c r="G1306" i="1"/>
  <c r="G1299" i="1"/>
  <c r="G1303" i="1"/>
  <c r="G1302" i="1"/>
  <c r="E1301" i="1"/>
  <c r="E1300" i="1"/>
  <c r="E1306" i="1"/>
  <c r="E1307" i="1"/>
  <c r="E1308" i="1"/>
  <c r="E1297" i="1"/>
  <c r="E1299" i="1"/>
  <c r="E1303" i="1"/>
  <c r="E1302" i="1"/>
  <c r="C1301" i="1"/>
  <c r="C1300" i="1"/>
  <c r="C1306" i="1"/>
  <c r="C1307" i="1"/>
  <c r="C1308" i="1"/>
  <c r="C1299" i="1"/>
  <c r="C1303" i="1"/>
  <c r="C1302" i="1"/>
  <c r="D1220" i="1"/>
  <c r="D1219" i="1"/>
  <c r="D1224" i="1"/>
  <c r="D1225" i="1"/>
  <c r="D1226" i="1"/>
  <c r="D1218" i="1"/>
  <c r="D1217" i="1"/>
  <c r="D1221" i="1"/>
  <c r="H894" i="1"/>
  <c r="H893" i="1"/>
  <c r="H892" i="1"/>
  <c r="H891" i="1"/>
  <c r="H895" i="1"/>
  <c r="H898" i="1"/>
  <c r="H899" i="1"/>
  <c r="H900" i="1"/>
  <c r="H890" i="1"/>
  <c r="G587" i="1"/>
  <c r="G584" i="1"/>
  <c r="G588" i="1"/>
  <c r="G585" i="1"/>
  <c r="G591" i="1"/>
  <c r="G592" i="1"/>
  <c r="G593" i="1"/>
  <c r="G586" i="1"/>
  <c r="E587" i="1"/>
  <c r="E584" i="1"/>
  <c r="E588" i="1"/>
  <c r="E585" i="1"/>
  <c r="E591" i="1"/>
  <c r="E592" i="1"/>
  <c r="E593" i="1"/>
  <c r="E582" i="1"/>
  <c r="E586" i="1"/>
  <c r="C587" i="1"/>
  <c r="C584" i="1"/>
  <c r="C588" i="1"/>
  <c r="C585" i="1"/>
  <c r="C591" i="1"/>
  <c r="C586" i="1"/>
  <c r="I19" i="1"/>
  <c r="B2385" i="1"/>
  <c r="I21" i="1"/>
  <c r="B2387" i="1"/>
  <c r="I23" i="1"/>
  <c r="B2389" i="1"/>
  <c r="B2390" i="1"/>
  <c r="B2392" i="1"/>
  <c r="I20" i="1"/>
  <c r="B2386" i="1"/>
  <c r="I22" i="1"/>
  <c r="B2388" i="1"/>
  <c r="I26" i="1"/>
  <c r="I27" i="1"/>
  <c r="I28" i="1"/>
  <c r="H1264" i="2"/>
  <c r="H1268" i="2"/>
  <c r="H1267" i="2"/>
  <c r="H1266" i="2"/>
  <c r="H1265" i="2"/>
  <c r="H1271" i="2"/>
  <c r="H1272" i="2"/>
  <c r="H1273" i="2"/>
  <c r="F1264" i="2"/>
  <c r="F1268" i="2"/>
  <c r="F1267" i="2"/>
  <c r="F1266" i="2"/>
  <c r="F1265" i="2"/>
  <c r="F1271" i="2"/>
  <c r="D1264" i="2"/>
  <c r="D1268" i="2"/>
  <c r="D1267" i="2"/>
  <c r="D1266" i="2"/>
  <c r="D1265" i="2"/>
  <c r="D1271" i="2"/>
  <c r="D1272" i="2"/>
  <c r="D1273" i="2"/>
  <c r="D1262" i="2"/>
  <c r="B1264" i="2"/>
  <c r="B1268" i="2"/>
  <c r="I1268" i="2"/>
  <c r="B1267" i="2"/>
  <c r="I1267" i="2"/>
  <c r="B1266" i="2"/>
  <c r="B1265" i="2"/>
  <c r="B1271" i="2"/>
  <c r="H1096" i="2"/>
  <c r="H1100" i="2"/>
  <c r="H1099" i="2"/>
  <c r="H1098" i="2"/>
  <c r="H1097" i="2"/>
  <c r="H1103" i="2"/>
  <c r="F1096" i="2"/>
  <c r="F1100" i="2"/>
  <c r="F1099" i="2"/>
  <c r="F1098" i="2"/>
  <c r="F1097" i="2"/>
  <c r="F1103" i="2"/>
  <c r="F1104" i="2"/>
  <c r="F1105" i="2"/>
  <c r="D1096" i="2"/>
  <c r="D1100" i="2"/>
  <c r="D1099" i="2"/>
  <c r="D1098" i="2"/>
  <c r="D1097" i="2"/>
  <c r="D1103" i="2"/>
  <c r="B1096" i="2"/>
  <c r="I1096" i="2"/>
  <c r="B1098" i="2"/>
  <c r="I1098" i="2"/>
  <c r="B1100" i="2"/>
  <c r="B1097" i="2"/>
  <c r="B1099" i="2"/>
  <c r="B1103" i="2"/>
  <c r="B1104" i="2"/>
  <c r="B1105" i="2"/>
  <c r="AM2173" i="2"/>
  <c r="AM2201" i="2"/>
  <c r="D675" i="2"/>
  <c r="D679" i="2"/>
  <c r="D678" i="2"/>
  <c r="D677" i="2"/>
  <c r="D676" i="2"/>
  <c r="D682" i="2"/>
  <c r="D683" i="2"/>
  <c r="D684" i="2"/>
  <c r="D673" i="2"/>
  <c r="J1394" i="2"/>
  <c r="AY2177" i="2"/>
  <c r="J1390" i="2"/>
  <c r="AY2173" i="2"/>
  <c r="AY2201" i="2"/>
  <c r="I1459" i="3"/>
  <c r="I1168" i="3"/>
  <c r="I1141" i="3"/>
  <c r="I400" i="3"/>
  <c r="I319" i="3"/>
  <c r="I277" i="3"/>
  <c r="I192" i="3"/>
  <c r="J192" i="3"/>
  <c r="AG1635" i="5"/>
  <c r="AG1633" i="5"/>
  <c r="AE1632" i="5"/>
  <c r="AG1631" i="5"/>
  <c r="I867" i="5"/>
  <c r="AG1650" i="5"/>
  <c r="AG1666" i="5"/>
  <c r="F679" i="5"/>
  <c r="F680" i="5"/>
  <c r="F681" i="5"/>
  <c r="I631" i="5"/>
  <c r="Y1630" i="5"/>
  <c r="Y1658" i="5"/>
  <c r="I570" i="5"/>
  <c r="V1650" i="5"/>
  <c r="V1666" i="5"/>
  <c r="I550" i="5"/>
  <c r="J550" i="5"/>
  <c r="I192" i="5"/>
  <c r="H1650" i="5"/>
  <c r="H1666" i="5"/>
  <c r="I136" i="5"/>
  <c r="F1650" i="5"/>
  <c r="F1666" i="5"/>
  <c r="I94" i="5"/>
  <c r="I66" i="5"/>
  <c r="J1396" i="2"/>
  <c r="AY2179" i="2"/>
  <c r="AY2202" i="2"/>
  <c r="J1395" i="2"/>
  <c r="AY2178" i="2"/>
  <c r="J1391" i="2"/>
  <c r="J1410" i="2"/>
  <c r="AY2174" i="2"/>
  <c r="J1393" i="2"/>
  <c r="I489" i="5"/>
  <c r="S1650" i="5"/>
  <c r="S1666" i="5"/>
  <c r="I448" i="5"/>
  <c r="I435" i="5"/>
  <c r="Q1650" i="5"/>
  <c r="Q1666" i="5"/>
  <c r="I394" i="5"/>
  <c r="I367" i="5"/>
  <c r="I354" i="5"/>
  <c r="N1650" i="5"/>
  <c r="N1666" i="5"/>
  <c r="I313" i="5"/>
  <c r="I300" i="5"/>
  <c r="L1650" i="5"/>
  <c r="L1666" i="5"/>
  <c r="I117" i="6"/>
  <c r="F873" i="6"/>
  <c r="F895" i="6"/>
  <c r="I57" i="6"/>
  <c r="J57" i="6"/>
  <c r="H47" i="6"/>
  <c r="H44" i="6"/>
  <c r="H48" i="6"/>
  <c r="H45" i="6"/>
  <c r="H51" i="6"/>
  <c r="H52" i="6"/>
  <c r="H53" i="6"/>
  <c r="H46" i="6"/>
  <c r="F47" i="6"/>
  <c r="F44" i="6"/>
  <c r="F48" i="6"/>
  <c r="F45" i="6"/>
  <c r="F51" i="6"/>
  <c r="F46" i="6"/>
  <c r="D47" i="6"/>
  <c r="D44" i="6"/>
  <c r="D48" i="6"/>
  <c r="D45" i="6"/>
  <c r="D51" i="6"/>
  <c r="D52" i="6"/>
  <c r="D53" i="6"/>
  <c r="D42" i="6"/>
  <c r="D46" i="6"/>
  <c r="G44" i="6"/>
  <c r="G48" i="6"/>
  <c r="G47" i="6"/>
  <c r="G46" i="6"/>
  <c r="G45" i="6"/>
  <c r="G51" i="6"/>
  <c r="G52" i="6"/>
  <c r="G53" i="6"/>
  <c r="E44" i="6"/>
  <c r="E48" i="6"/>
  <c r="E47" i="6"/>
  <c r="E46" i="6"/>
  <c r="E45" i="6"/>
  <c r="E51" i="6"/>
  <c r="C44" i="6"/>
  <c r="C48" i="6"/>
  <c r="C47" i="6"/>
  <c r="C46" i="6"/>
  <c r="C45" i="6"/>
  <c r="C51" i="6"/>
  <c r="C52" i="6"/>
  <c r="C53" i="6"/>
  <c r="C43" i="6"/>
  <c r="H20" i="6"/>
  <c r="I20" i="6"/>
  <c r="H17" i="6"/>
  <c r="H21" i="6"/>
  <c r="I21" i="6"/>
  <c r="H18" i="6"/>
  <c r="H24" i="6"/>
  <c r="H25" i="6"/>
  <c r="H26" i="6"/>
  <c r="H19" i="6"/>
  <c r="I9" i="6"/>
  <c r="I3" i="6"/>
  <c r="E861" i="5"/>
  <c r="I861" i="5"/>
  <c r="J861" i="5"/>
  <c r="E865" i="5"/>
  <c r="E864" i="5"/>
  <c r="E863" i="5"/>
  <c r="E862" i="5"/>
  <c r="E868" i="5"/>
  <c r="C593" i="5"/>
  <c r="C592" i="5"/>
  <c r="C598" i="5"/>
  <c r="C591" i="5"/>
  <c r="C595" i="5"/>
  <c r="C594" i="5"/>
  <c r="C566" i="5"/>
  <c r="C565" i="5"/>
  <c r="C571" i="5"/>
  <c r="C572" i="5"/>
  <c r="C573" i="5"/>
  <c r="C564" i="5"/>
  <c r="C568" i="5"/>
  <c r="C567" i="5"/>
  <c r="D377" i="5"/>
  <c r="D376" i="5"/>
  <c r="D382" i="5"/>
  <c r="D383" i="5"/>
  <c r="D384" i="5"/>
  <c r="D375" i="5"/>
  <c r="D379" i="5"/>
  <c r="D378" i="5"/>
  <c r="E131" i="5"/>
  <c r="E137" i="5"/>
  <c r="E138" i="5"/>
  <c r="E139" i="5"/>
  <c r="E132" i="5"/>
  <c r="E133" i="5"/>
  <c r="E130" i="5"/>
  <c r="E134" i="5"/>
  <c r="C131" i="5"/>
  <c r="C137" i="5"/>
  <c r="C138" i="5"/>
  <c r="C139" i="5"/>
  <c r="C132" i="5"/>
  <c r="C133" i="5"/>
  <c r="C130" i="5"/>
  <c r="C134" i="5"/>
  <c r="G46" i="5"/>
  <c r="G50" i="5"/>
  <c r="G49" i="5"/>
  <c r="G48" i="5"/>
  <c r="G47" i="5"/>
  <c r="G53" i="5"/>
  <c r="G54" i="5"/>
  <c r="G55" i="5"/>
  <c r="E46" i="5"/>
  <c r="E50" i="5"/>
  <c r="E49" i="5"/>
  <c r="E48" i="5"/>
  <c r="E47" i="5"/>
  <c r="E53" i="5"/>
  <c r="E54" i="5"/>
  <c r="E55" i="5"/>
  <c r="C46" i="5"/>
  <c r="C50" i="5"/>
  <c r="C49" i="5"/>
  <c r="C48" i="5"/>
  <c r="C47" i="5"/>
  <c r="C53" i="5"/>
  <c r="C54" i="5"/>
  <c r="C55" i="5"/>
  <c r="E755" i="5"/>
  <c r="E754" i="5"/>
  <c r="E760" i="5"/>
  <c r="E761" i="5"/>
  <c r="E762" i="5"/>
  <c r="E753" i="5"/>
  <c r="E757" i="5"/>
  <c r="I757" i="5"/>
  <c r="E756" i="5"/>
  <c r="C620" i="5"/>
  <c r="C619" i="5"/>
  <c r="C625" i="5"/>
  <c r="C626" i="5"/>
  <c r="C627" i="5"/>
  <c r="C618" i="5"/>
  <c r="C622" i="5"/>
  <c r="C621" i="5"/>
  <c r="J577" i="5"/>
  <c r="C539" i="5"/>
  <c r="C538" i="5"/>
  <c r="C544" i="5"/>
  <c r="C545" i="5"/>
  <c r="C546" i="5"/>
  <c r="C537" i="5"/>
  <c r="C541" i="5"/>
  <c r="C540" i="5"/>
  <c r="C350" i="5"/>
  <c r="C349" i="5"/>
  <c r="C355" i="5"/>
  <c r="C348" i="5"/>
  <c r="C352" i="5"/>
  <c r="C351" i="5"/>
  <c r="B269" i="5"/>
  <c r="B268" i="5"/>
  <c r="B274" i="5"/>
  <c r="B275" i="5"/>
  <c r="B276" i="5"/>
  <c r="B267" i="5"/>
  <c r="B271" i="5"/>
  <c r="B270" i="5"/>
  <c r="G213" i="5"/>
  <c r="G217" i="5"/>
  <c r="G216" i="5"/>
  <c r="G215" i="5"/>
  <c r="G214" i="5"/>
  <c r="G220" i="5"/>
  <c r="G221" i="5"/>
  <c r="G222" i="5"/>
  <c r="G158" i="5"/>
  <c r="G162" i="5"/>
  <c r="G161" i="5"/>
  <c r="G160" i="5"/>
  <c r="G159" i="5"/>
  <c r="G165" i="5"/>
  <c r="G166" i="5"/>
  <c r="G167" i="5"/>
  <c r="F137" i="5"/>
  <c r="F138" i="5"/>
  <c r="F139" i="5"/>
  <c r="F129" i="5"/>
  <c r="F132" i="5"/>
  <c r="F131" i="5"/>
  <c r="F130" i="5"/>
  <c r="F134" i="5"/>
  <c r="F133" i="5"/>
  <c r="D130" i="5"/>
  <c r="D134" i="5"/>
  <c r="D133" i="5"/>
  <c r="D137" i="5"/>
  <c r="D138" i="5"/>
  <c r="D139" i="5"/>
  <c r="D132" i="5"/>
  <c r="D131" i="5"/>
  <c r="B132" i="5"/>
  <c r="B134" i="5"/>
  <c r="B133" i="5"/>
  <c r="B130" i="5"/>
  <c r="B131" i="5"/>
  <c r="B137" i="5"/>
  <c r="B138" i="5"/>
  <c r="B139" i="5"/>
  <c r="H47" i="5"/>
  <c r="H53" i="5"/>
  <c r="H54" i="5"/>
  <c r="H55" i="5"/>
  <c r="H48" i="5"/>
  <c r="H49" i="5"/>
  <c r="H46" i="5"/>
  <c r="H50" i="5"/>
  <c r="F47" i="5"/>
  <c r="F53" i="5"/>
  <c r="F54" i="5"/>
  <c r="F55" i="5"/>
  <c r="F48" i="5"/>
  <c r="F49" i="5"/>
  <c r="F46" i="5"/>
  <c r="F50" i="5"/>
  <c r="D47" i="5"/>
  <c r="D53" i="5"/>
  <c r="D54" i="5"/>
  <c r="D55" i="5"/>
  <c r="D48" i="5"/>
  <c r="D49" i="5"/>
  <c r="D46" i="5"/>
  <c r="D50" i="5"/>
  <c r="B47" i="5"/>
  <c r="B49" i="5"/>
  <c r="B53" i="5"/>
  <c r="B54" i="5"/>
  <c r="B55" i="5"/>
  <c r="B45" i="5"/>
  <c r="B48" i="5"/>
  <c r="B46" i="5"/>
  <c r="B50" i="5"/>
  <c r="J879" i="5"/>
  <c r="AH1635" i="5"/>
  <c r="J877" i="5"/>
  <c r="AH1633" i="5"/>
  <c r="J875" i="5"/>
  <c r="J894" i="5"/>
  <c r="I122" i="5"/>
  <c r="I38" i="5"/>
  <c r="I10" i="5"/>
  <c r="J878" i="5"/>
  <c r="AH1634" i="5"/>
  <c r="J876" i="5"/>
  <c r="AH1632" i="5"/>
  <c r="F1310" i="4"/>
  <c r="F1307" i="4"/>
  <c r="F1311" i="4"/>
  <c r="F1308" i="4"/>
  <c r="F1314" i="4"/>
  <c r="F1315" i="4"/>
  <c r="F1316" i="4"/>
  <c r="F1309" i="4"/>
  <c r="D1283" i="4"/>
  <c r="D1280" i="4"/>
  <c r="D1284" i="4"/>
  <c r="D1281" i="4"/>
  <c r="D1287" i="4"/>
  <c r="D1288" i="4"/>
  <c r="D1289" i="4"/>
  <c r="D1282" i="4"/>
  <c r="H189" i="4"/>
  <c r="H186" i="4"/>
  <c r="H190" i="4"/>
  <c r="H187" i="4"/>
  <c r="H193" i="4"/>
  <c r="H194" i="4"/>
  <c r="H195" i="4"/>
  <c r="H188" i="4"/>
  <c r="D133" i="4"/>
  <c r="D130" i="4"/>
  <c r="D134" i="4"/>
  <c r="D131" i="4"/>
  <c r="D137" i="4"/>
  <c r="D132" i="4"/>
  <c r="G105" i="4"/>
  <c r="G102" i="4"/>
  <c r="G106" i="4"/>
  <c r="G103" i="4"/>
  <c r="G109" i="4"/>
  <c r="G110" i="4"/>
  <c r="G111" i="4"/>
  <c r="G104" i="4"/>
  <c r="I107" i="4"/>
  <c r="J107" i="4"/>
  <c r="F49" i="4"/>
  <c r="F46" i="4"/>
  <c r="F50" i="4"/>
  <c r="F47" i="4"/>
  <c r="F53" i="4"/>
  <c r="F54" i="4"/>
  <c r="F55" i="4"/>
  <c r="F48" i="4"/>
  <c r="J1325" i="4"/>
  <c r="AX2108" i="4"/>
  <c r="J1323" i="4"/>
  <c r="AX2106" i="4"/>
  <c r="J1321" i="4"/>
  <c r="J1340" i="4"/>
  <c r="AX2104" i="4"/>
  <c r="J1326" i="4"/>
  <c r="J1324" i="4"/>
  <c r="AX2107" i="4"/>
  <c r="J1322" i="4"/>
  <c r="AX2105" i="4"/>
  <c r="F767" i="3"/>
  <c r="F768" i="3"/>
  <c r="BB2269" i="3"/>
  <c r="BB2296" i="3"/>
  <c r="J1459" i="3"/>
  <c r="F854" i="3"/>
  <c r="I854" i="3"/>
  <c r="F855" i="3"/>
  <c r="F852" i="3"/>
  <c r="I852" i="3"/>
  <c r="F853" i="3"/>
  <c r="I853" i="3"/>
  <c r="F859" i="3"/>
  <c r="F860" i="3"/>
  <c r="F861" i="3"/>
  <c r="F856" i="3"/>
  <c r="F1039" i="3"/>
  <c r="F1040" i="3"/>
  <c r="I1258" i="3"/>
  <c r="J1258" i="3"/>
  <c r="I1151" i="3"/>
  <c r="I856" i="3"/>
  <c r="I1432" i="3"/>
  <c r="I1081" i="3"/>
  <c r="AN2269" i="3"/>
  <c r="AN2296" i="3"/>
  <c r="I844" i="3"/>
  <c r="I592" i="3"/>
  <c r="J592" i="3"/>
  <c r="I11" i="3"/>
  <c r="I1108" i="3"/>
  <c r="J1108" i="3"/>
  <c r="I1054" i="3"/>
  <c r="I1020" i="3"/>
  <c r="I1381" i="2"/>
  <c r="I1372" i="2"/>
  <c r="AX2183" i="2"/>
  <c r="AU2191" i="2"/>
  <c r="AU2208" i="2"/>
  <c r="AP2187" i="2"/>
  <c r="AP2204" i="2"/>
  <c r="AX2188" i="2"/>
  <c r="AX2205" i="2"/>
  <c r="AX2187" i="2"/>
  <c r="AX2204" i="2"/>
  <c r="AX2210" i="2"/>
  <c r="AQ2187" i="2"/>
  <c r="AQ2204" i="2"/>
  <c r="AQ2188" i="2"/>
  <c r="AQ2205" i="2"/>
  <c r="AQ2189" i="2"/>
  <c r="AQ2206" i="2"/>
  <c r="F1356" i="1"/>
  <c r="F1353" i="1"/>
  <c r="F1357" i="1"/>
  <c r="D1356" i="1"/>
  <c r="D1355" i="1"/>
  <c r="B1354" i="1"/>
  <c r="B1353" i="1"/>
  <c r="B1357" i="1"/>
  <c r="G1326" i="1"/>
  <c r="G1330" i="1"/>
  <c r="G1329" i="1"/>
  <c r="E1326" i="1"/>
  <c r="E1330" i="1"/>
  <c r="E1329" i="1"/>
  <c r="C1326" i="1"/>
  <c r="I1326" i="1"/>
  <c r="C1330" i="1"/>
  <c r="C1329" i="1"/>
  <c r="J1312" i="1"/>
  <c r="H1300" i="1"/>
  <c r="H1306" i="1"/>
  <c r="H1301" i="1"/>
  <c r="F1300" i="1"/>
  <c r="F1306" i="1"/>
  <c r="F1307" i="1"/>
  <c r="F1308" i="1"/>
  <c r="F1297" i="1"/>
  <c r="F1301" i="1"/>
  <c r="D1300" i="1"/>
  <c r="D1306" i="1"/>
  <c r="D1307" i="1"/>
  <c r="D1308" i="1"/>
  <c r="D1301" i="1"/>
  <c r="B1300" i="1"/>
  <c r="B1306" i="1"/>
  <c r="B1301" i="1"/>
  <c r="I1304" i="1"/>
  <c r="J1289" i="1"/>
  <c r="AU2370" i="1"/>
  <c r="J1041" i="1"/>
  <c r="AL2366" i="1"/>
  <c r="AL2399" i="1"/>
  <c r="J879" i="1"/>
  <c r="AF2368" i="1"/>
  <c r="J877" i="1"/>
  <c r="AF2366" i="1"/>
  <c r="AF2399" i="1"/>
  <c r="J630" i="1"/>
  <c r="W2371" i="1"/>
  <c r="J573" i="1"/>
  <c r="U2369" i="1"/>
  <c r="J547" i="1"/>
  <c r="T2371" i="1"/>
  <c r="J542" i="1"/>
  <c r="T2366" i="1"/>
  <c r="T2399" i="1"/>
  <c r="J518" i="1"/>
  <c r="S2370" i="1"/>
  <c r="J488" i="1"/>
  <c r="R2368" i="1"/>
  <c r="L469" i="1"/>
  <c r="R2366" i="1"/>
  <c r="R2399" i="1"/>
  <c r="J433" i="1"/>
  <c r="P2369" i="1"/>
  <c r="J430" i="1"/>
  <c r="P2366" i="1"/>
  <c r="P2399" i="1"/>
  <c r="J406" i="1"/>
  <c r="O2370" i="1"/>
  <c r="J379" i="1"/>
  <c r="N2371" i="1"/>
  <c r="J377" i="1"/>
  <c r="N2369" i="1"/>
  <c r="J375" i="1"/>
  <c r="N2367" i="1"/>
  <c r="J236" i="1"/>
  <c r="J2368" i="1"/>
  <c r="J234" i="1"/>
  <c r="J2366" i="1"/>
  <c r="J178" i="1"/>
  <c r="H2369" i="1"/>
  <c r="J176" i="1"/>
  <c r="H2367" i="1"/>
  <c r="H2391" i="1"/>
  <c r="J121" i="1"/>
  <c r="F2369" i="1"/>
  <c r="J119" i="1"/>
  <c r="J138" i="1"/>
  <c r="I138" i="1"/>
  <c r="F2367" i="1"/>
  <c r="F2391" i="1"/>
  <c r="J64" i="1"/>
  <c r="D2368" i="1"/>
  <c r="J62" i="1"/>
  <c r="D2366" i="1"/>
  <c r="H1623" i="1"/>
  <c r="H1627" i="1"/>
  <c r="H1626" i="1"/>
  <c r="F1623" i="1"/>
  <c r="F1627" i="1"/>
  <c r="F1626" i="1"/>
  <c r="D1623" i="1"/>
  <c r="D1627" i="1"/>
  <c r="D1626" i="1"/>
  <c r="B1628" i="1"/>
  <c r="B1630" i="1"/>
  <c r="H1601" i="1"/>
  <c r="H1603" i="1"/>
  <c r="F1598" i="1"/>
  <c r="F1597" i="1"/>
  <c r="F1603" i="1"/>
  <c r="D1601" i="1"/>
  <c r="D1603" i="1"/>
  <c r="D1604" i="1"/>
  <c r="B1598" i="1"/>
  <c r="B1599" i="1"/>
  <c r="G1572" i="1"/>
  <c r="G1569" i="1"/>
  <c r="G1573" i="1"/>
  <c r="E1572" i="1"/>
  <c r="E1569" i="1"/>
  <c r="E1573" i="1"/>
  <c r="C1572" i="1"/>
  <c r="C1569" i="1"/>
  <c r="C1573" i="1"/>
  <c r="J1557" i="1"/>
  <c r="BE2368" i="1"/>
  <c r="G1545" i="1"/>
  <c r="G1542" i="1"/>
  <c r="G1546" i="1"/>
  <c r="E1545" i="1"/>
  <c r="E1542" i="1"/>
  <c r="E1546" i="1"/>
  <c r="C1545" i="1"/>
  <c r="C1542" i="1"/>
  <c r="C1546" i="1"/>
  <c r="J1532" i="1"/>
  <c r="BD2370" i="1"/>
  <c r="J1477" i="1"/>
  <c r="BB2369" i="1"/>
  <c r="H1437" i="1"/>
  <c r="H1434" i="1"/>
  <c r="H1438" i="1"/>
  <c r="F1437" i="1"/>
  <c r="F1434" i="1"/>
  <c r="F1438" i="1"/>
  <c r="D1437" i="1"/>
  <c r="D1434" i="1"/>
  <c r="D1438" i="1"/>
  <c r="B1437" i="1"/>
  <c r="B1434" i="1"/>
  <c r="B1438" i="1"/>
  <c r="J1421" i="1"/>
  <c r="AZ2367" i="1"/>
  <c r="G1407" i="1"/>
  <c r="G1411" i="1"/>
  <c r="G1410" i="1"/>
  <c r="E1407" i="1"/>
  <c r="E1411" i="1"/>
  <c r="E1410" i="1"/>
  <c r="C1407" i="1"/>
  <c r="C1411" i="1"/>
  <c r="C1410" i="1"/>
  <c r="J1395" i="1"/>
  <c r="AY2368" i="1"/>
  <c r="F1381" i="1"/>
  <c r="F1387" i="1"/>
  <c r="F1388" i="1"/>
  <c r="F1389" i="1"/>
  <c r="F1382" i="1"/>
  <c r="D1381" i="1"/>
  <c r="D1380" i="1"/>
  <c r="D1384" i="1"/>
  <c r="J1233" i="1"/>
  <c r="AS2368" i="1"/>
  <c r="H1193" i="1"/>
  <c r="H1192" i="1"/>
  <c r="D1191" i="1"/>
  <c r="D1190" i="1"/>
  <c r="D1194" i="1"/>
  <c r="J1179" i="1"/>
  <c r="AQ2369" i="1"/>
  <c r="J1177" i="1"/>
  <c r="AQ2367" i="1"/>
  <c r="G1166" i="1"/>
  <c r="G1163" i="1"/>
  <c r="G1167" i="1"/>
  <c r="J1126" i="1"/>
  <c r="AO2370" i="1"/>
  <c r="J990" i="1"/>
  <c r="AJ2369" i="1"/>
  <c r="J988" i="1"/>
  <c r="AJ2367" i="1"/>
  <c r="J937" i="1"/>
  <c r="AH2370" i="1"/>
  <c r="J933" i="1"/>
  <c r="AH2366" i="1"/>
  <c r="AH2399" i="1"/>
  <c r="J825" i="1"/>
  <c r="AD2370" i="1"/>
  <c r="J821" i="1"/>
  <c r="AD2366" i="1"/>
  <c r="AD2399" i="1"/>
  <c r="J767" i="1"/>
  <c r="AB2368" i="1"/>
  <c r="J765" i="1"/>
  <c r="AB2366" i="1"/>
  <c r="AB2399" i="1"/>
  <c r="J742" i="1"/>
  <c r="AA2371" i="1"/>
  <c r="J709" i="1"/>
  <c r="Z2366" i="1"/>
  <c r="Z2399" i="1"/>
  <c r="J653" i="1"/>
  <c r="X2366" i="1"/>
  <c r="X2399" i="1"/>
  <c r="J207" i="1"/>
  <c r="I2370" i="1"/>
  <c r="J145" i="1"/>
  <c r="G2366" i="1"/>
  <c r="J36" i="1"/>
  <c r="C2369" i="1"/>
  <c r="J34" i="1"/>
  <c r="I53" i="1"/>
  <c r="J53" i="1"/>
  <c r="I195" i="1"/>
  <c r="J195" i="1"/>
  <c r="I1582" i="1"/>
  <c r="I181" i="1"/>
  <c r="I151" i="1"/>
  <c r="G2372" i="1"/>
  <c r="I209" i="1"/>
  <c r="J209" i="1"/>
  <c r="I268" i="1"/>
  <c r="J268" i="1"/>
  <c r="I324" i="1"/>
  <c r="J324" i="1"/>
  <c r="I449" i="1"/>
  <c r="D451" i="1"/>
  <c r="D452" i="1"/>
  <c r="D453" i="1"/>
  <c r="AF2391" i="1"/>
  <c r="AF2407" i="1"/>
  <c r="AX2371" i="1"/>
  <c r="AK2371" i="1"/>
  <c r="AI2371" i="1"/>
  <c r="Z2371" i="1"/>
  <c r="P2371" i="1"/>
  <c r="BA2370" i="1"/>
  <c r="Y2370" i="1"/>
  <c r="N2370" i="1"/>
  <c r="AR2369" i="1"/>
  <c r="AP2369" i="1"/>
  <c r="AL2369" i="1"/>
  <c r="AH2369" i="1"/>
  <c r="Z2369" i="1"/>
  <c r="S2369" i="1"/>
  <c r="I2369" i="1"/>
  <c r="BA2368" i="1"/>
  <c r="AM2368" i="1"/>
  <c r="N2368" i="1"/>
  <c r="AK2367" i="1"/>
  <c r="AI2367" i="1"/>
  <c r="AB2367" i="1"/>
  <c r="R2367" i="1"/>
  <c r="J2367" i="1"/>
  <c r="J116" i="6"/>
  <c r="F872" i="6"/>
  <c r="J114" i="6"/>
  <c r="F870" i="6"/>
  <c r="J115" i="6"/>
  <c r="F871" i="6"/>
  <c r="J113" i="6"/>
  <c r="F869" i="6"/>
  <c r="C2103" i="4"/>
  <c r="F904" i="4"/>
  <c r="F903" i="4"/>
  <c r="F909" i="4"/>
  <c r="F910" i="4"/>
  <c r="F911" i="4"/>
  <c r="F900" i="4"/>
  <c r="F902" i="4"/>
  <c r="F906" i="4"/>
  <c r="F905" i="4"/>
  <c r="D521" i="4"/>
  <c r="D520" i="4"/>
  <c r="D526" i="4"/>
  <c r="D527" i="4"/>
  <c r="D528" i="4"/>
  <c r="D519" i="4"/>
  <c r="D523" i="4"/>
  <c r="D522" i="4"/>
  <c r="F742" i="4"/>
  <c r="F741" i="4"/>
  <c r="F747" i="4"/>
  <c r="F748" i="4"/>
  <c r="F749" i="4"/>
  <c r="F740" i="4"/>
  <c r="F744" i="4"/>
  <c r="F743" i="4"/>
  <c r="J1352" i="4"/>
  <c r="AY2108" i="4"/>
  <c r="J1350" i="4"/>
  <c r="AY2106" i="4"/>
  <c r="J1348" i="4"/>
  <c r="J1367" i="4"/>
  <c r="J1351" i="4"/>
  <c r="AY2107" i="4"/>
  <c r="J1349" i="4"/>
  <c r="AY2105" i="4"/>
  <c r="E1202" i="4"/>
  <c r="E1199" i="4"/>
  <c r="E1203" i="4"/>
  <c r="E1200" i="4"/>
  <c r="E1206" i="4"/>
  <c r="E1207" i="4"/>
  <c r="E1208" i="4"/>
  <c r="E1197" i="4"/>
  <c r="E1201" i="4"/>
  <c r="E1175" i="4"/>
  <c r="E1172" i="4"/>
  <c r="E1176" i="4"/>
  <c r="E1173" i="4"/>
  <c r="E1179" i="4"/>
  <c r="E1180" i="4"/>
  <c r="E1181" i="4"/>
  <c r="E1174" i="4"/>
  <c r="E1067" i="4"/>
  <c r="E1064" i="4"/>
  <c r="E1068" i="4"/>
  <c r="E1065" i="4"/>
  <c r="E1071" i="4"/>
  <c r="E1072" i="4"/>
  <c r="E1073" i="4"/>
  <c r="E1062" i="4"/>
  <c r="E1066" i="4"/>
  <c r="I1066" i="4"/>
  <c r="H1012" i="4"/>
  <c r="H1011" i="4"/>
  <c r="H1017" i="4"/>
  <c r="H1018" i="4"/>
  <c r="H1019" i="4"/>
  <c r="H1008" i="4"/>
  <c r="H1010" i="4"/>
  <c r="H1014" i="4"/>
  <c r="H1013" i="4"/>
  <c r="F1012" i="4"/>
  <c r="F1011" i="4"/>
  <c r="F1017" i="4"/>
  <c r="F1010" i="4"/>
  <c r="F1014" i="4"/>
  <c r="F1013" i="4"/>
  <c r="D1012" i="4"/>
  <c r="D1011" i="4"/>
  <c r="D1017" i="4"/>
  <c r="D1018" i="4"/>
  <c r="D1019" i="4"/>
  <c r="D1008" i="4"/>
  <c r="D1010" i="4"/>
  <c r="D1014" i="4"/>
  <c r="D1013" i="4"/>
  <c r="D931" i="4"/>
  <c r="D930" i="4"/>
  <c r="D936" i="4"/>
  <c r="D937" i="4"/>
  <c r="D938" i="4"/>
  <c r="D927" i="4"/>
  <c r="D929" i="4"/>
  <c r="D933" i="4"/>
  <c r="D932" i="4"/>
  <c r="F850" i="4"/>
  <c r="F849" i="4"/>
  <c r="F855" i="4"/>
  <c r="F856" i="4"/>
  <c r="F857" i="4"/>
  <c r="F847" i="4"/>
  <c r="F848" i="4"/>
  <c r="F852" i="4"/>
  <c r="F851" i="4"/>
  <c r="F796" i="4"/>
  <c r="F795" i="4"/>
  <c r="F801" i="4"/>
  <c r="F802" i="4"/>
  <c r="F803" i="4"/>
  <c r="F792" i="4"/>
  <c r="F794" i="4"/>
  <c r="F798" i="4"/>
  <c r="F797" i="4"/>
  <c r="B742" i="4"/>
  <c r="B741" i="4"/>
  <c r="B747" i="4"/>
  <c r="B740" i="4"/>
  <c r="B744" i="4"/>
  <c r="B743" i="4"/>
  <c r="B688" i="4"/>
  <c r="B687" i="4"/>
  <c r="B693" i="4"/>
  <c r="B694" i="4"/>
  <c r="B695" i="4"/>
  <c r="B684" i="4"/>
  <c r="B686" i="4"/>
  <c r="B690" i="4"/>
  <c r="B689" i="4"/>
  <c r="B633" i="4"/>
  <c r="B632" i="4"/>
  <c r="B638" i="4"/>
  <c r="B639" i="4"/>
  <c r="B640" i="4"/>
  <c r="B630" i="4"/>
  <c r="B631" i="4"/>
  <c r="B635" i="4"/>
  <c r="B634" i="4"/>
  <c r="E383" i="4"/>
  <c r="E380" i="4"/>
  <c r="I380" i="4"/>
  <c r="E386" i="4"/>
  <c r="E387" i="4"/>
  <c r="E388" i="4"/>
  <c r="E381" i="4"/>
  <c r="E379" i="4"/>
  <c r="E382" i="4"/>
  <c r="D296" i="4"/>
  <c r="D302" i="4"/>
  <c r="D303" i="4"/>
  <c r="D304" i="4"/>
  <c r="D294" i="4"/>
  <c r="D297" i="4"/>
  <c r="D298" i="4"/>
  <c r="D295" i="4"/>
  <c r="D299" i="4"/>
  <c r="B269" i="4"/>
  <c r="B275" i="4"/>
  <c r="B276" i="4"/>
  <c r="B277" i="4"/>
  <c r="B270" i="4"/>
  <c r="B271" i="4"/>
  <c r="B268" i="4"/>
  <c r="B272" i="4"/>
  <c r="E130" i="4"/>
  <c r="E137" i="4"/>
  <c r="E138" i="4"/>
  <c r="E139" i="4"/>
  <c r="E133" i="4"/>
  <c r="E132" i="4"/>
  <c r="E131" i="4"/>
  <c r="E134" i="4"/>
  <c r="B47" i="4"/>
  <c r="B53" i="4"/>
  <c r="B54" i="4"/>
  <c r="B55" i="4"/>
  <c r="B48" i="4"/>
  <c r="B49" i="4"/>
  <c r="B46" i="4"/>
  <c r="B50" i="4"/>
  <c r="E1121" i="4"/>
  <c r="E1118" i="4"/>
  <c r="E1122" i="4"/>
  <c r="I1122" i="4"/>
  <c r="J1122" i="4"/>
  <c r="E1119" i="4"/>
  <c r="E1125" i="4"/>
  <c r="E1126" i="4"/>
  <c r="E1127" i="4"/>
  <c r="E1116" i="4"/>
  <c r="E1120" i="4"/>
  <c r="G1013" i="4"/>
  <c r="G1010" i="4"/>
  <c r="G1014" i="4"/>
  <c r="G1011" i="4"/>
  <c r="G1017" i="4"/>
  <c r="G1018" i="4"/>
  <c r="G1012" i="4"/>
  <c r="E1013" i="4"/>
  <c r="E1010" i="4"/>
  <c r="E1014" i="4"/>
  <c r="E1011" i="4"/>
  <c r="E1017" i="4"/>
  <c r="E1018" i="4"/>
  <c r="E1019" i="4"/>
  <c r="E1012" i="4"/>
  <c r="C1013" i="4"/>
  <c r="C1010" i="4"/>
  <c r="C1014" i="4"/>
  <c r="C1011" i="4"/>
  <c r="C1017" i="4"/>
  <c r="C1012" i="4"/>
  <c r="F958" i="4"/>
  <c r="F957" i="4"/>
  <c r="F963" i="4"/>
  <c r="F964" i="4"/>
  <c r="F965" i="4"/>
  <c r="F955" i="4"/>
  <c r="F956" i="4"/>
  <c r="F960" i="4"/>
  <c r="F959" i="4"/>
  <c r="D877" i="4"/>
  <c r="D876" i="4"/>
  <c r="D882" i="4"/>
  <c r="D875" i="4"/>
  <c r="D879" i="4"/>
  <c r="D878" i="4"/>
  <c r="D493" i="4"/>
  <c r="D492" i="4"/>
  <c r="D498" i="4"/>
  <c r="D499" i="4"/>
  <c r="D500" i="4"/>
  <c r="D490" i="4"/>
  <c r="D491" i="4"/>
  <c r="D495" i="4"/>
  <c r="D494" i="4"/>
  <c r="D465" i="4"/>
  <c r="D464" i="4"/>
  <c r="D470" i="4"/>
  <c r="D471" i="4"/>
  <c r="D472" i="4"/>
  <c r="D461" i="4"/>
  <c r="D463" i="4"/>
  <c r="D467" i="4"/>
  <c r="D466" i="4"/>
  <c r="D437" i="4"/>
  <c r="D436" i="4"/>
  <c r="D442" i="4"/>
  <c r="D443" i="4"/>
  <c r="D444" i="4"/>
  <c r="D433" i="4"/>
  <c r="D435" i="4"/>
  <c r="D439" i="4"/>
  <c r="D438" i="4"/>
  <c r="F409" i="4"/>
  <c r="F408" i="4"/>
  <c r="F414" i="4"/>
  <c r="F407" i="4"/>
  <c r="F411" i="4"/>
  <c r="F410" i="4"/>
  <c r="E326" i="4"/>
  <c r="E323" i="4"/>
  <c r="E327" i="4"/>
  <c r="E324" i="4"/>
  <c r="E330" i="4"/>
  <c r="E325" i="4"/>
  <c r="I325" i="4"/>
  <c r="G19" i="4"/>
  <c r="G21" i="4"/>
  <c r="G23" i="4"/>
  <c r="G20" i="4"/>
  <c r="G22" i="4"/>
  <c r="G26" i="4"/>
  <c r="G27" i="4"/>
  <c r="G28" i="4"/>
  <c r="I382" i="4"/>
  <c r="AU2108" i="4"/>
  <c r="AW2107" i="4"/>
  <c r="AS2107" i="4"/>
  <c r="AU2106" i="4"/>
  <c r="AR2105" i="4"/>
  <c r="AP2105" i="4"/>
  <c r="AV2104" i="4"/>
  <c r="AR2104" i="4"/>
  <c r="AP2104" i="4"/>
  <c r="I1340" i="4"/>
  <c r="AX2123" i="4"/>
  <c r="AX2139" i="4"/>
  <c r="I1286" i="4"/>
  <c r="AV2123" i="4"/>
  <c r="AV2139" i="4"/>
  <c r="I1266" i="4"/>
  <c r="I1259" i="4"/>
  <c r="AU2123" i="4"/>
  <c r="AU2139" i="4"/>
  <c r="I1178" i="4"/>
  <c r="AR2123" i="4"/>
  <c r="AR2139" i="4"/>
  <c r="I1124" i="4"/>
  <c r="AP2123" i="4"/>
  <c r="AP2139" i="4"/>
  <c r="I1070" i="4"/>
  <c r="AN2123" i="4"/>
  <c r="AN2139" i="4"/>
  <c r="I989" i="4"/>
  <c r="AK2123" i="4"/>
  <c r="AK2139" i="4"/>
  <c r="I921" i="4"/>
  <c r="I867" i="4"/>
  <c r="I827" i="4"/>
  <c r="AE2123" i="4"/>
  <c r="AE2139" i="4"/>
  <c r="I746" i="4"/>
  <c r="AB2123" i="4"/>
  <c r="AB2139" i="4"/>
  <c r="I692" i="4"/>
  <c r="Z2123" i="4"/>
  <c r="Z2139" i="4"/>
  <c r="I637" i="4"/>
  <c r="X2123" i="4"/>
  <c r="X2139" i="4"/>
  <c r="I553" i="4"/>
  <c r="U2123" i="4"/>
  <c r="U2139" i="4"/>
  <c r="I525" i="4"/>
  <c r="T2123" i="4"/>
  <c r="T2139" i="4"/>
  <c r="I483" i="4"/>
  <c r="I455" i="4"/>
  <c r="I427" i="4"/>
  <c r="I287" i="4"/>
  <c r="G2122" i="4"/>
  <c r="C2108" i="4"/>
  <c r="C2104" i="4"/>
  <c r="C2123" i="4"/>
  <c r="I52" i="4"/>
  <c r="J52" i="4"/>
  <c r="J165" i="4"/>
  <c r="J166" i="4"/>
  <c r="C2107" i="4"/>
  <c r="C2105" i="4"/>
  <c r="J1452" i="3"/>
  <c r="BA2289" i="3"/>
  <c r="BA2304" i="3"/>
  <c r="I1533" i="3"/>
  <c r="I1411" i="3"/>
  <c r="J1518" i="3"/>
  <c r="BD2274" i="3"/>
  <c r="J1516" i="3"/>
  <c r="BD2272" i="3"/>
  <c r="I1425" i="3"/>
  <c r="AN2371" i="1"/>
  <c r="BC2370" i="1"/>
  <c r="AY2370" i="1"/>
  <c r="AV2370" i="1"/>
  <c r="AT2370" i="1"/>
  <c r="AR2370" i="1"/>
  <c r="AL2370" i="1"/>
  <c r="AI2370" i="1"/>
  <c r="AG2370" i="1"/>
  <c r="AE2370" i="1"/>
  <c r="AC2370" i="1"/>
  <c r="BC2368" i="1"/>
  <c r="AW2368" i="1"/>
  <c r="AU2368" i="1"/>
  <c r="AR2368" i="1"/>
  <c r="AO2368" i="1"/>
  <c r="AG2368" i="1"/>
  <c r="AE2368" i="1"/>
  <c r="AC2368" i="1"/>
  <c r="AA2368" i="1"/>
  <c r="X2368" i="1"/>
  <c r="BE2367" i="1"/>
  <c r="AN2367" i="1"/>
  <c r="I1440" i="1"/>
  <c r="J1440" i="1"/>
  <c r="I701" i="1"/>
  <c r="Y2391" i="1"/>
  <c r="Y2407" i="1"/>
  <c r="I911" i="1"/>
  <c r="I68" i="1"/>
  <c r="D448" i="1"/>
  <c r="D444" i="1"/>
  <c r="S2391" i="1"/>
  <c r="S2407" i="1"/>
  <c r="BA2371" i="1"/>
  <c r="AV2371" i="1"/>
  <c r="AR2371" i="1"/>
  <c r="AP2371" i="1"/>
  <c r="AH2371" i="1"/>
  <c r="AD2371" i="1"/>
  <c r="S2371" i="1"/>
  <c r="Q2371" i="1"/>
  <c r="O2371" i="1"/>
  <c r="I2371" i="1"/>
  <c r="BE2370" i="1"/>
  <c r="AZ2370" i="1"/>
  <c r="AQ2370" i="1"/>
  <c r="AM2370" i="1"/>
  <c r="AA2370" i="1"/>
  <c r="V2370" i="1"/>
  <c r="T2370" i="1"/>
  <c r="R2370" i="1"/>
  <c r="M2370" i="1"/>
  <c r="L2370" i="1"/>
  <c r="H2370" i="1"/>
  <c r="BC2369" i="1"/>
  <c r="AY2369" i="1"/>
  <c r="AT2369" i="1"/>
  <c r="AK2369" i="1"/>
  <c r="AI2369" i="1"/>
  <c r="AF2369" i="1"/>
  <c r="AB2369" i="1"/>
  <c r="V2369" i="1"/>
  <c r="T2369" i="1"/>
  <c r="R2369" i="1"/>
  <c r="J2369" i="1"/>
  <c r="D2369" i="1"/>
  <c r="BD2368" i="1"/>
  <c r="AN2368" i="1"/>
  <c r="AL2368" i="1"/>
  <c r="W2368" i="1"/>
  <c r="P2368" i="1"/>
  <c r="M2368" i="1"/>
  <c r="L2368" i="1"/>
  <c r="H2368" i="1"/>
  <c r="BF2367" i="1"/>
  <c r="BB2367" i="1"/>
  <c r="AY2367" i="1"/>
  <c r="AR2367" i="1"/>
  <c r="AP2367" i="1"/>
  <c r="AH2367" i="1"/>
  <c r="AD2367" i="1"/>
  <c r="Z2367" i="1"/>
  <c r="X2367" i="1"/>
  <c r="U2367" i="1"/>
  <c r="S2367" i="1"/>
  <c r="Q2367" i="1"/>
  <c r="O2367" i="1"/>
  <c r="I2367" i="1"/>
  <c r="I2391" i="1"/>
  <c r="I1602" i="1"/>
  <c r="I1047" i="1"/>
  <c r="J1047" i="1"/>
  <c r="I1034" i="1"/>
  <c r="AK2391" i="1"/>
  <c r="AK2407" i="1"/>
  <c r="D1028" i="1"/>
  <c r="H1028" i="1"/>
  <c r="D1029" i="1"/>
  <c r="D1030" i="1"/>
  <c r="D1031" i="1"/>
  <c r="D1032" i="1"/>
  <c r="I562" i="1"/>
  <c r="J562" i="1"/>
  <c r="H2374" i="1"/>
  <c r="J190" i="1"/>
  <c r="I786" i="1"/>
  <c r="I758" i="1"/>
  <c r="I855" i="1"/>
  <c r="AB2391" i="1"/>
  <c r="AB2407" i="1"/>
  <c r="BE2371" i="1"/>
  <c r="BB2371" i="1"/>
  <c r="AY2371" i="1"/>
  <c r="AW2371" i="1"/>
  <c r="AU2371" i="1"/>
  <c r="AS2371" i="1"/>
  <c r="AO2371" i="1"/>
  <c r="AM2371" i="1"/>
  <c r="AG2371" i="1"/>
  <c r="AE2371" i="1"/>
  <c r="AC2371" i="1"/>
  <c r="Y2371" i="1"/>
  <c r="U2371" i="1"/>
  <c r="M2371" i="1"/>
  <c r="L2371" i="1"/>
  <c r="BF2370" i="1"/>
  <c r="AP2370" i="1"/>
  <c r="AN2370" i="1"/>
  <c r="AJ2370" i="1"/>
  <c r="AB2370" i="1"/>
  <c r="X2370" i="1"/>
  <c r="P2370" i="1"/>
  <c r="J2370" i="1"/>
  <c r="BA2369" i="1"/>
  <c r="AX2369" i="1"/>
  <c r="AU2369" i="1"/>
  <c r="AS2369" i="1"/>
  <c r="AO2369" i="1"/>
  <c r="AM2369" i="1"/>
  <c r="AG2369" i="1"/>
  <c r="AE2369" i="1"/>
  <c r="AC2369" i="1"/>
  <c r="AA2369" i="1"/>
  <c r="W2369" i="1"/>
  <c r="M2369" i="1"/>
  <c r="L2369" i="1"/>
  <c r="BF2368" i="1"/>
  <c r="AQ2368" i="1"/>
  <c r="AK2368" i="1"/>
  <c r="AI2368" i="1"/>
  <c r="Y2368" i="1"/>
  <c r="U2368" i="1"/>
  <c r="S2368" i="1"/>
  <c r="Q2368" i="1"/>
  <c r="O2368" i="1"/>
  <c r="I2368" i="1"/>
  <c r="C2368" i="1"/>
  <c r="BD2367" i="1"/>
  <c r="AX2367" i="1"/>
  <c r="AT2367" i="1"/>
  <c r="AO2367" i="1"/>
  <c r="AM2367" i="1"/>
  <c r="AG2367" i="1"/>
  <c r="AE2367" i="1"/>
  <c r="AC2367" i="1"/>
  <c r="AA2367" i="1"/>
  <c r="W2367" i="1"/>
  <c r="M2367" i="1"/>
  <c r="L2367" i="1"/>
  <c r="L2391" i="1"/>
  <c r="L2390" i="1"/>
  <c r="L2392" i="1"/>
  <c r="L2393" i="1"/>
  <c r="L2394" i="1"/>
  <c r="I1588" i="1"/>
  <c r="J1588" i="1"/>
  <c r="I1494" i="1"/>
  <c r="I1155" i="1"/>
  <c r="I1142" i="1"/>
  <c r="I1088" i="1"/>
  <c r="I993" i="1"/>
  <c r="I966" i="1"/>
  <c r="I953" i="1"/>
  <c r="I645" i="1"/>
  <c r="I82" i="1"/>
  <c r="J82" i="1"/>
  <c r="J1613" i="1"/>
  <c r="BG2370" i="1"/>
  <c r="J1611" i="1"/>
  <c r="BG2368" i="1"/>
  <c r="I771" i="1"/>
  <c r="I478" i="1"/>
  <c r="I310" i="1"/>
  <c r="I223" i="1"/>
  <c r="I39" i="1"/>
  <c r="J1614" i="1"/>
  <c r="BG2371" i="1"/>
  <c r="J1612" i="1"/>
  <c r="BG2369" i="1"/>
  <c r="J1610" i="1"/>
  <c r="BG2367" i="1"/>
  <c r="E806" i="5"/>
  <c r="E805" i="5"/>
  <c r="AG901" i="6"/>
  <c r="AG903" i="6"/>
  <c r="B47" i="6"/>
  <c r="B44" i="6"/>
  <c r="B48" i="6"/>
  <c r="B45" i="6"/>
  <c r="B51" i="6"/>
  <c r="B52" i="6"/>
  <c r="B53" i="6"/>
  <c r="B46" i="6"/>
  <c r="I30" i="6"/>
  <c r="E778" i="5"/>
  <c r="E779" i="5"/>
  <c r="H783" i="5"/>
  <c r="H782" i="5"/>
  <c r="H781" i="5"/>
  <c r="H780" i="5"/>
  <c r="H784" i="5"/>
  <c r="F783" i="5"/>
  <c r="F782" i="5"/>
  <c r="F781" i="5"/>
  <c r="F787" i="5"/>
  <c r="F788" i="5"/>
  <c r="F789" i="5"/>
  <c r="F780" i="5"/>
  <c r="F784" i="5"/>
  <c r="E674" i="5"/>
  <c r="E673" i="5"/>
  <c r="E679" i="5"/>
  <c r="E680" i="5"/>
  <c r="E681" i="5"/>
  <c r="E672" i="5"/>
  <c r="E676" i="5"/>
  <c r="E675" i="5"/>
  <c r="G647" i="5"/>
  <c r="G646" i="5"/>
  <c r="G652" i="5"/>
  <c r="G645" i="5"/>
  <c r="G649" i="5"/>
  <c r="G648" i="5"/>
  <c r="I648" i="5"/>
  <c r="V1630" i="5"/>
  <c r="V1658" i="5"/>
  <c r="U1630" i="5"/>
  <c r="U1658" i="5"/>
  <c r="G485" i="5"/>
  <c r="G487" i="5"/>
  <c r="G490" i="5"/>
  <c r="G491" i="5"/>
  <c r="G492" i="5"/>
  <c r="G483" i="5"/>
  <c r="G484" i="5"/>
  <c r="G486" i="5"/>
  <c r="E430" i="5"/>
  <c r="E436" i="5"/>
  <c r="E431" i="5"/>
  <c r="E432" i="5"/>
  <c r="E433" i="5"/>
  <c r="E429" i="5"/>
  <c r="H402" i="5"/>
  <c r="H406" i="5"/>
  <c r="H405" i="5"/>
  <c r="H404" i="5"/>
  <c r="H403" i="5"/>
  <c r="H409" i="5"/>
  <c r="E376" i="5"/>
  <c r="E382" i="5"/>
  <c r="E383" i="5"/>
  <c r="E384" i="5"/>
  <c r="E377" i="5"/>
  <c r="E378" i="5"/>
  <c r="E379" i="5"/>
  <c r="E375" i="5"/>
  <c r="H349" i="5"/>
  <c r="H350" i="5"/>
  <c r="H351" i="5"/>
  <c r="H355" i="5"/>
  <c r="H356" i="5"/>
  <c r="H357" i="5"/>
  <c r="H352" i="5"/>
  <c r="H348" i="5"/>
  <c r="D349" i="5"/>
  <c r="D355" i="5"/>
  <c r="D356" i="5"/>
  <c r="D357" i="5"/>
  <c r="D350" i="5"/>
  <c r="D351" i="5"/>
  <c r="D352" i="5"/>
  <c r="D348" i="5"/>
  <c r="H321" i="5"/>
  <c r="H325" i="5"/>
  <c r="H324" i="5"/>
  <c r="H323" i="5"/>
  <c r="H322" i="5"/>
  <c r="H328" i="5"/>
  <c r="G294" i="5"/>
  <c r="G298" i="5"/>
  <c r="G297" i="5"/>
  <c r="G296" i="5"/>
  <c r="G295" i="5"/>
  <c r="G301" i="5"/>
  <c r="G302" i="5"/>
  <c r="G303" i="5"/>
  <c r="F269" i="5"/>
  <c r="F268" i="5"/>
  <c r="F274" i="5"/>
  <c r="F275" i="5"/>
  <c r="F276" i="5"/>
  <c r="F267" i="5"/>
  <c r="F271" i="5"/>
  <c r="F270" i="5"/>
  <c r="G243" i="5"/>
  <c r="G247" i="5"/>
  <c r="G242" i="5"/>
  <c r="I242" i="5"/>
  <c r="G240" i="5"/>
  <c r="G244" i="5"/>
  <c r="I244" i="5"/>
  <c r="J1648" i="5"/>
  <c r="J1665" i="5"/>
  <c r="G241" i="5"/>
  <c r="I241" i="5"/>
  <c r="D214" i="5"/>
  <c r="D213" i="5"/>
  <c r="D216" i="5"/>
  <c r="D220" i="5"/>
  <c r="D221" i="5"/>
  <c r="D222" i="5"/>
  <c r="D217" i="5"/>
  <c r="D215" i="5"/>
  <c r="H188" i="5"/>
  <c r="H187" i="5"/>
  <c r="H193" i="5"/>
  <c r="H194" i="5"/>
  <c r="H195" i="5"/>
  <c r="H186" i="5"/>
  <c r="H190" i="5"/>
  <c r="H189" i="5"/>
  <c r="D159" i="5"/>
  <c r="D160" i="5"/>
  <c r="D158" i="5"/>
  <c r="D161" i="5"/>
  <c r="D165" i="5"/>
  <c r="D162" i="5"/>
  <c r="G620" i="5"/>
  <c r="G619" i="5"/>
  <c r="G625" i="5"/>
  <c r="G626" i="5"/>
  <c r="G627" i="5"/>
  <c r="G618" i="5"/>
  <c r="G622" i="5"/>
  <c r="G621" i="5"/>
  <c r="G593" i="5"/>
  <c r="G592" i="5"/>
  <c r="G598" i="5"/>
  <c r="G599" i="5"/>
  <c r="G600" i="5"/>
  <c r="G591" i="5"/>
  <c r="G595" i="5"/>
  <c r="G594" i="5"/>
  <c r="I594" i="5"/>
  <c r="J594" i="5"/>
  <c r="G566" i="5"/>
  <c r="G565" i="5"/>
  <c r="G571" i="5"/>
  <c r="G572" i="5"/>
  <c r="G573" i="5"/>
  <c r="G564" i="5"/>
  <c r="G568" i="5"/>
  <c r="G567" i="5"/>
  <c r="G539" i="5"/>
  <c r="G538" i="5"/>
  <c r="G544" i="5"/>
  <c r="G545" i="5"/>
  <c r="G546" i="5"/>
  <c r="G537" i="5"/>
  <c r="G541" i="5"/>
  <c r="G540" i="5"/>
  <c r="G512" i="5"/>
  <c r="G511" i="5"/>
  <c r="G517" i="5"/>
  <c r="G518" i="5"/>
  <c r="G519" i="5"/>
  <c r="G510" i="5"/>
  <c r="G514" i="5"/>
  <c r="I514" i="5"/>
  <c r="G513" i="5"/>
  <c r="D456" i="5"/>
  <c r="D460" i="5"/>
  <c r="D459" i="5"/>
  <c r="D458" i="5"/>
  <c r="D457" i="5"/>
  <c r="D463" i="5"/>
  <c r="H429" i="5"/>
  <c r="H433" i="5"/>
  <c r="H432" i="5"/>
  <c r="H431" i="5"/>
  <c r="H430" i="5"/>
  <c r="H436" i="5"/>
  <c r="H437" i="5"/>
  <c r="H438" i="5"/>
  <c r="E403" i="5"/>
  <c r="E409" i="5"/>
  <c r="E410" i="5"/>
  <c r="E411" i="5"/>
  <c r="E406" i="5"/>
  <c r="E402" i="5"/>
  <c r="E404" i="5"/>
  <c r="E405" i="5"/>
  <c r="H375" i="5"/>
  <c r="H379" i="5"/>
  <c r="H378" i="5"/>
  <c r="H377" i="5"/>
  <c r="H376" i="5"/>
  <c r="H382" i="5"/>
  <c r="H383" i="5"/>
  <c r="H384" i="5"/>
  <c r="G348" i="5"/>
  <c r="G352" i="5"/>
  <c r="G351" i="5"/>
  <c r="G350" i="5"/>
  <c r="G349" i="5"/>
  <c r="G355" i="5"/>
  <c r="E322" i="5"/>
  <c r="E328" i="5"/>
  <c r="E329" i="5"/>
  <c r="E330" i="5"/>
  <c r="E325" i="5"/>
  <c r="E321" i="5"/>
  <c r="E324" i="5"/>
  <c r="E323" i="5"/>
  <c r="H295" i="5"/>
  <c r="H298" i="5"/>
  <c r="H297" i="5"/>
  <c r="H301" i="5"/>
  <c r="H302" i="5"/>
  <c r="H303" i="5"/>
  <c r="H296" i="5"/>
  <c r="H294" i="5"/>
  <c r="D295" i="5"/>
  <c r="D301" i="5"/>
  <c r="D302" i="5"/>
  <c r="D303" i="5"/>
  <c r="D298" i="5"/>
  <c r="D297" i="5"/>
  <c r="D296" i="5"/>
  <c r="D294" i="5"/>
  <c r="H214" i="5"/>
  <c r="H220" i="5"/>
  <c r="H221" i="5"/>
  <c r="H222" i="5"/>
  <c r="H213" i="5"/>
  <c r="H216" i="5"/>
  <c r="H217" i="5"/>
  <c r="H215" i="5"/>
  <c r="E187" i="5"/>
  <c r="E188" i="5"/>
  <c r="E189" i="5"/>
  <c r="E193" i="5"/>
  <c r="E194" i="5"/>
  <c r="E195" i="5"/>
  <c r="E190" i="5"/>
  <c r="E186" i="5"/>
  <c r="H159" i="5"/>
  <c r="H165" i="5"/>
  <c r="H166" i="5"/>
  <c r="H167" i="5"/>
  <c r="H160" i="5"/>
  <c r="H158" i="5"/>
  <c r="H161" i="5"/>
  <c r="H162" i="5"/>
  <c r="C160" i="5"/>
  <c r="C159" i="5"/>
  <c r="C165" i="5"/>
  <c r="C158" i="5"/>
  <c r="C162" i="5"/>
  <c r="C161" i="5"/>
  <c r="I847" i="5"/>
  <c r="J847" i="5"/>
  <c r="I793" i="5"/>
  <c r="J793" i="5"/>
  <c r="I766" i="5"/>
  <c r="AD1630" i="5"/>
  <c r="AD1658" i="5"/>
  <c r="I712" i="5"/>
  <c r="J712" i="5"/>
  <c r="I469" i="5"/>
  <c r="I442" i="5"/>
  <c r="I415" i="5"/>
  <c r="I388" i="5"/>
  <c r="I892" i="5"/>
  <c r="AH1648" i="5"/>
  <c r="AH1665" i="5"/>
  <c r="I874" i="5"/>
  <c r="AH1630" i="5"/>
  <c r="AH1658" i="5"/>
  <c r="I820" i="5"/>
  <c r="AF1630" i="5"/>
  <c r="AF1658" i="5"/>
  <c r="I739" i="5"/>
  <c r="J739" i="5"/>
  <c r="I685" i="5"/>
  <c r="AA1630" i="5"/>
  <c r="D738" i="4"/>
  <c r="D739" i="4"/>
  <c r="E1337" i="4"/>
  <c r="E1334" i="4"/>
  <c r="E1338" i="4"/>
  <c r="E1335" i="4"/>
  <c r="E1341" i="4"/>
  <c r="E1342" i="4"/>
  <c r="E1343" i="4"/>
  <c r="E1336" i="4"/>
  <c r="I1336" i="4"/>
  <c r="B1310" i="4"/>
  <c r="B1307" i="4"/>
  <c r="B1311" i="4"/>
  <c r="B1308" i="4"/>
  <c r="B1314" i="4"/>
  <c r="B1315" i="4"/>
  <c r="B1316" i="4"/>
  <c r="B1305" i="4"/>
  <c r="B1309" i="4"/>
  <c r="I1309" i="4"/>
  <c r="E1280" i="4"/>
  <c r="E1283" i="4"/>
  <c r="E1284" i="4"/>
  <c r="E1287" i="4"/>
  <c r="E1288" i="4"/>
  <c r="E1281" i="4"/>
  <c r="E1282" i="4"/>
  <c r="E1256" i="4"/>
  <c r="E1253" i="4"/>
  <c r="E1257" i="4"/>
  <c r="E1254" i="4"/>
  <c r="I1254" i="4"/>
  <c r="E1260" i="4"/>
  <c r="E1255" i="4"/>
  <c r="I1255" i="4"/>
  <c r="B1010" i="4"/>
  <c r="B1012" i="4"/>
  <c r="I1012" i="4"/>
  <c r="B1014" i="4"/>
  <c r="B1011" i="4"/>
  <c r="I1011" i="4"/>
  <c r="B1013" i="4"/>
  <c r="B1017" i="4"/>
  <c r="B1018" i="4"/>
  <c r="B1019" i="4"/>
  <c r="B1008" i="4"/>
  <c r="H985" i="4"/>
  <c r="H984" i="4"/>
  <c r="H990" i="4"/>
  <c r="H991" i="4"/>
  <c r="H992" i="4"/>
  <c r="H982" i="4"/>
  <c r="H983" i="4"/>
  <c r="H987" i="4"/>
  <c r="H986" i="4"/>
  <c r="B958" i="4"/>
  <c r="B957" i="4"/>
  <c r="B963" i="4"/>
  <c r="B964" i="4"/>
  <c r="B965" i="4"/>
  <c r="B954" i="4"/>
  <c r="B956" i="4"/>
  <c r="I956" i="4"/>
  <c r="B960" i="4"/>
  <c r="B959" i="4"/>
  <c r="I959" i="4"/>
  <c r="H929" i="4"/>
  <c r="H933" i="4"/>
  <c r="H932" i="4"/>
  <c r="H931" i="4"/>
  <c r="H930" i="4"/>
  <c r="H936" i="4"/>
  <c r="H937" i="4"/>
  <c r="H938" i="4"/>
  <c r="H927" i="4"/>
  <c r="B902" i="4"/>
  <c r="B906" i="4"/>
  <c r="I906" i="4"/>
  <c r="B905" i="4"/>
  <c r="B904" i="4"/>
  <c r="B903" i="4"/>
  <c r="B909" i="4"/>
  <c r="B910" i="4"/>
  <c r="B911" i="4"/>
  <c r="H875" i="4"/>
  <c r="H879" i="4"/>
  <c r="H878" i="4"/>
  <c r="H877" i="4"/>
  <c r="H876" i="4"/>
  <c r="H882" i="4"/>
  <c r="H883" i="4"/>
  <c r="H884" i="4"/>
  <c r="E823" i="4"/>
  <c r="E822" i="4"/>
  <c r="E828" i="4"/>
  <c r="E829" i="4"/>
  <c r="E830" i="4"/>
  <c r="E820" i="4"/>
  <c r="E821" i="4"/>
  <c r="I821" i="4"/>
  <c r="E825" i="4"/>
  <c r="E824" i="4"/>
  <c r="E549" i="4"/>
  <c r="I549" i="4"/>
  <c r="E548" i="4"/>
  <c r="E554" i="4"/>
  <c r="E555" i="4"/>
  <c r="E556" i="4"/>
  <c r="E545" i="4"/>
  <c r="E547" i="4"/>
  <c r="I547" i="4"/>
  <c r="E551" i="4"/>
  <c r="E550" i="4"/>
  <c r="I550" i="4"/>
  <c r="E520" i="4"/>
  <c r="E521" i="4"/>
  <c r="E523" i="4"/>
  <c r="E519" i="4"/>
  <c r="E522" i="4"/>
  <c r="H493" i="4"/>
  <c r="H492" i="4"/>
  <c r="H498" i="4"/>
  <c r="H491" i="4"/>
  <c r="H495" i="4"/>
  <c r="H494" i="4"/>
  <c r="H463" i="4"/>
  <c r="H467" i="4"/>
  <c r="H466" i="4"/>
  <c r="H465" i="4"/>
  <c r="H464" i="4"/>
  <c r="H470" i="4"/>
  <c r="H437" i="4"/>
  <c r="H436" i="4"/>
  <c r="H442" i="4"/>
  <c r="H443" i="4"/>
  <c r="H444" i="4"/>
  <c r="H433" i="4"/>
  <c r="H435" i="4"/>
  <c r="H439" i="4"/>
  <c r="H438" i="4"/>
  <c r="H296" i="4"/>
  <c r="H302" i="4"/>
  <c r="H303" i="4"/>
  <c r="H304" i="4"/>
  <c r="H293" i="4"/>
  <c r="H297" i="4"/>
  <c r="H298" i="4"/>
  <c r="H295" i="4"/>
  <c r="H299" i="4"/>
  <c r="F269" i="4"/>
  <c r="I269" i="4"/>
  <c r="F275" i="4"/>
  <c r="F276" i="4"/>
  <c r="F277" i="4"/>
  <c r="F270" i="4"/>
  <c r="I270" i="4"/>
  <c r="F271" i="4"/>
  <c r="F268" i="4"/>
  <c r="F272" i="4"/>
  <c r="B215" i="4"/>
  <c r="I215" i="4"/>
  <c r="B221" i="4"/>
  <c r="B222" i="4"/>
  <c r="B223" i="4"/>
  <c r="B213" i="4"/>
  <c r="B216" i="4"/>
  <c r="I216" i="4"/>
  <c r="B217" i="4"/>
  <c r="B214" i="4"/>
  <c r="B218" i="4"/>
  <c r="D187" i="4"/>
  <c r="I187" i="4"/>
  <c r="D193" i="4"/>
  <c r="D194" i="4"/>
  <c r="D195" i="4"/>
  <c r="D188" i="4"/>
  <c r="I188" i="4"/>
  <c r="I191" i="4"/>
  <c r="D189" i="4"/>
  <c r="I189" i="4"/>
  <c r="D186" i="4"/>
  <c r="D190" i="4"/>
  <c r="I190" i="4"/>
  <c r="G161" i="4"/>
  <c r="G158" i="4"/>
  <c r="G162" i="4"/>
  <c r="G159" i="4"/>
  <c r="G165" i="4"/>
  <c r="G166" i="4"/>
  <c r="G167" i="4"/>
  <c r="G157" i="4"/>
  <c r="G160" i="4"/>
  <c r="I160" i="4"/>
  <c r="H133" i="4"/>
  <c r="H130" i="4"/>
  <c r="H134" i="4"/>
  <c r="H131" i="4"/>
  <c r="H137" i="4"/>
  <c r="H138" i="4"/>
  <c r="H139" i="4"/>
  <c r="H128" i="4"/>
  <c r="H132" i="4"/>
  <c r="I132" i="4"/>
  <c r="I135" i="4"/>
  <c r="H102" i="4"/>
  <c r="H109" i="4"/>
  <c r="H110" i="4"/>
  <c r="H111" i="4"/>
  <c r="H105" i="4"/>
  <c r="H103" i="4"/>
  <c r="C103" i="4"/>
  <c r="C109" i="4"/>
  <c r="C110" i="4"/>
  <c r="C111" i="4"/>
  <c r="C101" i="4"/>
  <c r="C104" i="4"/>
  <c r="I104" i="4"/>
  <c r="C105" i="4"/>
  <c r="C102" i="4"/>
  <c r="C106" i="4"/>
  <c r="H1281" i="4"/>
  <c r="H1287" i="4"/>
  <c r="H1288" i="4"/>
  <c r="H1289" i="4"/>
  <c r="H1282" i="4"/>
  <c r="H1283" i="4"/>
  <c r="H1280" i="4"/>
  <c r="H1284" i="4"/>
  <c r="E1148" i="4"/>
  <c r="E1145" i="4"/>
  <c r="E1149" i="4"/>
  <c r="E1146" i="4"/>
  <c r="E1152" i="4"/>
  <c r="E1153" i="4"/>
  <c r="E1154" i="4"/>
  <c r="E1147" i="4"/>
  <c r="I1147" i="4"/>
  <c r="E1094" i="4"/>
  <c r="E1091" i="4"/>
  <c r="E1095" i="4"/>
  <c r="E1092" i="4"/>
  <c r="E1098" i="4"/>
  <c r="E1099" i="4"/>
  <c r="E1100" i="4"/>
  <c r="E1093" i="4"/>
  <c r="I1093" i="4"/>
  <c r="E984" i="4"/>
  <c r="E990" i="4"/>
  <c r="E991" i="4"/>
  <c r="E992" i="4"/>
  <c r="E987" i="4"/>
  <c r="E983" i="4"/>
  <c r="E986" i="4"/>
  <c r="E985" i="4"/>
  <c r="I985" i="4"/>
  <c r="E930" i="4"/>
  <c r="E933" i="4"/>
  <c r="E929" i="4"/>
  <c r="E932" i="4"/>
  <c r="I932" i="4"/>
  <c r="E936" i="4"/>
  <c r="E937" i="4"/>
  <c r="E938" i="4"/>
  <c r="E931" i="4"/>
  <c r="E876" i="4"/>
  <c r="E882" i="4"/>
  <c r="E883" i="4"/>
  <c r="E884" i="4"/>
  <c r="E879" i="4"/>
  <c r="E875" i="4"/>
  <c r="E878" i="4"/>
  <c r="E877" i="4"/>
  <c r="B796" i="4"/>
  <c r="B795" i="4"/>
  <c r="B801" i="4"/>
  <c r="B794" i="4"/>
  <c r="B798" i="4"/>
  <c r="B797" i="4"/>
  <c r="E769" i="4"/>
  <c r="E768" i="4"/>
  <c r="E774" i="4"/>
  <c r="E767" i="4"/>
  <c r="E771" i="4"/>
  <c r="E770" i="4"/>
  <c r="E715" i="4"/>
  <c r="I715" i="4"/>
  <c r="E714" i="4"/>
  <c r="E720" i="4"/>
  <c r="E713" i="4"/>
  <c r="I713" i="4"/>
  <c r="E717" i="4"/>
  <c r="E716" i="4"/>
  <c r="I716" i="4"/>
  <c r="E661" i="4"/>
  <c r="E660" i="4"/>
  <c r="E666" i="4"/>
  <c r="E667" i="4"/>
  <c r="E668" i="4"/>
  <c r="E659" i="4"/>
  <c r="E663" i="4"/>
  <c r="E662" i="4"/>
  <c r="E605" i="4"/>
  <c r="E604" i="4"/>
  <c r="E610" i="4"/>
  <c r="E611" i="4"/>
  <c r="E612" i="4"/>
  <c r="E603" i="4"/>
  <c r="E607" i="4"/>
  <c r="E606" i="4"/>
  <c r="F577" i="4"/>
  <c r="F576" i="4"/>
  <c r="F582" i="4"/>
  <c r="F575" i="4"/>
  <c r="F579" i="4"/>
  <c r="F578" i="4"/>
  <c r="H519" i="4"/>
  <c r="H523" i="4"/>
  <c r="H522" i="4"/>
  <c r="H521" i="4"/>
  <c r="H520" i="4"/>
  <c r="H526" i="4"/>
  <c r="E492" i="4"/>
  <c r="E495" i="4"/>
  <c r="E491" i="4"/>
  <c r="E494" i="4"/>
  <c r="E493" i="4"/>
  <c r="E464" i="4"/>
  <c r="E465" i="4"/>
  <c r="E467" i="4"/>
  <c r="E463" i="4"/>
  <c r="E466" i="4"/>
  <c r="E436" i="4"/>
  <c r="E439" i="4"/>
  <c r="E435" i="4"/>
  <c r="E438" i="4"/>
  <c r="E437" i="4"/>
  <c r="E295" i="4"/>
  <c r="E302" i="4"/>
  <c r="E303" i="4"/>
  <c r="E298" i="4"/>
  <c r="E299" i="4"/>
  <c r="E296" i="4"/>
  <c r="E297" i="4"/>
  <c r="E242" i="4"/>
  <c r="E248" i="4"/>
  <c r="E249" i="4"/>
  <c r="E250" i="4"/>
  <c r="E243" i="4"/>
  <c r="E244" i="4"/>
  <c r="I244" i="4"/>
  <c r="E241" i="4"/>
  <c r="E245" i="4"/>
  <c r="H158" i="4"/>
  <c r="H165" i="4"/>
  <c r="H166" i="4"/>
  <c r="H167" i="4"/>
  <c r="H161" i="4"/>
  <c r="H159" i="4"/>
  <c r="D158" i="4"/>
  <c r="D161" i="4"/>
  <c r="D159" i="4"/>
  <c r="D165" i="4"/>
  <c r="D166" i="4"/>
  <c r="D167" i="4"/>
  <c r="D102" i="4"/>
  <c r="D109" i="4"/>
  <c r="D110" i="4"/>
  <c r="D111" i="4"/>
  <c r="D105" i="4"/>
  <c r="I105" i="4"/>
  <c r="D103" i="4"/>
  <c r="H19" i="4"/>
  <c r="H21" i="4"/>
  <c r="H20" i="4"/>
  <c r="I20" i="4"/>
  <c r="I24" i="4"/>
  <c r="H23" i="4"/>
  <c r="H22" i="4"/>
  <c r="C27" i="4"/>
  <c r="C28" i="4"/>
  <c r="I1347" i="4"/>
  <c r="AY2103" i="4"/>
  <c r="AY2131" i="4"/>
  <c r="I1212" i="4"/>
  <c r="I1158" i="4"/>
  <c r="J1158" i="4"/>
  <c r="I1104" i="4"/>
  <c r="I1050" i="4"/>
  <c r="J1050" i="4"/>
  <c r="I996" i="4"/>
  <c r="I969" i="4"/>
  <c r="I888" i="4"/>
  <c r="I861" i="4"/>
  <c r="I1320" i="4"/>
  <c r="I1293" i="4"/>
  <c r="I1239" i="4"/>
  <c r="AU2103" i="4"/>
  <c r="AU2131" i="4"/>
  <c r="I1185" i="4"/>
  <c r="J1185" i="4"/>
  <c r="I1131" i="4"/>
  <c r="AQ2103" i="4"/>
  <c r="AQ2131" i="4"/>
  <c r="I1077" i="4"/>
  <c r="AO2103" i="4"/>
  <c r="AO2131" i="4"/>
  <c r="I1029" i="4"/>
  <c r="I1023" i="4"/>
  <c r="I942" i="4"/>
  <c r="I915" i="4"/>
  <c r="I178" i="4"/>
  <c r="J178" i="4"/>
  <c r="I122" i="4"/>
  <c r="I11" i="4"/>
  <c r="J11" i="4"/>
  <c r="I427" i="3"/>
  <c r="I705" i="3"/>
  <c r="I649" i="3"/>
  <c r="D240" i="3"/>
  <c r="D241" i="3"/>
  <c r="F128" i="3"/>
  <c r="F129" i="3"/>
  <c r="H665" i="3"/>
  <c r="H666" i="3"/>
  <c r="BA2269" i="3"/>
  <c r="BA2296" i="3"/>
  <c r="J1432" i="3"/>
  <c r="AO2269" i="3"/>
  <c r="AO2296" i="3"/>
  <c r="J1054" i="3"/>
  <c r="AM2269" i="3"/>
  <c r="AM2296" i="3"/>
  <c r="F962" i="3"/>
  <c r="I962" i="3"/>
  <c r="F963" i="3"/>
  <c r="F960" i="3"/>
  <c r="F961" i="3"/>
  <c r="I961" i="3"/>
  <c r="F967" i="3"/>
  <c r="F968" i="3"/>
  <c r="F969" i="3"/>
  <c r="F958" i="3"/>
  <c r="F964" i="3"/>
  <c r="I964" i="3"/>
  <c r="H716" i="3"/>
  <c r="H715" i="3"/>
  <c r="H713" i="3"/>
  <c r="H717" i="3"/>
  <c r="H714" i="3"/>
  <c r="D716" i="3"/>
  <c r="D713" i="3"/>
  <c r="D717" i="3"/>
  <c r="D714" i="3"/>
  <c r="D720" i="3"/>
  <c r="D721" i="3"/>
  <c r="D722" i="3"/>
  <c r="D715" i="3"/>
  <c r="B714" i="3"/>
  <c r="B715" i="3"/>
  <c r="B716" i="3"/>
  <c r="B713" i="3"/>
  <c r="B717" i="3"/>
  <c r="I717" i="3"/>
  <c r="B720" i="3"/>
  <c r="B721" i="3"/>
  <c r="B722" i="3"/>
  <c r="F633" i="3"/>
  <c r="I633" i="3"/>
  <c r="F632" i="3"/>
  <c r="F631" i="3"/>
  <c r="I631" i="3"/>
  <c r="F630" i="3"/>
  <c r="F636" i="3"/>
  <c r="F275" i="3"/>
  <c r="F272" i="3"/>
  <c r="I272" i="3"/>
  <c r="F278" i="3"/>
  <c r="F279" i="3"/>
  <c r="F280" i="3"/>
  <c r="F273" i="3"/>
  <c r="I273" i="3"/>
  <c r="F274" i="3"/>
  <c r="H161" i="3"/>
  <c r="H158" i="3"/>
  <c r="H162" i="3"/>
  <c r="H159" i="3"/>
  <c r="H165" i="3"/>
  <c r="H160" i="3"/>
  <c r="D161" i="3"/>
  <c r="I161" i="3"/>
  <c r="D160" i="3"/>
  <c r="D158" i="3"/>
  <c r="D162" i="3"/>
  <c r="D159" i="3"/>
  <c r="E137" i="3"/>
  <c r="E130" i="3"/>
  <c r="E134" i="3"/>
  <c r="E131" i="3"/>
  <c r="I131" i="3"/>
  <c r="E132" i="3"/>
  <c r="I132" i="3"/>
  <c r="E133" i="3"/>
  <c r="I135" i="3"/>
  <c r="E78" i="3"/>
  <c r="I78" i="3"/>
  <c r="E75" i="3"/>
  <c r="E81" i="3"/>
  <c r="E82" i="3"/>
  <c r="E83" i="3"/>
  <c r="I79" i="3"/>
  <c r="E77" i="3"/>
  <c r="E74" i="3"/>
  <c r="I74" i="3"/>
  <c r="E76" i="3"/>
  <c r="I76" i="3"/>
  <c r="H20" i="3"/>
  <c r="H22" i="3"/>
  <c r="H26" i="3"/>
  <c r="H27" i="3"/>
  <c r="H28" i="3"/>
  <c r="H19" i="3"/>
  <c r="H21" i="3"/>
  <c r="H23" i="3"/>
  <c r="F20" i="3"/>
  <c r="F22" i="3"/>
  <c r="F26" i="3"/>
  <c r="F27" i="3"/>
  <c r="F28" i="3"/>
  <c r="F19" i="3"/>
  <c r="F21" i="3"/>
  <c r="F23" i="3"/>
  <c r="D20" i="3"/>
  <c r="D22" i="3"/>
  <c r="D26" i="3"/>
  <c r="D27" i="3"/>
  <c r="D28" i="3"/>
  <c r="D19" i="3"/>
  <c r="D21" i="3"/>
  <c r="D23" i="3"/>
  <c r="B2275" i="3"/>
  <c r="J25" i="3"/>
  <c r="F1207" i="3"/>
  <c r="I1207" i="3"/>
  <c r="F1206" i="3"/>
  <c r="F1205" i="3"/>
  <c r="F1204" i="3"/>
  <c r="I1204" i="3"/>
  <c r="F1210" i="3"/>
  <c r="F1211" i="3"/>
  <c r="F1212" i="3"/>
  <c r="J1081" i="3"/>
  <c r="F547" i="3"/>
  <c r="F551" i="3"/>
  <c r="F552" i="3"/>
  <c r="F553" i="3"/>
  <c r="F543" i="3"/>
  <c r="F546" i="3"/>
  <c r="F545" i="3"/>
  <c r="F544" i="3"/>
  <c r="F548" i="3"/>
  <c r="B547" i="3"/>
  <c r="I547" i="3"/>
  <c r="B544" i="3"/>
  <c r="B548" i="3"/>
  <c r="B551" i="3"/>
  <c r="B552" i="3"/>
  <c r="B553" i="3"/>
  <c r="B546" i="3"/>
  <c r="I546" i="3"/>
  <c r="B545" i="3"/>
  <c r="I545" i="3"/>
  <c r="F519" i="3"/>
  <c r="F523" i="3"/>
  <c r="F524" i="3"/>
  <c r="F518" i="3"/>
  <c r="F517" i="3"/>
  <c r="F516" i="3"/>
  <c r="F520" i="3"/>
  <c r="B519" i="3"/>
  <c r="I519" i="3"/>
  <c r="B516" i="3"/>
  <c r="B520" i="3"/>
  <c r="B523" i="3"/>
  <c r="B524" i="3"/>
  <c r="B518" i="3"/>
  <c r="B517" i="3"/>
  <c r="I517" i="3"/>
  <c r="F217" i="3"/>
  <c r="F214" i="3"/>
  <c r="F218" i="3"/>
  <c r="F215" i="3"/>
  <c r="F216" i="3"/>
  <c r="G188" i="3"/>
  <c r="I188" i="3"/>
  <c r="G189" i="3"/>
  <c r="I189" i="3"/>
  <c r="G186" i="3"/>
  <c r="I186" i="3"/>
  <c r="G190" i="3"/>
  <c r="I190" i="3"/>
  <c r="G193" i="3"/>
  <c r="G187" i="3"/>
  <c r="I187" i="3"/>
  <c r="F103" i="3"/>
  <c r="I103" i="3"/>
  <c r="F102" i="3"/>
  <c r="F104" i="3"/>
  <c r="F109" i="3"/>
  <c r="F110" i="3"/>
  <c r="I107" i="3"/>
  <c r="G26" i="3"/>
  <c r="G27" i="3"/>
  <c r="G28" i="3"/>
  <c r="G20" i="3"/>
  <c r="G22" i="3"/>
  <c r="G23" i="3"/>
  <c r="G19" i="3"/>
  <c r="G21" i="3"/>
  <c r="E26" i="3"/>
  <c r="E27" i="3"/>
  <c r="E28" i="3"/>
  <c r="E20" i="3"/>
  <c r="E22" i="3"/>
  <c r="E23" i="3"/>
  <c r="E19" i="3"/>
  <c r="E21" i="3"/>
  <c r="C26" i="3"/>
  <c r="C20" i="3"/>
  <c r="I20" i="3"/>
  <c r="C22" i="3"/>
  <c r="C23" i="3"/>
  <c r="C19" i="3"/>
  <c r="I19" i="3"/>
  <c r="C21" i="3"/>
  <c r="I21" i="3"/>
  <c r="I24" i="3"/>
  <c r="I75" i="3"/>
  <c r="I1205" i="3"/>
  <c r="J1205" i="3"/>
  <c r="I1150" i="3"/>
  <c r="J1150" i="3"/>
  <c r="I1528" i="3"/>
  <c r="BD2284" i="3"/>
  <c r="BD2300" i="3"/>
  <c r="I1501" i="3"/>
  <c r="BC2284" i="3"/>
  <c r="BC2300" i="3"/>
  <c r="I1447" i="3"/>
  <c r="I987" i="3"/>
  <c r="J987" i="3"/>
  <c r="I158" i="3"/>
  <c r="I1072" i="3"/>
  <c r="I1045" i="3"/>
  <c r="I824" i="3"/>
  <c r="I898" i="3"/>
  <c r="I789" i="3"/>
  <c r="B219" i="3"/>
  <c r="B221" i="3"/>
  <c r="B222" i="3"/>
  <c r="B223" i="3"/>
  <c r="I1367" i="3"/>
  <c r="I1259" i="3"/>
  <c r="I1124" i="3"/>
  <c r="I991" i="3"/>
  <c r="AJ2287" i="3"/>
  <c r="AJ2303" i="3"/>
  <c r="I769" i="3"/>
  <c r="I162" i="3"/>
  <c r="I1041" i="3"/>
  <c r="I828" i="3"/>
  <c r="I356" i="3"/>
  <c r="I275" i="3"/>
  <c r="I952" i="3"/>
  <c r="H720" i="3"/>
  <c r="I263" i="3"/>
  <c r="I164" i="3"/>
  <c r="I66" i="3"/>
  <c r="I60" i="3"/>
  <c r="J993" i="3"/>
  <c r="AJ2289" i="3"/>
  <c r="AJ2304" i="3"/>
  <c r="I1384" i="3"/>
  <c r="I1371" i="3"/>
  <c r="I1330" i="3"/>
  <c r="I1303" i="3"/>
  <c r="I1290" i="3"/>
  <c r="I1263" i="3"/>
  <c r="I1222" i="3"/>
  <c r="I1195" i="3"/>
  <c r="I1182" i="3"/>
  <c r="I1155" i="3"/>
  <c r="I1006" i="3"/>
  <c r="J1479" i="3"/>
  <c r="BB2289" i="3"/>
  <c r="BB2304" i="3"/>
  <c r="H732" i="2"/>
  <c r="H736" i="2"/>
  <c r="H735" i="2"/>
  <c r="H734" i="2"/>
  <c r="H733" i="2"/>
  <c r="H739" i="2"/>
  <c r="H740" i="2"/>
  <c r="H741" i="2"/>
  <c r="D732" i="2"/>
  <c r="I732" i="2"/>
  <c r="D736" i="2"/>
  <c r="I736" i="2"/>
  <c r="D735" i="2"/>
  <c r="I735" i="2"/>
  <c r="D734" i="2"/>
  <c r="I734" i="2"/>
  <c r="D733" i="2"/>
  <c r="D739" i="2"/>
  <c r="D740" i="2"/>
  <c r="D741" i="2"/>
  <c r="D730" i="2"/>
  <c r="B1318" i="2"/>
  <c r="B1319" i="2"/>
  <c r="B1210" i="2"/>
  <c r="B1209" i="2"/>
  <c r="I1209" i="2"/>
  <c r="B1215" i="2"/>
  <c r="B1216" i="2"/>
  <c r="B1217" i="2"/>
  <c r="B1208" i="2"/>
  <c r="I1208" i="2"/>
  <c r="B1212" i="2"/>
  <c r="B1211" i="2"/>
  <c r="I1211" i="2"/>
  <c r="D900" i="2"/>
  <c r="D904" i="2"/>
  <c r="H904" i="2"/>
  <c r="I904" i="2"/>
  <c r="D903" i="2"/>
  <c r="D902" i="2"/>
  <c r="H902" i="2"/>
  <c r="I902" i="2"/>
  <c r="D901" i="2"/>
  <c r="D907" i="2"/>
  <c r="D908" i="2"/>
  <c r="D909" i="2"/>
  <c r="C872" i="2"/>
  <c r="C876" i="2"/>
  <c r="C875" i="2"/>
  <c r="C874" i="2"/>
  <c r="C873" i="2"/>
  <c r="C879" i="2"/>
  <c r="C880" i="2"/>
  <c r="C881" i="2"/>
  <c r="C646" i="2"/>
  <c r="C650" i="2"/>
  <c r="C649" i="2"/>
  <c r="C648" i="2"/>
  <c r="C647" i="2"/>
  <c r="C653" i="2"/>
  <c r="C654" i="2"/>
  <c r="D788" i="2"/>
  <c r="H788" i="2"/>
  <c r="I788" i="2"/>
  <c r="D792" i="2"/>
  <c r="D791" i="2"/>
  <c r="H791" i="2"/>
  <c r="I791" i="2"/>
  <c r="D790" i="2"/>
  <c r="D789" i="2"/>
  <c r="D795" i="2"/>
  <c r="D796" i="2"/>
  <c r="D797" i="2"/>
  <c r="I948" i="2"/>
  <c r="I920" i="2"/>
  <c r="I892" i="2"/>
  <c r="I836" i="2"/>
  <c r="D844" i="2"/>
  <c r="D848" i="2"/>
  <c r="D847" i="2"/>
  <c r="D846" i="2"/>
  <c r="D845" i="2"/>
  <c r="D851" i="2"/>
  <c r="F159" i="2"/>
  <c r="I159" i="2"/>
  <c r="F160" i="2"/>
  <c r="I160" i="2"/>
  <c r="F166" i="2"/>
  <c r="F162" i="2"/>
  <c r="F161" i="2"/>
  <c r="I161" i="2"/>
  <c r="B1178" i="2"/>
  <c r="B1179" i="2"/>
  <c r="C446" i="2"/>
  <c r="C450" i="2"/>
  <c r="C449" i="2"/>
  <c r="C448" i="2"/>
  <c r="C447" i="2"/>
  <c r="C453" i="2"/>
  <c r="C454" i="2"/>
  <c r="C455" i="2"/>
  <c r="C444" i="2"/>
  <c r="H76" i="2"/>
  <c r="H77" i="2"/>
  <c r="H78" i="2"/>
  <c r="H75" i="2"/>
  <c r="H81" i="2"/>
  <c r="H74" i="2"/>
  <c r="H20" i="2"/>
  <c r="I20" i="2"/>
  <c r="J20" i="2"/>
  <c r="H22" i="2"/>
  <c r="I22" i="2"/>
  <c r="J22" i="2"/>
  <c r="H26" i="2"/>
  <c r="H27" i="2"/>
  <c r="H28" i="2"/>
  <c r="H19" i="2"/>
  <c r="H21" i="2"/>
  <c r="I21" i="2"/>
  <c r="J21" i="2"/>
  <c r="H23" i="2"/>
  <c r="I23" i="2"/>
  <c r="J23" i="2"/>
  <c r="D18" i="2"/>
  <c r="D17" i="2"/>
  <c r="D1014" i="2"/>
  <c r="D1013" i="2"/>
  <c r="D1019" i="2"/>
  <c r="D1020" i="2"/>
  <c r="D1021" i="2"/>
  <c r="D1012" i="2"/>
  <c r="D1016" i="2"/>
  <c r="D1015" i="2"/>
  <c r="D958" i="2"/>
  <c r="D957" i="2"/>
  <c r="D963" i="2"/>
  <c r="D956" i="2"/>
  <c r="D960" i="2"/>
  <c r="D959" i="2"/>
  <c r="H930" i="2"/>
  <c r="H929" i="2"/>
  <c r="H935" i="2"/>
  <c r="H928" i="2"/>
  <c r="H932" i="2"/>
  <c r="H931" i="2"/>
  <c r="D930" i="2"/>
  <c r="I930" i="2"/>
  <c r="D929" i="2"/>
  <c r="D935" i="2"/>
  <c r="D928" i="2"/>
  <c r="D932" i="2"/>
  <c r="D931" i="2"/>
  <c r="D76" i="2"/>
  <c r="D77" i="2"/>
  <c r="D78" i="2"/>
  <c r="I78" i="2"/>
  <c r="D74" i="2"/>
  <c r="I74" i="2"/>
  <c r="D2187" i="2"/>
  <c r="I79" i="2"/>
  <c r="D75" i="2"/>
  <c r="I75" i="2"/>
  <c r="D81" i="2"/>
  <c r="D82" i="2"/>
  <c r="D83" i="2"/>
  <c r="G48" i="2"/>
  <c r="I48" i="2"/>
  <c r="G49" i="2"/>
  <c r="I51" i="2"/>
  <c r="G46" i="2"/>
  <c r="I46" i="2"/>
  <c r="G47" i="2"/>
  <c r="I47" i="2"/>
  <c r="G53" i="2"/>
  <c r="G54" i="2"/>
  <c r="G55" i="2"/>
  <c r="G50" i="2"/>
  <c r="I50" i="2"/>
  <c r="F18" i="2"/>
  <c r="F17" i="2"/>
  <c r="F388" i="2"/>
  <c r="I388" i="2"/>
  <c r="F392" i="2"/>
  <c r="I392" i="2"/>
  <c r="F389" i="2"/>
  <c r="I389" i="2"/>
  <c r="F395" i="2"/>
  <c r="F396" i="2"/>
  <c r="F397" i="2"/>
  <c r="F390" i="2"/>
  <c r="F391" i="2"/>
  <c r="B244" i="2"/>
  <c r="I244" i="2"/>
  <c r="B245" i="2"/>
  <c r="I245" i="2"/>
  <c r="B251" i="2"/>
  <c r="B252" i="2"/>
  <c r="B253" i="2"/>
  <c r="B247" i="2"/>
  <c r="B246" i="2"/>
  <c r="I246" i="2"/>
  <c r="I390" i="2"/>
  <c r="I1362" i="2"/>
  <c r="I76" i="2"/>
  <c r="C129" i="2"/>
  <c r="C128" i="2"/>
  <c r="H387" i="2"/>
  <c r="H386" i="2"/>
  <c r="B387" i="2"/>
  <c r="B386" i="2"/>
  <c r="E45" i="2"/>
  <c r="E44" i="2"/>
  <c r="G129" i="2"/>
  <c r="G128" i="2"/>
  <c r="D387" i="2"/>
  <c r="D386" i="2"/>
  <c r="E2189" i="2"/>
  <c r="J104" i="2"/>
  <c r="J1362" i="2"/>
  <c r="AX2173" i="2"/>
  <c r="AX2201" i="2"/>
  <c r="G1070" i="2"/>
  <c r="G1069" i="2"/>
  <c r="G1075" i="2"/>
  <c r="G1076" i="2"/>
  <c r="G1077" i="2"/>
  <c r="G1066" i="2"/>
  <c r="G1068" i="2"/>
  <c r="G1072" i="2"/>
  <c r="G1071" i="2"/>
  <c r="E1013" i="2"/>
  <c r="E1019" i="2"/>
  <c r="E1020" i="2"/>
  <c r="E1021" i="2"/>
  <c r="H984" i="2"/>
  <c r="H988" i="2"/>
  <c r="H987" i="2"/>
  <c r="H986" i="2"/>
  <c r="H985" i="2"/>
  <c r="H991" i="2"/>
  <c r="D984" i="2"/>
  <c r="D988" i="2"/>
  <c r="D987" i="2"/>
  <c r="D986" i="2"/>
  <c r="I986" i="2"/>
  <c r="D985" i="2"/>
  <c r="D991" i="2"/>
  <c r="D992" i="2"/>
  <c r="D993" i="2"/>
  <c r="H956" i="2"/>
  <c r="I956" i="2"/>
  <c r="H960" i="2"/>
  <c r="I960" i="2"/>
  <c r="H959" i="2"/>
  <c r="I959" i="2"/>
  <c r="H958" i="2"/>
  <c r="I958" i="2"/>
  <c r="H957" i="2"/>
  <c r="H963" i="2"/>
  <c r="H964" i="2"/>
  <c r="H965" i="2"/>
  <c r="H954" i="2"/>
  <c r="H900" i="2"/>
  <c r="I900" i="2"/>
  <c r="H903" i="2"/>
  <c r="I903" i="2"/>
  <c r="H901" i="2"/>
  <c r="H907" i="2"/>
  <c r="H908" i="2"/>
  <c r="H909" i="2"/>
  <c r="H898" i="2"/>
  <c r="G872" i="2"/>
  <c r="I872" i="2"/>
  <c r="G876" i="2"/>
  <c r="I876" i="2"/>
  <c r="G875" i="2"/>
  <c r="I875" i="2"/>
  <c r="G874" i="2"/>
  <c r="I874" i="2"/>
  <c r="G873" i="2"/>
  <c r="G879" i="2"/>
  <c r="G880" i="2"/>
  <c r="G881" i="2"/>
  <c r="G871" i="2"/>
  <c r="E845" i="2"/>
  <c r="E851" i="2"/>
  <c r="E852" i="2"/>
  <c r="E853" i="2"/>
  <c r="H817" i="2"/>
  <c r="H823" i="2"/>
  <c r="H824" i="2"/>
  <c r="H825" i="2"/>
  <c r="D817" i="2"/>
  <c r="D823" i="2"/>
  <c r="D824" i="2"/>
  <c r="D825" i="2"/>
  <c r="H792" i="2"/>
  <c r="I792" i="2"/>
  <c r="H790" i="2"/>
  <c r="I790" i="2"/>
  <c r="H789" i="2"/>
  <c r="H795" i="2"/>
  <c r="H796" i="2"/>
  <c r="H797" i="2"/>
  <c r="H786" i="2"/>
  <c r="G760" i="2"/>
  <c r="I760" i="2"/>
  <c r="G764" i="2"/>
  <c r="I764" i="2"/>
  <c r="G763" i="2"/>
  <c r="I763" i="2"/>
  <c r="G762" i="2"/>
  <c r="I762" i="2"/>
  <c r="G761" i="2"/>
  <c r="G767" i="2"/>
  <c r="G768" i="2"/>
  <c r="G769" i="2"/>
  <c r="G759" i="2"/>
  <c r="G704" i="2"/>
  <c r="I704" i="2"/>
  <c r="G708" i="2"/>
  <c r="I708" i="2"/>
  <c r="G707" i="2"/>
  <c r="G706" i="2"/>
  <c r="I706" i="2"/>
  <c r="G705" i="2"/>
  <c r="G711" i="2"/>
  <c r="G712" i="2"/>
  <c r="G713" i="2"/>
  <c r="H675" i="2"/>
  <c r="I675" i="2"/>
  <c r="H679" i="2"/>
  <c r="I679" i="2"/>
  <c r="H678" i="2"/>
  <c r="I678" i="2"/>
  <c r="H677" i="2"/>
  <c r="I677" i="2"/>
  <c r="H676" i="2"/>
  <c r="H682" i="2"/>
  <c r="H683" i="2"/>
  <c r="H684" i="2"/>
  <c r="G646" i="2"/>
  <c r="I646" i="2"/>
  <c r="G650" i="2"/>
  <c r="I650" i="2"/>
  <c r="G649" i="2"/>
  <c r="I649" i="2"/>
  <c r="G648" i="2"/>
  <c r="I648" i="2"/>
  <c r="G647" i="2"/>
  <c r="G653" i="2"/>
  <c r="H617" i="2"/>
  <c r="H621" i="2"/>
  <c r="I621" i="2"/>
  <c r="H620" i="2"/>
  <c r="H619" i="2"/>
  <c r="I619" i="2"/>
  <c r="H618" i="2"/>
  <c r="H624" i="2"/>
  <c r="H625" i="2"/>
  <c r="H626" i="2"/>
  <c r="H615" i="2"/>
  <c r="G589" i="2"/>
  <c r="I589" i="2"/>
  <c r="G593" i="2"/>
  <c r="I593" i="2"/>
  <c r="G592" i="2"/>
  <c r="I592" i="2"/>
  <c r="G591" i="2"/>
  <c r="I591" i="2"/>
  <c r="G590" i="2"/>
  <c r="G596" i="2"/>
  <c r="E562" i="2"/>
  <c r="E568" i="2"/>
  <c r="E569" i="2"/>
  <c r="G506" i="2"/>
  <c r="I506" i="2"/>
  <c r="G505" i="2"/>
  <c r="G511" i="2"/>
  <c r="G512" i="2"/>
  <c r="G513" i="2"/>
  <c r="G503" i="2"/>
  <c r="G504" i="2"/>
  <c r="G508" i="2"/>
  <c r="G507" i="2"/>
  <c r="G446" i="2"/>
  <c r="G450" i="2"/>
  <c r="I450" i="2"/>
  <c r="G449" i="2"/>
  <c r="G448" i="2"/>
  <c r="G447" i="2"/>
  <c r="G453" i="2"/>
  <c r="G454" i="2"/>
  <c r="G455" i="2"/>
  <c r="E421" i="2"/>
  <c r="E420" i="2"/>
  <c r="E418" i="2"/>
  <c r="I418" i="2"/>
  <c r="E424" i="2"/>
  <c r="F360" i="2"/>
  <c r="F364" i="2"/>
  <c r="F363" i="2"/>
  <c r="F361" i="2"/>
  <c r="I361" i="2"/>
  <c r="F367" i="2"/>
  <c r="F335" i="2"/>
  <c r="F333" i="2"/>
  <c r="I333" i="2"/>
  <c r="F339" i="2"/>
  <c r="F306" i="2"/>
  <c r="F310" i="2"/>
  <c r="F305" i="2"/>
  <c r="I305" i="2"/>
  <c r="F303" i="2"/>
  <c r="F307" i="2"/>
  <c r="F219" i="2"/>
  <c r="F223" i="2"/>
  <c r="I102" i="2"/>
  <c r="J102" i="2"/>
  <c r="I448" i="2"/>
  <c r="H1069" i="2"/>
  <c r="H1075" i="2"/>
  <c r="H1076" i="2"/>
  <c r="H1077" i="2"/>
  <c r="H1072" i="2"/>
  <c r="H1070" i="2"/>
  <c r="H1068" i="2"/>
  <c r="H1071" i="2"/>
  <c r="D1069" i="2"/>
  <c r="D1072" i="2"/>
  <c r="D1070" i="2"/>
  <c r="D1075" i="2"/>
  <c r="D1076" i="2"/>
  <c r="D1077" i="2"/>
  <c r="D1068" i="2"/>
  <c r="I1068" i="2"/>
  <c r="D1071" i="2"/>
  <c r="H1012" i="2"/>
  <c r="I1012" i="2"/>
  <c r="H1016" i="2"/>
  <c r="H1015" i="2"/>
  <c r="I1015" i="2"/>
  <c r="H1014" i="2"/>
  <c r="H1013" i="2"/>
  <c r="H1019" i="2"/>
  <c r="H1020" i="2"/>
  <c r="H1021" i="2"/>
  <c r="H1010" i="2"/>
  <c r="E985" i="2"/>
  <c r="E991" i="2"/>
  <c r="E992" i="2"/>
  <c r="E993" i="2"/>
  <c r="E957" i="2"/>
  <c r="E963" i="2"/>
  <c r="E964" i="2"/>
  <c r="E965" i="2"/>
  <c r="E929" i="2"/>
  <c r="E935" i="2"/>
  <c r="E936" i="2"/>
  <c r="E937" i="2"/>
  <c r="E901" i="2"/>
  <c r="E907" i="2"/>
  <c r="E908" i="2"/>
  <c r="E909" i="2"/>
  <c r="H873" i="2"/>
  <c r="H879" i="2"/>
  <c r="H880" i="2"/>
  <c r="H881" i="2"/>
  <c r="D873" i="2"/>
  <c r="D879" i="2"/>
  <c r="D880" i="2"/>
  <c r="D881" i="2"/>
  <c r="H844" i="2"/>
  <c r="H848" i="2"/>
  <c r="H847" i="2"/>
  <c r="H846" i="2"/>
  <c r="H845" i="2"/>
  <c r="H851" i="2"/>
  <c r="H852" i="2"/>
  <c r="G816" i="2"/>
  <c r="G820" i="2"/>
  <c r="G819" i="2"/>
  <c r="G818" i="2"/>
  <c r="I818" i="2"/>
  <c r="G817" i="2"/>
  <c r="G823" i="2"/>
  <c r="G824" i="2"/>
  <c r="E789" i="2"/>
  <c r="E795" i="2"/>
  <c r="E796" i="2"/>
  <c r="H761" i="2"/>
  <c r="H767" i="2"/>
  <c r="H768" i="2"/>
  <c r="D761" i="2"/>
  <c r="D767" i="2"/>
  <c r="D768" i="2"/>
  <c r="E733" i="2"/>
  <c r="E739" i="2"/>
  <c r="E740" i="2"/>
  <c r="H705" i="2"/>
  <c r="H711" i="2"/>
  <c r="H712" i="2"/>
  <c r="D705" i="2"/>
  <c r="D711" i="2"/>
  <c r="D712" i="2"/>
  <c r="E676" i="2"/>
  <c r="E682" i="2"/>
  <c r="E683" i="2"/>
  <c r="H647" i="2"/>
  <c r="H653" i="2"/>
  <c r="H654" i="2"/>
  <c r="D647" i="2"/>
  <c r="D653" i="2"/>
  <c r="D654" i="2"/>
  <c r="E618" i="2"/>
  <c r="E624" i="2"/>
  <c r="E625" i="2"/>
  <c r="H590" i="2"/>
  <c r="H596" i="2"/>
  <c r="H597" i="2"/>
  <c r="D590" i="2"/>
  <c r="D596" i="2"/>
  <c r="D597" i="2"/>
  <c r="H561" i="2"/>
  <c r="I561" i="2"/>
  <c r="H565" i="2"/>
  <c r="I565" i="2"/>
  <c r="H564" i="2"/>
  <c r="I564" i="2"/>
  <c r="H563" i="2"/>
  <c r="I563" i="2"/>
  <c r="H562" i="2"/>
  <c r="H568" i="2"/>
  <c r="H569" i="2"/>
  <c r="H505" i="2"/>
  <c r="H511" i="2"/>
  <c r="H512" i="2"/>
  <c r="D505" i="2"/>
  <c r="D511" i="2"/>
  <c r="D512" i="2"/>
  <c r="H447" i="2"/>
  <c r="H453" i="2"/>
  <c r="H454" i="2"/>
  <c r="D447" i="2"/>
  <c r="D453" i="2"/>
  <c r="D454" i="2"/>
  <c r="F420" i="2"/>
  <c r="F419" i="2"/>
  <c r="I419" i="2"/>
  <c r="F424" i="2"/>
  <c r="F425" i="2"/>
  <c r="F426" i="2"/>
  <c r="F417" i="2"/>
  <c r="F421" i="2"/>
  <c r="G363" i="2"/>
  <c r="G367" i="2"/>
  <c r="G368" i="2"/>
  <c r="G360" i="2"/>
  <c r="G364" i="2"/>
  <c r="G362" i="2"/>
  <c r="I362" i="2"/>
  <c r="G335" i="2"/>
  <c r="G339" i="2"/>
  <c r="G332" i="2"/>
  <c r="G336" i="2"/>
  <c r="G334" i="2"/>
  <c r="I334" i="2"/>
  <c r="E303" i="2"/>
  <c r="E306" i="2"/>
  <c r="E304" i="2"/>
  <c r="I304" i="2"/>
  <c r="E310" i="2"/>
  <c r="G247" i="2"/>
  <c r="G251" i="2"/>
  <c r="I707" i="2"/>
  <c r="I1278" i="2"/>
  <c r="J1278" i="2"/>
  <c r="I1222" i="2"/>
  <c r="I1026" i="2"/>
  <c r="J1026" i="2"/>
  <c r="I998" i="2"/>
  <c r="I970" i="2"/>
  <c r="J970" i="2"/>
  <c r="I942" i="2"/>
  <c r="I914" i="2"/>
  <c r="J914" i="2"/>
  <c r="I380" i="2"/>
  <c r="I94" i="2"/>
  <c r="CA2176" i="2"/>
  <c r="CB2176" i="2"/>
  <c r="I1250" i="2"/>
  <c r="I1194" i="2"/>
  <c r="J1194" i="2"/>
  <c r="I1082" i="2"/>
  <c r="I1426" i="1"/>
  <c r="I1196" i="1"/>
  <c r="I1101" i="1"/>
  <c r="I1074" i="1"/>
  <c r="I1061" i="1"/>
  <c r="I1007" i="1"/>
  <c r="I980" i="1"/>
  <c r="I813" i="1"/>
  <c r="I729" i="1"/>
  <c r="I673" i="1"/>
  <c r="I618" i="1"/>
  <c r="I590" i="1"/>
  <c r="I464" i="1"/>
  <c r="I450" i="1"/>
  <c r="I436" i="1"/>
  <c r="I422" i="1"/>
  <c r="I394" i="1"/>
  <c r="I553" i="1"/>
  <c r="T2382" i="1"/>
  <c r="T2389" i="1"/>
  <c r="T2406" i="1"/>
  <c r="J560" i="1"/>
  <c r="I772" i="1"/>
  <c r="AB2378" i="1"/>
  <c r="AB2385" i="1"/>
  <c r="AB2402" i="1"/>
  <c r="J779" i="1"/>
  <c r="J772" i="1"/>
  <c r="B1191" i="1"/>
  <c r="B1190" i="1"/>
  <c r="B1194" i="1"/>
  <c r="B1193" i="1"/>
  <c r="B1192" i="1"/>
  <c r="B1197" i="1"/>
  <c r="I184" i="1"/>
  <c r="H2387" i="1"/>
  <c r="J191" i="1"/>
  <c r="I552" i="1"/>
  <c r="T2381" i="1"/>
  <c r="I551" i="1"/>
  <c r="T2380" i="1"/>
  <c r="J558" i="1"/>
  <c r="T2387" i="1"/>
  <c r="T2404" i="1"/>
  <c r="AB2387" i="1"/>
  <c r="AB2404" i="1"/>
  <c r="J781" i="1"/>
  <c r="J774" i="1"/>
  <c r="I774" i="1"/>
  <c r="AB2380" i="1"/>
  <c r="B1165" i="1"/>
  <c r="I1165" i="1"/>
  <c r="B1164" i="1"/>
  <c r="B1170" i="1"/>
  <c r="B1163" i="1"/>
  <c r="I1163" i="1"/>
  <c r="B1167" i="1"/>
  <c r="I1168" i="1"/>
  <c r="B1166" i="1"/>
  <c r="I1149" i="1"/>
  <c r="AP2366" i="1"/>
  <c r="AP2399" i="1"/>
  <c r="B221" i="1"/>
  <c r="I921" i="1"/>
  <c r="I923" i="1"/>
  <c r="I189" i="1"/>
  <c r="I585" i="1"/>
  <c r="I615" i="1"/>
  <c r="I1111" i="1"/>
  <c r="BF2371" i="1"/>
  <c r="BD2371" i="1"/>
  <c r="AZ2371" i="1"/>
  <c r="BB2370" i="1"/>
  <c r="AX2370" i="1"/>
  <c r="BF2369" i="1"/>
  <c r="BD2369" i="1"/>
  <c r="AZ2369" i="1"/>
  <c r="AV2369" i="1"/>
  <c r="BB2368" i="1"/>
  <c r="AX2368" i="1"/>
  <c r="AT2368" i="1"/>
  <c r="BC2367" i="1"/>
  <c r="BA2367" i="1"/>
  <c r="AW2367" i="1"/>
  <c r="AU2367" i="1"/>
  <c r="AS2367" i="1"/>
  <c r="I1629" i="1"/>
  <c r="BG2391" i="1"/>
  <c r="BG2407" i="1"/>
  <c r="B1623" i="1"/>
  <c r="I1623" i="1"/>
  <c r="BG2385" i="1"/>
  <c r="BG2402" i="1"/>
  <c r="B1624" i="1"/>
  <c r="D1624" i="1"/>
  <c r="H1624" i="1"/>
  <c r="B1625" i="1"/>
  <c r="D1625" i="1"/>
  <c r="H1625" i="1"/>
  <c r="B1626" i="1"/>
  <c r="I1626" i="1"/>
  <c r="BG2388" i="1"/>
  <c r="BG2405" i="1"/>
  <c r="B1627" i="1"/>
  <c r="I1627" i="1"/>
  <c r="BG2389" i="1"/>
  <c r="BG2406" i="1"/>
  <c r="I1548" i="1"/>
  <c r="I1521" i="1"/>
  <c r="I1467" i="1"/>
  <c r="I1359" i="1"/>
  <c r="I1264" i="1"/>
  <c r="I1251" i="1"/>
  <c r="I1169" i="1"/>
  <c r="I1115" i="1"/>
  <c r="E1459" i="1"/>
  <c r="E1460" i="1"/>
  <c r="E1380" i="1"/>
  <c r="E1381" i="1"/>
  <c r="E1384" i="1"/>
  <c r="E1387" i="1"/>
  <c r="E1388" i="1"/>
  <c r="E1389" i="1"/>
  <c r="I1385" i="1"/>
  <c r="E1383" i="1"/>
  <c r="E1382" i="1"/>
  <c r="H1275" i="1"/>
  <c r="H1274" i="1"/>
  <c r="H1279" i="1"/>
  <c r="H1280" i="1"/>
  <c r="H1281" i="1"/>
  <c r="H1270" i="1"/>
  <c r="H1273" i="1"/>
  <c r="H1272" i="1"/>
  <c r="H1276" i="1"/>
  <c r="H1220" i="1"/>
  <c r="H1219" i="1"/>
  <c r="I1222" i="1"/>
  <c r="H1224" i="1"/>
  <c r="H1225" i="1"/>
  <c r="H1226" i="1"/>
  <c r="H1215" i="1"/>
  <c r="H1218" i="1"/>
  <c r="H1217" i="1"/>
  <c r="H1221" i="1"/>
  <c r="D892" i="1"/>
  <c r="D891" i="1"/>
  <c r="D895" i="1"/>
  <c r="I896" i="1"/>
  <c r="D898" i="1"/>
  <c r="D899" i="1"/>
  <c r="D900" i="1"/>
  <c r="D894" i="1"/>
  <c r="D893" i="1"/>
  <c r="H836" i="1"/>
  <c r="H835" i="1"/>
  <c r="H839" i="1"/>
  <c r="H842" i="1"/>
  <c r="H843" i="1"/>
  <c r="H844" i="1"/>
  <c r="H833" i="1"/>
  <c r="H838" i="1"/>
  <c r="H837" i="1"/>
  <c r="G808" i="1"/>
  <c r="G814" i="1"/>
  <c r="G815" i="1"/>
  <c r="G809" i="1"/>
  <c r="G810" i="1"/>
  <c r="G807" i="1"/>
  <c r="G811" i="1"/>
  <c r="E808" i="1"/>
  <c r="E814" i="1"/>
  <c r="E815" i="1"/>
  <c r="E816" i="1"/>
  <c r="E809" i="1"/>
  <c r="E810" i="1"/>
  <c r="E807" i="1"/>
  <c r="E811" i="1"/>
  <c r="C808" i="1"/>
  <c r="C814" i="1"/>
  <c r="C809" i="1"/>
  <c r="C810" i="1"/>
  <c r="C807" i="1"/>
  <c r="C811" i="1"/>
  <c r="G417" i="1"/>
  <c r="G423" i="1"/>
  <c r="G424" i="1"/>
  <c r="G425" i="1"/>
  <c r="G418" i="1"/>
  <c r="G419" i="1"/>
  <c r="G416" i="1"/>
  <c r="G420" i="1"/>
  <c r="E417" i="1"/>
  <c r="E423" i="1"/>
  <c r="E424" i="1"/>
  <c r="E425" i="1"/>
  <c r="E415" i="1"/>
  <c r="E418" i="1"/>
  <c r="E419" i="1"/>
  <c r="E416" i="1"/>
  <c r="E420" i="1"/>
  <c r="C417" i="1"/>
  <c r="C423" i="1"/>
  <c r="C424" i="1"/>
  <c r="C425" i="1"/>
  <c r="C418" i="1"/>
  <c r="C419" i="1"/>
  <c r="C416" i="1"/>
  <c r="C420" i="1"/>
  <c r="H332" i="1"/>
  <c r="H336" i="1"/>
  <c r="H334" i="1"/>
  <c r="H335" i="1"/>
  <c r="H333" i="1"/>
  <c r="D332" i="1"/>
  <c r="D336" i="1"/>
  <c r="D334" i="1"/>
  <c r="D335" i="1"/>
  <c r="D333" i="1"/>
  <c r="I337" i="1"/>
  <c r="G279" i="1"/>
  <c r="G278" i="1"/>
  <c r="G277" i="1"/>
  <c r="G276" i="1"/>
  <c r="G280" i="1"/>
  <c r="G283" i="1"/>
  <c r="H77" i="1"/>
  <c r="H83" i="1"/>
  <c r="H84" i="1"/>
  <c r="H85" i="1"/>
  <c r="H78" i="1"/>
  <c r="H79" i="1"/>
  <c r="H76" i="1"/>
  <c r="H80" i="1"/>
  <c r="F77" i="1"/>
  <c r="F83" i="1"/>
  <c r="F84" i="1"/>
  <c r="F78" i="1"/>
  <c r="F79" i="1"/>
  <c r="F76" i="1"/>
  <c r="F80" i="1"/>
  <c r="D77" i="1"/>
  <c r="D83" i="1"/>
  <c r="D84" i="1"/>
  <c r="D85" i="1"/>
  <c r="D75" i="1"/>
  <c r="D78" i="1"/>
  <c r="D79" i="1"/>
  <c r="D76" i="1"/>
  <c r="D80" i="1"/>
  <c r="B77" i="1"/>
  <c r="B79" i="1"/>
  <c r="B76" i="1"/>
  <c r="B78" i="1"/>
  <c r="B80" i="1"/>
  <c r="B83" i="1"/>
  <c r="B84" i="1"/>
  <c r="B85" i="1"/>
  <c r="B75" i="1"/>
  <c r="G48" i="1"/>
  <c r="G54" i="1"/>
  <c r="G55" i="1"/>
  <c r="G56" i="1"/>
  <c r="G45" i="1"/>
  <c r="G49" i="1"/>
  <c r="G50" i="1"/>
  <c r="G47" i="1"/>
  <c r="G51" i="1"/>
  <c r="E48" i="1"/>
  <c r="E54" i="1"/>
  <c r="E55" i="1"/>
  <c r="E56" i="1"/>
  <c r="E49" i="1"/>
  <c r="E50" i="1"/>
  <c r="E47" i="1"/>
  <c r="E51" i="1"/>
  <c r="C48" i="1"/>
  <c r="C54" i="1"/>
  <c r="C55" i="1"/>
  <c r="C56" i="1"/>
  <c r="C49" i="1"/>
  <c r="C50" i="1"/>
  <c r="C47" i="1"/>
  <c r="C51" i="1"/>
  <c r="H1381" i="1"/>
  <c r="H1380" i="1"/>
  <c r="H1384" i="1"/>
  <c r="H1387" i="1"/>
  <c r="H1388" i="1"/>
  <c r="H1389" i="1"/>
  <c r="H1379" i="1"/>
  <c r="H1383" i="1"/>
  <c r="H1382" i="1"/>
  <c r="E1272" i="1"/>
  <c r="E1273" i="1"/>
  <c r="E1276" i="1"/>
  <c r="E1279" i="1"/>
  <c r="E1280" i="1"/>
  <c r="E1281" i="1"/>
  <c r="I1277" i="1"/>
  <c r="E1275" i="1"/>
  <c r="E1274" i="1"/>
  <c r="F1193" i="1"/>
  <c r="F1190" i="1"/>
  <c r="F1194" i="1"/>
  <c r="F1191" i="1"/>
  <c r="F1197" i="1"/>
  <c r="F1198" i="1"/>
  <c r="F1199" i="1"/>
  <c r="F1188" i="1"/>
  <c r="F1192" i="1"/>
  <c r="I1195" i="1"/>
  <c r="B947" i="1"/>
  <c r="I947" i="1"/>
  <c r="B951" i="1"/>
  <c r="I951" i="1"/>
  <c r="B948" i="1"/>
  <c r="I948" i="1"/>
  <c r="B950" i="1"/>
  <c r="I950" i="1"/>
  <c r="B954" i="1"/>
  <c r="B949" i="1"/>
  <c r="I949" i="1"/>
  <c r="I952" i="1"/>
  <c r="E835" i="1"/>
  <c r="E842" i="1"/>
  <c r="E843" i="1"/>
  <c r="E844" i="1"/>
  <c r="E836" i="1"/>
  <c r="E839" i="1"/>
  <c r="I840" i="1"/>
  <c r="E838" i="1"/>
  <c r="E837" i="1"/>
  <c r="H807" i="1"/>
  <c r="H811" i="1"/>
  <c r="H810" i="1"/>
  <c r="H809" i="1"/>
  <c r="H808" i="1"/>
  <c r="H814" i="1"/>
  <c r="H815" i="1"/>
  <c r="F807" i="1"/>
  <c r="F811" i="1"/>
  <c r="F810" i="1"/>
  <c r="F809" i="1"/>
  <c r="F808" i="1"/>
  <c r="F814" i="1"/>
  <c r="F815" i="1"/>
  <c r="F816" i="1"/>
  <c r="D807" i="1"/>
  <c r="D811" i="1"/>
  <c r="D810" i="1"/>
  <c r="D809" i="1"/>
  <c r="D808" i="1"/>
  <c r="D814" i="1"/>
  <c r="D815" i="1"/>
  <c r="D816" i="1"/>
  <c r="D805" i="1"/>
  <c r="B807" i="1"/>
  <c r="B809" i="1"/>
  <c r="B811" i="1"/>
  <c r="I812" i="1"/>
  <c r="B810" i="1"/>
  <c r="B814" i="1"/>
  <c r="B815" i="1"/>
  <c r="B816" i="1"/>
  <c r="B806" i="1"/>
  <c r="B808" i="1"/>
  <c r="H416" i="1"/>
  <c r="H420" i="1"/>
  <c r="H419" i="1"/>
  <c r="H418" i="1"/>
  <c r="H417" i="1"/>
  <c r="H423" i="1"/>
  <c r="F416" i="1"/>
  <c r="F420" i="1"/>
  <c r="F419" i="1"/>
  <c r="F418" i="1"/>
  <c r="F417" i="1"/>
  <c r="F423" i="1"/>
  <c r="D416" i="1"/>
  <c r="D420" i="1"/>
  <c r="D419" i="1"/>
  <c r="D418" i="1"/>
  <c r="D417" i="1"/>
  <c r="D423" i="1"/>
  <c r="B416" i="1"/>
  <c r="B420" i="1"/>
  <c r="B417" i="1"/>
  <c r="B418" i="1"/>
  <c r="I421" i="1"/>
  <c r="B419" i="1"/>
  <c r="B423" i="1"/>
  <c r="B424" i="1"/>
  <c r="B361" i="1"/>
  <c r="B360" i="1"/>
  <c r="B364" i="1"/>
  <c r="B363" i="1"/>
  <c r="B362" i="1"/>
  <c r="I365" i="1"/>
  <c r="B367" i="1"/>
  <c r="B368" i="1"/>
  <c r="B369" i="1"/>
  <c r="G333" i="1"/>
  <c r="G332" i="1"/>
  <c r="G336" i="1"/>
  <c r="G339" i="1"/>
  <c r="G340" i="1"/>
  <c r="G341" i="1"/>
  <c r="G330" i="1"/>
  <c r="G335" i="1"/>
  <c r="G334" i="1"/>
  <c r="H276" i="1"/>
  <c r="H278" i="1"/>
  <c r="H279" i="1"/>
  <c r="H277" i="1"/>
  <c r="H280" i="1"/>
  <c r="D276" i="1"/>
  <c r="I281" i="1"/>
  <c r="D278" i="1"/>
  <c r="D279" i="1"/>
  <c r="D277" i="1"/>
  <c r="D280" i="1"/>
  <c r="J151" i="1"/>
  <c r="E133" i="1"/>
  <c r="I133" i="1"/>
  <c r="E136" i="1"/>
  <c r="E132" i="1"/>
  <c r="I137" i="1"/>
  <c r="E135" i="1"/>
  <c r="E139" i="1"/>
  <c r="E140" i="1"/>
  <c r="E141" i="1"/>
  <c r="E131" i="1"/>
  <c r="E134" i="1"/>
  <c r="I134" i="1"/>
  <c r="G76" i="1"/>
  <c r="G80" i="1"/>
  <c r="G79" i="1"/>
  <c r="G78" i="1"/>
  <c r="G77" i="1"/>
  <c r="G83" i="1"/>
  <c r="G84" i="1"/>
  <c r="G85" i="1"/>
  <c r="E76" i="1"/>
  <c r="E80" i="1"/>
  <c r="E79" i="1"/>
  <c r="E78" i="1"/>
  <c r="E77" i="1"/>
  <c r="E83" i="1"/>
  <c r="E84" i="1"/>
  <c r="E85" i="1"/>
  <c r="C76" i="1"/>
  <c r="C80" i="1"/>
  <c r="C79" i="1"/>
  <c r="C78" i="1"/>
  <c r="C77" i="1"/>
  <c r="C83" i="1"/>
  <c r="C84" i="1"/>
  <c r="C85" i="1"/>
  <c r="H49" i="1"/>
  <c r="H48" i="1"/>
  <c r="H54" i="1"/>
  <c r="H47" i="1"/>
  <c r="H51" i="1"/>
  <c r="H50" i="1"/>
  <c r="F49" i="1"/>
  <c r="F48" i="1"/>
  <c r="F54" i="1"/>
  <c r="F55" i="1"/>
  <c r="F56" i="1"/>
  <c r="F45" i="1"/>
  <c r="F47" i="1"/>
  <c r="F51" i="1"/>
  <c r="F50" i="1"/>
  <c r="D49" i="1"/>
  <c r="D48" i="1"/>
  <c r="D54" i="1"/>
  <c r="D55" i="1"/>
  <c r="D56" i="1"/>
  <c r="D46" i="1"/>
  <c r="D47" i="1"/>
  <c r="D51" i="1"/>
  <c r="D50" i="1"/>
  <c r="B49" i="1"/>
  <c r="I49" i="1"/>
  <c r="B48" i="1"/>
  <c r="B50" i="1"/>
  <c r="B47" i="1"/>
  <c r="B51" i="1"/>
  <c r="B54" i="1"/>
  <c r="B55" i="1"/>
  <c r="B56" i="1"/>
  <c r="B45" i="1"/>
  <c r="I1609" i="1"/>
  <c r="BG2366" i="1"/>
  <c r="BG2399" i="1"/>
  <c r="I1501" i="1"/>
  <c r="I1447" i="1"/>
  <c r="BA2366" i="1"/>
  <c r="BA2399" i="1"/>
  <c r="I1420" i="1"/>
  <c r="I1366" i="1"/>
  <c r="I1258" i="1"/>
  <c r="I96" i="1"/>
  <c r="I1555" i="1"/>
  <c r="I1474" i="1"/>
  <c r="BB2366" i="1"/>
  <c r="BB2399" i="1"/>
  <c r="I1393" i="1"/>
  <c r="I1285" i="1"/>
  <c r="I1231" i="1"/>
  <c r="I1203" i="1"/>
  <c r="J1203" i="1"/>
  <c r="I1176" i="1"/>
  <c r="L346" i="1"/>
  <c r="L203" i="1"/>
  <c r="I124" i="1"/>
  <c r="I1615" i="1"/>
  <c r="BG2372" i="1"/>
  <c r="I1480" i="1"/>
  <c r="I1020" i="1"/>
  <c r="I715" i="1"/>
  <c r="I1357" i="3"/>
  <c r="I733" i="3"/>
  <c r="I1534" i="1"/>
  <c r="I1507" i="1"/>
  <c r="I1453" i="1"/>
  <c r="I1372" i="1"/>
  <c r="I1209" i="1"/>
  <c r="I1128" i="1"/>
  <c r="I939" i="1"/>
  <c r="I883" i="1"/>
  <c r="I827" i="1"/>
  <c r="I743" i="1"/>
  <c r="I492" i="1"/>
  <c r="I380" i="1"/>
  <c r="K10" i="1"/>
  <c r="E526" i="1"/>
  <c r="E527" i="1"/>
  <c r="G1541" i="1"/>
  <c r="G1540" i="1"/>
  <c r="E1108" i="1"/>
  <c r="E1107" i="1"/>
  <c r="F498" i="1"/>
  <c r="F499" i="1"/>
  <c r="B498" i="1"/>
  <c r="B499" i="1"/>
  <c r="C471" i="1"/>
  <c r="C470" i="1"/>
  <c r="G187" i="1"/>
  <c r="G188" i="1"/>
  <c r="C187" i="1"/>
  <c r="C188" i="1"/>
  <c r="F123" i="6"/>
  <c r="F124" i="6"/>
  <c r="F70" i="6"/>
  <c r="F69" i="6"/>
  <c r="G1595" i="1"/>
  <c r="G1594" i="1"/>
  <c r="F1540" i="1"/>
  <c r="F1541" i="1"/>
  <c r="G526" i="1"/>
  <c r="G527" i="1"/>
  <c r="D124" i="6"/>
  <c r="D123" i="6"/>
  <c r="G1108" i="1"/>
  <c r="G1107" i="1"/>
  <c r="C1108" i="1"/>
  <c r="C1107" i="1"/>
  <c r="H498" i="1"/>
  <c r="H499" i="1"/>
  <c r="D498" i="1"/>
  <c r="D499" i="1"/>
  <c r="E187" i="1"/>
  <c r="E188" i="1"/>
  <c r="F96" i="6"/>
  <c r="F97" i="6"/>
  <c r="B70" i="6"/>
  <c r="B69" i="6"/>
  <c r="H1540" i="1"/>
  <c r="H1541" i="1"/>
  <c r="F349" i="4"/>
  <c r="F350" i="4"/>
  <c r="H1009" i="4"/>
  <c r="D462" i="4"/>
  <c r="G349" i="4"/>
  <c r="C349" i="4"/>
  <c r="H1403" i="2"/>
  <c r="D1403" i="2"/>
  <c r="F1374" i="2"/>
  <c r="F1375" i="2"/>
  <c r="H1319" i="2"/>
  <c r="D1319" i="2"/>
  <c r="G1290" i="2"/>
  <c r="G1291" i="2"/>
  <c r="C1290" i="2"/>
  <c r="C1291" i="2"/>
  <c r="E1263" i="2"/>
  <c r="G1235" i="2"/>
  <c r="C1235" i="2"/>
  <c r="G1151" i="2"/>
  <c r="G1150" i="2"/>
  <c r="C1151" i="2"/>
  <c r="C1150" i="2"/>
  <c r="G532" i="2"/>
  <c r="G531" i="2"/>
  <c r="C532" i="2"/>
  <c r="C531" i="2"/>
  <c r="E503" i="2"/>
  <c r="E502" i="2"/>
  <c r="G415" i="2"/>
  <c r="H359" i="2"/>
  <c r="H331" i="2"/>
  <c r="G302" i="2"/>
  <c r="H243" i="2"/>
  <c r="H242" i="2"/>
  <c r="G215" i="2"/>
  <c r="G214" i="2"/>
  <c r="E187" i="2"/>
  <c r="E186" i="2"/>
  <c r="D158" i="2"/>
  <c r="D157" i="2"/>
  <c r="D415" i="2"/>
  <c r="D416" i="2"/>
  <c r="D301" i="2"/>
  <c r="D302" i="2"/>
  <c r="H214" i="2"/>
  <c r="H215" i="2"/>
  <c r="H128" i="2"/>
  <c r="H129" i="2"/>
  <c r="B44" i="2"/>
  <c r="B45" i="2"/>
  <c r="H101" i="2"/>
  <c r="AX2285" i="3"/>
  <c r="AX2301" i="3"/>
  <c r="J1367" i="3"/>
  <c r="AT2285" i="3"/>
  <c r="AT2301" i="3"/>
  <c r="J1259" i="3"/>
  <c r="F187" i="1"/>
  <c r="H1216" i="1"/>
  <c r="E918" i="1"/>
  <c r="B834" i="1"/>
  <c r="B387" i="1"/>
  <c r="B302" i="1"/>
  <c r="B1036" i="4"/>
  <c r="B1035" i="4"/>
  <c r="F982" i="4"/>
  <c r="B982" i="4"/>
  <c r="B955" i="4"/>
  <c r="F928" i="4"/>
  <c r="F927" i="4"/>
  <c r="F901" i="4"/>
  <c r="B874" i="4"/>
  <c r="B846" i="4"/>
  <c r="E819" i="4"/>
  <c r="H792" i="4"/>
  <c r="D792" i="4"/>
  <c r="B685" i="4"/>
  <c r="D630" i="4"/>
  <c r="D629" i="4"/>
  <c r="G601" i="4"/>
  <c r="E546" i="4"/>
  <c r="H434" i="4"/>
  <c r="H405" i="4"/>
  <c r="D405" i="4"/>
  <c r="G156" i="4"/>
  <c r="C156" i="4"/>
  <c r="F129" i="4"/>
  <c r="E1178" i="2"/>
  <c r="G1095" i="2"/>
  <c r="E1347" i="2"/>
  <c r="H1179" i="2"/>
  <c r="H1178" i="2"/>
  <c r="D1179" i="2"/>
  <c r="D1178" i="2"/>
  <c r="G1067" i="2"/>
  <c r="C1066" i="2"/>
  <c r="H1011" i="2"/>
  <c r="H955" i="2"/>
  <c r="H899" i="2"/>
  <c r="G870" i="2"/>
  <c r="F843" i="2"/>
  <c r="B842" i="2"/>
  <c r="E814" i="2"/>
  <c r="H787" i="2"/>
  <c r="G758" i="2"/>
  <c r="C758" i="2"/>
  <c r="F730" i="2"/>
  <c r="B731" i="2"/>
  <c r="E703" i="2"/>
  <c r="D674" i="2"/>
  <c r="F615" i="2"/>
  <c r="D560" i="2"/>
  <c r="G473" i="2"/>
  <c r="C473" i="2"/>
  <c r="E444" i="2"/>
  <c r="C187" i="2"/>
  <c r="B158" i="2"/>
  <c r="H416" i="2"/>
  <c r="D272" i="2"/>
  <c r="D214" i="2"/>
  <c r="E157" i="2"/>
  <c r="F100" i="2"/>
  <c r="F101" i="2"/>
  <c r="F72" i="2"/>
  <c r="F73" i="2"/>
  <c r="J1528" i="3"/>
  <c r="J1501" i="3"/>
  <c r="BA2284" i="3"/>
  <c r="BA2300" i="3"/>
  <c r="J1447" i="3"/>
  <c r="D1418" i="3"/>
  <c r="F1310" i="3"/>
  <c r="B1310" i="3"/>
  <c r="F1256" i="3"/>
  <c r="AJ2283" i="3"/>
  <c r="AJ2299" i="3"/>
  <c r="D958" i="3"/>
  <c r="F740" i="3"/>
  <c r="C406" i="3"/>
  <c r="C407" i="3"/>
  <c r="F1460" i="1"/>
  <c r="C1432" i="1"/>
  <c r="C1433" i="1"/>
  <c r="F1270" i="1"/>
  <c r="H749" i="1"/>
  <c r="D749" i="1"/>
  <c r="G722" i="1"/>
  <c r="B611" i="1"/>
  <c r="G499" i="1"/>
  <c r="C499" i="1"/>
  <c r="G130" i="1"/>
  <c r="C130" i="1"/>
  <c r="B46" i="1"/>
  <c r="B1306" i="4"/>
  <c r="B1279" i="4"/>
  <c r="C918" i="1"/>
  <c r="G331" i="1"/>
  <c r="G1089" i="4"/>
  <c r="E1063" i="4"/>
  <c r="H349" i="4"/>
  <c r="H350" i="4"/>
  <c r="D349" i="4"/>
  <c r="D350" i="4"/>
  <c r="H294" i="4"/>
  <c r="D293" i="4"/>
  <c r="D266" i="4"/>
  <c r="F212" i="4"/>
  <c r="B212" i="4"/>
  <c r="F185" i="4"/>
  <c r="C100" i="4"/>
  <c r="E73" i="4"/>
  <c r="D45" i="4"/>
  <c r="E18" i="4"/>
  <c r="G1374" i="2"/>
  <c r="C1374" i="2"/>
  <c r="E1318" i="2"/>
  <c r="H1290" i="2"/>
  <c r="D1290" i="2"/>
  <c r="D1263" i="2"/>
  <c r="H1234" i="2"/>
  <c r="D1234" i="2"/>
  <c r="D1207" i="2"/>
  <c r="H1150" i="2"/>
  <c r="D1150" i="2"/>
  <c r="C1038" i="2"/>
  <c r="F461" i="4"/>
  <c r="F462" i="4"/>
  <c r="G322" i="4"/>
  <c r="G321" i="4"/>
  <c r="C322" i="4"/>
  <c r="F1402" i="2"/>
  <c r="B1403" i="2"/>
  <c r="H1374" i="2"/>
  <c r="H1375" i="2"/>
  <c r="D1374" i="2"/>
  <c r="D1375" i="2"/>
  <c r="B1375" i="2"/>
  <c r="F1318" i="2"/>
  <c r="E1290" i="2"/>
  <c r="E1291" i="2"/>
  <c r="G1262" i="2"/>
  <c r="C1262" i="2"/>
  <c r="E1234" i="2"/>
  <c r="G1206" i="2"/>
  <c r="C1207" i="2"/>
  <c r="E1151" i="2"/>
  <c r="E1150" i="2"/>
  <c r="E531" i="2"/>
  <c r="G502" i="2"/>
  <c r="C503" i="2"/>
  <c r="C502" i="2"/>
  <c r="C416" i="2"/>
  <c r="D358" i="2"/>
  <c r="D330" i="2"/>
  <c r="C301" i="2"/>
  <c r="E273" i="2"/>
  <c r="E272" i="2"/>
  <c r="D243" i="2"/>
  <c r="D242" i="2"/>
  <c r="C215" i="2"/>
  <c r="C214" i="2"/>
  <c r="H158" i="2"/>
  <c r="H157" i="2"/>
  <c r="E330" i="2"/>
  <c r="E331" i="2"/>
  <c r="H272" i="2"/>
  <c r="H273" i="2"/>
  <c r="H186" i="2"/>
  <c r="H187" i="2"/>
  <c r="C72" i="2"/>
  <c r="C73" i="2"/>
  <c r="D100" i="2"/>
  <c r="C45" i="2"/>
  <c r="AX2284" i="3"/>
  <c r="AX2300" i="3"/>
  <c r="J1366" i="3"/>
  <c r="AT2284" i="3"/>
  <c r="AT2300" i="3"/>
  <c r="AR2285" i="3"/>
  <c r="AR2301" i="3"/>
  <c r="AP2285" i="3"/>
  <c r="AP2301" i="3"/>
  <c r="J1151" i="3"/>
  <c r="AP2284" i="3"/>
  <c r="AP2300" i="3"/>
  <c r="H188" i="1"/>
  <c r="D188" i="1"/>
  <c r="E1162" i="1"/>
  <c r="H889" i="1"/>
  <c r="E861" i="1"/>
  <c r="H834" i="1"/>
  <c r="H386" i="1"/>
  <c r="H303" i="1"/>
  <c r="H246" i="1"/>
  <c r="H216" i="1"/>
  <c r="B215" i="1"/>
  <c r="H1035" i="4"/>
  <c r="H981" i="4"/>
  <c r="D982" i="4"/>
  <c r="D981" i="4"/>
  <c r="H954" i="4"/>
  <c r="H955" i="4"/>
  <c r="D955" i="4"/>
  <c r="H846" i="4"/>
  <c r="H847" i="4"/>
  <c r="D846" i="4"/>
  <c r="C820" i="4"/>
  <c r="F793" i="4"/>
  <c r="H685" i="4"/>
  <c r="H684" i="4"/>
  <c r="D684" i="4"/>
  <c r="G657" i="4"/>
  <c r="C657" i="4"/>
  <c r="C546" i="4"/>
  <c r="C545" i="4"/>
  <c r="F489" i="4"/>
  <c r="F490" i="4"/>
  <c r="B490" i="4"/>
  <c r="F433" i="4"/>
  <c r="F434" i="4"/>
  <c r="B406" i="4"/>
  <c r="H129" i="4"/>
  <c r="G1179" i="2"/>
  <c r="C1179" i="2"/>
  <c r="G1035" i="4"/>
  <c r="C1035" i="4"/>
  <c r="G1346" i="2"/>
  <c r="C1346" i="2"/>
  <c r="F1179" i="2"/>
  <c r="F1178" i="2"/>
  <c r="E1067" i="2"/>
  <c r="E1066" i="2"/>
  <c r="F1010" i="2"/>
  <c r="F1011" i="2"/>
  <c r="B1011" i="2"/>
  <c r="B1010" i="2"/>
  <c r="F983" i="2"/>
  <c r="F982" i="2"/>
  <c r="B982" i="2"/>
  <c r="B983" i="2"/>
  <c r="F954" i="2"/>
  <c r="F955" i="2"/>
  <c r="B926" i="2"/>
  <c r="F898" i="2"/>
  <c r="B899" i="2"/>
  <c r="E871" i="2"/>
  <c r="C815" i="2"/>
  <c r="F787" i="2"/>
  <c r="B786" i="2"/>
  <c r="E758" i="2"/>
  <c r="D731" i="2"/>
  <c r="C702" i="2"/>
  <c r="F673" i="2"/>
  <c r="B674" i="2"/>
  <c r="E645" i="2"/>
  <c r="H616" i="2"/>
  <c r="F560" i="2"/>
  <c r="B559" i="2"/>
  <c r="E473" i="2"/>
  <c r="C445" i="2"/>
  <c r="E128" i="2"/>
  <c r="H302" i="2"/>
  <c r="E243" i="2"/>
  <c r="D187" i="2"/>
  <c r="D129" i="2"/>
  <c r="F45" i="2"/>
  <c r="B100" i="2"/>
  <c r="B101" i="2"/>
  <c r="B72" i="2"/>
  <c r="B73" i="2"/>
  <c r="F1417" i="3"/>
  <c r="B1417" i="3"/>
  <c r="D1309" i="3"/>
  <c r="J991" i="3"/>
  <c r="F959" i="3"/>
  <c r="B959" i="3"/>
  <c r="J769" i="3"/>
  <c r="AB2283" i="3"/>
  <c r="AB2299" i="3"/>
  <c r="E1648" i="5"/>
  <c r="E1665" i="5"/>
  <c r="J106" i="5"/>
  <c r="J102" i="5"/>
  <c r="E1644" i="5"/>
  <c r="E1661" i="5"/>
  <c r="BI1661" i="5"/>
  <c r="H138" i="3"/>
  <c r="H139" i="3"/>
  <c r="D194" i="3"/>
  <c r="D195" i="3"/>
  <c r="H194" i="3"/>
  <c r="H195" i="3"/>
  <c r="E222" i="3"/>
  <c r="E223" i="3"/>
  <c r="C307" i="3"/>
  <c r="C308" i="3"/>
  <c r="B335" i="3"/>
  <c r="B336" i="3"/>
  <c r="D362" i="3"/>
  <c r="D363" i="3"/>
  <c r="C580" i="3"/>
  <c r="C581" i="3"/>
  <c r="G580" i="3"/>
  <c r="G581" i="3"/>
  <c r="D608" i="3"/>
  <c r="D609" i="3"/>
  <c r="H608" i="3"/>
  <c r="H609" i="3"/>
  <c r="C694" i="3"/>
  <c r="H416" i="3"/>
  <c r="H417" i="3"/>
  <c r="B665" i="3"/>
  <c r="B666" i="3"/>
  <c r="C721" i="3"/>
  <c r="C722" i="3"/>
  <c r="H805" i="3"/>
  <c r="H806" i="3"/>
  <c r="E832" i="3"/>
  <c r="E833" i="3"/>
  <c r="B914" i="3"/>
  <c r="B915" i="3"/>
  <c r="H1022" i="3"/>
  <c r="E1049" i="3"/>
  <c r="D1184" i="3"/>
  <c r="D1185" i="3"/>
  <c r="D1238" i="3"/>
  <c r="D1239" i="3"/>
  <c r="D1292" i="3"/>
  <c r="D1293" i="3"/>
  <c r="H1292" i="3"/>
  <c r="H1293" i="3"/>
  <c r="B1346" i="3"/>
  <c r="B1347" i="3"/>
  <c r="E101" i="3"/>
  <c r="E352" i="3"/>
  <c r="E353" i="3"/>
  <c r="G655" i="3"/>
  <c r="G656" i="3"/>
  <c r="C777" i="3"/>
  <c r="C778" i="3"/>
  <c r="G777" i="3"/>
  <c r="G778" i="3"/>
  <c r="D860" i="3"/>
  <c r="D861" i="3"/>
  <c r="E2187" i="2"/>
  <c r="J892" i="5"/>
  <c r="H110" i="3"/>
  <c r="H111" i="3"/>
  <c r="C222" i="3"/>
  <c r="C223" i="3"/>
  <c r="G222" i="3"/>
  <c r="G223" i="3"/>
  <c r="B279" i="3"/>
  <c r="B280" i="3"/>
  <c r="H279" i="3"/>
  <c r="H280" i="3"/>
  <c r="E307" i="3"/>
  <c r="E308" i="3"/>
  <c r="B362" i="3"/>
  <c r="B363" i="3"/>
  <c r="E580" i="3"/>
  <c r="E581" i="3"/>
  <c r="B608" i="3"/>
  <c r="B609" i="3"/>
  <c r="G434" i="3"/>
  <c r="G433" i="3"/>
  <c r="F542" i="3"/>
  <c r="D665" i="3"/>
  <c r="D666" i="3"/>
  <c r="F683" i="3"/>
  <c r="F684" i="3"/>
  <c r="E722" i="3"/>
  <c r="C832" i="3"/>
  <c r="C833" i="3"/>
  <c r="D914" i="3"/>
  <c r="D915" i="3"/>
  <c r="G1049" i="3"/>
  <c r="G1050" i="3"/>
  <c r="C1076" i="3"/>
  <c r="C1077" i="3"/>
  <c r="G1076" i="3"/>
  <c r="G1077" i="3"/>
  <c r="B1184" i="3"/>
  <c r="B1185" i="3"/>
  <c r="B1238" i="3"/>
  <c r="B1239" i="3"/>
  <c r="B1292" i="3"/>
  <c r="B1293" i="3"/>
  <c r="D1346" i="3"/>
  <c r="D1347" i="3"/>
  <c r="D1400" i="3"/>
  <c r="D1401" i="3"/>
  <c r="H443" i="3"/>
  <c r="H444" i="3"/>
  <c r="E627" i="3"/>
  <c r="E628" i="3"/>
  <c r="E777" i="3"/>
  <c r="E778" i="3"/>
  <c r="B860" i="3"/>
  <c r="B861" i="3"/>
  <c r="C390" i="3"/>
  <c r="J111" i="6"/>
  <c r="G17" i="6"/>
  <c r="G24" i="6"/>
  <c r="CH2399" i="1"/>
  <c r="J1474" i="1"/>
  <c r="G1353" i="1"/>
  <c r="G1360" i="1"/>
  <c r="C1245" i="1"/>
  <c r="C1252" i="1"/>
  <c r="E1224" i="1"/>
  <c r="E1217" i="1"/>
  <c r="C1190" i="1"/>
  <c r="C1197" i="1"/>
  <c r="D919" i="1"/>
  <c r="D926" i="1"/>
  <c r="B919" i="1"/>
  <c r="B926" i="1"/>
  <c r="G891" i="1"/>
  <c r="G898" i="1"/>
  <c r="E898" i="1"/>
  <c r="E891" i="1"/>
  <c r="D863" i="1"/>
  <c r="D870" i="1"/>
  <c r="B863" i="1"/>
  <c r="B870" i="1"/>
  <c r="E360" i="1"/>
  <c r="E367" i="1"/>
  <c r="C360" i="1"/>
  <c r="C367" i="1"/>
  <c r="F339" i="1"/>
  <c r="F332" i="1"/>
  <c r="C304" i="1"/>
  <c r="C311" i="1"/>
  <c r="F283" i="1"/>
  <c r="F276" i="1"/>
  <c r="G248" i="1"/>
  <c r="G255" i="1"/>
  <c r="G217" i="1"/>
  <c r="G224" i="1"/>
  <c r="D132" i="1"/>
  <c r="D139" i="1"/>
  <c r="B132" i="1"/>
  <c r="B139" i="1"/>
  <c r="H1368" i="4"/>
  <c r="H1361" i="4"/>
  <c r="F1361" i="4"/>
  <c r="F1368" i="4"/>
  <c r="D1341" i="4"/>
  <c r="D1334" i="4"/>
  <c r="B1334" i="4"/>
  <c r="B1341" i="4"/>
  <c r="G1307" i="4"/>
  <c r="G1314" i="4"/>
  <c r="G1280" i="4"/>
  <c r="G1287" i="4"/>
  <c r="D1260" i="4"/>
  <c r="D1253" i="4"/>
  <c r="B1253" i="4"/>
  <c r="B1260" i="4"/>
  <c r="J1239" i="4"/>
  <c r="H1233" i="4"/>
  <c r="H1226" i="4"/>
  <c r="F1226" i="4"/>
  <c r="F1233" i="4"/>
  <c r="D1206" i="4"/>
  <c r="D1199" i="4"/>
  <c r="B1199" i="4"/>
  <c r="B1206" i="4"/>
  <c r="AS2103" i="4"/>
  <c r="AS2131" i="4"/>
  <c r="H1179" i="4"/>
  <c r="H1172" i="4"/>
  <c r="F1172" i="4"/>
  <c r="F1179" i="4"/>
  <c r="D1152" i="4"/>
  <c r="D1145" i="4"/>
  <c r="B1145" i="4"/>
  <c r="B1152" i="4"/>
  <c r="J1131" i="4"/>
  <c r="H1125" i="4"/>
  <c r="H1118" i="4"/>
  <c r="F1118" i="4"/>
  <c r="F1125" i="4"/>
  <c r="D1098" i="4"/>
  <c r="D1091" i="4"/>
  <c r="B1091" i="4"/>
  <c r="B1098" i="4"/>
  <c r="J1077" i="4"/>
  <c r="H1071" i="4"/>
  <c r="H1064" i="4"/>
  <c r="F1064" i="4"/>
  <c r="F1071" i="4"/>
  <c r="C984" i="4"/>
  <c r="C990" i="4"/>
  <c r="G957" i="4"/>
  <c r="G963" i="4"/>
  <c r="G930" i="4"/>
  <c r="G936" i="4"/>
  <c r="E909" i="4"/>
  <c r="E903" i="4"/>
  <c r="C903" i="4"/>
  <c r="C909" i="4"/>
  <c r="C876" i="4"/>
  <c r="C882" i="4"/>
  <c r="G849" i="4"/>
  <c r="G855" i="4"/>
  <c r="H828" i="4"/>
  <c r="H822" i="4"/>
  <c r="F822" i="4"/>
  <c r="F828" i="4"/>
  <c r="E801" i="4"/>
  <c r="E795" i="4"/>
  <c r="C795" i="4"/>
  <c r="C801" i="4"/>
  <c r="D774" i="4"/>
  <c r="D768" i="4"/>
  <c r="B768" i="4"/>
  <c r="B774" i="4"/>
  <c r="G741" i="4"/>
  <c r="G747" i="4"/>
  <c r="H720" i="4"/>
  <c r="H714" i="4"/>
  <c r="F714" i="4"/>
  <c r="F720" i="4"/>
  <c r="E693" i="4"/>
  <c r="E687" i="4"/>
  <c r="C687" i="4"/>
  <c r="C693" i="4"/>
  <c r="D666" i="4"/>
  <c r="D660" i="4"/>
  <c r="B660" i="4"/>
  <c r="B666" i="4"/>
  <c r="G632" i="4"/>
  <c r="G638" i="4"/>
  <c r="H610" i="4"/>
  <c r="H604" i="4"/>
  <c r="F604" i="4"/>
  <c r="F610" i="4"/>
  <c r="E582" i="4"/>
  <c r="E576" i="4"/>
  <c r="C576" i="4"/>
  <c r="C582" i="4"/>
  <c r="D554" i="4"/>
  <c r="D548" i="4"/>
  <c r="B548" i="4"/>
  <c r="B554" i="4"/>
  <c r="C520" i="4"/>
  <c r="C526" i="4"/>
  <c r="C492" i="4"/>
  <c r="C498" i="4"/>
  <c r="C464" i="4"/>
  <c r="C470" i="4"/>
  <c r="C436" i="4"/>
  <c r="C442" i="4"/>
  <c r="G408" i="4"/>
  <c r="G414" i="4"/>
  <c r="H386" i="4"/>
  <c r="H379" i="4"/>
  <c r="F379" i="4"/>
  <c r="F386" i="4"/>
  <c r="H330" i="4"/>
  <c r="H323" i="4"/>
  <c r="F323" i="4"/>
  <c r="F330" i="4"/>
  <c r="G295" i="4"/>
  <c r="G302" i="4"/>
  <c r="E275" i="4"/>
  <c r="E268" i="4"/>
  <c r="C268" i="4"/>
  <c r="C275" i="4"/>
  <c r="D248" i="4"/>
  <c r="D241" i="4"/>
  <c r="B241" i="4"/>
  <c r="B248" i="4"/>
  <c r="G214" i="4"/>
  <c r="G221" i="4"/>
  <c r="C186" i="4"/>
  <c r="C193" i="4"/>
  <c r="F158" i="4"/>
  <c r="F165" i="4"/>
  <c r="G130" i="4"/>
  <c r="G137" i="4"/>
  <c r="F102" i="4"/>
  <c r="F109" i="4"/>
  <c r="J112" i="6"/>
  <c r="J131" i="6"/>
  <c r="J1501" i="1"/>
  <c r="BC2366" i="1"/>
  <c r="BC2399" i="1"/>
  <c r="C1353" i="1"/>
  <c r="C1360" i="1"/>
  <c r="G1245" i="1"/>
  <c r="G1252" i="1"/>
  <c r="C1217" i="1"/>
  <c r="C1224" i="1"/>
  <c r="AR2366" i="1"/>
  <c r="G1190" i="1"/>
  <c r="G1197" i="1"/>
  <c r="H1035" i="1"/>
  <c r="H919" i="1"/>
  <c r="H926" i="1"/>
  <c r="F919" i="1"/>
  <c r="F926" i="1"/>
  <c r="C891" i="1"/>
  <c r="C898" i="1"/>
  <c r="H863" i="1"/>
  <c r="H870" i="1"/>
  <c r="F863" i="1"/>
  <c r="F870" i="1"/>
  <c r="G360" i="1"/>
  <c r="G367" i="1"/>
  <c r="B339" i="1"/>
  <c r="B332" i="1"/>
  <c r="G304" i="1"/>
  <c r="G311" i="1"/>
  <c r="B283" i="1"/>
  <c r="B276" i="1"/>
  <c r="C248" i="1"/>
  <c r="C255" i="1"/>
  <c r="C217" i="1"/>
  <c r="C224" i="1"/>
  <c r="H132" i="1"/>
  <c r="H139" i="1"/>
  <c r="F132" i="1"/>
  <c r="F139" i="1"/>
  <c r="D1368" i="4"/>
  <c r="D1361" i="4"/>
  <c r="B1361" i="4"/>
  <c r="B1368" i="4"/>
  <c r="BZ2131" i="4"/>
  <c r="H1341" i="4"/>
  <c r="H1334" i="4"/>
  <c r="F1334" i="4"/>
  <c r="F1341" i="4"/>
  <c r="E1314" i="4"/>
  <c r="E1307" i="4"/>
  <c r="C1307" i="4"/>
  <c r="C1314" i="4"/>
  <c r="C1280" i="4"/>
  <c r="C1287" i="4"/>
  <c r="H1260" i="4"/>
  <c r="H1253" i="4"/>
  <c r="F1253" i="4"/>
  <c r="F1260" i="4"/>
  <c r="D1233" i="4"/>
  <c r="D1226" i="4"/>
  <c r="B1226" i="4"/>
  <c r="B1233" i="4"/>
  <c r="J1212" i="4"/>
  <c r="AT2103" i="4"/>
  <c r="AT2131" i="4"/>
  <c r="H1206" i="4"/>
  <c r="H1199" i="4"/>
  <c r="F1199" i="4"/>
  <c r="F1206" i="4"/>
  <c r="D1179" i="4"/>
  <c r="D1172" i="4"/>
  <c r="B1172" i="4"/>
  <c r="B1179" i="4"/>
  <c r="H1152" i="4"/>
  <c r="H1145" i="4"/>
  <c r="F1145" i="4"/>
  <c r="F1152" i="4"/>
  <c r="D1125" i="4"/>
  <c r="D1118" i="4"/>
  <c r="B1118" i="4"/>
  <c r="B1125" i="4"/>
  <c r="J1104" i="4"/>
  <c r="AP2103" i="4"/>
  <c r="AP2131" i="4"/>
  <c r="H1098" i="4"/>
  <c r="H1091" i="4"/>
  <c r="F1091" i="4"/>
  <c r="F1098" i="4"/>
  <c r="D1071" i="4"/>
  <c r="D1064" i="4"/>
  <c r="B1064" i="4"/>
  <c r="B1071" i="4"/>
  <c r="G984" i="4"/>
  <c r="G990" i="4"/>
  <c r="E963" i="4"/>
  <c r="E957" i="4"/>
  <c r="C957" i="4"/>
  <c r="C963" i="4"/>
  <c r="C930" i="4"/>
  <c r="C936" i="4"/>
  <c r="G903" i="4"/>
  <c r="G909" i="4"/>
  <c r="G876" i="4"/>
  <c r="G882" i="4"/>
  <c r="E855" i="4"/>
  <c r="E849" i="4"/>
  <c r="C849" i="4"/>
  <c r="C855" i="4"/>
  <c r="D828" i="4"/>
  <c r="D822" i="4"/>
  <c r="B822" i="4"/>
  <c r="B828" i="4"/>
  <c r="G795" i="4"/>
  <c r="G801" i="4"/>
  <c r="H774" i="4"/>
  <c r="H768" i="4"/>
  <c r="F768" i="4"/>
  <c r="F774" i="4"/>
  <c r="E747" i="4"/>
  <c r="E741" i="4"/>
  <c r="C741" i="4"/>
  <c r="C747" i="4"/>
  <c r="D720" i="4"/>
  <c r="D714" i="4"/>
  <c r="B714" i="4"/>
  <c r="B720" i="4"/>
  <c r="G687" i="4"/>
  <c r="G693" i="4"/>
  <c r="H666" i="4"/>
  <c r="H660" i="4"/>
  <c r="F660" i="4"/>
  <c r="F666" i="4"/>
  <c r="E638" i="4"/>
  <c r="E632" i="4"/>
  <c r="C632" i="4"/>
  <c r="C638" i="4"/>
  <c r="D610" i="4"/>
  <c r="D604" i="4"/>
  <c r="B604" i="4"/>
  <c r="B610" i="4"/>
  <c r="G576" i="4"/>
  <c r="G582" i="4"/>
  <c r="H554" i="4"/>
  <c r="H548" i="4"/>
  <c r="F548" i="4"/>
  <c r="F554" i="4"/>
  <c r="G520" i="4"/>
  <c r="G526" i="4"/>
  <c r="G492" i="4"/>
  <c r="G498" i="4"/>
  <c r="G464" i="4"/>
  <c r="G470" i="4"/>
  <c r="G436" i="4"/>
  <c r="G442" i="4"/>
  <c r="E414" i="4"/>
  <c r="E408" i="4"/>
  <c r="C408" i="4"/>
  <c r="C414" i="4"/>
  <c r="D386" i="4"/>
  <c r="D379" i="4"/>
  <c r="B379" i="4"/>
  <c r="B386" i="4"/>
  <c r="D330" i="4"/>
  <c r="D323" i="4"/>
  <c r="B323" i="4"/>
  <c r="B330" i="4"/>
  <c r="C295" i="4"/>
  <c r="C302" i="4"/>
  <c r="G268" i="4"/>
  <c r="G275" i="4"/>
  <c r="H248" i="4"/>
  <c r="H241" i="4"/>
  <c r="F241" i="4"/>
  <c r="F248" i="4"/>
  <c r="E221" i="4"/>
  <c r="E214" i="4"/>
  <c r="C214" i="4"/>
  <c r="C221" i="4"/>
  <c r="G186" i="4"/>
  <c r="G193" i="4"/>
  <c r="E186" i="4"/>
  <c r="E193" i="4"/>
  <c r="B158" i="4"/>
  <c r="B165" i="4"/>
  <c r="C130" i="4"/>
  <c r="C137" i="4"/>
  <c r="AH869" i="6"/>
  <c r="AI869" i="6"/>
  <c r="B102" i="4"/>
  <c r="B109" i="4"/>
  <c r="H74" i="4"/>
  <c r="H81" i="4"/>
  <c r="F74" i="4"/>
  <c r="F81" i="4"/>
  <c r="E46" i="4"/>
  <c r="E53" i="4"/>
  <c r="C46" i="4"/>
  <c r="C53" i="4"/>
  <c r="AU2173" i="2"/>
  <c r="AU2201" i="2"/>
  <c r="J1222" i="2"/>
  <c r="AS2173" i="2"/>
  <c r="AS2201" i="2"/>
  <c r="B1069" i="2"/>
  <c r="B1075" i="2"/>
  <c r="H1042" i="2"/>
  <c r="H1047" i="2"/>
  <c r="F1040" i="2"/>
  <c r="I1040" i="2"/>
  <c r="F1047" i="2"/>
  <c r="C1013" i="2"/>
  <c r="C1019" i="2"/>
  <c r="C985" i="2"/>
  <c r="C991" i="2"/>
  <c r="C957" i="2"/>
  <c r="C963" i="2"/>
  <c r="C929" i="2"/>
  <c r="C935" i="2"/>
  <c r="C901" i="2"/>
  <c r="C907" i="2"/>
  <c r="B873" i="2"/>
  <c r="B879" i="2"/>
  <c r="C845" i="2"/>
  <c r="C851" i="2"/>
  <c r="B817" i="2"/>
  <c r="B823" i="2"/>
  <c r="C789" i="2"/>
  <c r="C795" i="2"/>
  <c r="B761" i="2"/>
  <c r="B767" i="2"/>
  <c r="C733" i="2"/>
  <c r="C739" i="2"/>
  <c r="B705" i="2"/>
  <c r="B711" i="2"/>
  <c r="C676" i="2"/>
  <c r="C682" i="2"/>
  <c r="B647" i="2"/>
  <c r="B653" i="2"/>
  <c r="C618" i="2"/>
  <c r="C624" i="2"/>
  <c r="B590" i="2"/>
  <c r="B596" i="2"/>
  <c r="C562" i="2"/>
  <c r="C568" i="2"/>
  <c r="D534" i="2"/>
  <c r="D540" i="2"/>
  <c r="B534" i="2"/>
  <c r="B540" i="2"/>
  <c r="B505" i="2"/>
  <c r="B511" i="2"/>
  <c r="D476" i="2"/>
  <c r="D482" i="2"/>
  <c r="B476" i="2"/>
  <c r="B482" i="2"/>
  <c r="B447" i="2"/>
  <c r="B453" i="2"/>
  <c r="G391" i="2"/>
  <c r="G395" i="2"/>
  <c r="C395" i="2"/>
  <c r="C391" i="2"/>
  <c r="E363" i="2"/>
  <c r="E367" i="2"/>
  <c r="I50" i="6"/>
  <c r="I36" i="6"/>
  <c r="I1575" i="1"/>
  <c r="I1561" i="1"/>
  <c r="I1413" i="1"/>
  <c r="I1399" i="1"/>
  <c r="G1387" i="1"/>
  <c r="C1387" i="1"/>
  <c r="E1360" i="1"/>
  <c r="I1345" i="1"/>
  <c r="I1332" i="1"/>
  <c r="I1318" i="1"/>
  <c r="I1305" i="1"/>
  <c r="I1291" i="1"/>
  <c r="G1279" i="1"/>
  <c r="C1279" i="1"/>
  <c r="E1252" i="1"/>
  <c r="I1237" i="1"/>
  <c r="G1224" i="1"/>
  <c r="E1197" i="1"/>
  <c r="I1182" i="1"/>
  <c r="G842" i="1"/>
  <c r="C842" i="1"/>
  <c r="I799" i="1"/>
  <c r="I687" i="1"/>
  <c r="I659" i="1"/>
  <c r="I631" i="1"/>
  <c r="I604" i="1"/>
  <c r="I576" i="1"/>
  <c r="I548" i="1"/>
  <c r="I520" i="1"/>
  <c r="I408" i="1"/>
  <c r="I352" i="1"/>
  <c r="H339" i="1"/>
  <c r="D339" i="1"/>
  <c r="E311" i="1"/>
  <c r="I296" i="1"/>
  <c r="H283" i="1"/>
  <c r="D283" i="1"/>
  <c r="E255" i="1"/>
  <c r="I240" i="1"/>
  <c r="E224" i="1"/>
  <c r="D74" i="4"/>
  <c r="D81" i="4"/>
  <c r="B74" i="4"/>
  <c r="B81" i="4"/>
  <c r="G46" i="4"/>
  <c r="G53" i="4"/>
  <c r="F26" i="4"/>
  <c r="F19" i="4"/>
  <c r="J1250" i="2"/>
  <c r="AT2173" i="2"/>
  <c r="AT2201" i="2"/>
  <c r="AR2173" i="2"/>
  <c r="AR2201" i="2"/>
  <c r="F1069" i="2"/>
  <c r="F1075" i="2"/>
  <c r="AL2173" i="2"/>
  <c r="AL2201" i="2"/>
  <c r="G1013" i="2"/>
  <c r="G1019" i="2"/>
  <c r="J998" i="2"/>
  <c r="AK2173" i="2"/>
  <c r="AK2201" i="2"/>
  <c r="G985" i="2"/>
  <c r="G991" i="2"/>
  <c r="AJ2173" i="2"/>
  <c r="AJ2201" i="2"/>
  <c r="G957" i="2"/>
  <c r="G963" i="2"/>
  <c r="J942" i="2"/>
  <c r="AI2173" i="2"/>
  <c r="AI2201" i="2"/>
  <c r="G929" i="2"/>
  <c r="G935" i="2"/>
  <c r="AH2173" i="2"/>
  <c r="G901" i="2"/>
  <c r="G907" i="2"/>
  <c r="F873" i="2"/>
  <c r="F879" i="2"/>
  <c r="G845" i="2"/>
  <c r="G851" i="2"/>
  <c r="F817" i="2"/>
  <c r="F823" i="2"/>
  <c r="G789" i="2"/>
  <c r="G795" i="2"/>
  <c r="F761" i="2"/>
  <c r="F767" i="2"/>
  <c r="G733" i="2"/>
  <c r="G739" i="2"/>
  <c r="F705" i="2"/>
  <c r="F711" i="2"/>
  <c r="G676" i="2"/>
  <c r="G682" i="2"/>
  <c r="F647" i="2"/>
  <c r="F653" i="2"/>
  <c r="G618" i="2"/>
  <c r="G624" i="2"/>
  <c r="F590" i="2"/>
  <c r="F596" i="2"/>
  <c r="G562" i="2"/>
  <c r="G568" i="2"/>
  <c r="H534" i="2"/>
  <c r="H540" i="2"/>
  <c r="F534" i="2"/>
  <c r="F540" i="2"/>
  <c r="F505" i="2"/>
  <c r="F511" i="2"/>
  <c r="H476" i="2"/>
  <c r="H482" i="2"/>
  <c r="F476" i="2"/>
  <c r="F482" i="2"/>
  <c r="F447" i="2"/>
  <c r="F453" i="2"/>
  <c r="B420" i="2"/>
  <c r="B424" i="2"/>
  <c r="E395" i="2"/>
  <c r="E391" i="2"/>
  <c r="J380" i="2"/>
  <c r="O2179" i="2"/>
  <c r="O2202" i="2"/>
  <c r="I1299" i="4"/>
  <c r="I1016" i="4"/>
  <c r="I1002" i="4"/>
  <c r="I948" i="4"/>
  <c r="I894" i="4"/>
  <c r="I840" i="4"/>
  <c r="I786" i="4"/>
  <c r="I732" i="4"/>
  <c r="I678" i="4"/>
  <c r="I623" i="4"/>
  <c r="I567" i="4"/>
  <c r="E526" i="4"/>
  <c r="E498" i="4"/>
  <c r="E470" i="4"/>
  <c r="E442" i="4"/>
  <c r="I399" i="4"/>
  <c r="I371" i="4"/>
  <c r="I343" i="4"/>
  <c r="I260" i="4"/>
  <c r="I206" i="4"/>
  <c r="B281" i="2"/>
  <c r="B277" i="2"/>
  <c r="I277" i="2"/>
  <c r="C162" i="2"/>
  <c r="C166" i="2"/>
  <c r="B133" i="2"/>
  <c r="B137" i="2"/>
  <c r="G19" i="2"/>
  <c r="G26" i="2"/>
  <c r="E19" i="2"/>
  <c r="E26" i="2"/>
  <c r="F1449" i="3"/>
  <c r="F1453" i="3"/>
  <c r="B1453" i="3"/>
  <c r="B1449" i="3"/>
  <c r="C1422" i="3"/>
  <c r="C1426" i="3"/>
  <c r="G1368" i="3"/>
  <c r="G1372" i="3"/>
  <c r="C1368" i="3"/>
  <c r="I1368" i="3"/>
  <c r="C1372" i="3"/>
  <c r="E1345" i="3"/>
  <c r="E1341" i="3"/>
  <c r="I1341" i="3"/>
  <c r="G1314" i="3"/>
  <c r="G1318" i="3"/>
  <c r="E1291" i="3"/>
  <c r="E1287" i="3"/>
  <c r="I1287" i="3"/>
  <c r="G1260" i="3"/>
  <c r="G1264" i="3"/>
  <c r="C1206" i="3"/>
  <c r="C1210" i="3"/>
  <c r="E1183" i="3"/>
  <c r="E1179" i="3"/>
  <c r="I1179" i="3"/>
  <c r="G1152" i="3"/>
  <c r="G1156" i="3"/>
  <c r="G1125" i="3"/>
  <c r="G1129" i="3"/>
  <c r="E1125" i="3"/>
  <c r="E1129" i="3"/>
  <c r="C1125" i="3"/>
  <c r="I1125" i="3"/>
  <c r="C1129" i="3"/>
  <c r="F1102" i="3"/>
  <c r="F1096" i="3"/>
  <c r="E963" i="3"/>
  <c r="E967" i="3"/>
  <c r="H936" i="3"/>
  <c r="H940" i="3"/>
  <c r="D940" i="3"/>
  <c r="D936" i="3"/>
  <c r="E909" i="3"/>
  <c r="I909" i="3"/>
  <c r="E913" i="3"/>
  <c r="H882" i="3"/>
  <c r="H886" i="3"/>
  <c r="D882" i="3"/>
  <c r="D886" i="3"/>
  <c r="E744" i="3"/>
  <c r="I744" i="3"/>
  <c r="E748" i="3"/>
  <c r="D688" i="3"/>
  <c r="D692" i="3"/>
  <c r="B692" i="3"/>
  <c r="B686" i="3"/>
  <c r="I686" i="3"/>
  <c r="E660" i="3"/>
  <c r="I660" i="3"/>
  <c r="E664" i="3"/>
  <c r="C658" i="3"/>
  <c r="C664" i="3"/>
  <c r="C632" i="3"/>
  <c r="C636" i="3"/>
  <c r="G603" i="3"/>
  <c r="G607" i="3"/>
  <c r="C603" i="3"/>
  <c r="C607" i="3"/>
  <c r="F575" i="3"/>
  <c r="F579" i="3"/>
  <c r="B575" i="3"/>
  <c r="B579" i="3"/>
  <c r="F492" i="3"/>
  <c r="I492" i="3"/>
  <c r="F496" i="3"/>
  <c r="I38" i="4"/>
  <c r="H26" i="4"/>
  <c r="I1340" i="2"/>
  <c r="I1284" i="2"/>
  <c r="I1256" i="2"/>
  <c r="I1228" i="2"/>
  <c r="I1200" i="2"/>
  <c r="I1102" i="2"/>
  <c r="I1088" i="2"/>
  <c r="B1047" i="2"/>
  <c r="E417" i="2"/>
  <c r="I417" i="2"/>
  <c r="I352" i="2"/>
  <c r="B360" i="2"/>
  <c r="I360" i="2"/>
  <c r="B364" i="2"/>
  <c r="I364" i="2"/>
  <c r="F332" i="2"/>
  <c r="F336" i="2"/>
  <c r="B306" i="2"/>
  <c r="B310" i="2"/>
  <c r="C247" i="2"/>
  <c r="I247" i="2"/>
  <c r="C251" i="2"/>
  <c r="B219" i="2"/>
  <c r="B223" i="2"/>
  <c r="B195" i="2"/>
  <c r="B191" i="2"/>
  <c r="I191" i="2"/>
  <c r="G162" i="2"/>
  <c r="G166" i="2"/>
  <c r="F133" i="2"/>
  <c r="F137" i="2"/>
  <c r="G105" i="2"/>
  <c r="G109" i="2"/>
  <c r="E109" i="2"/>
  <c r="E105" i="2"/>
  <c r="C109" i="2"/>
  <c r="C105" i="2"/>
  <c r="E77" i="2"/>
  <c r="I77" i="2"/>
  <c r="E81" i="2"/>
  <c r="H49" i="2"/>
  <c r="H53" i="2"/>
  <c r="D49" i="2"/>
  <c r="D53" i="2"/>
  <c r="C19" i="2"/>
  <c r="I19" i="2"/>
  <c r="C26" i="2"/>
  <c r="I24" i="2"/>
  <c r="F1534" i="3"/>
  <c r="F1530" i="3"/>
  <c r="B1530" i="3"/>
  <c r="B1534" i="3"/>
  <c r="F1503" i="3"/>
  <c r="F1507" i="3"/>
  <c r="B1507" i="3"/>
  <c r="B1503" i="3"/>
  <c r="F1476" i="3"/>
  <c r="F1480" i="3"/>
  <c r="B1480" i="3"/>
  <c r="B1476" i="3"/>
  <c r="G1422" i="3"/>
  <c r="G1426" i="3"/>
  <c r="E1399" i="3"/>
  <c r="E1395" i="3"/>
  <c r="I1395" i="3"/>
  <c r="F1369" i="3"/>
  <c r="I1369" i="3"/>
  <c r="F1365" i="3"/>
  <c r="I1365" i="3"/>
  <c r="C1314" i="3"/>
  <c r="I1314" i="3"/>
  <c r="C1318" i="3"/>
  <c r="C1260" i="3"/>
  <c r="I1260" i="3"/>
  <c r="C1264" i="3"/>
  <c r="E1237" i="3"/>
  <c r="E1233" i="3"/>
  <c r="I1233" i="3"/>
  <c r="G1206" i="3"/>
  <c r="G1210" i="3"/>
  <c r="C1152" i="3"/>
  <c r="I1152" i="3"/>
  <c r="C1156" i="3"/>
  <c r="F1126" i="3"/>
  <c r="I1126" i="3"/>
  <c r="F1122" i="3"/>
  <c r="H1071" i="3"/>
  <c r="H1075" i="3"/>
  <c r="D1071" i="3"/>
  <c r="I1071" i="3"/>
  <c r="D1075" i="3"/>
  <c r="H1044" i="3"/>
  <c r="H1048" i="3"/>
  <c r="D1048" i="3"/>
  <c r="D1044" i="3"/>
  <c r="E1017" i="3"/>
  <c r="I1017" i="3"/>
  <c r="E1021" i="3"/>
  <c r="H990" i="3"/>
  <c r="H994" i="3"/>
  <c r="D990" i="3"/>
  <c r="I990" i="3"/>
  <c r="D994" i="3"/>
  <c r="E855" i="3"/>
  <c r="I855" i="3"/>
  <c r="E859" i="3"/>
  <c r="H827" i="3"/>
  <c r="H831" i="3"/>
  <c r="D831" i="3"/>
  <c r="D827" i="3"/>
  <c r="E800" i="3"/>
  <c r="I800" i="3"/>
  <c r="E804" i="3"/>
  <c r="H772" i="3"/>
  <c r="H776" i="3"/>
  <c r="D772" i="3"/>
  <c r="I772" i="3"/>
  <c r="D776" i="3"/>
  <c r="G632" i="3"/>
  <c r="G636" i="3"/>
  <c r="F600" i="3"/>
  <c r="I600" i="3"/>
  <c r="F604" i="3"/>
  <c r="D1044" i="2"/>
  <c r="E438" i="3"/>
  <c r="I438" i="3"/>
  <c r="E442" i="3"/>
  <c r="C436" i="3"/>
  <c r="C442" i="3"/>
  <c r="G357" i="3"/>
  <c r="G361" i="3"/>
  <c r="G330" i="3"/>
  <c r="G334" i="3"/>
  <c r="C330" i="3"/>
  <c r="I330" i="3"/>
  <c r="C334" i="3"/>
  <c r="C274" i="3"/>
  <c r="C278" i="3"/>
  <c r="F245" i="3"/>
  <c r="F249" i="3"/>
  <c r="C133" i="3"/>
  <c r="C137" i="3"/>
  <c r="C104" i="3"/>
  <c r="C102" i="3"/>
  <c r="B81" i="3"/>
  <c r="B77" i="3"/>
  <c r="D47" i="3"/>
  <c r="D53" i="3"/>
  <c r="B53" i="3"/>
  <c r="B47" i="3"/>
  <c r="H889" i="5"/>
  <c r="H895" i="5"/>
  <c r="F889" i="5"/>
  <c r="F895" i="5"/>
  <c r="D862" i="5"/>
  <c r="D868" i="5"/>
  <c r="B862" i="5"/>
  <c r="B868" i="5"/>
  <c r="H835" i="5"/>
  <c r="H841" i="5"/>
  <c r="F835" i="5"/>
  <c r="F841" i="5"/>
  <c r="D808" i="5"/>
  <c r="D814" i="5"/>
  <c r="B808" i="5"/>
  <c r="B814" i="5"/>
  <c r="H754" i="5"/>
  <c r="H760" i="5"/>
  <c r="F754" i="5"/>
  <c r="F760" i="5"/>
  <c r="D727" i="5"/>
  <c r="D733" i="5"/>
  <c r="B727" i="5"/>
  <c r="B733" i="5"/>
  <c r="H700" i="5"/>
  <c r="H706" i="5"/>
  <c r="F700" i="5"/>
  <c r="F706" i="5"/>
  <c r="E307" i="2"/>
  <c r="I307" i="2"/>
  <c r="E278" i="2"/>
  <c r="I278" i="2"/>
  <c r="F248" i="2"/>
  <c r="E220" i="2"/>
  <c r="I220" i="2"/>
  <c r="E192" i="2"/>
  <c r="I192" i="2"/>
  <c r="F163" i="2"/>
  <c r="E130" i="2"/>
  <c r="I130" i="2"/>
  <c r="F1419" i="3"/>
  <c r="F1311" i="3"/>
  <c r="I1311" i="3"/>
  <c r="F1257" i="3"/>
  <c r="I1257" i="3"/>
  <c r="F1203" i="3"/>
  <c r="I1203" i="3"/>
  <c r="D1100" i="3"/>
  <c r="F629" i="3"/>
  <c r="I629" i="3"/>
  <c r="B496" i="3"/>
  <c r="F465" i="3"/>
  <c r="F469" i="3"/>
  <c r="B469" i="3"/>
  <c r="B465" i="3"/>
  <c r="E415" i="3"/>
  <c r="E411" i="3"/>
  <c r="I411" i="3"/>
  <c r="H388" i="3"/>
  <c r="H384" i="3"/>
  <c r="D384" i="3"/>
  <c r="D388" i="3"/>
  <c r="C357" i="3"/>
  <c r="I357" i="3"/>
  <c r="C361" i="3"/>
  <c r="F331" i="3"/>
  <c r="F327" i="3"/>
  <c r="I327" i="3"/>
  <c r="F302" i="3"/>
  <c r="F306" i="3"/>
  <c r="B302" i="3"/>
  <c r="B306" i="3"/>
  <c r="G274" i="3"/>
  <c r="G278" i="3"/>
  <c r="F130" i="3"/>
  <c r="F134" i="3"/>
  <c r="I134" i="3"/>
  <c r="G102" i="3"/>
  <c r="G109" i="3"/>
  <c r="G104" i="3"/>
  <c r="F77" i="3"/>
  <c r="F81" i="3"/>
  <c r="H47" i="3"/>
  <c r="H53" i="3"/>
  <c r="F53" i="3"/>
  <c r="F47" i="3"/>
  <c r="D889" i="5"/>
  <c r="D895" i="5"/>
  <c r="B889" i="5"/>
  <c r="B895" i="5"/>
  <c r="H862" i="5"/>
  <c r="H868" i="5"/>
  <c r="F862" i="5"/>
  <c r="F868" i="5"/>
  <c r="D835" i="5"/>
  <c r="D841" i="5"/>
  <c r="B835" i="5"/>
  <c r="B841" i="5"/>
  <c r="H808" i="5"/>
  <c r="H814" i="5"/>
  <c r="F808" i="5"/>
  <c r="F814" i="5"/>
  <c r="D783" i="5"/>
  <c r="D787" i="5"/>
  <c r="D754" i="5"/>
  <c r="D760" i="5"/>
  <c r="B754" i="5"/>
  <c r="B760" i="5"/>
  <c r="H727" i="5"/>
  <c r="H733" i="5"/>
  <c r="F727" i="5"/>
  <c r="F733" i="5"/>
  <c r="D700" i="5"/>
  <c r="D706" i="5"/>
  <c r="B700" i="5"/>
  <c r="B706" i="5"/>
  <c r="H673" i="5"/>
  <c r="I673" i="5"/>
  <c r="H679" i="5"/>
  <c r="B336" i="2"/>
  <c r="I336" i="2"/>
  <c r="I324" i="2"/>
  <c r="F281" i="2"/>
  <c r="B248" i="2"/>
  <c r="I248" i="2"/>
  <c r="I236" i="2"/>
  <c r="I208" i="2"/>
  <c r="F195" i="2"/>
  <c r="B163" i="2"/>
  <c r="I66" i="2"/>
  <c r="F646" i="5"/>
  <c r="F652" i="5"/>
  <c r="D652" i="5"/>
  <c r="D646" i="5"/>
  <c r="F619" i="5"/>
  <c r="F625" i="5"/>
  <c r="D625" i="5"/>
  <c r="D619" i="5"/>
  <c r="F592" i="5"/>
  <c r="F598" i="5"/>
  <c r="D598" i="5"/>
  <c r="D592" i="5"/>
  <c r="F565" i="5"/>
  <c r="F571" i="5"/>
  <c r="D571" i="5"/>
  <c r="D565" i="5"/>
  <c r="F538" i="5"/>
  <c r="F544" i="5"/>
  <c r="D544" i="5"/>
  <c r="D538" i="5"/>
  <c r="F511" i="5"/>
  <c r="F517" i="5"/>
  <c r="D517" i="5"/>
  <c r="D511" i="5"/>
  <c r="F484" i="5"/>
  <c r="F490" i="5"/>
  <c r="D484" i="5"/>
  <c r="D490" i="5"/>
  <c r="C457" i="5"/>
  <c r="C463" i="5"/>
  <c r="G430" i="5"/>
  <c r="G436" i="5"/>
  <c r="G403" i="5"/>
  <c r="G409" i="5"/>
  <c r="G376" i="5"/>
  <c r="G382" i="5"/>
  <c r="F349" i="5"/>
  <c r="F355" i="5"/>
  <c r="G322" i="5"/>
  <c r="G328" i="5"/>
  <c r="F295" i="5"/>
  <c r="F301" i="5"/>
  <c r="E268" i="5"/>
  <c r="E274" i="5"/>
  <c r="C274" i="5"/>
  <c r="C268" i="5"/>
  <c r="E247" i="5"/>
  <c r="E243" i="5"/>
  <c r="B214" i="5"/>
  <c r="B220" i="5"/>
  <c r="C187" i="5"/>
  <c r="C193" i="5"/>
  <c r="B159" i="5"/>
  <c r="B165" i="5"/>
  <c r="F358" i="3"/>
  <c r="F271" i="3"/>
  <c r="I271" i="3"/>
  <c r="B247" i="3"/>
  <c r="F105" i="3"/>
  <c r="I105" i="3"/>
  <c r="H787" i="5"/>
  <c r="D679" i="5"/>
  <c r="H652" i="5"/>
  <c r="H646" i="5"/>
  <c r="B646" i="5"/>
  <c r="B652" i="5"/>
  <c r="H625" i="5"/>
  <c r="H619" i="5"/>
  <c r="B619" i="5"/>
  <c r="B625" i="5"/>
  <c r="H598" i="5"/>
  <c r="H592" i="5"/>
  <c r="B592" i="5"/>
  <c r="B598" i="5"/>
  <c r="H571" i="5"/>
  <c r="H565" i="5"/>
  <c r="B565" i="5"/>
  <c r="B571" i="5"/>
  <c r="H544" i="5"/>
  <c r="H538" i="5"/>
  <c r="B538" i="5"/>
  <c r="B544" i="5"/>
  <c r="H517" i="5"/>
  <c r="H511" i="5"/>
  <c r="B511" i="5"/>
  <c r="B517" i="5"/>
  <c r="H484" i="5"/>
  <c r="H490" i="5"/>
  <c r="B483" i="5"/>
  <c r="B490" i="5"/>
  <c r="G457" i="5"/>
  <c r="G463" i="5"/>
  <c r="E457" i="5"/>
  <c r="E463" i="5"/>
  <c r="C430" i="5"/>
  <c r="C436" i="5"/>
  <c r="C403" i="5"/>
  <c r="C409" i="5"/>
  <c r="C376" i="5"/>
  <c r="C382" i="5"/>
  <c r="B349" i="5"/>
  <c r="B355" i="5"/>
  <c r="C322" i="5"/>
  <c r="C328" i="5"/>
  <c r="B295" i="5"/>
  <c r="B301" i="5"/>
  <c r="G274" i="5"/>
  <c r="G268" i="5"/>
  <c r="F214" i="5"/>
  <c r="F220" i="5"/>
  <c r="G187" i="5"/>
  <c r="G193" i="5"/>
  <c r="F159" i="5"/>
  <c r="F165" i="5"/>
  <c r="H138" i="5"/>
  <c r="H139" i="5"/>
  <c r="F221" i="3"/>
  <c r="E193" i="3"/>
  <c r="D165" i="3"/>
  <c r="G137" i="3"/>
  <c r="I122" i="3"/>
  <c r="C109" i="3"/>
  <c r="I1547" i="1"/>
  <c r="I500" i="1"/>
  <c r="AG2391" i="1"/>
  <c r="AG2407" i="1"/>
  <c r="I919" i="1"/>
  <c r="AG2385" i="1"/>
  <c r="AG2402" i="1"/>
  <c r="AG2386" i="1"/>
  <c r="AG2403" i="1"/>
  <c r="AG2387" i="1"/>
  <c r="AG2404" i="1"/>
  <c r="AG2388" i="1"/>
  <c r="AG2405" i="1"/>
  <c r="AG2389" i="1"/>
  <c r="AG2406" i="1"/>
  <c r="I926" i="1"/>
  <c r="I927" i="1"/>
  <c r="I185" i="1"/>
  <c r="H1460" i="1"/>
  <c r="H1459" i="1"/>
  <c r="I621" i="5"/>
  <c r="I243" i="5"/>
  <c r="AG1630" i="5"/>
  <c r="AG1658" i="5"/>
  <c r="I50" i="5"/>
  <c r="X2289" i="3"/>
  <c r="X2304" i="3"/>
  <c r="I657" i="3"/>
  <c r="X2283" i="3"/>
  <c r="X2299" i="3"/>
  <c r="I658" i="3"/>
  <c r="X2284" i="3"/>
  <c r="X2300" i="3"/>
  <c r="X2285" i="3"/>
  <c r="X2301" i="3"/>
  <c r="X2287" i="3"/>
  <c r="X2303" i="3"/>
  <c r="J663" i="3"/>
  <c r="J108" i="3"/>
  <c r="E2289" i="3"/>
  <c r="AP2192" i="2"/>
  <c r="T2189" i="2"/>
  <c r="T2206" i="2"/>
  <c r="J1325" i="2"/>
  <c r="I1033" i="1"/>
  <c r="I2275" i="3"/>
  <c r="I2297" i="3"/>
  <c r="J1519" i="3"/>
  <c r="D471" i="1"/>
  <c r="D470" i="1"/>
  <c r="J754" i="1"/>
  <c r="AA2388" i="1"/>
  <c r="AA2405" i="1"/>
  <c r="I747" i="1"/>
  <c r="J751" i="1"/>
  <c r="I744" i="1"/>
  <c r="AA2385" i="1"/>
  <c r="AA2402" i="1"/>
  <c r="H999" i="1"/>
  <c r="H1000" i="1"/>
  <c r="L369" i="1"/>
  <c r="B471" i="1"/>
  <c r="B470" i="1"/>
  <c r="AA2389" i="1"/>
  <c r="AA2406" i="1"/>
  <c r="I748" i="1"/>
  <c r="J755" i="1"/>
  <c r="J782" i="1"/>
  <c r="J775" i="1"/>
  <c r="I775" i="1"/>
  <c r="AB2381" i="1"/>
  <c r="AB2388" i="1"/>
  <c r="AB2405" i="1"/>
  <c r="I746" i="1"/>
  <c r="AA2387" i="1"/>
  <c r="AA2404" i="1"/>
  <c r="J753" i="1"/>
  <c r="J616" i="1"/>
  <c r="J609" i="1"/>
  <c r="I609" i="1"/>
  <c r="V2389" i="1"/>
  <c r="V2406" i="1"/>
  <c r="B445" i="1"/>
  <c r="B446" i="1"/>
  <c r="B447" i="1"/>
  <c r="B448" i="1"/>
  <c r="B444" i="1"/>
  <c r="H473" i="1"/>
  <c r="H474" i="1"/>
  <c r="H472" i="1"/>
  <c r="H475" i="1"/>
  <c r="H476" i="1"/>
  <c r="F527" i="1"/>
  <c r="F526" i="1"/>
  <c r="H530" i="1"/>
  <c r="H529" i="1"/>
  <c r="H528" i="1"/>
  <c r="H531" i="1"/>
  <c r="H532" i="1"/>
  <c r="D641" i="1"/>
  <c r="D640" i="1"/>
  <c r="D639" i="1"/>
  <c r="D642" i="1"/>
  <c r="D643" i="1"/>
  <c r="J700" i="1"/>
  <c r="Y2390" i="1"/>
  <c r="H697" i="1"/>
  <c r="H696" i="1"/>
  <c r="H695" i="1"/>
  <c r="H698" i="1"/>
  <c r="H699" i="1"/>
  <c r="B724" i="1"/>
  <c r="B725" i="1"/>
  <c r="I728" i="1"/>
  <c r="B726" i="1"/>
  <c r="B727" i="1"/>
  <c r="B723" i="1"/>
  <c r="D724" i="1"/>
  <c r="D725" i="1"/>
  <c r="D723" i="1"/>
  <c r="D726" i="1"/>
  <c r="D727" i="1"/>
  <c r="J756" i="1"/>
  <c r="AA2390" i="1"/>
  <c r="AE2390" i="1"/>
  <c r="J868" i="1"/>
  <c r="B894" i="1"/>
  <c r="B893" i="1"/>
  <c r="B891" i="1"/>
  <c r="B892" i="1"/>
  <c r="B895" i="1"/>
  <c r="J920" i="1"/>
  <c r="J913" i="1"/>
  <c r="I913" i="1"/>
  <c r="B1002" i="1"/>
  <c r="B1003" i="1"/>
  <c r="I1006" i="1"/>
  <c r="B1001" i="1"/>
  <c r="B1004" i="1"/>
  <c r="B1005" i="1"/>
  <c r="D1002" i="1"/>
  <c r="D1003" i="1"/>
  <c r="D1004" i="1"/>
  <c r="D1005" i="1"/>
  <c r="D1001" i="1"/>
  <c r="B1136" i="1"/>
  <c r="B1140" i="1"/>
  <c r="B1137" i="1"/>
  <c r="I1141" i="1"/>
  <c r="B1138" i="1"/>
  <c r="B1139" i="1"/>
  <c r="H1248" i="1"/>
  <c r="H1247" i="1"/>
  <c r="H1245" i="1"/>
  <c r="H1246" i="1"/>
  <c r="H1249" i="1"/>
  <c r="B1355" i="1"/>
  <c r="B1356" i="1"/>
  <c r="I1358" i="1"/>
  <c r="H1354" i="1"/>
  <c r="H1353" i="1"/>
  <c r="H1357" i="1"/>
  <c r="H1355" i="1"/>
  <c r="H1356" i="1"/>
  <c r="D1436" i="1"/>
  <c r="I1439" i="1"/>
  <c r="D1435" i="1"/>
  <c r="H1435" i="1"/>
  <c r="H1436" i="1"/>
  <c r="B1462" i="1"/>
  <c r="B1463" i="1"/>
  <c r="I1466" i="1"/>
  <c r="B1464" i="1"/>
  <c r="B1465" i="1"/>
  <c r="B1461" i="1"/>
  <c r="D1462" i="1"/>
  <c r="D1463" i="1"/>
  <c r="D1461" i="1"/>
  <c r="D1464" i="1"/>
  <c r="D1465" i="1"/>
  <c r="H1516" i="1"/>
  <c r="H1517" i="1"/>
  <c r="H1518" i="1"/>
  <c r="H1519" i="1"/>
  <c r="H1515" i="1"/>
  <c r="J780" i="1"/>
  <c r="J773" i="1"/>
  <c r="I773" i="1"/>
  <c r="AB2379" i="1"/>
  <c r="AB2386" i="1"/>
  <c r="AB2403" i="1"/>
  <c r="J1376" i="2"/>
  <c r="J1324" i="2"/>
  <c r="AV2191" i="2"/>
  <c r="AV2208" i="2"/>
  <c r="AV2210" i="2"/>
  <c r="I1185" i="2"/>
  <c r="J752" i="1"/>
  <c r="J745" i="1"/>
  <c r="AA2386" i="1"/>
  <c r="AA2403" i="1"/>
  <c r="I745" i="1"/>
  <c r="I605" i="1"/>
  <c r="V2385" i="1"/>
  <c r="V2402" i="1"/>
  <c r="J612" i="1"/>
  <c r="J605" i="1"/>
  <c r="H2390" i="1"/>
  <c r="H2392" i="1"/>
  <c r="J194" i="1"/>
  <c r="J393" i="1"/>
  <c r="N2390" i="1"/>
  <c r="H445" i="1"/>
  <c r="H446" i="1"/>
  <c r="H447" i="1"/>
  <c r="H448" i="1"/>
  <c r="H444" i="1"/>
  <c r="B473" i="1"/>
  <c r="B474" i="1"/>
  <c r="I477" i="1"/>
  <c r="B475" i="1"/>
  <c r="B476" i="1"/>
  <c r="B472" i="1"/>
  <c r="D473" i="1"/>
  <c r="D474" i="1"/>
  <c r="D472" i="1"/>
  <c r="D475" i="1"/>
  <c r="D476" i="1"/>
  <c r="R2388" i="1"/>
  <c r="R2405" i="1"/>
  <c r="I496" i="1"/>
  <c r="D530" i="1"/>
  <c r="D529" i="1"/>
  <c r="D528" i="1"/>
  <c r="D531" i="1"/>
  <c r="D532" i="1"/>
  <c r="H527" i="1"/>
  <c r="H526" i="1"/>
  <c r="T2390" i="1"/>
  <c r="I550" i="1"/>
  <c r="T2379" i="1"/>
  <c r="J561" i="1"/>
  <c r="J550" i="1"/>
  <c r="H641" i="1"/>
  <c r="H640" i="1"/>
  <c r="H639" i="1"/>
  <c r="H642" i="1"/>
  <c r="H643" i="1"/>
  <c r="D697" i="1"/>
  <c r="D696" i="1"/>
  <c r="D695" i="1"/>
  <c r="D698" i="1"/>
  <c r="D699" i="1"/>
  <c r="H724" i="1"/>
  <c r="H725" i="1"/>
  <c r="H723" i="1"/>
  <c r="H726" i="1"/>
  <c r="H727" i="1"/>
  <c r="J922" i="1"/>
  <c r="J915" i="1"/>
  <c r="I915" i="1"/>
  <c r="H1002" i="1"/>
  <c r="H1003" i="1"/>
  <c r="H1004" i="1"/>
  <c r="H1005" i="1"/>
  <c r="H1001" i="1"/>
  <c r="AK2390" i="1"/>
  <c r="J1033" i="1"/>
  <c r="B1082" i="1"/>
  <c r="B1086" i="1"/>
  <c r="B1083" i="1"/>
  <c r="B1084" i="1"/>
  <c r="B1085" i="1"/>
  <c r="I1087" i="1"/>
  <c r="B1220" i="1"/>
  <c r="B1219" i="1"/>
  <c r="B1218" i="1"/>
  <c r="B1221" i="1"/>
  <c r="B1217" i="1"/>
  <c r="H1462" i="1"/>
  <c r="H1463" i="1"/>
  <c r="H1461" i="1"/>
  <c r="H1464" i="1"/>
  <c r="H1465" i="1"/>
  <c r="B1516" i="1"/>
  <c r="B1517" i="1"/>
  <c r="I1520" i="1"/>
  <c r="B1515" i="1"/>
  <c r="B1518" i="1"/>
  <c r="B1519" i="1"/>
  <c r="D1516" i="1"/>
  <c r="D1517" i="1"/>
  <c r="D1518" i="1"/>
  <c r="D1519" i="1"/>
  <c r="D1515" i="1"/>
  <c r="J1547" i="1"/>
  <c r="BD2390" i="1"/>
  <c r="E1544" i="1"/>
  <c r="E1543" i="1"/>
  <c r="AN2386" i="1"/>
  <c r="AN2403" i="1"/>
  <c r="J1110" i="1"/>
  <c r="J1103" i="1"/>
  <c r="I1103" i="1"/>
  <c r="J1182" i="2"/>
  <c r="J551" i="1"/>
  <c r="J184" i="1"/>
  <c r="J553" i="1"/>
  <c r="J183" i="1"/>
  <c r="H702" i="1"/>
  <c r="H703" i="1"/>
  <c r="H704" i="1"/>
  <c r="B730" i="1"/>
  <c r="B731" i="1"/>
  <c r="B732" i="1"/>
  <c r="D730" i="1"/>
  <c r="D731" i="1"/>
  <c r="D732" i="1"/>
  <c r="B898" i="1"/>
  <c r="B899" i="1"/>
  <c r="B900" i="1"/>
  <c r="B1008" i="1"/>
  <c r="B1009" i="1"/>
  <c r="B1010" i="1"/>
  <c r="D1008" i="1"/>
  <c r="D1009" i="1"/>
  <c r="D1010" i="1"/>
  <c r="B1143" i="1"/>
  <c r="B1144" i="1"/>
  <c r="B1145" i="1"/>
  <c r="H1252" i="1"/>
  <c r="H1253" i="1"/>
  <c r="H1254" i="1"/>
  <c r="B1360" i="1"/>
  <c r="B1361" i="1"/>
  <c r="B1362" i="1"/>
  <c r="H1360" i="1"/>
  <c r="H1361" i="1"/>
  <c r="H1362" i="1"/>
  <c r="D1441" i="1"/>
  <c r="D1442" i="1"/>
  <c r="D1443" i="1"/>
  <c r="H1441" i="1"/>
  <c r="H1442" i="1"/>
  <c r="H1443" i="1"/>
  <c r="B1468" i="1"/>
  <c r="B1469" i="1"/>
  <c r="B1470" i="1"/>
  <c r="D1468" i="1"/>
  <c r="D1469" i="1"/>
  <c r="D1470" i="1"/>
  <c r="H1522" i="1"/>
  <c r="H1523" i="1"/>
  <c r="H1524" i="1"/>
  <c r="J309" i="1"/>
  <c r="J1039" i="4"/>
  <c r="BF2372" i="1"/>
  <c r="BF2400" i="1"/>
  <c r="I755" i="5"/>
  <c r="AC1646" i="5"/>
  <c r="AC1663" i="5"/>
  <c r="I270" i="5"/>
  <c r="K1647" i="5"/>
  <c r="K1664" i="5"/>
  <c r="I267" i="5"/>
  <c r="J267" i="5"/>
  <c r="I46" i="5"/>
  <c r="C1644" i="5"/>
  <c r="C1661" i="5"/>
  <c r="I47" i="5"/>
  <c r="C1645" i="5"/>
  <c r="C1662" i="5"/>
  <c r="B427" i="5"/>
  <c r="E1645" i="5"/>
  <c r="E1662" i="5"/>
  <c r="J19" i="5"/>
  <c r="H455" i="5"/>
  <c r="I835" i="5"/>
  <c r="J835" i="5"/>
  <c r="J2289" i="3"/>
  <c r="J2304" i="3"/>
  <c r="AW2289" i="3"/>
  <c r="AW2304" i="3"/>
  <c r="AW2283" i="3"/>
  <c r="AW2299" i="3"/>
  <c r="AW2284" i="3"/>
  <c r="AW2300" i="3"/>
  <c r="AW2285" i="3"/>
  <c r="AW2301" i="3"/>
  <c r="AW2287" i="3"/>
  <c r="AW2303" i="3"/>
  <c r="J48" i="3"/>
  <c r="I1316" i="2"/>
  <c r="AV2183" i="2"/>
  <c r="I1327" i="2"/>
  <c r="I1314" i="2"/>
  <c r="AV2181" i="2"/>
  <c r="J553" i="2"/>
  <c r="U2179" i="2"/>
  <c r="U2202" i="2"/>
  <c r="I355" i="4"/>
  <c r="N2121" i="4"/>
  <c r="N2138" i="4"/>
  <c r="I756" i="5"/>
  <c r="J756" i="5"/>
  <c r="I540" i="5"/>
  <c r="J540" i="5"/>
  <c r="I21" i="4"/>
  <c r="J21" i="4"/>
  <c r="I1257" i="4"/>
  <c r="J1257" i="4"/>
  <c r="I106" i="4"/>
  <c r="I99" i="4"/>
  <c r="E2114" i="4"/>
  <c r="I513" i="5"/>
  <c r="J513" i="5"/>
  <c r="I591" i="5"/>
  <c r="J591" i="5"/>
  <c r="I618" i="5"/>
  <c r="X1644" i="5"/>
  <c r="X1661" i="5"/>
  <c r="I240" i="5"/>
  <c r="J240" i="5"/>
  <c r="I675" i="5"/>
  <c r="Z1647" i="5"/>
  <c r="Z1664" i="5"/>
  <c r="I672" i="5"/>
  <c r="Z1644" i="5"/>
  <c r="Z1661" i="5"/>
  <c r="I784" i="5"/>
  <c r="AD1648" i="5"/>
  <c r="AD1665" i="5"/>
  <c r="J496" i="5"/>
  <c r="E832" i="5"/>
  <c r="G859" i="5"/>
  <c r="J18" i="5"/>
  <c r="I888" i="5"/>
  <c r="AH1644" i="5"/>
  <c r="AH1661" i="5"/>
  <c r="I834" i="5"/>
  <c r="AF1644" i="5"/>
  <c r="AF1661" i="5"/>
  <c r="I703" i="5"/>
  <c r="AA1648" i="5"/>
  <c r="AA1665" i="5"/>
  <c r="I729" i="5"/>
  <c r="J729" i="5"/>
  <c r="I890" i="5"/>
  <c r="J890" i="5"/>
  <c r="F400" i="5"/>
  <c r="N2117" i="4"/>
  <c r="N2134" i="4"/>
  <c r="J351" i="4"/>
  <c r="U2109" i="4"/>
  <c r="U2132" i="4"/>
  <c r="J539" i="4"/>
  <c r="D2109" i="4"/>
  <c r="J66" i="4"/>
  <c r="J1110" i="4"/>
  <c r="AP2109" i="4"/>
  <c r="AP2132" i="4"/>
  <c r="J1164" i="4"/>
  <c r="AR2109" i="4"/>
  <c r="AR2132" i="4"/>
  <c r="J1218" i="4"/>
  <c r="AT2109" i="4"/>
  <c r="AT2132" i="4"/>
  <c r="AR2103" i="4"/>
  <c r="AR2131" i="4"/>
  <c r="H928" i="4"/>
  <c r="B1009" i="4"/>
  <c r="I245" i="4"/>
  <c r="J2121" i="4"/>
  <c r="J2138" i="4"/>
  <c r="I605" i="4"/>
  <c r="J605" i="4"/>
  <c r="I717" i="4"/>
  <c r="AA2121" i="4"/>
  <c r="AA2138" i="4"/>
  <c r="I929" i="4"/>
  <c r="AI2117" i="4"/>
  <c r="AI2134" i="4"/>
  <c r="I1149" i="4"/>
  <c r="AQ2121" i="4"/>
  <c r="AQ2138" i="4"/>
  <c r="I134" i="4"/>
  <c r="F2121" i="4"/>
  <c r="I218" i="4"/>
  <c r="J218" i="4"/>
  <c r="I217" i="4"/>
  <c r="I2120" i="4"/>
  <c r="I2137" i="4"/>
  <c r="I272" i="4"/>
  <c r="K2121" i="4"/>
  <c r="K2138" i="4"/>
  <c r="I271" i="4"/>
  <c r="K2120" i="4"/>
  <c r="K2137" i="4"/>
  <c r="I551" i="4"/>
  <c r="J551" i="4"/>
  <c r="I1010" i="4"/>
  <c r="J1010" i="4"/>
  <c r="I1311" i="4"/>
  <c r="J1311" i="4"/>
  <c r="I411" i="4"/>
  <c r="P2121" i="4"/>
  <c r="P2138" i="4"/>
  <c r="I409" i="4"/>
  <c r="J409" i="4"/>
  <c r="I48" i="4"/>
  <c r="C2119" i="4"/>
  <c r="I47" i="4"/>
  <c r="I635" i="4"/>
  <c r="X2121" i="4"/>
  <c r="X2138" i="4"/>
  <c r="I690" i="4"/>
  <c r="Z2121" i="4"/>
  <c r="Z2138" i="4"/>
  <c r="I688" i="4"/>
  <c r="J688" i="4"/>
  <c r="I744" i="4"/>
  <c r="AB2121" i="4"/>
  <c r="AB2138" i="4"/>
  <c r="I1068" i="4"/>
  <c r="AN2121" i="4"/>
  <c r="AN2138" i="4"/>
  <c r="I1176" i="4"/>
  <c r="J1176" i="4"/>
  <c r="I1203" i="4"/>
  <c r="AS2121" i="4"/>
  <c r="AS2138" i="4"/>
  <c r="AM2118" i="4"/>
  <c r="AM2135" i="4"/>
  <c r="I352" i="4"/>
  <c r="J352" i="4"/>
  <c r="I354" i="4"/>
  <c r="I159" i="3"/>
  <c r="I716" i="3"/>
  <c r="I714" i="3"/>
  <c r="BJ1634" i="5"/>
  <c r="BK1634" i="5"/>
  <c r="BJ1635" i="5"/>
  <c r="BK1635" i="5"/>
  <c r="J1646" i="5"/>
  <c r="J1663" i="5"/>
  <c r="J242" i="5"/>
  <c r="AC1630" i="5"/>
  <c r="AC1658" i="5"/>
  <c r="J766" i="5"/>
  <c r="F128" i="5"/>
  <c r="I486" i="5"/>
  <c r="J486" i="5"/>
  <c r="I487" i="5"/>
  <c r="J487" i="5"/>
  <c r="X1630" i="5"/>
  <c r="X1658" i="5"/>
  <c r="I674" i="5"/>
  <c r="J674" i="5"/>
  <c r="B100" i="5"/>
  <c r="B44" i="5"/>
  <c r="C859" i="5"/>
  <c r="H101" i="5"/>
  <c r="H1636" i="5"/>
  <c r="H1659" i="5"/>
  <c r="I19" i="4"/>
  <c r="J19" i="4"/>
  <c r="AN2103" i="4"/>
  <c r="B629" i="4"/>
  <c r="D928" i="4"/>
  <c r="E1117" i="4"/>
  <c r="E1198" i="4"/>
  <c r="D434" i="4"/>
  <c r="D489" i="4"/>
  <c r="F846" i="4"/>
  <c r="F954" i="4"/>
  <c r="D1009" i="4"/>
  <c r="C377" i="4"/>
  <c r="I22" i="4"/>
  <c r="J22" i="4"/>
  <c r="I297" i="4"/>
  <c r="L2119" i="4"/>
  <c r="L2136" i="4"/>
  <c r="I437" i="4"/>
  <c r="J437" i="4"/>
  <c r="I463" i="4"/>
  <c r="R2117" i="4"/>
  <c r="R2134" i="4"/>
  <c r="I466" i="4"/>
  <c r="I493" i="4"/>
  <c r="J493" i="4"/>
  <c r="I492" i="4"/>
  <c r="I579" i="4"/>
  <c r="V2121" i="4"/>
  <c r="V2138" i="4"/>
  <c r="I607" i="4"/>
  <c r="W2121" i="4"/>
  <c r="W2138" i="4"/>
  <c r="I663" i="4"/>
  <c r="J663" i="4"/>
  <c r="I798" i="4"/>
  <c r="AD2121" i="4"/>
  <c r="AD2138" i="4"/>
  <c r="I796" i="4"/>
  <c r="AD2119" i="4"/>
  <c r="I986" i="4"/>
  <c r="J986" i="4"/>
  <c r="I987" i="4"/>
  <c r="J987" i="4"/>
  <c r="CA2108" i="4"/>
  <c r="CB2108" i="4"/>
  <c r="I1396" i="3"/>
  <c r="I1149" i="2"/>
  <c r="AP2184" i="2"/>
  <c r="E2122" i="4"/>
  <c r="E2124" i="4"/>
  <c r="CA2106" i="4"/>
  <c r="CB2106" i="4"/>
  <c r="I1232" i="3"/>
  <c r="AS2285" i="3"/>
  <c r="AS2301" i="3"/>
  <c r="AS2284" i="3"/>
  <c r="AS2300" i="3"/>
  <c r="J1231" i="3"/>
  <c r="AY2269" i="3"/>
  <c r="AY2296" i="3"/>
  <c r="J1378" i="3"/>
  <c r="G1499" i="3"/>
  <c r="G1498" i="3"/>
  <c r="H1313" i="3"/>
  <c r="I1313" i="3"/>
  <c r="H1315" i="3"/>
  <c r="I1315" i="3"/>
  <c r="H1312" i="3"/>
  <c r="I1312" i="3"/>
  <c r="F1390" i="3"/>
  <c r="F1391" i="3"/>
  <c r="C1474" i="3"/>
  <c r="C1475" i="3"/>
  <c r="C1477" i="3"/>
  <c r="C1476" i="3"/>
  <c r="C1473" i="3"/>
  <c r="G1474" i="3"/>
  <c r="G1475" i="3"/>
  <c r="G1477" i="3"/>
  <c r="I1477" i="3"/>
  <c r="G1476" i="3"/>
  <c r="G1473" i="3"/>
  <c r="J1042" i="3"/>
  <c r="AL2284" i="3"/>
  <c r="AL2300" i="3"/>
  <c r="J798" i="3"/>
  <c r="AC2284" i="3"/>
  <c r="AC2300" i="3"/>
  <c r="C1525" i="3"/>
  <c r="C1526" i="3"/>
  <c r="I936" i="3"/>
  <c r="I938" i="3"/>
  <c r="I1449" i="3"/>
  <c r="I1393" i="3"/>
  <c r="I880" i="3"/>
  <c r="J1351" i="3"/>
  <c r="AX2269" i="3"/>
  <c r="AX2296" i="3"/>
  <c r="C1445" i="3"/>
  <c r="C1444" i="3"/>
  <c r="H1309" i="3"/>
  <c r="H1310" i="3"/>
  <c r="H1420" i="3"/>
  <c r="I1420" i="3"/>
  <c r="H1421" i="3"/>
  <c r="I1421" i="3"/>
  <c r="H1423" i="3"/>
  <c r="I1423" i="3"/>
  <c r="H1422" i="3"/>
  <c r="H1419" i="3"/>
  <c r="I1419" i="3"/>
  <c r="G1472" i="3"/>
  <c r="G1471" i="3"/>
  <c r="J1234" i="3"/>
  <c r="AS2287" i="3"/>
  <c r="AS2303" i="3"/>
  <c r="G1526" i="3"/>
  <c r="G1525" i="3"/>
  <c r="J661" i="3"/>
  <c r="I1394" i="3"/>
  <c r="I770" i="3"/>
  <c r="BC2275" i="3"/>
  <c r="BC2297" i="3"/>
  <c r="J1492" i="3"/>
  <c r="I1289" i="2"/>
  <c r="AU2184" i="2"/>
  <c r="I46" i="6"/>
  <c r="I45" i="6"/>
  <c r="I44" i="6"/>
  <c r="J46" i="3"/>
  <c r="AP2210" i="2"/>
  <c r="I1313" i="2"/>
  <c r="AV2180" i="2"/>
  <c r="I1315" i="2"/>
  <c r="AV2182" i="2"/>
  <c r="AV2192" i="2"/>
  <c r="AT2391" i="1"/>
  <c r="AT2407" i="1"/>
  <c r="AD2391" i="1"/>
  <c r="AD2407" i="1"/>
  <c r="J124" i="1"/>
  <c r="J685" i="5"/>
  <c r="J820" i="5"/>
  <c r="I889" i="5"/>
  <c r="AH1645" i="5"/>
  <c r="AH1662" i="5"/>
  <c r="AB1630" i="5"/>
  <c r="AB1658" i="5"/>
  <c r="AE1630" i="5"/>
  <c r="AE1658" i="5"/>
  <c r="J244" i="5"/>
  <c r="D2124" i="4"/>
  <c r="D2125" i="4"/>
  <c r="D2126" i="4"/>
  <c r="D2121" i="4"/>
  <c r="I70" i="4"/>
  <c r="D2113" i="4"/>
  <c r="I1240" i="2"/>
  <c r="I1352" i="2"/>
  <c r="L1111" i="3"/>
  <c r="L1109" i="3"/>
  <c r="I782" i="5"/>
  <c r="J782" i="5"/>
  <c r="I1569" i="1"/>
  <c r="BE2385" i="1"/>
  <c r="BE2402" i="1"/>
  <c r="AB1647" i="5"/>
  <c r="AB1664" i="5"/>
  <c r="AH1646" i="5"/>
  <c r="AH1663" i="5"/>
  <c r="I699" i="5"/>
  <c r="J699" i="5"/>
  <c r="I77" i="5"/>
  <c r="J77" i="5"/>
  <c r="I74" i="5"/>
  <c r="I75" i="5"/>
  <c r="I78" i="5"/>
  <c r="I79" i="5"/>
  <c r="J79" i="5"/>
  <c r="J70" i="5"/>
  <c r="I67" i="2"/>
  <c r="D2180" i="2"/>
  <c r="I1287" i="2"/>
  <c r="AU2182" i="2"/>
  <c r="R2189" i="2"/>
  <c r="R2206" i="2"/>
  <c r="I891" i="1"/>
  <c r="D74" i="1"/>
  <c r="F46" i="1"/>
  <c r="E1298" i="1"/>
  <c r="B74" i="1"/>
  <c r="G46" i="1"/>
  <c r="G1568" i="1"/>
  <c r="E583" i="1"/>
  <c r="I417" i="1"/>
  <c r="I416" i="1"/>
  <c r="I809" i="1"/>
  <c r="F1298" i="1"/>
  <c r="H1567" i="1"/>
  <c r="J559" i="1"/>
  <c r="J552" i="1"/>
  <c r="I1330" i="1"/>
  <c r="AV2389" i="1"/>
  <c r="AV2406" i="1"/>
  <c r="B1243" i="1"/>
  <c r="AE2391" i="1"/>
  <c r="AE2407" i="1"/>
  <c r="J479" i="2"/>
  <c r="R2191" i="2"/>
  <c r="R2208" i="2"/>
  <c r="I1070" i="2"/>
  <c r="J1070" i="2"/>
  <c r="I537" i="5"/>
  <c r="J537" i="5"/>
  <c r="I645" i="5"/>
  <c r="J645" i="5"/>
  <c r="I647" i="5"/>
  <c r="Y1646" i="5"/>
  <c r="Y1663" i="5"/>
  <c r="I836" i="5"/>
  <c r="J836" i="5"/>
  <c r="I294" i="5"/>
  <c r="L1644" i="5"/>
  <c r="L1661" i="5"/>
  <c r="I781" i="5"/>
  <c r="J781" i="5"/>
  <c r="I838" i="5"/>
  <c r="AF1648" i="5"/>
  <c r="AF1665" i="5"/>
  <c r="I1238" i="2"/>
  <c r="I1351" i="2"/>
  <c r="R2190" i="2"/>
  <c r="R2207" i="2"/>
  <c r="J478" i="2"/>
  <c r="I541" i="5"/>
  <c r="J541" i="5"/>
  <c r="I1072" i="2"/>
  <c r="J1072" i="2"/>
  <c r="I1239" i="2"/>
  <c r="I1236" i="2"/>
  <c r="I1237" i="2"/>
  <c r="I1350" i="2"/>
  <c r="I1349" i="2"/>
  <c r="I1348" i="2"/>
  <c r="I129" i="6"/>
  <c r="I128" i="6"/>
  <c r="F884" i="6"/>
  <c r="F900" i="6"/>
  <c r="I74" i="6"/>
  <c r="I75" i="6"/>
  <c r="D885" i="6"/>
  <c r="I824" i="4"/>
  <c r="AE2120" i="4"/>
  <c r="AE2137" i="4"/>
  <c r="I23" i="4"/>
  <c r="I16" i="4"/>
  <c r="I743" i="3"/>
  <c r="J743" i="3"/>
  <c r="I826" i="3"/>
  <c r="I466" i="3"/>
  <c r="J466" i="3"/>
  <c r="I491" i="3"/>
  <c r="CF2273" i="3"/>
  <c r="CG2273" i="3"/>
  <c r="AG2289" i="3"/>
  <c r="AG2304" i="3"/>
  <c r="I906" i="3"/>
  <c r="AG2283" i="3"/>
  <c r="AG2299" i="3"/>
  <c r="AG2284" i="3"/>
  <c r="AG2300" i="3"/>
  <c r="AG2285" i="3"/>
  <c r="AG2301" i="3"/>
  <c r="AG2286" i="3"/>
  <c r="AG2302" i="3"/>
  <c r="J1438" i="3"/>
  <c r="CF2270" i="3"/>
  <c r="CG2270" i="3"/>
  <c r="J1447" i="1"/>
  <c r="H1271" i="1"/>
  <c r="H1378" i="1"/>
  <c r="F1189" i="1"/>
  <c r="D806" i="1"/>
  <c r="I418" i="1"/>
  <c r="I808" i="1"/>
  <c r="I807" i="1"/>
  <c r="I1329" i="1"/>
  <c r="J1329" i="1"/>
  <c r="F885" i="6"/>
  <c r="F901" i="6"/>
  <c r="J129" i="6"/>
  <c r="J75" i="6"/>
  <c r="J388" i="2"/>
  <c r="O2187" i="2"/>
  <c r="O2204" i="2"/>
  <c r="J773" i="3"/>
  <c r="AB2287" i="3"/>
  <c r="AB2303" i="3"/>
  <c r="AA1644" i="5"/>
  <c r="AA1661" i="5"/>
  <c r="J838" i="5"/>
  <c r="J74" i="6"/>
  <c r="D884" i="6"/>
  <c r="D900" i="6"/>
  <c r="J667" i="2"/>
  <c r="Y2179" i="2"/>
  <c r="Y2202" i="2"/>
  <c r="C340" i="2"/>
  <c r="C341" i="2"/>
  <c r="J1172" i="2"/>
  <c r="AQ2179" i="2"/>
  <c r="AQ2202" i="2"/>
  <c r="I358" i="3"/>
  <c r="I163" i="2"/>
  <c r="G2191" i="2"/>
  <c r="I700" i="5"/>
  <c r="AA1645" i="5"/>
  <c r="AA1662" i="5"/>
  <c r="I754" i="5"/>
  <c r="J754" i="5"/>
  <c r="I783" i="5"/>
  <c r="J783" i="5"/>
  <c r="I130" i="3"/>
  <c r="I123" i="3"/>
  <c r="I302" i="3"/>
  <c r="I331" i="3"/>
  <c r="J331" i="3"/>
  <c r="I384" i="3"/>
  <c r="I133" i="3"/>
  <c r="I436" i="3"/>
  <c r="I604" i="3"/>
  <c r="I1044" i="3"/>
  <c r="I1122" i="3"/>
  <c r="I1503" i="3"/>
  <c r="I49" i="2"/>
  <c r="I219" i="2"/>
  <c r="J219" i="2"/>
  <c r="I306" i="2"/>
  <c r="I332" i="2"/>
  <c r="M2187" i="2"/>
  <c r="M2204" i="2"/>
  <c r="I575" i="3"/>
  <c r="I603" i="3"/>
  <c r="I688" i="3"/>
  <c r="I882" i="3"/>
  <c r="I963" i="3"/>
  <c r="I420" i="2"/>
  <c r="I102" i="4"/>
  <c r="I130" i="4"/>
  <c r="I123" i="4"/>
  <c r="F2110" i="4"/>
  <c r="I214" i="4"/>
  <c r="I2117" i="4"/>
  <c r="I379" i="4"/>
  <c r="I408" i="4"/>
  <c r="J408" i="4"/>
  <c r="I407" i="4"/>
  <c r="I410" i="4"/>
  <c r="I412" i="4"/>
  <c r="I714" i="4"/>
  <c r="I849" i="4"/>
  <c r="AF2118" i="4"/>
  <c r="AF2135" i="4"/>
  <c r="I930" i="4"/>
  <c r="I957" i="4"/>
  <c r="J957" i="4"/>
  <c r="I1064" i="4"/>
  <c r="I1118" i="4"/>
  <c r="J1118" i="4"/>
  <c r="I1120" i="4"/>
  <c r="I1172" i="4"/>
  <c r="I1226" i="4"/>
  <c r="J1226" i="4"/>
  <c r="I1280" i="4"/>
  <c r="J1347" i="4"/>
  <c r="J1609" i="1"/>
  <c r="AG1644" i="5"/>
  <c r="AG1661" i="5"/>
  <c r="W1647" i="5"/>
  <c r="W1664" i="5"/>
  <c r="D45" i="1"/>
  <c r="E130" i="1"/>
  <c r="B805" i="1"/>
  <c r="E414" i="1"/>
  <c r="D43" i="6"/>
  <c r="J1149" i="1"/>
  <c r="J192" i="1"/>
  <c r="I303" i="2"/>
  <c r="J303" i="2"/>
  <c r="I846" i="2"/>
  <c r="J846" i="2"/>
  <c r="I1014" i="2"/>
  <c r="AK2189" i="2"/>
  <c r="AK2206" i="2"/>
  <c r="I1016" i="2"/>
  <c r="AK2191" i="2"/>
  <c r="AK2208" i="2"/>
  <c r="I1071" i="2"/>
  <c r="AM2190" i="2"/>
  <c r="AM2207" i="2"/>
  <c r="I449" i="2"/>
  <c r="J449" i="2"/>
  <c r="I446" i="2"/>
  <c r="Q2187" i="2"/>
  <c r="Q2204" i="2"/>
  <c r="I620" i="2"/>
  <c r="W2190" i="2"/>
  <c r="I617" i="2"/>
  <c r="W2187" i="2"/>
  <c r="W2204" i="2"/>
  <c r="I1212" i="2"/>
  <c r="AR2191" i="2"/>
  <c r="AR2208" i="2"/>
  <c r="I1210" i="2"/>
  <c r="AR2189" i="2"/>
  <c r="I518" i="3"/>
  <c r="J518" i="3"/>
  <c r="I520" i="3"/>
  <c r="I160" i="3"/>
  <c r="I630" i="3"/>
  <c r="I713" i="3"/>
  <c r="Z2283" i="3"/>
  <c r="Z2299" i="3"/>
  <c r="I960" i="3"/>
  <c r="CA2104" i="4"/>
  <c r="CB2104" i="4"/>
  <c r="I296" i="4"/>
  <c r="I436" i="4"/>
  <c r="I578" i="4"/>
  <c r="J578" i="4"/>
  <c r="I606" i="4"/>
  <c r="W2120" i="4"/>
  <c r="W2137" i="4"/>
  <c r="I603" i="4"/>
  <c r="I662" i="4"/>
  <c r="J662" i="4"/>
  <c r="I659" i="4"/>
  <c r="I770" i="4"/>
  <c r="J770" i="4"/>
  <c r="I797" i="4"/>
  <c r="J797" i="4"/>
  <c r="I794" i="4"/>
  <c r="I877" i="4"/>
  <c r="J877" i="4"/>
  <c r="I931" i="4"/>
  <c r="I933" i="4"/>
  <c r="AI2121" i="4"/>
  <c r="AI2138" i="4"/>
  <c r="I983" i="4"/>
  <c r="I825" i="4"/>
  <c r="AE2121" i="4"/>
  <c r="AE2138" i="4"/>
  <c r="I905" i="4"/>
  <c r="I960" i="4"/>
  <c r="I958" i="4"/>
  <c r="I961" i="4"/>
  <c r="J958" i="4"/>
  <c r="I1013" i="4"/>
  <c r="I1014" i="4"/>
  <c r="J1014" i="4"/>
  <c r="I1256" i="4"/>
  <c r="I1338" i="4"/>
  <c r="AX2121" i="4"/>
  <c r="AX2138" i="4"/>
  <c r="I160" i="5"/>
  <c r="J160" i="5"/>
  <c r="I190" i="5"/>
  <c r="J190" i="5"/>
  <c r="I189" i="5"/>
  <c r="J189" i="5"/>
  <c r="I296" i="5"/>
  <c r="L1646" i="5"/>
  <c r="L1663" i="5"/>
  <c r="I298" i="5"/>
  <c r="J298" i="5"/>
  <c r="I324" i="5"/>
  <c r="J324" i="5"/>
  <c r="I325" i="5"/>
  <c r="M1648" i="5"/>
  <c r="M1665" i="5"/>
  <c r="I351" i="5"/>
  <c r="N1647" i="5"/>
  <c r="N1664" i="5"/>
  <c r="I348" i="5"/>
  <c r="N1644" i="5"/>
  <c r="N1661" i="5"/>
  <c r="I404" i="5"/>
  <c r="J404" i="5"/>
  <c r="I406" i="5"/>
  <c r="J406" i="5"/>
  <c r="I459" i="5"/>
  <c r="J459" i="5"/>
  <c r="I456" i="5"/>
  <c r="J456" i="5"/>
  <c r="I512" i="5"/>
  <c r="J512" i="5"/>
  <c r="I539" i="5"/>
  <c r="J539" i="5"/>
  <c r="I568" i="5"/>
  <c r="J568" i="5"/>
  <c r="I566" i="5"/>
  <c r="J566" i="5"/>
  <c r="I595" i="5"/>
  <c r="W1648" i="5"/>
  <c r="W1665" i="5"/>
  <c r="I593" i="5"/>
  <c r="J593" i="5"/>
  <c r="I622" i="5"/>
  <c r="X1648" i="5"/>
  <c r="X1665" i="5"/>
  <c r="I620" i="5"/>
  <c r="X1646" i="5"/>
  <c r="X1663" i="5"/>
  <c r="I1441" i="1"/>
  <c r="AZ2392" i="1"/>
  <c r="AR2391" i="1"/>
  <c r="AR2407" i="1"/>
  <c r="CF2274" i="3"/>
  <c r="CG2274" i="3"/>
  <c r="CA2105" i="4"/>
  <c r="CB2105" i="4"/>
  <c r="J690" i="4"/>
  <c r="AP2121" i="4"/>
  <c r="AP2138" i="4"/>
  <c r="P2117" i="4"/>
  <c r="P2134" i="4"/>
  <c r="I50" i="4"/>
  <c r="C2121" i="4"/>
  <c r="I49" i="4"/>
  <c r="J49" i="4"/>
  <c r="I634" i="4"/>
  <c r="X2120" i="4"/>
  <c r="X2137" i="4"/>
  <c r="I631" i="4"/>
  <c r="I689" i="4"/>
  <c r="Z2120" i="4"/>
  <c r="Z2137" i="4"/>
  <c r="I686" i="4"/>
  <c r="I743" i="4"/>
  <c r="J743" i="4"/>
  <c r="I740" i="4"/>
  <c r="AB2117" i="4"/>
  <c r="AB2134" i="4"/>
  <c r="I851" i="4"/>
  <c r="AF2120" i="4"/>
  <c r="AF2137" i="4"/>
  <c r="I848" i="4"/>
  <c r="AH871" i="6"/>
  <c r="AI871" i="6"/>
  <c r="AH870" i="6"/>
  <c r="AI870" i="6"/>
  <c r="AH872" i="6"/>
  <c r="AI872" i="6"/>
  <c r="J117" i="6"/>
  <c r="I1411" i="1"/>
  <c r="I1301" i="1"/>
  <c r="I1300" i="1"/>
  <c r="AU2386" i="1"/>
  <c r="AU2403" i="1"/>
  <c r="J1297" i="2"/>
  <c r="J1289" i="2"/>
  <c r="J1313" i="2"/>
  <c r="I1285" i="2"/>
  <c r="AU2180" i="2"/>
  <c r="I1373" i="2"/>
  <c r="AX2184" i="2"/>
  <c r="D2120" i="4"/>
  <c r="J631" i="5"/>
  <c r="I864" i="5"/>
  <c r="J864" i="5"/>
  <c r="CA2177" i="2"/>
  <c r="CB2177" i="2"/>
  <c r="I1099" i="2"/>
  <c r="J1099" i="2"/>
  <c r="I1100" i="2"/>
  <c r="J1100" i="2"/>
  <c r="I1265" i="2"/>
  <c r="AT2188" i="2"/>
  <c r="AT2205" i="2"/>
  <c r="I1264" i="2"/>
  <c r="AT2187" i="2"/>
  <c r="AT2204" i="2"/>
  <c r="AO2275" i="3"/>
  <c r="AO2297" i="3"/>
  <c r="I1365" i="4"/>
  <c r="J1365" i="4"/>
  <c r="I1364" i="4"/>
  <c r="I976" i="1"/>
  <c r="J976" i="1"/>
  <c r="I1146" i="2"/>
  <c r="AP2181" i="2"/>
  <c r="AC2289" i="3"/>
  <c r="AC2304" i="3"/>
  <c r="AC2287" i="3"/>
  <c r="AC2303" i="3"/>
  <c r="I728" i="5"/>
  <c r="J728" i="5"/>
  <c r="I567" i="5"/>
  <c r="V1647" i="5"/>
  <c r="V1664" i="5"/>
  <c r="I649" i="5"/>
  <c r="J649" i="5"/>
  <c r="BJ1633" i="5"/>
  <c r="BK1633" i="5"/>
  <c r="D1644" i="5"/>
  <c r="D1661" i="5"/>
  <c r="J78" i="5"/>
  <c r="I702" i="5"/>
  <c r="AA1647" i="5"/>
  <c r="AA1664" i="5"/>
  <c r="I726" i="5"/>
  <c r="J726" i="5"/>
  <c r="G1646" i="5"/>
  <c r="G1663" i="5"/>
  <c r="J648" i="5"/>
  <c r="Y1647" i="5"/>
  <c r="Y1664" i="5"/>
  <c r="U1648" i="5"/>
  <c r="U1665" i="5"/>
  <c r="AA1646" i="5"/>
  <c r="AA1663" i="5"/>
  <c r="J701" i="5"/>
  <c r="J834" i="5"/>
  <c r="B1648" i="5"/>
  <c r="B1665" i="5"/>
  <c r="J22" i="5"/>
  <c r="C725" i="5"/>
  <c r="C724" i="5"/>
  <c r="G671" i="5"/>
  <c r="G670" i="5"/>
  <c r="F428" i="5"/>
  <c r="F427" i="5"/>
  <c r="D410" i="5"/>
  <c r="D411" i="5"/>
  <c r="F73" i="5"/>
  <c r="F72" i="5"/>
  <c r="D73" i="5"/>
  <c r="D72" i="5"/>
  <c r="B73" i="5"/>
  <c r="B72" i="5"/>
  <c r="C238" i="5"/>
  <c r="C239" i="5"/>
  <c r="K1636" i="5"/>
  <c r="K1659" i="5"/>
  <c r="J259" i="5"/>
  <c r="D266" i="5"/>
  <c r="D265" i="5"/>
  <c r="V1636" i="5"/>
  <c r="V1659" i="5"/>
  <c r="J556" i="5"/>
  <c r="F185" i="5"/>
  <c r="F184" i="5"/>
  <c r="AB1636" i="5"/>
  <c r="AB1659" i="5"/>
  <c r="J718" i="5"/>
  <c r="J811" i="5"/>
  <c r="AE1648" i="5"/>
  <c r="AE1665" i="5"/>
  <c r="C887" i="5"/>
  <c r="C886" i="5"/>
  <c r="G887" i="5"/>
  <c r="G886" i="5"/>
  <c r="J76" i="5"/>
  <c r="D1646" i="5"/>
  <c r="D1663" i="5"/>
  <c r="X1636" i="5"/>
  <c r="X1659" i="5"/>
  <c r="J610" i="5"/>
  <c r="G725" i="5"/>
  <c r="G724" i="5"/>
  <c r="E698" i="5"/>
  <c r="E697" i="5"/>
  <c r="J691" i="5"/>
  <c r="AA1636" i="5"/>
  <c r="AA1659" i="5"/>
  <c r="F464" i="5"/>
  <c r="F465" i="5"/>
  <c r="E347" i="5"/>
  <c r="E346" i="5"/>
  <c r="J150" i="5"/>
  <c r="G1636" i="5"/>
  <c r="G1659" i="5"/>
  <c r="AH1636" i="5"/>
  <c r="AH1659" i="5"/>
  <c r="J880" i="5"/>
  <c r="H266" i="5"/>
  <c r="H265" i="5"/>
  <c r="J475" i="5"/>
  <c r="S1636" i="5"/>
  <c r="S1659" i="5"/>
  <c r="J826" i="5"/>
  <c r="AF1636" i="5"/>
  <c r="AF1659" i="5"/>
  <c r="L1636" i="5"/>
  <c r="L1659" i="5"/>
  <c r="J286" i="5"/>
  <c r="T1636" i="5"/>
  <c r="T1659" i="5"/>
  <c r="J502" i="5"/>
  <c r="Z1636" i="5"/>
  <c r="Z1659" i="5"/>
  <c r="J664" i="5"/>
  <c r="AE1647" i="5"/>
  <c r="AE1664" i="5"/>
  <c r="J810" i="5"/>
  <c r="I807" i="5"/>
  <c r="I295" i="5"/>
  <c r="J295" i="5"/>
  <c r="I322" i="5"/>
  <c r="M1645" i="5"/>
  <c r="M1662" i="5"/>
  <c r="I349" i="5"/>
  <c r="N1645" i="5"/>
  <c r="N1662" i="5"/>
  <c r="I376" i="5"/>
  <c r="O1645" i="5"/>
  <c r="O1662" i="5"/>
  <c r="I403" i="5"/>
  <c r="P1645" i="5"/>
  <c r="P1662" i="5"/>
  <c r="I430" i="5"/>
  <c r="Q1645" i="5"/>
  <c r="Q1662" i="5"/>
  <c r="I483" i="5"/>
  <c r="J483" i="5"/>
  <c r="I511" i="5"/>
  <c r="T1645" i="5"/>
  <c r="T1662" i="5"/>
  <c r="I538" i="5"/>
  <c r="J538" i="5"/>
  <c r="I565" i="5"/>
  <c r="V1645" i="5"/>
  <c r="V1662" i="5"/>
  <c r="I592" i="5"/>
  <c r="W1645" i="5"/>
  <c r="W1662" i="5"/>
  <c r="W1644" i="5"/>
  <c r="W1661" i="5"/>
  <c r="W1646" i="5"/>
  <c r="W1663" i="5"/>
  <c r="W1667" i="5"/>
  <c r="I619" i="5"/>
  <c r="X1645" i="5"/>
  <c r="X1662" i="5"/>
  <c r="I646" i="5"/>
  <c r="Y1645" i="5"/>
  <c r="Y1662" i="5"/>
  <c r="I161" i="5"/>
  <c r="J161" i="5"/>
  <c r="I158" i="5"/>
  <c r="J158" i="5"/>
  <c r="I186" i="5"/>
  <c r="J186" i="5"/>
  <c r="I188" i="5"/>
  <c r="H1646" i="5"/>
  <c r="H1663" i="5"/>
  <c r="I215" i="5"/>
  <c r="J215" i="5"/>
  <c r="I216" i="5"/>
  <c r="J216" i="5"/>
  <c r="I297" i="5"/>
  <c r="J297" i="5"/>
  <c r="I323" i="5"/>
  <c r="M1646" i="5"/>
  <c r="M1663" i="5"/>
  <c r="I321" i="5"/>
  <c r="J321" i="5"/>
  <c r="I352" i="5"/>
  <c r="N1648" i="5"/>
  <c r="N1665" i="5"/>
  <c r="I405" i="5"/>
  <c r="P1647" i="5"/>
  <c r="P1664" i="5"/>
  <c r="I402" i="5"/>
  <c r="J402" i="5"/>
  <c r="I458" i="5"/>
  <c r="J458" i="5"/>
  <c r="I460" i="5"/>
  <c r="R1648" i="5"/>
  <c r="R1665" i="5"/>
  <c r="I510" i="5"/>
  <c r="T1644" i="5"/>
  <c r="T1661" i="5"/>
  <c r="I564" i="5"/>
  <c r="J564" i="5"/>
  <c r="I271" i="5"/>
  <c r="K1648" i="5"/>
  <c r="K1665" i="5"/>
  <c r="I269" i="5"/>
  <c r="J269" i="5"/>
  <c r="I485" i="5"/>
  <c r="S1646" i="5"/>
  <c r="S1663" i="5"/>
  <c r="I676" i="5"/>
  <c r="Z1648" i="5"/>
  <c r="Z1665" i="5"/>
  <c r="I780" i="5"/>
  <c r="AD1644" i="5"/>
  <c r="AD1661" i="5"/>
  <c r="AD1645" i="5"/>
  <c r="AD1662" i="5"/>
  <c r="AD1646" i="5"/>
  <c r="AD1663" i="5"/>
  <c r="AD1647" i="5"/>
  <c r="AD1664" i="5"/>
  <c r="AD1667" i="5"/>
  <c r="I48" i="5"/>
  <c r="I49" i="5"/>
  <c r="J49" i="5"/>
  <c r="I130" i="5"/>
  <c r="F1644" i="5"/>
  <c r="F1661" i="5"/>
  <c r="I134" i="5"/>
  <c r="J134" i="5"/>
  <c r="I753" i="5"/>
  <c r="J753" i="5"/>
  <c r="I863" i="5"/>
  <c r="J863" i="5"/>
  <c r="I865" i="5"/>
  <c r="AG1648" i="5"/>
  <c r="AG1665" i="5"/>
  <c r="I891" i="5"/>
  <c r="I104" i="5"/>
  <c r="I730" i="5"/>
  <c r="I809" i="5"/>
  <c r="I71" i="4"/>
  <c r="D2114" i="4"/>
  <c r="I1230" i="4"/>
  <c r="AH2284" i="3"/>
  <c r="AH2300" i="3"/>
  <c r="J934" i="3"/>
  <c r="J1166" i="2"/>
  <c r="AQ2173" i="2"/>
  <c r="AQ2201" i="2"/>
  <c r="BD2366" i="1"/>
  <c r="BD2399" i="1"/>
  <c r="J1528" i="1"/>
  <c r="B671" i="5"/>
  <c r="B670" i="5"/>
  <c r="J1339" i="1"/>
  <c r="AW2366" i="1"/>
  <c r="AW2399" i="1"/>
  <c r="J84" i="6"/>
  <c r="E867" i="6"/>
  <c r="E894" i="6"/>
  <c r="AN2385" i="1"/>
  <c r="AN2402" i="1"/>
  <c r="J1109" i="1"/>
  <c r="J1102" i="1"/>
  <c r="I1102" i="1"/>
  <c r="J232" i="5"/>
  <c r="J1636" i="5"/>
  <c r="J1659" i="5"/>
  <c r="J52" i="3"/>
  <c r="C2289" i="3"/>
  <c r="J1368" i="2"/>
  <c r="AX2179" i="2"/>
  <c r="AX2202" i="2"/>
  <c r="J1306" i="2"/>
  <c r="AV2173" i="2"/>
  <c r="AV2201" i="2"/>
  <c r="J464" i="3"/>
  <c r="R2285" i="3"/>
  <c r="R2301" i="3"/>
  <c r="AB2285" i="3"/>
  <c r="AB2301" i="3"/>
  <c r="J771" i="3"/>
  <c r="BD2285" i="3"/>
  <c r="BD2301" i="3"/>
  <c r="J1529" i="3"/>
  <c r="J421" i="5"/>
  <c r="Q1636" i="5"/>
  <c r="Q1659" i="5"/>
  <c r="J151" i="2"/>
  <c r="G2179" i="2"/>
  <c r="G2202" i="2"/>
  <c r="J1116" i="2"/>
  <c r="AO2179" i="2"/>
  <c r="AO2202" i="2"/>
  <c r="AN2376" i="1"/>
  <c r="AN2381" i="1"/>
  <c r="I465" i="3"/>
  <c r="R2286" i="3"/>
  <c r="R2302" i="3"/>
  <c r="I1307" i="4"/>
  <c r="AW2117" i="4"/>
  <c r="AW2134" i="4"/>
  <c r="J658" i="5"/>
  <c r="Z1630" i="5"/>
  <c r="Z1658" i="5"/>
  <c r="J1138" i="2"/>
  <c r="AP2173" i="2"/>
  <c r="AP2201" i="2"/>
  <c r="I1106" i="1"/>
  <c r="AN2389" i="1"/>
  <c r="AN2406" i="1"/>
  <c r="J1113" i="1"/>
  <c r="J1106" i="1"/>
  <c r="J573" i="3"/>
  <c r="V2284" i="3"/>
  <c r="V2300" i="3"/>
  <c r="J609" i="2"/>
  <c r="W2179" i="2"/>
  <c r="W2202" i="2"/>
  <c r="J1004" i="2"/>
  <c r="AK2179" i="2"/>
  <c r="AK2202" i="2"/>
  <c r="J366" i="1"/>
  <c r="M2391" i="1"/>
  <c r="J574" i="3"/>
  <c r="V2285" i="3"/>
  <c r="V2301" i="3"/>
  <c r="J780" i="2"/>
  <c r="AC2179" i="2"/>
  <c r="AC2202" i="2"/>
  <c r="J976" i="2"/>
  <c r="AJ2179" i="2"/>
  <c r="AJ2202" i="2"/>
  <c r="J1032" i="2"/>
  <c r="AL2179" i="2"/>
  <c r="AL2202" i="2"/>
  <c r="J63" i="6"/>
  <c r="D873" i="6"/>
  <c r="D895" i="6"/>
  <c r="I303" i="3"/>
  <c r="L2287" i="3"/>
  <c r="L2303" i="3"/>
  <c r="C42" i="6"/>
  <c r="I23" i="5"/>
  <c r="I25" i="5"/>
  <c r="J20" i="5"/>
  <c r="B1646" i="5"/>
  <c r="B1663" i="5"/>
  <c r="J1338" i="3"/>
  <c r="J937" i="3"/>
  <c r="AH2287" i="3"/>
  <c r="AH2303" i="3"/>
  <c r="AA2284" i="3"/>
  <c r="AA2300" i="3"/>
  <c r="J742" i="3"/>
  <c r="J659" i="3"/>
  <c r="AJ2284" i="3"/>
  <c r="AJ2300" i="3"/>
  <c r="J988" i="3"/>
  <c r="AY2283" i="3"/>
  <c r="AY2299" i="3"/>
  <c r="J1392" i="3"/>
  <c r="J1340" i="3"/>
  <c r="J1339" i="3"/>
  <c r="J1230" i="3"/>
  <c r="AS2283" i="3"/>
  <c r="AS2299" i="3"/>
  <c r="J1014" i="3"/>
  <c r="AK2283" i="3"/>
  <c r="AK2299" i="3"/>
  <c r="J493" i="3"/>
  <c r="S2287" i="3"/>
  <c r="S2303" i="3"/>
  <c r="C488" i="3"/>
  <c r="C487" i="3"/>
  <c r="V2283" i="3"/>
  <c r="V2299" i="3"/>
  <c r="J572" i="3"/>
  <c r="L2283" i="3"/>
  <c r="L2299" i="3"/>
  <c r="J299" i="3"/>
  <c r="O2283" i="3"/>
  <c r="O2299" i="3"/>
  <c r="J381" i="3"/>
  <c r="J410" i="3"/>
  <c r="P2285" i="3"/>
  <c r="P2301" i="3"/>
  <c r="H1121" i="3"/>
  <c r="H1120" i="3"/>
  <c r="G1094" i="3"/>
  <c r="G1093" i="3"/>
  <c r="J745" i="3"/>
  <c r="AA2287" i="3"/>
  <c r="AA2303" i="3"/>
  <c r="J741" i="3"/>
  <c r="AA2283" i="3"/>
  <c r="AA2299" i="3"/>
  <c r="D434" i="3"/>
  <c r="D433" i="3"/>
  <c r="J908" i="3"/>
  <c r="B796" i="3"/>
  <c r="B795" i="3"/>
  <c r="B628" i="3"/>
  <c r="B627" i="3"/>
  <c r="J354" i="3"/>
  <c r="N2283" i="3"/>
  <c r="N2299" i="3"/>
  <c r="H326" i="3"/>
  <c r="H325" i="3"/>
  <c r="I1176" i="3"/>
  <c r="I437" i="3"/>
  <c r="I825" i="3"/>
  <c r="I408" i="3"/>
  <c r="Q2283" i="3"/>
  <c r="Q2299" i="3"/>
  <c r="J435" i="3"/>
  <c r="AA2285" i="3"/>
  <c r="AA2301" i="3"/>
  <c r="P2284" i="3"/>
  <c r="P2300" i="3"/>
  <c r="J409" i="3"/>
  <c r="BD2287" i="3"/>
  <c r="BD2303" i="3"/>
  <c r="J1531" i="3"/>
  <c r="E1094" i="3"/>
  <c r="E1093" i="3"/>
  <c r="E986" i="3"/>
  <c r="E985" i="3"/>
  <c r="J1342" i="3"/>
  <c r="H1337" i="3"/>
  <c r="H1336" i="3"/>
  <c r="AK2285" i="3"/>
  <c r="AK2301" i="3"/>
  <c r="J1016" i="3"/>
  <c r="AK2284" i="3"/>
  <c r="AK2300" i="3"/>
  <c r="J1015" i="3"/>
  <c r="J385" i="3"/>
  <c r="O2287" i="3"/>
  <c r="O2303" i="3"/>
  <c r="S2285" i="3"/>
  <c r="S2301" i="3"/>
  <c r="J491" i="3"/>
  <c r="J881" i="3"/>
  <c r="AF2285" i="3"/>
  <c r="AF2301" i="3"/>
  <c r="AD2285" i="3"/>
  <c r="AD2301" i="3"/>
  <c r="J826" i="3"/>
  <c r="J1448" i="3"/>
  <c r="BA2285" i="3"/>
  <c r="BA2301" i="3"/>
  <c r="C1094" i="3"/>
  <c r="C1093" i="3"/>
  <c r="J439" i="3"/>
  <c r="Q2287" i="3"/>
  <c r="Q2303" i="3"/>
  <c r="G380" i="3"/>
  <c r="G379" i="3"/>
  <c r="J907" i="3"/>
  <c r="J801" i="3"/>
  <c r="Y2283" i="3"/>
  <c r="Y2299" i="3"/>
  <c r="J685" i="3"/>
  <c r="E488" i="3"/>
  <c r="E487" i="3"/>
  <c r="J355" i="3"/>
  <c r="N2284" i="3"/>
  <c r="N2300" i="3"/>
  <c r="J329" i="3"/>
  <c r="M2285" i="3"/>
  <c r="M2301" i="3"/>
  <c r="J328" i="3"/>
  <c r="M2284" i="3"/>
  <c r="M2300" i="3"/>
  <c r="D270" i="3"/>
  <c r="D269" i="3"/>
  <c r="I548" i="3"/>
  <c r="J548" i="3"/>
  <c r="I1500" i="3"/>
  <c r="I1446" i="3"/>
  <c r="I1178" i="3"/>
  <c r="I1177" i="3"/>
  <c r="I1288" i="2"/>
  <c r="AU2183" i="2"/>
  <c r="I1148" i="2"/>
  <c r="AP2183" i="2"/>
  <c r="J1157" i="2"/>
  <c r="J1149" i="2"/>
  <c r="AU2192" i="2"/>
  <c r="I276" i="1"/>
  <c r="I332" i="1"/>
  <c r="I47" i="1"/>
  <c r="C2385" i="1"/>
  <c r="I48" i="1"/>
  <c r="J48" i="1"/>
  <c r="I419" i="1"/>
  <c r="I420" i="1"/>
  <c r="I810" i="1"/>
  <c r="T2391" i="1"/>
  <c r="T2407" i="1"/>
  <c r="CI2368" i="1"/>
  <c r="CJ2368" i="1"/>
  <c r="I2372" i="1"/>
  <c r="AZ2391" i="1"/>
  <c r="AZ2407" i="1"/>
  <c r="I870" i="1"/>
  <c r="I871" i="1"/>
  <c r="I872" i="1"/>
  <c r="J1386" i="1"/>
  <c r="AX2391" i="1"/>
  <c r="AX2407" i="1"/>
  <c r="J1069" i="3"/>
  <c r="AM2284" i="3"/>
  <c r="AM2300" i="3"/>
  <c r="J989" i="3"/>
  <c r="AJ2285" i="3"/>
  <c r="AJ2301" i="3"/>
  <c r="I1159" i="2"/>
  <c r="I1145" i="2"/>
  <c r="AP2180" i="2"/>
  <c r="V2379" i="1"/>
  <c r="V2374" i="1"/>
  <c r="L2284" i="3"/>
  <c r="L2300" i="3"/>
  <c r="J300" i="3"/>
  <c r="S2284" i="3"/>
  <c r="S2300" i="3"/>
  <c r="J490" i="3"/>
  <c r="AH2283" i="3"/>
  <c r="AH2299" i="3"/>
  <c r="J933" i="3"/>
  <c r="O2285" i="3"/>
  <c r="O2301" i="3"/>
  <c r="J383" i="3"/>
  <c r="AT2287" i="3"/>
  <c r="AT2303" i="3"/>
  <c r="J1261" i="3"/>
  <c r="AM2285" i="3"/>
  <c r="AM2301" i="3"/>
  <c r="J1070" i="3"/>
  <c r="R2379" i="1"/>
  <c r="R2374" i="1"/>
  <c r="R2287" i="3"/>
  <c r="R2303" i="3"/>
  <c r="V2287" i="3"/>
  <c r="V2303" i="3"/>
  <c r="J576" i="3"/>
  <c r="O2284" i="3"/>
  <c r="O2300" i="3"/>
  <c r="J382" i="3"/>
  <c r="J883" i="3"/>
  <c r="AF2287" i="3"/>
  <c r="AF2303" i="3"/>
  <c r="AZ2287" i="3"/>
  <c r="AZ2303" i="3"/>
  <c r="J1423" i="3"/>
  <c r="D1650" i="5"/>
  <c r="D1666" i="5"/>
  <c r="B1650" i="5"/>
  <c r="B1666" i="5"/>
  <c r="J79" i="4"/>
  <c r="J71" i="4"/>
  <c r="I81" i="4"/>
  <c r="I82" i="4"/>
  <c r="AO2284" i="3"/>
  <c r="AO2300" i="3"/>
  <c r="J1123" i="3"/>
  <c r="J1288" i="3"/>
  <c r="AU2287" i="3"/>
  <c r="AU2303" i="3"/>
  <c r="F1283" i="3"/>
  <c r="F1282" i="3"/>
  <c r="AU2283" i="3"/>
  <c r="AU2299" i="3"/>
  <c r="J1284" i="3"/>
  <c r="J1286" i="3"/>
  <c r="AU2285" i="3"/>
  <c r="AU2301" i="3"/>
  <c r="J1285" i="3"/>
  <c r="AU2284" i="3"/>
  <c r="AU2300" i="3"/>
  <c r="CF2271" i="3"/>
  <c r="CG2271" i="3"/>
  <c r="Y2275" i="3"/>
  <c r="Y2297" i="3"/>
  <c r="H2275" i="3"/>
  <c r="J747" i="3"/>
  <c r="AA2289" i="3"/>
  <c r="AA2304" i="3"/>
  <c r="J966" i="3"/>
  <c r="AI2289" i="3"/>
  <c r="AI2304" i="3"/>
  <c r="AI2283" i="3"/>
  <c r="AI2299" i="3"/>
  <c r="AI2284" i="3"/>
  <c r="AI2300" i="3"/>
  <c r="AI2285" i="3"/>
  <c r="AI2301" i="3"/>
  <c r="AI2286" i="3"/>
  <c r="AI2302" i="3"/>
  <c r="AI2287" i="3"/>
  <c r="AI2303" i="3"/>
  <c r="AI2305" i="3"/>
  <c r="J1249" i="3"/>
  <c r="AT2275" i="3"/>
  <c r="AT2297" i="3"/>
  <c r="J1398" i="3"/>
  <c r="AY2289" i="3"/>
  <c r="AY2304" i="3"/>
  <c r="R2275" i="3"/>
  <c r="R2297" i="3"/>
  <c r="J454" i="3"/>
  <c r="J1465" i="3"/>
  <c r="BB2275" i="3"/>
  <c r="BB2297" i="3"/>
  <c r="I2289" i="3"/>
  <c r="I2304" i="3"/>
  <c r="J220" i="3"/>
  <c r="J1060" i="3"/>
  <c r="AM2275" i="3"/>
  <c r="AM2297" i="3"/>
  <c r="J925" i="3"/>
  <c r="AH2275" i="3"/>
  <c r="AH2297" i="3"/>
  <c r="V2275" i="3"/>
  <c r="V2297" i="3"/>
  <c r="J564" i="3"/>
  <c r="T2275" i="3"/>
  <c r="T2297" i="3"/>
  <c r="J508" i="3"/>
  <c r="J858" i="3"/>
  <c r="AE2289" i="3"/>
  <c r="AE2304" i="3"/>
  <c r="AE2283" i="3"/>
  <c r="AE2299" i="3"/>
  <c r="AE2284" i="3"/>
  <c r="AE2300" i="3"/>
  <c r="AE2285" i="3"/>
  <c r="AE2301" i="3"/>
  <c r="AE2286" i="3"/>
  <c r="AE2302" i="3"/>
  <c r="AE2287" i="3"/>
  <c r="AE2303" i="3"/>
  <c r="J1236" i="3"/>
  <c r="AS2289" i="3"/>
  <c r="AS2304" i="3"/>
  <c r="J1276" i="3"/>
  <c r="AU2275" i="3"/>
  <c r="AU2297" i="3"/>
  <c r="L1112" i="3"/>
  <c r="L1113" i="3"/>
  <c r="J1114" i="3"/>
  <c r="L2289" i="3"/>
  <c r="L2304" i="3"/>
  <c r="J305" i="3"/>
  <c r="J1087" i="3"/>
  <c r="AN2275" i="3"/>
  <c r="AN2297" i="3"/>
  <c r="J1033" i="3"/>
  <c r="AL2275" i="3"/>
  <c r="AL2297" i="3"/>
  <c r="J816" i="3"/>
  <c r="AD2275" i="3"/>
  <c r="AD2297" i="3"/>
  <c r="U2275" i="3"/>
  <c r="U2297" i="3"/>
  <c r="J536" i="3"/>
  <c r="I1300" i="2"/>
  <c r="AU2195" i="2"/>
  <c r="AU2194" i="2"/>
  <c r="I1286" i="2"/>
  <c r="AU2181" i="2"/>
  <c r="J1147" i="2"/>
  <c r="I1371" i="2"/>
  <c r="AX2182" i="2"/>
  <c r="J1327" i="2"/>
  <c r="J1328" i="2"/>
  <c r="J1316" i="2"/>
  <c r="J1317" i="2"/>
  <c r="J1314" i="2"/>
  <c r="J978" i="1"/>
  <c r="I971" i="1"/>
  <c r="AI2389" i="1"/>
  <c r="AI2406" i="1"/>
  <c r="I969" i="1"/>
  <c r="I968" i="1"/>
  <c r="AI2386" i="1"/>
  <c r="AI2403" i="1"/>
  <c r="J975" i="1"/>
  <c r="I967" i="1"/>
  <c r="AI2385" i="1"/>
  <c r="AI2402" i="1"/>
  <c r="J974" i="1"/>
  <c r="AI2390" i="1"/>
  <c r="J979" i="1"/>
  <c r="J222" i="1"/>
  <c r="I2390" i="1"/>
  <c r="I2392" i="1"/>
  <c r="J533" i="1"/>
  <c r="I535" i="1"/>
  <c r="S2390" i="1"/>
  <c r="D1280" i="1"/>
  <c r="D1281" i="1"/>
  <c r="J2390" i="1"/>
  <c r="I255" i="1"/>
  <c r="J253" i="1"/>
  <c r="I47" i="6"/>
  <c r="N2118" i="4"/>
  <c r="N2135" i="4"/>
  <c r="N2119" i="4"/>
  <c r="N2136" i="4"/>
  <c r="J353" i="4"/>
  <c r="J511" i="4"/>
  <c r="T2109" i="4"/>
  <c r="T2132" i="4"/>
  <c r="J975" i="4"/>
  <c r="AK2109" i="4"/>
  <c r="AK2132" i="4"/>
  <c r="I159" i="4"/>
  <c r="J159" i="4"/>
  <c r="J152" i="4"/>
  <c r="J80" i="3"/>
  <c r="D2289" i="3"/>
  <c r="J414" i="3"/>
  <c r="P2289" i="3"/>
  <c r="P2304" i="3"/>
  <c r="P2283" i="3"/>
  <c r="P2299" i="3"/>
  <c r="P2286" i="3"/>
  <c r="P2302" i="3"/>
  <c r="J333" i="3"/>
  <c r="M2289" i="3"/>
  <c r="M2304" i="3"/>
  <c r="J1317" i="3"/>
  <c r="AV2289" i="3"/>
  <c r="AV2304" i="3"/>
  <c r="AV2286" i="3"/>
  <c r="AV2302" i="3"/>
  <c r="I1383" i="2"/>
  <c r="I1384" i="2"/>
  <c r="J1381" i="2"/>
  <c r="J1372" i="2"/>
  <c r="I588" i="1"/>
  <c r="U2389" i="1"/>
  <c r="U2406" i="1"/>
  <c r="I1303" i="1"/>
  <c r="J1303" i="1"/>
  <c r="I1055" i="1"/>
  <c r="I1059" i="1"/>
  <c r="I1056" i="1"/>
  <c r="AL2390" i="1"/>
  <c r="J1060" i="1"/>
  <c r="I1057" i="1"/>
  <c r="I1058" i="1"/>
  <c r="J394" i="5"/>
  <c r="P1636" i="5"/>
  <c r="P1659" i="5"/>
  <c r="J448" i="5"/>
  <c r="R1636" i="5"/>
  <c r="R1659" i="5"/>
  <c r="J94" i="5"/>
  <c r="E1636" i="5"/>
  <c r="E1659" i="5"/>
  <c r="F670" i="5"/>
  <c r="F671" i="5"/>
  <c r="J319" i="3"/>
  <c r="M2275" i="3"/>
  <c r="M2297" i="3"/>
  <c r="AP2275" i="3"/>
  <c r="AP2297" i="3"/>
  <c r="J1141" i="3"/>
  <c r="AN2191" i="2"/>
  <c r="AN2208" i="2"/>
  <c r="J1096" i="2"/>
  <c r="AN2187" i="2"/>
  <c r="AN2204" i="2"/>
  <c r="AT2190" i="2"/>
  <c r="AT2207" i="2"/>
  <c r="J1267" i="2"/>
  <c r="J1264" i="2"/>
  <c r="BE2390" i="1"/>
  <c r="J1574" i="1"/>
  <c r="J589" i="1"/>
  <c r="U2390" i="1"/>
  <c r="B592" i="1"/>
  <c r="B593" i="1"/>
  <c r="D592" i="1"/>
  <c r="D593" i="1"/>
  <c r="F592" i="1"/>
  <c r="F593" i="1"/>
  <c r="H592" i="1"/>
  <c r="H593" i="1"/>
  <c r="J1250" i="1"/>
  <c r="AS2390" i="1"/>
  <c r="AU2389" i="1"/>
  <c r="AU2406" i="1"/>
  <c r="H628" i="3"/>
  <c r="H627" i="3"/>
  <c r="J313" i="5"/>
  <c r="M1636" i="5"/>
  <c r="M1659" i="5"/>
  <c r="J367" i="5"/>
  <c r="O1636" i="5"/>
  <c r="O1659" i="5"/>
  <c r="J66" i="5"/>
  <c r="D1636" i="5"/>
  <c r="D1659" i="5"/>
  <c r="J277" i="3"/>
  <c r="K2289" i="3"/>
  <c r="K2304" i="3"/>
  <c r="P2275" i="3"/>
  <c r="P2297" i="3"/>
  <c r="L341" i="3"/>
  <c r="J400" i="3"/>
  <c r="J1168" i="3"/>
  <c r="AQ2275" i="3"/>
  <c r="AQ2297" i="3"/>
  <c r="AN2189" i="2"/>
  <c r="AN2206" i="2"/>
  <c r="J1098" i="2"/>
  <c r="H1104" i="2"/>
  <c r="H1105" i="2"/>
  <c r="AT2191" i="2"/>
  <c r="AT2208" i="2"/>
  <c r="J1268" i="2"/>
  <c r="J1412" i="1"/>
  <c r="AY2390" i="1"/>
  <c r="I1530" i="3"/>
  <c r="BD2286" i="3"/>
  <c r="BD2302" i="3"/>
  <c r="I105" i="2"/>
  <c r="E2190" i="2"/>
  <c r="I1361" i="4"/>
  <c r="AY2117" i="4"/>
  <c r="AY2134" i="4"/>
  <c r="I1410" i="1"/>
  <c r="I1403" i="1"/>
  <c r="I1407" i="1"/>
  <c r="I1573" i="1"/>
  <c r="BE2389" i="1"/>
  <c r="BE2406" i="1"/>
  <c r="I1572" i="1"/>
  <c r="I1565" i="1"/>
  <c r="I1601" i="1"/>
  <c r="I1369" i="2"/>
  <c r="AX2180" i="2"/>
  <c r="I1370" i="2"/>
  <c r="AX2181" i="2"/>
  <c r="AX2192" i="2"/>
  <c r="I109" i="4"/>
  <c r="I110" i="4"/>
  <c r="D867" i="6"/>
  <c r="D894" i="6"/>
  <c r="I1097" i="2"/>
  <c r="I1266" i="2"/>
  <c r="I1570" i="1"/>
  <c r="I1571" i="1"/>
  <c r="I587" i="1"/>
  <c r="I586" i="1"/>
  <c r="I584" i="1"/>
  <c r="I1299" i="1"/>
  <c r="I1292" i="1"/>
  <c r="I1302" i="1"/>
  <c r="I1295" i="1"/>
  <c r="I17" i="6"/>
  <c r="J17" i="6"/>
  <c r="I48" i="6"/>
  <c r="C885" i="6"/>
  <c r="J9" i="6"/>
  <c r="B873" i="6"/>
  <c r="B895" i="6"/>
  <c r="B885" i="6"/>
  <c r="B901" i="6"/>
  <c r="J21" i="6"/>
  <c r="J20" i="6"/>
  <c r="B884" i="6"/>
  <c r="B900" i="6"/>
  <c r="B867" i="6"/>
  <c r="B894" i="6"/>
  <c r="J3" i="6"/>
  <c r="J38" i="5"/>
  <c r="C1636" i="5"/>
  <c r="C1659" i="5"/>
  <c r="J755" i="5"/>
  <c r="J47" i="5"/>
  <c r="B266" i="5"/>
  <c r="B265" i="5"/>
  <c r="C536" i="5"/>
  <c r="C535" i="5"/>
  <c r="C617" i="5"/>
  <c r="C616" i="5"/>
  <c r="J757" i="5"/>
  <c r="AC1648" i="5"/>
  <c r="AC1665" i="5"/>
  <c r="E752" i="5"/>
  <c r="E751" i="5"/>
  <c r="D374" i="5"/>
  <c r="D373" i="5"/>
  <c r="C563" i="5"/>
  <c r="C562" i="5"/>
  <c r="I131" i="5"/>
  <c r="I133" i="5"/>
  <c r="I132" i="5"/>
  <c r="J10" i="5"/>
  <c r="B1636" i="5"/>
  <c r="J122" i="5"/>
  <c r="F1636" i="5"/>
  <c r="F1659" i="5"/>
  <c r="C1647" i="5"/>
  <c r="C1664" i="5"/>
  <c r="B129" i="5"/>
  <c r="B128" i="5"/>
  <c r="F1648" i="5"/>
  <c r="F1665" i="5"/>
  <c r="G156" i="5"/>
  <c r="G157" i="5"/>
  <c r="G212" i="5"/>
  <c r="G211" i="5"/>
  <c r="C44" i="5"/>
  <c r="C45" i="5"/>
  <c r="E44" i="5"/>
  <c r="E45" i="5"/>
  <c r="G44" i="5"/>
  <c r="G45" i="5"/>
  <c r="C128" i="5"/>
  <c r="C129" i="5"/>
  <c r="E128" i="5"/>
  <c r="E129" i="5"/>
  <c r="E869" i="5"/>
  <c r="E870" i="5"/>
  <c r="I162" i="5"/>
  <c r="G1648" i="5"/>
  <c r="G1665" i="5"/>
  <c r="J1320" i="4"/>
  <c r="AX2103" i="4"/>
  <c r="AX2131" i="4"/>
  <c r="J740" i="4"/>
  <c r="J1020" i="3"/>
  <c r="AK2289" i="3"/>
  <c r="AK2304" i="3"/>
  <c r="J856" i="3"/>
  <c r="F851" i="3"/>
  <c r="F850" i="3"/>
  <c r="J852" i="3"/>
  <c r="J854" i="3"/>
  <c r="J844" i="3"/>
  <c r="AE2275" i="3"/>
  <c r="AE2297" i="3"/>
  <c r="J853" i="3"/>
  <c r="AV2194" i="2"/>
  <c r="I1328" i="2"/>
  <c r="AX2194" i="2"/>
  <c r="I1400" i="1"/>
  <c r="AY2385" i="1"/>
  <c r="AY2402" i="1"/>
  <c r="J1407" i="1"/>
  <c r="J1400" i="1"/>
  <c r="B1631" i="1"/>
  <c r="B1632" i="1"/>
  <c r="I1404" i="1"/>
  <c r="AY2389" i="1"/>
  <c r="AY2406" i="1"/>
  <c r="J1411" i="1"/>
  <c r="J1404" i="1"/>
  <c r="H1604" i="1"/>
  <c r="H1605" i="1"/>
  <c r="J181" i="1"/>
  <c r="H2372" i="1"/>
  <c r="J1582" i="1"/>
  <c r="BF2366" i="1"/>
  <c r="BF2399" i="1"/>
  <c r="AV2388" i="1"/>
  <c r="AV2405" i="1"/>
  <c r="J1330" i="1"/>
  <c r="D1598" i="1"/>
  <c r="D1597" i="1"/>
  <c r="D1596" i="1"/>
  <c r="D1599" i="1"/>
  <c r="D1600" i="1"/>
  <c r="J1301" i="1"/>
  <c r="I1294" i="1"/>
  <c r="AU2387" i="1"/>
  <c r="AU2404" i="1"/>
  <c r="J1300" i="1"/>
  <c r="I1293" i="1"/>
  <c r="I1562" i="1"/>
  <c r="J1569" i="1"/>
  <c r="J1562" i="1"/>
  <c r="AV2385" i="1"/>
  <c r="AV2402" i="1"/>
  <c r="J1326" i="1"/>
  <c r="I1566" i="1"/>
  <c r="J1572" i="1"/>
  <c r="J1565" i="1"/>
  <c r="BF2390" i="1"/>
  <c r="J1601" i="1"/>
  <c r="F1604" i="1"/>
  <c r="F1605" i="1"/>
  <c r="H1598" i="1"/>
  <c r="H1597" i="1"/>
  <c r="H1596" i="1"/>
  <c r="H1599" i="1"/>
  <c r="H1600" i="1"/>
  <c r="I1628" i="1"/>
  <c r="J1304" i="1"/>
  <c r="AU2390" i="1"/>
  <c r="P2390" i="1"/>
  <c r="J449" i="1"/>
  <c r="AL2372" i="1"/>
  <c r="AL2400" i="1"/>
  <c r="I563" i="1"/>
  <c r="I564" i="1"/>
  <c r="J1336" i="4"/>
  <c r="AX2119" i="4"/>
  <c r="AX2136" i="4"/>
  <c r="J50" i="4"/>
  <c r="I74" i="4"/>
  <c r="I67" i="4"/>
  <c r="D2110" i="4"/>
  <c r="J287" i="4"/>
  <c r="L2109" i="4"/>
  <c r="L2132" i="4"/>
  <c r="J455" i="4"/>
  <c r="R2109" i="4"/>
  <c r="R2132" i="4"/>
  <c r="J867" i="4"/>
  <c r="AG2109" i="4"/>
  <c r="AG2132" i="4"/>
  <c r="J48" i="4"/>
  <c r="Z2119" i="4"/>
  <c r="Z2136" i="4"/>
  <c r="J744" i="4"/>
  <c r="B748" i="4"/>
  <c r="B749" i="4"/>
  <c r="J1068" i="4"/>
  <c r="J427" i="4"/>
  <c r="Q2109" i="4"/>
  <c r="Q2132" i="4"/>
  <c r="J483" i="4"/>
  <c r="S2109" i="4"/>
  <c r="S2132" i="4"/>
  <c r="J921" i="4"/>
  <c r="AI2109" i="4"/>
  <c r="AI2132" i="4"/>
  <c r="J1266" i="4"/>
  <c r="AV2103" i="4"/>
  <c r="AV2131" i="4"/>
  <c r="O2120" i="4"/>
  <c r="O2137" i="4"/>
  <c r="J382" i="4"/>
  <c r="J325" i="4"/>
  <c r="M2119" i="4"/>
  <c r="M2136" i="4"/>
  <c r="J410" i="4"/>
  <c r="P2120" i="4"/>
  <c r="P2137" i="4"/>
  <c r="AP2119" i="4"/>
  <c r="AP2136" i="4"/>
  <c r="J1120" i="4"/>
  <c r="E128" i="4"/>
  <c r="E129" i="4"/>
  <c r="O2118" i="4"/>
  <c r="O2135" i="4"/>
  <c r="J380" i="4"/>
  <c r="X2117" i="4"/>
  <c r="X2134" i="4"/>
  <c r="J631" i="4"/>
  <c r="J689" i="4"/>
  <c r="J686" i="4"/>
  <c r="Z2117" i="4"/>
  <c r="Z2134" i="4"/>
  <c r="J848" i="4"/>
  <c r="AF2117" i="4"/>
  <c r="AF2134" i="4"/>
  <c r="AN2119" i="4"/>
  <c r="AN2136" i="4"/>
  <c r="J1066" i="4"/>
  <c r="BD2289" i="3"/>
  <c r="BD2304" i="3"/>
  <c r="J1533" i="3"/>
  <c r="J1411" i="3"/>
  <c r="AZ2275" i="3"/>
  <c r="AZ2297" i="3"/>
  <c r="J1425" i="3"/>
  <c r="AZ2289" i="3"/>
  <c r="AZ2304" i="3"/>
  <c r="AZ2284" i="3"/>
  <c r="AZ2300" i="3"/>
  <c r="AZ2285" i="3"/>
  <c r="AZ2301" i="3"/>
  <c r="I1422" i="3"/>
  <c r="AZ2286" i="3"/>
  <c r="AZ2302" i="3"/>
  <c r="J74" i="2"/>
  <c r="J701" i="1"/>
  <c r="I702" i="1"/>
  <c r="D2372" i="1"/>
  <c r="J68" i="1"/>
  <c r="J1034" i="1"/>
  <c r="I1035" i="1"/>
  <c r="J1602" i="1"/>
  <c r="BF2391" i="1"/>
  <c r="BF2407" i="1"/>
  <c r="I1603" i="1"/>
  <c r="AG2372" i="1"/>
  <c r="AG2400" i="1"/>
  <c r="J911" i="1"/>
  <c r="CI2369" i="1"/>
  <c r="CJ2369" i="1"/>
  <c r="J953" i="1"/>
  <c r="AH2391" i="1"/>
  <c r="AH2407" i="1"/>
  <c r="AH2385" i="1"/>
  <c r="AH2402" i="1"/>
  <c r="AH2386" i="1"/>
  <c r="AH2403" i="1"/>
  <c r="AH2387" i="1"/>
  <c r="AH2404" i="1"/>
  <c r="AH2388" i="1"/>
  <c r="AH2405" i="1"/>
  <c r="AH2389" i="1"/>
  <c r="AH2406" i="1"/>
  <c r="AH2408" i="1"/>
  <c r="J993" i="1"/>
  <c r="AJ2372" i="1"/>
  <c r="AJ2400" i="1"/>
  <c r="J1142" i="1"/>
  <c r="I1143" i="1"/>
  <c r="AO2391" i="1"/>
  <c r="AO2407" i="1"/>
  <c r="J1494" i="1"/>
  <c r="BB2391" i="1"/>
  <c r="BB2407" i="1"/>
  <c r="J855" i="1"/>
  <c r="AE2372" i="1"/>
  <c r="AE2400" i="1"/>
  <c r="J926" i="1"/>
  <c r="AG2392" i="1"/>
  <c r="I787" i="1"/>
  <c r="I788" i="1"/>
  <c r="J786" i="1"/>
  <c r="AB2392" i="1"/>
  <c r="J645" i="1"/>
  <c r="W2391" i="1"/>
  <c r="W2407" i="1"/>
  <c r="J966" i="1"/>
  <c r="AI2372" i="1"/>
  <c r="AI2400" i="1"/>
  <c r="J1088" i="1"/>
  <c r="AM2391" i="1"/>
  <c r="AM2407" i="1"/>
  <c r="I1089" i="1"/>
  <c r="J1155" i="1"/>
  <c r="AP2372" i="1"/>
  <c r="AP2400" i="1"/>
  <c r="J758" i="1"/>
  <c r="I759" i="1"/>
  <c r="AA2392" i="1"/>
  <c r="J1441" i="1"/>
  <c r="C2372" i="1"/>
  <c r="J39" i="1"/>
  <c r="K12" i="1"/>
  <c r="J310" i="1"/>
  <c r="I311" i="1"/>
  <c r="J771" i="1"/>
  <c r="AB2372" i="1"/>
  <c r="AB2400" i="1"/>
  <c r="J223" i="1"/>
  <c r="I224" i="1"/>
  <c r="J478" i="1"/>
  <c r="Q2391" i="1"/>
  <c r="Q2407" i="1"/>
  <c r="I479" i="1"/>
  <c r="C883" i="6"/>
  <c r="J46" i="6"/>
  <c r="C882" i="6"/>
  <c r="J45" i="6"/>
  <c r="C881" i="6"/>
  <c r="C897" i="6"/>
  <c r="I49" i="6"/>
  <c r="I39" i="6"/>
  <c r="C876" i="6"/>
  <c r="J44" i="6"/>
  <c r="I37" i="6"/>
  <c r="C874" i="6"/>
  <c r="J30" i="6"/>
  <c r="C867" i="6"/>
  <c r="C894" i="6"/>
  <c r="J48" i="6"/>
  <c r="C884" i="6"/>
  <c r="J47" i="6"/>
  <c r="I1647" i="5"/>
  <c r="I1664" i="5"/>
  <c r="J351" i="5"/>
  <c r="J348" i="5"/>
  <c r="J415" i="5"/>
  <c r="Q1630" i="5"/>
  <c r="Q1658" i="5"/>
  <c r="J469" i="5"/>
  <c r="S1630" i="5"/>
  <c r="S1658" i="5"/>
  <c r="J675" i="5"/>
  <c r="J567" i="5"/>
  <c r="G1647" i="5"/>
  <c r="G1664" i="5"/>
  <c r="H156" i="5"/>
  <c r="H157" i="5"/>
  <c r="E184" i="5"/>
  <c r="E185" i="5"/>
  <c r="H211" i="5"/>
  <c r="H212" i="5"/>
  <c r="D293" i="5"/>
  <c r="D292" i="5"/>
  <c r="H293" i="5"/>
  <c r="H292" i="5"/>
  <c r="J323" i="5"/>
  <c r="E320" i="5"/>
  <c r="E319" i="5"/>
  <c r="G356" i="5"/>
  <c r="G357" i="5"/>
  <c r="H374" i="5"/>
  <c r="H373" i="5"/>
  <c r="P1644" i="5"/>
  <c r="P1661" i="5"/>
  <c r="P1646" i="5"/>
  <c r="P1663" i="5"/>
  <c r="P1648" i="5"/>
  <c r="P1665" i="5"/>
  <c r="P1667" i="5"/>
  <c r="E401" i="5"/>
  <c r="E400" i="5"/>
  <c r="H428" i="5"/>
  <c r="H427" i="5"/>
  <c r="D464" i="5"/>
  <c r="D465" i="5"/>
  <c r="R1646" i="5"/>
  <c r="R1663" i="5"/>
  <c r="T1647" i="5"/>
  <c r="T1664" i="5"/>
  <c r="J510" i="5"/>
  <c r="J618" i="5"/>
  <c r="Y1648" i="5"/>
  <c r="Y1665" i="5"/>
  <c r="D211" i="5"/>
  <c r="D212" i="5"/>
  <c r="J241" i="5"/>
  <c r="J1645" i="5"/>
  <c r="J1662" i="5"/>
  <c r="J1644" i="5"/>
  <c r="J1661" i="5"/>
  <c r="J270" i="5"/>
  <c r="K1644" i="5"/>
  <c r="K1661" i="5"/>
  <c r="G293" i="5"/>
  <c r="G292" i="5"/>
  <c r="H329" i="5"/>
  <c r="H330" i="5"/>
  <c r="D347" i="5"/>
  <c r="D346" i="5"/>
  <c r="H347" i="5"/>
  <c r="H346" i="5"/>
  <c r="E374" i="5"/>
  <c r="E373" i="5"/>
  <c r="H410" i="5"/>
  <c r="H411" i="5"/>
  <c r="S1647" i="5"/>
  <c r="S1664" i="5"/>
  <c r="J784" i="5"/>
  <c r="F779" i="5"/>
  <c r="F778" i="5"/>
  <c r="I213" i="5"/>
  <c r="I375" i="5"/>
  <c r="I378" i="5"/>
  <c r="I429" i="5"/>
  <c r="I432" i="5"/>
  <c r="J874" i="5"/>
  <c r="BI1658" i="5"/>
  <c r="J388" i="5"/>
  <c r="P1630" i="5"/>
  <c r="P1658" i="5"/>
  <c r="J442" i="5"/>
  <c r="R1630" i="5"/>
  <c r="R1658" i="5"/>
  <c r="X1647" i="5"/>
  <c r="X1664" i="5"/>
  <c r="J621" i="5"/>
  <c r="J294" i="5"/>
  <c r="J162" i="5"/>
  <c r="L1648" i="5"/>
  <c r="L1665" i="5"/>
  <c r="M1647" i="5"/>
  <c r="M1664" i="5"/>
  <c r="J325" i="5"/>
  <c r="R1647" i="5"/>
  <c r="R1664" i="5"/>
  <c r="T1648" i="5"/>
  <c r="T1665" i="5"/>
  <c r="J514" i="5"/>
  <c r="G509" i="5"/>
  <c r="G508" i="5"/>
  <c r="G536" i="5"/>
  <c r="G535" i="5"/>
  <c r="V1648" i="5"/>
  <c r="V1665" i="5"/>
  <c r="G563" i="5"/>
  <c r="G562" i="5"/>
  <c r="G590" i="5"/>
  <c r="G589" i="5"/>
  <c r="G617" i="5"/>
  <c r="G616" i="5"/>
  <c r="S1648" i="5"/>
  <c r="S1665" i="5"/>
  <c r="H185" i="5"/>
  <c r="H184" i="5"/>
  <c r="F266" i="5"/>
  <c r="F265" i="5"/>
  <c r="G482" i="5"/>
  <c r="G481" i="5"/>
  <c r="J676" i="5"/>
  <c r="E671" i="5"/>
  <c r="E670" i="5"/>
  <c r="J780" i="5"/>
  <c r="I217" i="5"/>
  <c r="I350" i="5"/>
  <c r="I379" i="5"/>
  <c r="I377" i="5"/>
  <c r="I433" i="5"/>
  <c r="I431" i="5"/>
  <c r="I15" i="4"/>
  <c r="I153" i="4"/>
  <c r="G2112" i="4"/>
  <c r="G2119" i="4"/>
  <c r="G2136" i="4"/>
  <c r="J160" i="4"/>
  <c r="J153" i="4"/>
  <c r="I13" i="4"/>
  <c r="J20" i="4"/>
  <c r="AJ2103" i="4"/>
  <c r="AJ2131" i="4"/>
  <c r="J942" i="4"/>
  <c r="J1029" i="4"/>
  <c r="AM2109" i="4"/>
  <c r="AM2132" i="4"/>
  <c r="I98" i="4"/>
  <c r="E2113" i="4"/>
  <c r="E2120" i="4"/>
  <c r="J105" i="4"/>
  <c r="J98" i="4"/>
  <c r="AO2119" i="4"/>
  <c r="AO2136" i="4"/>
  <c r="J1093" i="4"/>
  <c r="J861" i="4"/>
  <c r="AG2103" i="4"/>
  <c r="AG2131" i="4"/>
  <c r="AK2103" i="4"/>
  <c r="AK2131" i="4"/>
  <c r="J969" i="4"/>
  <c r="J1255" i="4"/>
  <c r="AU2119" i="4"/>
  <c r="AU2136" i="4"/>
  <c r="J716" i="4"/>
  <c r="AA2120" i="4"/>
  <c r="AA2137" i="4"/>
  <c r="J1149" i="4"/>
  <c r="J106" i="4"/>
  <c r="J99" i="4"/>
  <c r="J296" i="4"/>
  <c r="L2118" i="4"/>
  <c r="L2135" i="4"/>
  <c r="R2120" i="4"/>
  <c r="R2137" i="4"/>
  <c r="J466" i="4"/>
  <c r="J603" i="4"/>
  <c r="W2117" i="4"/>
  <c r="W2134" i="4"/>
  <c r="J659" i="4"/>
  <c r="Y2117" i="4"/>
  <c r="Y2134" i="4"/>
  <c r="J713" i="4"/>
  <c r="AA2117" i="4"/>
  <c r="AA2134" i="4"/>
  <c r="J794" i="4"/>
  <c r="AD2117" i="4"/>
  <c r="AD2134" i="4"/>
  <c r="E874" i="4"/>
  <c r="E873" i="4"/>
  <c r="J931" i="4"/>
  <c r="AI2119" i="4"/>
  <c r="AI2136" i="4"/>
  <c r="J932" i="4"/>
  <c r="AI2120" i="4"/>
  <c r="AI2137" i="4"/>
  <c r="J985" i="4"/>
  <c r="AK2119" i="4"/>
  <c r="AK2136" i="4"/>
  <c r="J983" i="4"/>
  <c r="AK2117" i="4"/>
  <c r="AK2134" i="4"/>
  <c r="E981" i="4"/>
  <c r="E982" i="4"/>
  <c r="H100" i="4"/>
  <c r="H101" i="4"/>
  <c r="I137" i="4"/>
  <c r="I138" i="4"/>
  <c r="J135" i="4"/>
  <c r="J137" i="4"/>
  <c r="J138" i="4"/>
  <c r="F2122" i="4"/>
  <c r="F2124" i="4"/>
  <c r="F2125" i="4"/>
  <c r="I127" i="4"/>
  <c r="F2114" i="4"/>
  <c r="J191" i="4"/>
  <c r="J193" i="4"/>
  <c r="J194" i="4"/>
  <c r="I193" i="4"/>
  <c r="I194" i="4"/>
  <c r="H2122" i="4"/>
  <c r="H2124" i="4"/>
  <c r="H2125" i="4"/>
  <c r="H2126" i="4"/>
  <c r="I2121" i="4"/>
  <c r="I2138" i="4"/>
  <c r="J217" i="4"/>
  <c r="J272" i="4"/>
  <c r="H471" i="4"/>
  <c r="H472" i="4"/>
  <c r="U2121" i="4"/>
  <c r="U2138" i="4"/>
  <c r="J549" i="4"/>
  <c r="U2119" i="4"/>
  <c r="U2136" i="4"/>
  <c r="AH2120" i="4"/>
  <c r="AH2137" i="4"/>
  <c r="J905" i="4"/>
  <c r="J960" i="4"/>
  <c r="AJ2121" i="4"/>
  <c r="AJ2138" i="4"/>
  <c r="AL2120" i="4"/>
  <c r="AL2137" i="4"/>
  <c r="J1013" i="4"/>
  <c r="I1015" i="4"/>
  <c r="I1006" i="4"/>
  <c r="AL2113" i="4"/>
  <c r="AL2117" i="4"/>
  <c r="AL2134" i="4"/>
  <c r="E1261" i="4"/>
  <c r="E1262" i="4"/>
  <c r="J1256" i="4"/>
  <c r="AU2120" i="4"/>
  <c r="AU2137" i="4"/>
  <c r="AW2121" i="4"/>
  <c r="AW2138" i="4"/>
  <c r="I522" i="4"/>
  <c r="I523" i="4"/>
  <c r="I1284" i="4"/>
  <c r="J122" i="4"/>
  <c r="F2109" i="4"/>
  <c r="F2132" i="4"/>
  <c r="L88" i="4"/>
  <c r="J915" i="4"/>
  <c r="AI2103" i="4"/>
  <c r="AI2131" i="4"/>
  <c r="AM2103" i="4"/>
  <c r="AM2131" i="4"/>
  <c r="J1023" i="4"/>
  <c r="AW2103" i="4"/>
  <c r="AW2131" i="4"/>
  <c r="J1293" i="4"/>
  <c r="J244" i="4"/>
  <c r="J2120" i="4"/>
  <c r="J2137" i="4"/>
  <c r="J245" i="4"/>
  <c r="J888" i="4"/>
  <c r="AH2103" i="4"/>
  <c r="AH2131" i="4"/>
  <c r="J996" i="4"/>
  <c r="AL2103" i="4"/>
  <c r="AL2131" i="4"/>
  <c r="J1147" i="4"/>
  <c r="AQ2119" i="4"/>
  <c r="AQ2136" i="4"/>
  <c r="AU2121" i="4"/>
  <c r="AU2138" i="4"/>
  <c r="C18" i="4"/>
  <c r="C17" i="4"/>
  <c r="I26" i="4"/>
  <c r="J24" i="4"/>
  <c r="D100" i="4"/>
  <c r="D101" i="4"/>
  <c r="D157" i="4"/>
  <c r="D156" i="4"/>
  <c r="H157" i="4"/>
  <c r="H156" i="4"/>
  <c r="J297" i="4"/>
  <c r="Q2119" i="4"/>
  <c r="Q2136" i="4"/>
  <c r="J463" i="4"/>
  <c r="S2119" i="4"/>
  <c r="S2136" i="4"/>
  <c r="J607" i="4"/>
  <c r="W2119" i="4"/>
  <c r="W2136" i="4"/>
  <c r="J717" i="4"/>
  <c r="E721" i="4"/>
  <c r="E722" i="4"/>
  <c r="J715" i="4"/>
  <c r="AA2119" i="4"/>
  <c r="AA2136" i="4"/>
  <c r="E775" i="4"/>
  <c r="E776" i="4"/>
  <c r="J798" i="4"/>
  <c r="B802" i="4"/>
  <c r="B803" i="4"/>
  <c r="J796" i="4"/>
  <c r="E928" i="4"/>
  <c r="E927" i="4"/>
  <c r="J929" i="4"/>
  <c r="AK2120" i="4"/>
  <c r="AK2137" i="4"/>
  <c r="AK2121" i="4"/>
  <c r="AK2138" i="4"/>
  <c r="J824" i="4"/>
  <c r="I97" i="4"/>
  <c r="E2112" i="4"/>
  <c r="J104" i="4"/>
  <c r="J97" i="4"/>
  <c r="E2119" i="4"/>
  <c r="J132" i="4"/>
  <c r="I125" i="4"/>
  <c r="F2112" i="4"/>
  <c r="F2119" i="4"/>
  <c r="F2136" i="4"/>
  <c r="I183" i="4"/>
  <c r="H2114" i="4"/>
  <c r="H2121" i="4"/>
  <c r="H2138" i="4"/>
  <c r="J190" i="4"/>
  <c r="I182" i="4"/>
  <c r="H2113" i="4"/>
  <c r="J189" i="4"/>
  <c r="H2120" i="4"/>
  <c r="H2137" i="4"/>
  <c r="J188" i="4"/>
  <c r="I181" i="4"/>
  <c r="H2112" i="4"/>
  <c r="H2119" i="4"/>
  <c r="H2136" i="4"/>
  <c r="J187" i="4"/>
  <c r="I180" i="4"/>
  <c r="H2111" i="4"/>
  <c r="H2118" i="4"/>
  <c r="H2135" i="4"/>
  <c r="I2119" i="4"/>
  <c r="I2136" i="4"/>
  <c r="J216" i="4"/>
  <c r="J215" i="4"/>
  <c r="I2118" i="4"/>
  <c r="I2135" i="4"/>
  <c r="K2119" i="4"/>
  <c r="K2136" i="4"/>
  <c r="J270" i="4"/>
  <c r="J269" i="4"/>
  <c r="K2118" i="4"/>
  <c r="K2135" i="4"/>
  <c r="J550" i="4"/>
  <c r="U2120" i="4"/>
  <c r="U2137" i="4"/>
  <c r="J547" i="4"/>
  <c r="U2117" i="4"/>
  <c r="U2134" i="4"/>
  <c r="J821" i="4"/>
  <c r="AE2117" i="4"/>
  <c r="AE2134" i="4"/>
  <c r="J906" i="4"/>
  <c r="AH2121" i="4"/>
  <c r="AH2138" i="4"/>
  <c r="AJ2120" i="4"/>
  <c r="AJ2137" i="4"/>
  <c r="J959" i="4"/>
  <c r="AJ2117" i="4"/>
  <c r="AJ2134" i="4"/>
  <c r="J956" i="4"/>
  <c r="AL2118" i="4"/>
  <c r="AL2135" i="4"/>
  <c r="J1011" i="4"/>
  <c r="J1012" i="4"/>
  <c r="AL2119" i="4"/>
  <c r="AL2136" i="4"/>
  <c r="AU2118" i="4"/>
  <c r="AU2135" i="4"/>
  <c r="J1254" i="4"/>
  <c r="J1309" i="4"/>
  <c r="AW2119" i="4"/>
  <c r="AW2136" i="4"/>
  <c r="I103" i="4"/>
  <c r="I1283" i="4"/>
  <c r="X2275" i="3"/>
  <c r="X2297" i="3"/>
  <c r="J649" i="3"/>
  <c r="J427" i="3"/>
  <c r="Q2275" i="3"/>
  <c r="Q2297" i="3"/>
  <c r="J705" i="3"/>
  <c r="Z2275" i="3"/>
  <c r="Z2297" i="3"/>
  <c r="H656" i="3"/>
  <c r="H655" i="3"/>
  <c r="B212" i="3"/>
  <c r="B213" i="3"/>
  <c r="J66" i="3"/>
  <c r="D2275" i="3"/>
  <c r="J263" i="3"/>
  <c r="K2275" i="3"/>
  <c r="K2297" i="3"/>
  <c r="L228" i="3"/>
  <c r="J952" i="3"/>
  <c r="AI2275" i="3"/>
  <c r="AI2297" i="3"/>
  <c r="N2285" i="3"/>
  <c r="N2301" i="3"/>
  <c r="J356" i="3"/>
  <c r="J1041" i="3"/>
  <c r="AL2283" i="3"/>
  <c r="AL2299" i="3"/>
  <c r="J162" i="3"/>
  <c r="J789" i="3"/>
  <c r="AC2275" i="3"/>
  <c r="AC2297" i="3"/>
  <c r="E2284" i="3"/>
  <c r="I96" i="3"/>
  <c r="E2277" i="3"/>
  <c r="J103" i="3"/>
  <c r="AD2283" i="3"/>
  <c r="AD2299" i="3"/>
  <c r="J824" i="3"/>
  <c r="AM2287" i="3"/>
  <c r="AM2303" i="3"/>
  <c r="J1072" i="3"/>
  <c r="J24" i="3"/>
  <c r="J26" i="3"/>
  <c r="I22" i="3"/>
  <c r="B2286" i="3"/>
  <c r="B2288" i="3"/>
  <c r="I23" i="3"/>
  <c r="B2287" i="3"/>
  <c r="I47" i="3"/>
  <c r="I51" i="3"/>
  <c r="I50" i="3"/>
  <c r="C2287" i="3"/>
  <c r="D2287" i="3"/>
  <c r="E2287" i="3"/>
  <c r="H2287" i="3"/>
  <c r="B218" i="3"/>
  <c r="I218" i="3"/>
  <c r="B246" i="3"/>
  <c r="I246" i="3"/>
  <c r="J2287" i="3"/>
  <c r="K2287" i="3"/>
  <c r="K2303" i="3"/>
  <c r="M2287" i="3"/>
  <c r="N2287" i="3"/>
  <c r="T2287" i="3"/>
  <c r="U2287" i="3"/>
  <c r="U2303" i="3"/>
  <c r="W2287" i="3"/>
  <c r="Z2287" i="3"/>
  <c r="Z2303" i="3"/>
  <c r="AD2287" i="3"/>
  <c r="AL2287" i="3"/>
  <c r="D1099" i="3"/>
  <c r="I1099" i="3"/>
  <c r="AN2287" i="3"/>
  <c r="AO2287" i="3"/>
  <c r="AR2287" i="3"/>
  <c r="AX2287" i="3"/>
  <c r="AY2287" i="3"/>
  <c r="BB2287" i="3"/>
  <c r="I26" i="3"/>
  <c r="J19" i="3"/>
  <c r="B2283" i="3"/>
  <c r="I12" i="3"/>
  <c r="B2276" i="3"/>
  <c r="E18" i="3"/>
  <c r="E17" i="3"/>
  <c r="G17" i="3"/>
  <c r="G18" i="3"/>
  <c r="I99" i="3"/>
  <c r="E2280" i="3"/>
  <c r="J106" i="3"/>
  <c r="G194" i="3"/>
  <c r="G195" i="3"/>
  <c r="J186" i="3"/>
  <c r="H2283" i="3"/>
  <c r="I191" i="3"/>
  <c r="I179" i="3"/>
  <c r="H2276" i="3"/>
  <c r="H2285" i="3"/>
  <c r="J188" i="3"/>
  <c r="J517" i="3"/>
  <c r="T2284" i="3"/>
  <c r="T2300" i="3"/>
  <c r="U2284" i="3"/>
  <c r="U2300" i="3"/>
  <c r="J545" i="3"/>
  <c r="B542" i="3"/>
  <c r="B543" i="3"/>
  <c r="F1201" i="3"/>
  <c r="F1202" i="3"/>
  <c r="AR2303" i="3"/>
  <c r="J1207" i="3"/>
  <c r="D18" i="3"/>
  <c r="D17" i="3"/>
  <c r="F18" i="3"/>
  <c r="F17" i="3"/>
  <c r="H18" i="3"/>
  <c r="H17" i="3"/>
  <c r="J74" i="3"/>
  <c r="I67" i="3"/>
  <c r="D2276" i="3"/>
  <c r="D2283" i="3"/>
  <c r="I81" i="3"/>
  <c r="D2288" i="3"/>
  <c r="J79" i="3"/>
  <c r="J135" i="3"/>
  <c r="I137" i="3"/>
  <c r="J132" i="3"/>
  <c r="J125" i="3"/>
  <c r="I125" i="3"/>
  <c r="E138" i="3"/>
  <c r="E139" i="3"/>
  <c r="J160" i="3"/>
  <c r="F269" i="3"/>
  <c r="F270" i="3"/>
  <c r="W2284" i="3"/>
  <c r="W2300" i="3"/>
  <c r="J630" i="3"/>
  <c r="B712" i="3"/>
  <c r="B711" i="3"/>
  <c r="J713" i="3"/>
  <c r="J960" i="3"/>
  <c r="J962" i="3"/>
  <c r="I516" i="3"/>
  <c r="I544" i="3"/>
  <c r="I715" i="3"/>
  <c r="D2269" i="3"/>
  <c r="J60" i="3"/>
  <c r="I163" i="3"/>
  <c r="I165" i="3"/>
  <c r="J164" i="3"/>
  <c r="H721" i="3"/>
  <c r="H722" i="3"/>
  <c r="J275" i="3"/>
  <c r="AD2303" i="3"/>
  <c r="J828" i="3"/>
  <c r="AM2283" i="3"/>
  <c r="AM2299" i="3"/>
  <c r="J1068" i="3"/>
  <c r="AO2285" i="3"/>
  <c r="AO2301" i="3"/>
  <c r="J1124" i="3"/>
  <c r="B217" i="3"/>
  <c r="I217" i="3"/>
  <c r="B216" i="3"/>
  <c r="I216" i="3"/>
  <c r="B214" i="3"/>
  <c r="I214" i="3"/>
  <c r="B215" i="3"/>
  <c r="I215" i="3"/>
  <c r="J898" i="3"/>
  <c r="AG2275" i="3"/>
  <c r="AG2297" i="3"/>
  <c r="J1045" i="3"/>
  <c r="AL2303" i="3"/>
  <c r="J158" i="3"/>
  <c r="D2284" i="3"/>
  <c r="I68" i="3"/>
  <c r="D2277" i="3"/>
  <c r="J75" i="3"/>
  <c r="J21" i="3"/>
  <c r="J14" i="3"/>
  <c r="B2285" i="3"/>
  <c r="I14" i="3"/>
  <c r="B2278" i="3"/>
  <c r="J20" i="3"/>
  <c r="B2284" i="3"/>
  <c r="I13" i="3"/>
  <c r="B2277" i="3"/>
  <c r="J107" i="3"/>
  <c r="I109" i="3"/>
  <c r="E2288" i="3"/>
  <c r="J187" i="3"/>
  <c r="H2284" i="3"/>
  <c r="I183" i="3"/>
  <c r="H2280" i="3"/>
  <c r="J190" i="3"/>
  <c r="J189" i="3"/>
  <c r="H2286" i="3"/>
  <c r="T2285" i="3"/>
  <c r="T2301" i="3"/>
  <c r="J520" i="3"/>
  <c r="T2303" i="3"/>
  <c r="J519" i="3"/>
  <c r="T2286" i="3"/>
  <c r="T2302" i="3"/>
  <c r="J546" i="3"/>
  <c r="U2285" i="3"/>
  <c r="U2301" i="3"/>
  <c r="J547" i="3"/>
  <c r="U2286" i="3"/>
  <c r="U2302" i="3"/>
  <c r="I69" i="3"/>
  <c r="D2278" i="3"/>
  <c r="D2285" i="3"/>
  <c r="J76" i="3"/>
  <c r="J69" i="3"/>
  <c r="E73" i="3"/>
  <c r="E72" i="3"/>
  <c r="I71" i="3"/>
  <c r="D2280" i="3"/>
  <c r="J78" i="3"/>
  <c r="J131" i="3"/>
  <c r="I124" i="3"/>
  <c r="J159" i="3"/>
  <c r="J161" i="3"/>
  <c r="H166" i="3"/>
  <c r="H167" i="3"/>
  <c r="J273" i="3"/>
  <c r="K2285" i="3"/>
  <c r="K2301" i="3"/>
  <c r="J272" i="3"/>
  <c r="K2284" i="3"/>
  <c r="K2300" i="3"/>
  <c r="F637" i="3"/>
  <c r="F638" i="3"/>
  <c r="W2285" i="3"/>
  <c r="W2301" i="3"/>
  <c r="J631" i="3"/>
  <c r="J633" i="3"/>
  <c r="W2303" i="3"/>
  <c r="J717" i="3"/>
  <c r="J716" i="3"/>
  <c r="Z2286" i="3"/>
  <c r="Z2302" i="3"/>
  <c r="Z2284" i="3"/>
  <c r="Z2300" i="3"/>
  <c r="J714" i="3"/>
  <c r="D711" i="3"/>
  <c r="D712" i="3"/>
  <c r="J964" i="3"/>
  <c r="J961" i="3"/>
  <c r="I827" i="3"/>
  <c r="AD2286" i="3"/>
  <c r="AD2302" i="3"/>
  <c r="L11" i="3"/>
  <c r="J1006" i="3"/>
  <c r="AK2275" i="3"/>
  <c r="AK2297" i="3"/>
  <c r="J1182" i="3"/>
  <c r="AQ2289" i="3"/>
  <c r="AQ2304" i="3"/>
  <c r="AQ2283" i="3"/>
  <c r="AQ2299" i="3"/>
  <c r="AQ2284" i="3"/>
  <c r="AQ2300" i="3"/>
  <c r="AQ2285" i="3"/>
  <c r="AQ2301" i="3"/>
  <c r="J1222" i="3"/>
  <c r="AS2275" i="3"/>
  <c r="AS2297" i="3"/>
  <c r="J1290" i="3"/>
  <c r="AU2289" i="3"/>
  <c r="AU2304" i="3"/>
  <c r="J1330" i="3"/>
  <c r="AW2275" i="3"/>
  <c r="AW2297" i="3"/>
  <c r="J1384" i="3"/>
  <c r="AY2275" i="3"/>
  <c r="AY2297" i="3"/>
  <c r="J1155" i="3"/>
  <c r="AP2289" i="3"/>
  <c r="AP2304" i="3"/>
  <c r="J1195" i="3"/>
  <c r="AR2275" i="3"/>
  <c r="AR2297" i="3"/>
  <c r="J1263" i="3"/>
  <c r="AT2289" i="3"/>
  <c r="AT2304" i="3"/>
  <c r="J1303" i="3"/>
  <c r="AV2275" i="3"/>
  <c r="AV2297" i="3"/>
  <c r="J1371" i="3"/>
  <c r="AX2289" i="3"/>
  <c r="AX2304" i="3"/>
  <c r="AA2190" i="2"/>
  <c r="AA2207" i="2"/>
  <c r="J735" i="2"/>
  <c r="AA2187" i="2"/>
  <c r="AA2204" i="2"/>
  <c r="J732" i="2"/>
  <c r="AA2189" i="2"/>
  <c r="AA2206" i="2"/>
  <c r="J734" i="2"/>
  <c r="J736" i="2"/>
  <c r="AA2191" i="2"/>
  <c r="AA2208" i="2"/>
  <c r="J1212" i="2"/>
  <c r="J1210" i="2"/>
  <c r="AR2190" i="2"/>
  <c r="AR2207" i="2"/>
  <c r="J1211" i="2"/>
  <c r="J1208" i="2"/>
  <c r="AR2187" i="2"/>
  <c r="AR2204" i="2"/>
  <c r="AR2188" i="2"/>
  <c r="AR2205" i="2"/>
  <c r="J1209" i="2"/>
  <c r="J892" i="2"/>
  <c r="AG2179" i="2"/>
  <c r="AG2202" i="2"/>
  <c r="J948" i="2"/>
  <c r="AI2179" i="2"/>
  <c r="AI2202" i="2"/>
  <c r="J836" i="2"/>
  <c r="AE2179" i="2"/>
  <c r="AE2202" i="2"/>
  <c r="J920" i="2"/>
  <c r="AH2179" i="2"/>
  <c r="AH2202" i="2"/>
  <c r="G2189" i="2"/>
  <c r="G2206" i="2"/>
  <c r="J161" i="2"/>
  <c r="G2187" i="2"/>
  <c r="G2204" i="2"/>
  <c r="J159" i="2"/>
  <c r="G2188" i="2"/>
  <c r="G2205" i="2"/>
  <c r="J160" i="2"/>
  <c r="I69" i="2"/>
  <c r="D2182" i="2"/>
  <c r="D2189" i="2"/>
  <c r="J76" i="2"/>
  <c r="J2189" i="2"/>
  <c r="J2206" i="2"/>
  <c r="J246" i="2"/>
  <c r="J2187" i="2"/>
  <c r="J2204" i="2"/>
  <c r="J244" i="2"/>
  <c r="O2188" i="2"/>
  <c r="O2205" i="2"/>
  <c r="J389" i="2"/>
  <c r="I39" i="2"/>
  <c r="C2180" i="2"/>
  <c r="C2187" i="2"/>
  <c r="J46" i="2"/>
  <c r="J79" i="2"/>
  <c r="J81" i="2"/>
  <c r="J82" i="2"/>
  <c r="D2192" i="2"/>
  <c r="I81" i="2"/>
  <c r="J78" i="2"/>
  <c r="I71" i="2"/>
  <c r="D2184" i="2"/>
  <c r="D2191" i="2"/>
  <c r="D936" i="2"/>
  <c r="D937" i="2"/>
  <c r="J930" i="2"/>
  <c r="AH2189" i="2"/>
  <c r="AH2206" i="2"/>
  <c r="H936" i="2"/>
  <c r="H937" i="2"/>
  <c r="J390" i="2"/>
  <c r="O2189" i="2"/>
  <c r="O2206" i="2"/>
  <c r="J245" i="2"/>
  <c r="J2188" i="2"/>
  <c r="J2205" i="2"/>
  <c r="O2191" i="2"/>
  <c r="O2208" i="2"/>
  <c r="J392" i="2"/>
  <c r="J50" i="2"/>
  <c r="I43" i="2"/>
  <c r="C2184" i="2"/>
  <c r="C2191" i="2"/>
  <c r="I40" i="2"/>
  <c r="C2181" i="2"/>
  <c r="C2188" i="2"/>
  <c r="J47" i="2"/>
  <c r="I53" i="2"/>
  <c r="C2192" i="2"/>
  <c r="J51" i="2"/>
  <c r="J53" i="2"/>
  <c r="J54" i="2"/>
  <c r="I41" i="2"/>
  <c r="C2182" i="2"/>
  <c r="C2189" i="2"/>
  <c r="J48" i="2"/>
  <c r="I68" i="2"/>
  <c r="D2181" i="2"/>
  <c r="J75" i="2"/>
  <c r="D2188" i="2"/>
  <c r="J446" i="2"/>
  <c r="J506" i="2"/>
  <c r="S2189" i="2"/>
  <c r="S2206" i="2"/>
  <c r="V2190" i="2"/>
  <c r="V2207" i="2"/>
  <c r="J592" i="2"/>
  <c r="AM2189" i="2"/>
  <c r="AM2206" i="2"/>
  <c r="Q2191" i="2"/>
  <c r="Q2208" i="2"/>
  <c r="J450" i="2"/>
  <c r="AN2173" i="2"/>
  <c r="AN2201" i="2"/>
  <c r="J1082" i="2"/>
  <c r="J1068" i="2"/>
  <c r="AM2187" i="2"/>
  <c r="AM2204" i="2"/>
  <c r="AM2191" i="2"/>
  <c r="AM2208" i="2"/>
  <c r="J707" i="2"/>
  <c r="Z2190" i="2"/>
  <c r="Z2207" i="2"/>
  <c r="G252" i="2"/>
  <c r="G253" i="2"/>
  <c r="E311" i="2"/>
  <c r="E312" i="2"/>
  <c r="J334" i="2"/>
  <c r="M2189" i="2"/>
  <c r="M2206" i="2"/>
  <c r="F415" i="2"/>
  <c r="F416" i="2"/>
  <c r="U2190" i="2"/>
  <c r="U2207" i="2"/>
  <c r="J564" i="2"/>
  <c r="U2187" i="2"/>
  <c r="U2204" i="2"/>
  <c r="J561" i="2"/>
  <c r="AK2190" i="2"/>
  <c r="AK2207" i="2"/>
  <c r="J1015" i="2"/>
  <c r="AK2187" i="2"/>
  <c r="AK2204" i="2"/>
  <c r="J1012" i="2"/>
  <c r="F224" i="2"/>
  <c r="F225" i="2"/>
  <c r="J305" i="2"/>
  <c r="L2189" i="2"/>
  <c r="L2206" i="2"/>
  <c r="M2188" i="2"/>
  <c r="M2205" i="2"/>
  <c r="J333" i="2"/>
  <c r="F368" i="2"/>
  <c r="F369" i="2"/>
  <c r="J418" i="2"/>
  <c r="P2188" i="2"/>
  <c r="P2205" i="2"/>
  <c r="Q2190" i="2"/>
  <c r="Q2207" i="2"/>
  <c r="J589" i="2"/>
  <c r="V2187" i="2"/>
  <c r="V2204" i="2"/>
  <c r="J620" i="2"/>
  <c r="J617" i="2"/>
  <c r="J649" i="2"/>
  <c r="X2190" i="2"/>
  <c r="X2207" i="2"/>
  <c r="J646" i="2"/>
  <c r="X2187" i="2"/>
  <c r="X2204" i="2"/>
  <c r="Y2190" i="2"/>
  <c r="Y2207" i="2"/>
  <c r="J678" i="2"/>
  <c r="Y2187" i="2"/>
  <c r="Y2204" i="2"/>
  <c r="J675" i="2"/>
  <c r="J704" i="2"/>
  <c r="Z2187" i="2"/>
  <c r="Z2204" i="2"/>
  <c r="J763" i="2"/>
  <c r="AB2190" i="2"/>
  <c r="AB2207" i="2"/>
  <c r="J760" i="2"/>
  <c r="AB2187" i="2"/>
  <c r="AB2204" i="2"/>
  <c r="AC2190" i="2"/>
  <c r="AC2207" i="2"/>
  <c r="J791" i="2"/>
  <c r="AC2187" i="2"/>
  <c r="AC2204" i="2"/>
  <c r="J788" i="2"/>
  <c r="J875" i="2"/>
  <c r="AF2190" i="2"/>
  <c r="AF2207" i="2"/>
  <c r="J872" i="2"/>
  <c r="AF2187" i="2"/>
  <c r="AF2204" i="2"/>
  <c r="J903" i="2"/>
  <c r="AG2190" i="2"/>
  <c r="AG2207" i="2"/>
  <c r="AG2187" i="2"/>
  <c r="AG2204" i="2"/>
  <c r="J900" i="2"/>
  <c r="AI2190" i="2"/>
  <c r="AI2207" i="2"/>
  <c r="J959" i="2"/>
  <c r="AI2187" i="2"/>
  <c r="AI2204" i="2"/>
  <c r="J956" i="2"/>
  <c r="I421" i="2"/>
  <c r="J94" i="2"/>
  <c r="E2179" i="2"/>
  <c r="L91" i="2"/>
  <c r="J304" i="2"/>
  <c r="L2188" i="2"/>
  <c r="L2205" i="2"/>
  <c r="L2187" i="2"/>
  <c r="L2204" i="2"/>
  <c r="G340" i="2"/>
  <c r="G341" i="2"/>
  <c r="J362" i="2"/>
  <c r="N2189" i="2"/>
  <c r="N2206" i="2"/>
  <c r="P2189" i="2"/>
  <c r="P2206" i="2"/>
  <c r="J419" i="2"/>
  <c r="J563" i="2"/>
  <c r="U2189" i="2"/>
  <c r="U2206" i="2"/>
  <c r="U2191" i="2"/>
  <c r="U2208" i="2"/>
  <c r="J565" i="2"/>
  <c r="J818" i="2"/>
  <c r="AD2189" i="2"/>
  <c r="AD2206" i="2"/>
  <c r="AE2189" i="2"/>
  <c r="AE2206" i="2"/>
  <c r="D871" i="2"/>
  <c r="D870" i="2"/>
  <c r="H871" i="2"/>
  <c r="H870" i="2"/>
  <c r="E899" i="2"/>
  <c r="E898" i="2"/>
  <c r="E927" i="2"/>
  <c r="E926" i="2"/>
  <c r="E955" i="2"/>
  <c r="E954" i="2"/>
  <c r="E983" i="2"/>
  <c r="E982" i="2"/>
  <c r="J1014" i="2"/>
  <c r="J1016" i="2"/>
  <c r="J1071" i="2"/>
  <c r="D1066" i="2"/>
  <c r="D1067" i="2"/>
  <c r="H1066" i="2"/>
  <c r="H1067" i="2"/>
  <c r="Q2189" i="2"/>
  <c r="Q2206" i="2"/>
  <c r="J448" i="2"/>
  <c r="F311" i="2"/>
  <c r="F312" i="2"/>
  <c r="F340" i="2"/>
  <c r="F341" i="2"/>
  <c r="J361" i="2"/>
  <c r="N2188" i="2"/>
  <c r="N2205" i="2"/>
  <c r="E425" i="2"/>
  <c r="E426" i="2"/>
  <c r="G597" i="2"/>
  <c r="G598" i="2"/>
  <c r="J591" i="2"/>
  <c r="V2189" i="2"/>
  <c r="V2206" i="2"/>
  <c r="J593" i="2"/>
  <c r="V2191" i="2"/>
  <c r="V2208" i="2"/>
  <c r="W2189" i="2"/>
  <c r="W2206" i="2"/>
  <c r="J619" i="2"/>
  <c r="W2191" i="2"/>
  <c r="W2208" i="2"/>
  <c r="J621" i="2"/>
  <c r="J648" i="2"/>
  <c r="X2189" i="2"/>
  <c r="X2206" i="2"/>
  <c r="J650" i="2"/>
  <c r="X2191" i="2"/>
  <c r="X2208" i="2"/>
  <c r="J677" i="2"/>
  <c r="Y2189" i="2"/>
  <c r="Y2206" i="2"/>
  <c r="Y2191" i="2"/>
  <c r="Y2208" i="2"/>
  <c r="J679" i="2"/>
  <c r="J706" i="2"/>
  <c r="Z2189" i="2"/>
  <c r="Z2206" i="2"/>
  <c r="J708" i="2"/>
  <c r="Z2191" i="2"/>
  <c r="Z2208" i="2"/>
  <c r="J762" i="2"/>
  <c r="AB2189" i="2"/>
  <c r="AB2206" i="2"/>
  <c r="J764" i="2"/>
  <c r="AB2191" i="2"/>
  <c r="AB2208" i="2"/>
  <c r="J790" i="2"/>
  <c r="AC2189" i="2"/>
  <c r="AC2206" i="2"/>
  <c r="AC2191" i="2"/>
  <c r="AC2208" i="2"/>
  <c r="J792" i="2"/>
  <c r="D815" i="2"/>
  <c r="D814" i="2"/>
  <c r="H815" i="2"/>
  <c r="H814" i="2"/>
  <c r="E843" i="2"/>
  <c r="E842" i="2"/>
  <c r="AF2189" i="2"/>
  <c r="AF2206" i="2"/>
  <c r="J874" i="2"/>
  <c r="J876" i="2"/>
  <c r="AF2191" i="2"/>
  <c r="AF2208" i="2"/>
  <c r="J902" i="2"/>
  <c r="AG2189" i="2"/>
  <c r="AG2206" i="2"/>
  <c r="AG2191" i="2"/>
  <c r="AG2208" i="2"/>
  <c r="J904" i="2"/>
  <c r="J958" i="2"/>
  <c r="AI2189" i="2"/>
  <c r="AI2206" i="2"/>
  <c r="AI2191" i="2"/>
  <c r="AI2208" i="2"/>
  <c r="J960" i="2"/>
  <c r="AJ2189" i="2"/>
  <c r="AJ2206" i="2"/>
  <c r="J986" i="2"/>
  <c r="E1011" i="2"/>
  <c r="E1010" i="2"/>
  <c r="I618" i="2"/>
  <c r="J618" i="2"/>
  <c r="I845" i="2"/>
  <c r="AE2188" i="2"/>
  <c r="AE2205" i="2"/>
  <c r="I957" i="2"/>
  <c r="I961" i="2"/>
  <c r="I1013" i="2"/>
  <c r="J1013" i="2"/>
  <c r="I335" i="2"/>
  <c r="J422" i="1"/>
  <c r="O2391" i="1"/>
  <c r="O2407" i="1"/>
  <c r="J450" i="1"/>
  <c r="P2391" i="1"/>
  <c r="P2407" i="1"/>
  <c r="I451" i="1"/>
  <c r="J590" i="1"/>
  <c r="U2391" i="1"/>
  <c r="U2407" i="1"/>
  <c r="U2385" i="1"/>
  <c r="U2402" i="1"/>
  <c r="U2386" i="1"/>
  <c r="U2403" i="1"/>
  <c r="U2387" i="1"/>
  <c r="U2404" i="1"/>
  <c r="U2388" i="1"/>
  <c r="U2405" i="1"/>
  <c r="U2408" i="1"/>
  <c r="I591" i="1"/>
  <c r="V2391" i="1"/>
  <c r="V2407" i="1"/>
  <c r="V2388" i="1"/>
  <c r="V2405" i="1"/>
  <c r="V2408" i="1"/>
  <c r="I619" i="1"/>
  <c r="J618" i="1"/>
  <c r="J729" i="1"/>
  <c r="Z2391" i="1"/>
  <c r="Z2407" i="1"/>
  <c r="I730" i="1"/>
  <c r="I981" i="1"/>
  <c r="J980" i="1"/>
  <c r="AI2391" i="1"/>
  <c r="AI2407" i="1"/>
  <c r="AI2387" i="1"/>
  <c r="AI2404" i="1"/>
  <c r="AI2388" i="1"/>
  <c r="AI2405" i="1"/>
  <c r="J1007" i="1"/>
  <c r="AJ2391" i="1"/>
  <c r="AJ2407" i="1"/>
  <c r="I1008" i="1"/>
  <c r="J1074" i="1"/>
  <c r="AM2372" i="1"/>
  <c r="AM2400" i="1"/>
  <c r="J1196" i="1"/>
  <c r="AQ2391" i="1"/>
  <c r="AQ2407" i="1"/>
  <c r="J394" i="1"/>
  <c r="N2391" i="1"/>
  <c r="N2407" i="1"/>
  <c r="I395" i="1"/>
  <c r="J436" i="1"/>
  <c r="P2372" i="1"/>
  <c r="P2400" i="1"/>
  <c r="J464" i="1"/>
  <c r="Q2372" i="1"/>
  <c r="Q2400" i="1"/>
  <c r="X2391" i="1"/>
  <c r="X2407" i="1"/>
  <c r="J673" i="1"/>
  <c r="J813" i="1"/>
  <c r="AC2391" i="1"/>
  <c r="AC2407" i="1"/>
  <c r="AC2385" i="1"/>
  <c r="AC2402" i="1"/>
  <c r="AC2386" i="1"/>
  <c r="AC2403" i="1"/>
  <c r="AC2387" i="1"/>
  <c r="AC2404" i="1"/>
  <c r="AC2388" i="1"/>
  <c r="AC2405" i="1"/>
  <c r="I811" i="1"/>
  <c r="AC2389" i="1"/>
  <c r="AC2406" i="1"/>
  <c r="AC2408" i="1"/>
  <c r="J1061" i="1"/>
  <c r="AL2391" i="1"/>
  <c r="AL2407" i="1"/>
  <c r="AL2385" i="1"/>
  <c r="AL2402" i="1"/>
  <c r="AL2386" i="1"/>
  <c r="AL2403" i="1"/>
  <c r="AL2387" i="1"/>
  <c r="AL2404" i="1"/>
  <c r="AL2388" i="1"/>
  <c r="AL2405" i="1"/>
  <c r="AL2389" i="1"/>
  <c r="AL2406" i="1"/>
  <c r="I1062" i="1"/>
  <c r="J1101" i="1"/>
  <c r="AN2372" i="1"/>
  <c r="AN2400" i="1"/>
  <c r="J1426" i="1"/>
  <c r="AZ2372" i="1"/>
  <c r="AZ2400" i="1"/>
  <c r="J615" i="1"/>
  <c r="J608" i="1"/>
  <c r="I608" i="1"/>
  <c r="J189" i="1"/>
  <c r="H2385" i="1"/>
  <c r="I182" i="1"/>
  <c r="J921" i="1"/>
  <c r="J914" i="1"/>
  <c r="I914" i="1"/>
  <c r="J1168" i="1"/>
  <c r="AP2390" i="1"/>
  <c r="J1163" i="1"/>
  <c r="J1156" i="1"/>
  <c r="I1156" i="1"/>
  <c r="AP2385" i="1"/>
  <c r="AP2402" i="1"/>
  <c r="AA2377" i="1"/>
  <c r="AA2382" i="1"/>
  <c r="B1198" i="1"/>
  <c r="B1199" i="1"/>
  <c r="AN2387" i="1"/>
  <c r="AN2404" i="1"/>
  <c r="I1104" i="1"/>
  <c r="J1111" i="1"/>
  <c r="J1104" i="1"/>
  <c r="J977" i="1"/>
  <c r="J970" i="1"/>
  <c r="I970" i="1"/>
  <c r="BG2376" i="1"/>
  <c r="J585" i="1"/>
  <c r="I578" i="1"/>
  <c r="U2379" i="1"/>
  <c r="I916" i="1"/>
  <c r="J923" i="1"/>
  <c r="J916" i="1"/>
  <c r="B1171" i="1"/>
  <c r="B1172" i="1"/>
  <c r="J1165" i="1"/>
  <c r="AP2387" i="1"/>
  <c r="AP2404" i="1"/>
  <c r="I1158" i="1"/>
  <c r="H2375" i="1"/>
  <c r="H2380" i="1"/>
  <c r="H2376" i="1"/>
  <c r="H2381" i="1"/>
  <c r="CI2371" i="1"/>
  <c r="CJ2371" i="1"/>
  <c r="CI2367" i="1"/>
  <c r="CJ2367" i="1"/>
  <c r="J1115" i="1"/>
  <c r="AN2391" i="1"/>
  <c r="AN2407" i="1"/>
  <c r="I1116" i="1"/>
  <c r="J1251" i="1"/>
  <c r="I1252" i="1"/>
  <c r="AS2391" i="1"/>
  <c r="AS2407" i="1"/>
  <c r="J1359" i="1"/>
  <c r="AW2391" i="1"/>
  <c r="AW2407" i="1"/>
  <c r="I1360" i="1"/>
  <c r="J1521" i="1"/>
  <c r="BC2391" i="1"/>
  <c r="BC2407" i="1"/>
  <c r="I1522" i="1"/>
  <c r="J1629" i="1"/>
  <c r="I1630" i="1"/>
  <c r="BG2392" i="1"/>
  <c r="CH2407" i="1"/>
  <c r="J1169" i="1"/>
  <c r="AP2391" i="1"/>
  <c r="AP2407" i="1"/>
  <c r="I1170" i="1"/>
  <c r="J1264" i="1"/>
  <c r="AT2372" i="1"/>
  <c r="AT2400" i="1"/>
  <c r="J1467" i="1"/>
  <c r="BA2391" i="1"/>
  <c r="BA2407" i="1"/>
  <c r="I1468" i="1"/>
  <c r="J1548" i="1"/>
  <c r="I1549" i="1"/>
  <c r="BD2391" i="1"/>
  <c r="BD2407" i="1"/>
  <c r="F2372" i="1"/>
  <c r="L91" i="1"/>
  <c r="AU2366" i="1"/>
  <c r="AU2399" i="1"/>
  <c r="J1285" i="1"/>
  <c r="J96" i="1"/>
  <c r="E2372" i="1"/>
  <c r="J1258" i="1"/>
  <c r="AT2366" i="1"/>
  <c r="AT2399" i="1"/>
  <c r="AZ2366" i="1"/>
  <c r="AZ2399" i="1"/>
  <c r="J1420" i="1"/>
  <c r="J47" i="1"/>
  <c r="F2386" i="1"/>
  <c r="I126" i="1"/>
  <c r="J133" i="1"/>
  <c r="J419" i="1"/>
  <c r="I412" i="1"/>
  <c r="O2388" i="1"/>
  <c r="O2405" i="1"/>
  <c r="I411" i="1"/>
  <c r="J418" i="1"/>
  <c r="O2387" i="1"/>
  <c r="O2404" i="1"/>
  <c r="I413" i="1"/>
  <c r="O2389" i="1"/>
  <c r="O2406" i="1"/>
  <c r="J420" i="1"/>
  <c r="D424" i="1"/>
  <c r="D425" i="1"/>
  <c r="F424" i="1"/>
  <c r="F425" i="1"/>
  <c r="H424" i="1"/>
  <c r="H425" i="1"/>
  <c r="J808" i="1"/>
  <c r="I801" i="1"/>
  <c r="AC2379" i="1"/>
  <c r="I803" i="1"/>
  <c r="AC2381" i="1"/>
  <c r="J810" i="1"/>
  <c r="I800" i="1"/>
  <c r="AC2378" i="1"/>
  <c r="J807" i="1"/>
  <c r="E833" i="1"/>
  <c r="E834" i="1"/>
  <c r="AH2390" i="1"/>
  <c r="J952" i="1"/>
  <c r="I954" i="1"/>
  <c r="B955" i="1"/>
  <c r="B956" i="1"/>
  <c r="J948" i="1"/>
  <c r="I941" i="1"/>
  <c r="J947" i="1"/>
  <c r="I940" i="1"/>
  <c r="AT2390" i="1"/>
  <c r="J1277" i="1"/>
  <c r="I1279" i="1"/>
  <c r="G284" i="1"/>
  <c r="G285" i="1"/>
  <c r="I339" i="1"/>
  <c r="J337" i="1"/>
  <c r="J896" i="1"/>
  <c r="I898" i="1"/>
  <c r="AF2390" i="1"/>
  <c r="J1222" i="1"/>
  <c r="I1224" i="1"/>
  <c r="AR2390" i="1"/>
  <c r="E1378" i="1"/>
  <c r="E1379" i="1"/>
  <c r="I78" i="1"/>
  <c r="I1383" i="1"/>
  <c r="AQ2366" i="1"/>
  <c r="AQ2399" i="1"/>
  <c r="J1176" i="1"/>
  <c r="J1231" i="1"/>
  <c r="AS2366" i="1"/>
  <c r="AS2399" i="1"/>
  <c r="AY2366" i="1"/>
  <c r="AY2399" i="1"/>
  <c r="J1393" i="1"/>
  <c r="J1555" i="1"/>
  <c r="BE2366" i="1"/>
  <c r="BE2399" i="1"/>
  <c r="I127" i="1"/>
  <c r="F2387" i="1"/>
  <c r="J134" i="1"/>
  <c r="J1366" i="1"/>
  <c r="AX2366" i="1"/>
  <c r="AX2399" i="1"/>
  <c r="C2387" i="1"/>
  <c r="J49" i="1"/>
  <c r="I136" i="1"/>
  <c r="F2389" i="1"/>
  <c r="F2390" i="1"/>
  <c r="F2392" i="1"/>
  <c r="J137" i="1"/>
  <c r="J139" i="1"/>
  <c r="I135" i="1"/>
  <c r="F2388" i="1"/>
  <c r="I139" i="1"/>
  <c r="I140" i="1"/>
  <c r="I141" i="1"/>
  <c r="I283" i="1"/>
  <c r="J281" i="1"/>
  <c r="J365" i="1"/>
  <c r="M2390" i="1"/>
  <c r="I367" i="1"/>
  <c r="J421" i="1"/>
  <c r="I423" i="1"/>
  <c r="O2390" i="1"/>
  <c r="J417" i="1"/>
  <c r="I410" i="1"/>
  <c r="O2386" i="1"/>
  <c r="O2403" i="1"/>
  <c r="I409" i="1"/>
  <c r="O2385" i="1"/>
  <c r="O2402" i="1"/>
  <c r="J416" i="1"/>
  <c r="J409" i="1"/>
  <c r="I814" i="1"/>
  <c r="AC2390" i="1"/>
  <c r="J812" i="1"/>
  <c r="J809" i="1"/>
  <c r="I802" i="1"/>
  <c r="AC2380" i="1"/>
  <c r="AD2390" i="1"/>
  <c r="J840" i="1"/>
  <c r="I842" i="1"/>
  <c r="I942" i="1"/>
  <c r="J949" i="1"/>
  <c r="J942" i="1"/>
  <c r="I943" i="1"/>
  <c r="J950" i="1"/>
  <c r="I944" i="1"/>
  <c r="J951" i="1"/>
  <c r="J944" i="1"/>
  <c r="I1197" i="1"/>
  <c r="J1195" i="1"/>
  <c r="AQ2390" i="1"/>
  <c r="E1271" i="1"/>
  <c r="E1270" i="1"/>
  <c r="J1385" i="1"/>
  <c r="I1387" i="1"/>
  <c r="AX2390" i="1"/>
  <c r="I76" i="1"/>
  <c r="I77" i="1"/>
  <c r="I1382" i="1"/>
  <c r="J492" i="1"/>
  <c r="R2372" i="1"/>
  <c r="R2400" i="1"/>
  <c r="J827" i="1"/>
  <c r="AD2372" i="1"/>
  <c r="AD2400" i="1"/>
  <c r="J939" i="1"/>
  <c r="AH2372" i="1"/>
  <c r="AH2400" i="1"/>
  <c r="L1205" i="1"/>
  <c r="L1208" i="1"/>
  <c r="L1204" i="1"/>
  <c r="J1209" i="1"/>
  <c r="AR2372" i="1"/>
  <c r="AR2400" i="1"/>
  <c r="L1206" i="1"/>
  <c r="L1207" i="1"/>
  <c r="J1453" i="1"/>
  <c r="BA2372" i="1"/>
  <c r="BA2400" i="1"/>
  <c r="J1534" i="1"/>
  <c r="BD2372" i="1"/>
  <c r="BD2400" i="1"/>
  <c r="J733" i="3"/>
  <c r="AA2275" i="3"/>
  <c r="J715" i="1"/>
  <c r="Z2372" i="1"/>
  <c r="Z2400" i="1"/>
  <c r="J1480" i="1"/>
  <c r="BB2372" i="1"/>
  <c r="BB2400" i="1"/>
  <c r="J380" i="1"/>
  <c r="N2372" i="1"/>
  <c r="N2400" i="1"/>
  <c r="J743" i="1"/>
  <c r="AA2372" i="1"/>
  <c r="AA2400" i="1"/>
  <c r="J883" i="1"/>
  <c r="AF2372" i="1"/>
  <c r="AF2400" i="1"/>
  <c r="J1128" i="1"/>
  <c r="AO2372" i="1"/>
  <c r="AO2400" i="1"/>
  <c r="J1372" i="1"/>
  <c r="AX2372" i="1"/>
  <c r="AX2400" i="1"/>
  <c r="J1507" i="1"/>
  <c r="BC2372" i="1"/>
  <c r="BC2400" i="1"/>
  <c r="J1357" i="3"/>
  <c r="AX2275" i="3"/>
  <c r="AX2297" i="3"/>
  <c r="J1020" i="1"/>
  <c r="AK2372" i="1"/>
  <c r="AK2400" i="1"/>
  <c r="J1615" i="1"/>
  <c r="CH2400" i="1"/>
  <c r="D166" i="3"/>
  <c r="D167" i="3"/>
  <c r="F222" i="3"/>
  <c r="F223" i="3"/>
  <c r="H128" i="5"/>
  <c r="H129" i="5"/>
  <c r="G275" i="5"/>
  <c r="G276" i="5"/>
  <c r="J322" i="5"/>
  <c r="J376" i="5"/>
  <c r="I407" i="5"/>
  <c r="J430" i="5"/>
  <c r="S1644" i="5"/>
  <c r="S1661" i="5"/>
  <c r="J511" i="5"/>
  <c r="I515" i="5"/>
  <c r="H518" i="5"/>
  <c r="H519" i="5"/>
  <c r="U1645" i="5"/>
  <c r="U1662" i="5"/>
  <c r="H545" i="5"/>
  <c r="H546" i="5"/>
  <c r="J565" i="5"/>
  <c r="H572" i="5"/>
  <c r="H573" i="5"/>
  <c r="J592" i="5"/>
  <c r="H599" i="5"/>
  <c r="H600" i="5"/>
  <c r="J619" i="5"/>
  <c r="I623" i="5"/>
  <c r="H626" i="5"/>
  <c r="H627" i="5"/>
  <c r="I650" i="5"/>
  <c r="H653" i="5"/>
  <c r="H654" i="5"/>
  <c r="H788" i="5"/>
  <c r="H789" i="5"/>
  <c r="H778" i="5"/>
  <c r="B245" i="3"/>
  <c r="I245" i="3"/>
  <c r="B244" i="3"/>
  <c r="I244" i="3"/>
  <c r="B242" i="3"/>
  <c r="I242" i="3"/>
  <c r="B243" i="3"/>
  <c r="I243" i="3"/>
  <c r="N2303" i="3"/>
  <c r="J358" i="3"/>
  <c r="E248" i="5"/>
  <c r="E249" i="5"/>
  <c r="E239" i="5"/>
  <c r="C275" i="5"/>
  <c r="C276" i="5"/>
  <c r="D518" i="5"/>
  <c r="D519" i="5"/>
  <c r="D545" i="5"/>
  <c r="D546" i="5"/>
  <c r="D572" i="5"/>
  <c r="D573" i="5"/>
  <c r="D599" i="5"/>
  <c r="D600" i="5"/>
  <c r="D626" i="5"/>
  <c r="D627" i="5"/>
  <c r="D653" i="5"/>
  <c r="D654" i="5"/>
  <c r="J163" i="2"/>
  <c r="J208" i="2"/>
  <c r="I2179" i="2"/>
  <c r="I2202" i="2"/>
  <c r="J324" i="2"/>
  <c r="M2179" i="2"/>
  <c r="M2202" i="2"/>
  <c r="H680" i="5"/>
  <c r="H681" i="5"/>
  <c r="H671" i="5"/>
  <c r="AA1658" i="5"/>
  <c r="B707" i="5"/>
  <c r="B708" i="5"/>
  <c r="D707" i="5"/>
  <c r="D708" i="5"/>
  <c r="F734" i="5"/>
  <c r="F735" i="5"/>
  <c r="H734" i="5"/>
  <c r="H735" i="5"/>
  <c r="B761" i="5"/>
  <c r="B762" i="5"/>
  <c r="D761" i="5"/>
  <c r="D762" i="5"/>
  <c r="D788" i="5"/>
  <c r="D789" i="5"/>
  <c r="F815" i="5"/>
  <c r="F816" i="5"/>
  <c r="H815" i="5"/>
  <c r="H816" i="5"/>
  <c r="B842" i="5"/>
  <c r="B843" i="5"/>
  <c r="D842" i="5"/>
  <c r="D843" i="5"/>
  <c r="F869" i="5"/>
  <c r="F870" i="5"/>
  <c r="H869" i="5"/>
  <c r="H870" i="5"/>
  <c r="B896" i="5"/>
  <c r="B897" i="5"/>
  <c r="D896" i="5"/>
  <c r="D897" i="5"/>
  <c r="H54" i="3"/>
  <c r="H55" i="3"/>
  <c r="F82" i="3"/>
  <c r="F83" i="3"/>
  <c r="J130" i="3"/>
  <c r="L2286" i="3"/>
  <c r="L2302" i="3"/>
  <c r="J302" i="3"/>
  <c r="M2303" i="3"/>
  <c r="N2286" i="3"/>
  <c r="N2302" i="3"/>
  <c r="I359" i="3"/>
  <c r="J357" i="3"/>
  <c r="I386" i="3"/>
  <c r="O2286" i="3"/>
  <c r="O2302" i="3"/>
  <c r="I377" i="3"/>
  <c r="O2279" i="3"/>
  <c r="J384" i="3"/>
  <c r="H389" i="3"/>
  <c r="H390" i="3"/>
  <c r="E416" i="3"/>
  <c r="E417" i="3"/>
  <c r="B470" i="3"/>
  <c r="B471" i="3"/>
  <c r="B497" i="3"/>
  <c r="B498" i="3"/>
  <c r="D1095" i="3"/>
  <c r="I1095" i="3"/>
  <c r="D1098" i="3"/>
  <c r="I1098" i="3"/>
  <c r="D1097" i="3"/>
  <c r="I1097" i="3"/>
  <c r="D1096" i="3"/>
  <c r="I1096" i="3"/>
  <c r="J278" i="2"/>
  <c r="K2191" i="2"/>
  <c r="K2208" i="2"/>
  <c r="F707" i="5"/>
  <c r="F708" i="5"/>
  <c r="H707" i="5"/>
  <c r="H708" i="5"/>
  <c r="B734" i="5"/>
  <c r="B735" i="5"/>
  <c r="D734" i="5"/>
  <c r="D735" i="5"/>
  <c r="F761" i="5"/>
  <c r="F762" i="5"/>
  <c r="H761" i="5"/>
  <c r="H762" i="5"/>
  <c r="B815" i="5"/>
  <c r="B816" i="5"/>
  <c r="D815" i="5"/>
  <c r="D816" i="5"/>
  <c r="F842" i="5"/>
  <c r="F843" i="5"/>
  <c r="H842" i="5"/>
  <c r="H843" i="5"/>
  <c r="B869" i="5"/>
  <c r="B870" i="5"/>
  <c r="D869" i="5"/>
  <c r="D870" i="5"/>
  <c r="F896" i="5"/>
  <c r="F897" i="5"/>
  <c r="H896" i="5"/>
  <c r="H897" i="5"/>
  <c r="D54" i="3"/>
  <c r="D55" i="3"/>
  <c r="C138" i="3"/>
  <c r="C139" i="3"/>
  <c r="F250" i="3"/>
  <c r="F251" i="3"/>
  <c r="C279" i="3"/>
  <c r="C280" i="3"/>
  <c r="C335" i="3"/>
  <c r="C336" i="3"/>
  <c r="G335" i="3"/>
  <c r="G336" i="3"/>
  <c r="G362" i="3"/>
  <c r="G363" i="3"/>
  <c r="C443" i="3"/>
  <c r="C444" i="3"/>
  <c r="E443" i="3"/>
  <c r="E444" i="3"/>
  <c r="J772" i="3"/>
  <c r="AB2286" i="3"/>
  <c r="AB2302" i="3"/>
  <c r="I774" i="3"/>
  <c r="D832" i="3"/>
  <c r="D833" i="3"/>
  <c r="I857" i="3"/>
  <c r="I848" i="3"/>
  <c r="AE2279" i="3"/>
  <c r="J855" i="3"/>
  <c r="AK2286" i="3"/>
  <c r="AK2302" i="3"/>
  <c r="J1017" i="3"/>
  <c r="I1019" i="3"/>
  <c r="D1049" i="3"/>
  <c r="D1050" i="3"/>
  <c r="J1126" i="3"/>
  <c r="AO2303" i="3"/>
  <c r="E1238" i="3"/>
  <c r="E1239" i="3"/>
  <c r="J1314" i="3"/>
  <c r="AX2303" i="3"/>
  <c r="J1369" i="3"/>
  <c r="E1400" i="3"/>
  <c r="E1401" i="3"/>
  <c r="E1391" i="3"/>
  <c r="B1481" i="3"/>
  <c r="B1482" i="3"/>
  <c r="B1471" i="3"/>
  <c r="B1508" i="3"/>
  <c r="B1509" i="3"/>
  <c r="B1499" i="3"/>
  <c r="J1530" i="3"/>
  <c r="F1535" i="3"/>
  <c r="F1536" i="3"/>
  <c r="C27" i="2"/>
  <c r="C28" i="2"/>
  <c r="D54" i="2"/>
  <c r="D55" i="2"/>
  <c r="H54" i="2"/>
  <c r="H55" i="2"/>
  <c r="E82" i="2"/>
  <c r="E83" i="2"/>
  <c r="G110" i="2"/>
  <c r="G111" i="2"/>
  <c r="F138" i="2"/>
  <c r="F139" i="2"/>
  <c r="G167" i="2"/>
  <c r="G168" i="2"/>
  <c r="J191" i="2"/>
  <c r="H2190" i="2"/>
  <c r="H2207" i="2"/>
  <c r="B224" i="2"/>
  <c r="B225" i="2"/>
  <c r="C252" i="2"/>
  <c r="C253" i="2"/>
  <c r="B311" i="2"/>
  <c r="B312" i="2"/>
  <c r="N2191" i="2"/>
  <c r="N2208" i="2"/>
  <c r="J364" i="2"/>
  <c r="J1088" i="2"/>
  <c r="AN2179" i="2"/>
  <c r="AN2202" i="2"/>
  <c r="J1200" i="2"/>
  <c r="AR2179" i="2"/>
  <c r="AR2202" i="2"/>
  <c r="J1256" i="2"/>
  <c r="AT2179" i="2"/>
  <c r="AT2202" i="2"/>
  <c r="J909" i="3"/>
  <c r="I911" i="3"/>
  <c r="I902" i="3"/>
  <c r="AG2279" i="3"/>
  <c r="I622" i="2"/>
  <c r="I611" i="2"/>
  <c r="W2181" i="2"/>
  <c r="H740" i="3"/>
  <c r="H739" i="3"/>
  <c r="D1337" i="3"/>
  <c r="D1336" i="3"/>
  <c r="B1229" i="3"/>
  <c r="B1228" i="3"/>
  <c r="G1066" i="3"/>
  <c r="G1067" i="3"/>
  <c r="G1039" i="3"/>
  <c r="G1040" i="3"/>
  <c r="D904" i="3"/>
  <c r="D905" i="3"/>
  <c r="C822" i="3"/>
  <c r="C823" i="3"/>
  <c r="D655" i="3"/>
  <c r="D656" i="3"/>
  <c r="B599" i="3"/>
  <c r="B598" i="3"/>
  <c r="B352" i="3"/>
  <c r="B353" i="3"/>
  <c r="E298" i="3"/>
  <c r="E297" i="3"/>
  <c r="B269" i="3"/>
  <c r="B270" i="3"/>
  <c r="C212" i="3"/>
  <c r="C213" i="3"/>
  <c r="H100" i="3"/>
  <c r="H101" i="3"/>
  <c r="D850" i="3"/>
  <c r="D851" i="3"/>
  <c r="B1336" i="3"/>
  <c r="B1337" i="3"/>
  <c r="H795" i="3"/>
  <c r="H796" i="3"/>
  <c r="C712" i="3"/>
  <c r="C711" i="3"/>
  <c r="H407" i="3"/>
  <c r="H406" i="3"/>
  <c r="H598" i="3"/>
  <c r="H599" i="3"/>
  <c r="G571" i="3"/>
  <c r="G570" i="3"/>
  <c r="B326" i="3"/>
  <c r="B325" i="3"/>
  <c r="I159" i="5"/>
  <c r="I187" i="5"/>
  <c r="I214" i="5"/>
  <c r="I457" i="5"/>
  <c r="I484" i="5"/>
  <c r="I77" i="3"/>
  <c r="I102" i="3"/>
  <c r="D1102" i="3"/>
  <c r="J122" i="3"/>
  <c r="L88" i="3"/>
  <c r="C110" i="3"/>
  <c r="C111" i="3"/>
  <c r="G138" i="3"/>
  <c r="G139" i="3"/>
  <c r="G129" i="3"/>
  <c r="E194" i="3"/>
  <c r="E195" i="3"/>
  <c r="E184" i="3"/>
  <c r="F166" i="5"/>
  <c r="F167" i="5"/>
  <c r="F156" i="5"/>
  <c r="G194" i="5"/>
  <c r="G195" i="5"/>
  <c r="F221" i="5"/>
  <c r="F222" i="5"/>
  <c r="B302" i="5"/>
  <c r="B303" i="5"/>
  <c r="C329" i="5"/>
  <c r="C330" i="5"/>
  <c r="B356" i="5"/>
  <c r="B357" i="5"/>
  <c r="C383" i="5"/>
  <c r="C384" i="5"/>
  <c r="C410" i="5"/>
  <c r="C411" i="5"/>
  <c r="C437" i="5"/>
  <c r="C438" i="5"/>
  <c r="E464" i="5"/>
  <c r="E465" i="5"/>
  <c r="E455" i="5"/>
  <c r="G464" i="5"/>
  <c r="G465" i="5"/>
  <c r="B491" i="5"/>
  <c r="B492" i="5"/>
  <c r="B481" i="5"/>
  <c r="H491" i="5"/>
  <c r="H492" i="5"/>
  <c r="B518" i="5"/>
  <c r="B519" i="5"/>
  <c r="B509" i="5"/>
  <c r="B545" i="5"/>
  <c r="B546" i="5"/>
  <c r="B535" i="5"/>
  <c r="B572" i="5"/>
  <c r="B573" i="5"/>
  <c r="B563" i="5"/>
  <c r="B599" i="5"/>
  <c r="B600" i="5"/>
  <c r="B589" i="5"/>
  <c r="B626" i="5"/>
  <c r="B627" i="5"/>
  <c r="B653" i="5"/>
  <c r="B654" i="5"/>
  <c r="D680" i="5"/>
  <c r="D681" i="5"/>
  <c r="J105" i="3"/>
  <c r="J98" i="3"/>
  <c r="I98" i="3"/>
  <c r="E2279" i="3"/>
  <c r="E2286" i="3"/>
  <c r="B166" i="5"/>
  <c r="B167" i="5"/>
  <c r="C194" i="5"/>
  <c r="C195" i="5"/>
  <c r="B221" i="5"/>
  <c r="B222" i="5"/>
  <c r="J1647" i="5"/>
  <c r="J1664" i="5"/>
  <c r="J243" i="5"/>
  <c r="E275" i="5"/>
  <c r="E276" i="5"/>
  <c r="F302" i="5"/>
  <c r="F303" i="5"/>
  <c r="G329" i="5"/>
  <c r="G330" i="5"/>
  <c r="F356" i="5"/>
  <c r="F357" i="5"/>
  <c r="G383" i="5"/>
  <c r="G384" i="5"/>
  <c r="G410" i="5"/>
  <c r="G411" i="5"/>
  <c r="G437" i="5"/>
  <c r="G438" i="5"/>
  <c r="C464" i="5"/>
  <c r="C465" i="5"/>
  <c r="D491" i="5"/>
  <c r="D492" i="5"/>
  <c r="F491" i="5"/>
  <c r="F492" i="5"/>
  <c r="F518" i="5"/>
  <c r="F519" i="5"/>
  <c r="F545" i="5"/>
  <c r="F546" i="5"/>
  <c r="F572" i="5"/>
  <c r="F573" i="5"/>
  <c r="F599" i="5"/>
  <c r="F600" i="5"/>
  <c r="F626" i="5"/>
  <c r="F627" i="5"/>
  <c r="F653" i="5"/>
  <c r="F654" i="5"/>
  <c r="J66" i="2"/>
  <c r="D2179" i="2"/>
  <c r="L10" i="2"/>
  <c r="F196" i="2"/>
  <c r="F197" i="2"/>
  <c r="J236" i="2"/>
  <c r="J2179" i="2"/>
  <c r="J2202" i="2"/>
  <c r="L209" i="2"/>
  <c r="F282" i="2"/>
  <c r="F283" i="2"/>
  <c r="F273" i="2"/>
  <c r="Z1645" i="5"/>
  <c r="Z1662" i="5"/>
  <c r="J673" i="5"/>
  <c r="I677" i="5"/>
  <c r="J700" i="5"/>
  <c r="I704" i="5"/>
  <c r="AF1645" i="5"/>
  <c r="AF1662" i="5"/>
  <c r="BI1662" i="5"/>
  <c r="F54" i="3"/>
  <c r="F55" i="3"/>
  <c r="G110" i="3"/>
  <c r="G111" i="3"/>
  <c r="G279" i="3"/>
  <c r="G280" i="3"/>
  <c r="B307" i="3"/>
  <c r="B308" i="3"/>
  <c r="F307" i="3"/>
  <c r="F308" i="3"/>
  <c r="J327" i="3"/>
  <c r="M2283" i="3"/>
  <c r="M2299" i="3"/>
  <c r="C362" i="3"/>
  <c r="C363" i="3"/>
  <c r="D389" i="3"/>
  <c r="D390" i="3"/>
  <c r="J411" i="3"/>
  <c r="I413" i="3"/>
  <c r="J465" i="3"/>
  <c r="F470" i="3"/>
  <c r="F471" i="3"/>
  <c r="F460" i="3"/>
  <c r="J629" i="3"/>
  <c r="W2283" i="3"/>
  <c r="W2299" i="3"/>
  <c r="J130" i="2"/>
  <c r="F2187" i="2"/>
  <c r="F2204" i="2"/>
  <c r="L2191" i="2"/>
  <c r="L2208" i="2"/>
  <c r="J307" i="2"/>
  <c r="B54" i="3"/>
  <c r="B55" i="3"/>
  <c r="B82" i="3"/>
  <c r="B83" i="3"/>
  <c r="J133" i="3"/>
  <c r="I126" i="3"/>
  <c r="Q2284" i="3"/>
  <c r="Q2300" i="3"/>
  <c r="I440" i="3"/>
  <c r="I429" i="3"/>
  <c r="Q2277" i="3"/>
  <c r="J436" i="3"/>
  <c r="Q2286" i="3"/>
  <c r="Q2302" i="3"/>
  <c r="J438" i="3"/>
  <c r="J604" i="3"/>
  <c r="G637" i="3"/>
  <c r="G638" i="3"/>
  <c r="G628" i="3"/>
  <c r="D777" i="3"/>
  <c r="D778" i="3"/>
  <c r="D767" i="3"/>
  <c r="H777" i="3"/>
  <c r="H778" i="3"/>
  <c r="E805" i="3"/>
  <c r="E806" i="3"/>
  <c r="J827" i="3"/>
  <c r="H832" i="3"/>
  <c r="H833" i="3"/>
  <c r="E860" i="3"/>
  <c r="E861" i="3"/>
  <c r="D995" i="3"/>
  <c r="D996" i="3"/>
  <c r="H995" i="3"/>
  <c r="H996" i="3"/>
  <c r="E1022" i="3"/>
  <c r="E1023" i="3"/>
  <c r="AL2286" i="3"/>
  <c r="AL2302" i="3"/>
  <c r="J1044" i="3"/>
  <c r="I1046" i="3"/>
  <c r="I1037" i="3"/>
  <c r="AL2279" i="3"/>
  <c r="H1049" i="3"/>
  <c r="H1050" i="3"/>
  <c r="D1076" i="3"/>
  <c r="D1077" i="3"/>
  <c r="H1076" i="3"/>
  <c r="H1077" i="3"/>
  <c r="J1122" i="3"/>
  <c r="AO2283" i="3"/>
  <c r="AO2299" i="3"/>
  <c r="C1157" i="3"/>
  <c r="C1158" i="3"/>
  <c r="G1211" i="3"/>
  <c r="G1212" i="3"/>
  <c r="C1265" i="3"/>
  <c r="C1266" i="3"/>
  <c r="C1319" i="3"/>
  <c r="C1320" i="3"/>
  <c r="AX2283" i="3"/>
  <c r="AX2299" i="3"/>
  <c r="J1365" i="3"/>
  <c r="J1395" i="3"/>
  <c r="I1397" i="3"/>
  <c r="I1388" i="3"/>
  <c r="AY2279" i="3"/>
  <c r="AY2286" i="3"/>
  <c r="AY2302" i="3"/>
  <c r="G1427" i="3"/>
  <c r="G1428" i="3"/>
  <c r="F1481" i="3"/>
  <c r="F1482" i="3"/>
  <c r="J1503" i="3"/>
  <c r="I1505" i="3"/>
  <c r="I1496" i="3"/>
  <c r="BC2279" i="3"/>
  <c r="BC2286" i="3"/>
  <c r="BC2302" i="3"/>
  <c r="F1508" i="3"/>
  <c r="F1509" i="3"/>
  <c r="B1535" i="3"/>
  <c r="B1536" i="3"/>
  <c r="J24" i="2"/>
  <c r="I26" i="2"/>
  <c r="I16" i="2"/>
  <c r="I15" i="2"/>
  <c r="I14" i="2"/>
  <c r="I13" i="2"/>
  <c r="C2190" i="2"/>
  <c r="I42" i="2"/>
  <c r="C2183" i="2"/>
  <c r="J49" i="2"/>
  <c r="J42" i="2"/>
  <c r="J77" i="2"/>
  <c r="I70" i="2"/>
  <c r="D2183" i="2"/>
  <c r="D2190" i="2"/>
  <c r="C110" i="2"/>
  <c r="C111" i="2"/>
  <c r="E110" i="2"/>
  <c r="E111" i="2"/>
  <c r="B196" i="2"/>
  <c r="B197" i="2"/>
  <c r="I2190" i="2"/>
  <c r="I2207" i="2"/>
  <c r="J247" i="2"/>
  <c r="J2190" i="2"/>
  <c r="J2207" i="2"/>
  <c r="L2190" i="2"/>
  <c r="L2207" i="2"/>
  <c r="J306" i="2"/>
  <c r="J332" i="2"/>
  <c r="J360" i="2"/>
  <c r="N2187" i="2"/>
  <c r="N2204" i="2"/>
  <c r="J352" i="2"/>
  <c r="N2179" i="2"/>
  <c r="N2202" i="2"/>
  <c r="B1048" i="2"/>
  <c r="B1049" i="2"/>
  <c r="B1039" i="2"/>
  <c r="AN2193" i="2"/>
  <c r="AN2209" i="2"/>
  <c r="I940" i="3"/>
  <c r="AH2288" i="3"/>
  <c r="J938" i="3"/>
  <c r="I928" i="3"/>
  <c r="AH2278" i="3"/>
  <c r="I930" i="3"/>
  <c r="AH2280" i="3"/>
  <c r="I926" i="3"/>
  <c r="AH2276" i="3"/>
  <c r="I927" i="3"/>
  <c r="AH2277" i="3"/>
  <c r="H433" i="3"/>
  <c r="H434" i="3"/>
  <c r="B1283" i="3"/>
  <c r="B1282" i="3"/>
  <c r="B1175" i="3"/>
  <c r="B1174" i="3"/>
  <c r="C1066" i="3"/>
  <c r="C1067" i="3"/>
  <c r="C1039" i="3"/>
  <c r="C1040" i="3"/>
  <c r="G822" i="3"/>
  <c r="G823" i="3"/>
  <c r="E711" i="3"/>
  <c r="E712" i="3"/>
  <c r="E683" i="3"/>
  <c r="E684" i="3"/>
  <c r="E571" i="3"/>
  <c r="E570" i="3"/>
  <c r="D325" i="3"/>
  <c r="D326" i="3"/>
  <c r="H270" i="3"/>
  <c r="H269" i="3"/>
  <c r="G212" i="3"/>
  <c r="G213" i="3"/>
  <c r="B185" i="3"/>
  <c r="B184" i="3"/>
  <c r="B1391" i="3"/>
  <c r="B1390" i="3"/>
  <c r="H1282" i="3"/>
  <c r="H1283" i="3"/>
  <c r="G712" i="3"/>
  <c r="G711" i="3"/>
  <c r="B655" i="3"/>
  <c r="B656" i="3"/>
  <c r="C684" i="3"/>
  <c r="C683" i="3"/>
  <c r="D599" i="3"/>
  <c r="D598" i="3"/>
  <c r="D352" i="3"/>
  <c r="D353" i="3"/>
  <c r="H128" i="3"/>
  <c r="H129" i="3"/>
  <c r="I268" i="5"/>
  <c r="B249" i="3"/>
  <c r="I727" i="5"/>
  <c r="I808" i="5"/>
  <c r="I862" i="5"/>
  <c r="I104" i="3"/>
  <c r="I274" i="3"/>
  <c r="J1340" i="2"/>
  <c r="AW2179" i="2"/>
  <c r="AW2202" i="2"/>
  <c r="J38" i="4"/>
  <c r="C2109" i="4"/>
  <c r="L4" i="4"/>
  <c r="I494" i="3"/>
  <c r="I485" i="3"/>
  <c r="S2279" i="3"/>
  <c r="S2286" i="3"/>
  <c r="S2302" i="3"/>
  <c r="J492" i="3"/>
  <c r="J575" i="3"/>
  <c r="V2286" i="3"/>
  <c r="V2302" i="3"/>
  <c r="I577" i="3"/>
  <c r="J603" i="3"/>
  <c r="J658" i="3"/>
  <c r="B693" i="3"/>
  <c r="B694" i="3"/>
  <c r="Y2286" i="3"/>
  <c r="Y2302" i="3"/>
  <c r="J688" i="3"/>
  <c r="J882" i="3"/>
  <c r="AF2286" i="3"/>
  <c r="AF2302" i="3"/>
  <c r="I884" i="3"/>
  <c r="D941" i="3"/>
  <c r="D942" i="3"/>
  <c r="D932" i="3"/>
  <c r="J963" i="3"/>
  <c r="I965" i="3"/>
  <c r="I956" i="3"/>
  <c r="AI2279" i="3"/>
  <c r="F1103" i="3"/>
  <c r="F1104" i="3"/>
  <c r="F1094" i="3"/>
  <c r="E1184" i="3"/>
  <c r="E1185" i="3"/>
  <c r="E1292" i="3"/>
  <c r="E1293" i="3"/>
  <c r="E1346" i="3"/>
  <c r="E1347" i="3"/>
  <c r="B1454" i="3"/>
  <c r="B1455" i="3"/>
  <c r="B1444" i="3"/>
  <c r="B282" i="2"/>
  <c r="B283" i="2"/>
  <c r="K2109" i="4"/>
  <c r="K2132" i="4"/>
  <c r="J260" i="4"/>
  <c r="L200" i="4"/>
  <c r="J371" i="4"/>
  <c r="O2109" i="4"/>
  <c r="O2132" i="4"/>
  <c r="E443" i="4"/>
  <c r="E444" i="4"/>
  <c r="E499" i="4"/>
  <c r="E500" i="4"/>
  <c r="J567" i="4"/>
  <c r="V2109" i="4"/>
  <c r="V2132" i="4"/>
  <c r="J678" i="4"/>
  <c r="Z2109" i="4"/>
  <c r="Z2132" i="4"/>
  <c r="J786" i="4"/>
  <c r="AD2109" i="4"/>
  <c r="AD2132" i="4"/>
  <c r="AH2109" i="4"/>
  <c r="AH2132" i="4"/>
  <c r="J894" i="4"/>
  <c r="AL2109" i="4"/>
  <c r="AL2132" i="4"/>
  <c r="J1002" i="4"/>
  <c r="J1299" i="4"/>
  <c r="AW2109" i="4"/>
  <c r="AW2132" i="4"/>
  <c r="E396" i="2"/>
  <c r="E397" i="2"/>
  <c r="P2190" i="2"/>
  <c r="P2207" i="2"/>
  <c r="J420" i="2"/>
  <c r="F27" i="4"/>
  <c r="F28" i="4"/>
  <c r="F17" i="4"/>
  <c r="J240" i="1"/>
  <c r="J2372" i="1"/>
  <c r="L204" i="1"/>
  <c r="D284" i="1"/>
  <c r="D285" i="1"/>
  <c r="J296" i="1"/>
  <c r="L2372" i="1"/>
  <c r="D340" i="1"/>
  <c r="D341" i="1"/>
  <c r="J352" i="1"/>
  <c r="M2372" i="1"/>
  <c r="L347" i="1"/>
  <c r="J520" i="1"/>
  <c r="S2372" i="1"/>
  <c r="S2400" i="1"/>
  <c r="J576" i="1"/>
  <c r="U2372" i="1"/>
  <c r="U2400" i="1"/>
  <c r="J631" i="1"/>
  <c r="W2372" i="1"/>
  <c r="W2400" i="1"/>
  <c r="J687" i="1"/>
  <c r="Y2372" i="1"/>
  <c r="Y2400" i="1"/>
  <c r="C843" i="1"/>
  <c r="C844" i="1"/>
  <c r="C833" i="1"/>
  <c r="J1182" i="1"/>
  <c r="AQ2372" i="1"/>
  <c r="AQ2400" i="1"/>
  <c r="G1225" i="1"/>
  <c r="G1226" i="1"/>
  <c r="E1253" i="1"/>
  <c r="E1254" i="1"/>
  <c r="G1280" i="1"/>
  <c r="G1281" i="1"/>
  <c r="J1305" i="1"/>
  <c r="AU2391" i="1"/>
  <c r="AU2407" i="1"/>
  <c r="I1306" i="1"/>
  <c r="J1332" i="1"/>
  <c r="AV2391" i="1"/>
  <c r="AV2407" i="1"/>
  <c r="E1361" i="1"/>
  <c r="E1362" i="1"/>
  <c r="G1388" i="1"/>
  <c r="G1389" i="1"/>
  <c r="J1413" i="1"/>
  <c r="AY2391" i="1"/>
  <c r="AY2407" i="1"/>
  <c r="I1414" i="1"/>
  <c r="J1575" i="1"/>
  <c r="BE2391" i="1"/>
  <c r="BE2407" i="1"/>
  <c r="I1576" i="1"/>
  <c r="C887" i="6"/>
  <c r="C902" i="6"/>
  <c r="I51" i="6"/>
  <c r="C396" i="2"/>
  <c r="C397" i="2"/>
  <c r="I95" i="4"/>
  <c r="E2110" i="4"/>
  <c r="J102" i="4"/>
  <c r="J95" i="4"/>
  <c r="E2117" i="4"/>
  <c r="E222" i="4"/>
  <c r="E223" i="4"/>
  <c r="H249" i="4"/>
  <c r="H250" i="4"/>
  <c r="H239" i="4"/>
  <c r="D331" i="4"/>
  <c r="D332" i="4"/>
  <c r="J379" i="4"/>
  <c r="O2117" i="4"/>
  <c r="O2134" i="4"/>
  <c r="D387" i="4"/>
  <c r="D388" i="4"/>
  <c r="E415" i="4"/>
  <c r="E416" i="4"/>
  <c r="H555" i="4"/>
  <c r="H556" i="4"/>
  <c r="D611" i="4"/>
  <c r="D612" i="4"/>
  <c r="E639" i="4"/>
  <c r="E640" i="4"/>
  <c r="H667" i="4"/>
  <c r="H668" i="4"/>
  <c r="J714" i="4"/>
  <c r="I718" i="4"/>
  <c r="I707" i="4"/>
  <c r="AA2111" i="4"/>
  <c r="AA2118" i="4"/>
  <c r="AA2135" i="4"/>
  <c r="D721" i="4"/>
  <c r="D722" i="4"/>
  <c r="E748" i="4"/>
  <c r="E749" i="4"/>
  <c r="H775" i="4"/>
  <c r="H776" i="4"/>
  <c r="D829" i="4"/>
  <c r="D830" i="4"/>
  <c r="J849" i="4"/>
  <c r="E856" i="4"/>
  <c r="E857" i="4"/>
  <c r="AI2118" i="4"/>
  <c r="AI2135" i="4"/>
  <c r="J930" i="4"/>
  <c r="AJ2118" i="4"/>
  <c r="AJ2135" i="4"/>
  <c r="E964" i="4"/>
  <c r="E965" i="4"/>
  <c r="J1064" i="4"/>
  <c r="AN2117" i="4"/>
  <c r="AN2134" i="4"/>
  <c r="D1072" i="4"/>
  <c r="D1073" i="4"/>
  <c r="H1099" i="4"/>
  <c r="H1100" i="4"/>
  <c r="D1126" i="4"/>
  <c r="D1127" i="4"/>
  <c r="H1153" i="4"/>
  <c r="H1154" i="4"/>
  <c r="J1172" i="4"/>
  <c r="AR2117" i="4"/>
  <c r="AR2134" i="4"/>
  <c r="D1180" i="4"/>
  <c r="D1181" i="4"/>
  <c r="H1207" i="4"/>
  <c r="H1208" i="4"/>
  <c r="H1198" i="4"/>
  <c r="AT2117" i="4"/>
  <c r="AT2134" i="4"/>
  <c r="D1234" i="4"/>
  <c r="D1235" i="4"/>
  <c r="H1261" i="4"/>
  <c r="H1262" i="4"/>
  <c r="J1280" i="4"/>
  <c r="AV2117" i="4"/>
  <c r="AV2134" i="4"/>
  <c r="J1307" i="4"/>
  <c r="E1315" i="4"/>
  <c r="E1316" i="4"/>
  <c r="H1342" i="4"/>
  <c r="H1343" i="4"/>
  <c r="D1369" i="4"/>
  <c r="D1370" i="4"/>
  <c r="B284" i="1"/>
  <c r="B285" i="1"/>
  <c r="B274" i="1"/>
  <c r="B340" i="1"/>
  <c r="B341" i="1"/>
  <c r="B330" i="1"/>
  <c r="AF2385" i="1"/>
  <c r="AF2402" i="1"/>
  <c r="I884" i="1"/>
  <c r="J891" i="1"/>
  <c r="F110" i="4"/>
  <c r="F111" i="4"/>
  <c r="G138" i="4"/>
  <c r="G139" i="4"/>
  <c r="F166" i="4"/>
  <c r="F167" i="4"/>
  <c r="C194" i="4"/>
  <c r="C195" i="4"/>
  <c r="G222" i="4"/>
  <c r="G223" i="4"/>
  <c r="G212" i="4"/>
  <c r="B249" i="4"/>
  <c r="B250" i="4"/>
  <c r="C276" i="4"/>
  <c r="C277" i="4"/>
  <c r="G303" i="4"/>
  <c r="G304" i="4"/>
  <c r="F331" i="4"/>
  <c r="F332" i="4"/>
  <c r="F387" i="4"/>
  <c r="F388" i="4"/>
  <c r="G415" i="4"/>
  <c r="G416" i="4"/>
  <c r="C443" i="4"/>
  <c r="C444" i="4"/>
  <c r="C471" i="4"/>
  <c r="C472" i="4"/>
  <c r="C499" i="4"/>
  <c r="C500" i="4"/>
  <c r="C527" i="4"/>
  <c r="C528" i="4"/>
  <c r="C518" i="4"/>
  <c r="B555" i="4"/>
  <c r="B556" i="4"/>
  <c r="C583" i="4"/>
  <c r="C584" i="4"/>
  <c r="F611" i="4"/>
  <c r="F612" i="4"/>
  <c r="G639" i="4"/>
  <c r="G640" i="4"/>
  <c r="B667" i="4"/>
  <c r="B668" i="4"/>
  <c r="C694" i="4"/>
  <c r="C695" i="4"/>
  <c r="C684" i="4"/>
  <c r="F721" i="4"/>
  <c r="F722" i="4"/>
  <c r="G748" i="4"/>
  <c r="G749" i="4"/>
  <c r="B775" i="4"/>
  <c r="B776" i="4"/>
  <c r="C802" i="4"/>
  <c r="C803" i="4"/>
  <c r="F829" i="4"/>
  <c r="F830" i="4"/>
  <c r="G856" i="4"/>
  <c r="G857" i="4"/>
  <c r="C883" i="4"/>
  <c r="C884" i="4"/>
  <c r="C874" i="4"/>
  <c r="C910" i="4"/>
  <c r="C911" i="4"/>
  <c r="C900" i="4"/>
  <c r="G937" i="4"/>
  <c r="G938" i="4"/>
  <c r="G928" i="4"/>
  <c r="G964" i="4"/>
  <c r="G965" i="4"/>
  <c r="C991" i="4"/>
  <c r="C992" i="4"/>
  <c r="F1072" i="4"/>
  <c r="F1073" i="4"/>
  <c r="F1062" i="4"/>
  <c r="B1099" i="4"/>
  <c r="B1100" i="4"/>
  <c r="B1090" i="4"/>
  <c r="F1126" i="4"/>
  <c r="F1127" i="4"/>
  <c r="F1116" i="4"/>
  <c r="B1153" i="4"/>
  <c r="B1154" i="4"/>
  <c r="B1144" i="4"/>
  <c r="F1180" i="4"/>
  <c r="F1181" i="4"/>
  <c r="F1170" i="4"/>
  <c r="B1207" i="4"/>
  <c r="B1208" i="4"/>
  <c r="B1198" i="4"/>
  <c r="F1234" i="4"/>
  <c r="F1235" i="4"/>
  <c r="B1261" i="4"/>
  <c r="B1262" i="4"/>
  <c r="G1288" i="4"/>
  <c r="G1289" i="4"/>
  <c r="G1279" i="4"/>
  <c r="G1315" i="4"/>
  <c r="G1316" i="4"/>
  <c r="G1305" i="4"/>
  <c r="B1342" i="4"/>
  <c r="B1343" i="4"/>
  <c r="B1333" i="4"/>
  <c r="F1369" i="4"/>
  <c r="F1370" i="4"/>
  <c r="F1359" i="4"/>
  <c r="B140" i="1"/>
  <c r="B141" i="1"/>
  <c r="B130" i="1"/>
  <c r="D140" i="1"/>
  <c r="D141" i="1"/>
  <c r="D130" i="1"/>
  <c r="G225" i="1"/>
  <c r="G226" i="1"/>
  <c r="G216" i="1"/>
  <c r="G256" i="1"/>
  <c r="G257" i="1"/>
  <c r="G247" i="1"/>
  <c r="C312" i="1"/>
  <c r="C313" i="1"/>
  <c r="C303" i="1"/>
  <c r="C368" i="1"/>
  <c r="C369" i="1"/>
  <c r="C358" i="1"/>
  <c r="E368" i="1"/>
  <c r="E369" i="1"/>
  <c r="E359" i="1"/>
  <c r="B871" i="1"/>
  <c r="B872" i="1"/>
  <c r="B862" i="1"/>
  <c r="D871" i="1"/>
  <c r="D872" i="1"/>
  <c r="D862" i="1"/>
  <c r="G899" i="1"/>
  <c r="G900" i="1"/>
  <c r="G890" i="1"/>
  <c r="B927" i="1"/>
  <c r="B928" i="1"/>
  <c r="B918" i="1"/>
  <c r="D927" i="1"/>
  <c r="D928" i="1"/>
  <c r="D918" i="1"/>
  <c r="C1198" i="1"/>
  <c r="C1199" i="1"/>
  <c r="C1188" i="1"/>
  <c r="C1253" i="1"/>
  <c r="C1254" i="1"/>
  <c r="C1243" i="1"/>
  <c r="G1361" i="1"/>
  <c r="G1362" i="1"/>
  <c r="G1351" i="1"/>
  <c r="G25" i="6"/>
  <c r="G26" i="6"/>
  <c r="G15" i="6"/>
  <c r="AG894" i="6"/>
  <c r="B851" i="3"/>
  <c r="B850" i="3"/>
  <c r="E768" i="3"/>
  <c r="E767" i="3"/>
  <c r="D1391" i="3"/>
  <c r="D1390" i="3"/>
  <c r="C571" i="3"/>
  <c r="C570" i="3"/>
  <c r="I632" i="3"/>
  <c r="I1206" i="3"/>
  <c r="I133" i="2"/>
  <c r="I135" i="2"/>
  <c r="I162" i="2"/>
  <c r="I447" i="2"/>
  <c r="I476" i="2"/>
  <c r="I505" i="2"/>
  <c r="I534" i="2"/>
  <c r="I562" i="2"/>
  <c r="I590" i="2"/>
  <c r="I647" i="2"/>
  <c r="I676" i="2"/>
  <c r="I705" i="2"/>
  <c r="I733" i="2"/>
  <c r="I761" i="2"/>
  <c r="I789" i="2"/>
  <c r="I817" i="2"/>
  <c r="I873" i="2"/>
  <c r="I901" i="2"/>
  <c r="I929" i="2"/>
  <c r="I985" i="2"/>
  <c r="I1069" i="2"/>
  <c r="I46" i="4"/>
  <c r="J1228" i="2"/>
  <c r="AS2179" i="2"/>
  <c r="AS2202" i="2"/>
  <c r="J1284" i="2"/>
  <c r="AU2179" i="2"/>
  <c r="AU2202" i="2"/>
  <c r="H27" i="4"/>
  <c r="H28" i="4"/>
  <c r="F497" i="3"/>
  <c r="F498" i="3"/>
  <c r="B580" i="3"/>
  <c r="B581" i="3"/>
  <c r="F580" i="3"/>
  <c r="F581" i="3"/>
  <c r="C608" i="3"/>
  <c r="C609" i="3"/>
  <c r="G608" i="3"/>
  <c r="G609" i="3"/>
  <c r="C637" i="3"/>
  <c r="C638" i="3"/>
  <c r="C665" i="3"/>
  <c r="C666" i="3"/>
  <c r="E665" i="3"/>
  <c r="E666" i="3"/>
  <c r="D693" i="3"/>
  <c r="D694" i="3"/>
  <c r="E749" i="3"/>
  <c r="E750" i="3"/>
  <c r="D887" i="3"/>
  <c r="D888" i="3"/>
  <c r="H887" i="3"/>
  <c r="H888" i="3"/>
  <c r="E914" i="3"/>
  <c r="E915" i="3"/>
  <c r="J936" i="3"/>
  <c r="J929" i="3"/>
  <c r="AH2286" i="3"/>
  <c r="AH2302" i="3"/>
  <c r="I929" i="3"/>
  <c r="AH2279" i="3"/>
  <c r="H941" i="3"/>
  <c r="H942" i="3"/>
  <c r="E968" i="3"/>
  <c r="E969" i="3"/>
  <c r="C1130" i="3"/>
  <c r="C1131" i="3"/>
  <c r="E1130" i="3"/>
  <c r="E1131" i="3"/>
  <c r="G1130" i="3"/>
  <c r="G1131" i="3"/>
  <c r="G1157" i="3"/>
  <c r="G1158" i="3"/>
  <c r="C1211" i="3"/>
  <c r="C1212" i="3"/>
  <c r="G1265" i="3"/>
  <c r="G1266" i="3"/>
  <c r="J1287" i="3"/>
  <c r="I1289" i="3"/>
  <c r="I1280" i="3"/>
  <c r="AU2279" i="3"/>
  <c r="AU2286" i="3"/>
  <c r="AU2302" i="3"/>
  <c r="G1319" i="3"/>
  <c r="G1320" i="3"/>
  <c r="C1373" i="3"/>
  <c r="C1374" i="3"/>
  <c r="G1373" i="3"/>
  <c r="G1374" i="3"/>
  <c r="C1427" i="3"/>
  <c r="C1428" i="3"/>
  <c r="I1451" i="3"/>
  <c r="I1442" i="3"/>
  <c r="BA2279" i="3"/>
  <c r="BA2286" i="3"/>
  <c r="BA2302" i="3"/>
  <c r="J1449" i="3"/>
  <c r="F1454" i="3"/>
  <c r="F1455" i="3"/>
  <c r="F1444" i="3"/>
  <c r="E27" i="2"/>
  <c r="E28" i="2"/>
  <c r="E17" i="2"/>
  <c r="G27" i="2"/>
  <c r="G28" i="2"/>
  <c r="G17" i="2"/>
  <c r="B138" i="2"/>
  <c r="B139" i="2"/>
  <c r="B128" i="2"/>
  <c r="C167" i="2"/>
  <c r="C168" i="2"/>
  <c r="J206" i="4"/>
  <c r="I2109" i="4"/>
  <c r="I2132" i="4"/>
  <c r="N2109" i="4"/>
  <c r="N2132" i="4"/>
  <c r="J343" i="4"/>
  <c r="P2109" i="4"/>
  <c r="P2132" i="4"/>
  <c r="J399" i="4"/>
  <c r="E471" i="4"/>
  <c r="E472" i="4"/>
  <c r="E461" i="4"/>
  <c r="E527" i="4"/>
  <c r="E528" i="4"/>
  <c r="E517" i="4"/>
  <c r="X2109" i="4"/>
  <c r="X2132" i="4"/>
  <c r="J623" i="4"/>
  <c r="AB2109" i="4"/>
  <c r="AB2132" i="4"/>
  <c r="J732" i="4"/>
  <c r="AF2109" i="4"/>
  <c r="AF2132" i="4"/>
  <c r="J840" i="4"/>
  <c r="AJ2109" i="4"/>
  <c r="AJ2132" i="4"/>
  <c r="J948" i="4"/>
  <c r="AL2123" i="4"/>
  <c r="AL2139" i="4"/>
  <c r="B425" i="2"/>
  <c r="B426" i="2"/>
  <c r="B416" i="2"/>
  <c r="F454" i="2"/>
  <c r="F455" i="2"/>
  <c r="F483" i="2"/>
  <c r="F484" i="2"/>
  <c r="H483" i="2"/>
  <c r="H484" i="2"/>
  <c r="H474" i="2"/>
  <c r="F512" i="2"/>
  <c r="F513" i="2"/>
  <c r="F503" i="2"/>
  <c r="F541" i="2"/>
  <c r="F542" i="2"/>
  <c r="F532" i="2"/>
  <c r="H541" i="2"/>
  <c r="H542" i="2"/>
  <c r="H532" i="2"/>
  <c r="G569" i="2"/>
  <c r="G570" i="2"/>
  <c r="G560" i="2"/>
  <c r="F597" i="2"/>
  <c r="F598" i="2"/>
  <c r="F587" i="2"/>
  <c r="G625" i="2"/>
  <c r="G626" i="2"/>
  <c r="F654" i="2"/>
  <c r="F655" i="2"/>
  <c r="G683" i="2"/>
  <c r="G684" i="2"/>
  <c r="F712" i="2"/>
  <c r="F713" i="2"/>
  <c r="G740" i="2"/>
  <c r="G741" i="2"/>
  <c r="F768" i="2"/>
  <c r="F769" i="2"/>
  <c r="G796" i="2"/>
  <c r="G797" i="2"/>
  <c r="F824" i="2"/>
  <c r="F825" i="2"/>
  <c r="G852" i="2"/>
  <c r="G853" i="2"/>
  <c r="G843" i="2"/>
  <c r="F880" i="2"/>
  <c r="F881" i="2"/>
  <c r="G908" i="2"/>
  <c r="G909" i="2"/>
  <c r="AH2201" i="2"/>
  <c r="G936" i="2"/>
  <c r="G937" i="2"/>
  <c r="G964" i="2"/>
  <c r="G965" i="2"/>
  <c r="G992" i="2"/>
  <c r="G993" i="2"/>
  <c r="G1020" i="2"/>
  <c r="G1021" i="2"/>
  <c r="F1076" i="2"/>
  <c r="F1077" i="2"/>
  <c r="I12" i="4"/>
  <c r="G54" i="4"/>
  <c r="G55" i="4"/>
  <c r="B82" i="4"/>
  <c r="B83" i="4"/>
  <c r="D82" i="4"/>
  <c r="D83" i="4"/>
  <c r="D73" i="4"/>
  <c r="E225" i="1"/>
  <c r="E226" i="1"/>
  <c r="E216" i="1"/>
  <c r="E256" i="1"/>
  <c r="E257" i="1"/>
  <c r="E246" i="1"/>
  <c r="H284" i="1"/>
  <c r="H285" i="1"/>
  <c r="E312" i="1"/>
  <c r="E313" i="1"/>
  <c r="E302" i="1"/>
  <c r="H340" i="1"/>
  <c r="H341" i="1"/>
  <c r="J408" i="1"/>
  <c r="O2372" i="1"/>
  <c r="O2400" i="1"/>
  <c r="J548" i="1"/>
  <c r="T2372" i="1"/>
  <c r="T2400" i="1"/>
  <c r="J604" i="1"/>
  <c r="V2372" i="1"/>
  <c r="V2400" i="1"/>
  <c r="J659" i="1"/>
  <c r="X2372" i="1"/>
  <c r="X2400" i="1"/>
  <c r="J799" i="1"/>
  <c r="AC2372" i="1"/>
  <c r="AC2400" i="1"/>
  <c r="G843" i="1"/>
  <c r="G844" i="1"/>
  <c r="E1198" i="1"/>
  <c r="E1199" i="1"/>
  <c r="J1237" i="1"/>
  <c r="AS2372" i="1"/>
  <c r="AS2400" i="1"/>
  <c r="C1280" i="1"/>
  <c r="C1281" i="1"/>
  <c r="J1291" i="1"/>
  <c r="AU2372" i="1"/>
  <c r="AU2400" i="1"/>
  <c r="J1318" i="1"/>
  <c r="AV2372" i="1"/>
  <c r="AV2400" i="1"/>
  <c r="J1345" i="1"/>
  <c r="AW2372" i="1"/>
  <c r="AW2400" i="1"/>
  <c r="C1388" i="1"/>
  <c r="C1389" i="1"/>
  <c r="J1399" i="1"/>
  <c r="AY2372" i="1"/>
  <c r="AY2400" i="1"/>
  <c r="J1561" i="1"/>
  <c r="BE2372" i="1"/>
  <c r="BE2400" i="1"/>
  <c r="J36" i="6"/>
  <c r="C873" i="6"/>
  <c r="E368" i="2"/>
  <c r="E369" i="2"/>
  <c r="G396" i="2"/>
  <c r="G397" i="2"/>
  <c r="B454" i="2"/>
  <c r="B455" i="2"/>
  <c r="B483" i="2"/>
  <c r="B484" i="2"/>
  <c r="D483" i="2"/>
  <c r="D484" i="2"/>
  <c r="B512" i="2"/>
  <c r="B513" i="2"/>
  <c r="B541" i="2"/>
  <c r="B542" i="2"/>
  <c r="D541" i="2"/>
  <c r="D542" i="2"/>
  <c r="C569" i="2"/>
  <c r="C570" i="2"/>
  <c r="B597" i="2"/>
  <c r="B598" i="2"/>
  <c r="C625" i="2"/>
  <c r="C626" i="2"/>
  <c r="B654" i="2"/>
  <c r="B655" i="2"/>
  <c r="C683" i="2"/>
  <c r="C684" i="2"/>
  <c r="B712" i="2"/>
  <c r="B713" i="2"/>
  <c r="C740" i="2"/>
  <c r="C741" i="2"/>
  <c r="B768" i="2"/>
  <c r="B769" i="2"/>
  <c r="C796" i="2"/>
  <c r="C797" i="2"/>
  <c r="B824" i="2"/>
  <c r="B825" i="2"/>
  <c r="C852" i="2"/>
  <c r="C853" i="2"/>
  <c r="B880" i="2"/>
  <c r="B881" i="2"/>
  <c r="C908" i="2"/>
  <c r="C909" i="2"/>
  <c r="C936" i="2"/>
  <c r="C937" i="2"/>
  <c r="C964" i="2"/>
  <c r="C965" i="2"/>
  <c r="C992" i="2"/>
  <c r="C993" i="2"/>
  <c r="C1020" i="2"/>
  <c r="C1021" i="2"/>
  <c r="F1048" i="2"/>
  <c r="F1049" i="2"/>
  <c r="H1048" i="2"/>
  <c r="H1049" i="2"/>
  <c r="B1076" i="2"/>
  <c r="B1077" i="2"/>
  <c r="C54" i="4"/>
  <c r="C55" i="4"/>
  <c r="E54" i="4"/>
  <c r="E55" i="4"/>
  <c r="F82" i="4"/>
  <c r="F83" i="4"/>
  <c r="H82" i="4"/>
  <c r="H83" i="4"/>
  <c r="B110" i="4"/>
  <c r="B111" i="4"/>
  <c r="AH887" i="6"/>
  <c r="AI887" i="6"/>
  <c r="C138" i="4"/>
  <c r="C139" i="4"/>
  <c r="B166" i="4"/>
  <c r="B167" i="4"/>
  <c r="E194" i="4"/>
  <c r="E195" i="4"/>
  <c r="G194" i="4"/>
  <c r="G195" i="4"/>
  <c r="C222" i="4"/>
  <c r="C223" i="4"/>
  <c r="F249" i="4"/>
  <c r="F250" i="4"/>
  <c r="G276" i="4"/>
  <c r="G277" i="4"/>
  <c r="C303" i="4"/>
  <c r="C304" i="4"/>
  <c r="B331" i="4"/>
  <c r="B332" i="4"/>
  <c r="B387" i="4"/>
  <c r="B388" i="4"/>
  <c r="C415" i="4"/>
  <c r="C416" i="4"/>
  <c r="G443" i="4"/>
  <c r="G444" i="4"/>
  <c r="G471" i="4"/>
  <c r="G472" i="4"/>
  <c r="G499" i="4"/>
  <c r="G500" i="4"/>
  <c r="G527" i="4"/>
  <c r="G528" i="4"/>
  <c r="F555" i="4"/>
  <c r="F556" i="4"/>
  <c r="G583" i="4"/>
  <c r="G584" i="4"/>
  <c r="B611" i="4"/>
  <c r="B612" i="4"/>
  <c r="C639" i="4"/>
  <c r="C640" i="4"/>
  <c r="F667" i="4"/>
  <c r="F668" i="4"/>
  <c r="G694" i="4"/>
  <c r="G695" i="4"/>
  <c r="B721" i="4"/>
  <c r="B722" i="4"/>
  <c r="C748" i="4"/>
  <c r="C749" i="4"/>
  <c r="F775" i="4"/>
  <c r="F776" i="4"/>
  <c r="G802" i="4"/>
  <c r="G803" i="4"/>
  <c r="B829" i="4"/>
  <c r="B830" i="4"/>
  <c r="C856" i="4"/>
  <c r="C857" i="4"/>
  <c r="G883" i="4"/>
  <c r="G884" i="4"/>
  <c r="G910" i="4"/>
  <c r="G911" i="4"/>
  <c r="C937" i="4"/>
  <c r="C938" i="4"/>
  <c r="C964" i="4"/>
  <c r="C965" i="4"/>
  <c r="G991" i="4"/>
  <c r="G992" i="4"/>
  <c r="AN2131" i="4"/>
  <c r="B1072" i="4"/>
  <c r="B1073" i="4"/>
  <c r="B1063" i="4"/>
  <c r="F1099" i="4"/>
  <c r="F1100" i="4"/>
  <c r="B1126" i="4"/>
  <c r="B1127" i="4"/>
  <c r="B1117" i="4"/>
  <c r="F1153" i="4"/>
  <c r="F1154" i="4"/>
  <c r="B1180" i="4"/>
  <c r="B1181" i="4"/>
  <c r="B1170" i="4"/>
  <c r="F1207" i="4"/>
  <c r="F1208" i="4"/>
  <c r="F1197" i="4"/>
  <c r="B1234" i="4"/>
  <c r="B1235" i="4"/>
  <c r="B1224" i="4"/>
  <c r="F1261" i="4"/>
  <c r="F1262" i="4"/>
  <c r="F1251" i="4"/>
  <c r="C1288" i="4"/>
  <c r="C1289" i="4"/>
  <c r="C1278" i="4"/>
  <c r="C1315" i="4"/>
  <c r="C1316" i="4"/>
  <c r="F1342" i="4"/>
  <c r="F1343" i="4"/>
  <c r="F1332" i="4"/>
  <c r="B1369" i="4"/>
  <c r="B1370" i="4"/>
  <c r="F140" i="1"/>
  <c r="F141" i="1"/>
  <c r="F131" i="1"/>
  <c r="H140" i="1"/>
  <c r="H141" i="1"/>
  <c r="C225" i="1"/>
  <c r="C226" i="1"/>
  <c r="C256" i="1"/>
  <c r="C257" i="1"/>
  <c r="I269" i="1"/>
  <c r="J276" i="1"/>
  <c r="G312" i="1"/>
  <c r="G313" i="1"/>
  <c r="G303" i="1"/>
  <c r="J332" i="1"/>
  <c r="I325" i="1"/>
  <c r="G368" i="1"/>
  <c r="G369" i="1"/>
  <c r="F871" i="1"/>
  <c r="F872" i="1"/>
  <c r="H871" i="1"/>
  <c r="H872" i="1"/>
  <c r="H862" i="1"/>
  <c r="C899" i="1"/>
  <c r="C900" i="1"/>
  <c r="F927" i="1"/>
  <c r="F928" i="1"/>
  <c r="H927" i="1"/>
  <c r="H928" i="1"/>
  <c r="H1036" i="1"/>
  <c r="H1037" i="1"/>
  <c r="H1026" i="1"/>
  <c r="G1198" i="1"/>
  <c r="G1199" i="1"/>
  <c r="AR2399" i="1"/>
  <c r="C1225" i="1"/>
  <c r="C1226" i="1"/>
  <c r="G1253" i="1"/>
  <c r="G1254" i="1"/>
  <c r="C1361" i="1"/>
  <c r="C1362" i="1"/>
  <c r="D249" i="4"/>
  <c r="D250" i="4"/>
  <c r="E276" i="4"/>
  <c r="E277" i="4"/>
  <c r="H331" i="4"/>
  <c r="H332" i="4"/>
  <c r="H387" i="4"/>
  <c r="H388" i="4"/>
  <c r="D555" i="4"/>
  <c r="D556" i="4"/>
  <c r="E583" i="4"/>
  <c r="E584" i="4"/>
  <c r="H611" i="4"/>
  <c r="H612" i="4"/>
  <c r="D667" i="4"/>
  <c r="D668" i="4"/>
  <c r="E694" i="4"/>
  <c r="E695" i="4"/>
  <c r="H721" i="4"/>
  <c r="H722" i="4"/>
  <c r="D775" i="4"/>
  <c r="D776" i="4"/>
  <c r="E802" i="4"/>
  <c r="E803" i="4"/>
  <c r="H829" i="4"/>
  <c r="H830" i="4"/>
  <c r="E910" i="4"/>
  <c r="E911" i="4"/>
  <c r="H1072" i="4"/>
  <c r="H1073" i="4"/>
  <c r="D1099" i="4"/>
  <c r="D1100" i="4"/>
  <c r="H1126" i="4"/>
  <c r="H1127" i="4"/>
  <c r="D1153" i="4"/>
  <c r="D1154" i="4"/>
  <c r="H1180" i="4"/>
  <c r="H1181" i="4"/>
  <c r="D1207" i="4"/>
  <c r="D1208" i="4"/>
  <c r="H1234" i="4"/>
  <c r="H1235" i="4"/>
  <c r="D1261" i="4"/>
  <c r="D1262" i="4"/>
  <c r="D1342" i="4"/>
  <c r="D1343" i="4"/>
  <c r="H1369" i="4"/>
  <c r="H1370" i="4"/>
  <c r="F284" i="1"/>
  <c r="F285" i="1"/>
  <c r="F340" i="1"/>
  <c r="F341" i="1"/>
  <c r="E899" i="1"/>
  <c r="E900" i="1"/>
  <c r="E1225" i="1"/>
  <c r="E1226" i="1"/>
  <c r="B881" i="6"/>
  <c r="C380" i="3"/>
  <c r="C379" i="3"/>
  <c r="G767" i="3"/>
  <c r="G768" i="3"/>
  <c r="C767" i="3"/>
  <c r="C768" i="3"/>
  <c r="D1283" i="3"/>
  <c r="D1282" i="3"/>
  <c r="D1228" i="3"/>
  <c r="D1229" i="3"/>
  <c r="D1175" i="3"/>
  <c r="D1174" i="3"/>
  <c r="E1067" i="3"/>
  <c r="E1066" i="3"/>
  <c r="B904" i="3"/>
  <c r="B905" i="3"/>
  <c r="E822" i="3"/>
  <c r="E823" i="3"/>
  <c r="C297" i="3"/>
  <c r="C298" i="3"/>
  <c r="E212" i="3"/>
  <c r="E213" i="3"/>
  <c r="H184" i="3"/>
  <c r="H185" i="3"/>
  <c r="D185" i="3"/>
  <c r="D184" i="3"/>
  <c r="I391" i="2"/>
  <c r="L459" i="1"/>
  <c r="I186" i="4"/>
  <c r="I241" i="4"/>
  <c r="I268" i="4"/>
  <c r="I548" i="4"/>
  <c r="I576" i="4"/>
  <c r="I687" i="4"/>
  <c r="I795" i="4"/>
  <c r="I876" i="4"/>
  <c r="I903" i="4"/>
  <c r="I984" i="4"/>
  <c r="I1091" i="4"/>
  <c r="I1145" i="4"/>
  <c r="I1199" i="4"/>
  <c r="I1253" i="4"/>
  <c r="I1334" i="4"/>
  <c r="AX2117" i="4"/>
  <c r="AX2134" i="4"/>
  <c r="I132" i="1"/>
  <c r="Y2121" i="4"/>
  <c r="Y2138" i="4"/>
  <c r="J579" i="4"/>
  <c r="AC2120" i="4"/>
  <c r="AC2137" i="4"/>
  <c r="E2121" i="4"/>
  <c r="J411" i="4"/>
  <c r="AY2121" i="4"/>
  <c r="AY2138" i="4"/>
  <c r="J182" i="1"/>
  <c r="J185" i="1"/>
  <c r="J1285" i="2"/>
  <c r="R2385" i="1"/>
  <c r="R2402" i="1"/>
  <c r="I493" i="1"/>
  <c r="J500" i="1"/>
  <c r="J493" i="1"/>
  <c r="C1648" i="5"/>
  <c r="C1665" i="5"/>
  <c r="J50" i="5"/>
  <c r="AN2379" i="1"/>
  <c r="AN2374" i="1"/>
  <c r="R2381" i="1"/>
  <c r="R2376" i="1"/>
  <c r="J477" i="1"/>
  <c r="Q2390" i="1"/>
  <c r="AA2379" i="1"/>
  <c r="AA2374" i="1"/>
  <c r="BA2390" i="1"/>
  <c r="J1466" i="1"/>
  <c r="AZ2390" i="1"/>
  <c r="J1439" i="1"/>
  <c r="AJ2390" i="1"/>
  <c r="J1006" i="1"/>
  <c r="J728" i="1"/>
  <c r="Z2390" i="1"/>
  <c r="AA2378" i="1"/>
  <c r="AA2373" i="1"/>
  <c r="AA2381" i="1"/>
  <c r="AA2376" i="1"/>
  <c r="J123" i="3"/>
  <c r="J747" i="1"/>
  <c r="BC2390" i="1"/>
  <c r="J1520" i="1"/>
  <c r="J1087" i="1"/>
  <c r="AM2390" i="1"/>
  <c r="AG2376" i="1"/>
  <c r="AG2381" i="1"/>
  <c r="V2373" i="1"/>
  <c r="V2378" i="1"/>
  <c r="J1185" i="2"/>
  <c r="I1177" i="2"/>
  <c r="AQ2184" i="2"/>
  <c r="I1173" i="2"/>
  <c r="AQ2180" i="2"/>
  <c r="I1175" i="2"/>
  <c r="AQ2182" i="2"/>
  <c r="I1176" i="2"/>
  <c r="AQ2183" i="2"/>
  <c r="I1187" i="2"/>
  <c r="I1174" i="2"/>
  <c r="AQ2181" i="2"/>
  <c r="AQ2192" i="2"/>
  <c r="J1358" i="1"/>
  <c r="AW2390" i="1"/>
  <c r="AO2390" i="1"/>
  <c r="J1141" i="1"/>
  <c r="AG2379" i="1"/>
  <c r="AG2374" i="1"/>
  <c r="V2382" i="1"/>
  <c r="V2377" i="1"/>
  <c r="AA2375" i="1"/>
  <c r="AA2380" i="1"/>
  <c r="J746" i="1"/>
  <c r="J748" i="1"/>
  <c r="J744" i="1"/>
  <c r="P2118" i="4"/>
  <c r="I219" i="4"/>
  <c r="I207" i="4"/>
  <c r="I2110" i="4"/>
  <c r="J130" i="4"/>
  <c r="AJ2119" i="4"/>
  <c r="AJ2136" i="4"/>
  <c r="J825" i="4"/>
  <c r="J271" i="4"/>
  <c r="J134" i="4"/>
  <c r="J127" i="4"/>
  <c r="AG2119" i="4"/>
  <c r="AG2136" i="4"/>
  <c r="J606" i="4"/>
  <c r="AR2121" i="4"/>
  <c r="AR2138" i="4"/>
  <c r="J635" i="4"/>
  <c r="P2119" i="4"/>
  <c r="P2136" i="4"/>
  <c r="J1203" i="4"/>
  <c r="J1338" i="4"/>
  <c r="I14" i="4"/>
  <c r="AB1644" i="5"/>
  <c r="AB1661" i="5"/>
  <c r="J355" i="4"/>
  <c r="Z1646" i="5"/>
  <c r="Z1663" i="5"/>
  <c r="K1646" i="5"/>
  <c r="K1663" i="5"/>
  <c r="J620" i="5"/>
  <c r="V1646" i="5"/>
  <c r="V1663" i="5"/>
  <c r="R1644" i="5"/>
  <c r="R1661" i="5"/>
  <c r="H1647" i="5"/>
  <c r="H1664" i="5"/>
  <c r="V1644" i="5"/>
  <c r="V1661" i="5"/>
  <c r="V1667" i="5"/>
  <c r="J460" i="5"/>
  <c r="J188" i="5"/>
  <c r="G1644" i="5"/>
  <c r="G1661" i="5"/>
  <c r="U1646" i="5"/>
  <c r="U1663" i="5"/>
  <c r="J352" i="5"/>
  <c r="J865" i="5"/>
  <c r="AC1644" i="5"/>
  <c r="AC1661" i="5"/>
  <c r="J130" i="5"/>
  <c r="J74" i="5"/>
  <c r="AB1646" i="5"/>
  <c r="AB1663" i="5"/>
  <c r="AC1647" i="5"/>
  <c r="AC1664" i="5"/>
  <c r="I893" i="5"/>
  <c r="AH1649" i="5"/>
  <c r="J889" i="5"/>
  <c r="AC1645" i="5"/>
  <c r="AC1662" i="5"/>
  <c r="I245" i="5"/>
  <c r="I236" i="5"/>
  <c r="J1640" i="5"/>
  <c r="J646" i="5"/>
  <c r="J403" i="5"/>
  <c r="J349" i="5"/>
  <c r="L1645" i="5"/>
  <c r="L1662" i="5"/>
  <c r="J485" i="5"/>
  <c r="J271" i="5"/>
  <c r="Y1644" i="5"/>
  <c r="Y1661" i="5"/>
  <c r="Y1667" i="5"/>
  <c r="J672" i="5"/>
  <c r="J405" i="5"/>
  <c r="M1644" i="5"/>
  <c r="M1661" i="5"/>
  <c r="L1647" i="5"/>
  <c r="L1664" i="5"/>
  <c r="H1644" i="5"/>
  <c r="H1661" i="5"/>
  <c r="I1646" i="5"/>
  <c r="I1663" i="5"/>
  <c r="AG1646" i="5"/>
  <c r="AG1663" i="5"/>
  <c r="I81" i="5"/>
  <c r="J888" i="5"/>
  <c r="J702" i="5"/>
  <c r="J46" i="5"/>
  <c r="I67" i="5"/>
  <c r="D1637" i="5"/>
  <c r="I785" i="5"/>
  <c r="I758" i="5"/>
  <c r="I569" i="5"/>
  <c r="I542" i="5"/>
  <c r="I531" i="5"/>
  <c r="U1638" i="5"/>
  <c r="I299" i="5"/>
  <c r="I434" i="5"/>
  <c r="I380" i="5"/>
  <c r="I353" i="5"/>
  <c r="J622" i="5"/>
  <c r="T1646" i="5"/>
  <c r="T1663" i="5"/>
  <c r="H1648" i="5"/>
  <c r="H1665" i="5"/>
  <c r="J595" i="5"/>
  <c r="AG1647" i="5"/>
  <c r="AG1664" i="5"/>
  <c r="AF1646" i="5"/>
  <c r="AF1663" i="5"/>
  <c r="D1647" i="5"/>
  <c r="D1664" i="5"/>
  <c r="I596" i="5"/>
  <c r="I585" i="5"/>
  <c r="W1638" i="5"/>
  <c r="D1648" i="5"/>
  <c r="D1665" i="5"/>
  <c r="J296" i="5"/>
  <c r="U1647" i="5"/>
  <c r="U1664" i="5"/>
  <c r="J703" i="5"/>
  <c r="J269" i="1"/>
  <c r="I308" i="2"/>
  <c r="I299" i="2"/>
  <c r="L2183" i="2"/>
  <c r="J1265" i="2"/>
  <c r="AN2190" i="2"/>
  <c r="AN2207" i="2"/>
  <c r="BB2303" i="3"/>
  <c r="J1477" i="3"/>
  <c r="I1476" i="3"/>
  <c r="N2120" i="4"/>
  <c r="N2137" i="4"/>
  <c r="N2140" i="4"/>
  <c r="J354" i="4"/>
  <c r="C2118" i="4"/>
  <c r="J47" i="4"/>
  <c r="AP2117" i="4"/>
  <c r="AP2134" i="4"/>
  <c r="I934" i="4"/>
  <c r="J934" i="4"/>
  <c r="J923" i="4"/>
  <c r="AL2121" i="4"/>
  <c r="AL2138" i="4"/>
  <c r="J933" i="4"/>
  <c r="AD2120" i="4"/>
  <c r="AD2137" i="4"/>
  <c r="Y2120" i="4"/>
  <c r="Y2137" i="4"/>
  <c r="V2120" i="4"/>
  <c r="V2137" i="4"/>
  <c r="J851" i="4"/>
  <c r="I356" i="4"/>
  <c r="I345" i="4"/>
  <c r="N2111" i="4"/>
  <c r="J957" i="2"/>
  <c r="I1213" i="2"/>
  <c r="I1202" i="2"/>
  <c r="AR2181" i="2"/>
  <c r="AY2303" i="3"/>
  <c r="J1396" i="3"/>
  <c r="I1473" i="3"/>
  <c r="I829" i="3"/>
  <c r="I820" i="3"/>
  <c r="AD2279" i="3"/>
  <c r="I1474" i="3"/>
  <c r="BB2284" i="3"/>
  <c r="BB2300" i="3"/>
  <c r="J1232" i="3"/>
  <c r="J1361" i="4"/>
  <c r="J214" i="4"/>
  <c r="F2117" i="4"/>
  <c r="F2134" i="4"/>
  <c r="AB2120" i="4"/>
  <c r="AB2137" i="4"/>
  <c r="C2120" i="4"/>
  <c r="J407" i="4"/>
  <c r="J1476" i="3"/>
  <c r="BB2286" i="3"/>
  <c r="BB2302" i="3"/>
  <c r="I431" i="3"/>
  <c r="Q2279" i="3"/>
  <c r="I467" i="3"/>
  <c r="I1532" i="3"/>
  <c r="BD2288" i="3"/>
  <c r="I304" i="3"/>
  <c r="I295" i="3"/>
  <c r="L2279" i="3"/>
  <c r="I154" i="3"/>
  <c r="I152" i="3"/>
  <c r="I182" i="3"/>
  <c r="H2279" i="3"/>
  <c r="I180" i="3"/>
  <c r="H2277" i="3"/>
  <c r="I151" i="3"/>
  <c r="AB2284" i="3"/>
  <c r="AB2300" i="3"/>
  <c r="J770" i="3"/>
  <c r="J1421" i="3"/>
  <c r="J880" i="3"/>
  <c r="AF2284" i="3"/>
  <c r="AF2300" i="3"/>
  <c r="I1475" i="3"/>
  <c r="AY2285" i="3"/>
  <c r="AY2301" i="3"/>
  <c r="J1394" i="3"/>
  <c r="J1420" i="3"/>
  <c r="AY2284" i="3"/>
  <c r="AY2300" i="3"/>
  <c r="AY2305" i="3"/>
  <c r="J1393" i="3"/>
  <c r="BB2283" i="3"/>
  <c r="BB2299" i="3"/>
  <c r="J1473" i="3"/>
  <c r="J1474" i="3"/>
  <c r="I839" i="5"/>
  <c r="I326" i="5"/>
  <c r="J105" i="2"/>
  <c r="J1383" i="2"/>
  <c r="J1384" i="2"/>
  <c r="I1101" i="2"/>
  <c r="AN2192" i="2"/>
  <c r="J943" i="1"/>
  <c r="J412" i="1"/>
  <c r="J940" i="1"/>
  <c r="J941" i="1"/>
  <c r="I1296" i="1"/>
  <c r="AU2377" i="1"/>
  <c r="BE2388" i="1"/>
  <c r="BE2405" i="1"/>
  <c r="AY2388" i="1"/>
  <c r="AY2405" i="1"/>
  <c r="J325" i="1"/>
  <c r="J884" i="1"/>
  <c r="J1158" i="1"/>
  <c r="J1240" i="2"/>
  <c r="AS2191" i="2"/>
  <c r="AS2208" i="2"/>
  <c r="AW2191" i="2"/>
  <c r="AW2208" i="2"/>
  <c r="J1352" i="2"/>
  <c r="J634" i="4"/>
  <c r="J23" i="4"/>
  <c r="J16" i="4"/>
  <c r="I1442" i="1"/>
  <c r="AZ2393" i="1"/>
  <c r="AW2187" i="2"/>
  <c r="AW2204" i="2"/>
  <c r="J1348" i="2"/>
  <c r="I1353" i="2"/>
  <c r="I1343" i="2"/>
  <c r="AW2182" i="2"/>
  <c r="J1350" i="2"/>
  <c r="AW2189" i="2"/>
  <c r="AW2206" i="2"/>
  <c r="J1236" i="2"/>
  <c r="AS2187" i="2"/>
  <c r="AS2204" i="2"/>
  <c r="I1241" i="2"/>
  <c r="I1231" i="2"/>
  <c r="AS2182" i="2"/>
  <c r="J1351" i="2"/>
  <c r="AW2190" i="2"/>
  <c r="AW2207" i="2"/>
  <c r="AW2188" i="2"/>
  <c r="AW2205" i="2"/>
  <c r="J1349" i="2"/>
  <c r="AS2188" i="2"/>
  <c r="AS2205" i="2"/>
  <c r="J1237" i="2"/>
  <c r="J1239" i="2"/>
  <c r="AS2190" i="2"/>
  <c r="AS2207" i="2"/>
  <c r="AS2189" i="2"/>
  <c r="AS2206" i="2"/>
  <c r="J1238" i="2"/>
  <c r="CF2289" i="3"/>
  <c r="CG2289" i="3"/>
  <c r="T2392" i="1"/>
  <c r="I52" i="1"/>
  <c r="I40" i="1"/>
  <c r="J870" i="1"/>
  <c r="C2386" i="1"/>
  <c r="AE2392" i="1"/>
  <c r="CA2123" i="4"/>
  <c r="CB2123" i="4"/>
  <c r="AY2120" i="4"/>
  <c r="AY2137" i="4"/>
  <c r="J1364" i="4"/>
  <c r="J1288" i="2"/>
  <c r="J1286" i="2"/>
  <c r="J1299" i="2"/>
  <c r="J1300" i="2"/>
  <c r="J1287" i="2"/>
  <c r="C331" i="2"/>
  <c r="C330" i="2"/>
  <c r="F455" i="5"/>
  <c r="F454" i="5"/>
  <c r="AB1648" i="5"/>
  <c r="AB1665" i="5"/>
  <c r="J730" i="5"/>
  <c r="D1645" i="5"/>
  <c r="D1662" i="5"/>
  <c r="J75" i="5"/>
  <c r="I51" i="5"/>
  <c r="I41" i="5"/>
  <c r="C1639" i="5"/>
  <c r="C1646" i="5"/>
  <c r="C1663" i="5"/>
  <c r="J48" i="5"/>
  <c r="J807" i="5"/>
  <c r="AE1644" i="5"/>
  <c r="AE1661" i="5"/>
  <c r="J809" i="5"/>
  <c r="AE1646" i="5"/>
  <c r="AE1663" i="5"/>
  <c r="I107" i="5"/>
  <c r="I97" i="5"/>
  <c r="E1639" i="5"/>
  <c r="E1646" i="5"/>
  <c r="E1663" i="5"/>
  <c r="E1667" i="5"/>
  <c r="J104" i="5"/>
  <c r="AH1647" i="5"/>
  <c r="AH1664" i="5"/>
  <c r="J891" i="5"/>
  <c r="J1230" i="4"/>
  <c r="AT2121" i="4"/>
  <c r="AT2138" i="4"/>
  <c r="AN2377" i="1"/>
  <c r="AN2382" i="1"/>
  <c r="AN2378" i="1"/>
  <c r="AN2373" i="1"/>
  <c r="I11" i="5"/>
  <c r="B1637" i="5"/>
  <c r="I12" i="5"/>
  <c r="B1638" i="5"/>
  <c r="J23" i="5"/>
  <c r="I14" i="5"/>
  <c r="B1640" i="5"/>
  <c r="B1649" i="5"/>
  <c r="I15" i="5"/>
  <c r="B1641" i="5"/>
  <c r="J13" i="5"/>
  <c r="I13" i="5"/>
  <c r="B1639" i="5"/>
  <c r="J180" i="4"/>
  <c r="I152" i="4"/>
  <c r="G2111" i="4"/>
  <c r="J657" i="3"/>
  <c r="J1177" i="3"/>
  <c r="BA2283" i="3"/>
  <c r="BA2299" i="3"/>
  <c r="BA2305" i="3"/>
  <c r="J1446" i="3"/>
  <c r="J825" i="3"/>
  <c r="AD2284" i="3"/>
  <c r="AD2300" i="3"/>
  <c r="J1176" i="3"/>
  <c r="J906" i="3"/>
  <c r="J1178" i="3"/>
  <c r="J1500" i="3"/>
  <c r="BC2283" i="3"/>
  <c r="BC2299" i="3"/>
  <c r="J408" i="3"/>
  <c r="Q2285" i="3"/>
  <c r="Q2301" i="3"/>
  <c r="J437" i="3"/>
  <c r="J1145" i="2"/>
  <c r="J1148" i="2"/>
  <c r="J1146" i="2"/>
  <c r="J563" i="1"/>
  <c r="I1160" i="2"/>
  <c r="AP2195" i="2"/>
  <c r="AP2194" i="2"/>
  <c r="I1161" i="2"/>
  <c r="I70" i="5"/>
  <c r="D1640" i="5"/>
  <c r="I68" i="5"/>
  <c r="D1638" i="5"/>
  <c r="D1649" i="5"/>
  <c r="I69" i="5"/>
  <c r="D1639" i="5"/>
  <c r="I71" i="5"/>
  <c r="D1641" i="5"/>
  <c r="I135" i="5"/>
  <c r="I127" i="5"/>
  <c r="F1641" i="5"/>
  <c r="I26" i="5"/>
  <c r="I27" i="5"/>
  <c r="B1651" i="5"/>
  <c r="I1301" i="2"/>
  <c r="J70" i="4"/>
  <c r="BG2374" i="1"/>
  <c r="AI2374" i="1"/>
  <c r="AI2379" i="1"/>
  <c r="CH2374" i="1"/>
  <c r="BG2375" i="1"/>
  <c r="AI2375" i="1"/>
  <c r="AI2380" i="1"/>
  <c r="CH2375" i="1"/>
  <c r="J410" i="1"/>
  <c r="J968" i="1"/>
  <c r="J971" i="1"/>
  <c r="J535" i="1"/>
  <c r="S2392" i="1"/>
  <c r="I536" i="1"/>
  <c r="BG2373" i="1"/>
  <c r="CH2373" i="1"/>
  <c r="AI2373" i="1"/>
  <c r="AI2378" i="1"/>
  <c r="BG2377" i="1"/>
  <c r="AI2377" i="1"/>
  <c r="AI2382" i="1"/>
  <c r="CH2377" i="1"/>
  <c r="J967" i="1"/>
  <c r="J969" i="1"/>
  <c r="I123" i="5"/>
  <c r="F1637" i="5"/>
  <c r="I256" i="1"/>
  <c r="J255" i="1"/>
  <c r="J2392" i="1"/>
  <c r="J126" i="3"/>
  <c r="I1017" i="2"/>
  <c r="I1006" i="2"/>
  <c r="AK2181" i="2"/>
  <c r="J845" i="2"/>
  <c r="I107" i="2"/>
  <c r="I98" i="2"/>
  <c r="E2183" i="2"/>
  <c r="J802" i="1"/>
  <c r="J578" i="1"/>
  <c r="J124" i="3"/>
  <c r="G2118" i="4"/>
  <c r="G2135" i="4"/>
  <c r="J1369" i="2"/>
  <c r="I41" i="6"/>
  <c r="C878" i="6"/>
  <c r="J74" i="4"/>
  <c r="J67" i="4"/>
  <c r="J1373" i="2"/>
  <c r="J1370" i="2"/>
  <c r="J1371" i="2"/>
  <c r="I1050" i="1"/>
  <c r="J1057" i="1"/>
  <c r="J1050" i="1"/>
  <c r="J1059" i="1"/>
  <c r="J1052" i="1"/>
  <c r="I1052" i="1"/>
  <c r="J1058" i="1"/>
  <c r="J1051" i="1"/>
  <c r="I1051" i="1"/>
  <c r="J1056" i="1"/>
  <c r="J1049" i="1"/>
  <c r="I1049" i="1"/>
  <c r="I1048" i="1"/>
  <c r="J1055" i="1"/>
  <c r="J1048" i="1"/>
  <c r="I1093" i="2"/>
  <c r="AN2184" i="2"/>
  <c r="J1101" i="2"/>
  <c r="J1103" i="2"/>
  <c r="J1104" i="2"/>
  <c r="I1089" i="2"/>
  <c r="AN2180" i="2"/>
  <c r="I1091" i="2"/>
  <c r="AN2182" i="2"/>
  <c r="I1103" i="2"/>
  <c r="I1104" i="2"/>
  <c r="I1092" i="2"/>
  <c r="AN2183" i="2"/>
  <c r="AU2385" i="1"/>
  <c r="AU2402" i="1"/>
  <c r="AU2388" i="1"/>
  <c r="AU2405" i="1"/>
  <c r="AU2408" i="1"/>
  <c r="J1299" i="1"/>
  <c r="J1292" i="1"/>
  <c r="I579" i="1"/>
  <c r="U2380" i="1"/>
  <c r="J586" i="1"/>
  <c r="J579" i="1"/>
  <c r="J1571" i="1"/>
  <c r="J1564" i="1"/>
  <c r="BE2387" i="1"/>
  <c r="BE2404" i="1"/>
  <c r="I1564" i="1"/>
  <c r="AT2189" i="2"/>
  <c r="AT2206" i="2"/>
  <c r="J1266" i="2"/>
  <c r="I1269" i="2"/>
  <c r="I1259" i="2"/>
  <c r="AT2182" i="2"/>
  <c r="J1302" i="1"/>
  <c r="J1295" i="1"/>
  <c r="J584" i="1"/>
  <c r="J577" i="1"/>
  <c r="I577" i="1"/>
  <c r="U2378" i="1"/>
  <c r="J587" i="1"/>
  <c r="J580" i="1"/>
  <c r="I580" i="1"/>
  <c r="U2381" i="1"/>
  <c r="I1563" i="1"/>
  <c r="BE2386" i="1"/>
  <c r="BE2403" i="1"/>
  <c r="J1570" i="1"/>
  <c r="J1563" i="1"/>
  <c r="J1097" i="2"/>
  <c r="AN2188" i="2"/>
  <c r="AN2205" i="2"/>
  <c r="B583" i="1"/>
  <c r="B582" i="1"/>
  <c r="E860" i="5"/>
  <c r="E859" i="5"/>
  <c r="B1659" i="5"/>
  <c r="J132" i="5"/>
  <c r="F1646" i="5"/>
  <c r="F1663" i="5"/>
  <c r="J131" i="5"/>
  <c r="F1645" i="5"/>
  <c r="F1662" i="5"/>
  <c r="J135" i="5"/>
  <c r="J137" i="5"/>
  <c r="J138" i="5"/>
  <c r="F1647" i="5"/>
  <c r="F1664" i="5"/>
  <c r="J133" i="5"/>
  <c r="I1017" i="4"/>
  <c r="I1018" i="4"/>
  <c r="AL2125" i="4"/>
  <c r="J123" i="4"/>
  <c r="D2117" i="4"/>
  <c r="J68" i="2"/>
  <c r="AV2195" i="2"/>
  <c r="I1329" i="2"/>
  <c r="B1621" i="1"/>
  <c r="B1622" i="1"/>
  <c r="F1594" i="1"/>
  <c r="F1595" i="1"/>
  <c r="AU2382" i="1"/>
  <c r="J1626" i="1"/>
  <c r="I1619" i="1"/>
  <c r="BG2381" i="1"/>
  <c r="BG2390" i="1"/>
  <c r="J1628" i="1"/>
  <c r="I1620" i="1"/>
  <c r="BG2382" i="1"/>
  <c r="J1627" i="1"/>
  <c r="BE2376" i="1"/>
  <c r="BE2381" i="1"/>
  <c r="BE2377" i="1"/>
  <c r="BE2382" i="1"/>
  <c r="BE2373" i="1"/>
  <c r="BE2378" i="1"/>
  <c r="AY2377" i="1"/>
  <c r="AY2382" i="1"/>
  <c r="J1294" i="1"/>
  <c r="J1296" i="1"/>
  <c r="J1623" i="1"/>
  <c r="J1616" i="1"/>
  <c r="I1616" i="1"/>
  <c r="BG2378" i="1"/>
  <c r="AU2379" i="1"/>
  <c r="AU2374" i="1"/>
  <c r="AU2375" i="1"/>
  <c r="AU2380" i="1"/>
  <c r="AY2373" i="1"/>
  <c r="AY2378" i="1"/>
  <c r="J1293" i="1"/>
  <c r="I1596" i="1"/>
  <c r="I1005" i="4"/>
  <c r="AL2112" i="4"/>
  <c r="I1004" i="4"/>
  <c r="AL2111" i="4"/>
  <c r="J181" i="4"/>
  <c r="J182" i="4"/>
  <c r="J183" i="4"/>
  <c r="J125" i="4"/>
  <c r="J71" i="3"/>
  <c r="J13" i="3"/>
  <c r="J68" i="3"/>
  <c r="J12" i="3"/>
  <c r="AK2188" i="2"/>
  <c r="AK2205" i="2"/>
  <c r="J67" i="2"/>
  <c r="J41" i="2"/>
  <c r="AI2188" i="2"/>
  <c r="AI2205" i="2"/>
  <c r="W2188" i="2"/>
  <c r="W2205" i="2"/>
  <c r="J702" i="1"/>
  <c r="Y2392" i="1"/>
  <c r="I703" i="1"/>
  <c r="I1036" i="1"/>
  <c r="I1037" i="1"/>
  <c r="J1035" i="1"/>
  <c r="AK2392" i="1"/>
  <c r="I1604" i="1"/>
  <c r="J1603" i="1"/>
  <c r="BF2392" i="1"/>
  <c r="CI2391" i="1"/>
  <c r="CJ2391" i="1"/>
  <c r="J1442" i="1"/>
  <c r="I760" i="1"/>
  <c r="J759" i="1"/>
  <c r="AA2393" i="1"/>
  <c r="J1089" i="1"/>
  <c r="AM2392" i="1"/>
  <c r="I1090" i="1"/>
  <c r="I1091" i="1"/>
  <c r="AB2393" i="1"/>
  <c r="J787" i="1"/>
  <c r="AE2393" i="1"/>
  <c r="J871" i="1"/>
  <c r="J1143" i="1"/>
  <c r="I1144" i="1"/>
  <c r="I1145" i="1"/>
  <c r="AO2392" i="1"/>
  <c r="I1443" i="1"/>
  <c r="I480" i="1"/>
  <c r="Q2392" i="1"/>
  <c r="J479" i="1"/>
  <c r="I312" i="1"/>
  <c r="J312" i="1"/>
  <c r="J311" i="1"/>
  <c r="I313" i="1"/>
  <c r="J224" i="1"/>
  <c r="I225" i="1"/>
  <c r="J225" i="1"/>
  <c r="C900" i="6"/>
  <c r="C899" i="6"/>
  <c r="C901" i="6"/>
  <c r="I40" i="6"/>
  <c r="C877" i="6"/>
  <c r="J49" i="6"/>
  <c r="J51" i="6"/>
  <c r="J52" i="6"/>
  <c r="C886" i="6"/>
  <c r="C898" i="6"/>
  <c r="J40" i="6"/>
  <c r="I38" i="6"/>
  <c r="C875" i="6"/>
  <c r="J39" i="6"/>
  <c r="J431" i="5"/>
  <c r="Q1646" i="5"/>
  <c r="Q1663" i="5"/>
  <c r="O1646" i="5"/>
  <c r="O1663" i="5"/>
  <c r="J377" i="5"/>
  <c r="N1646" i="5"/>
  <c r="J350" i="5"/>
  <c r="Q1647" i="5"/>
  <c r="Q1664" i="5"/>
  <c r="J432" i="5"/>
  <c r="J378" i="5"/>
  <c r="O1647" i="5"/>
  <c r="J213" i="5"/>
  <c r="I1644" i="5"/>
  <c r="Q1648" i="5"/>
  <c r="Q1665" i="5"/>
  <c r="J433" i="5"/>
  <c r="J379" i="5"/>
  <c r="O1648" i="5"/>
  <c r="O1665" i="5"/>
  <c r="I1648" i="5"/>
  <c r="J217" i="5"/>
  <c r="J429" i="5"/>
  <c r="Q1644" i="5"/>
  <c r="Q1661" i="5"/>
  <c r="J375" i="5"/>
  <c r="O1644" i="5"/>
  <c r="O1661" i="5"/>
  <c r="I1003" i="4"/>
  <c r="AL2110" i="4"/>
  <c r="H461" i="4"/>
  <c r="H462" i="4"/>
  <c r="J26" i="4"/>
  <c r="I27" i="4"/>
  <c r="J27" i="4"/>
  <c r="J522" i="4"/>
  <c r="T2120" i="4"/>
  <c r="T2137" i="4"/>
  <c r="J13" i="4"/>
  <c r="AV2120" i="4"/>
  <c r="AV2137" i="4"/>
  <c r="J1283" i="4"/>
  <c r="J103" i="4"/>
  <c r="I96" i="4"/>
  <c r="E2111" i="4"/>
  <c r="E2118" i="4"/>
  <c r="B792" i="4"/>
  <c r="B793" i="4"/>
  <c r="E711" i="4"/>
  <c r="E712" i="4"/>
  <c r="J1284" i="4"/>
  <c r="AV2121" i="4"/>
  <c r="AV2138" i="4"/>
  <c r="J523" i="4"/>
  <c r="T2121" i="4"/>
  <c r="T2138" i="4"/>
  <c r="I1007" i="4"/>
  <c r="AL2114" i="4"/>
  <c r="J1015" i="4"/>
  <c r="J1017" i="4"/>
  <c r="J1018" i="4"/>
  <c r="AL2122" i="4"/>
  <c r="G184" i="3"/>
  <c r="G185" i="3"/>
  <c r="J715" i="3"/>
  <c r="Z2285" i="3"/>
  <c r="Z2301" i="3"/>
  <c r="T2283" i="3"/>
  <c r="T2299" i="3"/>
  <c r="T2305" i="3"/>
  <c r="I521" i="3"/>
  <c r="J516" i="3"/>
  <c r="I509" i="3"/>
  <c r="T2276" i="3"/>
  <c r="I27" i="3"/>
  <c r="B2291" i="3"/>
  <c r="B2290" i="3"/>
  <c r="I28" i="3"/>
  <c r="J67" i="3"/>
  <c r="I181" i="3"/>
  <c r="H2278" i="3"/>
  <c r="J99" i="3"/>
  <c r="I110" i="3"/>
  <c r="J109" i="3"/>
  <c r="E2290" i="3"/>
  <c r="I549" i="3"/>
  <c r="I537" i="3"/>
  <c r="U2276" i="3"/>
  <c r="J544" i="3"/>
  <c r="U2283" i="3"/>
  <c r="U2299" i="3"/>
  <c r="U2305" i="3"/>
  <c r="I138" i="3"/>
  <c r="J138" i="3"/>
  <c r="J137" i="3"/>
  <c r="I139" i="3"/>
  <c r="I82" i="3"/>
  <c r="I83" i="3"/>
  <c r="J81" i="3"/>
  <c r="D2290" i="3"/>
  <c r="I193" i="3"/>
  <c r="J191" i="3"/>
  <c r="J182" i="3"/>
  <c r="H2288" i="3"/>
  <c r="H2290" i="3"/>
  <c r="J183" i="3"/>
  <c r="I718" i="3"/>
  <c r="I708" i="3"/>
  <c r="Z2278" i="3"/>
  <c r="I153" i="3"/>
  <c r="J96" i="3"/>
  <c r="I155" i="3"/>
  <c r="J1213" i="2"/>
  <c r="J1215" i="2"/>
  <c r="J1216" i="2"/>
  <c r="AR2192" i="2"/>
  <c r="I1205" i="2"/>
  <c r="AR2184" i="2"/>
  <c r="J70" i="2"/>
  <c r="J71" i="2"/>
  <c r="J1201" i="2"/>
  <c r="I54" i="2"/>
  <c r="C2195" i="2"/>
  <c r="C2194" i="2"/>
  <c r="J43" i="2"/>
  <c r="J39" i="2"/>
  <c r="J69" i="2"/>
  <c r="H927" i="2"/>
  <c r="H926" i="2"/>
  <c r="I82" i="2"/>
  <c r="D2195" i="2"/>
  <c r="D2194" i="2"/>
  <c r="J40" i="2"/>
  <c r="G331" i="2"/>
  <c r="G330" i="2"/>
  <c r="M2190" i="2"/>
  <c r="M2207" i="2"/>
  <c r="J335" i="2"/>
  <c r="E415" i="2"/>
  <c r="E416" i="2"/>
  <c r="P2191" i="2"/>
  <c r="P2208" i="2"/>
  <c r="J421" i="2"/>
  <c r="I1063" i="1"/>
  <c r="J1062" i="1"/>
  <c r="AL2392" i="1"/>
  <c r="J981" i="1"/>
  <c r="AI2392" i="1"/>
  <c r="I982" i="1"/>
  <c r="J451" i="1"/>
  <c r="P2392" i="1"/>
  <c r="I452" i="1"/>
  <c r="I453" i="1"/>
  <c r="J395" i="1"/>
  <c r="N2392" i="1"/>
  <c r="I396" i="1"/>
  <c r="I397" i="1"/>
  <c r="J1008" i="1"/>
  <c r="AJ2392" i="1"/>
  <c r="I1009" i="1"/>
  <c r="I1010" i="1"/>
  <c r="J730" i="1"/>
  <c r="Z2392" i="1"/>
  <c r="I731" i="1"/>
  <c r="I732" i="1"/>
  <c r="V2392" i="1"/>
  <c r="I620" i="1"/>
  <c r="J619" i="1"/>
  <c r="I592" i="1"/>
  <c r="I593" i="1"/>
  <c r="J591" i="1"/>
  <c r="U2392" i="1"/>
  <c r="B1162" i="1"/>
  <c r="B1161" i="1"/>
  <c r="B1189" i="1"/>
  <c r="B1188" i="1"/>
  <c r="CH2376" i="1"/>
  <c r="AI2376" i="1"/>
  <c r="AI2381" i="1"/>
  <c r="AG2380" i="1"/>
  <c r="AG2375" i="1"/>
  <c r="H2378" i="1"/>
  <c r="H2373" i="1"/>
  <c r="V2376" i="1"/>
  <c r="V2381" i="1"/>
  <c r="AP2380" i="1"/>
  <c r="AP2375" i="1"/>
  <c r="AG2377" i="1"/>
  <c r="AG2382" i="1"/>
  <c r="AN2375" i="1"/>
  <c r="AN2380" i="1"/>
  <c r="AP2378" i="1"/>
  <c r="AP2373" i="1"/>
  <c r="J1549" i="1"/>
  <c r="BD2392" i="1"/>
  <c r="I1550" i="1"/>
  <c r="I1469" i="1"/>
  <c r="J1468" i="1"/>
  <c r="BA2392" i="1"/>
  <c r="I1361" i="1"/>
  <c r="J1360" i="1"/>
  <c r="AW2392" i="1"/>
  <c r="J1252" i="1"/>
  <c r="AS2392" i="1"/>
  <c r="I1253" i="1"/>
  <c r="J1116" i="1"/>
  <c r="AN2392" i="1"/>
  <c r="I1117" i="1"/>
  <c r="I1118" i="1"/>
  <c r="J1170" i="1"/>
  <c r="AP2392" i="1"/>
  <c r="I1171" i="1"/>
  <c r="J1630" i="1"/>
  <c r="I1631" i="1"/>
  <c r="J1522" i="1"/>
  <c r="BC2392" i="1"/>
  <c r="I1523" i="1"/>
  <c r="J1382" i="1"/>
  <c r="J1375" i="1"/>
  <c r="I1375" i="1"/>
  <c r="AX2387" i="1"/>
  <c r="AX2404" i="1"/>
  <c r="D2386" i="1"/>
  <c r="J77" i="1"/>
  <c r="AH2377" i="1"/>
  <c r="AH2382" i="1"/>
  <c r="AH2381" i="1"/>
  <c r="AH2376" i="1"/>
  <c r="J814" i="1"/>
  <c r="AC2392" i="1"/>
  <c r="I815" i="1"/>
  <c r="I816" i="1"/>
  <c r="J423" i="1"/>
  <c r="O2392" i="1"/>
  <c r="I424" i="1"/>
  <c r="I425" i="1"/>
  <c r="F2380" i="1"/>
  <c r="F2375" i="1"/>
  <c r="I804" i="1"/>
  <c r="AC2382" i="1"/>
  <c r="J811" i="1"/>
  <c r="J804" i="1"/>
  <c r="J1224" i="1"/>
  <c r="AR2392" i="1"/>
  <c r="I1225" i="1"/>
  <c r="J339" i="1"/>
  <c r="I340" i="1"/>
  <c r="J340" i="1"/>
  <c r="AH2374" i="1"/>
  <c r="AH2379" i="1"/>
  <c r="B945" i="1"/>
  <c r="B946" i="1"/>
  <c r="H415" i="1"/>
  <c r="H414" i="1"/>
  <c r="F415" i="1"/>
  <c r="F414" i="1"/>
  <c r="D415" i="1"/>
  <c r="D414" i="1"/>
  <c r="O2375" i="1"/>
  <c r="O2380" i="1"/>
  <c r="O2381" i="1"/>
  <c r="O2376" i="1"/>
  <c r="F2379" i="1"/>
  <c r="F2374" i="1"/>
  <c r="I51" i="1"/>
  <c r="J127" i="1"/>
  <c r="J801" i="1"/>
  <c r="D2385" i="1"/>
  <c r="I81" i="1"/>
  <c r="I70" i="1"/>
  <c r="J76" i="1"/>
  <c r="I69" i="1"/>
  <c r="I1388" i="1"/>
  <c r="J1387" i="1"/>
  <c r="AX2392" i="1"/>
  <c r="J1197" i="1"/>
  <c r="AQ2392" i="1"/>
  <c r="I1198" i="1"/>
  <c r="AH2380" i="1"/>
  <c r="AH2375" i="1"/>
  <c r="J842" i="1"/>
  <c r="AD2392" i="1"/>
  <c r="I843" i="1"/>
  <c r="I844" i="1"/>
  <c r="O2373" i="1"/>
  <c r="O2378" i="1"/>
  <c r="O2379" i="1"/>
  <c r="O2374" i="1"/>
  <c r="J367" i="1"/>
  <c r="I368" i="1"/>
  <c r="I369" i="1"/>
  <c r="M2392" i="1"/>
  <c r="I284" i="1"/>
  <c r="J284" i="1"/>
  <c r="J283" i="1"/>
  <c r="I285" i="1"/>
  <c r="J1383" i="1"/>
  <c r="J1376" i="1"/>
  <c r="AX2388" i="1"/>
  <c r="AX2405" i="1"/>
  <c r="I1376" i="1"/>
  <c r="D2387" i="1"/>
  <c r="J78" i="1"/>
  <c r="I899" i="1"/>
  <c r="J898" i="1"/>
  <c r="AF2392" i="1"/>
  <c r="I1280" i="1"/>
  <c r="J1279" i="1"/>
  <c r="AT2392" i="1"/>
  <c r="AH2373" i="1"/>
  <c r="AH2378" i="1"/>
  <c r="J954" i="1"/>
  <c r="AH2392" i="1"/>
  <c r="I955" i="1"/>
  <c r="O2382" i="1"/>
  <c r="O2377" i="1"/>
  <c r="J800" i="1"/>
  <c r="J803" i="1"/>
  <c r="J413" i="1"/>
  <c r="J411" i="1"/>
  <c r="J126" i="1"/>
  <c r="AA2297" i="3"/>
  <c r="D240" i="4"/>
  <c r="D239" i="4"/>
  <c r="G1243" i="1"/>
  <c r="G1244" i="1"/>
  <c r="G982" i="4"/>
  <c r="G981" i="4"/>
  <c r="G901" i="4"/>
  <c r="G900" i="4"/>
  <c r="G793" i="4"/>
  <c r="G792" i="4"/>
  <c r="B712" i="4"/>
  <c r="B711" i="4"/>
  <c r="G574" i="4"/>
  <c r="G573" i="4"/>
  <c r="B322" i="4"/>
  <c r="B321" i="4"/>
  <c r="G267" i="4"/>
  <c r="G266" i="4"/>
  <c r="C213" i="4"/>
  <c r="C212" i="4"/>
  <c r="E184" i="4"/>
  <c r="E185" i="4"/>
  <c r="C129" i="4"/>
  <c r="C128" i="4"/>
  <c r="H72" i="4"/>
  <c r="H73" i="4"/>
  <c r="C45" i="4"/>
  <c r="C44" i="4"/>
  <c r="H1038" i="2"/>
  <c r="H1039" i="2"/>
  <c r="C955" i="2"/>
  <c r="C954" i="2"/>
  <c r="C899" i="2"/>
  <c r="C898" i="2"/>
  <c r="C674" i="2"/>
  <c r="C673" i="2"/>
  <c r="C616" i="2"/>
  <c r="C615" i="2"/>
  <c r="C560" i="2"/>
  <c r="C559" i="2"/>
  <c r="B532" i="2"/>
  <c r="B531" i="2"/>
  <c r="D474" i="2"/>
  <c r="D473" i="2"/>
  <c r="E215" i="1"/>
  <c r="F1067" i="2"/>
  <c r="F1066" i="2"/>
  <c r="G983" i="2"/>
  <c r="G982" i="2"/>
  <c r="G842" i="2"/>
  <c r="G559" i="2"/>
  <c r="F531" i="2"/>
  <c r="H473" i="2"/>
  <c r="E518" i="4"/>
  <c r="G18" i="2"/>
  <c r="C1202" i="3"/>
  <c r="C1201" i="3"/>
  <c r="E1121" i="3"/>
  <c r="E1120" i="3"/>
  <c r="E958" i="3"/>
  <c r="E959" i="3"/>
  <c r="D878" i="3"/>
  <c r="D877" i="3"/>
  <c r="D683" i="3"/>
  <c r="D684" i="3"/>
  <c r="E656" i="3"/>
  <c r="E655" i="3"/>
  <c r="C627" i="3"/>
  <c r="C628" i="3"/>
  <c r="C599" i="3"/>
  <c r="C598" i="3"/>
  <c r="G1352" i="1"/>
  <c r="C1189" i="1"/>
  <c r="B917" i="1"/>
  <c r="D861" i="1"/>
  <c r="E358" i="1"/>
  <c r="C302" i="1"/>
  <c r="G215" i="1"/>
  <c r="B131" i="1"/>
  <c r="B1332" i="4"/>
  <c r="G1278" i="4"/>
  <c r="F1171" i="4"/>
  <c r="F1117" i="4"/>
  <c r="F1063" i="4"/>
  <c r="C901" i="4"/>
  <c r="C685" i="4"/>
  <c r="I695" i="4"/>
  <c r="B239" i="4"/>
  <c r="F101" i="4"/>
  <c r="B275" i="1"/>
  <c r="H1090" i="4"/>
  <c r="H1089" i="4"/>
  <c r="D377" i="4"/>
  <c r="D378" i="4"/>
  <c r="H240" i="4"/>
  <c r="G1378" i="1"/>
  <c r="G1379" i="1"/>
  <c r="B1445" i="3"/>
  <c r="D931" i="3"/>
  <c r="B1038" i="2"/>
  <c r="B187" i="2"/>
  <c r="B186" i="2"/>
  <c r="F1499" i="3"/>
  <c r="F1498" i="3"/>
  <c r="G1418" i="3"/>
  <c r="G1417" i="3"/>
  <c r="C1310" i="3"/>
  <c r="C1309" i="3"/>
  <c r="G1202" i="3"/>
  <c r="G1201" i="3"/>
  <c r="H1040" i="3"/>
  <c r="H1039" i="3"/>
  <c r="H985" i="3"/>
  <c r="H986" i="3"/>
  <c r="E851" i="3"/>
  <c r="E850" i="3"/>
  <c r="D768" i="3"/>
  <c r="F461" i="3"/>
  <c r="C352" i="3"/>
  <c r="C353" i="3"/>
  <c r="F297" i="3"/>
  <c r="F298" i="3"/>
  <c r="G269" i="3"/>
  <c r="G270" i="3"/>
  <c r="F272" i="2"/>
  <c r="F617" i="5"/>
  <c r="F616" i="5"/>
  <c r="F563" i="5"/>
  <c r="F562" i="5"/>
  <c r="F509" i="5"/>
  <c r="F508" i="5"/>
  <c r="E265" i="5"/>
  <c r="E266" i="5"/>
  <c r="B562" i="5"/>
  <c r="B508" i="5"/>
  <c r="E454" i="5"/>
  <c r="E185" i="3"/>
  <c r="B215" i="2"/>
  <c r="B214" i="2"/>
  <c r="G158" i="2"/>
  <c r="G157" i="2"/>
  <c r="G101" i="2"/>
  <c r="G100" i="2"/>
  <c r="E73" i="2"/>
  <c r="E72" i="2"/>
  <c r="D45" i="2"/>
  <c r="D44" i="2"/>
  <c r="I55" i="2"/>
  <c r="B1498" i="3"/>
  <c r="E1390" i="3"/>
  <c r="D822" i="3"/>
  <c r="D823" i="3"/>
  <c r="E433" i="3"/>
  <c r="E434" i="3"/>
  <c r="G352" i="3"/>
  <c r="G353" i="3"/>
  <c r="C326" i="3"/>
  <c r="C325" i="3"/>
  <c r="F240" i="3"/>
  <c r="F241" i="3"/>
  <c r="D45" i="3"/>
  <c r="D44" i="3"/>
  <c r="F887" i="5"/>
  <c r="F886" i="5"/>
  <c r="B860" i="5"/>
  <c r="B859" i="5"/>
  <c r="D805" i="5"/>
  <c r="D806" i="5"/>
  <c r="D724" i="5"/>
  <c r="D725" i="5"/>
  <c r="H45" i="3"/>
  <c r="H44" i="3"/>
  <c r="H859" i="5"/>
  <c r="H860" i="5"/>
  <c r="H805" i="5"/>
  <c r="H806" i="5"/>
  <c r="D751" i="5"/>
  <c r="D752" i="5"/>
  <c r="D697" i="5"/>
  <c r="D698" i="5"/>
  <c r="E238" i="5"/>
  <c r="H779" i="5"/>
  <c r="D157" i="3"/>
  <c r="D156" i="3"/>
  <c r="C1351" i="1"/>
  <c r="C1352" i="1"/>
  <c r="C1215" i="1"/>
  <c r="C1216" i="1"/>
  <c r="H1027" i="1"/>
  <c r="H861" i="1"/>
  <c r="G302" i="1"/>
  <c r="C215" i="1"/>
  <c r="L98" i="1"/>
  <c r="F130" i="1"/>
  <c r="F1333" i="4"/>
  <c r="C1279" i="4"/>
  <c r="B1116" i="4"/>
  <c r="B1062" i="4"/>
  <c r="C928" i="4"/>
  <c r="C927" i="4"/>
  <c r="G874" i="4"/>
  <c r="G873" i="4"/>
  <c r="C739" i="4"/>
  <c r="C738" i="4"/>
  <c r="G685" i="4"/>
  <c r="G684" i="4"/>
  <c r="B377" i="4"/>
  <c r="B378" i="4"/>
  <c r="I388" i="4"/>
  <c r="C294" i="4"/>
  <c r="C293" i="4"/>
  <c r="F240" i="4"/>
  <c r="F239" i="4"/>
  <c r="G185" i="4"/>
  <c r="G184" i="4"/>
  <c r="B157" i="4"/>
  <c r="B156" i="4"/>
  <c r="B101" i="4"/>
  <c r="B100" i="4"/>
  <c r="F73" i="4"/>
  <c r="F72" i="4"/>
  <c r="B1067" i="2"/>
  <c r="B1066" i="2"/>
  <c r="C983" i="2"/>
  <c r="C982" i="2"/>
  <c r="C927" i="2"/>
  <c r="C926" i="2"/>
  <c r="B703" i="2"/>
  <c r="B702" i="2"/>
  <c r="B645" i="2"/>
  <c r="B644" i="2"/>
  <c r="B588" i="2"/>
  <c r="B587" i="2"/>
  <c r="D531" i="2"/>
  <c r="D532" i="2"/>
  <c r="B502" i="2"/>
  <c r="B503" i="2"/>
  <c r="E303" i="1"/>
  <c r="E247" i="1"/>
  <c r="D72" i="4"/>
  <c r="G1011" i="2"/>
  <c r="G1010" i="2"/>
  <c r="G955" i="2"/>
  <c r="G954" i="2"/>
  <c r="F588" i="2"/>
  <c r="H531" i="2"/>
  <c r="F502" i="2"/>
  <c r="B415" i="2"/>
  <c r="E462" i="4"/>
  <c r="B129" i="2"/>
  <c r="E18" i="2"/>
  <c r="F1445" i="3"/>
  <c r="G1120" i="3"/>
  <c r="G1121" i="3"/>
  <c r="C1120" i="3"/>
  <c r="C1121" i="3"/>
  <c r="H931" i="3"/>
  <c r="H932" i="3"/>
  <c r="H877" i="3"/>
  <c r="H878" i="3"/>
  <c r="E739" i="3"/>
  <c r="E740" i="3"/>
  <c r="C655" i="3"/>
  <c r="C656" i="3"/>
  <c r="G598" i="3"/>
  <c r="G599" i="3"/>
  <c r="G16" i="6"/>
  <c r="C1244" i="1"/>
  <c r="D917" i="1"/>
  <c r="G889" i="1"/>
  <c r="B861" i="1"/>
  <c r="C359" i="1"/>
  <c r="G246" i="1"/>
  <c r="D131" i="1"/>
  <c r="F1360" i="4"/>
  <c r="G1306" i="4"/>
  <c r="B1197" i="4"/>
  <c r="B1143" i="4"/>
  <c r="B1089" i="4"/>
  <c r="G927" i="4"/>
  <c r="C873" i="4"/>
  <c r="C517" i="4"/>
  <c r="G213" i="4"/>
  <c r="B331" i="1"/>
  <c r="H1197" i="4"/>
  <c r="E213" i="4"/>
  <c r="E1352" i="1"/>
  <c r="E1351" i="1"/>
  <c r="C834" i="1"/>
  <c r="D274" i="1"/>
  <c r="D275" i="1"/>
  <c r="F18" i="4"/>
  <c r="F1093" i="3"/>
  <c r="C101" i="2"/>
  <c r="C100" i="2"/>
  <c r="B1526" i="3"/>
  <c r="B1525" i="3"/>
  <c r="F1472" i="3"/>
  <c r="F1471" i="3"/>
  <c r="C1255" i="3"/>
  <c r="C1256" i="3"/>
  <c r="C1147" i="3"/>
  <c r="C1148" i="3"/>
  <c r="H1066" i="3"/>
  <c r="H1067" i="3"/>
  <c r="E1012" i="3"/>
  <c r="E1013" i="3"/>
  <c r="D985" i="3"/>
  <c r="D986" i="3"/>
  <c r="H823" i="3"/>
  <c r="H822" i="3"/>
  <c r="G627" i="3"/>
  <c r="D379" i="3"/>
  <c r="D380" i="3"/>
  <c r="B297" i="3"/>
  <c r="B298" i="3"/>
  <c r="G100" i="3"/>
  <c r="G101" i="3"/>
  <c r="F644" i="5"/>
  <c r="F643" i="5"/>
  <c r="F590" i="5"/>
  <c r="F589" i="5"/>
  <c r="F536" i="5"/>
  <c r="F535" i="5"/>
  <c r="F482" i="5"/>
  <c r="F481" i="5"/>
  <c r="B590" i="5"/>
  <c r="B536" i="5"/>
  <c r="B482" i="5"/>
  <c r="F157" i="5"/>
  <c r="G128" i="3"/>
  <c r="C243" i="2"/>
  <c r="C242" i="2"/>
  <c r="F129" i="2"/>
  <c r="F128" i="2"/>
  <c r="H44" i="2"/>
  <c r="H45" i="2"/>
  <c r="C17" i="2"/>
  <c r="C18" i="2"/>
  <c r="F1526" i="3"/>
  <c r="F1525" i="3"/>
  <c r="B1472" i="3"/>
  <c r="C434" i="3"/>
  <c r="C433" i="3"/>
  <c r="G325" i="3"/>
  <c r="G326" i="3"/>
  <c r="C270" i="3"/>
  <c r="C269" i="3"/>
  <c r="C128" i="3"/>
  <c r="C129" i="3"/>
  <c r="H887" i="5"/>
  <c r="H886" i="5"/>
  <c r="D859" i="5"/>
  <c r="D860" i="5"/>
  <c r="H833" i="5"/>
  <c r="H832" i="5"/>
  <c r="H751" i="5"/>
  <c r="H752" i="5"/>
  <c r="H697" i="5"/>
  <c r="H698" i="5"/>
  <c r="F73" i="3"/>
  <c r="F72" i="3"/>
  <c r="D887" i="5"/>
  <c r="D886" i="5"/>
  <c r="D833" i="5"/>
  <c r="D832" i="5"/>
  <c r="D778" i="5"/>
  <c r="D779" i="5"/>
  <c r="H724" i="5"/>
  <c r="H725" i="5"/>
  <c r="H670" i="5"/>
  <c r="F212" i="3"/>
  <c r="F213" i="3"/>
  <c r="I223" i="3"/>
  <c r="J919" i="1"/>
  <c r="J912" i="1"/>
  <c r="I912" i="1"/>
  <c r="I125" i="1"/>
  <c r="J132" i="1"/>
  <c r="J125" i="1"/>
  <c r="F2385" i="1"/>
  <c r="AU2117" i="4"/>
  <c r="AU2134" i="4"/>
  <c r="AU2140" i="4"/>
  <c r="I1258" i="4"/>
  <c r="I1246" i="4"/>
  <c r="AU2110" i="4"/>
  <c r="J1253" i="4"/>
  <c r="AQ2117" i="4"/>
  <c r="AQ2134" i="4"/>
  <c r="J1145" i="4"/>
  <c r="AK2118" i="4"/>
  <c r="AK2135" i="4"/>
  <c r="I988" i="4"/>
  <c r="I977" i="4"/>
  <c r="AK2111" i="4"/>
  <c r="J984" i="4"/>
  <c r="AG2118" i="4"/>
  <c r="AG2135" i="4"/>
  <c r="J876" i="4"/>
  <c r="U2118" i="4"/>
  <c r="U2135" i="4"/>
  <c r="I552" i="4"/>
  <c r="I541" i="4"/>
  <c r="U2111" i="4"/>
  <c r="J548" i="4"/>
  <c r="J492" i="4"/>
  <c r="S2118" i="4"/>
  <c r="S2135" i="4"/>
  <c r="Q2118" i="4"/>
  <c r="Q2135" i="4"/>
  <c r="J436" i="4"/>
  <c r="J241" i="4"/>
  <c r="J2117" i="4"/>
  <c r="J2134" i="4"/>
  <c r="B897" i="6"/>
  <c r="E1216" i="1"/>
  <c r="E1215" i="1"/>
  <c r="E889" i="1"/>
  <c r="E890" i="1"/>
  <c r="F331" i="1"/>
  <c r="F330" i="1"/>
  <c r="F275" i="1"/>
  <c r="F274" i="1"/>
  <c r="H1359" i="4"/>
  <c r="H1360" i="4"/>
  <c r="D1332" i="4"/>
  <c r="D1333" i="4"/>
  <c r="D1251" i="4"/>
  <c r="D1252" i="4"/>
  <c r="H1224" i="4"/>
  <c r="H1225" i="4"/>
  <c r="D1197" i="4"/>
  <c r="D1198" i="4"/>
  <c r="H1170" i="4"/>
  <c r="H1171" i="4"/>
  <c r="D1144" i="4"/>
  <c r="D1143" i="4"/>
  <c r="H1117" i="4"/>
  <c r="H1116" i="4"/>
  <c r="D1090" i="4"/>
  <c r="D1089" i="4"/>
  <c r="H1063" i="4"/>
  <c r="H1062" i="4"/>
  <c r="E900" i="4"/>
  <c r="E901" i="4"/>
  <c r="H820" i="4"/>
  <c r="H819" i="4"/>
  <c r="E793" i="4"/>
  <c r="E792" i="4"/>
  <c r="D765" i="4"/>
  <c r="D766" i="4"/>
  <c r="H712" i="4"/>
  <c r="H711" i="4"/>
  <c r="E685" i="4"/>
  <c r="E684" i="4"/>
  <c r="D657" i="4"/>
  <c r="D658" i="4"/>
  <c r="H602" i="4"/>
  <c r="H601" i="4"/>
  <c r="E574" i="4"/>
  <c r="E573" i="4"/>
  <c r="D545" i="4"/>
  <c r="D546" i="4"/>
  <c r="H377" i="4"/>
  <c r="H378" i="4"/>
  <c r="H321" i="4"/>
  <c r="H322" i="4"/>
  <c r="E266" i="4"/>
  <c r="E267" i="4"/>
  <c r="F1252" i="4"/>
  <c r="B1225" i="4"/>
  <c r="F1198" i="4"/>
  <c r="B1171" i="4"/>
  <c r="C955" i="4"/>
  <c r="C954" i="4"/>
  <c r="C847" i="4"/>
  <c r="C846" i="4"/>
  <c r="B820" i="4"/>
  <c r="B819" i="4"/>
  <c r="F766" i="4"/>
  <c r="F765" i="4"/>
  <c r="F658" i="4"/>
  <c r="F657" i="4"/>
  <c r="C630" i="4"/>
  <c r="C629" i="4"/>
  <c r="B602" i="4"/>
  <c r="B601" i="4"/>
  <c r="F546" i="4"/>
  <c r="F545" i="4"/>
  <c r="G518" i="4"/>
  <c r="G517" i="4"/>
  <c r="G489" i="4"/>
  <c r="G490" i="4"/>
  <c r="G461" i="4"/>
  <c r="G462" i="4"/>
  <c r="G434" i="4"/>
  <c r="G433" i="4"/>
  <c r="C406" i="4"/>
  <c r="C405" i="4"/>
  <c r="E44" i="4"/>
  <c r="E45" i="4"/>
  <c r="F1039" i="2"/>
  <c r="F1038" i="2"/>
  <c r="C1011" i="2"/>
  <c r="C1010" i="2"/>
  <c r="B871" i="2"/>
  <c r="B870" i="2"/>
  <c r="C843" i="2"/>
  <c r="C842" i="2"/>
  <c r="B815" i="2"/>
  <c r="B814" i="2"/>
  <c r="C787" i="2"/>
  <c r="C786" i="2"/>
  <c r="B759" i="2"/>
  <c r="B758" i="2"/>
  <c r="C731" i="2"/>
  <c r="C730" i="2"/>
  <c r="B473" i="2"/>
  <c r="B474" i="2"/>
  <c r="B445" i="2"/>
  <c r="B444" i="2"/>
  <c r="G387" i="2"/>
  <c r="G386" i="2"/>
  <c r="E359" i="2"/>
  <c r="E358" i="2"/>
  <c r="C895" i="6"/>
  <c r="AH895" i="6"/>
  <c r="AI895" i="6"/>
  <c r="AH873" i="6"/>
  <c r="AI873" i="6"/>
  <c r="C1378" i="1"/>
  <c r="C1379" i="1"/>
  <c r="E1188" i="1"/>
  <c r="E1189" i="1"/>
  <c r="G834" i="1"/>
  <c r="G833" i="1"/>
  <c r="B73" i="4"/>
  <c r="B72" i="4"/>
  <c r="G45" i="4"/>
  <c r="G44" i="4"/>
  <c r="BA2288" i="3"/>
  <c r="I1440" i="3"/>
  <c r="BA2277" i="3"/>
  <c r="I1439" i="3"/>
  <c r="BA2276" i="3"/>
  <c r="I1443" i="3"/>
  <c r="BA2280" i="3"/>
  <c r="I1441" i="3"/>
  <c r="BA2278" i="3"/>
  <c r="I1453" i="3"/>
  <c r="J1451" i="3"/>
  <c r="F570" i="3"/>
  <c r="F571" i="3"/>
  <c r="B570" i="3"/>
  <c r="B571" i="3"/>
  <c r="F487" i="3"/>
  <c r="F488" i="3"/>
  <c r="H18" i="4"/>
  <c r="H17" i="4"/>
  <c r="AM2188" i="2"/>
  <c r="AM2205" i="2"/>
  <c r="J1069" i="2"/>
  <c r="I1073" i="2"/>
  <c r="I1062" i="2"/>
  <c r="AM2181" i="2"/>
  <c r="AH2188" i="2"/>
  <c r="AH2205" i="2"/>
  <c r="J929" i="2"/>
  <c r="AF2188" i="2"/>
  <c r="AF2205" i="2"/>
  <c r="I877" i="2"/>
  <c r="J873" i="2"/>
  <c r="I866" i="2"/>
  <c r="AF2181" i="2"/>
  <c r="J789" i="2"/>
  <c r="I793" i="2"/>
  <c r="I782" i="2"/>
  <c r="AC2181" i="2"/>
  <c r="AC2188" i="2"/>
  <c r="AC2205" i="2"/>
  <c r="AA2188" i="2"/>
  <c r="AA2205" i="2"/>
  <c r="J733" i="2"/>
  <c r="I737" i="2"/>
  <c r="I726" i="2"/>
  <c r="AA2181" i="2"/>
  <c r="J676" i="2"/>
  <c r="I680" i="2"/>
  <c r="I669" i="2"/>
  <c r="Y2181" i="2"/>
  <c r="Y2188" i="2"/>
  <c r="Y2205" i="2"/>
  <c r="J590" i="2"/>
  <c r="V2188" i="2"/>
  <c r="V2205" i="2"/>
  <c r="V2210" i="2"/>
  <c r="I594" i="2"/>
  <c r="I583" i="2"/>
  <c r="V2181" i="2"/>
  <c r="T2188" i="2"/>
  <c r="T2205" i="2"/>
  <c r="J534" i="2"/>
  <c r="R2188" i="2"/>
  <c r="R2205" i="2"/>
  <c r="R2210" i="2"/>
  <c r="I480" i="2"/>
  <c r="I469" i="2"/>
  <c r="R2181" i="2"/>
  <c r="J476" i="2"/>
  <c r="J162" i="2"/>
  <c r="G2190" i="2"/>
  <c r="G2207" i="2"/>
  <c r="I164" i="2"/>
  <c r="I155" i="2"/>
  <c r="G2183" i="2"/>
  <c r="J1422" i="3"/>
  <c r="W2286" i="3"/>
  <c r="W2302" i="3"/>
  <c r="J632" i="3"/>
  <c r="B1252" i="4"/>
  <c r="B1251" i="4"/>
  <c r="F1225" i="4"/>
  <c r="F1224" i="4"/>
  <c r="G955" i="4"/>
  <c r="G954" i="4"/>
  <c r="G847" i="4"/>
  <c r="G846" i="4"/>
  <c r="F820" i="4"/>
  <c r="F819" i="4"/>
  <c r="C793" i="4"/>
  <c r="C792" i="4"/>
  <c r="B766" i="4"/>
  <c r="B765" i="4"/>
  <c r="G739" i="4"/>
  <c r="G738" i="4"/>
  <c r="F712" i="4"/>
  <c r="F711" i="4"/>
  <c r="B658" i="4"/>
  <c r="B657" i="4"/>
  <c r="I668" i="4"/>
  <c r="G630" i="4"/>
  <c r="G629" i="4"/>
  <c r="F602" i="4"/>
  <c r="F601" i="4"/>
  <c r="C574" i="4"/>
  <c r="C573" i="4"/>
  <c r="B546" i="4"/>
  <c r="B545" i="4"/>
  <c r="C489" i="4"/>
  <c r="C490" i="4"/>
  <c r="C461" i="4"/>
  <c r="C462" i="4"/>
  <c r="C434" i="4"/>
  <c r="C433" i="4"/>
  <c r="G406" i="4"/>
  <c r="G405" i="4"/>
  <c r="F377" i="4"/>
  <c r="F378" i="4"/>
  <c r="F322" i="4"/>
  <c r="F321" i="4"/>
  <c r="G294" i="4"/>
  <c r="G293" i="4"/>
  <c r="C267" i="4"/>
  <c r="C266" i="4"/>
  <c r="I277" i="4"/>
  <c r="AF2378" i="1"/>
  <c r="AF2373" i="1"/>
  <c r="D1359" i="4"/>
  <c r="D1360" i="4"/>
  <c r="H1332" i="4"/>
  <c r="H1333" i="4"/>
  <c r="E1305" i="4"/>
  <c r="E1306" i="4"/>
  <c r="H1251" i="4"/>
  <c r="H1252" i="4"/>
  <c r="D1224" i="4"/>
  <c r="D1225" i="4"/>
  <c r="D1170" i="4"/>
  <c r="D1171" i="4"/>
  <c r="H1143" i="4"/>
  <c r="H1144" i="4"/>
  <c r="D1117" i="4"/>
  <c r="D1116" i="4"/>
  <c r="D1063" i="4"/>
  <c r="D1062" i="4"/>
  <c r="E954" i="4"/>
  <c r="E955" i="4"/>
  <c r="I951" i="4"/>
  <c r="AJ2112" i="4"/>
  <c r="I925" i="4"/>
  <c r="AI2113" i="4"/>
  <c r="I922" i="4"/>
  <c r="AI2110" i="4"/>
  <c r="I936" i="4"/>
  <c r="I924" i="4"/>
  <c r="AI2112" i="4"/>
  <c r="E846" i="4"/>
  <c r="E847" i="4"/>
  <c r="D820" i="4"/>
  <c r="D819" i="4"/>
  <c r="H765" i="4"/>
  <c r="H766" i="4"/>
  <c r="E738" i="4"/>
  <c r="E739" i="4"/>
  <c r="D712" i="4"/>
  <c r="D711" i="4"/>
  <c r="H657" i="4"/>
  <c r="H658" i="4"/>
  <c r="E629" i="4"/>
  <c r="E630" i="4"/>
  <c r="D602" i="4"/>
  <c r="D601" i="4"/>
  <c r="H545" i="4"/>
  <c r="H546" i="4"/>
  <c r="E405" i="4"/>
  <c r="E406" i="4"/>
  <c r="I404" i="4"/>
  <c r="P2114" i="4"/>
  <c r="I400" i="4"/>
  <c r="P2110" i="4"/>
  <c r="D321" i="4"/>
  <c r="D322" i="4"/>
  <c r="C387" i="2"/>
  <c r="C386" i="2"/>
  <c r="AH902" i="6"/>
  <c r="AI902" i="6"/>
  <c r="C903" i="6"/>
  <c r="I1415" i="1"/>
  <c r="I1416" i="1"/>
  <c r="AY2392" i="1"/>
  <c r="J1414" i="1"/>
  <c r="J1306" i="1"/>
  <c r="I1307" i="1"/>
  <c r="I1308" i="1"/>
  <c r="AU2392" i="1"/>
  <c r="D330" i="1"/>
  <c r="D331" i="1"/>
  <c r="E386" i="2"/>
  <c r="E387" i="2"/>
  <c r="E489" i="4"/>
  <c r="E490" i="4"/>
  <c r="E434" i="4"/>
  <c r="E433" i="4"/>
  <c r="B273" i="2"/>
  <c r="B272" i="2"/>
  <c r="E1337" i="3"/>
  <c r="E1336" i="3"/>
  <c r="E1283" i="3"/>
  <c r="E1282" i="3"/>
  <c r="E1175" i="3"/>
  <c r="E1174" i="3"/>
  <c r="J884" i="3"/>
  <c r="I876" i="3"/>
  <c r="AF2280" i="3"/>
  <c r="I872" i="3"/>
  <c r="AF2276" i="3"/>
  <c r="I874" i="3"/>
  <c r="AF2278" i="3"/>
  <c r="I873" i="3"/>
  <c r="AF2277" i="3"/>
  <c r="I886" i="3"/>
  <c r="AF2288" i="3"/>
  <c r="B683" i="3"/>
  <c r="B684" i="3"/>
  <c r="V2288" i="3"/>
  <c r="J577" i="3"/>
  <c r="I569" i="3"/>
  <c r="V2280" i="3"/>
  <c r="I567" i="3"/>
  <c r="V2278" i="3"/>
  <c r="I565" i="3"/>
  <c r="V2276" i="3"/>
  <c r="I566" i="3"/>
  <c r="V2277" i="3"/>
  <c r="I97" i="3"/>
  <c r="E2278" i="3"/>
  <c r="J104" i="3"/>
  <c r="J97" i="3"/>
  <c r="E2285" i="3"/>
  <c r="AE1645" i="5"/>
  <c r="AE1662" i="5"/>
  <c r="AE1667" i="5"/>
  <c r="J808" i="5"/>
  <c r="I812" i="5"/>
  <c r="B250" i="3"/>
  <c r="B251" i="3"/>
  <c r="J930" i="3"/>
  <c r="J928" i="3"/>
  <c r="J926" i="3"/>
  <c r="J927" i="3"/>
  <c r="J940" i="3"/>
  <c r="AH2290" i="3"/>
  <c r="I941" i="3"/>
  <c r="E100" i="2"/>
  <c r="E101" i="2"/>
  <c r="D1066" i="3"/>
  <c r="D1067" i="3"/>
  <c r="E795" i="3"/>
  <c r="E796" i="3"/>
  <c r="H767" i="3"/>
  <c r="H768" i="3"/>
  <c r="B72" i="3"/>
  <c r="B73" i="3"/>
  <c r="B45" i="3"/>
  <c r="B44" i="3"/>
  <c r="I469" i="3"/>
  <c r="R2288" i="3"/>
  <c r="J467" i="3"/>
  <c r="I459" i="3"/>
  <c r="R2280" i="3"/>
  <c r="I457" i="3"/>
  <c r="R2278" i="3"/>
  <c r="I455" i="3"/>
  <c r="R2276" i="3"/>
  <c r="I456" i="3"/>
  <c r="R2277" i="3"/>
  <c r="P2288" i="3"/>
  <c r="I401" i="3"/>
  <c r="P2276" i="3"/>
  <c r="I402" i="3"/>
  <c r="P2277" i="3"/>
  <c r="I403" i="3"/>
  <c r="P2278" i="3"/>
  <c r="J413" i="3"/>
  <c r="I415" i="3"/>
  <c r="I405" i="3"/>
  <c r="P2280" i="3"/>
  <c r="F45" i="3"/>
  <c r="F44" i="3"/>
  <c r="I885" i="5"/>
  <c r="AH1641" i="5"/>
  <c r="I881" i="5"/>
  <c r="AH1637" i="5"/>
  <c r="I883" i="5"/>
  <c r="AH1639" i="5"/>
  <c r="J893" i="5"/>
  <c r="J882" i="5"/>
  <c r="I895" i="5"/>
  <c r="AH1651" i="5"/>
  <c r="I884" i="5"/>
  <c r="AH1640" i="5"/>
  <c r="J839" i="5"/>
  <c r="J828" i="5"/>
  <c r="I841" i="5"/>
  <c r="AF1649" i="5"/>
  <c r="I831" i="5"/>
  <c r="AF1641" i="5"/>
  <c r="I827" i="5"/>
  <c r="AF1637" i="5"/>
  <c r="I829" i="5"/>
  <c r="AF1639" i="5"/>
  <c r="I830" i="5"/>
  <c r="AF1640" i="5"/>
  <c r="I775" i="5"/>
  <c r="AD1639" i="5"/>
  <c r="I777" i="5"/>
  <c r="AD1641" i="5"/>
  <c r="I787" i="5"/>
  <c r="AD1649" i="5"/>
  <c r="I773" i="5"/>
  <c r="AD1637" i="5"/>
  <c r="J785" i="5"/>
  <c r="I774" i="5"/>
  <c r="AD1638" i="5"/>
  <c r="I750" i="5"/>
  <c r="AC1641" i="5"/>
  <c r="I748" i="5"/>
  <c r="AC1639" i="5"/>
  <c r="I760" i="5"/>
  <c r="I749" i="5"/>
  <c r="AC1640" i="5"/>
  <c r="J758" i="5"/>
  <c r="J747" i="5"/>
  <c r="AC1649" i="5"/>
  <c r="I746" i="5"/>
  <c r="AC1637" i="5"/>
  <c r="I669" i="5"/>
  <c r="Z1641" i="5"/>
  <c r="I667" i="5"/>
  <c r="Z1639" i="5"/>
  <c r="Z1649" i="5"/>
  <c r="J677" i="5"/>
  <c r="J666" i="5"/>
  <c r="I679" i="5"/>
  <c r="I668" i="5"/>
  <c r="Z1640" i="5"/>
  <c r="I665" i="5"/>
  <c r="Z1637" i="5"/>
  <c r="H481" i="5"/>
  <c r="H482" i="5"/>
  <c r="G454" i="5"/>
  <c r="G455" i="5"/>
  <c r="C427" i="5"/>
  <c r="C428" i="5"/>
  <c r="C400" i="5"/>
  <c r="C401" i="5"/>
  <c r="C373" i="5"/>
  <c r="C374" i="5"/>
  <c r="B346" i="5"/>
  <c r="B347" i="5"/>
  <c r="C319" i="5"/>
  <c r="C320" i="5"/>
  <c r="B292" i="5"/>
  <c r="B293" i="5"/>
  <c r="F212" i="5"/>
  <c r="F211" i="5"/>
  <c r="G185" i="5"/>
  <c r="G184" i="5"/>
  <c r="D1103" i="3"/>
  <c r="D1104" i="3"/>
  <c r="D2286" i="3"/>
  <c r="I70" i="3"/>
  <c r="D2279" i="3"/>
  <c r="J77" i="3"/>
  <c r="J70" i="3"/>
  <c r="S1645" i="5"/>
  <c r="S1662" i="5"/>
  <c r="J484" i="5"/>
  <c r="J214" i="5"/>
  <c r="I1645" i="5"/>
  <c r="I1662" i="5"/>
  <c r="I218" i="5"/>
  <c r="I207" i="5"/>
  <c r="I1638" i="5"/>
  <c r="G1645" i="5"/>
  <c r="J159" i="5"/>
  <c r="I163" i="5"/>
  <c r="I152" i="5"/>
  <c r="G1638" i="5"/>
  <c r="I1008" i="2"/>
  <c r="AK2183" i="2"/>
  <c r="J1017" i="2"/>
  <c r="AK2192" i="2"/>
  <c r="I913" i="3"/>
  <c r="J911" i="3"/>
  <c r="AG2288" i="3"/>
  <c r="I899" i="3"/>
  <c r="AG2276" i="3"/>
  <c r="I900" i="3"/>
  <c r="AG2277" i="3"/>
  <c r="I903" i="3"/>
  <c r="AG2280" i="3"/>
  <c r="I901" i="3"/>
  <c r="AG2278" i="3"/>
  <c r="B302" i="2"/>
  <c r="B301" i="2"/>
  <c r="E1229" i="3"/>
  <c r="E1228" i="3"/>
  <c r="D1039" i="3"/>
  <c r="D1040" i="3"/>
  <c r="I776" i="3"/>
  <c r="AB2288" i="3"/>
  <c r="J774" i="3"/>
  <c r="I762" i="3"/>
  <c r="AB2276" i="3"/>
  <c r="I766" i="3"/>
  <c r="AB2280" i="3"/>
  <c r="I764" i="3"/>
  <c r="AB2278" i="3"/>
  <c r="I763" i="3"/>
  <c r="AB2277" i="3"/>
  <c r="F833" i="5"/>
  <c r="F832" i="5"/>
  <c r="B806" i="5"/>
  <c r="B805" i="5"/>
  <c r="F752" i="5"/>
  <c r="F751" i="5"/>
  <c r="B725" i="5"/>
  <c r="B724" i="5"/>
  <c r="F698" i="5"/>
  <c r="F697" i="5"/>
  <c r="J1097" i="3"/>
  <c r="AN2285" i="3"/>
  <c r="AN2301" i="3"/>
  <c r="AN2303" i="3"/>
  <c r="J1099" i="3"/>
  <c r="B487" i="3"/>
  <c r="B488" i="3"/>
  <c r="B460" i="3"/>
  <c r="B461" i="3"/>
  <c r="E406" i="3"/>
  <c r="E407" i="3"/>
  <c r="H379" i="3"/>
  <c r="H380" i="3"/>
  <c r="B887" i="5"/>
  <c r="B886" i="5"/>
  <c r="F860" i="5"/>
  <c r="F859" i="5"/>
  <c r="B833" i="5"/>
  <c r="B832" i="5"/>
  <c r="F806" i="5"/>
  <c r="F805" i="5"/>
  <c r="B752" i="5"/>
  <c r="B751" i="5"/>
  <c r="F725" i="5"/>
  <c r="F724" i="5"/>
  <c r="B698" i="5"/>
  <c r="B697" i="5"/>
  <c r="D643" i="5"/>
  <c r="D644" i="5"/>
  <c r="D616" i="5"/>
  <c r="D617" i="5"/>
  <c r="D589" i="5"/>
  <c r="D590" i="5"/>
  <c r="D562" i="5"/>
  <c r="D563" i="5"/>
  <c r="D535" i="5"/>
  <c r="D536" i="5"/>
  <c r="D508" i="5"/>
  <c r="D509" i="5"/>
  <c r="C265" i="5"/>
  <c r="C266" i="5"/>
  <c r="J243" i="3"/>
  <c r="J2284" i="3"/>
  <c r="J2300" i="3"/>
  <c r="J2283" i="3"/>
  <c r="J2299" i="3"/>
  <c r="I247" i="3"/>
  <c r="I238" i="3"/>
  <c r="J2279" i="3"/>
  <c r="J242" i="3"/>
  <c r="I235" i="3"/>
  <c r="J2276" i="3"/>
  <c r="J2286" i="3"/>
  <c r="J2302" i="3"/>
  <c r="J245" i="3"/>
  <c r="H643" i="5"/>
  <c r="H644" i="5"/>
  <c r="I642" i="5"/>
  <c r="Y1641" i="5"/>
  <c r="I652" i="5"/>
  <c r="I641" i="5"/>
  <c r="Y1640" i="5"/>
  <c r="J650" i="5"/>
  <c r="J639" i="5"/>
  <c r="Y1649" i="5"/>
  <c r="I638" i="5"/>
  <c r="Y1637" i="5"/>
  <c r="I640" i="5"/>
  <c r="Y1639" i="5"/>
  <c r="H616" i="5"/>
  <c r="H617" i="5"/>
  <c r="I615" i="5"/>
  <c r="X1641" i="5"/>
  <c r="I625" i="5"/>
  <c r="I614" i="5"/>
  <c r="X1640" i="5"/>
  <c r="J623" i="5"/>
  <c r="J612" i="5"/>
  <c r="X1649" i="5"/>
  <c r="I611" i="5"/>
  <c r="X1637" i="5"/>
  <c r="I613" i="5"/>
  <c r="X1639" i="5"/>
  <c r="H589" i="5"/>
  <c r="H590" i="5"/>
  <c r="H562" i="5"/>
  <c r="H563" i="5"/>
  <c r="I561" i="5"/>
  <c r="V1641" i="5"/>
  <c r="I559" i="5"/>
  <c r="V1639" i="5"/>
  <c r="J569" i="5"/>
  <c r="J558" i="5"/>
  <c r="V1649" i="5"/>
  <c r="I557" i="5"/>
  <c r="V1637" i="5"/>
  <c r="I571" i="5"/>
  <c r="I560" i="5"/>
  <c r="V1640" i="5"/>
  <c r="H535" i="5"/>
  <c r="H536" i="5"/>
  <c r="H508" i="5"/>
  <c r="H509" i="5"/>
  <c r="I507" i="5"/>
  <c r="T1641" i="5"/>
  <c r="T1649" i="5"/>
  <c r="I503" i="5"/>
  <c r="T1637" i="5"/>
  <c r="I505" i="5"/>
  <c r="T1639" i="5"/>
  <c r="J515" i="5"/>
  <c r="J504" i="5"/>
  <c r="I517" i="5"/>
  <c r="I506" i="5"/>
  <c r="T1640" i="5"/>
  <c r="I425" i="5"/>
  <c r="Q1640" i="5"/>
  <c r="I436" i="5"/>
  <c r="Q1649" i="5"/>
  <c r="J434" i="5"/>
  <c r="J423" i="5"/>
  <c r="I422" i="5"/>
  <c r="Q1637" i="5"/>
  <c r="I424" i="5"/>
  <c r="Q1639" i="5"/>
  <c r="I426" i="5"/>
  <c r="Q1641" i="5"/>
  <c r="I398" i="5"/>
  <c r="P1640" i="5"/>
  <c r="I399" i="5"/>
  <c r="P1641" i="5"/>
  <c r="J407" i="5"/>
  <c r="J396" i="5"/>
  <c r="I395" i="5"/>
  <c r="P1637" i="5"/>
  <c r="I397" i="5"/>
  <c r="P1639" i="5"/>
  <c r="I409" i="5"/>
  <c r="P1649" i="5"/>
  <c r="I371" i="5"/>
  <c r="O1640" i="5"/>
  <c r="J380" i="5"/>
  <c r="J369" i="5"/>
  <c r="I368" i="5"/>
  <c r="O1637" i="5"/>
  <c r="I372" i="5"/>
  <c r="O1641" i="5"/>
  <c r="I382" i="5"/>
  <c r="O1649" i="5"/>
  <c r="I370" i="5"/>
  <c r="O1639" i="5"/>
  <c r="I318" i="5"/>
  <c r="M1641" i="5"/>
  <c r="I317" i="5"/>
  <c r="M1640" i="5"/>
  <c r="I316" i="5"/>
  <c r="M1639" i="5"/>
  <c r="I328" i="5"/>
  <c r="M1649" i="5"/>
  <c r="J326" i="5"/>
  <c r="J315" i="5"/>
  <c r="I314" i="5"/>
  <c r="M1637" i="5"/>
  <c r="J299" i="5"/>
  <c r="L1649" i="5"/>
  <c r="I301" i="5"/>
  <c r="I287" i="5"/>
  <c r="L1637" i="5"/>
  <c r="I289" i="5"/>
  <c r="L1639" i="5"/>
  <c r="I291" i="5"/>
  <c r="L1641" i="5"/>
  <c r="I290" i="5"/>
  <c r="L1640" i="5"/>
  <c r="G265" i="5"/>
  <c r="G266" i="5"/>
  <c r="J1442" i="3"/>
  <c r="J875" i="3"/>
  <c r="I568" i="3"/>
  <c r="V2279" i="3"/>
  <c r="I634" i="3"/>
  <c r="J404" i="3"/>
  <c r="J765" i="3"/>
  <c r="I1424" i="3"/>
  <c r="S1667" i="5"/>
  <c r="J1334" i="4"/>
  <c r="J1199" i="4"/>
  <c r="AS2117" i="4"/>
  <c r="AS2134" i="4"/>
  <c r="J1091" i="4"/>
  <c r="AO2117" i="4"/>
  <c r="AO2134" i="4"/>
  <c r="J903" i="4"/>
  <c r="AH2118" i="4"/>
  <c r="AH2135" i="4"/>
  <c r="AD2118" i="4"/>
  <c r="AD2135" i="4"/>
  <c r="J795" i="4"/>
  <c r="I799" i="4"/>
  <c r="I788" i="4"/>
  <c r="AD2111" i="4"/>
  <c r="Z2118" i="4"/>
  <c r="Z2135" i="4"/>
  <c r="J687" i="4"/>
  <c r="I691" i="4"/>
  <c r="I680" i="4"/>
  <c r="Z2111" i="4"/>
  <c r="V2118" i="4"/>
  <c r="V2135" i="4"/>
  <c r="J576" i="4"/>
  <c r="J268" i="4"/>
  <c r="I273" i="4"/>
  <c r="K2117" i="4"/>
  <c r="K2134" i="4"/>
  <c r="K2140" i="4"/>
  <c r="I261" i="4"/>
  <c r="K2110" i="4"/>
  <c r="I179" i="4"/>
  <c r="H2110" i="4"/>
  <c r="J186" i="4"/>
  <c r="J179" i="4"/>
  <c r="H2117" i="4"/>
  <c r="H2134" i="4"/>
  <c r="J391" i="2"/>
  <c r="O2190" i="2"/>
  <c r="O2207" i="2"/>
  <c r="O2210" i="2"/>
  <c r="I393" i="2"/>
  <c r="I384" i="2"/>
  <c r="O2183" i="2"/>
  <c r="F918" i="1"/>
  <c r="F917" i="1"/>
  <c r="C890" i="1"/>
  <c r="C889" i="1"/>
  <c r="F862" i="1"/>
  <c r="F861" i="1"/>
  <c r="G358" i="1"/>
  <c r="G359" i="1"/>
  <c r="C1270" i="1"/>
  <c r="C1271" i="1"/>
  <c r="G927" i="2"/>
  <c r="G926" i="2"/>
  <c r="G899" i="2"/>
  <c r="G898" i="2"/>
  <c r="F871" i="2"/>
  <c r="F870" i="2"/>
  <c r="F815" i="2"/>
  <c r="F814" i="2"/>
  <c r="G787" i="2"/>
  <c r="G786" i="2"/>
  <c r="F759" i="2"/>
  <c r="F758" i="2"/>
  <c r="G731" i="2"/>
  <c r="G730" i="2"/>
  <c r="F703" i="2"/>
  <c r="F702" i="2"/>
  <c r="G674" i="2"/>
  <c r="G673" i="2"/>
  <c r="F645" i="2"/>
  <c r="F644" i="2"/>
  <c r="G616" i="2"/>
  <c r="G615" i="2"/>
  <c r="F473" i="2"/>
  <c r="F474" i="2"/>
  <c r="F445" i="2"/>
  <c r="F444" i="2"/>
  <c r="C158" i="2"/>
  <c r="C157" i="2"/>
  <c r="C1418" i="3"/>
  <c r="C1417" i="3"/>
  <c r="G1364" i="3"/>
  <c r="G1363" i="3"/>
  <c r="C1363" i="3"/>
  <c r="C1364" i="3"/>
  <c r="G1310" i="3"/>
  <c r="G1309" i="3"/>
  <c r="J1289" i="3"/>
  <c r="I1291" i="3"/>
  <c r="I1278" i="3"/>
  <c r="AU2277" i="3"/>
  <c r="I1281" i="3"/>
  <c r="AU2280" i="3"/>
  <c r="AU2288" i="3"/>
  <c r="I1277" i="3"/>
  <c r="AU2276" i="3"/>
  <c r="I1279" i="3"/>
  <c r="AU2278" i="3"/>
  <c r="G1256" i="3"/>
  <c r="G1255" i="3"/>
  <c r="G1148" i="3"/>
  <c r="G1147" i="3"/>
  <c r="E904" i="3"/>
  <c r="E905" i="3"/>
  <c r="C2117" i="4"/>
  <c r="J46" i="4"/>
  <c r="I51" i="4"/>
  <c r="I39" i="4"/>
  <c r="C2110" i="4"/>
  <c r="AJ2188" i="2"/>
  <c r="AJ2205" i="2"/>
  <c r="J985" i="2"/>
  <c r="J901" i="2"/>
  <c r="I905" i="2"/>
  <c r="I894" i="2"/>
  <c r="AG2181" i="2"/>
  <c r="AG2188" i="2"/>
  <c r="AG2205" i="2"/>
  <c r="AG2210" i="2"/>
  <c r="J817" i="2"/>
  <c r="AD2188" i="2"/>
  <c r="AD2205" i="2"/>
  <c r="AB2188" i="2"/>
  <c r="AB2205" i="2"/>
  <c r="AB2210" i="2"/>
  <c r="I765" i="2"/>
  <c r="I754" i="2"/>
  <c r="AB2181" i="2"/>
  <c r="J761" i="2"/>
  <c r="J705" i="2"/>
  <c r="I709" i="2"/>
  <c r="I698" i="2"/>
  <c r="Z2181" i="2"/>
  <c r="Z2188" i="2"/>
  <c r="Z2205" i="2"/>
  <c r="X2188" i="2"/>
  <c r="X2205" i="2"/>
  <c r="X2210" i="2"/>
  <c r="I651" i="2"/>
  <c r="I640" i="2"/>
  <c r="X2181" i="2"/>
  <c r="J647" i="2"/>
  <c r="J562" i="2"/>
  <c r="I566" i="2"/>
  <c r="I555" i="2"/>
  <c r="U2181" i="2"/>
  <c r="U2188" i="2"/>
  <c r="U2205" i="2"/>
  <c r="U2210" i="2"/>
  <c r="J505" i="2"/>
  <c r="S2188" i="2"/>
  <c r="S2205" i="2"/>
  <c r="J447" i="2"/>
  <c r="I451" i="2"/>
  <c r="I440" i="2"/>
  <c r="Q2181" i="2"/>
  <c r="Q2188" i="2"/>
  <c r="F2190" i="2"/>
  <c r="F2207" i="2"/>
  <c r="F2210" i="2"/>
  <c r="J133" i="2"/>
  <c r="AR2286" i="3"/>
  <c r="AR2302" i="3"/>
  <c r="J1206" i="3"/>
  <c r="F1667" i="5"/>
  <c r="C982" i="4"/>
  <c r="C981" i="4"/>
  <c r="C185" i="4"/>
  <c r="C184" i="4"/>
  <c r="F157" i="4"/>
  <c r="F156" i="4"/>
  <c r="G129" i="4"/>
  <c r="G128" i="4"/>
  <c r="I710" i="4"/>
  <c r="AA2114" i="4"/>
  <c r="I708" i="4"/>
  <c r="AA2112" i="4"/>
  <c r="J718" i="4"/>
  <c r="AA2122" i="4"/>
  <c r="I706" i="4"/>
  <c r="AA2110" i="4"/>
  <c r="I720" i="4"/>
  <c r="I709" i="4"/>
  <c r="AA2113" i="4"/>
  <c r="P2135" i="4"/>
  <c r="I211" i="4"/>
  <c r="I2114" i="4"/>
  <c r="I2122" i="4"/>
  <c r="I2124" i="4"/>
  <c r="J219" i="4"/>
  <c r="I52" i="6"/>
  <c r="C889" i="6"/>
  <c r="C888" i="6"/>
  <c r="I53" i="6"/>
  <c r="I1577" i="1"/>
  <c r="I1578" i="1"/>
  <c r="J1576" i="1"/>
  <c r="BE2392" i="1"/>
  <c r="G1270" i="1"/>
  <c r="G1271" i="1"/>
  <c r="E1244" i="1"/>
  <c r="E1243" i="1"/>
  <c r="G1215" i="1"/>
  <c r="G1216" i="1"/>
  <c r="J965" i="3"/>
  <c r="AI2288" i="3"/>
  <c r="I957" i="3"/>
  <c r="AI2280" i="3"/>
  <c r="I954" i="3"/>
  <c r="AI2277" i="3"/>
  <c r="I955" i="3"/>
  <c r="AI2278" i="3"/>
  <c r="I967" i="3"/>
  <c r="I953" i="3"/>
  <c r="AI2276" i="3"/>
  <c r="I486" i="3"/>
  <c r="S2280" i="3"/>
  <c r="I484" i="3"/>
  <c r="S2278" i="3"/>
  <c r="J494" i="3"/>
  <c r="S2288" i="3"/>
  <c r="I482" i="3"/>
  <c r="S2276" i="3"/>
  <c r="I483" i="3"/>
  <c r="S2277" i="3"/>
  <c r="K2286" i="3"/>
  <c r="K2302" i="3"/>
  <c r="J274" i="3"/>
  <c r="AG1645" i="5"/>
  <c r="AG1662" i="5"/>
  <c r="AG1667" i="5"/>
  <c r="J862" i="5"/>
  <c r="I866" i="5"/>
  <c r="I855" i="5"/>
  <c r="AG1638" i="5"/>
  <c r="J727" i="5"/>
  <c r="AB1645" i="5"/>
  <c r="AB1662" i="5"/>
  <c r="AB1667" i="5"/>
  <c r="I731" i="5"/>
  <c r="I720" i="5"/>
  <c r="AB1638" i="5"/>
  <c r="K1645" i="5"/>
  <c r="K1662" i="5"/>
  <c r="K1667" i="5"/>
  <c r="J268" i="5"/>
  <c r="I272" i="5"/>
  <c r="I261" i="5"/>
  <c r="K1638" i="5"/>
  <c r="AN2194" i="2"/>
  <c r="I297" i="2"/>
  <c r="L2181" i="2"/>
  <c r="I298" i="2"/>
  <c r="L2182" i="2"/>
  <c r="J308" i="2"/>
  <c r="J300" i="2"/>
  <c r="I310" i="2"/>
  <c r="L2192" i="2"/>
  <c r="I296" i="2"/>
  <c r="L2180" i="2"/>
  <c r="I27" i="2"/>
  <c r="I28" i="2"/>
  <c r="J26" i="2"/>
  <c r="I1507" i="3"/>
  <c r="J1505" i="3"/>
  <c r="J1496" i="3"/>
  <c r="BC2288" i="3"/>
  <c r="I1493" i="3"/>
  <c r="BC2276" i="3"/>
  <c r="I1497" i="3"/>
  <c r="BC2280" i="3"/>
  <c r="I1495" i="3"/>
  <c r="BC2278" i="3"/>
  <c r="I1494" i="3"/>
  <c r="BC2277" i="3"/>
  <c r="AY2288" i="3"/>
  <c r="J1397" i="3"/>
  <c r="I1399" i="3"/>
  <c r="I1385" i="3"/>
  <c r="AY2276" i="3"/>
  <c r="I1389" i="3"/>
  <c r="AY2280" i="3"/>
  <c r="I1387" i="3"/>
  <c r="AY2278" i="3"/>
  <c r="I1386" i="3"/>
  <c r="AY2277" i="3"/>
  <c r="J1046" i="3"/>
  <c r="I1036" i="3"/>
  <c r="AL2278" i="3"/>
  <c r="I1038" i="3"/>
  <c r="AL2280" i="3"/>
  <c r="I1034" i="3"/>
  <c r="AL2276" i="3"/>
  <c r="I1048" i="3"/>
  <c r="AL2288" i="3"/>
  <c r="I1035" i="3"/>
  <c r="AL2277" i="3"/>
  <c r="J829" i="3"/>
  <c r="I821" i="3"/>
  <c r="AD2280" i="3"/>
  <c r="I817" i="3"/>
  <c r="AD2276" i="3"/>
  <c r="I819" i="3"/>
  <c r="AD2278" i="3"/>
  <c r="I831" i="3"/>
  <c r="AD2288" i="3"/>
  <c r="I818" i="3"/>
  <c r="AD2277" i="3"/>
  <c r="I432" i="3"/>
  <c r="Q2280" i="3"/>
  <c r="I430" i="3"/>
  <c r="Q2278" i="3"/>
  <c r="J440" i="3"/>
  <c r="I442" i="3"/>
  <c r="Q2288" i="3"/>
  <c r="I428" i="3"/>
  <c r="Q2276" i="3"/>
  <c r="J704" i="5"/>
  <c r="AA1649" i="5"/>
  <c r="I692" i="5"/>
  <c r="AA1637" i="5"/>
  <c r="I695" i="5"/>
  <c r="AA1640" i="5"/>
  <c r="I706" i="5"/>
  <c r="I696" i="5"/>
  <c r="AA1641" i="5"/>
  <c r="I694" i="5"/>
  <c r="AA1639" i="5"/>
  <c r="F187" i="2"/>
  <c r="F186" i="2"/>
  <c r="D481" i="5"/>
  <c r="D482" i="5"/>
  <c r="C454" i="5"/>
  <c r="C455" i="5"/>
  <c r="G427" i="5"/>
  <c r="G428" i="5"/>
  <c r="G400" i="5"/>
  <c r="G401" i="5"/>
  <c r="G373" i="5"/>
  <c r="G374" i="5"/>
  <c r="F346" i="5"/>
  <c r="F347" i="5"/>
  <c r="G319" i="5"/>
  <c r="G320" i="5"/>
  <c r="F292" i="5"/>
  <c r="F293" i="5"/>
  <c r="I234" i="5"/>
  <c r="J1638" i="5"/>
  <c r="I247" i="5"/>
  <c r="I237" i="5"/>
  <c r="J1641" i="5"/>
  <c r="I235" i="5"/>
  <c r="J1639" i="5"/>
  <c r="J245" i="5"/>
  <c r="J1649" i="5"/>
  <c r="I233" i="5"/>
  <c r="J1637" i="5"/>
  <c r="B212" i="5"/>
  <c r="B211" i="5"/>
  <c r="C185" i="5"/>
  <c r="C184" i="5"/>
  <c r="B157" i="5"/>
  <c r="B156" i="5"/>
  <c r="D670" i="5"/>
  <c r="D671" i="5"/>
  <c r="B644" i="5"/>
  <c r="B643" i="5"/>
  <c r="B617" i="5"/>
  <c r="B616" i="5"/>
  <c r="C100" i="3"/>
  <c r="C101" i="3"/>
  <c r="I95" i="3"/>
  <c r="E2276" i="3"/>
  <c r="J102" i="3"/>
  <c r="J95" i="3"/>
  <c r="E2283" i="3"/>
  <c r="C2284" i="3"/>
  <c r="J47" i="3"/>
  <c r="J457" i="5"/>
  <c r="R1645" i="5"/>
  <c r="R1662" i="5"/>
  <c r="R1667" i="5"/>
  <c r="I461" i="5"/>
  <c r="I450" i="5"/>
  <c r="R1638" i="5"/>
  <c r="J187" i="5"/>
  <c r="H1645" i="5"/>
  <c r="H1662" i="5"/>
  <c r="I191" i="5"/>
  <c r="I180" i="5"/>
  <c r="H1638" i="5"/>
  <c r="I614" i="2"/>
  <c r="W2184" i="2"/>
  <c r="I613" i="2"/>
  <c r="W2183" i="2"/>
  <c r="I612" i="2"/>
  <c r="W2182" i="2"/>
  <c r="J622" i="2"/>
  <c r="I624" i="2"/>
  <c r="W2192" i="2"/>
  <c r="I610" i="2"/>
  <c r="W2180" i="2"/>
  <c r="J107" i="2"/>
  <c r="J98" i="2"/>
  <c r="I109" i="2"/>
  <c r="I95" i="2"/>
  <c r="E2180" i="2"/>
  <c r="I97" i="2"/>
  <c r="E2182" i="2"/>
  <c r="I96" i="2"/>
  <c r="E2181" i="2"/>
  <c r="E2192" i="2"/>
  <c r="I99" i="2"/>
  <c r="E2184" i="2"/>
  <c r="J1532" i="3"/>
  <c r="I1520" i="3"/>
  <c r="BD2276" i="3"/>
  <c r="I1524" i="3"/>
  <c r="BD2280" i="3"/>
  <c r="I1521" i="3"/>
  <c r="BD2277" i="3"/>
  <c r="I1522" i="3"/>
  <c r="BD2278" i="3"/>
  <c r="I1534" i="3"/>
  <c r="BD2290" i="3"/>
  <c r="I1009" i="3"/>
  <c r="AK2278" i="3"/>
  <c r="I1021" i="3"/>
  <c r="I1011" i="3"/>
  <c r="AK2280" i="3"/>
  <c r="J1019" i="3"/>
  <c r="AK2288" i="3"/>
  <c r="I1007" i="3"/>
  <c r="AK2276" i="3"/>
  <c r="I1008" i="3"/>
  <c r="AK2277" i="3"/>
  <c r="AE2288" i="3"/>
  <c r="I849" i="3"/>
  <c r="AE2280" i="3"/>
  <c r="I845" i="3"/>
  <c r="AE2276" i="3"/>
  <c r="I846" i="3"/>
  <c r="AE2277" i="3"/>
  <c r="I847" i="3"/>
  <c r="AE2278" i="3"/>
  <c r="J857" i="3"/>
  <c r="J848" i="3"/>
  <c r="I859" i="3"/>
  <c r="AN2284" i="3"/>
  <c r="AN2300" i="3"/>
  <c r="J1096" i="3"/>
  <c r="J1098" i="3"/>
  <c r="AN2286" i="3"/>
  <c r="AN2302" i="3"/>
  <c r="J1095" i="3"/>
  <c r="AN2283" i="3"/>
  <c r="AN2299" i="3"/>
  <c r="I1100" i="3"/>
  <c r="I1088" i="3"/>
  <c r="AN2276" i="3"/>
  <c r="I375" i="3"/>
  <c r="O2277" i="3"/>
  <c r="I378" i="3"/>
  <c r="O2280" i="3"/>
  <c r="O2288" i="3"/>
  <c r="I374" i="3"/>
  <c r="O2276" i="3"/>
  <c r="I376" i="3"/>
  <c r="O2278" i="3"/>
  <c r="I388" i="3"/>
  <c r="J386" i="3"/>
  <c r="J359" i="3"/>
  <c r="J351" i="3"/>
  <c r="N2288" i="3"/>
  <c r="I347" i="3"/>
  <c r="N2276" i="3"/>
  <c r="I361" i="3"/>
  <c r="I349" i="3"/>
  <c r="N2278" i="3"/>
  <c r="I348" i="3"/>
  <c r="N2277" i="3"/>
  <c r="J304" i="3"/>
  <c r="I292" i="3"/>
  <c r="L2276" i="3"/>
  <c r="I294" i="3"/>
  <c r="L2278" i="3"/>
  <c r="I296" i="3"/>
  <c r="L2280" i="3"/>
  <c r="I293" i="3"/>
  <c r="L2277" i="3"/>
  <c r="I306" i="3"/>
  <c r="L2288" i="3"/>
  <c r="J246" i="3"/>
  <c r="J2303" i="3"/>
  <c r="I239" i="3"/>
  <c r="J2280" i="3"/>
  <c r="J244" i="3"/>
  <c r="J2285" i="3"/>
  <c r="J2301" i="3"/>
  <c r="I237" i="3"/>
  <c r="J2278" i="3"/>
  <c r="I588" i="5"/>
  <c r="W1641" i="5"/>
  <c r="I586" i="5"/>
  <c r="W1639" i="5"/>
  <c r="J596" i="5"/>
  <c r="W1649" i="5"/>
  <c r="I584" i="5"/>
  <c r="W1637" i="5"/>
  <c r="I587" i="5"/>
  <c r="W1640" i="5"/>
  <c r="I598" i="5"/>
  <c r="I532" i="5"/>
  <c r="U1639" i="5"/>
  <c r="I544" i="5"/>
  <c r="I533" i="5"/>
  <c r="U1640" i="5"/>
  <c r="J542" i="5"/>
  <c r="U1649" i="5"/>
  <c r="I530" i="5"/>
  <c r="U1637" i="5"/>
  <c r="I534" i="5"/>
  <c r="U1641" i="5"/>
  <c r="I343" i="5"/>
  <c r="N1639" i="5"/>
  <c r="I345" i="5"/>
  <c r="N1641" i="5"/>
  <c r="I344" i="5"/>
  <c r="N1640" i="5"/>
  <c r="J353" i="5"/>
  <c r="N1649" i="5"/>
  <c r="I355" i="5"/>
  <c r="I341" i="5"/>
  <c r="N1637" i="5"/>
  <c r="I923" i="4"/>
  <c r="AI2111" i="4"/>
  <c r="I401" i="4"/>
  <c r="P2111" i="4"/>
  <c r="I875" i="3"/>
  <c r="AF2279" i="3"/>
  <c r="J568" i="3"/>
  <c r="J1037" i="3"/>
  <c r="J820" i="3"/>
  <c r="J431" i="3"/>
  <c r="Q2305" i="3"/>
  <c r="I300" i="2"/>
  <c r="L2184" i="2"/>
  <c r="W2305" i="3"/>
  <c r="I458" i="3"/>
  <c r="R2279" i="3"/>
  <c r="J458" i="3"/>
  <c r="I404" i="3"/>
  <c r="P2279" i="3"/>
  <c r="I882" i="5"/>
  <c r="AH1638" i="5"/>
  <c r="I828" i="5"/>
  <c r="AF1638" i="5"/>
  <c r="I776" i="5"/>
  <c r="AD1640" i="5"/>
  <c r="J776" i="5"/>
  <c r="I747" i="5"/>
  <c r="AC1638" i="5"/>
  <c r="I693" i="5"/>
  <c r="AA1638" i="5"/>
  <c r="I666" i="5"/>
  <c r="Z1638" i="5"/>
  <c r="J902" i="3"/>
  <c r="I1010" i="3"/>
  <c r="AK2279" i="3"/>
  <c r="I765" i="3"/>
  <c r="AB2279" i="3"/>
  <c r="I350" i="3"/>
  <c r="N2279" i="3"/>
  <c r="I351" i="3"/>
  <c r="N2280" i="3"/>
  <c r="I639" i="5"/>
  <c r="Y1638" i="5"/>
  <c r="I612" i="5"/>
  <c r="X1638" i="5"/>
  <c r="I558" i="5"/>
  <c r="V1638" i="5"/>
  <c r="I504" i="5"/>
  <c r="T1638" i="5"/>
  <c r="I488" i="5"/>
  <c r="I423" i="5"/>
  <c r="Q1638" i="5"/>
  <c r="I396" i="5"/>
  <c r="P1638" i="5"/>
  <c r="I369" i="5"/>
  <c r="O1638" i="5"/>
  <c r="I342" i="5"/>
  <c r="N1638" i="5"/>
  <c r="I315" i="5"/>
  <c r="M1638" i="5"/>
  <c r="I288" i="5"/>
  <c r="L1638" i="5"/>
  <c r="J288" i="5"/>
  <c r="R2373" i="1"/>
  <c r="R2378" i="1"/>
  <c r="AC1667" i="5"/>
  <c r="I209" i="4"/>
  <c r="I2112" i="4"/>
  <c r="I208" i="4"/>
  <c r="I2111" i="4"/>
  <c r="I221" i="4"/>
  <c r="I222" i="4"/>
  <c r="I210" i="4"/>
  <c r="I2113" i="4"/>
  <c r="P2122" i="4"/>
  <c r="I403" i="4"/>
  <c r="P2113" i="4"/>
  <c r="I963" i="4"/>
  <c r="I41" i="1"/>
  <c r="J1177" i="2"/>
  <c r="J1176" i="2"/>
  <c r="J1173" i="2"/>
  <c r="J1174" i="2"/>
  <c r="J1187" i="2"/>
  <c r="J1188" i="2"/>
  <c r="J1175" i="2"/>
  <c r="I1188" i="2"/>
  <c r="AQ2194" i="2"/>
  <c r="J356" i="4"/>
  <c r="J344" i="4"/>
  <c r="N2122" i="4"/>
  <c r="N2124" i="4"/>
  <c r="I82" i="5"/>
  <c r="D1652" i="5"/>
  <c r="D1651" i="5"/>
  <c r="J127" i="5"/>
  <c r="I137" i="5"/>
  <c r="I138" i="5"/>
  <c r="F1652" i="5"/>
  <c r="J1205" i="2"/>
  <c r="J1202" i="2"/>
  <c r="I54" i="1"/>
  <c r="BE2408" i="1"/>
  <c r="I1203" i="2"/>
  <c r="AR2182" i="2"/>
  <c r="I1201" i="2"/>
  <c r="AR2180" i="2"/>
  <c r="I1215" i="2"/>
  <c r="I1204" i="2"/>
  <c r="AR2183" i="2"/>
  <c r="I950" i="4"/>
  <c r="AJ2111" i="4"/>
  <c r="I414" i="4"/>
  <c r="AI2122" i="4"/>
  <c r="I926" i="4"/>
  <c r="AI2114" i="4"/>
  <c r="I949" i="4"/>
  <c r="AJ2110" i="4"/>
  <c r="AJ2122" i="4"/>
  <c r="I953" i="4"/>
  <c r="AJ2114" i="4"/>
  <c r="I347" i="4"/>
  <c r="N2113" i="4"/>
  <c r="I358" i="4"/>
  <c r="I359" i="4"/>
  <c r="I348" i="4"/>
  <c r="N2114" i="4"/>
  <c r="I344" i="4"/>
  <c r="N2110" i="4"/>
  <c r="I346" i="4"/>
  <c r="N2112" i="4"/>
  <c r="J179" i="3"/>
  <c r="J180" i="3"/>
  <c r="I1523" i="3"/>
  <c r="BD2279" i="3"/>
  <c r="J1475" i="3"/>
  <c r="I1478" i="3"/>
  <c r="BB2285" i="3"/>
  <c r="BB2301" i="3"/>
  <c r="BB2305" i="3"/>
  <c r="J348" i="4"/>
  <c r="I126" i="5"/>
  <c r="F1640" i="5"/>
  <c r="F1649" i="5"/>
  <c r="I124" i="5"/>
  <c r="F1638" i="5"/>
  <c r="I125" i="5"/>
  <c r="F1639" i="5"/>
  <c r="AL2124" i="4"/>
  <c r="J347" i="4"/>
  <c r="I1019" i="4"/>
  <c r="I1008" i="4"/>
  <c r="AL2115" i="4"/>
  <c r="I1005" i="2"/>
  <c r="AK2180" i="2"/>
  <c r="I1019" i="2"/>
  <c r="AK2194" i="2"/>
  <c r="I1009" i="2"/>
  <c r="AK2184" i="2"/>
  <c r="I1007" i="2"/>
  <c r="AK2182" i="2"/>
  <c r="J1203" i="2"/>
  <c r="J1204" i="2"/>
  <c r="I1230" i="2"/>
  <c r="AS2181" i="2"/>
  <c r="I1344" i="2"/>
  <c r="AW2183" i="2"/>
  <c r="C2390" i="1"/>
  <c r="C2392" i="1"/>
  <c r="I1233" i="2"/>
  <c r="AS2184" i="2"/>
  <c r="I1232" i="2"/>
  <c r="AS2183" i="2"/>
  <c r="I1243" i="2"/>
  <c r="AS2192" i="2"/>
  <c r="J1241" i="2"/>
  <c r="AS2210" i="2"/>
  <c r="I1355" i="2"/>
  <c r="J1353" i="2"/>
  <c r="J1342" i="2"/>
  <c r="I1342" i="2"/>
  <c r="AW2181" i="2"/>
  <c r="AW2192" i="2"/>
  <c r="I1345" i="2"/>
  <c r="AW2184" i="2"/>
  <c r="I1229" i="2"/>
  <c r="AS2180" i="2"/>
  <c r="I1341" i="2"/>
  <c r="AW2180" i="2"/>
  <c r="I50" i="1"/>
  <c r="J50" i="1"/>
  <c r="J52" i="1"/>
  <c r="I42" i="1"/>
  <c r="C2380" i="1"/>
  <c r="I98" i="5"/>
  <c r="E1640" i="5"/>
  <c r="I109" i="5"/>
  <c r="E1649" i="5"/>
  <c r="I96" i="5"/>
  <c r="E1638" i="5"/>
  <c r="J107" i="5"/>
  <c r="I95" i="5"/>
  <c r="E1637" i="5"/>
  <c r="I99" i="5"/>
  <c r="E1641" i="5"/>
  <c r="I42" i="5"/>
  <c r="C1640" i="5"/>
  <c r="J51" i="5"/>
  <c r="J41" i="5"/>
  <c r="I43" i="5"/>
  <c r="C1641" i="5"/>
  <c r="I40" i="5"/>
  <c r="C1638" i="5"/>
  <c r="C1649" i="5"/>
  <c r="I39" i="5"/>
  <c r="C1637" i="5"/>
  <c r="J40" i="1"/>
  <c r="J25" i="5"/>
  <c r="J26" i="5"/>
  <c r="J15" i="5"/>
  <c r="J14" i="5"/>
  <c r="J11" i="5"/>
  <c r="J12" i="5"/>
  <c r="J81" i="5"/>
  <c r="J82" i="5"/>
  <c r="J69" i="5"/>
  <c r="J71" i="5"/>
  <c r="J68" i="5"/>
  <c r="I1151" i="2"/>
  <c r="AP2186" i="2"/>
  <c r="AP2196" i="2"/>
  <c r="I1150" i="2"/>
  <c r="AP2185" i="2"/>
  <c r="J1161" i="2"/>
  <c r="J67" i="5"/>
  <c r="I83" i="5"/>
  <c r="I16" i="5"/>
  <c r="B1642" i="5"/>
  <c r="B1653" i="5"/>
  <c r="J27" i="5"/>
  <c r="I17" i="5"/>
  <c r="B1643" i="5"/>
  <c r="I1291" i="2"/>
  <c r="AU2186" i="2"/>
  <c r="AU2196" i="2"/>
  <c r="J1301" i="2"/>
  <c r="I1290" i="2"/>
  <c r="AU2185" i="2"/>
  <c r="J1089" i="2"/>
  <c r="S2393" i="1"/>
  <c r="J536" i="1"/>
  <c r="I537" i="1"/>
  <c r="I257" i="1"/>
  <c r="J256" i="1"/>
  <c r="J2393" i="1"/>
  <c r="J1090" i="2"/>
  <c r="J1091" i="2"/>
  <c r="AL2373" i="1"/>
  <c r="AL2378" i="1"/>
  <c r="AL2380" i="1"/>
  <c r="AL2375" i="1"/>
  <c r="AL2374" i="1"/>
  <c r="AL2379" i="1"/>
  <c r="AL2381" i="1"/>
  <c r="AL2376" i="1"/>
  <c r="AL2377" i="1"/>
  <c r="AL2382" i="1"/>
  <c r="BE2374" i="1"/>
  <c r="BE2379" i="1"/>
  <c r="BE2375" i="1"/>
  <c r="BE2380" i="1"/>
  <c r="I1271" i="2"/>
  <c r="J1269" i="2"/>
  <c r="I1261" i="2"/>
  <c r="AT2184" i="2"/>
  <c r="I1258" i="2"/>
  <c r="AT2181" i="2"/>
  <c r="I1257" i="2"/>
  <c r="AT2180" i="2"/>
  <c r="I1260" i="2"/>
  <c r="AT2183" i="2"/>
  <c r="AT2192" i="2"/>
  <c r="J126" i="5"/>
  <c r="J123" i="5"/>
  <c r="J124" i="5"/>
  <c r="J125" i="5"/>
  <c r="F1651" i="5"/>
  <c r="I1318" i="2"/>
  <c r="AV2185" i="2"/>
  <c r="AV2196" i="2"/>
  <c r="I1319" i="2"/>
  <c r="AV2186" i="2"/>
  <c r="J1329" i="2"/>
  <c r="J1596" i="1"/>
  <c r="J1589" i="1"/>
  <c r="I1589" i="1"/>
  <c r="BF2378" i="1"/>
  <c r="BF2385" i="1"/>
  <c r="BF2402" i="1"/>
  <c r="J1620" i="1"/>
  <c r="J1619" i="1"/>
  <c r="J1006" i="4"/>
  <c r="I71" i="1"/>
  <c r="D2380" i="1"/>
  <c r="I704" i="1"/>
  <c r="J703" i="1"/>
  <c r="Y2393" i="1"/>
  <c r="AK2393" i="1"/>
  <c r="J1036" i="1"/>
  <c r="I1605" i="1"/>
  <c r="BF2393" i="1"/>
  <c r="J1604" i="1"/>
  <c r="J1443" i="1"/>
  <c r="AZ2394" i="1"/>
  <c r="I1433" i="1"/>
  <c r="AZ2384" i="1"/>
  <c r="I1432" i="1"/>
  <c r="AZ2383" i="1"/>
  <c r="AO2393" i="1"/>
  <c r="J1144" i="1"/>
  <c r="I1081" i="1"/>
  <c r="AM2384" i="1"/>
  <c r="AM2394" i="1"/>
  <c r="J1091" i="1"/>
  <c r="I1080" i="1"/>
  <c r="AM2383" i="1"/>
  <c r="AA2394" i="1"/>
  <c r="I750" i="1"/>
  <c r="AA2384" i="1"/>
  <c r="J760" i="1"/>
  <c r="I749" i="1"/>
  <c r="AA2383" i="1"/>
  <c r="J1090" i="1"/>
  <c r="AM2393" i="1"/>
  <c r="J313" i="1"/>
  <c r="I303" i="1"/>
  <c r="L2384" i="1"/>
  <c r="I302" i="1"/>
  <c r="L2383" i="1"/>
  <c r="J480" i="1"/>
  <c r="Q2393" i="1"/>
  <c r="I1632" i="1"/>
  <c r="BG2394" i="1"/>
  <c r="BG2393" i="1"/>
  <c r="I226" i="1"/>
  <c r="I481" i="1"/>
  <c r="J37" i="6"/>
  <c r="J38" i="6"/>
  <c r="J41" i="6"/>
  <c r="I1665" i="5"/>
  <c r="N1663" i="5"/>
  <c r="I1661" i="5"/>
  <c r="O1664" i="5"/>
  <c r="J1005" i="4"/>
  <c r="I28" i="4"/>
  <c r="J1004" i="4"/>
  <c r="I73" i="3"/>
  <c r="D2282" i="3"/>
  <c r="J83" i="3"/>
  <c r="I72" i="3"/>
  <c r="D2281" i="3"/>
  <c r="D2292" i="3"/>
  <c r="J139" i="3"/>
  <c r="I129" i="3"/>
  <c r="I128" i="3"/>
  <c r="I541" i="3"/>
  <c r="U2280" i="3"/>
  <c r="J549" i="3"/>
  <c r="J537" i="3"/>
  <c r="U2288" i="3"/>
  <c r="I551" i="3"/>
  <c r="I538" i="3"/>
  <c r="U2277" i="3"/>
  <c r="I539" i="3"/>
  <c r="U2278" i="3"/>
  <c r="I540" i="3"/>
  <c r="U2279" i="3"/>
  <c r="I111" i="3"/>
  <c r="J110" i="3"/>
  <c r="E2291" i="3"/>
  <c r="I523" i="3"/>
  <c r="T2288" i="3"/>
  <c r="J521" i="3"/>
  <c r="I513" i="3"/>
  <c r="T2280" i="3"/>
  <c r="I512" i="3"/>
  <c r="T2279" i="3"/>
  <c r="I510" i="3"/>
  <c r="T2277" i="3"/>
  <c r="I511" i="3"/>
  <c r="T2278" i="3"/>
  <c r="J718" i="3"/>
  <c r="J708" i="3"/>
  <c r="I720" i="3"/>
  <c r="Z2288" i="3"/>
  <c r="I710" i="3"/>
  <c r="Z2280" i="3"/>
  <c r="I709" i="3"/>
  <c r="Z2279" i="3"/>
  <c r="I707" i="3"/>
  <c r="Z2277" i="3"/>
  <c r="I706" i="3"/>
  <c r="Z2276" i="3"/>
  <c r="J193" i="3"/>
  <c r="I194" i="3"/>
  <c r="J194" i="3"/>
  <c r="D2291" i="3"/>
  <c r="J82" i="3"/>
  <c r="I17" i="3"/>
  <c r="B2281" i="3"/>
  <c r="B2292" i="3"/>
  <c r="I18" i="3"/>
  <c r="B2282" i="3"/>
  <c r="J509" i="3"/>
  <c r="AR2194" i="2"/>
  <c r="I1216" i="2"/>
  <c r="Z2393" i="1"/>
  <c r="J731" i="1"/>
  <c r="AJ2393" i="1"/>
  <c r="J1009" i="1"/>
  <c r="N2393" i="1"/>
  <c r="J396" i="1"/>
  <c r="J982" i="1"/>
  <c r="AI2393" i="1"/>
  <c r="J1063" i="1"/>
  <c r="AL2393" i="1"/>
  <c r="J592" i="1"/>
  <c r="U2393" i="1"/>
  <c r="I621" i="1"/>
  <c r="V2393" i="1"/>
  <c r="J620" i="1"/>
  <c r="J732" i="1"/>
  <c r="I722" i="1"/>
  <c r="Z2384" i="1"/>
  <c r="Z2394" i="1"/>
  <c r="I721" i="1"/>
  <c r="Z2383" i="1"/>
  <c r="J1010" i="1"/>
  <c r="I1000" i="1"/>
  <c r="AJ2384" i="1"/>
  <c r="I999" i="1"/>
  <c r="AJ2383" i="1"/>
  <c r="AJ2394" i="1"/>
  <c r="J452" i="1"/>
  <c r="P2393" i="1"/>
  <c r="I983" i="1"/>
  <c r="I1064" i="1"/>
  <c r="I1524" i="1"/>
  <c r="J1523" i="1"/>
  <c r="BC2393" i="1"/>
  <c r="AN2393" i="1"/>
  <c r="J1117" i="1"/>
  <c r="I1362" i="1"/>
  <c r="J1361" i="1"/>
  <c r="AW2393" i="1"/>
  <c r="I1551" i="1"/>
  <c r="BD2393" i="1"/>
  <c r="J1550" i="1"/>
  <c r="I341" i="1"/>
  <c r="I330" i="1"/>
  <c r="J1631" i="1"/>
  <c r="I1172" i="1"/>
  <c r="AP2393" i="1"/>
  <c r="J1171" i="1"/>
  <c r="I1254" i="1"/>
  <c r="J1253" i="1"/>
  <c r="AS2393" i="1"/>
  <c r="I1470" i="1"/>
  <c r="J1469" i="1"/>
  <c r="BA2393" i="1"/>
  <c r="I359" i="1"/>
  <c r="M2384" i="1"/>
  <c r="M2394" i="1"/>
  <c r="J369" i="1"/>
  <c r="I358" i="1"/>
  <c r="M2383" i="1"/>
  <c r="J955" i="1"/>
  <c r="AH2393" i="1"/>
  <c r="J1280" i="1"/>
  <c r="AT2393" i="1"/>
  <c r="AF2393" i="1"/>
  <c r="J899" i="1"/>
  <c r="AX2381" i="1"/>
  <c r="AX2376" i="1"/>
  <c r="I1199" i="1"/>
  <c r="AQ2393" i="1"/>
  <c r="J1198" i="1"/>
  <c r="AX2393" i="1"/>
  <c r="J1388" i="1"/>
  <c r="J1225" i="1"/>
  <c r="AR2393" i="1"/>
  <c r="AX2375" i="1"/>
  <c r="AX2380" i="1"/>
  <c r="I274" i="1"/>
  <c r="I275" i="1"/>
  <c r="J285" i="1"/>
  <c r="J368" i="1"/>
  <c r="M2393" i="1"/>
  <c r="J843" i="1"/>
  <c r="AD2393" i="1"/>
  <c r="D2373" i="1"/>
  <c r="D2378" i="1"/>
  <c r="I80" i="1"/>
  <c r="J81" i="1"/>
  <c r="J71" i="1"/>
  <c r="I79" i="1"/>
  <c r="D2390" i="1"/>
  <c r="D2392" i="1"/>
  <c r="I83" i="1"/>
  <c r="J51" i="1"/>
  <c r="C2389" i="1"/>
  <c r="J54" i="1"/>
  <c r="I55" i="1"/>
  <c r="J55" i="1"/>
  <c r="O2393" i="1"/>
  <c r="J424" i="1"/>
  <c r="AC2393" i="1"/>
  <c r="J815" i="1"/>
  <c r="I956" i="1"/>
  <c r="I1281" i="1"/>
  <c r="I900" i="1"/>
  <c r="I1389" i="1"/>
  <c r="I1226" i="1"/>
  <c r="I1298" i="1"/>
  <c r="AU2384" i="1"/>
  <c r="AU2394" i="1"/>
  <c r="I1297" i="1"/>
  <c r="AU2383" i="1"/>
  <c r="J1308" i="1"/>
  <c r="I490" i="5"/>
  <c r="I480" i="5"/>
  <c r="S1641" i="5"/>
  <c r="J488" i="5"/>
  <c r="S1649" i="5"/>
  <c r="I479" i="5"/>
  <c r="S1640" i="5"/>
  <c r="I478" i="5"/>
  <c r="S1639" i="5"/>
  <c r="I476" i="5"/>
  <c r="S1637" i="5"/>
  <c r="J544" i="5"/>
  <c r="J545" i="5"/>
  <c r="J532" i="5"/>
  <c r="J530" i="5"/>
  <c r="J534" i="5"/>
  <c r="J533" i="5"/>
  <c r="I545" i="5"/>
  <c r="U1652" i="5"/>
  <c r="U1651" i="5"/>
  <c r="I599" i="5"/>
  <c r="W1652" i="5"/>
  <c r="W1651" i="5"/>
  <c r="J586" i="5"/>
  <c r="J598" i="5"/>
  <c r="J599" i="5"/>
  <c r="J588" i="5"/>
  <c r="J584" i="5"/>
  <c r="J587" i="5"/>
  <c r="I307" i="3"/>
  <c r="I308" i="3"/>
  <c r="J306" i="3"/>
  <c r="L2290" i="3"/>
  <c r="L2305" i="3"/>
  <c r="J361" i="3"/>
  <c r="I362" i="3"/>
  <c r="I363" i="3"/>
  <c r="N2290" i="3"/>
  <c r="J378" i="3"/>
  <c r="J375" i="3"/>
  <c r="J374" i="3"/>
  <c r="J376" i="3"/>
  <c r="J1100" i="3"/>
  <c r="J1088" i="3"/>
  <c r="AN2288" i="3"/>
  <c r="I1102" i="3"/>
  <c r="J859" i="3"/>
  <c r="I860" i="3"/>
  <c r="AE2290" i="3"/>
  <c r="J1520" i="3"/>
  <c r="J1522" i="3"/>
  <c r="J1524" i="3"/>
  <c r="J1521" i="3"/>
  <c r="I110" i="2"/>
  <c r="E2195" i="2"/>
  <c r="E2194" i="2"/>
  <c r="I625" i="2"/>
  <c r="W2195" i="2"/>
  <c r="W2194" i="2"/>
  <c r="I626" i="2"/>
  <c r="I41" i="3"/>
  <c r="C2278" i="3"/>
  <c r="I49" i="3"/>
  <c r="C2288" i="3"/>
  <c r="I39" i="3"/>
  <c r="C2276" i="3"/>
  <c r="J51" i="3"/>
  <c r="J40" i="3"/>
  <c r="I53" i="3"/>
  <c r="J1651" i="5"/>
  <c r="I248" i="5"/>
  <c r="J1652" i="5"/>
  <c r="AA1651" i="5"/>
  <c r="I707" i="5"/>
  <c r="AA1652" i="5"/>
  <c r="J706" i="5"/>
  <c r="J707" i="5"/>
  <c r="J695" i="5"/>
  <c r="J694" i="5"/>
  <c r="J696" i="5"/>
  <c r="J692" i="5"/>
  <c r="J432" i="3"/>
  <c r="J430" i="3"/>
  <c r="J428" i="3"/>
  <c r="I1049" i="3"/>
  <c r="I1050" i="3"/>
  <c r="J1048" i="3"/>
  <c r="AL2290" i="3"/>
  <c r="J1036" i="3"/>
  <c r="J1038" i="3"/>
  <c r="J1034" i="3"/>
  <c r="J1035" i="3"/>
  <c r="J1399" i="3"/>
  <c r="AY2290" i="3"/>
  <c r="I1400" i="3"/>
  <c r="I1401" i="3"/>
  <c r="J1507" i="3"/>
  <c r="BC2290" i="3"/>
  <c r="I1508" i="3"/>
  <c r="I311" i="2"/>
  <c r="L2195" i="2"/>
  <c r="L2194" i="2"/>
  <c r="I312" i="2"/>
  <c r="I968" i="3"/>
  <c r="I969" i="3"/>
  <c r="AI2290" i="3"/>
  <c r="J967" i="3"/>
  <c r="I1568" i="1"/>
  <c r="BE2384" i="1"/>
  <c r="I1567" i="1"/>
  <c r="BE2383" i="1"/>
  <c r="J1578" i="1"/>
  <c r="BE2394" i="1"/>
  <c r="I43" i="6"/>
  <c r="C880" i="6"/>
  <c r="C890" i="6"/>
  <c r="I42" i="6"/>
  <c r="C879" i="6"/>
  <c r="J53" i="6"/>
  <c r="P2140" i="4"/>
  <c r="J710" i="4"/>
  <c r="J708" i="4"/>
  <c r="J706" i="4"/>
  <c r="J720" i="4"/>
  <c r="J721" i="4"/>
  <c r="J709" i="4"/>
  <c r="J451" i="2"/>
  <c r="J440" i="2"/>
  <c r="Q2192" i="2"/>
  <c r="I453" i="2"/>
  <c r="I439" i="2"/>
  <c r="Q2180" i="2"/>
  <c r="I441" i="2"/>
  <c r="Q2182" i="2"/>
  <c r="I443" i="2"/>
  <c r="Q2184" i="2"/>
  <c r="I442" i="2"/>
  <c r="Q2183" i="2"/>
  <c r="I557" i="2"/>
  <c r="U2183" i="2"/>
  <c r="I558" i="2"/>
  <c r="U2184" i="2"/>
  <c r="I556" i="2"/>
  <c r="U2182" i="2"/>
  <c r="I568" i="2"/>
  <c r="U2192" i="2"/>
  <c r="I554" i="2"/>
  <c r="U2180" i="2"/>
  <c r="J566" i="2"/>
  <c r="J555" i="2"/>
  <c r="I643" i="2"/>
  <c r="X2184" i="2"/>
  <c r="I641" i="2"/>
  <c r="X2182" i="2"/>
  <c r="I642" i="2"/>
  <c r="X2183" i="2"/>
  <c r="J651" i="2"/>
  <c r="J640" i="2"/>
  <c r="X2192" i="2"/>
  <c r="I639" i="2"/>
  <c r="X2180" i="2"/>
  <c r="I653" i="2"/>
  <c r="I699" i="2"/>
  <c r="Z2182" i="2"/>
  <c r="I701" i="2"/>
  <c r="Z2184" i="2"/>
  <c r="I711" i="2"/>
  <c r="I700" i="2"/>
  <c r="Z2183" i="2"/>
  <c r="I697" i="2"/>
  <c r="Z2180" i="2"/>
  <c r="J709" i="2"/>
  <c r="J698" i="2"/>
  <c r="Z2192" i="2"/>
  <c r="I757" i="2"/>
  <c r="AB2184" i="2"/>
  <c r="I755" i="2"/>
  <c r="AB2182" i="2"/>
  <c r="I756" i="2"/>
  <c r="AB2183" i="2"/>
  <c r="I767" i="2"/>
  <c r="J765" i="2"/>
  <c r="J754" i="2"/>
  <c r="AB2192" i="2"/>
  <c r="I753" i="2"/>
  <c r="AB2180" i="2"/>
  <c r="I895" i="2"/>
  <c r="AG2182" i="2"/>
  <c r="I896" i="2"/>
  <c r="AG2183" i="2"/>
  <c r="I897" i="2"/>
  <c r="AG2184" i="2"/>
  <c r="J905" i="2"/>
  <c r="J894" i="2"/>
  <c r="I907" i="2"/>
  <c r="AG2192" i="2"/>
  <c r="I893" i="2"/>
  <c r="AG2180" i="2"/>
  <c r="J1278" i="3"/>
  <c r="J1281" i="3"/>
  <c r="J1279" i="3"/>
  <c r="J1277" i="3"/>
  <c r="I395" i="2"/>
  <c r="I381" i="2"/>
  <c r="O2180" i="2"/>
  <c r="I383" i="2"/>
  <c r="O2182" i="2"/>
  <c r="J393" i="2"/>
  <c r="O2192" i="2"/>
  <c r="I385" i="2"/>
  <c r="O2184" i="2"/>
  <c r="I382" i="2"/>
  <c r="O2181" i="2"/>
  <c r="I264" i="4"/>
  <c r="K2113" i="4"/>
  <c r="I265" i="4"/>
  <c r="K2114" i="4"/>
  <c r="J273" i="4"/>
  <c r="J261" i="4"/>
  <c r="I262" i="4"/>
  <c r="K2111" i="4"/>
  <c r="I275" i="4"/>
  <c r="I276" i="4"/>
  <c r="K2122" i="4"/>
  <c r="K2124" i="4"/>
  <c r="I263" i="4"/>
  <c r="K2112" i="4"/>
  <c r="J1424" i="3"/>
  <c r="AZ2288" i="3"/>
  <c r="I1416" i="3"/>
  <c r="AZ2280" i="3"/>
  <c r="I1426" i="3"/>
  <c r="I1414" i="3"/>
  <c r="AZ2278" i="3"/>
  <c r="I1413" i="3"/>
  <c r="AZ2277" i="3"/>
  <c r="I1412" i="3"/>
  <c r="AZ2276" i="3"/>
  <c r="I624" i="3"/>
  <c r="W2278" i="3"/>
  <c r="I636" i="3"/>
  <c r="I623" i="3"/>
  <c r="W2277" i="3"/>
  <c r="I626" i="3"/>
  <c r="W2280" i="3"/>
  <c r="J634" i="3"/>
  <c r="J625" i="3"/>
  <c r="W2288" i="3"/>
  <c r="I622" i="3"/>
  <c r="W2276" i="3"/>
  <c r="J371" i="5"/>
  <c r="J370" i="5"/>
  <c r="J372" i="5"/>
  <c r="J368" i="5"/>
  <c r="J382" i="5"/>
  <c r="J383" i="5"/>
  <c r="J397" i="5"/>
  <c r="J399" i="5"/>
  <c r="J398" i="5"/>
  <c r="J395" i="5"/>
  <c r="J409" i="5"/>
  <c r="J410" i="5"/>
  <c r="J426" i="5"/>
  <c r="J425" i="5"/>
  <c r="J436" i="5"/>
  <c r="J437" i="5"/>
  <c r="J424" i="5"/>
  <c r="J422" i="5"/>
  <c r="I437" i="5"/>
  <c r="Q1652" i="5"/>
  <c r="Q1651" i="5"/>
  <c r="J503" i="5"/>
  <c r="J507" i="5"/>
  <c r="J506" i="5"/>
  <c r="J517" i="5"/>
  <c r="J518" i="5"/>
  <c r="J505" i="5"/>
  <c r="I572" i="5"/>
  <c r="I573" i="5"/>
  <c r="V1651" i="5"/>
  <c r="J652" i="5"/>
  <c r="J653" i="5"/>
  <c r="J642" i="5"/>
  <c r="J638" i="5"/>
  <c r="J641" i="5"/>
  <c r="I653" i="5"/>
  <c r="Y1652" i="5"/>
  <c r="Y1651" i="5"/>
  <c r="J2305" i="3"/>
  <c r="J764" i="3"/>
  <c r="J763" i="3"/>
  <c r="J762" i="3"/>
  <c r="J766" i="3"/>
  <c r="I777" i="3"/>
  <c r="I778" i="3"/>
  <c r="J776" i="3"/>
  <c r="AB2290" i="3"/>
  <c r="J913" i="3"/>
  <c r="I914" i="3"/>
  <c r="I915" i="3"/>
  <c r="AG2290" i="3"/>
  <c r="I1020" i="2"/>
  <c r="AK2195" i="2"/>
  <c r="I165" i="5"/>
  <c r="I151" i="5"/>
  <c r="G1637" i="5"/>
  <c r="I153" i="5"/>
  <c r="G1639" i="5"/>
  <c r="I155" i="5"/>
  <c r="G1641" i="5"/>
  <c r="J163" i="5"/>
  <c r="G1649" i="5"/>
  <c r="I154" i="5"/>
  <c r="G1640" i="5"/>
  <c r="G1662" i="5"/>
  <c r="J665" i="5"/>
  <c r="J679" i="5"/>
  <c r="J680" i="5"/>
  <c r="J667" i="5"/>
  <c r="J669" i="5"/>
  <c r="J668" i="5"/>
  <c r="J760" i="5"/>
  <c r="J761" i="5"/>
  <c r="J750" i="5"/>
  <c r="J748" i="5"/>
  <c r="J746" i="5"/>
  <c r="J749" i="5"/>
  <c r="I761" i="5"/>
  <c r="AC1652" i="5"/>
  <c r="AC1651" i="5"/>
  <c r="J775" i="5"/>
  <c r="J777" i="5"/>
  <c r="J787" i="5"/>
  <c r="J788" i="5"/>
  <c r="J774" i="5"/>
  <c r="J773" i="5"/>
  <c r="J841" i="5"/>
  <c r="J842" i="5"/>
  <c r="J829" i="5"/>
  <c r="J830" i="5"/>
  <c r="J827" i="5"/>
  <c r="J831" i="5"/>
  <c r="I896" i="5"/>
  <c r="AH1652" i="5"/>
  <c r="J415" i="3"/>
  <c r="I416" i="3"/>
  <c r="P2290" i="3"/>
  <c r="J455" i="3"/>
  <c r="J459" i="3"/>
  <c r="J457" i="3"/>
  <c r="J456" i="3"/>
  <c r="I470" i="3"/>
  <c r="I471" i="3"/>
  <c r="J469" i="3"/>
  <c r="R2290" i="3"/>
  <c r="J941" i="3"/>
  <c r="AH2291" i="3"/>
  <c r="I802" i="5"/>
  <c r="AE1639" i="5"/>
  <c r="I803" i="5"/>
  <c r="AE1640" i="5"/>
  <c r="I804" i="5"/>
  <c r="AE1641" i="5"/>
  <c r="J812" i="5"/>
  <c r="AE1649" i="5"/>
  <c r="I814" i="5"/>
  <c r="I800" i="5"/>
  <c r="AE1637" i="5"/>
  <c r="J569" i="3"/>
  <c r="J567" i="3"/>
  <c r="J565" i="3"/>
  <c r="J566" i="3"/>
  <c r="I887" i="3"/>
  <c r="I888" i="3"/>
  <c r="J886" i="3"/>
  <c r="AF2290" i="3"/>
  <c r="I415" i="4"/>
  <c r="P2124" i="4"/>
  <c r="P2125" i="4"/>
  <c r="J924" i="4"/>
  <c r="J922" i="4"/>
  <c r="J926" i="4"/>
  <c r="J925" i="4"/>
  <c r="J936" i="4"/>
  <c r="J937" i="4"/>
  <c r="I470" i="2"/>
  <c r="R2182" i="2"/>
  <c r="I471" i="2"/>
  <c r="R2183" i="2"/>
  <c r="I472" i="2"/>
  <c r="R2184" i="2"/>
  <c r="I482" i="2"/>
  <c r="I468" i="2"/>
  <c r="R2180" i="2"/>
  <c r="J480" i="2"/>
  <c r="J469" i="2"/>
  <c r="R2192" i="2"/>
  <c r="I670" i="2"/>
  <c r="Y2182" i="2"/>
  <c r="I671" i="2"/>
  <c r="Y2183" i="2"/>
  <c r="I672" i="2"/>
  <c r="Y2184" i="2"/>
  <c r="J680" i="2"/>
  <c r="I682" i="2"/>
  <c r="Y2192" i="2"/>
  <c r="I668" i="2"/>
  <c r="Y2180" i="2"/>
  <c r="I784" i="2"/>
  <c r="AC2183" i="2"/>
  <c r="I785" i="2"/>
  <c r="AC2184" i="2"/>
  <c r="I783" i="2"/>
  <c r="AC2182" i="2"/>
  <c r="I795" i="2"/>
  <c r="AC2192" i="2"/>
  <c r="I781" i="2"/>
  <c r="AC2180" i="2"/>
  <c r="J793" i="2"/>
  <c r="J782" i="2"/>
  <c r="I869" i="2"/>
  <c r="AF2184" i="2"/>
  <c r="I868" i="2"/>
  <c r="AF2183" i="2"/>
  <c r="I867" i="2"/>
  <c r="AF2182" i="2"/>
  <c r="J877" i="2"/>
  <c r="J866" i="2"/>
  <c r="AF2192" i="2"/>
  <c r="I865" i="2"/>
  <c r="AF2180" i="2"/>
  <c r="I879" i="2"/>
  <c r="J1439" i="3"/>
  <c r="J1441" i="3"/>
  <c r="J1443" i="3"/>
  <c r="J1440" i="3"/>
  <c r="I377" i="4"/>
  <c r="O2115" i="4"/>
  <c r="I378" i="4"/>
  <c r="O2116" i="4"/>
  <c r="J388" i="4"/>
  <c r="I1091" i="3"/>
  <c r="AN2279" i="3"/>
  <c r="I1089" i="3"/>
  <c r="AN2277" i="3"/>
  <c r="J384" i="2"/>
  <c r="J585" i="5"/>
  <c r="J377" i="3"/>
  <c r="J693" i="5"/>
  <c r="J429" i="3"/>
  <c r="J707" i="4"/>
  <c r="J1280" i="3"/>
  <c r="J477" i="5"/>
  <c r="I625" i="3"/>
  <c r="W2279" i="3"/>
  <c r="I356" i="5"/>
  <c r="N1652" i="5"/>
  <c r="N1651" i="5"/>
  <c r="J345" i="5"/>
  <c r="J344" i="5"/>
  <c r="J341" i="5"/>
  <c r="J355" i="5"/>
  <c r="J356" i="5"/>
  <c r="J343" i="5"/>
  <c r="J294" i="3"/>
  <c r="J293" i="3"/>
  <c r="J292" i="3"/>
  <c r="J347" i="3"/>
  <c r="J348" i="3"/>
  <c r="J349" i="3"/>
  <c r="I389" i="3"/>
  <c r="I390" i="3"/>
  <c r="J388" i="3"/>
  <c r="O2290" i="3"/>
  <c r="J847" i="3"/>
  <c r="J845" i="3"/>
  <c r="J846" i="3"/>
  <c r="J849" i="3"/>
  <c r="J1011" i="3"/>
  <c r="J1009" i="3"/>
  <c r="J1007" i="3"/>
  <c r="J1008" i="3"/>
  <c r="I1022" i="3"/>
  <c r="I1023" i="3"/>
  <c r="AK2290" i="3"/>
  <c r="J1021" i="3"/>
  <c r="J1534" i="3"/>
  <c r="I1535" i="3"/>
  <c r="J97" i="2"/>
  <c r="J96" i="2"/>
  <c r="J109" i="2"/>
  <c r="J110" i="2"/>
  <c r="J99" i="2"/>
  <c r="J95" i="2"/>
  <c r="J614" i="2"/>
  <c r="J610" i="2"/>
  <c r="J612" i="2"/>
  <c r="J624" i="2"/>
  <c r="J625" i="2"/>
  <c r="J613" i="2"/>
  <c r="I182" i="5"/>
  <c r="H1640" i="5"/>
  <c r="I193" i="5"/>
  <c r="H1649" i="5"/>
  <c r="I179" i="5"/>
  <c r="H1637" i="5"/>
  <c r="I181" i="5"/>
  <c r="H1639" i="5"/>
  <c r="J191" i="5"/>
  <c r="J180" i="5"/>
  <c r="I183" i="5"/>
  <c r="H1641" i="5"/>
  <c r="I453" i="5"/>
  <c r="R1641" i="5"/>
  <c r="I452" i="5"/>
  <c r="R1640" i="5"/>
  <c r="I451" i="5"/>
  <c r="R1639" i="5"/>
  <c r="I463" i="5"/>
  <c r="R1649" i="5"/>
  <c r="J461" i="5"/>
  <c r="J450" i="5"/>
  <c r="I449" i="5"/>
  <c r="R1637" i="5"/>
  <c r="J233" i="5"/>
  <c r="J247" i="5"/>
  <c r="J248" i="5"/>
  <c r="J234" i="5"/>
  <c r="J235" i="5"/>
  <c r="J237" i="5"/>
  <c r="I443" i="3"/>
  <c r="I444" i="3"/>
  <c r="J442" i="3"/>
  <c r="Q2290" i="3"/>
  <c r="J831" i="3"/>
  <c r="AD2290" i="3"/>
  <c r="I832" i="3"/>
  <c r="I833" i="3"/>
  <c r="J821" i="3"/>
  <c r="J819" i="3"/>
  <c r="J817" i="3"/>
  <c r="J818" i="3"/>
  <c r="J1385" i="3"/>
  <c r="J1389" i="3"/>
  <c r="J1386" i="3"/>
  <c r="J1387" i="3"/>
  <c r="J1495" i="3"/>
  <c r="J1497" i="3"/>
  <c r="J1493" i="3"/>
  <c r="J1494" i="3"/>
  <c r="J297" i="2"/>
  <c r="J310" i="2"/>
  <c r="J311" i="2"/>
  <c r="J298" i="2"/>
  <c r="J296" i="2"/>
  <c r="I263" i="5"/>
  <c r="K1640" i="5"/>
  <c r="I264" i="5"/>
  <c r="K1641" i="5"/>
  <c r="J272" i="5"/>
  <c r="I262" i="5"/>
  <c r="K1639" i="5"/>
  <c r="I274" i="5"/>
  <c r="K1649" i="5"/>
  <c r="I260" i="5"/>
  <c r="K1637" i="5"/>
  <c r="I723" i="5"/>
  <c r="AB1641" i="5"/>
  <c r="J731" i="5"/>
  <c r="J720" i="5"/>
  <c r="I733" i="5"/>
  <c r="I722" i="5"/>
  <c r="AB1640" i="5"/>
  <c r="I719" i="5"/>
  <c r="AB1637" i="5"/>
  <c r="I721" i="5"/>
  <c r="AB1639" i="5"/>
  <c r="AB1649" i="5"/>
  <c r="I857" i="5"/>
  <c r="AG1640" i="5"/>
  <c r="J866" i="5"/>
  <c r="J855" i="5"/>
  <c r="AG1649" i="5"/>
  <c r="I858" i="5"/>
  <c r="AG1641" i="5"/>
  <c r="I868" i="5"/>
  <c r="I854" i="5"/>
  <c r="AG1637" i="5"/>
  <c r="I856" i="5"/>
  <c r="AG1639" i="5"/>
  <c r="J486" i="3"/>
  <c r="J482" i="3"/>
  <c r="J484" i="3"/>
  <c r="J483" i="3"/>
  <c r="J954" i="3"/>
  <c r="J953" i="3"/>
  <c r="J955" i="3"/>
  <c r="J957" i="3"/>
  <c r="BE2393" i="1"/>
  <c r="J1577" i="1"/>
  <c r="J209" i="4"/>
  <c r="J210" i="4"/>
  <c r="J211" i="4"/>
  <c r="J208" i="4"/>
  <c r="J221" i="4"/>
  <c r="J222" i="4"/>
  <c r="I721" i="4"/>
  <c r="AA2125" i="4"/>
  <c r="AA2124" i="4"/>
  <c r="Q2205" i="2"/>
  <c r="I43" i="4"/>
  <c r="C2114" i="4"/>
  <c r="I42" i="4"/>
  <c r="C2113" i="4"/>
  <c r="C2122" i="4"/>
  <c r="I40" i="4"/>
  <c r="C2111" i="4"/>
  <c r="I41" i="4"/>
  <c r="C2112" i="4"/>
  <c r="J51" i="4"/>
  <c r="I53" i="4"/>
  <c r="J1291" i="3"/>
  <c r="AU2290" i="3"/>
  <c r="I1292" i="3"/>
  <c r="I682" i="4"/>
  <c r="Z2113" i="4"/>
  <c r="I681" i="4"/>
  <c r="Z2112" i="4"/>
  <c r="I693" i="4"/>
  <c r="Z2122" i="4"/>
  <c r="I679" i="4"/>
  <c r="Z2110" i="4"/>
  <c r="J691" i="4"/>
  <c r="I683" i="4"/>
  <c r="Z2114" i="4"/>
  <c r="I790" i="4"/>
  <c r="AD2113" i="4"/>
  <c r="I789" i="4"/>
  <c r="AD2112" i="4"/>
  <c r="J799" i="4"/>
  <c r="I787" i="4"/>
  <c r="AD2110" i="4"/>
  <c r="I791" i="4"/>
  <c r="AD2114" i="4"/>
  <c r="I801" i="4"/>
  <c r="AD2122" i="4"/>
  <c r="L1651" i="5"/>
  <c r="I302" i="5"/>
  <c r="L1652" i="5"/>
  <c r="J301" i="5"/>
  <c r="J302" i="5"/>
  <c r="J290" i="5"/>
  <c r="J287" i="5"/>
  <c r="J291" i="5"/>
  <c r="J289" i="5"/>
  <c r="J318" i="5"/>
  <c r="J316" i="5"/>
  <c r="J317" i="5"/>
  <c r="J314" i="5"/>
  <c r="J328" i="5"/>
  <c r="J329" i="5"/>
  <c r="I329" i="5"/>
  <c r="M1652" i="5"/>
  <c r="M1651" i="5"/>
  <c r="I330" i="5"/>
  <c r="I383" i="5"/>
  <c r="O1652" i="5"/>
  <c r="O1651" i="5"/>
  <c r="I384" i="5"/>
  <c r="I410" i="5"/>
  <c r="P1652" i="5"/>
  <c r="P1651" i="5"/>
  <c r="I411" i="5"/>
  <c r="T1651" i="5"/>
  <c r="I518" i="5"/>
  <c r="T1652" i="5"/>
  <c r="J561" i="5"/>
  <c r="J557" i="5"/>
  <c r="J571" i="5"/>
  <c r="J572" i="5"/>
  <c r="J560" i="5"/>
  <c r="J559" i="5"/>
  <c r="J614" i="5"/>
  <c r="J611" i="5"/>
  <c r="J615" i="5"/>
  <c r="J625" i="5"/>
  <c r="J626" i="5"/>
  <c r="J613" i="5"/>
  <c r="I626" i="5"/>
  <c r="I627" i="5"/>
  <c r="X1651" i="5"/>
  <c r="J247" i="3"/>
  <c r="J238" i="3"/>
  <c r="I249" i="3"/>
  <c r="J2288" i="3"/>
  <c r="J901" i="3"/>
  <c r="J899" i="3"/>
  <c r="J900" i="3"/>
  <c r="J1008" i="2"/>
  <c r="J1009" i="2"/>
  <c r="J1019" i="2"/>
  <c r="J1020" i="2"/>
  <c r="J1007" i="2"/>
  <c r="J1005" i="2"/>
  <c r="I220" i="5"/>
  <c r="I209" i="5"/>
  <c r="I1640" i="5"/>
  <c r="I206" i="5"/>
  <c r="I1637" i="5"/>
  <c r="I208" i="5"/>
  <c r="I1639" i="5"/>
  <c r="J218" i="5"/>
  <c r="I1649" i="5"/>
  <c r="I210" i="5"/>
  <c r="I1641" i="5"/>
  <c r="I680" i="5"/>
  <c r="Z1652" i="5"/>
  <c r="Z1651" i="5"/>
  <c r="I681" i="5"/>
  <c r="AD1651" i="5"/>
  <c r="I788" i="5"/>
  <c r="AD1652" i="5"/>
  <c r="I842" i="5"/>
  <c r="I843" i="5"/>
  <c r="AF1651" i="5"/>
  <c r="J895" i="5"/>
  <c r="J896" i="5"/>
  <c r="J884" i="5"/>
  <c r="J883" i="5"/>
  <c r="J885" i="5"/>
  <c r="J881" i="5"/>
  <c r="J402" i="3"/>
  <c r="J401" i="3"/>
  <c r="J403" i="3"/>
  <c r="J873" i="3"/>
  <c r="J876" i="3"/>
  <c r="J874" i="3"/>
  <c r="J1307" i="1"/>
  <c r="AU2393" i="1"/>
  <c r="J1415" i="1"/>
  <c r="AY2393" i="1"/>
  <c r="I937" i="4"/>
  <c r="AI2125" i="4"/>
  <c r="AI2124" i="4"/>
  <c r="I964" i="4"/>
  <c r="AJ2125" i="4"/>
  <c r="AJ2124" i="4"/>
  <c r="I965" i="4"/>
  <c r="I267" i="4"/>
  <c r="K2116" i="4"/>
  <c r="I266" i="4"/>
  <c r="K2115" i="4"/>
  <c r="J277" i="4"/>
  <c r="I657" i="4"/>
  <c r="Y2115" i="4"/>
  <c r="J668" i="4"/>
  <c r="I658" i="4"/>
  <c r="Y2116" i="4"/>
  <c r="Y2126" i="4"/>
  <c r="I153" i="2"/>
  <c r="G2181" i="2"/>
  <c r="I154" i="2"/>
  <c r="G2182" i="2"/>
  <c r="I166" i="2"/>
  <c r="I152" i="2"/>
  <c r="G2180" i="2"/>
  <c r="J164" i="2"/>
  <c r="J155" i="2"/>
  <c r="G2192" i="2"/>
  <c r="I156" i="2"/>
  <c r="G2184" i="2"/>
  <c r="I584" i="2"/>
  <c r="V2182" i="2"/>
  <c r="J594" i="2"/>
  <c r="J583" i="2"/>
  <c r="V2192" i="2"/>
  <c r="I586" i="2"/>
  <c r="V2184" i="2"/>
  <c r="I596" i="2"/>
  <c r="I585" i="2"/>
  <c r="V2183" i="2"/>
  <c r="I582" i="2"/>
  <c r="V2180" i="2"/>
  <c r="I729" i="2"/>
  <c r="AA2184" i="2"/>
  <c r="I728" i="2"/>
  <c r="AA2183" i="2"/>
  <c r="I727" i="2"/>
  <c r="AA2182" i="2"/>
  <c r="I739" i="2"/>
  <c r="AA2192" i="2"/>
  <c r="I725" i="2"/>
  <c r="AA2180" i="2"/>
  <c r="J737" i="2"/>
  <c r="J726" i="2"/>
  <c r="AM2192" i="2"/>
  <c r="I1061" i="2"/>
  <c r="AM2180" i="2"/>
  <c r="I1063" i="2"/>
  <c r="AM2182" i="2"/>
  <c r="I1065" i="2"/>
  <c r="AM2184" i="2"/>
  <c r="J1073" i="2"/>
  <c r="J1062" i="2"/>
  <c r="I1075" i="2"/>
  <c r="I1064" i="2"/>
  <c r="AM2183" i="2"/>
  <c r="BA2290" i="3"/>
  <c r="I1454" i="3"/>
  <c r="I1455" i="3"/>
  <c r="J1453" i="3"/>
  <c r="I543" i="4"/>
  <c r="U2113" i="4"/>
  <c r="I542" i="4"/>
  <c r="U2112" i="4"/>
  <c r="I544" i="4"/>
  <c r="U2114" i="4"/>
  <c r="J552" i="4"/>
  <c r="I554" i="4"/>
  <c r="I540" i="4"/>
  <c r="U2110" i="4"/>
  <c r="U2122" i="4"/>
  <c r="I979" i="4"/>
  <c r="AK2113" i="4"/>
  <c r="I990" i="4"/>
  <c r="AK2122" i="4"/>
  <c r="I976" i="4"/>
  <c r="AK2110" i="4"/>
  <c r="J988" i="4"/>
  <c r="I978" i="4"/>
  <c r="AK2112" i="4"/>
  <c r="I980" i="4"/>
  <c r="AK2114" i="4"/>
  <c r="J1258" i="4"/>
  <c r="I1248" i="4"/>
  <c r="AU2112" i="4"/>
  <c r="I1250" i="4"/>
  <c r="AU2114" i="4"/>
  <c r="I1260" i="4"/>
  <c r="AU2122" i="4"/>
  <c r="I1247" i="4"/>
  <c r="AU2111" i="4"/>
  <c r="I1249" i="4"/>
  <c r="AU2113" i="4"/>
  <c r="F2373" i="1"/>
  <c r="F2378" i="1"/>
  <c r="AG2378" i="1"/>
  <c r="AG2373" i="1"/>
  <c r="I2292" i="3"/>
  <c r="I213" i="3"/>
  <c r="I2282" i="3"/>
  <c r="I212" i="3"/>
  <c r="I2281" i="3"/>
  <c r="J223" i="3"/>
  <c r="I45" i="2"/>
  <c r="C2186" i="2"/>
  <c r="I44" i="2"/>
  <c r="C2185" i="2"/>
  <c r="J55" i="2"/>
  <c r="C2196" i="2"/>
  <c r="I685" i="4"/>
  <c r="Z2116" i="4"/>
  <c r="I684" i="4"/>
  <c r="Z2115" i="4"/>
  <c r="J695" i="4"/>
  <c r="Z2126" i="4"/>
  <c r="J1089" i="3"/>
  <c r="I40" i="3"/>
  <c r="C2277" i="3"/>
  <c r="J342" i="5"/>
  <c r="J531" i="5"/>
  <c r="J295" i="3"/>
  <c r="J350" i="3"/>
  <c r="J1010" i="3"/>
  <c r="J1523" i="3"/>
  <c r="J236" i="5"/>
  <c r="J1388" i="3"/>
  <c r="J299" i="2"/>
  <c r="J485" i="3"/>
  <c r="J956" i="3"/>
  <c r="J207" i="4"/>
  <c r="I236" i="3"/>
  <c r="J2277" i="3"/>
  <c r="I1092" i="3"/>
  <c r="AN2280" i="3"/>
  <c r="I1090" i="3"/>
  <c r="AN2278" i="3"/>
  <c r="J1090" i="3"/>
  <c r="J152" i="5"/>
  <c r="I477" i="5"/>
  <c r="S1638" i="5"/>
  <c r="I942" i="3"/>
  <c r="I801" i="5"/>
  <c r="AE1638" i="5"/>
  <c r="J801" i="5"/>
  <c r="J1415" i="3"/>
  <c r="I1415" i="3"/>
  <c r="AZ2279" i="3"/>
  <c r="J669" i="2"/>
  <c r="J346" i="4"/>
  <c r="C2374" i="1"/>
  <c r="C2379" i="1"/>
  <c r="AQ2195" i="2"/>
  <c r="I1189" i="2"/>
  <c r="J345" i="4"/>
  <c r="I1009" i="4"/>
  <c r="AL2116" i="4"/>
  <c r="C2388" i="1"/>
  <c r="C2375" i="1"/>
  <c r="J1019" i="4"/>
  <c r="J1009" i="4"/>
  <c r="AL2126" i="4"/>
  <c r="I1469" i="3"/>
  <c r="BB2279" i="3"/>
  <c r="I1470" i="3"/>
  <c r="BB2280" i="3"/>
  <c r="I1468" i="3"/>
  <c r="BB2278" i="3"/>
  <c r="I1480" i="3"/>
  <c r="J1478" i="3"/>
  <c r="I1467" i="3"/>
  <c r="BB2277" i="3"/>
  <c r="I1466" i="3"/>
  <c r="BB2276" i="3"/>
  <c r="BB2288" i="3"/>
  <c r="I762" i="5"/>
  <c r="J1091" i="3"/>
  <c r="J1092" i="3"/>
  <c r="I1021" i="2"/>
  <c r="J236" i="3"/>
  <c r="J1344" i="2"/>
  <c r="J1355" i="2"/>
  <c r="J1356" i="2"/>
  <c r="J1345" i="2"/>
  <c r="J1232" i="2"/>
  <c r="J1243" i="2"/>
  <c r="J1244" i="2"/>
  <c r="J1229" i="2"/>
  <c r="J1231" i="2"/>
  <c r="J1230" i="2"/>
  <c r="J1233" i="2"/>
  <c r="I1244" i="2"/>
  <c r="AS2194" i="2"/>
  <c r="J1343" i="2"/>
  <c r="AW2194" i="2"/>
  <c r="I1356" i="2"/>
  <c r="AW2195" i="2"/>
  <c r="J1341" i="2"/>
  <c r="J41" i="1"/>
  <c r="J42" i="1"/>
  <c r="J39" i="5"/>
  <c r="J43" i="5"/>
  <c r="J42" i="5"/>
  <c r="J40" i="5"/>
  <c r="J53" i="5"/>
  <c r="J54" i="5"/>
  <c r="J97" i="5"/>
  <c r="J95" i="5"/>
  <c r="J109" i="5"/>
  <c r="J110" i="5"/>
  <c r="J98" i="5"/>
  <c r="J99" i="5"/>
  <c r="J96" i="5"/>
  <c r="I110" i="5"/>
  <c r="I111" i="5"/>
  <c r="E1651" i="5"/>
  <c r="I938" i="4"/>
  <c r="I927" i="4"/>
  <c r="AI2115" i="4"/>
  <c r="I111" i="2"/>
  <c r="I101" i="2"/>
  <c r="E2186" i="2"/>
  <c r="J1151" i="2"/>
  <c r="J1150" i="2"/>
  <c r="J237" i="3"/>
  <c r="I303" i="5"/>
  <c r="L1653" i="5"/>
  <c r="J16" i="5"/>
  <c r="J17" i="5"/>
  <c r="J83" i="5"/>
  <c r="I73" i="5"/>
  <c r="D1643" i="5"/>
  <c r="D1653" i="5"/>
  <c r="I72" i="5"/>
  <c r="D1642" i="5"/>
  <c r="J1291" i="2"/>
  <c r="J1290" i="2"/>
  <c r="D2375" i="1"/>
  <c r="I527" i="1"/>
  <c r="S2384" i="1"/>
  <c r="J537" i="1"/>
  <c r="S2394" i="1"/>
  <c r="I526" i="1"/>
  <c r="S2383" i="1"/>
  <c r="L214" i="1"/>
  <c r="I331" i="1"/>
  <c r="J257" i="1"/>
  <c r="J2394" i="1"/>
  <c r="I247" i="1"/>
  <c r="J2384" i="1"/>
  <c r="I246" i="1"/>
  <c r="J2383" i="1"/>
  <c r="I1272" i="2"/>
  <c r="AT2195" i="2"/>
  <c r="AT2194" i="2"/>
  <c r="J70" i="1"/>
  <c r="I1622" i="1"/>
  <c r="BG2384" i="1"/>
  <c r="J1271" i="2"/>
  <c r="J1272" i="2"/>
  <c r="J1261" i="2"/>
  <c r="J1260" i="2"/>
  <c r="J1258" i="2"/>
  <c r="J1257" i="2"/>
  <c r="J1259" i="2"/>
  <c r="I897" i="5"/>
  <c r="AH1653" i="5"/>
  <c r="I139" i="5"/>
  <c r="J1318" i="2"/>
  <c r="J1319" i="2"/>
  <c r="I1536" i="3"/>
  <c r="BD2292" i="3"/>
  <c r="BD2291" i="3"/>
  <c r="I1621" i="1"/>
  <c r="BG2383" i="1"/>
  <c r="J1632" i="1"/>
  <c r="J1622" i="1"/>
  <c r="Y2394" i="1"/>
  <c r="J704" i="1"/>
  <c r="I694" i="1"/>
  <c r="Y2384" i="1"/>
  <c r="I693" i="1"/>
  <c r="Y2383" i="1"/>
  <c r="J341" i="1"/>
  <c r="J330" i="1"/>
  <c r="BF2394" i="1"/>
  <c r="I1595" i="1"/>
  <c r="BF2384" i="1"/>
  <c r="J1605" i="1"/>
  <c r="I1594" i="1"/>
  <c r="BF2383" i="1"/>
  <c r="J750" i="1"/>
  <c r="J749" i="1"/>
  <c r="J1081" i="1"/>
  <c r="J1080" i="1"/>
  <c r="J1433" i="1"/>
  <c r="J1432" i="1"/>
  <c r="J481" i="1"/>
  <c r="Q2394" i="1"/>
  <c r="I471" i="1"/>
  <c r="Q2384" i="1"/>
  <c r="I470" i="1"/>
  <c r="Q2383" i="1"/>
  <c r="J303" i="1"/>
  <c r="J302" i="1"/>
  <c r="J226" i="1"/>
  <c r="I216" i="1"/>
  <c r="I2384" i="1"/>
  <c r="I215" i="1"/>
  <c r="I2383" i="1"/>
  <c r="O1667" i="5"/>
  <c r="N1667" i="5"/>
  <c r="I357" i="5"/>
  <c r="I347" i="5"/>
  <c r="N1643" i="5"/>
  <c r="I654" i="5"/>
  <c r="Y1653" i="5"/>
  <c r="I708" i="5"/>
  <c r="AA1653" i="5"/>
  <c r="I1667" i="5"/>
  <c r="I17" i="4"/>
  <c r="I18" i="4"/>
  <c r="J28" i="4"/>
  <c r="I195" i="3"/>
  <c r="I184" i="3"/>
  <c r="H2281" i="3"/>
  <c r="I721" i="3"/>
  <c r="J720" i="3"/>
  <c r="Z2290" i="3"/>
  <c r="I101" i="3"/>
  <c r="E2282" i="3"/>
  <c r="J111" i="3"/>
  <c r="E2292" i="3"/>
  <c r="I100" i="3"/>
  <c r="E2281" i="3"/>
  <c r="J551" i="3"/>
  <c r="U2290" i="3"/>
  <c r="I552" i="3"/>
  <c r="J538" i="3"/>
  <c r="J541" i="3"/>
  <c r="J539" i="3"/>
  <c r="J540" i="3"/>
  <c r="J129" i="3"/>
  <c r="J128" i="3"/>
  <c r="J707" i="3"/>
  <c r="J710" i="3"/>
  <c r="J709" i="3"/>
  <c r="J706" i="3"/>
  <c r="J512" i="3"/>
  <c r="J511" i="3"/>
  <c r="J510" i="3"/>
  <c r="J513" i="3"/>
  <c r="J523" i="3"/>
  <c r="T2290" i="3"/>
  <c r="I524" i="3"/>
  <c r="I525" i="3"/>
  <c r="J73" i="3"/>
  <c r="J72" i="3"/>
  <c r="I1217" i="2"/>
  <c r="AR2195" i="2"/>
  <c r="I973" i="1"/>
  <c r="AI2384" i="1"/>
  <c r="J983" i="1"/>
  <c r="I972" i="1"/>
  <c r="AI2383" i="1"/>
  <c r="AI2394" i="1"/>
  <c r="J1000" i="1"/>
  <c r="J999" i="1"/>
  <c r="J722" i="1"/>
  <c r="J721" i="1"/>
  <c r="I1053" i="1"/>
  <c r="AL2383" i="1"/>
  <c r="AL2394" i="1"/>
  <c r="J1064" i="1"/>
  <c r="I1054" i="1"/>
  <c r="AL2384" i="1"/>
  <c r="I611" i="1"/>
  <c r="V2384" i="1"/>
  <c r="J621" i="1"/>
  <c r="V2394" i="1"/>
  <c r="I610" i="1"/>
  <c r="V2383" i="1"/>
  <c r="BA2394" i="1"/>
  <c r="J1470" i="1"/>
  <c r="I1460" i="1"/>
  <c r="BA2384" i="1"/>
  <c r="I1459" i="1"/>
  <c r="BA2383" i="1"/>
  <c r="I1162" i="1"/>
  <c r="AP2384" i="1"/>
  <c r="AP2394" i="1"/>
  <c r="I1161" i="1"/>
  <c r="AP2383" i="1"/>
  <c r="J1172" i="1"/>
  <c r="I1541" i="1"/>
  <c r="BD2384" i="1"/>
  <c r="J1551" i="1"/>
  <c r="BD2394" i="1"/>
  <c r="I1540" i="1"/>
  <c r="BD2383" i="1"/>
  <c r="J1524" i="1"/>
  <c r="BC2394" i="1"/>
  <c r="I1514" i="1"/>
  <c r="BC2384" i="1"/>
  <c r="I1513" i="1"/>
  <c r="BC2383" i="1"/>
  <c r="J1621" i="1"/>
  <c r="J1254" i="1"/>
  <c r="AS2394" i="1"/>
  <c r="I1243" i="1"/>
  <c r="AS2383" i="1"/>
  <c r="I1244" i="1"/>
  <c r="AS2384" i="1"/>
  <c r="J1362" i="1"/>
  <c r="AW2394" i="1"/>
  <c r="I1352" i="1"/>
  <c r="AW2384" i="1"/>
  <c r="I1351" i="1"/>
  <c r="AW2383" i="1"/>
  <c r="J1389" i="1"/>
  <c r="I1379" i="1"/>
  <c r="AX2384" i="1"/>
  <c r="AX2394" i="1"/>
  <c r="I1378" i="1"/>
  <c r="AX2383" i="1"/>
  <c r="I1270" i="1"/>
  <c r="AT2383" i="1"/>
  <c r="AT2394" i="1"/>
  <c r="J1281" i="1"/>
  <c r="I1271" i="1"/>
  <c r="AT2384" i="1"/>
  <c r="AR2394" i="1"/>
  <c r="J1226" i="1"/>
  <c r="I1216" i="1"/>
  <c r="AR2384" i="1"/>
  <c r="I1215" i="1"/>
  <c r="AR2383" i="1"/>
  <c r="J900" i="1"/>
  <c r="I890" i="1"/>
  <c r="AF2384" i="1"/>
  <c r="AF2394" i="1"/>
  <c r="I889" i="1"/>
  <c r="AF2383" i="1"/>
  <c r="AH2394" i="1"/>
  <c r="J956" i="1"/>
  <c r="I946" i="1"/>
  <c r="AH2384" i="1"/>
  <c r="I945" i="1"/>
  <c r="AH2383" i="1"/>
  <c r="J83" i="1"/>
  <c r="I84" i="1"/>
  <c r="J84" i="1"/>
  <c r="J79" i="1"/>
  <c r="D2388" i="1"/>
  <c r="J80" i="1"/>
  <c r="D2389" i="1"/>
  <c r="J275" i="1"/>
  <c r="J274" i="1"/>
  <c r="I1189" i="1"/>
  <c r="AQ2384" i="1"/>
  <c r="J1199" i="1"/>
  <c r="AQ2394" i="1"/>
  <c r="I1188" i="1"/>
  <c r="AQ2383" i="1"/>
  <c r="J359" i="1"/>
  <c r="J358" i="1"/>
  <c r="I56" i="1"/>
  <c r="J69" i="1"/>
  <c r="J684" i="4"/>
  <c r="J685" i="4"/>
  <c r="J212" i="3"/>
  <c r="J213" i="3"/>
  <c r="J1260" i="4"/>
  <c r="J1261" i="4"/>
  <c r="J1250" i="4"/>
  <c r="J1248" i="4"/>
  <c r="J1247" i="4"/>
  <c r="J1249" i="4"/>
  <c r="J976" i="4"/>
  <c r="J990" i="4"/>
  <c r="J991" i="4"/>
  <c r="J979" i="4"/>
  <c r="J978" i="4"/>
  <c r="J980" i="4"/>
  <c r="I555" i="4"/>
  <c r="U2125" i="4"/>
  <c r="U2124" i="4"/>
  <c r="I1076" i="2"/>
  <c r="AM2195" i="2"/>
  <c r="AM2194" i="2"/>
  <c r="I740" i="2"/>
  <c r="AA2195" i="2"/>
  <c r="AA2194" i="2"/>
  <c r="I741" i="2"/>
  <c r="I597" i="2"/>
  <c r="V2195" i="2"/>
  <c r="V2194" i="2"/>
  <c r="J657" i="4"/>
  <c r="J658" i="4"/>
  <c r="J267" i="4"/>
  <c r="J266" i="4"/>
  <c r="I955" i="4"/>
  <c r="AJ2116" i="4"/>
  <c r="I954" i="4"/>
  <c r="AJ2115" i="4"/>
  <c r="J965" i="4"/>
  <c r="AJ2126" i="4"/>
  <c r="J206" i="5"/>
  <c r="J210" i="5"/>
  <c r="J220" i="5"/>
  <c r="J221" i="5"/>
  <c r="J208" i="5"/>
  <c r="J209" i="5"/>
  <c r="I221" i="5"/>
  <c r="I1652" i="5"/>
  <c r="I1651" i="5"/>
  <c r="I374" i="5"/>
  <c r="O1643" i="5"/>
  <c r="I373" i="5"/>
  <c r="O1642" i="5"/>
  <c r="J384" i="5"/>
  <c r="O1653" i="5"/>
  <c r="J790" i="4"/>
  <c r="J787" i="4"/>
  <c r="J791" i="4"/>
  <c r="J789" i="4"/>
  <c r="J801" i="4"/>
  <c r="J802" i="4"/>
  <c r="J681" i="4"/>
  <c r="J693" i="4"/>
  <c r="J694" i="4"/>
  <c r="J682" i="4"/>
  <c r="J679" i="4"/>
  <c r="J683" i="4"/>
  <c r="AU2291" i="3"/>
  <c r="J1292" i="3"/>
  <c r="J40" i="4"/>
  <c r="J41" i="4"/>
  <c r="J43" i="4"/>
  <c r="J42" i="4"/>
  <c r="AG1651" i="5"/>
  <c r="I869" i="5"/>
  <c r="AG1652" i="5"/>
  <c r="J723" i="5"/>
  <c r="J733" i="5"/>
  <c r="J734" i="5"/>
  <c r="J722" i="5"/>
  <c r="J719" i="5"/>
  <c r="J721" i="5"/>
  <c r="I275" i="5"/>
  <c r="K1652" i="5"/>
  <c r="K1651" i="5"/>
  <c r="I276" i="5"/>
  <c r="J264" i="5"/>
  <c r="J263" i="5"/>
  <c r="J260" i="5"/>
  <c r="J274" i="5"/>
  <c r="J275" i="5"/>
  <c r="J262" i="5"/>
  <c r="J451" i="5"/>
  <c r="J453" i="5"/>
  <c r="J452" i="5"/>
  <c r="J449" i="5"/>
  <c r="J463" i="5"/>
  <c r="J464" i="5"/>
  <c r="I464" i="5"/>
  <c r="R1652" i="5"/>
  <c r="R1651" i="5"/>
  <c r="I1526" i="3"/>
  <c r="BD2282" i="3"/>
  <c r="I880" i="2"/>
  <c r="AF2195" i="2"/>
  <c r="AF2194" i="2"/>
  <c r="I796" i="2"/>
  <c r="AC2195" i="2"/>
  <c r="AC2194" i="2"/>
  <c r="I683" i="2"/>
  <c r="Y2195" i="2"/>
  <c r="Y2194" i="2"/>
  <c r="R2291" i="3"/>
  <c r="J470" i="3"/>
  <c r="P2291" i="3"/>
  <c r="J416" i="3"/>
  <c r="I751" i="5"/>
  <c r="AC1642" i="5"/>
  <c r="I752" i="5"/>
  <c r="AC1643" i="5"/>
  <c r="J762" i="5"/>
  <c r="AC1653" i="5"/>
  <c r="G1667" i="5"/>
  <c r="I1011" i="2"/>
  <c r="AK2186" i="2"/>
  <c r="I1010" i="2"/>
  <c r="AK2185" i="2"/>
  <c r="J1021" i="2"/>
  <c r="AK2196" i="2"/>
  <c r="J777" i="3"/>
  <c r="AB2291" i="3"/>
  <c r="J624" i="3"/>
  <c r="J626" i="3"/>
  <c r="J623" i="3"/>
  <c r="J622" i="3"/>
  <c r="I1427" i="3"/>
  <c r="AZ2290" i="3"/>
  <c r="J1426" i="3"/>
  <c r="J265" i="4"/>
  <c r="J264" i="4"/>
  <c r="J262" i="4"/>
  <c r="J275" i="4"/>
  <c r="J276" i="4"/>
  <c r="J263" i="4"/>
  <c r="J395" i="2"/>
  <c r="J396" i="2"/>
  <c r="J385" i="2"/>
  <c r="J382" i="2"/>
  <c r="J383" i="2"/>
  <c r="J381" i="2"/>
  <c r="J896" i="2"/>
  <c r="J895" i="2"/>
  <c r="J897" i="2"/>
  <c r="J907" i="2"/>
  <c r="J908" i="2"/>
  <c r="J893" i="2"/>
  <c r="J755" i="2"/>
  <c r="J756" i="2"/>
  <c r="J757" i="2"/>
  <c r="J753" i="2"/>
  <c r="J767" i="2"/>
  <c r="J768" i="2"/>
  <c r="J701" i="2"/>
  <c r="J711" i="2"/>
  <c r="J712" i="2"/>
  <c r="J700" i="2"/>
  <c r="J697" i="2"/>
  <c r="J699" i="2"/>
  <c r="I654" i="2"/>
  <c r="I655" i="2"/>
  <c r="X2194" i="2"/>
  <c r="I569" i="2"/>
  <c r="U2195" i="2"/>
  <c r="U2194" i="2"/>
  <c r="J42" i="6"/>
  <c r="J43" i="6"/>
  <c r="BC2291" i="3"/>
  <c r="J1508" i="3"/>
  <c r="I54" i="3"/>
  <c r="I55" i="3"/>
  <c r="C2290" i="3"/>
  <c r="J53" i="3"/>
  <c r="J49" i="3"/>
  <c r="C2286" i="3"/>
  <c r="I616" i="2"/>
  <c r="W2186" i="2"/>
  <c r="I615" i="2"/>
  <c r="W2185" i="2"/>
  <c r="J626" i="2"/>
  <c r="W2196" i="2"/>
  <c r="E2196" i="2"/>
  <c r="AE2291" i="3"/>
  <c r="J860" i="3"/>
  <c r="J490" i="5"/>
  <c r="J491" i="5"/>
  <c r="J480" i="5"/>
  <c r="J478" i="5"/>
  <c r="J479" i="5"/>
  <c r="J476" i="5"/>
  <c r="I491" i="5"/>
  <c r="S1652" i="5"/>
  <c r="S1651" i="5"/>
  <c r="I789" i="5"/>
  <c r="I519" i="5"/>
  <c r="J1246" i="4"/>
  <c r="J977" i="4"/>
  <c r="J235" i="3"/>
  <c r="J680" i="4"/>
  <c r="J239" i="3"/>
  <c r="I546" i="5"/>
  <c r="AH2292" i="3"/>
  <c r="I932" i="3"/>
  <c r="AH2282" i="3"/>
  <c r="I931" i="3"/>
  <c r="AH2281" i="3"/>
  <c r="J942" i="3"/>
  <c r="J44" i="2"/>
  <c r="J45" i="2"/>
  <c r="I1261" i="4"/>
  <c r="AU2125" i="4"/>
  <c r="AU2124" i="4"/>
  <c r="I991" i="4"/>
  <c r="I992" i="4"/>
  <c r="AK2124" i="4"/>
  <c r="J544" i="4"/>
  <c r="J542" i="4"/>
  <c r="J540" i="4"/>
  <c r="J554" i="4"/>
  <c r="J555" i="4"/>
  <c r="J543" i="4"/>
  <c r="BA2291" i="3"/>
  <c r="J1454" i="3"/>
  <c r="J1065" i="2"/>
  <c r="J1064" i="2"/>
  <c r="J1075" i="2"/>
  <c r="J1076" i="2"/>
  <c r="J1061" i="2"/>
  <c r="J1063" i="2"/>
  <c r="J739" i="2"/>
  <c r="J740" i="2"/>
  <c r="J728" i="2"/>
  <c r="J727" i="2"/>
  <c r="J729" i="2"/>
  <c r="J725" i="2"/>
  <c r="J584" i="2"/>
  <c r="J585" i="2"/>
  <c r="J582" i="2"/>
  <c r="J586" i="2"/>
  <c r="J596" i="2"/>
  <c r="J597" i="2"/>
  <c r="J154" i="2"/>
  <c r="J166" i="2"/>
  <c r="J167" i="2"/>
  <c r="J153" i="2"/>
  <c r="J152" i="2"/>
  <c r="J156" i="2"/>
  <c r="I167" i="2"/>
  <c r="G2195" i="2"/>
  <c r="G2194" i="2"/>
  <c r="I671" i="5"/>
  <c r="Z1643" i="5"/>
  <c r="Z1653" i="5"/>
  <c r="I670" i="5"/>
  <c r="Z1642" i="5"/>
  <c r="J681" i="5"/>
  <c r="I250" i="3"/>
  <c r="J249" i="3"/>
  <c r="J2290" i="3"/>
  <c r="I401" i="5"/>
  <c r="P1643" i="5"/>
  <c r="I400" i="5"/>
  <c r="P1642" i="5"/>
  <c r="J411" i="5"/>
  <c r="P1653" i="5"/>
  <c r="M1653" i="5"/>
  <c r="I320" i="5"/>
  <c r="M1643" i="5"/>
  <c r="I319" i="5"/>
  <c r="M1642" i="5"/>
  <c r="J330" i="5"/>
  <c r="I802" i="4"/>
  <c r="AD2125" i="4"/>
  <c r="AD2124" i="4"/>
  <c r="I694" i="4"/>
  <c r="Z2125" i="4"/>
  <c r="Z2124" i="4"/>
  <c r="I54" i="4"/>
  <c r="J54" i="4"/>
  <c r="J53" i="4"/>
  <c r="C2124" i="4"/>
  <c r="J856" i="5"/>
  <c r="J858" i="5"/>
  <c r="J857" i="5"/>
  <c r="J868" i="5"/>
  <c r="J869" i="5"/>
  <c r="J854" i="5"/>
  <c r="AB1651" i="5"/>
  <c r="I734" i="5"/>
  <c r="AB1652" i="5"/>
  <c r="J832" i="3"/>
  <c r="AD2291" i="3"/>
  <c r="Q2291" i="3"/>
  <c r="J443" i="3"/>
  <c r="J182" i="5"/>
  <c r="J193" i="5"/>
  <c r="J194" i="5"/>
  <c r="J179" i="5"/>
  <c r="J181" i="5"/>
  <c r="J183" i="5"/>
  <c r="I194" i="5"/>
  <c r="H1652" i="5"/>
  <c r="H1651" i="5"/>
  <c r="J1535" i="3"/>
  <c r="J1022" i="3"/>
  <c r="AK2291" i="3"/>
  <c r="J389" i="3"/>
  <c r="O2291" i="3"/>
  <c r="N1653" i="5"/>
  <c r="J377" i="4"/>
  <c r="J378" i="4"/>
  <c r="J868" i="2"/>
  <c r="J869" i="2"/>
  <c r="J865" i="2"/>
  <c r="J879" i="2"/>
  <c r="J880" i="2"/>
  <c r="J867" i="2"/>
  <c r="J783" i="2"/>
  <c r="J785" i="2"/>
  <c r="J795" i="2"/>
  <c r="J796" i="2"/>
  <c r="J781" i="2"/>
  <c r="J784" i="2"/>
  <c r="J670" i="2"/>
  <c r="J671" i="2"/>
  <c r="J672" i="2"/>
  <c r="J682" i="2"/>
  <c r="J683" i="2"/>
  <c r="J668" i="2"/>
  <c r="J472" i="2"/>
  <c r="J471" i="2"/>
  <c r="J470" i="2"/>
  <c r="J482" i="2"/>
  <c r="J483" i="2"/>
  <c r="J468" i="2"/>
  <c r="I483" i="2"/>
  <c r="R2195" i="2"/>
  <c r="R2194" i="2"/>
  <c r="AF2291" i="3"/>
  <c r="J887" i="3"/>
  <c r="I815" i="5"/>
  <c r="AE1652" i="5"/>
  <c r="AE1651" i="5"/>
  <c r="J802" i="5"/>
  <c r="J814" i="5"/>
  <c r="J815" i="5"/>
  <c r="J804" i="5"/>
  <c r="J803" i="5"/>
  <c r="J800" i="5"/>
  <c r="R2292" i="3"/>
  <c r="I461" i="3"/>
  <c r="R2282" i="3"/>
  <c r="I460" i="3"/>
  <c r="R2281" i="3"/>
  <c r="J471" i="3"/>
  <c r="J165" i="5"/>
  <c r="J166" i="5"/>
  <c r="J154" i="5"/>
  <c r="J151" i="5"/>
  <c r="J155" i="5"/>
  <c r="J153" i="5"/>
  <c r="I166" i="5"/>
  <c r="G1652" i="5"/>
  <c r="G1651" i="5"/>
  <c r="I167" i="5"/>
  <c r="J914" i="3"/>
  <c r="AG2291" i="3"/>
  <c r="I637" i="3"/>
  <c r="W2290" i="3"/>
  <c r="J636" i="3"/>
  <c r="J1416" i="3"/>
  <c r="J1413" i="3"/>
  <c r="J1414" i="3"/>
  <c r="I396" i="2"/>
  <c r="O2195" i="2"/>
  <c r="O2194" i="2"/>
  <c r="I397" i="2"/>
  <c r="I908" i="2"/>
  <c r="AG2195" i="2"/>
  <c r="AG2194" i="2"/>
  <c r="AB2194" i="2"/>
  <c r="I768" i="2"/>
  <c r="AB2195" i="2"/>
  <c r="Z2194" i="2"/>
  <c r="I712" i="2"/>
  <c r="Z2195" i="2"/>
  <c r="J643" i="2"/>
  <c r="J639" i="2"/>
  <c r="J653" i="2"/>
  <c r="J654" i="2"/>
  <c r="J641" i="2"/>
  <c r="J642" i="2"/>
  <c r="J558" i="2"/>
  <c r="J568" i="2"/>
  <c r="J569" i="2"/>
  <c r="J554" i="2"/>
  <c r="J556" i="2"/>
  <c r="J557" i="2"/>
  <c r="Q2194" i="2"/>
  <c r="I454" i="2"/>
  <c r="Q2195" i="2"/>
  <c r="J439" i="2"/>
  <c r="J442" i="2"/>
  <c r="J441" i="2"/>
  <c r="J443" i="2"/>
  <c r="J1567" i="1"/>
  <c r="J1568" i="1"/>
  <c r="AI2291" i="3"/>
  <c r="J968" i="3"/>
  <c r="I302" i="2"/>
  <c r="L2186" i="2"/>
  <c r="I301" i="2"/>
  <c r="L2185" i="2"/>
  <c r="J312" i="2"/>
  <c r="L2196" i="2"/>
  <c r="J1400" i="3"/>
  <c r="AY2291" i="3"/>
  <c r="J1049" i="3"/>
  <c r="AL2291" i="3"/>
  <c r="J41" i="3"/>
  <c r="J39" i="3"/>
  <c r="J50" i="3"/>
  <c r="I1103" i="3"/>
  <c r="AN2291" i="3"/>
  <c r="J1102" i="3"/>
  <c r="AN2290" i="3"/>
  <c r="N2291" i="3"/>
  <c r="J362" i="3"/>
  <c r="J307" i="3"/>
  <c r="L2291" i="3"/>
  <c r="J1297" i="1"/>
  <c r="J1298" i="1"/>
  <c r="I1293" i="3"/>
  <c r="J541" i="4"/>
  <c r="J207" i="5"/>
  <c r="J788" i="4"/>
  <c r="J39" i="4"/>
  <c r="J261" i="5"/>
  <c r="I417" i="3"/>
  <c r="J417" i="3"/>
  <c r="I1509" i="3"/>
  <c r="I1499" i="3"/>
  <c r="BC2282" i="3"/>
  <c r="I249" i="5"/>
  <c r="I861" i="3"/>
  <c r="J861" i="3"/>
  <c r="AQ2196" i="2"/>
  <c r="J1189" i="2"/>
  <c r="I1179" i="2"/>
  <c r="AQ2186" i="2"/>
  <c r="I1178" i="2"/>
  <c r="AQ2185" i="2"/>
  <c r="J1536" i="3"/>
  <c r="J1525" i="3"/>
  <c r="J331" i="1"/>
  <c r="I643" i="5"/>
  <c r="Y1642" i="5"/>
  <c r="I644" i="5"/>
  <c r="Y1643" i="5"/>
  <c r="I570" i="2"/>
  <c r="I560" i="2"/>
  <c r="U2186" i="2"/>
  <c r="J111" i="2"/>
  <c r="J100" i="2"/>
  <c r="J1008" i="4"/>
  <c r="J1469" i="3"/>
  <c r="J1468" i="3"/>
  <c r="J1466" i="3"/>
  <c r="J1470" i="3"/>
  <c r="J1467" i="3"/>
  <c r="BB2290" i="3"/>
  <c r="J1480" i="3"/>
  <c r="I1481" i="3"/>
  <c r="I886" i="5"/>
  <c r="AH1642" i="5"/>
  <c r="I100" i="2"/>
  <c r="E2185" i="2"/>
  <c r="I697" i="5"/>
  <c r="AA1642" i="5"/>
  <c r="I292" i="5"/>
  <c r="L1642" i="5"/>
  <c r="I928" i="4"/>
  <c r="AI2116" i="4"/>
  <c r="I1357" i="2"/>
  <c r="I1347" i="2"/>
  <c r="AW2186" i="2"/>
  <c r="AS2195" i="2"/>
  <c r="I1245" i="2"/>
  <c r="I887" i="5"/>
  <c r="AH1643" i="5"/>
  <c r="J357" i="5"/>
  <c r="J347" i="5"/>
  <c r="I698" i="5"/>
  <c r="AA1643" i="5"/>
  <c r="I293" i="5"/>
  <c r="L1643" i="5"/>
  <c r="J938" i="4"/>
  <c r="J927" i="4"/>
  <c r="J654" i="5"/>
  <c r="J643" i="5"/>
  <c r="I222" i="5"/>
  <c r="J222" i="5"/>
  <c r="AI2126" i="4"/>
  <c r="I816" i="5"/>
  <c r="J816" i="5"/>
  <c r="J897" i="5"/>
  <c r="J886" i="5"/>
  <c r="I346" i="5"/>
  <c r="N1642" i="5"/>
  <c r="J708" i="5"/>
  <c r="J698" i="5"/>
  <c r="I870" i="5"/>
  <c r="AG1653" i="5"/>
  <c r="J303" i="5"/>
  <c r="J292" i="5"/>
  <c r="J73" i="5"/>
  <c r="J72" i="5"/>
  <c r="J527" i="1"/>
  <c r="J526" i="1"/>
  <c r="J247" i="1"/>
  <c r="J246" i="1"/>
  <c r="I129" i="5"/>
  <c r="F1643" i="5"/>
  <c r="J139" i="5"/>
  <c r="I128" i="5"/>
  <c r="F1642" i="5"/>
  <c r="F1653" i="5"/>
  <c r="I735" i="5"/>
  <c r="I724" i="5"/>
  <c r="AB1642" i="5"/>
  <c r="I185" i="3"/>
  <c r="H2282" i="3"/>
  <c r="I1525" i="3"/>
  <c r="BD2281" i="3"/>
  <c r="J195" i="3"/>
  <c r="J184" i="3"/>
  <c r="I769" i="2"/>
  <c r="J769" i="2"/>
  <c r="J694" i="1"/>
  <c r="J693" i="1"/>
  <c r="J1594" i="1"/>
  <c r="J1595" i="1"/>
  <c r="J216" i="1"/>
  <c r="J215" i="1"/>
  <c r="J471" i="1"/>
  <c r="J470" i="1"/>
  <c r="J18" i="4"/>
  <c r="J17" i="4"/>
  <c r="I553" i="3"/>
  <c r="U2291" i="3"/>
  <c r="J552" i="3"/>
  <c r="J721" i="3"/>
  <c r="Z2291" i="3"/>
  <c r="J524" i="3"/>
  <c r="T2291" i="3"/>
  <c r="J100" i="3"/>
  <c r="J101" i="3"/>
  <c r="I722" i="3"/>
  <c r="I455" i="2"/>
  <c r="I444" i="2"/>
  <c r="Q2185" i="2"/>
  <c r="J1217" i="2"/>
  <c r="AR2196" i="2"/>
  <c r="I1207" i="2"/>
  <c r="AR2186" i="2"/>
  <c r="I1206" i="2"/>
  <c r="AR2185" i="2"/>
  <c r="I598" i="2"/>
  <c r="I587" i="2"/>
  <c r="V2185" i="2"/>
  <c r="I1077" i="2"/>
  <c r="J1077" i="2"/>
  <c r="J1054" i="1"/>
  <c r="J1053" i="1"/>
  <c r="J611" i="1"/>
  <c r="J610" i="1"/>
  <c r="J973" i="1"/>
  <c r="J972" i="1"/>
  <c r="J1352" i="1"/>
  <c r="J1351" i="1"/>
  <c r="J1243" i="1"/>
  <c r="J1244" i="1"/>
  <c r="J1514" i="1"/>
  <c r="J1513" i="1"/>
  <c r="J1541" i="1"/>
  <c r="J1540" i="1"/>
  <c r="J1161" i="1"/>
  <c r="J1162" i="1"/>
  <c r="J1460" i="1"/>
  <c r="J1459" i="1"/>
  <c r="I46" i="1"/>
  <c r="C2384" i="1"/>
  <c r="J56" i="1"/>
  <c r="I45" i="1"/>
  <c r="C2383" i="1"/>
  <c r="J946" i="1"/>
  <c r="J945" i="1"/>
  <c r="J1216" i="1"/>
  <c r="J1215" i="1"/>
  <c r="J1271" i="1"/>
  <c r="J1270" i="1"/>
  <c r="J1379" i="1"/>
  <c r="J1378" i="1"/>
  <c r="J1189" i="1"/>
  <c r="J1188" i="1"/>
  <c r="J890" i="1"/>
  <c r="J889" i="1"/>
  <c r="I85" i="1"/>
  <c r="I1262" i="4"/>
  <c r="I1252" i="4"/>
  <c r="AU2116" i="4"/>
  <c r="I851" i="3"/>
  <c r="AE2282" i="3"/>
  <c r="AE2292" i="3"/>
  <c r="I1498" i="3"/>
  <c r="BC2281" i="3"/>
  <c r="J1509" i="3"/>
  <c r="I407" i="3"/>
  <c r="P2282" i="3"/>
  <c r="P2292" i="3"/>
  <c r="J1103" i="3"/>
  <c r="J302" i="2"/>
  <c r="J301" i="2"/>
  <c r="I759" i="2"/>
  <c r="AB2186" i="2"/>
  <c r="AB2196" i="2"/>
  <c r="I387" i="2"/>
  <c r="O2186" i="2"/>
  <c r="O2196" i="2"/>
  <c r="I386" i="2"/>
  <c r="O2185" i="2"/>
  <c r="J397" i="2"/>
  <c r="J637" i="3"/>
  <c r="W2291" i="3"/>
  <c r="J346" i="5"/>
  <c r="C2125" i="4"/>
  <c r="C2126" i="4"/>
  <c r="J401" i="5"/>
  <c r="J400" i="5"/>
  <c r="J250" i="3"/>
  <c r="J2291" i="3"/>
  <c r="J932" i="3"/>
  <c r="J931" i="3"/>
  <c r="I535" i="5"/>
  <c r="U1642" i="5"/>
  <c r="J546" i="5"/>
  <c r="J535" i="5"/>
  <c r="I536" i="5"/>
  <c r="U1643" i="5"/>
  <c r="U1653" i="5"/>
  <c r="I508" i="5"/>
  <c r="T1642" i="5"/>
  <c r="J519" i="5"/>
  <c r="J508" i="5"/>
  <c r="I509" i="5"/>
  <c r="T1643" i="5"/>
  <c r="T1653" i="5"/>
  <c r="J101" i="2"/>
  <c r="U2196" i="2"/>
  <c r="AZ2291" i="3"/>
  <c r="J1427" i="3"/>
  <c r="J1010" i="2"/>
  <c r="J1011" i="2"/>
  <c r="J752" i="5"/>
  <c r="J751" i="5"/>
  <c r="J1526" i="3"/>
  <c r="I492" i="5"/>
  <c r="S1653" i="5"/>
  <c r="I465" i="5"/>
  <c r="I454" i="5"/>
  <c r="R1642" i="5"/>
  <c r="I239" i="5"/>
  <c r="J1643" i="5"/>
  <c r="I238" i="5"/>
  <c r="J1642" i="5"/>
  <c r="J249" i="5"/>
  <c r="J1653" i="5"/>
  <c r="AU2292" i="3"/>
  <c r="I1282" i="3"/>
  <c r="AU2281" i="3"/>
  <c r="J1293" i="3"/>
  <c r="J1282" i="3"/>
  <c r="I1283" i="3"/>
  <c r="AU2282" i="3"/>
  <c r="J644" i="5"/>
  <c r="I156" i="5"/>
  <c r="G1642" i="5"/>
  <c r="J167" i="5"/>
  <c r="I157" i="5"/>
  <c r="G1643" i="5"/>
  <c r="G1653" i="5"/>
  <c r="J460" i="3"/>
  <c r="J461" i="3"/>
  <c r="J320" i="5"/>
  <c r="J319" i="5"/>
  <c r="J670" i="5"/>
  <c r="J671" i="5"/>
  <c r="I779" i="5"/>
  <c r="AD1643" i="5"/>
  <c r="I778" i="5"/>
  <c r="AD1642" i="5"/>
  <c r="AD1653" i="5"/>
  <c r="J789" i="5"/>
  <c r="J615" i="2"/>
  <c r="J616" i="2"/>
  <c r="C2291" i="3"/>
  <c r="J54" i="3"/>
  <c r="K1653" i="5"/>
  <c r="I266" i="5"/>
  <c r="K1643" i="5"/>
  <c r="I265" i="5"/>
  <c r="K1642" i="5"/>
  <c r="J276" i="5"/>
  <c r="I860" i="5"/>
  <c r="AG1643" i="5"/>
  <c r="J374" i="5"/>
  <c r="J373" i="5"/>
  <c r="I211" i="5"/>
  <c r="I1642" i="5"/>
  <c r="J954" i="4"/>
  <c r="J955" i="4"/>
  <c r="V2196" i="2"/>
  <c r="I731" i="2"/>
  <c r="AA2186" i="2"/>
  <c r="I730" i="2"/>
  <c r="AA2185" i="2"/>
  <c r="J741" i="2"/>
  <c r="AA2196" i="2"/>
  <c r="I1104" i="3"/>
  <c r="I713" i="2"/>
  <c r="I703" i="2"/>
  <c r="Z2186" i="2"/>
  <c r="I909" i="2"/>
  <c r="I638" i="3"/>
  <c r="J638" i="3"/>
  <c r="I55" i="4"/>
  <c r="I803" i="4"/>
  <c r="I792" i="4"/>
  <c r="AD2115" i="4"/>
  <c r="I251" i="3"/>
  <c r="I1428" i="3"/>
  <c r="AZ2292" i="3"/>
  <c r="Q2196" i="2"/>
  <c r="J928" i="4"/>
  <c r="J1178" i="2"/>
  <c r="J1179" i="2"/>
  <c r="I212" i="5"/>
  <c r="I1643" i="5"/>
  <c r="J293" i="5"/>
  <c r="J887" i="5"/>
  <c r="J697" i="5"/>
  <c r="I805" i="5"/>
  <c r="AE1642" i="5"/>
  <c r="I1653" i="5"/>
  <c r="I859" i="5"/>
  <c r="AG1642" i="5"/>
  <c r="J735" i="5"/>
  <c r="J724" i="5"/>
  <c r="I806" i="5"/>
  <c r="AE1643" i="5"/>
  <c r="I1482" i="3"/>
  <c r="BB2292" i="3"/>
  <c r="J1481" i="3"/>
  <c r="BB2291" i="3"/>
  <c r="I1346" i="2"/>
  <c r="AW2185" i="2"/>
  <c r="J1357" i="2"/>
  <c r="J1346" i="2"/>
  <c r="AW2196" i="2"/>
  <c r="I1235" i="2"/>
  <c r="AS2186" i="2"/>
  <c r="I1234" i="2"/>
  <c r="AS2185" i="2"/>
  <c r="J1245" i="2"/>
  <c r="J1235" i="2"/>
  <c r="AS2196" i="2"/>
  <c r="J1347" i="2"/>
  <c r="J870" i="5"/>
  <c r="I1251" i="4"/>
  <c r="AU2115" i="4"/>
  <c r="AB1653" i="5"/>
  <c r="AE1653" i="5"/>
  <c r="AU2126" i="4"/>
  <c r="I1066" i="2"/>
  <c r="AM2185" i="2"/>
  <c r="J1262" i="4"/>
  <c r="J1252" i="4"/>
  <c r="I1067" i="2"/>
  <c r="AM2186" i="2"/>
  <c r="J455" i="2"/>
  <c r="J444" i="2"/>
  <c r="I725" i="5"/>
  <c r="AB1643" i="5"/>
  <c r="J185" i="3"/>
  <c r="J128" i="5"/>
  <c r="J129" i="5"/>
  <c r="J598" i="2"/>
  <c r="J588" i="2"/>
  <c r="AM2196" i="2"/>
  <c r="I445" i="2"/>
  <c r="Q2186" i="2"/>
  <c r="I543" i="3"/>
  <c r="U2282" i="3"/>
  <c r="J553" i="3"/>
  <c r="I542" i="3"/>
  <c r="U2281" i="3"/>
  <c r="U2292" i="3"/>
  <c r="I711" i="3"/>
  <c r="Z2281" i="3"/>
  <c r="Z2292" i="3"/>
  <c r="I712" i="3"/>
  <c r="Z2282" i="3"/>
  <c r="J722" i="3"/>
  <c r="J711" i="3"/>
  <c r="I588" i="2"/>
  <c r="V2186" i="2"/>
  <c r="J1207" i="2"/>
  <c r="J1206" i="2"/>
  <c r="J85" i="1"/>
  <c r="J74" i="1"/>
  <c r="I74" i="1"/>
  <c r="D2383" i="1"/>
  <c r="I75" i="1"/>
  <c r="D2384" i="1"/>
  <c r="J45" i="1"/>
  <c r="J46" i="1"/>
  <c r="AD2126" i="4"/>
  <c r="I628" i="3"/>
  <c r="W2282" i="3"/>
  <c r="W2292" i="3"/>
  <c r="I702" i="2"/>
  <c r="Z2185" i="2"/>
  <c r="J713" i="2"/>
  <c r="J702" i="2"/>
  <c r="I1094" i="3"/>
  <c r="AN2282" i="3"/>
  <c r="I1093" i="3"/>
  <c r="AN2281" i="3"/>
  <c r="J1104" i="3"/>
  <c r="AN2292" i="3"/>
  <c r="J731" i="2"/>
  <c r="J730" i="2"/>
  <c r="R1653" i="5"/>
  <c r="J509" i="5"/>
  <c r="J536" i="5"/>
  <c r="I1417" i="3"/>
  <c r="AZ2281" i="3"/>
  <c r="J1428" i="3"/>
  <c r="J1418" i="3"/>
  <c r="I241" i="3"/>
  <c r="J2282" i="3"/>
  <c r="I240" i="3"/>
  <c r="J2281" i="3"/>
  <c r="J251" i="3"/>
  <c r="J241" i="3"/>
  <c r="J2292" i="3"/>
  <c r="I45" i="4"/>
  <c r="C2116" i="4"/>
  <c r="I44" i="4"/>
  <c r="C2115" i="4"/>
  <c r="J55" i="4"/>
  <c r="J44" i="4"/>
  <c r="I899" i="2"/>
  <c r="AG2186" i="2"/>
  <c r="I898" i="2"/>
  <c r="AG2185" i="2"/>
  <c r="J909" i="2"/>
  <c r="AG2196" i="2"/>
  <c r="J212" i="5"/>
  <c r="J211" i="5"/>
  <c r="J860" i="5"/>
  <c r="J859" i="5"/>
  <c r="J266" i="5"/>
  <c r="J265" i="5"/>
  <c r="J778" i="5"/>
  <c r="J779" i="5"/>
  <c r="J156" i="5"/>
  <c r="J157" i="5"/>
  <c r="J1283" i="3"/>
  <c r="J238" i="5"/>
  <c r="J239" i="5"/>
  <c r="I481" i="5"/>
  <c r="S1642" i="5"/>
  <c r="I482" i="5"/>
  <c r="S1643" i="5"/>
  <c r="J492" i="5"/>
  <c r="J482" i="5"/>
  <c r="J725" i="5"/>
  <c r="J386" i="2"/>
  <c r="J387" i="2"/>
  <c r="J1498" i="3"/>
  <c r="J1499" i="3"/>
  <c r="I1472" i="3"/>
  <c r="BB2282" i="3"/>
  <c r="J1482" i="3"/>
  <c r="J1472" i="3"/>
  <c r="J1234" i="2"/>
  <c r="J587" i="2"/>
  <c r="J712" i="3"/>
  <c r="J543" i="3"/>
  <c r="J542" i="3"/>
  <c r="J75" i="1"/>
  <c r="J481" i="5"/>
  <c r="J45" i="4"/>
  <c r="J240" i="3"/>
  <c r="J1417" i="3"/>
  <c r="J1093" i="3"/>
  <c r="J1094" i="3"/>
  <c r="J898" i="2"/>
  <c r="J899" i="2"/>
  <c r="J703" i="2"/>
  <c r="J1471" i="3"/>
  <c r="CP13" i="17"/>
  <c r="I415" i="1"/>
  <c r="O2384" i="1"/>
  <c r="I414" i="1"/>
  <c r="O2383" i="1"/>
  <c r="J425" i="1"/>
  <c r="O2394" i="1"/>
  <c r="C2378" i="1"/>
  <c r="C2373" i="1"/>
  <c r="I950" i="2"/>
  <c r="AI2181" i="2"/>
  <c r="I953" i="2"/>
  <c r="AI2184" i="2"/>
  <c r="AI2192" i="2"/>
  <c r="J961" i="2"/>
  <c r="I952" i="2"/>
  <c r="AI2183" i="2"/>
  <c r="I951" i="2"/>
  <c r="AI2182" i="2"/>
  <c r="I963" i="2"/>
  <c r="I949" i="2"/>
  <c r="AI2180" i="2"/>
  <c r="W2207" i="2"/>
  <c r="I583" i="1"/>
  <c r="U2384" i="1"/>
  <c r="J593" i="1"/>
  <c r="U2394" i="1"/>
  <c r="I582" i="1"/>
  <c r="U2383" i="1"/>
  <c r="Z2140" i="4"/>
  <c r="Y2210" i="2"/>
  <c r="AA2210" i="2"/>
  <c r="AF2210" i="2"/>
  <c r="AN2210" i="2"/>
  <c r="J1093" i="2"/>
  <c r="J1007" i="4"/>
  <c r="J15" i="4"/>
  <c r="J885" i="3"/>
  <c r="AF2289" i="3"/>
  <c r="AF2304" i="3"/>
  <c r="AF2305" i="3"/>
  <c r="BD2194" i="2"/>
  <c r="I1552" i="2"/>
  <c r="BD2195" i="2"/>
  <c r="I1553" i="2"/>
  <c r="I1273" i="2"/>
  <c r="Q2210" i="2"/>
  <c r="Z2210" i="2"/>
  <c r="H2140" i="4"/>
  <c r="U2140" i="4"/>
  <c r="J1006" i="2"/>
  <c r="J611" i="2"/>
  <c r="AC2210" i="2"/>
  <c r="AL2140" i="4"/>
  <c r="AK2140" i="4"/>
  <c r="J1092" i="2"/>
  <c r="J12" i="4"/>
  <c r="J1315" i="2"/>
  <c r="J16" i="2"/>
  <c r="J14" i="2"/>
  <c r="J1422" i="4"/>
  <c r="J1423" i="4"/>
  <c r="J1551" i="2"/>
  <c r="J1552" i="2"/>
  <c r="J1503" i="4"/>
  <c r="J1504" i="4"/>
  <c r="J1530" i="4"/>
  <c r="J1531" i="4"/>
  <c r="J1632" i="4"/>
  <c r="J1691" i="2"/>
  <c r="J1692" i="2"/>
  <c r="J1654" i="4"/>
  <c r="BL2210" i="2"/>
  <c r="J1775" i="2"/>
  <c r="J1776" i="2"/>
  <c r="J1719" i="4"/>
  <c r="J1720" i="4"/>
  <c r="I1733" i="4"/>
  <c r="BM2111" i="4"/>
  <c r="J1908" i="4"/>
  <c r="J1909" i="4"/>
  <c r="J1935" i="4"/>
  <c r="J1936" i="4"/>
  <c r="J1003" i="4"/>
  <c r="AA2140" i="4"/>
  <c r="J14" i="4"/>
  <c r="J15" i="2"/>
  <c r="J13" i="2"/>
  <c r="J81" i="4"/>
  <c r="J82" i="4"/>
  <c r="J1495" i="2"/>
  <c r="J1496" i="2"/>
  <c r="J1665" i="4"/>
  <c r="J1666" i="4"/>
  <c r="BH2210" i="2"/>
  <c r="J1663" i="2"/>
  <c r="J1664" i="2"/>
  <c r="J1897" i="4"/>
  <c r="BT2140" i="4"/>
  <c r="Q2292" i="3"/>
  <c r="I434" i="3"/>
  <c r="Q2282" i="3"/>
  <c r="I433" i="3"/>
  <c r="Q2281" i="3"/>
  <c r="J444" i="3"/>
  <c r="I1013" i="3"/>
  <c r="AK2282" i="3"/>
  <c r="AK2292" i="3"/>
  <c r="I1012" i="3"/>
  <c r="AK2281" i="3"/>
  <c r="J1023" i="3"/>
  <c r="I379" i="3"/>
  <c r="O2281" i="3"/>
  <c r="J390" i="3"/>
  <c r="I380" i="3"/>
  <c r="O2282" i="3"/>
  <c r="O2292" i="3"/>
  <c r="I878" i="3"/>
  <c r="AF2282" i="3"/>
  <c r="J888" i="3"/>
  <c r="I877" i="3"/>
  <c r="AF2281" i="3"/>
  <c r="AF2292" i="3"/>
  <c r="J1067" i="2"/>
  <c r="J1066" i="2"/>
  <c r="I823" i="3"/>
  <c r="AD2282" i="3"/>
  <c r="I822" i="3"/>
  <c r="AD2281" i="3"/>
  <c r="J833" i="3"/>
  <c r="AD2292" i="3"/>
  <c r="I768" i="3"/>
  <c r="AB2282" i="3"/>
  <c r="J778" i="3"/>
  <c r="I767" i="3"/>
  <c r="AB2281" i="3"/>
  <c r="AB2292" i="3"/>
  <c r="D2379" i="1"/>
  <c r="D2374" i="1"/>
  <c r="J816" i="1"/>
  <c r="I805" i="1"/>
  <c r="AC2383" i="1"/>
  <c r="I806" i="1"/>
  <c r="AC2384" i="1"/>
  <c r="AC2394" i="1"/>
  <c r="I387" i="1"/>
  <c r="N2384" i="1"/>
  <c r="N2394" i="1"/>
  <c r="J397" i="1"/>
  <c r="I386" i="1"/>
  <c r="N2383" i="1"/>
  <c r="L368" i="1"/>
  <c r="L370" i="1"/>
  <c r="I1135" i="1"/>
  <c r="AO2384" i="1"/>
  <c r="AO2394" i="1"/>
  <c r="I1134" i="1"/>
  <c r="AO2383" i="1"/>
  <c r="J1145" i="1"/>
  <c r="I125" i="2"/>
  <c r="F2182" i="2"/>
  <c r="J135" i="2"/>
  <c r="F2192" i="2"/>
  <c r="I126" i="2"/>
  <c r="F2183" i="2"/>
  <c r="I124" i="2"/>
  <c r="F2181" i="2"/>
  <c r="I137" i="2"/>
  <c r="I127" i="2"/>
  <c r="F2184" i="2"/>
  <c r="I123" i="2"/>
  <c r="F2180" i="2"/>
  <c r="I130" i="1"/>
  <c r="F2383" i="1"/>
  <c r="I131" i="1"/>
  <c r="F2384" i="1"/>
  <c r="J140" i="1"/>
  <c r="J141" i="1"/>
  <c r="J27" i="3"/>
  <c r="J28" i="3"/>
  <c r="J18" i="3"/>
  <c r="AX2195" i="2"/>
  <c r="I1385" i="2"/>
  <c r="I861" i="1"/>
  <c r="AE2383" i="1"/>
  <c r="I862" i="1"/>
  <c r="AE2384" i="1"/>
  <c r="J872" i="1"/>
  <c r="AE2394" i="1"/>
  <c r="I2134" i="4"/>
  <c r="AD2136" i="4"/>
  <c r="BG2400" i="1"/>
  <c r="D442" i="1"/>
  <c r="D443" i="1"/>
  <c r="J109" i="4"/>
  <c r="J110" i="4"/>
  <c r="J96" i="4"/>
  <c r="I484" i="2"/>
  <c r="J484" i="2"/>
  <c r="I684" i="2"/>
  <c r="I797" i="2"/>
  <c r="I786" i="2"/>
  <c r="AC2185" i="2"/>
  <c r="I881" i="2"/>
  <c r="AD2140" i="4"/>
  <c r="AW2210" i="2"/>
  <c r="L2210" i="2"/>
  <c r="AM2210" i="2"/>
  <c r="W2210" i="2"/>
  <c r="AK2210" i="2"/>
  <c r="D2393" i="1"/>
  <c r="D2394" i="1"/>
  <c r="AD2394" i="1"/>
  <c r="I834" i="1"/>
  <c r="AD2384" i="1"/>
  <c r="I833" i="1"/>
  <c r="AD2383" i="1"/>
  <c r="J844" i="1"/>
  <c r="J1118" i="1"/>
  <c r="J1107" i="1"/>
  <c r="I1108" i="1"/>
  <c r="AN2384" i="1"/>
  <c r="I1107" i="1"/>
  <c r="AN2383" i="1"/>
  <c r="AN2394" i="1"/>
  <c r="J453" i="1"/>
  <c r="J442" i="1"/>
  <c r="I442" i="1"/>
  <c r="P2383" i="1"/>
  <c r="P2394" i="1"/>
  <c r="I443" i="1"/>
  <c r="P2384" i="1"/>
  <c r="AK2394" i="1"/>
  <c r="I1027" i="1"/>
  <c r="AK2384" i="1"/>
  <c r="J1037" i="1"/>
  <c r="I1026" i="1"/>
  <c r="AK2383" i="1"/>
  <c r="AN2195" i="2"/>
  <c r="I1105" i="2"/>
  <c r="F2393" i="1"/>
  <c r="F2394" i="1"/>
  <c r="I777" i="1"/>
  <c r="AB2383" i="1"/>
  <c r="J788" i="1"/>
  <c r="J778" i="1"/>
  <c r="I778" i="1"/>
  <c r="AB2384" i="1"/>
  <c r="AB2394" i="1"/>
  <c r="AR2206" i="2"/>
  <c r="AR2210" i="2"/>
  <c r="G2208" i="2"/>
  <c r="G2210" i="2"/>
  <c r="F2138" i="4"/>
  <c r="I928" i="1"/>
  <c r="I917" i="1"/>
  <c r="AG2383" i="1"/>
  <c r="AG2393" i="1"/>
  <c r="J927" i="1"/>
  <c r="I168" i="2"/>
  <c r="AJ2140" i="4"/>
  <c r="AI2210" i="2"/>
  <c r="AT2210" i="2"/>
  <c r="AI2140" i="4"/>
  <c r="J1506" i="3"/>
  <c r="BC2289" i="3"/>
  <c r="BC2304" i="3"/>
  <c r="BC2305" i="3"/>
  <c r="J1047" i="3"/>
  <c r="AL2289" i="3"/>
  <c r="AL2304" i="3"/>
  <c r="AL2305" i="3"/>
  <c r="AB2289" i="3"/>
  <c r="AB2304" i="3"/>
  <c r="AB2305" i="3"/>
  <c r="J775" i="3"/>
  <c r="J1683" i="1"/>
  <c r="BI2391" i="1"/>
  <c r="BI2407" i="1"/>
  <c r="BD2140" i="4"/>
  <c r="J1101" i="3"/>
  <c r="AN2289" i="3"/>
  <c r="AN2304" i="3"/>
  <c r="AH2289" i="3"/>
  <c r="AH2304" i="3"/>
  <c r="AH2305" i="3"/>
  <c r="J939" i="3"/>
  <c r="AD2289" i="3"/>
  <c r="AD2304" i="3"/>
  <c r="AD2305" i="3"/>
  <c r="J830" i="3"/>
  <c r="O2289" i="3"/>
  <c r="O2304" i="3"/>
  <c r="O2305" i="3"/>
  <c r="J387" i="3"/>
  <c r="BE2140" i="4"/>
  <c r="BD2210" i="2"/>
  <c r="BP2391" i="1"/>
  <c r="BP2407" i="1"/>
  <c r="J1872" i="1"/>
  <c r="BG2210" i="2"/>
  <c r="BI2210" i="2"/>
  <c r="BM2289" i="3"/>
  <c r="BM2304" i="3"/>
  <c r="BM2305" i="3"/>
  <c r="J1776" i="3"/>
  <c r="I1777" i="3"/>
  <c r="I1778" i="3"/>
  <c r="BM2140" i="4"/>
  <c r="BJ2120" i="4"/>
  <c r="BJ2137" i="4"/>
  <c r="BJ2140" i="4"/>
  <c r="J2022" i="3"/>
  <c r="J2012" i="3"/>
  <c r="I2011" i="3"/>
  <c r="BV2281" i="3"/>
  <c r="I2012" i="3"/>
  <c r="BV2282" i="3"/>
  <c r="BS2140" i="4"/>
  <c r="I1736" i="4"/>
  <c r="BM2114" i="4"/>
  <c r="BU2210" i="2"/>
  <c r="BW2140" i="4"/>
  <c r="J2012" i="4"/>
  <c r="J1273" i="2"/>
  <c r="J1262" i="2"/>
  <c r="I1262" i="2"/>
  <c r="AT2185" i="2"/>
  <c r="I1263" i="2"/>
  <c r="AT2186" i="2"/>
  <c r="AT2196" i="2"/>
  <c r="J583" i="1"/>
  <c r="J582" i="1"/>
  <c r="I964" i="2"/>
  <c r="AI2195" i="2"/>
  <c r="AI2194" i="2"/>
  <c r="J414" i="1"/>
  <c r="J415" i="1"/>
  <c r="BD2196" i="2"/>
  <c r="I1543" i="2"/>
  <c r="BD2186" i="2"/>
  <c r="I1542" i="2"/>
  <c r="BD2185" i="2"/>
  <c r="J1553" i="2"/>
  <c r="J950" i="2"/>
  <c r="J953" i="2"/>
  <c r="J951" i="2"/>
  <c r="J963" i="2"/>
  <c r="J964" i="2"/>
  <c r="J949" i="2"/>
  <c r="J952" i="2"/>
  <c r="J17" i="3"/>
  <c r="I158" i="2"/>
  <c r="G2186" i="2"/>
  <c r="G2196" i="2"/>
  <c r="I157" i="2"/>
  <c r="G2185" i="2"/>
  <c r="J168" i="2"/>
  <c r="J158" i="2"/>
  <c r="J777" i="1"/>
  <c r="AN2196" i="2"/>
  <c r="J1105" i="2"/>
  <c r="J1095" i="2"/>
  <c r="I1095" i="2"/>
  <c r="AN2186" i="2"/>
  <c r="I1094" i="2"/>
  <c r="AN2185" i="2"/>
  <c r="J834" i="1"/>
  <c r="J833" i="1"/>
  <c r="AC2196" i="2"/>
  <c r="I474" i="2"/>
  <c r="R2186" i="2"/>
  <c r="R2196" i="2"/>
  <c r="I2140" i="4"/>
  <c r="J861" i="1"/>
  <c r="J862" i="1"/>
  <c r="J768" i="3"/>
  <c r="J767" i="3"/>
  <c r="J2011" i="3"/>
  <c r="BM2290" i="3"/>
  <c r="I918" i="1"/>
  <c r="AG2384" i="1"/>
  <c r="J928" i="1"/>
  <c r="J917" i="1"/>
  <c r="J1026" i="1"/>
  <c r="J1027" i="1"/>
  <c r="J443" i="1"/>
  <c r="J1108" i="1"/>
  <c r="I870" i="2"/>
  <c r="AF2185" i="2"/>
  <c r="J881" i="2"/>
  <c r="J870" i="2"/>
  <c r="I871" i="2"/>
  <c r="AF2186" i="2"/>
  <c r="AF2196" i="2"/>
  <c r="Y2196" i="2"/>
  <c r="I674" i="2"/>
  <c r="Y2186" i="2"/>
  <c r="I673" i="2"/>
  <c r="Y2185" i="2"/>
  <c r="J684" i="2"/>
  <c r="I1374" i="2"/>
  <c r="AX2185" i="2"/>
  <c r="J1385" i="2"/>
  <c r="I1375" i="2"/>
  <c r="AX2186" i="2"/>
  <c r="AX2196" i="2"/>
  <c r="I138" i="2"/>
  <c r="F2195" i="2"/>
  <c r="F2194" i="2"/>
  <c r="J126" i="2"/>
  <c r="J123" i="2"/>
  <c r="J124" i="2"/>
  <c r="J137" i="2"/>
  <c r="J138" i="2"/>
  <c r="J125" i="2"/>
  <c r="J127" i="2"/>
  <c r="J1134" i="1"/>
  <c r="J1135" i="1"/>
  <c r="J386" i="1"/>
  <c r="J387" i="1"/>
  <c r="J805" i="1"/>
  <c r="J806" i="1"/>
  <c r="J823" i="3"/>
  <c r="J822" i="3"/>
  <c r="J878" i="3"/>
  <c r="J877" i="3"/>
  <c r="J380" i="3"/>
  <c r="J379" i="3"/>
  <c r="J1012" i="3"/>
  <c r="J1013" i="3"/>
  <c r="J434" i="3"/>
  <c r="J433" i="3"/>
  <c r="J1543" i="2"/>
  <c r="J1542" i="2"/>
  <c r="J1263" i="2"/>
  <c r="I139" i="2"/>
  <c r="I128" i="2"/>
  <c r="J139" i="2"/>
  <c r="J129" i="2"/>
  <c r="F2196" i="2"/>
  <c r="J1374" i="2"/>
  <c r="J1375" i="2"/>
  <c r="J673" i="2"/>
  <c r="J674" i="2"/>
  <c r="J871" i="2"/>
  <c r="J918" i="1"/>
  <c r="J1094" i="2"/>
  <c r="J157" i="2"/>
  <c r="J128" i="2"/>
  <c r="J1778" i="3"/>
  <c r="BM2291" i="3"/>
  <c r="I1779" i="3"/>
  <c r="J473" i="2"/>
  <c r="J474" i="2"/>
  <c r="J805" i="5"/>
  <c r="J806" i="5"/>
  <c r="J851" i="3"/>
  <c r="J850" i="3"/>
  <c r="I982" i="4"/>
  <c r="AK2116" i="4"/>
  <c r="J992" i="4"/>
  <c r="AK2126" i="4"/>
  <c r="I981" i="4"/>
  <c r="AK2115" i="4"/>
  <c r="J915" i="3"/>
  <c r="AG2292" i="3"/>
  <c r="I905" i="3"/>
  <c r="AG2282" i="3"/>
  <c r="I904" i="3"/>
  <c r="AG2281" i="3"/>
  <c r="C2393" i="1"/>
  <c r="C2394" i="1"/>
  <c r="T2292" i="3"/>
  <c r="I515" i="3"/>
  <c r="T2282" i="3"/>
  <c r="I514" i="3"/>
  <c r="T2281" i="3"/>
  <c r="J525" i="3"/>
  <c r="E1653" i="5"/>
  <c r="I100" i="5"/>
  <c r="E1642" i="5"/>
  <c r="J111" i="5"/>
  <c r="I101" i="5"/>
  <c r="E1643" i="5"/>
  <c r="J843" i="5"/>
  <c r="I833" i="5"/>
  <c r="AF1643" i="5"/>
  <c r="I832" i="5"/>
  <c r="AF1642" i="5"/>
  <c r="AF1653" i="5"/>
  <c r="K2125" i="4"/>
  <c r="K2126" i="4"/>
  <c r="J969" i="3"/>
  <c r="AI2292" i="3"/>
  <c r="I959" i="3"/>
  <c r="AI2282" i="3"/>
  <c r="I958" i="3"/>
  <c r="AI2281" i="3"/>
  <c r="J1401" i="3"/>
  <c r="I1391" i="3"/>
  <c r="AY2282" i="3"/>
  <c r="I1390" i="3"/>
  <c r="AY2281" i="3"/>
  <c r="AY2292" i="3"/>
  <c r="J363" i="3"/>
  <c r="I353" i="3"/>
  <c r="N2282" i="3"/>
  <c r="I352" i="3"/>
  <c r="N2281" i="3"/>
  <c r="N2292" i="3"/>
  <c r="H1667" i="5"/>
  <c r="B240" i="3"/>
  <c r="B241" i="3"/>
  <c r="J759" i="2"/>
  <c r="J758" i="2"/>
  <c r="I45" i="3"/>
  <c r="C2282" i="3"/>
  <c r="J55" i="3"/>
  <c r="C2292" i="3"/>
  <c r="I44" i="3"/>
  <c r="C2281" i="3"/>
  <c r="J655" i="2"/>
  <c r="I645" i="2"/>
  <c r="X2186" i="2"/>
  <c r="I644" i="2"/>
  <c r="X2185" i="2"/>
  <c r="X2196" i="2"/>
  <c r="I1444" i="3"/>
  <c r="BA2281" i="3"/>
  <c r="J1455" i="3"/>
  <c r="BA2292" i="3"/>
  <c r="I1445" i="3"/>
  <c r="BA2282" i="3"/>
  <c r="I563" i="5"/>
  <c r="V1643" i="5"/>
  <c r="I562" i="5"/>
  <c r="V1642" i="5"/>
  <c r="V1653" i="5"/>
  <c r="J573" i="5"/>
  <c r="I1040" i="3"/>
  <c r="AL2282" i="3"/>
  <c r="J1050" i="3"/>
  <c r="AL2292" i="3"/>
  <c r="I1039" i="3"/>
  <c r="AL2281" i="3"/>
  <c r="I298" i="3"/>
  <c r="L2282" i="3"/>
  <c r="J308" i="3"/>
  <c r="L2292" i="3"/>
  <c r="I297" i="3"/>
  <c r="L2281" i="3"/>
  <c r="N2125" i="4"/>
  <c r="N2126" i="4"/>
  <c r="AN2305" i="3"/>
  <c r="I17" i="2"/>
  <c r="I18" i="2"/>
  <c r="J28" i="2"/>
  <c r="D1094" i="3"/>
  <c r="D1093" i="3"/>
  <c r="I1406" i="1"/>
  <c r="AY2384" i="1"/>
  <c r="AY2394" i="1"/>
  <c r="J1416" i="1"/>
  <c r="I1405" i="1"/>
  <c r="AY2383" i="1"/>
  <c r="J628" i="3"/>
  <c r="J627" i="3"/>
  <c r="J407" i="3"/>
  <c r="J406" i="3"/>
  <c r="X1653" i="5"/>
  <c r="J627" i="5"/>
  <c r="I617" i="5"/>
  <c r="X1643" i="5"/>
  <c r="I616" i="5"/>
  <c r="X1642" i="5"/>
  <c r="I2125" i="4"/>
  <c r="I2126" i="4"/>
  <c r="I129" i="2"/>
  <c r="F2186" i="2"/>
  <c r="AG2394" i="1"/>
  <c r="J1777" i="3"/>
  <c r="I473" i="2"/>
  <c r="R2185" i="2"/>
  <c r="J797" i="2"/>
  <c r="I787" i="2"/>
  <c r="AC2186" i="2"/>
  <c r="I965" i="2"/>
  <c r="J445" i="2"/>
  <c r="I1471" i="3"/>
  <c r="BB2281" i="3"/>
  <c r="I1418" i="3"/>
  <c r="AZ2282" i="3"/>
  <c r="J465" i="5"/>
  <c r="I455" i="5"/>
  <c r="R1643" i="5"/>
  <c r="J1251" i="4"/>
  <c r="Z2196" i="2"/>
  <c r="I627" i="3"/>
  <c r="W2281" i="3"/>
  <c r="J803" i="4"/>
  <c r="I793" i="4"/>
  <c r="AD2116" i="4"/>
  <c r="I559" i="2"/>
  <c r="U2185" i="2"/>
  <c r="I758" i="2"/>
  <c r="AB2185" i="2"/>
  <c r="I406" i="3"/>
  <c r="P2281" i="3"/>
  <c r="BC2292" i="3"/>
  <c r="I850" i="3"/>
  <c r="AE2281" i="3"/>
  <c r="I195" i="5"/>
  <c r="AK2125" i="4"/>
  <c r="X2195" i="2"/>
  <c r="E1652" i="5"/>
  <c r="AF1652" i="5"/>
  <c r="X1652" i="5"/>
  <c r="V1652" i="5"/>
  <c r="I438" i="5"/>
  <c r="I600" i="5"/>
  <c r="J27" i="2"/>
  <c r="H131" i="1"/>
  <c r="H130" i="1"/>
  <c r="C1306" i="4"/>
  <c r="C1305" i="4"/>
  <c r="F1089" i="4"/>
  <c r="F1090" i="4"/>
  <c r="H330" i="1"/>
  <c r="H331" i="1"/>
  <c r="F100" i="4"/>
  <c r="I111" i="4"/>
  <c r="O2408" i="1"/>
  <c r="F301" i="2"/>
  <c r="F302" i="2"/>
  <c r="F358" i="2"/>
  <c r="F359" i="2"/>
  <c r="G242" i="2"/>
  <c r="G243" i="2"/>
  <c r="D926" i="2"/>
  <c r="D927" i="2"/>
  <c r="I2286" i="3"/>
  <c r="J217" i="3"/>
  <c r="E129" i="3"/>
  <c r="E128" i="3"/>
  <c r="H401" i="5"/>
  <c r="H400" i="5"/>
  <c r="D455" i="5"/>
  <c r="D454" i="5"/>
  <c r="G347" i="5"/>
  <c r="G346" i="5"/>
  <c r="B739" i="4"/>
  <c r="B738" i="4"/>
  <c r="AU2381" i="1"/>
  <c r="AU2376" i="1"/>
  <c r="AK2305" i="3"/>
  <c r="M1667" i="5"/>
  <c r="AA1667" i="5"/>
  <c r="L1667" i="5"/>
  <c r="J1313" i="3"/>
  <c r="AV2285" i="3"/>
  <c r="AV2301" i="3"/>
  <c r="E2125" i="4"/>
  <c r="E2126" i="4"/>
  <c r="AF1667" i="5"/>
  <c r="D1459" i="1"/>
  <c r="D1460" i="1"/>
  <c r="D1432" i="1"/>
  <c r="D1433" i="1"/>
  <c r="B1352" i="1"/>
  <c r="B1351" i="1"/>
  <c r="AG2408" i="1"/>
  <c r="J248" i="2"/>
  <c r="J2191" i="2"/>
  <c r="J2208" i="2"/>
  <c r="J2210" i="2"/>
  <c r="I249" i="2"/>
  <c r="AT2283" i="3"/>
  <c r="AT2299" i="3"/>
  <c r="J1257" i="3"/>
  <c r="I1262" i="3"/>
  <c r="I332" i="3"/>
  <c r="I323" i="3"/>
  <c r="M2279" i="3"/>
  <c r="M2286" i="3"/>
  <c r="M2302" i="3"/>
  <c r="M2305" i="3"/>
  <c r="J330" i="3"/>
  <c r="J600" i="3"/>
  <c r="I605" i="3"/>
  <c r="J1152" i="3"/>
  <c r="I1154" i="3"/>
  <c r="AP2286" i="3"/>
  <c r="AP2302" i="3"/>
  <c r="AP2305" i="3"/>
  <c r="J417" i="2"/>
  <c r="P2187" i="2"/>
  <c r="I422" i="2"/>
  <c r="I410" i="2"/>
  <c r="P2180" i="2"/>
  <c r="Y2284" i="3"/>
  <c r="Y2300" i="3"/>
  <c r="I690" i="3"/>
  <c r="J686" i="3"/>
  <c r="AW2286" i="3"/>
  <c r="AW2302" i="3"/>
  <c r="J1341" i="3"/>
  <c r="I1343" i="3"/>
  <c r="I1334" i="3"/>
  <c r="AW2279" i="3"/>
  <c r="K2190" i="2"/>
  <c r="I279" i="2"/>
  <c r="J277" i="2"/>
  <c r="G1188" i="1"/>
  <c r="G1189" i="1"/>
  <c r="G588" i="2"/>
  <c r="G587" i="2"/>
  <c r="H157" i="3"/>
  <c r="H156" i="3"/>
  <c r="J215" i="3"/>
  <c r="I2284" i="3"/>
  <c r="H712" i="3"/>
  <c r="H711" i="3"/>
  <c r="N2305" i="3"/>
  <c r="E1251" i="4"/>
  <c r="E1252" i="4"/>
  <c r="T2393" i="1"/>
  <c r="I565" i="1"/>
  <c r="J564" i="1"/>
  <c r="AU2378" i="1"/>
  <c r="AU2373" i="1"/>
  <c r="AY2381" i="1"/>
  <c r="AY2376" i="1"/>
  <c r="H582" i="1"/>
  <c r="H583" i="1"/>
  <c r="D1270" i="1"/>
  <c r="D1271" i="1"/>
  <c r="I2393" i="1"/>
  <c r="I2394" i="1"/>
  <c r="AU2305" i="3"/>
  <c r="BD2305" i="3"/>
  <c r="Z1667" i="5"/>
  <c r="B1459" i="1"/>
  <c r="B1460" i="1"/>
  <c r="H1243" i="1"/>
  <c r="H1244" i="1"/>
  <c r="D999" i="1"/>
  <c r="D1000" i="1"/>
  <c r="D722" i="1"/>
  <c r="D721" i="1"/>
  <c r="H694" i="1"/>
  <c r="H693" i="1"/>
  <c r="J1311" i="3"/>
  <c r="I1316" i="3"/>
  <c r="AV2283" i="3"/>
  <c r="AV2299" i="3"/>
  <c r="AC2286" i="3"/>
  <c r="AC2302" i="3"/>
  <c r="AC2305" i="3"/>
  <c r="J800" i="3"/>
  <c r="I802" i="3"/>
  <c r="I793" i="3"/>
  <c r="AC2279" i="3"/>
  <c r="J1071" i="3"/>
  <c r="AM2286" i="3"/>
  <c r="AM2302" i="3"/>
  <c r="AM2305" i="3"/>
  <c r="I1073" i="3"/>
  <c r="J19" i="2"/>
  <c r="J12" i="2"/>
  <c r="I12" i="2"/>
  <c r="J744" i="3"/>
  <c r="I746" i="3"/>
  <c r="I737" i="3"/>
  <c r="AA2279" i="3"/>
  <c r="AA2286" i="3"/>
  <c r="AA2302" i="3"/>
  <c r="AQ2286" i="3"/>
  <c r="AQ2302" i="3"/>
  <c r="AQ2287" i="3"/>
  <c r="AQ2303" i="3"/>
  <c r="AQ2305" i="3"/>
  <c r="J1179" i="3"/>
  <c r="I1181" i="3"/>
  <c r="I1172" i="3"/>
  <c r="AQ2279" i="3"/>
  <c r="J570" i="2"/>
  <c r="H2291" i="3"/>
  <c r="H2292" i="3"/>
  <c r="Q1667" i="5"/>
  <c r="C247" i="1"/>
  <c r="C246" i="1"/>
  <c r="B1359" i="4"/>
  <c r="B1360" i="4"/>
  <c r="F1144" i="4"/>
  <c r="F1143" i="4"/>
  <c r="H275" i="1"/>
  <c r="H274" i="1"/>
  <c r="I722" i="4"/>
  <c r="E212" i="4"/>
  <c r="G275" i="1"/>
  <c r="G274" i="1"/>
  <c r="I219" i="3"/>
  <c r="J214" i="3"/>
  <c r="I2283" i="3"/>
  <c r="F582" i="1"/>
  <c r="F583" i="1"/>
  <c r="AI2408" i="1"/>
  <c r="AE2305" i="3"/>
  <c r="B1667" i="5"/>
  <c r="R2305" i="3"/>
  <c r="T1667" i="5"/>
  <c r="D400" i="5"/>
  <c r="D401" i="5"/>
  <c r="J961" i="4"/>
  <c r="J951" i="4"/>
  <c r="I952" i="4"/>
  <c r="AJ2113" i="4"/>
  <c r="AZ2283" i="3"/>
  <c r="AZ2299" i="3"/>
  <c r="AZ2305" i="3"/>
  <c r="J1419" i="3"/>
  <c r="J1412" i="3"/>
  <c r="AV2284" i="3"/>
  <c r="AV2300" i="3"/>
  <c r="J1312" i="3"/>
  <c r="J1667" i="5"/>
  <c r="AH1667" i="5"/>
  <c r="X1667" i="5"/>
  <c r="H1514" i="1"/>
  <c r="H1513" i="1"/>
  <c r="B1000" i="1"/>
  <c r="B999" i="1"/>
  <c r="AA2408" i="1"/>
  <c r="I127" i="3"/>
  <c r="J134" i="3"/>
  <c r="J127" i="3"/>
  <c r="I193" i="2"/>
  <c r="I185" i="2"/>
  <c r="H2184" i="2"/>
  <c r="J192" i="2"/>
  <c r="H2191" i="2"/>
  <c r="AJ2286" i="3"/>
  <c r="AJ2302" i="3"/>
  <c r="J990" i="3"/>
  <c r="I992" i="3"/>
  <c r="I983" i="3"/>
  <c r="AJ2279" i="3"/>
  <c r="I1253" i="3"/>
  <c r="AT2279" i="3"/>
  <c r="J1260" i="3"/>
  <c r="AT2286" i="3"/>
  <c r="AT2302" i="3"/>
  <c r="AO2286" i="3"/>
  <c r="AO2302" i="3"/>
  <c r="AO2305" i="3"/>
  <c r="I1127" i="3"/>
  <c r="I1118" i="3"/>
  <c r="AO2279" i="3"/>
  <c r="J1125" i="3"/>
  <c r="J1040" i="2"/>
  <c r="AL2187" i="2"/>
  <c r="AL2204" i="2"/>
  <c r="H917" i="1"/>
  <c r="H918" i="1"/>
  <c r="C216" i="1"/>
  <c r="L226" i="1"/>
  <c r="B240" i="4"/>
  <c r="AL2408" i="1"/>
  <c r="F330" i="2"/>
  <c r="F331" i="2"/>
  <c r="F215" i="2"/>
  <c r="F214" i="2"/>
  <c r="E302" i="2"/>
  <c r="E301" i="2"/>
  <c r="F627" i="3"/>
  <c r="F628" i="3"/>
  <c r="I209" i="3"/>
  <c r="I2278" i="3"/>
  <c r="I2285" i="3"/>
  <c r="J216" i="3"/>
  <c r="I166" i="3"/>
  <c r="J166" i="3"/>
  <c r="J165" i="3"/>
  <c r="I167" i="3"/>
  <c r="I211" i="3"/>
  <c r="I2280" i="3"/>
  <c r="I2287" i="3"/>
  <c r="I2303" i="3"/>
  <c r="J218" i="3"/>
  <c r="E765" i="4"/>
  <c r="E766" i="4"/>
  <c r="H320" i="5"/>
  <c r="H319" i="5"/>
  <c r="H1594" i="1"/>
  <c r="H1595" i="1"/>
  <c r="H1095" i="2"/>
  <c r="H1094" i="2"/>
  <c r="D582" i="1"/>
  <c r="D583" i="1"/>
  <c r="AA2305" i="3"/>
  <c r="AJ2305" i="3"/>
  <c r="AN2408" i="1"/>
  <c r="D1667" i="5"/>
  <c r="Z2305" i="3"/>
  <c r="I402" i="4"/>
  <c r="P2112" i="4"/>
  <c r="J412" i="4"/>
  <c r="D901" i="6"/>
  <c r="J1315" i="3"/>
  <c r="AV2287" i="3"/>
  <c r="AV2303" i="3"/>
  <c r="AW2305" i="3"/>
  <c r="H1432" i="1"/>
  <c r="H1433" i="1"/>
  <c r="H1352" i="1"/>
  <c r="H1351" i="1"/>
  <c r="B1134" i="1"/>
  <c r="B1135" i="1"/>
  <c r="B890" i="1"/>
  <c r="B889" i="1"/>
  <c r="B721" i="1"/>
  <c r="B722" i="1"/>
  <c r="K2283" i="3"/>
  <c r="K2299" i="3"/>
  <c r="K2305" i="3"/>
  <c r="I276" i="3"/>
  <c r="I264" i="3"/>
  <c r="K2276" i="3"/>
  <c r="J271" i="3"/>
  <c r="I337" i="2"/>
  <c r="M2191" i="2"/>
  <c r="M2208" i="2"/>
  <c r="M2210" i="2"/>
  <c r="J336" i="2"/>
  <c r="I1208" i="3"/>
  <c r="J1203" i="3"/>
  <c r="AR2283" i="3"/>
  <c r="AR2299" i="3"/>
  <c r="J220" i="2"/>
  <c r="I2191" i="2"/>
  <c r="I2208" i="2"/>
  <c r="I2210" i="2"/>
  <c r="I221" i="2"/>
  <c r="J1233" i="3"/>
  <c r="I1235" i="3"/>
  <c r="I1226" i="3"/>
  <c r="AS2279" i="3"/>
  <c r="AS2286" i="3"/>
  <c r="AS2302" i="3"/>
  <c r="AS2305" i="3"/>
  <c r="J660" i="3"/>
  <c r="X2286" i="3"/>
  <c r="X2302" i="3"/>
  <c r="X2305" i="3"/>
  <c r="I662" i="3"/>
  <c r="I1370" i="3"/>
  <c r="J1368" i="3"/>
  <c r="I1361" i="3"/>
  <c r="AX2279" i="3"/>
  <c r="AX2286" i="3"/>
  <c r="AX2302" i="3"/>
  <c r="AX2305" i="3"/>
  <c r="J181" i="3"/>
  <c r="I1090" i="2"/>
  <c r="AN2181" i="2"/>
  <c r="B1652" i="5"/>
  <c r="J163" i="3"/>
  <c r="J1573" i="1"/>
  <c r="J1566" i="1"/>
  <c r="J1410" i="1"/>
  <c r="J1403" i="1"/>
  <c r="J588" i="1"/>
  <c r="J581" i="1"/>
  <c r="I581" i="1"/>
  <c r="U2382" i="1"/>
  <c r="J1159" i="2"/>
  <c r="J1160" i="2"/>
  <c r="J647" i="5"/>
  <c r="J640" i="5"/>
  <c r="H2393" i="1"/>
  <c r="H2394" i="1"/>
  <c r="E74" i="1"/>
  <c r="E75" i="1"/>
  <c r="E46" i="1"/>
  <c r="E45" i="1"/>
  <c r="C415" i="1"/>
  <c r="C414" i="1"/>
  <c r="D889" i="1"/>
  <c r="D890" i="1"/>
  <c r="H673" i="2"/>
  <c r="H674" i="2"/>
  <c r="B243" i="2"/>
  <c r="B242" i="2"/>
  <c r="G45" i="2"/>
  <c r="G44" i="2"/>
  <c r="H17" i="2"/>
  <c r="H18" i="2"/>
  <c r="H874" i="4"/>
  <c r="H873" i="4"/>
  <c r="B43" i="6"/>
  <c r="B42" i="6"/>
  <c r="E1008" i="4"/>
  <c r="E1009" i="4"/>
  <c r="B44" i="4"/>
  <c r="B45" i="4"/>
  <c r="E1170" i="4"/>
  <c r="E1171" i="4"/>
  <c r="F739" i="4"/>
  <c r="F738" i="4"/>
  <c r="F44" i="4"/>
  <c r="F45" i="4"/>
  <c r="H44" i="5"/>
  <c r="H45" i="5"/>
  <c r="D1216" i="1"/>
  <c r="D1215" i="1"/>
  <c r="F685" i="4"/>
  <c r="F684" i="4"/>
  <c r="E1053" i="1"/>
  <c r="E1054" i="1"/>
  <c r="G1143" i="4"/>
  <c r="G1144" i="4"/>
  <c r="C275" i="1"/>
  <c r="C274" i="1"/>
  <c r="D973" i="1"/>
  <c r="D972" i="1"/>
  <c r="F1207" i="2"/>
  <c r="F1206" i="2"/>
  <c r="G878" i="3"/>
  <c r="G877" i="3"/>
  <c r="E543" i="3"/>
  <c r="E542" i="3"/>
  <c r="G298" i="3"/>
  <c r="G297" i="3"/>
  <c r="G241" i="3"/>
  <c r="G240" i="3"/>
  <c r="C240" i="3"/>
  <c r="C241" i="3"/>
  <c r="H124" i="6"/>
  <c r="H123" i="6"/>
  <c r="D1631" i="1"/>
  <c r="D1632" i="1"/>
  <c r="B185" i="5"/>
  <c r="B184" i="5"/>
  <c r="G2139" i="4"/>
  <c r="CA2139" i="4"/>
  <c r="CB2139" i="4"/>
  <c r="G2124" i="4"/>
  <c r="B1235" i="2"/>
  <c r="B1234" i="2"/>
  <c r="F1234" i="2"/>
  <c r="F1235" i="2"/>
  <c r="B1364" i="3"/>
  <c r="B1363" i="3"/>
  <c r="B406" i="3"/>
  <c r="B407" i="3"/>
  <c r="H1364" i="3"/>
  <c r="H1363" i="3"/>
  <c r="E1499" i="3"/>
  <c r="E1498" i="3"/>
  <c r="C157" i="3"/>
  <c r="C156" i="3"/>
  <c r="G932" i="3"/>
  <c r="G931" i="3"/>
  <c r="C1360" i="4"/>
  <c r="C1359" i="4"/>
  <c r="D1305" i="4"/>
  <c r="D1306" i="4"/>
  <c r="E349" i="4"/>
  <c r="E350" i="4"/>
  <c r="J193" i="1"/>
  <c r="J186" i="1"/>
  <c r="H2389" i="1"/>
  <c r="I186" i="1"/>
  <c r="D536" i="1"/>
  <c r="D537" i="1"/>
  <c r="F637" i="1"/>
  <c r="F638" i="1"/>
  <c r="J783" i="1"/>
  <c r="J776" i="1"/>
  <c r="AB2389" i="1"/>
  <c r="AB2406" i="1"/>
  <c r="AB2408" i="1"/>
  <c r="I776" i="1"/>
  <c r="AB2382" i="1"/>
  <c r="B1523" i="1"/>
  <c r="B1524" i="1"/>
  <c r="E1550" i="1"/>
  <c r="E1551" i="1"/>
  <c r="D796" i="3"/>
  <c r="D795" i="3"/>
  <c r="C123" i="6"/>
  <c r="C124" i="6"/>
  <c r="E1405" i="1"/>
  <c r="E1406" i="1"/>
  <c r="E999" i="1"/>
  <c r="E1000" i="1"/>
  <c r="G777" i="1"/>
  <c r="G778" i="1"/>
  <c r="E749" i="1"/>
  <c r="E750" i="1"/>
  <c r="G638" i="1"/>
  <c r="G637" i="1"/>
  <c r="C611" i="1"/>
  <c r="C610" i="1"/>
  <c r="F247" i="1"/>
  <c r="F246" i="1"/>
  <c r="B1107" i="1"/>
  <c r="B1108" i="1"/>
  <c r="F946" i="1"/>
  <c r="F945" i="1"/>
  <c r="D778" i="1"/>
  <c r="D777" i="1"/>
  <c r="H611" i="1"/>
  <c r="H610" i="1"/>
  <c r="F1161" i="1"/>
  <c r="F1162" i="1"/>
  <c r="E100" i="4"/>
  <c r="E101" i="4"/>
  <c r="C587" i="2"/>
  <c r="C588" i="2"/>
  <c r="C273" i="2"/>
  <c r="C272" i="2"/>
  <c r="H850" i="3"/>
  <c r="H851" i="3"/>
  <c r="C184" i="3"/>
  <c r="C185" i="3"/>
  <c r="C1337" i="3"/>
  <c r="C1336" i="3"/>
  <c r="H17" i="5"/>
  <c r="H16" i="5"/>
  <c r="C72" i="5"/>
  <c r="C73" i="5"/>
  <c r="G73" i="5"/>
  <c r="G72" i="5"/>
  <c r="G17" i="5"/>
  <c r="G16" i="5"/>
  <c r="E482" i="5"/>
  <c r="E481" i="5"/>
  <c r="E535" i="5"/>
  <c r="E536" i="5"/>
  <c r="C698" i="5"/>
  <c r="C697" i="5"/>
  <c r="G698" i="5"/>
  <c r="G697" i="5"/>
  <c r="D110" i="3"/>
  <c r="D111" i="3"/>
  <c r="H72" i="3"/>
  <c r="H73" i="3"/>
  <c r="D487" i="3"/>
  <c r="D488" i="3"/>
  <c r="F1175" i="3"/>
  <c r="F1174" i="3"/>
  <c r="H1093" i="3"/>
  <c r="H1094" i="3"/>
  <c r="G1336" i="3"/>
  <c r="G1337" i="3"/>
  <c r="D1444" i="3"/>
  <c r="D1445" i="3"/>
  <c r="B156" i="3"/>
  <c r="B157" i="3"/>
  <c r="E389" i="3"/>
  <c r="E390" i="3"/>
  <c r="C1013" i="3"/>
  <c r="C1012" i="3"/>
  <c r="D1157" i="3"/>
  <c r="D1158" i="3"/>
  <c r="B1265" i="3"/>
  <c r="B1266" i="3"/>
  <c r="F2126" i="4"/>
  <c r="C74" i="1"/>
  <c r="C75" i="1"/>
  <c r="B358" i="1"/>
  <c r="B359" i="1"/>
  <c r="C45" i="1"/>
  <c r="C46" i="1"/>
  <c r="H74" i="1"/>
  <c r="H75" i="1"/>
  <c r="G445" i="2"/>
  <c r="G444" i="2"/>
  <c r="C870" i="2"/>
  <c r="C871" i="2"/>
  <c r="B1206" i="2"/>
  <c r="B1207" i="2"/>
  <c r="E240" i="4"/>
  <c r="E239" i="4"/>
  <c r="E1143" i="4"/>
  <c r="E1144" i="4"/>
  <c r="D184" i="4"/>
  <c r="D185" i="4"/>
  <c r="E1333" i="4"/>
  <c r="E1332" i="4"/>
  <c r="G17" i="4"/>
  <c r="G18" i="4"/>
  <c r="AQ2210" i="2"/>
  <c r="H184" i="4"/>
  <c r="H185" i="4"/>
  <c r="F1305" i="4"/>
  <c r="F1306" i="4"/>
  <c r="F45" i="5"/>
  <c r="F44" i="5"/>
  <c r="H16" i="6"/>
  <c r="H15" i="6"/>
  <c r="G43" i="6"/>
  <c r="G42" i="6"/>
  <c r="H42" i="6"/>
  <c r="H43" i="6"/>
  <c r="B1095" i="2"/>
  <c r="B1094" i="2"/>
  <c r="G583" i="1"/>
  <c r="G582" i="1"/>
  <c r="B573" i="4"/>
  <c r="B574" i="4"/>
  <c r="C1567" i="1"/>
  <c r="C1568" i="1"/>
  <c r="D834" i="1"/>
  <c r="D833" i="1"/>
  <c r="C1053" i="1"/>
  <c r="C1054" i="1"/>
  <c r="F1053" i="1"/>
  <c r="F1054" i="1"/>
  <c r="C1117" i="4"/>
  <c r="C1116" i="4"/>
  <c r="E1207" i="2"/>
  <c r="E1206" i="2"/>
  <c r="D129" i="3"/>
  <c r="D128" i="3"/>
  <c r="H1631" i="1"/>
  <c r="H1632" i="1"/>
  <c r="G1487" i="1"/>
  <c r="G1486" i="1"/>
  <c r="H1228" i="3"/>
  <c r="H1229" i="3"/>
  <c r="C931" i="3"/>
  <c r="C932" i="3"/>
  <c r="J1180" i="3"/>
  <c r="D1364" i="3"/>
  <c r="D1363" i="3"/>
  <c r="C331" i="1"/>
  <c r="C330" i="1"/>
  <c r="G69" i="6"/>
  <c r="G70" i="6"/>
  <c r="C1224" i="4"/>
  <c r="C1225" i="4"/>
  <c r="G377" i="4"/>
  <c r="G378" i="4"/>
  <c r="G766" i="4"/>
  <c r="G765" i="4"/>
  <c r="C1063" i="4"/>
  <c r="C1062" i="4"/>
  <c r="G1062" i="4"/>
  <c r="G1063" i="4"/>
  <c r="D158" i="1"/>
  <c r="D157" i="1"/>
  <c r="F158" i="1"/>
  <c r="F157" i="1"/>
  <c r="H158" i="1"/>
  <c r="H157" i="1"/>
  <c r="H480" i="1"/>
  <c r="H481" i="1"/>
  <c r="T2385" i="1"/>
  <c r="T2402" i="1"/>
  <c r="T2408" i="1"/>
  <c r="J556" i="1"/>
  <c r="J549" i="1"/>
  <c r="I549" i="1"/>
  <c r="T2378" i="1"/>
  <c r="F999" i="1"/>
  <c r="F1000" i="1"/>
  <c r="D1523" i="1"/>
  <c r="D1524" i="1"/>
  <c r="C1621" i="1"/>
  <c r="C1622" i="1"/>
  <c r="G96" i="6"/>
  <c r="G97" i="6"/>
  <c r="G1162" i="1"/>
  <c r="G1161" i="1"/>
  <c r="G945" i="1"/>
  <c r="G946" i="1"/>
  <c r="E778" i="1"/>
  <c r="E777" i="1"/>
  <c r="C750" i="1"/>
  <c r="C749" i="1"/>
  <c r="E638" i="1"/>
  <c r="E637" i="1"/>
  <c r="G555" i="1"/>
  <c r="G554" i="1"/>
  <c r="D945" i="1"/>
  <c r="D946" i="1"/>
  <c r="B778" i="1"/>
  <c r="B777" i="1"/>
  <c r="D1161" i="1"/>
  <c r="D1162" i="1"/>
  <c r="B750" i="1"/>
  <c r="B749" i="1"/>
  <c r="B555" i="1"/>
  <c r="B554" i="1"/>
  <c r="D359" i="1"/>
  <c r="D358" i="1"/>
  <c r="G1319" i="2"/>
  <c r="G1318" i="2"/>
  <c r="F1291" i="2"/>
  <c r="F1290" i="2"/>
  <c r="F1150" i="2"/>
  <c r="F1151" i="2"/>
  <c r="H359" i="1"/>
  <c r="H358" i="1"/>
  <c r="F926" i="2"/>
  <c r="F927" i="2"/>
  <c r="B359" i="2"/>
  <c r="B358" i="2"/>
  <c r="F243" i="2"/>
  <c r="F242" i="2"/>
  <c r="D740" i="3"/>
  <c r="D739" i="3"/>
  <c r="B1012" i="3"/>
  <c r="B1013" i="3"/>
  <c r="C904" i="3"/>
  <c r="C905" i="3"/>
  <c r="G1282" i="3"/>
  <c r="G1283" i="3"/>
  <c r="H1499" i="3"/>
  <c r="H1498" i="3"/>
  <c r="E1202" i="3"/>
  <c r="E1201" i="3"/>
  <c r="G739" i="3"/>
  <c r="G740" i="3"/>
  <c r="F407" i="3"/>
  <c r="F406" i="3"/>
  <c r="G129" i="5"/>
  <c r="G128" i="5"/>
  <c r="D320" i="5"/>
  <c r="D319" i="5"/>
  <c r="D427" i="5"/>
  <c r="D428" i="5"/>
  <c r="B454" i="5"/>
  <c r="B455" i="5"/>
  <c r="C644" i="5"/>
  <c r="C643" i="5"/>
  <c r="C671" i="5"/>
  <c r="C670" i="5"/>
  <c r="G751" i="5"/>
  <c r="G752" i="5"/>
  <c r="C805" i="5"/>
  <c r="C806" i="5"/>
  <c r="G72" i="3"/>
  <c r="G73" i="3"/>
  <c r="G552" i="3"/>
  <c r="G553" i="3"/>
  <c r="E269" i="3"/>
  <c r="E270" i="3"/>
  <c r="F656" i="3"/>
  <c r="F655" i="3"/>
  <c r="F796" i="3"/>
  <c r="F795" i="3"/>
  <c r="AG2287" i="3"/>
  <c r="AG2303" i="3"/>
  <c r="AG2305" i="3"/>
  <c r="J910" i="3"/>
  <c r="J903" i="3"/>
  <c r="F904" i="3"/>
  <c r="F905" i="3"/>
  <c r="B1066" i="3"/>
  <c r="B1067" i="3"/>
  <c r="E1147" i="3"/>
  <c r="E1148" i="3"/>
  <c r="C1175" i="3"/>
  <c r="C1174" i="3"/>
  <c r="C1282" i="3"/>
  <c r="C1283" i="3"/>
  <c r="C1390" i="3"/>
  <c r="C1391" i="3"/>
  <c r="D1472" i="3"/>
  <c r="D1471" i="3"/>
  <c r="F157" i="3"/>
  <c r="F156" i="3"/>
  <c r="B434" i="3"/>
  <c r="B433" i="3"/>
  <c r="D460" i="3"/>
  <c r="D461" i="3"/>
  <c r="C796" i="3"/>
  <c r="C795" i="3"/>
  <c r="G904" i="3"/>
  <c r="G905" i="3"/>
  <c r="C995" i="3"/>
  <c r="C996" i="3"/>
  <c r="B1120" i="3"/>
  <c r="B1121" i="3"/>
  <c r="F1148" i="3"/>
  <c r="F1147" i="3"/>
  <c r="J303" i="3"/>
  <c r="J296" i="3"/>
  <c r="U1644" i="5"/>
  <c r="J128" i="6"/>
  <c r="G74" i="1"/>
  <c r="G75" i="1"/>
  <c r="G415" i="1"/>
  <c r="G414" i="1"/>
  <c r="E806" i="1"/>
  <c r="E805" i="1"/>
  <c r="D73" i="2"/>
  <c r="D72" i="2"/>
  <c r="D1010" i="2"/>
  <c r="D1011" i="2"/>
  <c r="J1204" i="3"/>
  <c r="AR2284" i="3"/>
  <c r="AR2300" i="3"/>
  <c r="E657" i="4"/>
  <c r="E658" i="4"/>
  <c r="H1278" i="4"/>
  <c r="H1279" i="4"/>
  <c r="B901" i="4"/>
  <c r="B900" i="4"/>
  <c r="B267" i="4"/>
  <c r="B266" i="4"/>
  <c r="D518" i="4"/>
  <c r="D517" i="4"/>
  <c r="F1379" i="1"/>
  <c r="F1378" i="1"/>
  <c r="D44" i="5"/>
  <c r="D45" i="5"/>
  <c r="F1094" i="2"/>
  <c r="F1095" i="2"/>
  <c r="H1262" i="2"/>
  <c r="H1263" i="2"/>
  <c r="B1567" i="1"/>
  <c r="B1568" i="1"/>
  <c r="D1568" i="1"/>
  <c r="D1567" i="1"/>
  <c r="E1095" i="2"/>
  <c r="E1094" i="2"/>
  <c r="D1054" i="1"/>
  <c r="D1053" i="1"/>
  <c r="B247" i="1"/>
  <c r="B246" i="1"/>
  <c r="H972" i="1"/>
  <c r="H973" i="1"/>
  <c r="B527" i="1"/>
  <c r="B526" i="1"/>
  <c r="E973" i="1"/>
  <c r="E972" i="1"/>
  <c r="D407" i="3"/>
  <c r="D406" i="3"/>
  <c r="B779" i="5"/>
  <c r="B778" i="5"/>
  <c r="C1487" i="1"/>
  <c r="C1486" i="1"/>
  <c r="G1444" i="3"/>
  <c r="G1445" i="3"/>
  <c r="F1364" i="3"/>
  <c r="F1363" i="3"/>
  <c r="H1427" i="3"/>
  <c r="H1428" i="3"/>
  <c r="H1391" i="3"/>
  <c r="H1390" i="3"/>
  <c r="P2287" i="3"/>
  <c r="P2303" i="3"/>
  <c r="P2305" i="3"/>
  <c r="J412" i="3"/>
  <c r="J405" i="3"/>
  <c r="E1444" i="3"/>
  <c r="E1445" i="3"/>
  <c r="E1526" i="3"/>
  <c r="E1525" i="3"/>
  <c r="G1359" i="4"/>
  <c r="G1360" i="4"/>
  <c r="C1252" i="4"/>
  <c r="C1251" i="4"/>
  <c r="D212" i="4"/>
  <c r="D213" i="4"/>
  <c r="H267" i="4"/>
  <c r="H266" i="4"/>
  <c r="B157" i="1"/>
  <c r="B158" i="1"/>
  <c r="F470" i="1"/>
  <c r="F471" i="1"/>
  <c r="H731" i="1"/>
  <c r="H732" i="1"/>
  <c r="B1090" i="1"/>
  <c r="B1091" i="1"/>
  <c r="C1541" i="1"/>
  <c r="C1540" i="1"/>
  <c r="D1486" i="1"/>
  <c r="D1487" i="1"/>
  <c r="H1201" i="3"/>
  <c r="H1202" i="3"/>
  <c r="B1595" i="1"/>
  <c r="B1594" i="1"/>
  <c r="B1026" i="1"/>
  <c r="B1027" i="1"/>
  <c r="E946" i="1"/>
  <c r="E945" i="1"/>
  <c r="C777" i="1"/>
  <c r="C778" i="1"/>
  <c r="G694" i="1"/>
  <c r="G693" i="1"/>
  <c r="G611" i="1"/>
  <c r="G610" i="1"/>
  <c r="E555" i="1"/>
  <c r="E554" i="1"/>
  <c r="F1107" i="1"/>
  <c r="F1108" i="1"/>
  <c r="H778" i="1"/>
  <c r="H777" i="1"/>
  <c r="D302" i="1"/>
  <c r="D303" i="1"/>
  <c r="D215" i="1"/>
  <c r="D216" i="1"/>
  <c r="C712" i="4"/>
  <c r="C711" i="4"/>
  <c r="B615" i="2"/>
  <c r="B616" i="2"/>
  <c r="B331" i="2"/>
  <c r="B330" i="2"/>
  <c r="E215" i="2"/>
  <c r="E214" i="2"/>
  <c r="E877" i="3"/>
  <c r="E878" i="3"/>
  <c r="G796" i="3"/>
  <c r="G795" i="3"/>
  <c r="D1526" i="3"/>
  <c r="D1525" i="3"/>
  <c r="G1228" i="3"/>
  <c r="G1229" i="3"/>
  <c r="H1471" i="3"/>
  <c r="H1472" i="3"/>
  <c r="B823" i="3"/>
  <c r="B822" i="3"/>
  <c r="D212" i="3"/>
  <c r="D213" i="3"/>
  <c r="F352" i="3"/>
  <c r="F353" i="3"/>
  <c r="E72" i="5"/>
  <c r="E73" i="5"/>
  <c r="D239" i="5"/>
  <c r="D238" i="5"/>
  <c r="B320" i="5"/>
  <c r="B319" i="5"/>
  <c r="G778" i="5"/>
  <c r="G779" i="5"/>
  <c r="E509" i="5"/>
  <c r="E508" i="5"/>
  <c r="E590" i="5"/>
  <c r="E589" i="5"/>
  <c r="E617" i="5"/>
  <c r="E616" i="5"/>
  <c r="G805" i="5"/>
  <c r="G806" i="5"/>
  <c r="G833" i="5"/>
  <c r="G832" i="5"/>
  <c r="B138" i="3"/>
  <c r="B139" i="3"/>
  <c r="H362" i="3"/>
  <c r="H363" i="3"/>
  <c r="G497" i="3"/>
  <c r="G498" i="3"/>
  <c r="F598" i="3"/>
  <c r="F599" i="3"/>
  <c r="D298" i="3"/>
  <c r="D297" i="3"/>
  <c r="H487" i="3"/>
  <c r="H488" i="3"/>
  <c r="H1023" i="3"/>
  <c r="E1050" i="3"/>
  <c r="F1066" i="3"/>
  <c r="F1067" i="3"/>
  <c r="C44" i="3"/>
  <c r="C45" i="3"/>
  <c r="B878" i="3"/>
  <c r="B877" i="3"/>
  <c r="F806" i="1"/>
  <c r="F805" i="1"/>
  <c r="G703" i="2"/>
  <c r="G702" i="2"/>
  <c r="D983" i="2"/>
  <c r="D982" i="2"/>
  <c r="F387" i="2"/>
  <c r="F386" i="2"/>
  <c r="D786" i="2"/>
  <c r="D787" i="2"/>
  <c r="D898" i="2"/>
  <c r="D899" i="2"/>
  <c r="H731" i="2"/>
  <c r="H730" i="2"/>
  <c r="E602" i="4"/>
  <c r="E601" i="4"/>
  <c r="E1090" i="4"/>
  <c r="E1089" i="4"/>
  <c r="F266" i="4"/>
  <c r="F267" i="4"/>
  <c r="E378" i="4"/>
  <c r="E377" i="4"/>
  <c r="D1297" i="1"/>
  <c r="D1298" i="1"/>
  <c r="G100" i="4"/>
  <c r="G101" i="4"/>
  <c r="D1279" i="4"/>
  <c r="D1278" i="4"/>
  <c r="D129" i="5"/>
  <c r="D128" i="5"/>
  <c r="C1297" i="1"/>
  <c r="C1298" i="1"/>
  <c r="C1405" i="1"/>
  <c r="C1406" i="1"/>
  <c r="E1568" i="1"/>
  <c r="E1567" i="1"/>
  <c r="B1053" i="1"/>
  <c r="B1054" i="1"/>
  <c r="H1054" i="1"/>
  <c r="H1053" i="1"/>
  <c r="F972" i="1"/>
  <c r="F973" i="1"/>
  <c r="C973" i="1"/>
  <c r="C972" i="1"/>
  <c r="H1206" i="2"/>
  <c r="H1207" i="2"/>
  <c r="H1174" i="3"/>
  <c r="H1175" i="3"/>
  <c r="C877" i="3"/>
  <c r="C878" i="3"/>
  <c r="H904" i="3"/>
  <c r="H905" i="3"/>
  <c r="E461" i="3"/>
  <c r="E460" i="3"/>
  <c r="F101" i="5"/>
  <c r="F100" i="5"/>
  <c r="C833" i="5"/>
  <c r="C832" i="5"/>
  <c r="E1487" i="1"/>
  <c r="E1486" i="1"/>
  <c r="E241" i="3"/>
  <c r="E240" i="3"/>
  <c r="G1198" i="4"/>
  <c r="G1197" i="4"/>
  <c r="G711" i="4"/>
  <c r="G712" i="4"/>
  <c r="F302" i="1"/>
  <c r="F303" i="1"/>
  <c r="B452" i="1"/>
  <c r="B453" i="1"/>
  <c r="R2377" i="1"/>
  <c r="R2382" i="1"/>
  <c r="D647" i="1"/>
  <c r="D648" i="1"/>
  <c r="F722" i="1"/>
  <c r="F721" i="1"/>
  <c r="B1225" i="1"/>
  <c r="B1226" i="1"/>
  <c r="B1433" i="1"/>
  <c r="B1432" i="1"/>
  <c r="G1622" i="1"/>
  <c r="G1621" i="1"/>
  <c r="E1595" i="1"/>
  <c r="E1594" i="1"/>
  <c r="H1487" i="1"/>
  <c r="H1486" i="1"/>
  <c r="G123" i="6"/>
  <c r="G124" i="6"/>
  <c r="F1433" i="1"/>
  <c r="F1432" i="1"/>
  <c r="G1000" i="1"/>
  <c r="G999" i="1"/>
  <c r="C945" i="1"/>
  <c r="C946" i="1"/>
  <c r="G750" i="1"/>
  <c r="G749" i="1"/>
  <c r="E694" i="1"/>
  <c r="E693" i="1"/>
  <c r="E611" i="1"/>
  <c r="E610" i="1"/>
  <c r="C555" i="1"/>
  <c r="C554" i="1"/>
  <c r="F1486" i="1"/>
  <c r="F1487" i="1"/>
  <c r="D1108" i="1"/>
  <c r="D1107" i="1"/>
  <c r="H945" i="1"/>
  <c r="H946" i="1"/>
  <c r="F777" i="1"/>
  <c r="F778" i="1"/>
  <c r="D611" i="1"/>
  <c r="D610" i="1"/>
  <c r="B124" i="6"/>
  <c r="B123" i="6"/>
  <c r="H1162" i="1"/>
  <c r="H1161" i="1"/>
  <c r="F749" i="1"/>
  <c r="F750" i="1"/>
  <c r="E722" i="1"/>
  <c r="E721" i="1"/>
  <c r="E498" i="1"/>
  <c r="E499" i="1"/>
  <c r="H1255" i="3"/>
  <c r="H1256" i="3"/>
  <c r="G917" i="1"/>
  <c r="G918" i="1"/>
  <c r="D247" i="1"/>
  <c r="D246" i="1"/>
  <c r="B294" i="4"/>
  <c r="B293" i="4"/>
  <c r="E1374" i="2"/>
  <c r="E1375" i="2"/>
  <c r="C1318" i="2"/>
  <c r="C1319" i="2"/>
  <c r="B1290" i="2"/>
  <c r="B1291" i="2"/>
  <c r="B1150" i="2"/>
  <c r="B1151" i="2"/>
  <c r="AU2210" i="2"/>
  <c r="E587" i="2"/>
  <c r="E588" i="2"/>
  <c r="G273" i="2"/>
  <c r="G272" i="2"/>
  <c r="G186" i="2"/>
  <c r="G187" i="2"/>
  <c r="G72" i="2"/>
  <c r="G73" i="2"/>
  <c r="G851" i="3"/>
  <c r="G850" i="3"/>
  <c r="F823" i="3"/>
  <c r="F822" i="3"/>
  <c r="C515" i="3"/>
  <c r="C514" i="3"/>
  <c r="F380" i="3"/>
  <c r="F379" i="3"/>
  <c r="E1363" i="3"/>
  <c r="E1364" i="3"/>
  <c r="F931" i="3"/>
  <c r="F932" i="3"/>
  <c r="C212" i="5"/>
  <c r="C211" i="5"/>
  <c r="H239" i="5"/>
  <c r="H238" i="5"/>
  <c r="E292" i="5"/>
  <c r="E293" i="5"/>
  <c r="F320" i="5"/>
  <c r="F319" i="5"/>
  <c r="C779" i="5"/>
  <c r="C778" i="5"/>
  <c r="C508" i="5"/>
  <c r="C509" i="5"/>
  <c r="E562" i="5"/>
  <c r="E563" i="5"/>
  <c r="E644" i="5"/>
  <c r="E643" i="5"/>
  <c r="E725" i="5"/>
  <c r="E724" i="5"/>
  <c r="F326" i="3"/>
  <c r="F325" i="3"/>
  <c r="G461" i="3"/>
  <c r="G460" i="3"/>
  <c r="C552" i="3"/>
  <c r="C553" i="3"/>
  <c r="D627" i="3"/>
  <c r="D628" i="3"/>
  <c r="Y2285" i="3"/>
  <c r="Y2301" i="3"/>
  <c r="J687" i="3"/>
  <c r="H212" i="3"/>
  <c r="H213" i="3"/>
  <c r="H542" i="3"/>
  <c r="H543" i="3"/>
  <c r="E598" i="3"/>
  <c r="E599" i="3"/>
  <c r="C850" i="3"/>
  <c r="C851" i="3"/>
  <c r="B1039" i="3"/>
  <c r="B1040" i="3"/>
  <c r="D1499" i="3"/>
  <c r="D1498" i="3"/>
  <c r="G44" i="3"/>
  <c r="G45" i="3"/>
  <c r="G406" i="3"/>
  <c r="G407" i="3"/>
  <c r="H460" i="3"/>
  <c r="H461" i="3"/>
  <c r="G995" i="3"/>
  <c r="G996" i="3"/>
  <c r="B1157" i="3"/>
  <c r="B1158" i="3"/>
  <c r="H55" i="1"/>
  <c r="H56" i="1"/>
  <c r="C815" i="1"/>
  <c r="C816" i="1"/>
  <c r="G654" i="2"/>
  <c r="G655" i="2"/>
  <c r="H992" i="2"/>
  <c r="H993" i="2"/>
  <c r="D964" i="2"/>
  <c r="D965" i="2"/>
  <c r="H82" i="2"/>
  <c r="H83" i="2"/>
  <c r="F167" i="2"/>
  <c r="F168" i="2"/>
  <c r="D852" i="2"/>
  <c r="D853" i="2"/>
  <c r="C27" i="3"/>
  <c r="C28" i="3"/>
  <c r="H527" i="4"/>
  <c r="H528" i="4"/>
  <c r="F583" i="4"/>
  <c r="F584" i="4"/>
  <c r="H499" i="4"/>
  <c r="H500" i="4"/>
  <c r="C166" i="5"/>
  <c r="C167" i="5"/>
  <c r="D166" i="5"/>
  <c r="D167" i="5"/>
  <c r="G248" i="5"/>
  <c r="G249" i="5"/>
  <c r="E437" i="5"/>
  <c r="E438" i="5"/>
  <c r="G653" i="5"/>
  <c r="G654" i="5"/>
  <c r="E331" i="4"/>
  <c r="E332" i="4"/>
  <c r="F415" i="4"/>
  <c r="F416" i="4"/>
  <c r="D883" i="4"/>
  <c r="D884" i="4"/>
  <c r="C1018" i="4"/>
  <c r="C1019" i="4"/>
  <c r="F1018" i="4"/>
  <c r="F1019" i="4"/>
  <c r="B1307" i="1"/>
  <c r="B1308" i="1"/>
  <c r="H1307" i="1"/>
  <c r="H1308" i="1"/>
  <c r="D138" i="4"/>
  <c r="D139" i="4"/>
  <c r="C356" i="5"/>
  <c r="C357" i="5"/>
  <c r="C599" i="5"/>
  <c r="C600" i="5"/>
  <c r="E52" i="6"/>
  <c r="E53" i="6"/>
  <c r="F52" i="6"/>
  <c r="F53" i="6"/>
  <c r="D1104" i="2"/>
  <c r="D1105" i="2"/>
  <c r="B1272" i="2"/>
  <c r="B1273" i="2"/>
  <c r="F1272" i="2"/>
  <c r="F1273" i="2"/>
  <c r="B2393" i="1"/>
  <c r="B2394" i="1"/>
  <c r="C592" i="1"/>
  <c r="C593" i="1"/>
  <c r="G1307" i="1"/>
  <c r="G1308" i="1"/>
  <c r="F1577" i="1"/>
  <c r="F1578" i="1"/>
  <c r="C1104" i="2"/>
  <c r="C1105" i="2"/>
  <c r="B1415" i="1"/>
  <c r="B1416" i="1"/>
  <c r="D1415" i="1"/>
  <c r="D1416" i="1"/>
  <c r="G1063" i="1"/>
  <c r="G1064" i="1"/>
  <c r="G1126" i="4"/>
  <c r="G1127" i="4"/>
  <c r="C1153" i="4"/>
  <c r="C1154" i="4"/>
  <c r="B982" i="1"/>
  <c r="B983" i="1"/>
  <c r="G982" i="1"/>
  <c r="G983" i="1"/>
  <c r="D625" i="2"/>
  <c r="D626" i="2"/>
  <c r="H968" i="3"/>
  <c r="H969" i="3"/>
  <c r="D1211" i="3"/>
  <c r="D1212" i="3"/>
  <c r="D1130" i="3"/>
  <c r="D1131" i="3"/>
  <c r="E166" i="3"/>
  <c r="E167" i="3"/>
  <c r="E524" i="3"/>
  <c r="E525" i="3"/>
  <c r="C302" i="5"/>
  <c r="C303" i="5"/>
  <c r="D110" i="5"/>
  <c r="D111" i="5"/>
  <c r="E896" i="5"/>
  <c r="E897" i="5"/>
  <c r="C1508" i="3"/>
  <c r="C1509" i="3"/>
  <c r="D1265" i="3"/>
  <c r="D1266" i="3"/>
  <c r="B749" i="3"/>
  <c r="B750" i="3"/>
  <c r="G166" i="3"/>
  <c r="G167" i="3"/>
  <c r="E1481" i="3"/>
  <c r="E1482" i="3"/>
  <c r="C79" i="6"/>
  <c r="C80" i="6"/>
  <c r="G1180" i="4"/>
  <c r="G1181" i="4"/>
  <c r="G555" i="4"/>
  <c r="G556" i="4"/>
  <c r="B194" i="4"/>
  <c r="B195" i="4"/>
  <c r="G829" i="4"/>
  <c r="G830" i="4"/>
  <c r="E1045" i="4"/>
  <c r="E1046" i="4"/>
  <c r="C1099" i="4"/>
  <c r="C1100" i="4"/>
  <c r="AC2109" i="4"/>
  <c r="J1137" i="4"/>
  <c r="F452" i="1"/>
  <c r="F453" i="1"/>
  <c r="H452" i="1"/>
  <c r="H453" i="1"/>
  <c r="I644" i="1"/>
  <c r="H647" i="1"/>
  <c r="H648" i="1"/>
  <c r="D703" i="1"/>
  <c r="D704" i="1"/>
  <c r="F703" i="1"/>
  <c r="F704" i="1"/>
  <c r="D1036" i="1"/>
  <c r="D1037" i="1"/>
  <c r="F1036" i="1"/>
  <c r="F1037" i="1"/>
  <c r="F1523" i="1"/>
  <c r="F1524" i="1"/>
  <c r="F610" i="1"/>
  <c r="B198" i="1"/>
  <c r="H82" i="5"/>
  <c r="H83" i="5"/>
  <c r="C110" i="5"/>
  <c r="C111" i="5"/>
  <c r="E110" i="5"/>
  <c r="E111" i="5"/>
  <c r="G110" i="5"/>
  <c r="G111" i="5"/>
  <c r="E221" i="5"/>
  <c r="E222" i="5"/>
  <c r="F248" i="5"/>
  <c r="F249" i="5"/>
  <c r="B383" i="5"/>
  <c r="B384" i="5"/>
  <c r="F383" i="5"/>
  <c r="F384" i="5"/>
  <c r="B410" i="5"/>
  <c r="B411" i="5"/>
  <c r="C491" i="5"/>
  <c r="C492" i="5"/>
  <c r="C761" i="5"/>
  <c r="C762" i="5"/>
  <c r="C82" i="3"/>
  <c r="C83" i="3"/>
  <c r="C470" i="3"/>
  <c r="C471" i="3"/>
  <c r="H524" i="3"/>
  <c r="H525" i="3"/>
  <c r="D552" i="3"/>
  <c r="D553" i="3"/>
  <c r="C749" i="3"/>
  <c r="C750" i="3"/>
  <c r="F1022" i="3"/>
  <c r="F1023" i="3"/>
  <c r="C1238" i="3"/>
  <c r="C1239" i="3"/>
  <c r="B389" i="3"/>
  <c r="B390" i="3"/>
  <c r="F995" i="3"/>
  <c r="F996" i="3"/>
  <c r="B1211" i="3"/>
  <c r="B1212" i="3"/>
  <c r="F528" i="4"/>
  <c r="B444" i="4"/>
  <c r="F640" i="4"/>
  <c r="B938" i="4"/>
  <c r="D1046" i="4"/>
  <c r="F1046" i="4"/>
  <c r="H99" i="6"/>
  <c r="H105" i="6"/>
  <c r="H100" i="6"/>
  <c r="B99" i="6"/>
  <c r="B105" i="6"/>
  <c r="B100" i="6"/>
  <c r="F19" i="6"/>
  <c r="I19" i="6"/>
  <c r="F24" i="6"/>
  <c r="F18" i="6"/>
  <c r="I18" i="6"/>
  <c r="F1600" i="1"/>
  <c r="F1599" i="1"/>
  <c r="I1599" i="1"/>
  <c r="G1462" i="1"/>
  <c r="G1461" i="1"/>
  <c r="G1464" i="1"/>
  <c r="G1463" i="1"/>
  <c r="G1468" i="1"/>
  <c r="G1465" i="1"/>
  <c r="G1436" i="1"/>
  <c r="G1441" i="1"/>
  <c r="G1438" i="1"/>
  <c r="G1435" i="1"/>
  <c r="G1434" i="1"/>
  <c r="G1437" i="1"/>
  <c r="G1409" i="1"/>
  <c r="G1408" i="1"/>
  <c r="G1414" i="1"/>
  <c r="G1328" i="1"/>
  <c r="G1327" i="1"/>
  <c r="C1327" i="1"/>
  <c r="C1328" i="1"/>
  <c r="E1191" i="1"/>
  <c r="E1192" i="1"/>
  <c r="F1138" i="1"/>
  <c r="F1137" i="1"/>
  <c r="F1143" i="1"/>
  <c r="G1083" i="1"/>
  <c r="G1084" i="1"/>
  <c r="G1085" i="1"/>
  <c r="G1086" i="1"/>
  <c r="G1089" i="1"/>
  <c r="G1082" i="1"/>
  <c r="C1083" i="1"/>
  <c r="C1084" i="1"/>
  <c r="C1085" i="1"/>
  <c r="C1086" i="1"/>
  <c r="C1089" i="1"/>
  <c r="C1082" i="1"/>
  <c r="H1030" i="1"/>
  <c r="H1031" i="1"/>
  <c r="E894" i="1"/>
  <c r="E893" i="1"/>
  <c r="F893" i="1"/>
  <c r="I893" i="1"/>
  <c r="E892" i="1"/>
  <c r="B702" i="1"/>
  <c r="B695" i="1"/>
  <c r="B699" i="1"/>
  <c r="B696" i="1"/>
  <c r="G674" i="1"/>
  <c r="G669" i="1"/>
  <c r="G668" i="1"/>
  <c r="C668" i="1"/>
  <c r="C674" i="1"/>
  <c r="C669" i="1"/>
  <c r="B640" i="1"/>
  <c r="B646" i="1"/>
  <c r="B639" i="1"/>
  <c r="B643" i="1"/>
  <c r="G472" i="1"/>
  <c r="G475" i="1"/>
  <c r="G474" i="1"/>
  <c r="G479" i="1"/>
  <c r="G476" i="1"/>
  <c r="G473" i="1"/>
  <c r="F448" i="1"/>
  <c r="F447" i="1"/>
  <c r="F444" i="1"/>
  <c r="F388" i="1"/>
  <c r="F389" i="1"/>
  <c r="F390" i="1"/>
  <c r="F391" i="1"/>
  <c r="F392" i="1"/>
  <c r="F395" i="1"/>
  <c r="B389" i="1"/>
  <c r="B392" i="1"/>
  <c r="B391" i="1"/>
  <c r="B388" i="1"/>
  <c r="B390" i="1"/>
  <c r="F335" i="1"/>
  <c r="F333" i="1"/>
  <c r="B333" i="1"/>
  <c r="I333" i="1"/>
  <c r="B336" i="1"/>
  <c r="I336" i="1"/>
  <c r="B335" i="1"/>
  <c r="B334" i="1"/>
  <c r="C308" i="1"/>
  <c r="C307" i="1"/>
  <c r="C305" i="1"/>
  <c r="H250" i="1"/>
  <c r="I250" i="1"/>
  <c r="H249" i="1"/>
  <c r="H252" i="1"/>
  <c r="H251" i="1"/>
  <c r="H248" i="1"/>
  <c r="I248" i="1"/>
  <c r="D218" i="1"/>
  <c r="D221" i="1"/>
  <c r="F221" i="1"/>
  <c r="G221" i="1"/>
  <c r="I221" i="1"/>
  <c r="D220" i="1"/>
  <c r="D217" i="1"/>
  <c r="D219" i="1"/>
  <c r="G166" i="1"/>
  <c r="G159" i="1"/>
  <c r="G160" i="1"/>
  <c r="G161" i="1"/>
  <c r="G162" i="1"/>
  <c r="G163" i="1"/>
  <c r="C166" i="1"/>
  <c r="C159" i="1"/>
  <c r="C160" i="1"/>
  <c r="C161" i="1"/>
  <c r="E161" i="1"/>
  <c r="I161" i="1"/>
  <c r="C162" i="1"/>
  <c r="C163" i="1"/>
  <c r="E105" i="1"/>
  <c r="E111" i="1"/>
  <c r="E103" i="1"/>
  <c r="E106" i="1"/>
  <c r="E1368" i="4"/>
  <c r="E1363" i="4"/>
  <c r="G1342" i="4"/>
  <c r="G1343" i="4"/>
  <c r="B1229" i="4"/>
  <c r="I1229" i="4"/>
  <c r="B1227" i="4"/>
  <c r="I1227" i="4"/>
  <c r="F1202" i="4"/>
  <c r="I1202" i="4"/>
  <c r="F1200" i="4"/>
  <c r="G1200" i="4"/>
  <c r="I1200" i="4"/>
  <c r="C904" i="4"/>
  <c r="C902" i="4"/>
  <c r="I902" i="4"/>
  <c r="F875" i="4"/>
  <c r="I875" i="4"/>
  <c r="F878" i="4"/>
  <c r="I878" i="4"/>
  <c r="F879" i="4"/>
  <c r="I879" i="4"/>
  <c r="E852" i="4"/>
  <c r="I852" i="4"/>
  <c r="E850" i="4"/>
  <c r="I850" i="4"/>
  <c r="C768" i="4"/>
  <c r="I768" i="4"/>
  <c r="C774" i="4"/>
  <c r="H741" i="4"/>
  <c r="I741" i="4"/>
  <c r="H742" i="4"/>
  <c r="I742" i="4"/>
  <c r="H747" i="4"/>
  <c r="C604" i="4"/>
  <c r="I604" i="4"/>
  <c r="C610" i="4"/>
  <c r="C465" i="4"/>
  <c r="C467" i="4"/>
  <c r="I467" i="4"/>
  <c r="D383" i="4"/>
  <c r="I383" i="4"/>
  <c r="D381" i="4"/>
  <c r="I381" i="4"/>
  <c r="F327" i="4"/>
  <c r="F324" i="4"/>
  <c r="I324" i="4"/>
  <c r="G1405" i="2"/>
  <c r="G1406" i="2"/>
  <c r="G1411" i="2"/>
  <c r="C1405" i="2"/>
  <c r="E1405" i="2"/>
  <c r="I1405" i="2"/>
  <c r="C1406" i="2"/>
  <c r="E1406" i="2"/>
  <c r="I1406" i="2"/>
  <c r="C1411" i="2"/>
  <c r="F1126" i="2"/>
  <c r="F1131" i="2"/>
  <c r="F1125" i="2"/>
  <c r="B1126" i="2"/>
  <c r="B1131" i="2"/>
  <c r="B1125" i="2"/>
  <c r="G1041" i="2"/>
  <c r="G1042" i="2"/>
  <c r="G1047" i="2"/>
  <c r="B1654" i="1"/>
  <c r="I1655" i="1"/>
  <c r="B1650" i="1"/>
  <c r="B1652" i="1"/>
  <c r="B1653" i="1"/>
  <c r="B1651" i="1"/>
  <c r="B1657" i="1"/>
  <c r="F1439" i="2"/>
  <c r="F1433" i="2"/>
  <c r="F1436" i="2"/>
  <c r="F1432" i="2"/>
  <c r="F1434" i="2"/>
  <c r="F1435" i="2"/>
  <c r="E1391" i="4"/>
  <c r="E1395" i="4"/>
  <c r="E1390" i="4"/>
  <c r="E1389" i="4"/>
  <c r="E1388" i="4"/>
  <c r="E1392" i="4"/>
  <c r="H1396" i="4"/>
  <c r="H1397" i="4"/>
  <c r="G922" i="5"/>
  <c r="G916" i="5"/>
  <c r="G915" i="5"/>
  <c r="G917" i="5"/>
  <c r="G918" i="5"/>
  <c r="G919" i="5"/>
  <c r="C153" i="6"/>
  <c r="C154" i="6"/>
  <c r="C155" i="6"/>
  <c r="C159" i="6"/>
  <c r="C156" i="6"/>
  <c r="C152" i="6"/>
  <c r="F160" i="6"/>
  <c r="F161" i="6"/>
  <c r="B425" i="1"/>
  <c r="H816" i="1"/>
  <c r="F85" i="1"/>
  <c r="G816" i="1"/>
  <c r="G369" i="2"/>
  <c r="D455" i="2"/>
  <c r="H455" i="2"/>
  <c r="D513" i="2"/>
  <c r="H513" i="2"/>
  <c r="H570" i="2"/>
  <c r="D598" i="2"/>
  <c r="H598" i="2"/>
  <c r="E626" i="2"/>
  <c r="D655" i="2"/>
  <c r="H655" i="2"/>
  <c r="E684" i="2"/>
  <c r="D713" i="2"/>
  <c r="H713" i="2"/>
  <c r="E741" i="2"/>
  <c r="D769" i="2"/>
  <c r="H769" i="2"/>
  <c r="E797" i="2"/>
  <c r="G825" i="2"/>
  <c r="H853" i="2"/>
  <c r="E570" i="2"/>
  <c r="C655" i="2"/>
  <c r="F111" i="3"/>
  <c r="B525" i="3"/>
  <c r="F525" i="3"/>
  <c r="E304" i="4"/>
  <c r="E1289" i="4"/>
  <c r="G1019" i="4"/>
  <c r="D1605" i="1"/>
  <c r="D195" i="5"/>
  <c r="D1389" i="1"/>
  <c r="D1049" i="2"/>
  <c r="B1357" i="2"/>
  <c r="D1357" i="2"/>
  <c r="F1357" i="2"/>
  <c r="H1357" i="2"/>
  <c r="C1482" i="3"/>
  <c r="G1235" i="4"/>
  <c r="H55" i="4"/>
  <c r="B139" i="4"/>
  <c r="H223" i="4"/>
  <c r="I223" i="4"/>
  <c r="F1254" i="1"/>
  <c r="F195" i="3"/>
  <c r="E167" i="5"/>
  <c r="B942" i="3"/>
  <c r="C969" i="3"/>
  <c r="H251" i="3"/>
  <c r="E105" i="6"/>
  <c r="E98" i="6"/>
  <c r="E100" i="6"/>
  <c r="E99" i="6"/>
  <c r="H72" i="6"/>
  <c r="H78" i="6"/>
  <c r="H73" i="6"/>
  <c r="E1624" i="1"/>
  <c r="G1624" i="1"/>
  <c r="I1624" i="1"/>
  <c r="E1630" i="1"/>
  <c r="E1597" i="1"/>
  <c r="E1598" i="1"/>
  <c r="I1598" i="1"/>
  <c r="D1543" i="1"/>
  <c r="D1542" i="1"/>
  <c r="D1545" i="1"/>
  <c r="D1544" i="1"/>
  <c r="D1549" i="1"/>
  <c r="D1546" i="1"/>
  <c r="E1517" i="1"/>
  <c r="E1516" i="1"/>
  <c r="E1522" i="1"/>
  <c r="E1490" i="1"/>
  <c r="E1492" i="1"/>
  <c r="E1491" i="1"/>
  <c r="E1488" i="1"/>
  <c r="G1488" i="1"/>
  <c r="I1488" i="1"/>
  <c r="B1489" i="1"/>
  <c r="I1493" i="1"/>
  <c r="F1415" i="1"/>
  <c r="F1416" i="1"/>
  <c r="F1333" i="1"/>
  <c r="F1328" i="1"/>
  <c r="F1327" i="1"/>
  <c r="B1328" i="1"/>
  <c r="B1327" i="1"/>
  <c r="I1331" i="1"/>
  <c r="B1333" i="1"/>
  <c r="E1245" i="1"/>
  <c r="I1245" i="1"/>
  <c r="E1248" i="1"/>
  <c r="E1247" i="1"/>
  <c r="E1246" i="1"/>
  <c r="E1249" i="1"/>
  <c r="G1218" i="1"/>
  <c r="G1221" i="1"/>
  <c r="G1220" i="1"/>
  <c r="G1217" i="1"/>
  <c r="I1217" i="1"/>
  <c r="G1219" i="1"/>
  <c r="C1219" i="1"/>
  <c r="C1218" i="1"/>
  <c r="C1221" i="1"/>
  <c r="E1221" i="1"/>
  <c r="I1221" i="1"/>
  <c r="C1220" i="1"/>
  <c r="E1220" i="1"/>
  <c r="I1220" i="1"/>
  <c r="H1194" i="1"/>
  <c r="H1191" i="1"/>
  <c r="H1197" i="1"/>
  <c r="H1190" i="1"/>
  <c r="I1190" i="1"/>
  <c r="D1193" i="1"/>
  <c r="D1192" i="1"/>
  <c r="I1192" i="1"/>
  <c r="D1197" i="1"/>
  <c r="E1143" i="1"/>
  <c r="E1136" i="1"/>
  <c r="E1137" i="1"/>
  <c r="E1138" i="1"/>
  <c r="E1139" i="1"/>
  <c r="E1140" i="1"/>
  <c r="F1089" i="1"/>
  <c r="F1084" i="1"/>
  <c r="F1083" i="1"/>
  <c r="G1029" i="1"/>
  <c r="G1032" i="1"/>
  <c r="G1031" i="1"/>
  <c r="G1035" i="1"/>
  <c r="G1028" i="1"/>
  <c r="G1030" i="1"/>
  <c r="E864" i="1"/>
  <c r="E867" i="1"/>
  <c r="E866" i="1"/>
  <c r="E863" i="1"/>
  <c r="E865" i="1"/>
  <c r="F669" i="1"/>
  <c r="F674" i="1"/>
  <c r="F671" i="1"/>
  <c r="F668" i="1"/>
  <c r="F667" i="1"/>
  <c r="F670" i="1"/>
  <c r="B669" i="1"/>
  <c r="B668" i="1"/>
  <c r="B670" i="1"/>
  <c r="B671" i="1"/>
  <c r="B674" i="1"/>
  <c r="B667" i="1"/>
  <c r="I672" i="1"/>
  <c r="C529" i="1"/>
  <c r="I529" i="1"/>
  <c r="C530" i="1"/>
  <c r="I530" i="1"/>
  <c r="C531" i="1"/>
  <c r="I531" i="1"/>
  <c r="C532" i="1"/>
  <c r="I532" i="1"/>
  <c r="C535" i="1"/>
  <c r="C528" i="1"/>
  <c r="I528" i="1"/>
  <c r="F472" i="1"/>
  <c r="F476" i="1"/>
  <c r="F475" i="1"/>
  <c r="E444" i="1"/>
  <c r="E447" i="1"/>
  <c r="E446" i="1"/>
  <c r="E451" i="1"/>
  <c r="E448" i="1"/>
  <c r="G448" i="1"/>
  <c r="I448" i="1"/>
  <c r="E445" i="1"/>
  <c r="E390" i="1"/>
  <c r="E389" i="1"/>
  <c r="E395" i="1"/>
  <c r="G364" i="1"/>
  <c r="G363" i="1"/>
  <c r="G361" i="1"/>
  <c r="E335" i="1"/>
  <c r="E334" i="1"/>
  <c r="E339" i="1"/>
  <c r="B304" i="1"/>
  <c r="B306" i="1"/>
  <c r="B305" i="1"/>
  <c r="B308" i="1"/>
  <c r="B307" i="1"/>
  <c r="C251" i="1"/>
  <c r="I251" i="1"/>
  <c r="C249" i="1"/>
  <c r="I249" i="1"/>
  <c r="C252" i="1"/>
  <c r="I252" i="1"/>
  <c r="G220" i="1"/>
  <c r="G218" i="1"/>
  <c r="J175" i="1"/>
  <c r="H2366" i="1"/>
  <c r="F159" i="1"/>
  <c r="F163" i="1"/>
  <c r="F162" i="1"/>
  <c r="B163" i="1"/>
  <c r="B162" i="1"/>
  <c r="B159" i="1"/>
  <c r="H111" i="1"/>
  <c r="H108" i="1"/>
  <c r="H103" i="1"/>
  <c r="H105" i="1"/>
  <c r="H104" i="1"/>
  <c r="H107" i="1"/>
  <c r="H106" i="1"/>
  <c r="D105" i="1"/>
  <c r="D104" i="1"/>
  <c r="D107" i="1"/>
  <c r="D106" i="1"/>
  <c r="D111" i="1"/>
  <c r="D108" i="1"/>
  <c r="D103" i="1"/>
  <c r="G1363" i="4"/>
  <c r="G1362" i="4"/>
  <c r="I1362" i="4"/>
  <c r="F1337" i="4"/>
  <c r="I1337" i="4"/>
  <c r="F1335" i="4"/>
  <c r="I1335" i="4"/>
  <c r="H1315" i="4"/>
  <c r="H1316" i="4"/>
  <c r="C1310" i="4"/>
  <c r="C1308" i="4"/>
  <c r="E1308" i="4"/>
  <c r="I1308" i="4"/>
  <c r="F1288" i="4"/>
  <c r="F1289" i="4"/>
  <c r="E1233" i="4"/>
  <c r="E1228" i="4"/>
  <c r="I1228" i="4"/>
  <c r="F1121" i="4"/>
  <c r="I1121" i="4"/>
  <c r="F1119" i="4"/>
  <c r="I1119" i="4"/>
  <c r="C1095" i="4"/>
  <c r="I1095" i="4"/>
  <c r="C1094" i="4"/>
  <c r="F1067" i="4"/>
  <c r="I1067" i="4"/>
  <c r="F1065" i="4"/>
  <c r="I1065" i="4"/>
  <c r="D1037" i="4"/>
  <c r="H1037" i="4"/>
  <c r="I1037" i="4"/>
  <c r="D1040" i="4"/>
  <c r="D1041" i="4"/>
  <c r="C822" i="4"/>
  <c r="I822" i="4"/>
  <c r="C823" i="4"/>
  <c r="I823" i="4"/>
  <c r="B771" i="4"/>
  <c r="I771" i="4"/>
  <c r="B769" i="4"/>
  <c r="I769" i="4"/>
  <c r="B767" i="4"/>
  <c r="I767" i="4"/>
  <c r="C660" i="4"/>
  <c r="I660" i="4"/>
  <c r="C661" i="4"/>
  <c r="I661" i="4"/>
  <c r="E577" i="4"/>
  <c r="E575" i="4"/>
  <c r="I575" i="4"/>
  <c r="C521" i="4"/>
  <c r="C519" i="4"/>
  <c r="I519" i="4"/>
  <c r="F491" i="4"/>
  <c r="I491" i="4"/>
  <c r="F494" i="4"/>
  <c r="I494" i="4"/>
  <c r="F495" i="4"/>
  <c r="I495" i="4"/>
  <c r="B464" i="4"/>
  <c r="I464" i="4"/>
  <c r="B465" i="4"/>
  <c r="I465" i="4"/>
  <c r="B470" i="4"/>
  <c r="F299" i="4"/>
  <c r="I299" i="4"/>
  <c r="F298" i="4"/>
  <c r="I298" i="4"/>
  <c r="F295" i="4"/>
  <c r="I295" i="4"/>
  <c r="G248" i="4"/>
  <c r="G243" i="4"/>
  <c r="G242" i="4"/>
  <c r="C248" i="4"/>
  <c r="C243" i="4"/>
  <c r="C242" i="4"/>
  <c r="I242" i="4"/>
  <c r="C158" i="4"/>
  <c r="I158" i="4"/>
  <c r="C161" i="4"/>
  <c r="I161" i="4"/>
  <c r="C162" i="4"/>
  <c r="I162" i="4"/>
  <c r="F1407" i="2"/>
  <c r="F1408" i="2"/>
  <c r="F1404" i="2"/>
  <c r="E1131" i="2"/>
  <c r="E1125" i="2"/>
  <c r="E1126" i="2"/>
  <c r="F1041" i="2"/>
  <c r="F1044" i="2"/>
  <c r="I1044" i="2"/>
  <c r="F932" i="2"/>
  <c r="F928" i="2"/>
  <c r="F931" i="2"/>
  <c r="B928" i="2"/>
  <c r="I928" i="2"/>
  <c r="B931" i="2"/>
  <c r="I931" i="2"/>
  <c r="B932" i="2"/>
  <c r="F844" i="2"/>
  <c r="F847" i="2"/>
  <c r="F848" i="2"/>
  <c r="B848" i="2"/>
  <c r="B844" i="2"/>
  <c r="I844" i="2"/>
  <c r="B847" i="2"/>
  <c r="I847" i="2"/>
  <c r="C508" i="2"/>
  <c r="C504" i="2"/>
  <c r="C507" i="2"/>
  <c r="E1649" i="1"/>
  <c r="E1648" i="1"/>
  <c r="B1552" i="3"/>
  <c r="B1553" i="3"/>
  <c r="H1653" i="1"/>
  <c r="H1651" i="1"/>
  <c r="H1652" i="1"/>
  <c r="H1654" i="1"/>
  <c r="H1650" i="1"/>
  <c r="H1657" i="1"/>
  <c r="D1432" i="2"/>
  <c r="D1434" i="2"/>
  <c r="D1433" i="2"/>
  <c r="D1439" i="2"/>
  <c r="D1435" i="2"/>
  <c r="D1436" i="2"/>
  <c r="G1440" i="2"/>
  <c r="G1441" i="2"/>
  <c r="G1561" i="3"/>
  <c r="G1557" i="3"/>
  <c r="G1558" i="3"/>
  <c r="G1555" i="3"/>
  <c r="G1556" i="3"/>
  <c r="G1554" i="3"/>
  <c r="C1395" i="4"/>
  <c r="C1388" i="4"/>
  <c r="C1389" i="4"/>
  <c r="C1391" i="4"/>
  <c r="C1392" i="4"/>
  <c r="C1390" i="4"/>
  <c r="F1396" i="4"/>
  <c r="F1397" i="4"/>
  <c r="E916" i="5"/>
  <c r="E915" i="5"/>
  <c r="E918" i="5"/>
  <c r="E917" i="5"/>
  <c r="E919" i="5"/>
  <c r="E922" i="5"/>
  <c r="H923" i="5"/>
  <c r="H924" i="5"/>
  <c r="D160" i="6"/>
  <c r="D161" i="6"/>
  <c r="J346" i="3"/>
  <c r="J879" i="3"/>
  <c r="J872" i="3"/>
  <c r="E167" i="4"/>
  <c r="F304" i="4"/>
  <c r="B360" i="4"/>
  <c r="H584" i="4"/>
  <c r="F884" i="4"/>
  <c r="D911" i="4"/>
  <c r="D100" i="6"/>
  <c r="D99" i="6"/>
  <c r="D105" i="6"/>
  <c r="E73" i="6"/>
  <c r="E78" i="6"/>
  <c r="E71" i="6"/>
  <c r="I71" i="6"/>
  <c r="G1625" i="1"/>
  <c r="I1625" i="1"/>
  <c r="G1518" i="1"/>
  <c r="G1519" i="1"/>
  <c r="I1519" i="1"/>
  <c r="G1522" i="1"/>
  <c r="G1515" i="1"/>
  <c r="G1492" i="1"/>
  <c r="G1490" i="1"/>
  <c r="G1491" i="1"/>
  <c r="D1489" i="1"/>
  <c r="D1490" i="1"/>
  <c r="I1490" i="1"/>
  <c r="C1462" i="1"/>
  <c r="I1462" i="1"/>
  <c r="C1461" i="1"/>
  <c r="C1464" i="1"/>
  <c r="C1463" i="1"/>
  <c r="I1463" i="1"/>
  <c r="C1468" i="1"/>
  <c r="C1465" i="1"/>
  <c r="I1465" i="1"/>
  <c r="E1435" i="1"/>
  <c r="I1435" i="1"/>
  <c r="E1434" i="1"/>
  <c r="I1434" i="1"/>
  <c r="E1437" i="1"/>
  <c r="I1437" i="1"/>
  <c r="E1436" i="1"/>
  <c r="I1436" i="1"/>
  <c r="E1441" i="1"/>
  <c r="E1438" i="1"/>
  <c r="I1438" i="1"/>
  <c r="D1353" i="1"/>
  <c r="I1353" i="1"/>
  <c r="D1360" i="1"/>
  <c r="E1328" i="1"/>
  <c r="E1327" i="1"/>
  <c r="E1333" i="1"/>
  <c r="C1275" i="1"/>
  <c r="C1274" i="1"/>
  <c r="C1272" i="1"/>
  <c r="I1272" i="1"/>
  <c r="C1273" i="1"/>
  <c r="I1273" i="1"/>
  <c r="C1276" i="1"/>
  <c r="I1276" i="1"/>
  <c r="D1247" i="1"/>
  <c r="D1252" i="1"/>
  <c r="D1248" i="1"/>
  <c r="F1218" i="1"/>
  <c r="F1224" i="1"/>
  <c r="F1219" i="1"/>
  <c r="G1194" i="1"/>
  <c r="G1193" i="1"/>
  <c r="C1193" i="1"/>
  <c r="C1194" i="1"/>
  <c r="I1194" i="1"/>
  <c r="H1138" i="1"/>
  <c r="H1137" i="1"/>
  <c r="H1143" i="1"/>
  <c r="D1137" i="1"/>
  <c r="D1143" i="1"/>
  <c r="D1138" i="1"/>
  <c r="E1089" i="1"/>
  <c r="E1082" i="1"/>
  <c r="E1083" i="1"/>
  <c r="E1084" i="1"/>
  <c r="E1085" i="1"/>
  <c r="E1086" i="1"/>
  <c r="C1002" i="1"/>
  <c r="I1002" i="1"/>
  <c r="C1001" i="1"/>
  <c r="I1001" i="1"/>
  <c r="C1004" i="1"/>
  <c r="I1004" i="1"/>
  <c r="C1003" i="1"/>
  <c r="I1003" i="1"/>
  <c r="C1008" i="1"/>
  <c r="C1005" i="1"/>
  <c r="I1005" i="1"/>
  <c r="G895" i="1"/>
  <c r="G892" i="1"/>
  <c r="G894" i="1"/>
  <c r="C892" i="1"/>
  <c r="C894" i="1"/>
  <c r="I894" i="1"/>
  <c r="C895" i="1"/>
  <c r="I895" i="1"/>
  <c r="H866" i="1"/>
  <c r="H864" i="1"/>
  <c r="D864" i="1"/>
  <c r="D865" i="1"/>
  <c r="D866" i="1"/>
  <c r="D867" i="1"/>
  <c r="G835" i="1"/>
  <c r="I835" i="1"/>
  <c r="G838" i="1"/>
  <c r="I838" i="1"/>
  <c r="G837" i="1"/>
  <c r="G836" i="1"/>
  <c r="G839" i="1"/>
  <c r="I839" i="1"/>
  <c r="E669" i="1"/>
  <c r="E668" i="1"/>
  <c r="E674" i="1"/>
  <c r="E476" i="1"/>
  <c r="I476" i="1"/>
  <c r="E473" i="1"/>
  <c r="I473" i="1"/>
  <c r="E472" i="1"/>
  <c r="I472" i="1"/>
  <c r="E475" i="1"/>
  <c r="I475" i="1"/>
  <c r="E474" i="1"/>
  <c r="I474" i="1"/>
  <c r="E479" i="1"/>
  <c r="H389" i="1"/>
  <c r="H392" i="1"/>
  <c r="H391" i="1"/>
  <c r="H388" i="1"/>
  <c r="H390" i="1"/>
  <c r="D391" i="1"/>
  <c r="D388" i="1"/>
  <c r="D395" i="1"/>
  <c r="D390" i="1"/>
  <c r="D389" i="1"/>
  <c r="D392" i="1"/>
  <c r="F367" i="1"/>
  <c r="F360" i="1"/>
  <c r="I360" i="1"/>
  <c r="F361" i="1"/>
  <c r="F362" i="1"/>
  <c r="I362" i="1"/>
  <c r="F363" i="1"/>
  <c r="F364" i="1"/>
  <c r="F279" i="1"/>
  <c r="F277" i="1"/>
  <c r="B279" i="1"/>
  <c r="B278" i="1"/>
  <c r="B277" i="1"/>
  <c r="I277" i="1"/>
  <c r="B280" i="1"/>
  <c r="I280" i="1"/>
  <c r="F224" i="1"/>
  <c r="F217" i="1"/>
  <c r="F218" i="1"/>
  <c r="F219" i="1"/>
  <c r="F220" i="1"/>
  <c r="E160" i="1"/>
  <c r="E162" i="1"/>
  <c r="E163" i="1"/>
  <c r="E166" i="1"/>
  <c r="E159" i="1"/>
  <c r="G105" i="1"/>
  <c r="G111" i="1"/>
  <c r="G103" i="1"/>
  <c r="G106" i="1"/>
  <c r="C105" i="1"/>
  <c r="C111" i="1"/>
  <c r="C103" i="1"/>
  <c r="C106" i="1"/>
  <c r="E1310" i="4"/>
  <c r="B1281" i="4"/>
  <c r="I1281" i="4"/>
  <c r="B1282" i="4"/>
  <c r="I1282" i="4"/>
  <c r="G1261" i="4"/>
  <c r="G1262" i="4"/>
  <c r="G1174" i="4"/>
  <c r="I1174" i="4"/>
  <c r="G1173" i="4"/>
  <c r="C1180" i="4"/>
  <c r="C1181" i="4"/>
  <c r="B1148" i="4"/>
  <c r="I1148" i="4"/>
  <c r="B1146" i="4"/>
  <c r="I1146" i="4"/>
  <c r="B1094" i="4"/>
  <c r="I1094" i="4"/>
  <c r="B1092" i="4"/>
  <c r="I1092" i="4"/>
  <c r="H632" i="4"/>
  <c r="I632" i="4"/>
  <c r="H633" i="4"/>
  <c r="I633" i="4"/>
  <c r="H638" i="4"/>
  <c r="D577" i="4"/>
  <c r="I577" i="4"/>
  <c r="D582" i="4"/>
  <c r="B520" i="4"/>
  <c r="I520" i="4"/>
  <c r="B521" i="4"/>
  <c r="I521" i="4"/>
  <c r="B526" i="4"/>
  <c r="C131" i="4"/>
  <c r="I131" i="4"/>
  <c r="C133" i="4"/>
  <c r="I133" i="4"/>
  <c r="G75" i="4"/>
  <c r="G81" i="4"/>
  <c r="G76" i="4"/>
  <c r="C75" i="4"/>
  <c r="C81" i="4"/>
  <c r="C76" i="4"/>
  <c r="E1411" i="2"/>
  <c r="H1125" i="2"/>
  <c r="H1126" i="2"/>
  <c r="H1131" i="2"/>
  <c r="D1125" i="2"/>
  <c r="D1126" i="2"/>
  <c r="D1131" i="2"/>
  <c r="E1042" i="2"/>
  <c r="E1047" i="2"/>
  <c r="E1043" i="2"/>
  <c r="I1043" i="2"/>
  <c r="G533" i="2"/>
  <c r="G536" i="2"/>
  <c r="G537" i="2"/>
  <c r="C537" i="2"/>
  <c r="C533" i="2"/>
  <c r="I533" i="2"/>
  <c r="C536" i="2"/>
  <c r="I536" i="2"/>
  <c r="C1648" i="1"/>
  <c r="C1649" i="1"/>
  <c r="F1657" i="1"/>
  <c r="F1650" i="1"/>
  <c r="F1653" i="1"/>
  <c r="F1654" i="1"/>
  <c r="F1652" i="1"/>
  <c r="F1651" i="1"/>
  <c r="B1439" i="2"/>
  <c r="B1435" i="2"/>
  <c r="B1433" i="2"/>
  <c r="B1436" i="2"/>
  <c r="B1432" i="2"/>
  <c r="B1434" i="2"/>
  <c r="E1440" i="2"/>
  <c r="E1441" i="2"/>
  <c r="E1557" i="3"/>
  <c r="E1558" i="3"/>
  <c r="E1556" i="3"/>
  <c r="E1555" i="3"/>
  <c r="E1561" i="3"/>
  <c r="E1554" i="3"/>
  <c r="D1396" i="4"/>
  <c r="D1397" i="4"/>
  <c r="C922" i="5"/>
  <c r="C915" i="5"/>
  <c r="C918" i="5"/>
  <c r="I918" i="5"/>
  <c r="C917" i="5"/>
  <c r="C916" i="5"/>
  <c r="I916" i="5"/>
  <c r="C919" i="5"/>
  <c r="I919" i="5"/>
  <c r="B160" i="6"/>
  <c r="B161" i="6"/>
  <c r="G154" i="6"/>
  <c r="G159" i="6"/>
  <c r="G152" i="6"/>
  <c r="G155" i="6"/>
  <c r="G156" i="6"/>
  <c r="G153" i="6"/>
  <c r="E127" i="6"/>
  <c r="E125" i="6"/>
  <c r="I125" i="6"/>
  <c r="E126" i="6"/>
  <c r="E132" i="6"/>
  <c r="C99" i="6"/>
  <c r="C98" i="6"/>
  <c r="C101" i="6"/>
  <c r="I101" i="6"/>
  <c r="C100" i="6"/>
  <c r="C105" i="6"/>
  <c r="C102" i="6"/>
  <c r="I102" i="6"/>
  <c r="D73" i="6"/>
  <c r="D72" i="6"/>
  <c r="D78" i="6"/>
  <c r="K2393" i="1"/>
  <c r="K2394" i="1"/>
  <c r="C1603" i="1"/>
  <c r="C1597" i="1"/>
  <c r="B1544" i="1"/>
  <c r="I1544" i="1"/>
  <c r="B1549" i="1"/>
  <c r="B1546" i="1"/>
  <c r="B1543" i="1"/>
  <c r="I1543" i="1"/>
  <c r="B1542" i="1"/>
  <c r="B1545" i="1"/>
  <c r="C1515" i="1"/>
  <c r="I1515" i="1"/>
  <c r="C1522" i="1"/>
  <c r="C1517" i="1"/>
  <c r="I1517" i="1"/>
  <c r="C1516" i="1"/>
  <c r="I1516" i="1"/>
  <c r="H1408" i="1"/>
  <c r="H1414" i="1"/>
  <c r="B1380" i="1"/>
  <c r="I1380" i="1"/>
  <c r="B1387" i="1"/>
  <c r="B1381" i="1"/>
  <c r="I1381" i="1"/>
  <c r="B1384" i="1"/>
  <c r="I1384" i="1"/>
  <c r="F1355" i="1"/>
  <c r="F1360" i="1"/>
  <c r="C1357" i="1"/>
  <c r="I1357" i="1"/>
  <c r="C1354" i="1"/>
  <c r="I1354" i="1"/>
  <c r="C1356" i="1"/>
  <c r="I1356" i="1"/>
  <c r="C1355" i="1"/>
  <c r="I1355" i="1"/>
  <c r="H1327" i="1"/>
  <c r="H1333" i="1"/>
  <c r="H1328" i="1"/>
  <c r="D1328" i="1"/>
  <c r="D1327" i="1"/>
  <c r="D1333" i="1"/>
  <c r="B1279" i="1"/>
  <c r="B1275" i="1"/>
  <c r="I1275" i="1"/>
  <c r="B1274" i="1"/>
  <c r="I1274" i="1"/>
  <c r="C1246" i="1"/>
  <c r="I1246" i="1"/>
  <c r="C1249" i="1"/>
  <c r="I1249" i="1"/>
  <c r="C1248" i="1"/>
  <c r="I1248" i="1"/>
  <c r="C1247" i="1"/>
  <c r="I1247" i="1"/>
  <c r="E1219" i="1"/>
  <c r="E1218" i="1"/>
  <c r="G1137" i="1"/>
  <c r="G1138" i="1"/>
  <c r="G1139" i="1"/>
  <c r="G1140" i="1"/>
  <c r="G1143" i="1"/>
  <c r="G1136" i="1"/>
  <c r="C1137" i="1"/>
  <c r="I1137" i="1"/>
  <c r="C1138" i="1"/>
  <c r="I1138" i="1"/>
  <c r="C1139" i="1"/>
  <c r="I1139" i="1"/>
  <c r="C1140" i="1"/>
  <c r="I1140" i="1"/>
  <c r="C1143" i="1"/>
  <c r="C1136" i="1"/>
  <c r="I1136" i="1"/>
  <c r="H1083" i="1"/>
  <c r="H1089" i="1"/>
  <c r="H1084" i="1"/>
  <c r="D1084" i="1"/>
  <c r="D1083" i="1"/>
  <c r="D1089" i="1"/>
  <c r="C1028" i="1"/>
  <c r="I1028" i="1"/>
  <c r="C1030" i="1"/>
  <c r="I1030" i="1"/>
  <c r="C1029" i="1"/>
  <c r="I1029" i="1"/>
  <c r="C1032" i="1"/>
  <c r="I1032" i="1"/>
  <c r="C1031" i="1"/>
  <c r="I1031" i="1"/>
  <c r="C1035" i="1"/>
  <c r="F892" i="1"/>
  <c r="F898" i="1"/>
  <c r="G866" i="1"/>
  <c r="G863" i="1"/>
  <c r="G865" i="1"/>
  <c r="G864" i="1"/>
  <c r="G867" i="1"/>
  <c r="G870" i="1"/>
  <c r="C865" i="1"/>
  <c r="I865" i="1"/>
  <c r="C864" i="1"/>
  <c r="I864" i="1"/>
  <c r="C867" i="1"/>
  <c r="I867" i="1"/>
  <c r="C870" i="1"/>
  <c r="C866" i="1"/>
  <c r="I866" i="1"/>
  <c r="C863" i="1"/>
  <c r="I863" i="1"/>
  <c r="F837" i="1"/>
  <c r="I837" i="1"/>
  <c r="F836" i="1"/>
  <c r="I836" i="1"/>
  <c r="F842" i="1"/>
  <c r="C723" i="1"/>
  <c r="I723" i="1"/>
  <c r="C726" i="1"/>
  <c r="I726" i="1"/>
  <c r="C725" i="1"/>
  <c r="I725" i="1"/>
  <c r="C730" i="1"/>
  <c r="C727" i="1"/>
  <c r="I727" i="1"/>
  <c r="C724" i="1"/>
  <c r="I724" i="1"/>
  <c r="C695" i="1"/>
  <c r="C696" i="1"/>
  <c r="C697" i="1"/>
  <c r="I697" i="1"/>
  <c r="C698" i="1"/>
  <c r="I698" i="1"/>
  <c r="C699" i="1"/>
  <c r="C702" i="1"/>
  <c r="H668" i="1"/>
  <c r="H667" i="1"/>
  <c r="H670" i="1"/>
  <c r="H669" i="1"/>
  <c r="H674" i="1"/>
  <c r="H671" i="1"/>
  <c r="D668" i="1"/>
  <c r="D667" i="1"/>
  <c r="D670" i="1"/>
  <c r="D669" i="1"/>
  <c r="D674" i="1"/>
  <c r="D671" i="1"/>
  <c r="C640" i="1"/>
  <c r="C641" i="1"/>
  <c r="I641" i="1"/>
  <c r="C642" i="1"/>
  <c r="I642" i="1"/>
  <c r="C643" i="1"/>
  <c r="C646" i="1"/>
  <c r="C639" i="1"/>
  <c r="G445" i="1"/>
  <c r="G444" i="1"/>
  <c r="G447" i="1"/>
  <c r="G446" i="1"/>
  <c r="G451" i="1"/>
  <c r="G390" i="1"/>
  <c r="G389" i="1"/>
  <c r="G395" i="1"/>
  <c r="C389" i="1"/>
  <c r="C395" i="1"/>
  <c r="C390" i="1"/>
  <c r="C363" i="1"/>
  <c r="I363" i="1"/>
  <c r="C361" i="1"/>
  <c r="I361" i="1"/>
  <c r="C364" i="1"/>
  <c r="I364" i="1"/>
  <c r="H305" i="1"/>
  <c r="H308" i="1"/>
  <c r="H307" i="1"/>
  <c r="H304" i="1"/>
  <c r="H306" i="1"/>
  <c r="E278" i="1"/>
  <c r="E283" i="1"/>
  <c r="E279" i="1"/>
  <c r="E219" i="1"/>
  <c r="E220" i="1"/>
  <c r="H162" i="1"/>
  <c r="H159" i="1"/>
  <c r="H163" i="1"/>
  <c r="D159" i="1"/>
  <c r="D163" i="1"/>
  <c r="D162" i="1"/>
  <c r="F103" i="1"/>
  <c r="F105" i="1"/>
  <c r="F104" i="1"/>
  <c r="F107" i="1"/>
  <c r="F106" i="1"/>
  <c r="F111" i="1"/>
  <c r="F108" i="1"/>
  <c r="B107" i="1"/>
  <c r="B106" i="1"/>
  <c r="I106" i="1"/>
  <c r="B111" i="1"/>
  <c r="B108" i="1"/>
  <c r="B103" i="1"/>
  <c r="B105" i="1"/>
  <c r="I105" i="1"/>
  <c r="B104" i="1"/>
  <c r="G1201" i="4"/>
  <c r="I1201" i="4"/>
  <c r="C1207" i="4"/>
  <c r="C1208" i="4"/>
  <c r="F1175" i="4"/>
  <c r="F1173" i="4"/>
  <c r="B1175" i="4"/>
  <c r="I1175" i="4"/>
  <c r="B1173" i="4"/>
  <c r="I1173" i="4"/>
  <c r="H1041" i="4"/>
  <c r="H1040" i="4"/>
  <c r="H909" i="4"/>
  <c r="H904" i="4"/>
  <c r="F439" i="4"/>
  <c r="I439" i="4"/>
  <c r="F435" i="4"/>
  <c r="I435" i="4"/>
  <c r="F438" i="4"/>
  <c r="I438" i="4"/>
  <c r="C326" i="4"/>
  <c r="I326" i="4"/>
  <c r="C327" i="4"/>
  <c r="I327" i="4"/>
  <c r="C323" i="4"/>
  <c r="I323" i="4"/>
  <c r="H1404" i="2"/>
  <c r="H1407" i="2"/>
  <c r="H1408" i="2"/>
  <c r="D1404" i="2"/>
  <c r="D1407" i="2"/>
  <c r="I1407" i="2"/>
  <c r="D1408" i="2"/>
  <c r="G1125" i="2"/>
  <c r="G1126" i="2"/>
  <c r="G1131" i="2"/>
  <c r="C1125" i="2"/>
  <c r="C1126" i="2"/>
  <c r="C1131" i="2"/>
  <c r="B1042" i="2"/>
  <c r="I1042" i="2"/>
  <c r="B1041" i="2"/>
  <c r="I1041" i="2"/>
  <c r="F988" i="2"/>
  <c r="F984" i="2"/>
  <c r="F987" i="2"/>
  <c r="B984" i="2"/>
  <c r="I984" i="2"/>
  <c r="B987" i="2"/>
  <c r="I987" i="2"/>
  <c r="B988" i="2"/>
  <c r="E816" i="2"/>
  <c r="I816" i="2"/>
  <c r="E819" i="2"/>
  <c r="I819" i="2"/>
  <c r="E820" i="2"/>
  <c r="I820" i="2"/>
  <c r="E504" i="2"/>
  <c r="E507" i="2"/>
  <c r="E508" i="2"/>
  <c r="C363" i="2"/>
  <c r="I363" i="2"/>
  <c r="C367" i="2"/>
  <c r="F1346" i="3"/>
  <c r="F1347" i="3"/>
  <c r="H693" i="3"/>
  <c r="H694" i="3"/>
  <c r="G1648" i="1"/>
  <c r="G1649" i="1"/>
  <c r="H1552" i="3"/>
  <c r="H1553" i="3"/>
  <c r="C1555" i="3"/>
  <c r="I1555" i="3"/>
  <c r="D1652" i="1"/>
  <c r="D1651" i="1"/>
  <c r="D1650" i="1"/>
  <c r="D1657" i="1"/>
  <c r="D1654" i="1"/>
  <c r="D1653" i="1"/>
  <c r="C1440" i="2"/>
  <c r="C1441" i="2"/>
  <c r="H1436" i="2"/>
  <c r="H1439" i="2"/>
  <c r="H1432" i="2"/>
  <c r="H1435" i="2"/>
  <c r="H1433" i="2"/>
  <c r="H1434" i="2"/>
  <c r="C1558" i="3"/>
  <c r="C1554" i="3"/>
  <c r="C1556" i="3"/>
  <c r="C1557" i="3"/>
  <c r="I1557" i="3"/>
  <c r="C1561" i="3"/>
  <c r="F1562" i="3"/>
  <c r="F1563" i="3"/>
  <c r="B1396" i="4"/>
  <c r="B1397" i="4"/>
  <c r="G1395" i="4"/>
  <c r="G1388" i="4"/>
  <c r="G1389" i="4"/>
  <c r="G1391" i="4"/>
  <c r="G1392" i="4"/>
  <c r="G1390" i="4"/>
  <c r="D923" i="5"/>
  <c r="D924" i="5"/>
  <c r="E159" i="6"/>
  <c r="E156" i="6"/>
  <c r="E152" i="6"/>
  <c r="E154" i="6"/>
  <c r="E155" i="6"/>
  <c r="E153" i="6"/>
  <c r="H160" i="6"/>
  <c r="H161" i="6"/>
  <c r="B1495" i="1"/>
  <c r="F1545" i="1"/>
  <c r="F1542" i="1"/>
  <c r="H1546" i="1"/>
  <c r="B73" i="6"/>
  <c r="I73" i="6"/>
  <c r="F72" i="6"/>
  <c r="F99" i="6"/>
  <c r="B127" i="6"/>
  <c r="I127" i="6"/>
  <c r="C1167" i="1"/>
  <c r="I1167" i="1"/>
  <c r="C1164" i="1"/>
  <c r="G1164" i="1"/>
  <c r="I1164" i="1"/>
  <c r="E1166" i="1"/>
  <c r="I1166" i="1"/>
  <c r="G1333" i="1"/>
  <c r="E1409" i="1"/>
  <c r="I1409" i="1"/>
  <c r="E1464" i="1"/>
  <c r="E1461" i="1"/>
  <c r="C1492" i="1"/>
  <c r="I1492" i="1"/>
  <c r="F1630" i="1"/>
  <c r="G72" i="6"/>
  <c r="G100" i="6"/>
  <c r="G126" i="6"/>
  <c r="G98" i="6"/>
  <c r="G1597" i="1"/>
  <c r="B1600" i="1"/>
  <c r="I1600" i="1"/>
  <c r="F1518" i="1"/>
  <c r="I1518" i="1"/>
  <c r="J738" i="1"/>
  <c r="I506" i="1"/>
  <c r="AL2107" i="4"/>
  <c r="CA2107" i="4"/>
  <c r="CB2107" i="4"/>
  <c r="J338" i="4"/>
  <c r="J357" i="4"/>
  <c r="J358" i="4"/>
  <c r="J359" i="4"/>
  <c r="D27" i="4"/>
  <c r="D28" i="4"/>
  <c r="AK2178" i="2"/>
  <c r="J1283" i="2"/>
  <c r="J944" i="2"/>
  <c r="J433" i="2"/>
  <c r="J452" i="2"/>
  <c r="J453" i="2"/>
  <c r="J454" i="2"/>
  <c r="AV2272" i="3"/>
  <c r="CF2272" i="3"/>
  <c r="CG2272" i="3"/>
  <c r="I495" i="3"/>
  <c r="B27" i="3"/>
  <c r="B28" i="3"/>
  <c r="I52" i="5"/>
  <c r="J1486" i="2"/>
  <c r="I967" i="5"/>
  <c r="AK1642" i="5"/>
  <c r="J978" i="5"/>
  <c r="G1653" i="1"/>
  <c r="G1434" i="2"/>
  <c r="C1433" i="2"/>
  <c r="E1432" i="2"/>
  <c r="H1554" i="3"/>
  <c r="H1556" i="3"/>
  <c r="F1558" i="3"/>
  <c r="F915" i="5"/>
  <c r="D917" i="5"/>
  <c r="B922" i="5"/>
  <c r="F922" i="5"/>
  <c r="F152" i="6"/>
  <c r="H903" i="6"/>
  <c r="BB2210" i="2"/>
  <c r="BJ2388" i="1"/>
  <c r="BJ2405" i="1"/>
  <c r="I1700" i="1"/>
  <c r="BJ2381" i="1"/>
  <c r="G1459" i="2"/>
  <c r="G1458" i="2"/>
  <c r="C1702" i="1"/>
  <c r="C1703" i="1"/>
  <c r="C205" i="6"/>
  <c r="C204" i="6"/>
  <c r="E1702" i="1"/>
  <c r="E1703" i="1"/>
  <c r="F1684" i="1"/>
  <c r="F1681" i="1"/>
  <c r="F1680" i="1"/>
  <c r="F1679" i="1"/>
  <c r="F1678" i="1"/>
  <c r="F1677" i="1"/>
  <c r="C1585" i="3"/>
  <c r="C1588" i="3"/>
  <c r="C1581" i="3"/>
  <c r="C1583" i="3"/>
  <c r="C1582" i="3"/>
  <c r="C1584" i="3"/>
  <c r="G1582" i="3"/>
  <c r="G1584" i="3"/>
  <c r="G1581" i="3"/>
  <c r="G1583" i="3"/>
  <c r="G1585" i="3"/>
  <c r="G1588" i="3"/>
  <c r="B946" i="5"/>
  <c r="B944" i="5"/>
  <c r="B945" i="5"/>
  <c r="B942" i="5"/>
  <c r="B949" i="5"/>
  <c r="B943" i="5"/>
  <c r="F944" i="5"/>
  <c r="F945" i="5"/>
  <c r="F942" i="5"/>
  <c r="F949" i="5"/>
  <c r="F943" i="5"/>
  <c r="F946" i="5"/>
  <c r="C1443" i="4"/>
  <c r="C1446" i="4"/>
  <c r="C1449" i="4"/>
  <c r="C1444" i="4"/>
  <c r="C1445" i="4"/>
  <c r="C1442" i="4"/>
  <c r="G1443" i="4"/>
  <c r="G1446" i="4"/>
  <c r="G1449" i="4"/>
  <c r="G1444" i="4"/>
  <c r="G1445" i="4"/>
  <c r="G1442" i="4"/>
  <c r="G213" i="6"/>
  <c r="G207" i="6"/>
  <c r="G210" i="6"/>
  <c r="G208" i="6"/>
  <c r="G209" i="6"/>
  <c r="G206" i="6"/>
  <c r="B1730" i="1"/>
  <c r="B1729" i="1"/>
  <c r="D1660" i="3"/>
  <c r="D1661" i="3"/>
  <c r="H16" i="11"/>
  <c r="H15" i="11"/>
  <c r="H1735" i="1"/>
  <c r="H1733" i="1"/>
  <c r="H1734" i="1"/>
  <c r="H1738" i="1"/>
  <c r="H1732" i="1"/>
  <c r="H1731" i="1"/>
  <c r="B1520" i="2"/>
  <c r="B1523" i="2"/>
  <c r="B1519" i="2"/>
  <c r="B1518" i="2"/>
  <c r="B1516" i="2"/>
  <c r="B1517" i="2"/>
  <c r="F1520" i="2"/>
  <c r="F1523" i="2"/>
  <c r="F1519" i="2"/>
  <c r="F1518" i="2"/>
  <c r="F1516" i="2"/>
  <c r="F1517" i="2"/>
  <c r="D1636" i="3"/>
  <c r="D1638" i="3"/>
  <c r="D1635" i="3"/>
  <c r="D1637" i="3"/>
  <c r="D1639" i="3"/>
  <c r="D1642" i="3"/>
  <c r="H1635" i="3"/>
  <c r="H1637" i="3"/>
  <c r="H1639" i="3"/>
  <c r="H1642" i="3"/>
  <c r="H1636" i="3"/>
  <c r="H1638" i="3"/>
  <c r="B1469" i="4"/>
  <c r="B1471" i="4"/>
  <c r="B1472" i="4"/>
  <c r="B1470" i="4"/>
  <c r="B1476" i="4"/>
  <c r="B1473" i="4"/>
  <c r="F1473" i="4"/>
  <c r="F1471" i="4"/>
  <c r="F1469" i="4"/>
  <c r="F1472" i="4"/>
  <c r="F1476" i="4"/>
  <c r="F1470" i="4"/>
  <c r="D997" i="5"/>
  <c r="D996" i="5"/>
  <c r="D998" i="5"/>
  <c r="D1000" i="5"/>
  <c r="D1003" i="5"/>
  <c r="D999" i="5"/>
  <c r="H999" i="5"/>
  <c r="H1003" i="5"/>
  <c r="H997" i="5"/>
  <c r="H996" i="5"/>
  <c r="H998" i="5"/>
  <c r="H1000" i="5"/>
  <c r="B1494" i="4"/>
  <c r="B1495" i="4"/>
  <c r="E259" i="6"/>
  <c r="E258" i="6"/>
  <c r="H1021" i="5"/>
  <c r="H1022" i="5"/>
  <c r="E1495" i="4"/>
  <c r="E1494" i="4"/>
  <c r="G1022" i="5"/>
  <c r="G1021" i="5"/>
  <c r="C1784" i="1"/>
  <c r="C1783" i="1"/>
  <c r="D1783" i="1"/>
  <c r="D1784" i="1"/>
  <c r="C1688" i="3"/>
  <c r="C1687" i="3"/>
  <c r="H1048" i="5"/>
  <c r="H1049" i="5"/>
  <c r="F286" i="6"/>
  <c r="F285" i="6"/>
  <c r="B285" i="6"/>
  <c r="B286" i="6"/>
  <c r="C1761" i="1"/>
  <c r="C1758" i="1"/>
  <c r="C1765" i="1"/>
  <c r="C1759" i="1"/>
  <c r="C1762" i="1"/>
  <c r="C1760" i="1"/>
  <c r="G1762" i="1"/>
  <c r="G1760" i="1"/>
  <c r="G1761" i="1"/>
  <c r="G1758" i="1"/>
  <c r="G1765" i="1"/>
  <c r="G1759" i="1"/>
  <c r="J1574" i="2"/>
  <c r="BE2189" i="2"/>
  <c r="BE2206" i="2"/>
  <c r="C1531" i="4"/>
  <c r="C1532" i="4"/>
  <c r="C1343" i="4"/>
  <c r="B1558" i="3"/>
  <c r="BJ2408" i="1"/>
  <c r="F177" i="6"/>
  <c r="F178" i="6"/>
  <c r="E178" i="6"/>
  <c r="E177" i="6"/>
  <c r="G178" i="6"/>
  <c r="G177" i="6"/>
  <c r="H177" i="6"/>
  <c r="H178" i="6"/>
  <c r="D1607" i="3"/>
  <c r="D1606" i="3"/>
  <c r="C1679" i="1"/>
  <c r="C1680" i="1"/>
  <c r="C1677" i="1"/>
  <c r="C1678" i="1"/>
  <c r="C1684" i="1"/>
  <c r="C1681" i="1"/>
  <c r="I1682" i="1"/>
  <c r="G1680" i="1"/>
  <c r="G1681" i="1"/>
  <c r="G1678" i="1"/>
  <c r="G1679" i="1"/>
  <c r="G1684" i="1"/>
  <c r="G1677" i="1"/>
  <c r="D1585" i="3"/>
  <c r="D1588" i="3"/>
  <c r="D1582" i="3"/>
  <c r="D1584" i="3"/>
  <c r="D1581" i="3"/>
  <c r="D1583" i="3"/>
  <c r="H1584" i="3"/>
  <c r="H1585" i="3"/>
  <c r="H1581" i="3"/>
  <c r="H1583" i="3"/>
  <c r="H1588" i="3"/>
  <c r="H1582" i="3"/>
  <c r="C943" i="5"/>
  <c r="C946" i="5"/>
  <c r="C942" i="5"/>
  <c r="C949" i="5"/>
  <c r="C945" i="5"/>
  <c r="C944" i="5"/>
  <c r="G943" i="5"/>
  <c r="G946" i="5"/>
  <c r="G942" i="5"/>
  <c r="G949" i="5"/>
  <c r="G945" i="5"/>
  <c r="G944" i="5"/>
  <c r="D1449" i="4"/>
  <c r="D1446" i="4"/>
  <c r="D1445" i="4"/>
  <c r="D1442" i="4"/>
  <c r="D1444" i="4"/>
  <c r="D1443" i="4"/>
  <c r="H1445" i="4"/>
  <c r="H1442" i="4"/>
  <c r="H1444" i="4"/>
  <c r="H1443" i="4"/>
  <c r="H1449" i="4"/>
  <c r="H1446" i="4"/>
  <c r="E1730" i="1"/>
  <c r="E1729" i="1"/>
  <c r="C1730" i="1"/>
  <c r="C1729" i="1"/>
  <c r="D15" i="11"/>
  <c r="D16" i="11"/>
  <c r="E231" i="6"/>
  <c r="E232" i="6"/>
  <c r="F231" i="6"/>
  <c r="F232" i="6"/>
  <c r="B232" i="6"/>
  <c r="B231" i="6"/>
  <c r="F1660" i="3"/>
  <c r="F1661" i="3"/>
  <c r="AN1667" i="5"/>
  <c r="C1523" i="2"/>
  <c r="C1520" i="2"/>
  <c r="C1517" i="2"/>
  <c r="C1516" i="2"/>
  <c r="C1518" i="2"/>
  <c r="C1519" i="2"/>
  <c r="G1523" i="2"/>
  <c r="G1520" i="2"/>
  <c r="G1519" i="2"/>
  <c r="G1516" i="2"/>
  <c r="G1518" i="2"/>
  <c r="G1517" i="2"/>
  <c r="E1635" i="3"/>
  <c r="E1642" i="3"/>
  <c r="E1639" i="3"/>
  <c r="E1636" i="3"/>
  <c r="E1638" i="3"/>
  <c r="E1637" i="3"/>
  <c r="C1476" i="4"/>
  <c r="C1470" i="4"/>
  <c r="C1473" i="4"/>
  <c r="C1472" i="4"/>
  <c r="C1471" i="4"/>
  <c r="C1469" i="4"/>
  <c r="G1476" i="4"/>
  <c r="G1472" i="4"/>
  <c r="G1471" i="4"/>
  <c r="G1469" i="4"/>
  <c r="G1470" i="4"/>
  <c r="G1473" i="4"/>
  <c r="E1000" i="5"/>
  <c r="E997" i="5"/>
  <c r="E1003" i="5"/>
  <c r="E998" i="5"/>
  <c r="E996" i="5"/>
  <c r="E999" i="5"/>
  <c r="B47" i="11"/>
  <c r="J20" i="11"/>
  <c r="D1494" i="4"/>
  <c r="D1495" i="4"/>
  <c r="G1494" i="4"/>
  <c r="G1495" i="4"/>
  <c r="H1542" i="2"/>
  <c r="H1543" i="2"/>
  <c r="D1542" i="2"/>
  <c r="D1543" i="2"/>
  <c r="G1784" i="1"/>
  <c r="G1783" i="1"/>
  <c r="J1788" i="1"/>
  <c r="J1781" i="1"/>
  <c r="BM2388" i="1"/>
  <c r="BM2405" i="1"/>
  <c r="I1781" i="1"/>
  <c r="BM2381" i="1"/>
  <c r="F1687" i="3"/>
  <c r="F1688" i="3"/>
  <c r="G1521" i="4"/>
  <c r="G1522" i="4"/>
  <c r="H1522" i="4"/>
  <c r="H1521" i="4"/>
  <c r="D1521" i="4"/>
  <c r="D1522" i="4"/>
  <c r="B1049" i="5"/>
  <c r="B1048" i="5"/>
  <c r="C285" i="6"/>
  <c r="C286" i="6"/>
  <c r="G1571" i="2"/>
  <c r="G1570" i="2"/>
  <c r="E1571" i="2"/>
  <c r="E1570" i="2"/>
  <c r="D1760" i="1"/>
  <c r="D1758" i="1"/>
  <c r="D1761" i="1"/>
  <c r="D1762" i="1"/>
  <c r="D1759" i="1"/>
  <c r="D1765" i="1"/>
  <c r="H1762" i="1"/>
  <c r="H1759" i="1"/>
  <c r="H1765" i="1"/>
  <c r="H1760" i="1"/>
  <c r="H1758" i="1"/>
  <c r="H1761" i="1"/>
  <c r="B1662" i="3"/>
  <c r="B1664" i="3"/>
  <c r="B1666" i="3"/>
  <c r="C1666" i="3"/>
  <c r="I1666" i="3"/>
  <c r="B1663" i="3"/>
  <c r="B1665" i="3"/>
  <c r="B1669" i="3"/>
  <c r="H1545" i="1"/>
  <c r="C1333" i="1"/>
  <c r="C126" i="6"/>
  <c r="I126" i="6"/>
  <c r="AG2366" i="1"/>
  <c r="AG2399" i="1"/>
  <c r="CI2399" i="1"/>
  <c r="CJ2399" i="1"/>
  <c r="AN2175" i="2"/>
  <c r="I578" i="3"/>
  <c r="AC1632" i="5"/>
  <c r="BJ1632" i="5"/>
  <c r="BK1632" i="5"/>
  <c r="G1433" i="2"/>
  <c r="C1432" i="2"/>
  <c r="C1435" i="2"/>
  <c r="G1435" i="2"/>
  <c r="B1556" i="3"/>
  <c r="I1556" i="3"/>
  <c r="H1458" i="2"/>
  <c r="H1459" i="2"/>
  <c r="C1459" i="2"/>
  <c r="C1458" i="2"/>
  <c r="E1458" i="2"/>
  <c r="E1459" i="2"/>
  <c r="D177" i="6"/>
  <c r="D178" i="6"/>
  <c r="F1607" i="3"/>
  <c r="F1606" i="3"/>
  <c r="B1606" i="3"/>
  <c r="B1607" i="3"/>
  <c r="B204" i="6"/>
  <c r="B205" i="6"/>
  <c r="D214" i="6"/>
  <c r="D215" i="6"/>
  <c r="D1681" i="1"/>
  <c r="D1677" i="1"/>
  <c r="D1679" i="1"/>
  <c r="D1680" i="1"/>
  <c r="D1678" i="1"/>
  <c r="D1684" i="1"/>
  <c r="H1680" i="1"/>
  <c r="H1678" i="1"/>
  <c r="H1681" i="1"/>
  <c r="H1677" i="1"/>
  <c r="H1684" i="1"/>
  <c r="H1679" i="1"/>
  <c r="E1588" i="3"/>
  <c r="E1585" i="3"/>
  <c r="E1581" i="3"/>
  <c r="E1582" i="3"/>
  <c r="E1583" i="3"/>
  <c r="E1584" i="3"/>
  <c r="D949" i="5"/>
  <c r="D944" i="5"/>
  <c r="D945" i="5"/>
  <c r="D942" i="5"/>
  <c r="D943" i="5"/>
  <c r="D946" i="5"/>
  <c r="H949" i="5"/>
  <c r="H946" i="5"/>
  <c r="H945" i="5"/>
  <c r="H944" i="5"/>
  <c r="H943" i="5"/>
  <c r="H942" i="5"/>
  <c r="D1467" i="2"/>
  <c r="D1462" i="2"/>
  <c r="D1464" i="2"/>
  <c r="I1464" i="2"/>
  <c r="D1463" i="2"/>
  <c r="I1463" i="2"/>
  <c r="D1461" i="2"/>
  <c r="I1461" i="2"/>
  <c r="D1460" i="2"/>
  <c r="I1460" i="2"/>
  <c r="E1449" i="4"/>
  <c r="E1444" i="4"/>
  <c r="E1445" i="4"/>
  <c r="E1442" i="4"/>
  <c r="E1443" i="4"/>
  <c r="E1446" i="4"/>
  <c r="E213" i="6"/>
  <c r="E207" i="6"/>
  <c r="E210" i="6"/>
  <c r="E208" i="6"/>
  <c r="E209" i="6"/>
  <c r="E206" i="6"/>
  <c r="F206" i="6"/>
  <c r="I206" i="6"/>
  <c r="G15" i="11"/>
  <c r="G16" i="11"/>
  <c r="K903" i="6"/>
  <c r="D1518" i="2"/>
  <c r="D1516" i="2"/>
  <c r="D1523" i="2"/>
  <c r="D1520" i="2"/>
  <c r="D1519" i="2"/>
  <c r="D1517" i="2"/>
  <c r="H1518" i="2"/>
  <c r="H1516" i="2"/>
  <c r="H1523" i="2"/>
  <c r="H1520" i="2"/>
  <c r="H1519" i="2"/>
  <c r="H1517" i="2"/>
  <c r="B1636" i="3"/>
  <c r="C1636" i="3"/>
  <c r="F1636" i="3"/>
  <c r="G1636" i="3"/>
  <c r="I1636" i="3"/>
  <c r="B1638" i="3"/>
  <c r="B1635" i="3"/>
  <c r="B1637" i="3"/>
  <c r="B1639" i="3"/>
  <c r="B1642" i="3"/>
  <c r="F1635" i="3"/>
  <c r="F1642" i="3"/>
  <c r="F1639" i="3"/>
  <c r="F1638" i="3"/>
  <c r="F1637" i="3"/>
  <c r="D1470" i="4"/>
  <c r="D1476" i="4"/>
  <c r="D1473" i="4"/>
  <c r="D1471" i="4"/>
  <c r="D1469" i="4"/>
  <c r="D1472" i="4"/>
  <c r="H1472" i="4"/>
  <c r="H1476" i="4"/>
  <c r="H1470" i="4"/>
  <c r="H1471" i="4"/>
  <c r="H1473" i="4"/>
  <c r="H1469" i="4"/>
  <c r="B999" i="5"/>
  <c r="B996" i="5"/>
  <c r="B998" i="5"/>
  <c r="B1000" i="5"/>
  <c r="B1003" i="5"/>
  <c r="B997" i="5"/>
  <c r="F999" i="5"/>
  <c r="F1003" i="5"/>
  <c r="F997" i="5"/>
  <c r="F996" i="5"/>
  <c r="F998" i="5"/>
  <c r="F1000" i="5"/>
  <c r="C30" i="11"/>
  <c r="D30" i="11"/>
  <c r="B57" i="11"/>
  <c r="C57" i="11"/>
  <c r="D57" i="11"/>
  <c r="F25" i="11"/>
  <c r="F26" i="11"/>
  <c r="G1661" i="3"/>
  <c r="G1660" i="3"/>
  <c r="E1661" i="3"/>
  <c r="E1660" i="3"/>
  <c r="F1495" i="4"/>
  <c r="F1494" i="4"/>
  <c r="G268" i="6"/>
  <c r="G269" i="6"/>
  <c r="C258" i="6"/>
  <c r="C259" i="6"/>
  <c r="H259" i="6"/>
  <c r="H258" i="6"/>
  <c r="B1022" i="5"/>
  <c r="B1021" i="5"/>
  <c r="C1494" i="4"/>
  <c r="C1495" i="4"/>
  <c r="C1022" i="5"/>
  <c r="C1021" i="5"/>
  <c r="H1793" i="1"/>
  <c r="H1794" i="1"/>
  <c r="G1688" i="3"/>
  <c r="G1687" i="3"/>
  <c r="D1687" i="3"/>
  <c r="D1688" i="3"/>
  <c r="D1049" i="5"/>
  <c r="D1048" i="5"/>
  <c r="H286" i="6"/>
  <c r="H285" i="6"/>
  <c r="G1049" i="5"/>
  <c r="G1048" i="5"/>
  <c r="J290" i="6"/>
  <c r="I292" i="6"/>
  <c r="I283" i="6"/>
  <c r="L877" i="6"/>
  <c r="L884" i="6"/>
  <c r="L900" i="6"/>
  <c r="E1760" i="1"/>
  <c r="E1761" i="1"/>
  <c r="E1758" i="1"/>
  <c r="E1759" i="1"/>
  <c r="E1762" i="1"/>
  <c r="E1765" i="1"/>
  <c r="C1669" i="3"/>
  <c r="C1662" i="3"/>
  <c r="C1663" i="3"/>
  <c r="C1665" i="3"/>
  <c r="C1664" i="3"/>
  <c r="I1462" i="2"/>
  <c r="B1459" i="2"/>
  <c r="B1458" i="2"/>
  <c r="C178" i="6"/>
  <c r="C177" i="6"/>
  <c r="G1606" i="3"/>
  <c r="G1607" i="3"/>
  <c r="C1607" i="3"/>
  <c r="C1606" i="3"/>
  <c r="G1703" i="1"/>
  <c r="G1702" i="1"/>
  <c r="E1678" i="1"/>
  <c r="E1681" i="1"/>
  <c r="E1679" i="1"/>
  <c r="E1684" i="1"/>
  <c r="E1677" i="1"/>
  <c r="E1680" i="1"/>
  <c r="B1585" i="3"/>
  <c r="B1581" i="3"/>
  <c r="F1581" i="3"/>
  <c r="I1581" i="3"/>
  <c r="B1583" i="3"/>
  <c r="B1584" i="3"/>
  <c r="F1584" i="3"/>
  <c r="I1584" i="3"/>
  <c r="B1582" i="3"/>
  <c r="B1588" i="3"/>
  <c r="F1583" i="3"/>
  <c r="F1585" i="3"/>
  <c r="F1588" i="3"/>
  <c r="F1582" i="3"/>
  <c r="E945" i="5"/>
  <c r="E944" i="5"/>
  <c r="E949" i="5"/>
  <c r="E943" i="5"/>
  <c r="E946" i="5"/>
  <c r="E942" i="5"/>
  <c r="B1446" i="4"/>
  <c r="B1442" i="4"/>
  <c r="F1442" i="4"/>
  <c r="I1442" i="4"/>
  <c r="B1444" i="4"/>
  <c r="B1445" i="4"/>
  <c r="B1443" i="4"/>
  <c r="B1449" i="4"/>
  <c r="F1446" i="4"/>
  <c r="F1445" i="4"/>
  <c r="F1449" i="4"/>
  <c r="F1443" i="4"/>
  <c r="F1444" i="4"/>
  <c r="F209" i="6"/>
  <c r="F208" i="6"/>
  <c r="F213" i="6"/>
  <c r="F207" i="6"/>
  <c r="F210" i="6"/>
  <c r="H1660" i="3"/>
  <c r="H1661" i="3"/>
  <c r="C16" i="11"/>
  <c r="C15" i="11"/>
  <c r="E16" i="11"/>
  <c r="E15" i="11"/>
  <c r="G232" i="6"/>
  <c r="G231" i="6"/>
  <c r="C232" i="6"/>
  <c r="C231" i="6"/>
  <c r="H232" i="6"/>
  <c r="H231" i="6"/>
  <c r="D231" i="6"/>
  <c r="D232" i="6"/>
  <c r="J882" i="6"/>
  <c r="J898" i="6"/>
  <c r="J903" i="6"/>
  <c r="I238" i="6"/>
  <c r="J234" i="6"/>
  <c r="I227" i="6"/>
  <c r="J875" i="6"/>
  <c r="AM1667" i="5"/>
  <c r="L903" i="6"/>
  <c r="D1732" i="1"/>
  <c r="G1732" i="1"/>
  <c r="I1732" i="1"/>
  <c r="D1731" i="1"/>
  <c r="I1731" i="1"/>
  <c r="D1735" i="1"/>
  <c r="I1735" i="1"/>
  <c r="I1736" i="1"/>
  <c r="D1738" i="1"/>
  <c r="D1733" i="1"/>
  <c r="I1733" i="1"/>
  <c r="D1734" i="1"/>
  <c r="I1734" i="1"/>
  <c r="E1523" i="2"/>
  <c r="E1519" i="2"/>
  <c r="E1520" i="2"/>
  <c r="E1516" i="2"/>
  <c r="E1517" i="2"/>
  <c r="E1518" i="2"/>
  <c r="C1637" i="3"/>
  <c r="C1639" i="3"/>
  <c r="C1638" i="3"/>
  <c r="C1642" i="3"/>
  <c r="C1635" i="3"/>
  <c r="G1638" i="3"/>
  <c r="G1637" i="3"/>
  <c r="G1642" i="3"/>
  <c r="G1639" i="3"/>
  <c r="G1635" i="3"/>
  <c r="E1476" i="4"/>
  <c r="E1469" i="4"/>
  <c r="E1473" i="4"/>
  <c r="E1472" i="4"/>
  <c r="E1470" i="4"/>
  <c r="E1471" i="4"/>
  <c r="C1000" i="5"/>
  <c r="C997" i="5"/>
  <c r="C1003" i="5"/>
  <c r="C998" i="5"/>
  <c r="C996" i="5"/>
  <c r="C999" i="5"/>
  <c r="G1000" i="5"/>
  <c r="G997" i="5"/>
  <c r="G1003" i="5"/>
  <c r="G998" i="5"/>
  <c r="G996" i="5"/>
  <c r="G999" i="5"/>
  <c r="E1021" i="5"/>
  <c r="E1022" i="5"/>
  <c r="E1784" i="1"/>
  <c r="E1783" i="1"/>
  <c r="F1783" i="1"/>
  <c r="F1784" i="1"/>
  <c r="BM2386" i="1"/>
  <c r="BM2403" i="1"/>
  <c r="BM2408" i="1"/>
  <c r="J1786" i="1"/>
  <c r="J1779" i="1"/>
  <c r="I1779" i="1"/>
  <c r="BM2379" i="1"/>
  <c r="E1688" i="3"/>
  <c r="E1687" i="3"/>
  <c r="BJ2286" i="3"/>
  <c r="BJ2302" i="3"/>
  <c r="J1692" i="3"/>
  <c r="BJ2284" i="3"/>
  <c r="BJ2300" i="3"/>
  <c r="BJ2305" i="3"/>
  <c r="J1690" i="3"/>
  <c r="I1694" i="3"/>
  <c r="I1683" i="3"/>
  <c r="BJ2277" i="3"/>
  <c r="F1522" i="4"/>
  <c r="F1521" i="4"/>
  <c r="B1521" i="4"/>
  <c r="B1522" i="4"/>
  <c r="F1048" i="5"/>
  <c r="F1049" i="5"/>
  <c r="H1570" i="2"/>
  <c r="H1571" i="2"/>
  <c r="E286" i="6"/>
  <c r="E285" i="6"/>
  <c r="B1762" i="1"/>
  <c r="F1762" i="1"/>
  <c r="I1762" i="1"/>
  <c r="B1760" i="1"/>
  <c r="B1761" i="1"/>
  <c r="B1758" i="1"/>
  <c r="B1759" i="1"/>
  <c r="B1765" i="1"/>
  <c r="I1763" i="1"/>
  <c r="F1765" i="1"/>
  <c r="F1760" i="1"/>
  <c r="F1758" i="1"/>
  <c r="F1761" i="1"/>
  <c r="F1759" i="1"/>
  <c r="F1468" i="2"/>
  <c r="F1469" i="2"/>
  <c r="B187" i="6"/>
  <c r="B188" i="6"/>
  <c r="E1616" i="3"/>
  <c r="E1617" i="3"/>
  <c r="H1616" i="3"/>
  <c r="H1617" i="3"/>
  <c r="D208" i="6"/>
  <c r="H209" i="6"/>
  <c r="H213" i="6"/>
  <c r="G1739" i="1"/>
  <c r="G1740" i="1"/>
  <c r="J236" i="6"/>
  <c r="B18" i="11"/>
  <c r="I18" i="11"/>
  <c r="B24" i="11"/>
  <c r="F1031" i="5"/>
  <c r="F1032" i="5"/>
  <c r="D1031" i="5"/>
  <c r="D1032" i="5"/>
  <c r="E1552" i="2"/>
  <c r="E1553" i="2"/>
  <c r="D295" i="6"/>
  <c r="D296" i="6"/>
  <c r="G295" i="6"/>
  <c r="G296" i="6"/>
  <c r="E1058" i="5"/>
  <c r="E1059" i="5"/>
  <c r="E1531" i="4"/>
  <c r="E1532" i="4"/>
  <c r="F1579" i="2"/>
  <c r="F1573" i="2"/>
  <c r="I1573" i="2"/>
  <c r="H1575" i="4"/>
  <c r="H1576" i="4"/>
  <c r="B1813" i="1"/>
  <c r="B1815" i="1"/>
  <c r="I1817" i="1"/>
  <c r="B1819" i="1"/>
  <c r="B1812" i="1"/>
  <c r="B1814" i="1"/>
  <c r="B1816" i="1"/>
  <c r="F1816" i="1"/>
  <c r="F1815" i="1"/>
  <c r="F1814" i="1"/>
  <c r="F1813" i="1"/>
  <c r="F1812" i="1"/>
  <c r="F1819" i="1"/>
  <c r="D1600" i="2"/>
  <c r="D1607" i="2"/>
  <c r="D1603" i="2"/>
  <c r="D1604" i="2"/>
  <c r="D1601" i="2"/>
  <c r="D1602" i="2"/>
  <c r="H1600" i="2"/>
  <c r="H1607" i="2"/>
  <c r="H1603" i="2"/>
  <c r="H1604" i="2"/>
  <c r="H1601" i="2"/>
  <c r="H1602" i="2"/>
  <c r="B1718" i="3"/>
  <c r="B1719" i="3"/>
  <c r="B1716" i="3"/>
  <c r="B1717" i="3"/>
  <c r="B1723" i="3"/>
  <c r="B1720" i="3"/>
  <c r="F1720" i="3"/>
  <c r="F1718" i="3"/>
  <c r="F1719" i="3"/>
  <c r="F1723" i="3"/>
  <c r="F1717" i="3"/>
  <c r="F1716" i="3"/>
  <c r="D1554" i="4"/>
  <c r="D1557" i="4"/>
  <c r="D1553" i="4"/>
  <c r="D1552" i="4"/>
  <c r="D1551" i="4"/>
  <c r="D1550" i="4"/>
  <c r="H1552" i="4"/>
  <c r="H1551" i="4"/>
  <c r="H1550" i="4"/>
  <c r="H1554" i="4"/>
  <c r="H1557" i="4"/>
  <c r="H1553" i="4"/>
  <c r="B1081" i="5"/>
  <c r="B1077" i="5"/>
  <c r="B1079" i="5"/>
  <c r="B1080" i="5"/>
  <c r="B1078" i="5"/>
  <c r="B1084" i="5"/>
  <c r="F1081" i="5"/>
  <c r="F1080" i="5"/>
  <c r="F1084" i="5"/>
  <c r="F1078" i="5"/>
  <c r="F1077" i="5"/>
  <c r="F1079" i="5"/>
  <c r="D321" i="6"/>
  <c r="D318" i="6"/>
  <c r="D316" i="6"/>
  <c r="D317" i="6"/>
  <c r="D314" i="6"/>
  <c r="D315" i="6"/>
  <c r="H315" i="6"/>
  <c r="H321" i="6"/>
  <c r="H318" i="6"/>
  <c r="H316" i="6"/>
  <c r="H317" i="6"/>
  <c r="H314" i="6"/>
  <c r="E1838" i="1"/>
  <c r="E1837" i="1"/>
  <c r="H1837" i="1"/>
  <c r="H1838" i="1"/>
  <c r="B339" i="6"/>
  <c r="B340" i="6"/>
  <c r="G340" i="6"/>
  <c r="G339" i="6"/>
  <c r="C340" i="6"/>
  <c r="C339" i="6"/>
  <c r="F339" i="6"/>
  <c r="F340" i="6"/>
  <c r="G1892" i="1"/>
  <c r="G1891" i="1"/>
  <c r="B1769" i="3"/>
  <c r="B1768" i="3"/>
  <c r="C1130" i="5"/>
  <c r="C1129" i="5"/>
  <c r="H393" i="6"/>
  <c r="H394" i="6"/>
  <c r="G1655" i="2"/>
  <c r="G1654" i="2"/>
  <c r="G1603" i="4"/>
  <c r="G1602" i="4"/>
  <c r="C1603" i="4"/>
  <c r="C1602" i="4"/>
  <c r="BQ2388" i="1"/>
  <c r="BQ2405" i="1"/>
  <c r="I1889" i="1"/>
  <c r="BQ2381" i="1"/>
  <c r="J1896" i="1"/>
  <c r="J1889" i="1"/>
  <c r="F1682" i="2"/>
  <c r="F1683" i="2"/>
  <c r="C1683" i="2"/>
  <c r="C1682" i="2"/>
  <c r="H1795" i="3"/>
  <c r="H1796" i="3"/>
  <c r="F1795" i="3"/>
  <c r="F1796" i="3"/>
  <c r="H1157" i="5"/>
  <c r="H1156" i="5"/>
  <c r="B1866" i="1"/>
  <c r="I1871" i="1"/>
  <c r="B1867" i="1"/>
  <c r="B1870" i="1"/>
  <c r="B1869" i="1"/>
  <c r="B1873" i="1"/>
  <c r="B1868" i="1"/>
  <c r="F1868" i="1"/>
  <c r="F1867" i="1"/>
  <c r="F1869" i="1"/>
  <c r="F1866" i="1"/>
  <c r="F1873" i="1"/>
  <c r="F1870" i="1"/>
  <c r="H1131" i="5"/>
  <c r="H1135" i="5"/>
  <c r="H1138" i="5"/>
  <c r="H1134" i="5"/>
  <c r="H1132" i="5"/>
  <c r="H1133" i="5"/>
  <c r="D372" i="6"/>
  <c r="I372" i="6"/>
  <c r="D371" i="6"/>
  <c r="I371" i="6"/>
  <c r="D370" i="6"/>
  <c r="I370" i="6"/>
  <c r="D369" i="6"/>
  <c r="I369" i="6"/>
  <c r="D368" i="6"/>
  <c r="I368" i="6"/>
  <c r="D375" i="6"/>
  <c r="J261" i="6"/>
  <c r="J254" i="6"/>
  <c r="B269" i="6"/>
  <c r="F1742" i="3"/>
  <c r="F1741" i="3"/>
  <c r="C1575" i="4"/>
  <c r="C1576" i="4"/>
  <c r="C1813" i="1"/>
  <c r="C1816" i="1"/>
  <c r="C1819" i="1"/>
  <c r="C1814" i="1"/>
  <c r="C1815" i="1"/>
  <c r="C1812" i="1"/>
  <c r="G1815" i="1"/>
  <c r="G1813" i="1"/>
  <c r="G1814" i="1"/>
  <c r="G1816" i="1"/>
  <c r="G1819" i="1"/>
  <c r="G1812" i="1"/>
  <c r="E1607" i="2"/>
  <c r="E1601" i="2"/>
  <c r="E1600" i="2"/>
  <c r="E1603" i="2"/>
  <c r="E1604" i="2"/>
  <c r="E1602" i="2"/>
  <c r="C1720" i="3"/>
  <c r="C1717" i="3"/>
  <c r="C1718" i="3"/>
  <c r="C1719" i="3"/>
  <c r="C1723" i="3"/>
  <c r="C1716" i="3"/>
  <c r="G1720" i="3"/>
  <c r="G1716" i="3"/>
  <c r="G1717" i="3"/>
  <c r="G1723" i="3"/>
  <c r="G1719" i="3"/>
  <c r="G1718" i="3"/>
  <c r="E1553" i="4"/>
  <c r="E1551" i="4"/>
  <c r="E1550" i="4"/>
  <c r="E1557" i="4"/>
  <c r="E1552" i="4"/>
  <c r="E1554" i="4"/>
  <c r="C1078" i="5"/>
  <c r="C1081" i="5"/>
  <c r="C1084" i="5"/>
  <c r="C1079" i="5"/>
  <c r="C1080" i="5"/>
  <c r="C1077" i="5"/>
  <c r="G1078" i="5"/>
  <c r="G1081" i="5"/>
  <c r="G1084" i="5"/>
  <c r="G1079" i="5"/>
  <c r="G1080" i="5"/>
  <c r="G1077" i="5"/>
  <c r="E321" i="6"/>
  <c r="E316" i="6"/>
  <c r="E318" i="6"/>
  <c r="E317" i="6"/>
  <c r="E314" i="6"/>
  <c r="E315" i="6"/>
  <c r="C1838" i="1"/>
  <c r="C1837" i="1"/>
  <c r="D1837" i="1"/>
  <c r="D1838" i="1"/>
  <c r="H339" i="6"/>
  <c r="H340" i="6"/>
  <c r="E1891" i="1"/>
  <c r="E1892" i="1"/>
  <c r="D1768" i="3"/>
  <c r="D1769" i="3"/>
  <c r="H1769" i="3"/>
  <c r="H1768" i="3"/>
  <c r="E1130" i="5"/>
  <c r="E1129" i="5"/>
  <c r="E393" i="6"/>
  <c r="E394" i="6"/>
  <c r="B394" i="6"/>
  <c r="B393" i="6"/>
  <c r="C393" i="6"/>
  <c r="C394" i="6"/>
  <c r="E1655" i="2"/>
  <c r="E1654" i="2"/>
  <c r="H1654" i="2"/>
  <c r="H1655" i="2"/>
  <c r="G1768" i="3"/>
  <c r="G1769" i="3"/>
  <c r="C367" i="6"/>
  <c r="C366" i="6"/>
  <c r="D1602" i="4"/>
  <c r="D1603" i="4"/>
  <c r="J1893" i="1"/>
  <c r="J1886" i="1"/>
  <c r="BQ2385" i="1"/>
  <c r="BQ2402" i="1"/>
  <c r="I1886" i="1"/>
  <c r="BQ2378" i="1"/>
  <c r="D1683" i="2"/>
  <c r="D1682" i="2"/>
  <c r="E1796" i="3"/>
  <c r="E1795" i="3"/>
  <c r="J1633" i="4"/>
  <c r="I1636" i="4"/>
  <c r="I1626" i="4"/>
  <c r="BI2112" i="4"/>
  <c r="BI2119" i="4"/>
  <c r="BI2136" i="4"/>
  <c r="B1156" i="5"/>
  <c r="B1157" i="5"/>
  <c r="G1156" i="5"/>
  <c r="G1157" i="5"/>
  <c r="C1157" i="5"/>
  <c r="C1156" i="5"/>
  <c r="C1867" i="1"/>
  <c r="C1869" i="1"/>
  <c r="C1866" i="1"/>
  <c r="C1870" i="1"/>
  <c r="C1873" i="1"/>
  <c r="C1868" i="1"/>
  <c r="J1028" i="5"/>
  <c r="I1016" i="5"/>
  <c r="AM1637" i="5"/>
  <c r="J1748" i="3"/>
  <c r="J1738" i="3"/>
  <c r="B1742" i="3"/>
  <c r="B1741" i="3"/>
  <c r="E1741" i="3"/>
  <c r="E1742" i="3"/>
  <c r="E1575" i="4"/>
  <c r="E1576" i="4"/>
  <c r="B1576" i="4"/>
  <c r="B1575" i="4"/>
  <c r="AP1667" i="5"/>
  <c r="D1813" i="1"/>
  <c r="D1815" i="1"/>
  <c r="D1819" i="1"/>
  <c r="D1812" i="1"/>
  <c r="D1814" i="1"/>
  <c r="D1816" i="1"/>
  <c r="H1812" i="1"/>
  <c r="H1814" i="1"/>
  <c r="H1816" i="1"/>
  <c r="H1813" i="1"/>
  <c r="H1815" i="1"/>
  <c r="H1819" i="1"/>
  <c r="B1604" i="2"/>
  <c r="B1601" i="2"/>
  <c r="B1607" i="2"/>
  <c r="B1602" i="2"/>
  <c r="B1600" i="2"/>
  <c r="B1603" i="2"/>
  <c r="F1604" i="2"/>
  <c r="F1601" i="2"/>
  <c r="F1602" i="2"/>
  <c r="F1600" i="2"/>
  <c r="F1607" i="2"/>
  <c r="F1603" i="2"/>
  <c r="D1718" i="3"/>
  <c r="D1717" i="3"/>
  <c r="D1720" i="3"/>
  <c r="D1716" i="3"/>
  <c r="D1719" i="3"/>
  <c r="D1723" i="3"/>
  <c r="H1719" i="3"/>
  <c r="H1716" i="3"/>
  <c r="H1723" i="3"/>
  <c r="H1720" i="3"/>
  <c r="H1718" i="3"/>
  <c r="H1717" i="3"/>
  <c r="B1554" i="4"/>
  <c r="B1551" i="4"/>
  <c r="B1557" i="4"/>
  <c r="B1552" i="4"/>
  <c r="B1550" i="4"/>
  <c r="B1553" i="4"/>
  <c r="F1550" i="4"/>
  <c r="F1553" i="4"/>
  <c r="F1554" i="4"/>
  <c r="F1551" i="4"/>
  <c r="F1557" i="4"/>
  <c r="F1552" i="4"/>
  <c r="D1081" i="5"/>
  <c r="D1084" i="5"/>
  <c r="D1080" i="5"/>
  <c r="D1078" i="5"/>
  <c r="D1077" i="5"/>
  <c r="D1079" i="5"/>
  <c r="H1080" i="5"/>
  <c r="H1077" i="5"/>
  <c r="H1079" i="5"/>
  <c r="H1078" i="5"/>
  <c r="H1084" i="5"/>
  <c r="H1081" i="5"/>
  <c r="B315" i="6"/>
  <c r="B318" i="6"/>
  <c r="B321" i="6"/>
  <c r="B316" i="6"/>
  <c r="B317" i="6"/>
  <c r="C317" i="6"/>
  <c r="F317" i="6"/>
  <c r="G317" i="6"/>
  <c r="I317" i="6"/>
  <c r="B314" i="6"/>
  <c r="F314" i="6"/>
  <c r="F315" i="6"/>
  <c r="F318" i="6"/>
  <c r="F321" i="6"/>
  <c r="F316" i="6"/>
  <c r="E340" i="6"/>
  <c r="E339" i="6"/>
  <c r="D339" i="6"/>
  <c r="D340" i="6"/>
  <c r="N882" i="6"/>
  <c r="N898" i="6"/>
  <c r="N903" i="6"/>
  <c r="I346" i="6"/>
  <c r="I335" i="6"/>
  <c r="N875" i="6"/>
  <c r="J342" i="6"/>
  <c r="C1891" i="1"/>
  <c r="C1892" i="1"/>
  <c r="D1129" i="5"/>
  <c r="D1130" i="5"/>
  <c r="D1891" i="1"/>
  <c r="D1892" i="1"/>
  <c r="BN2305" i="3"/>
  <c r="D394" i="6"/>
  <c r="D393" i="6"/>
  <c r="G393" i="6"/>
  <c r="G394" i="6"/>
  <c r="G1865" i="1"/>
  <c r="G1864" i="1"/>
  <c r="F1654" i="2"/>
  <c r="F1655" i="2"/>
  <c r="C1655" i="2"/>
  <c r="C1654" i="2"/>
  <c r="E1769" i="3"/>
  <c r="E1768" i="3"/>
  <c r="E367" i="6"/>
  <c r="E366" i="6"/>
  <c r="BQ2386" i="1"/>
  <c r="BQ2403" i="1"/>
  <c r="J1894" i="1"/>
  <c r="J1887" i="1"/>
  <c r="I1887" i="1"/>
  <c r="BQ2379" i="1"/>
  <c r="G1683" i="2"/>
  <c r="G1682" i="2"/>
  <c r="B1683" i="2"/>
  <c r="B1682" i="2"/>
  <c r="D1795" i="3"/>
  <c r="D1796" i="3"/>
  <c r="B1795" i="3"/>
  <c r="B1796" i="3"/>
  <c r="D1157" i="5"/>
  <c r="D1156" i="5"/>
  <c r="E1608" i="4"/>
  <c r="I1608" i="4"/>
  <c r="E1604" i="4"/>
  <c r="I1604" i="4"/>
  <c r="E1607" i="4"/>
  <c r="I1607" i="4"/>
  <c r="E1606" i="4"/>
  <c r="I1606" i="4"/>
  <c r="E1611" i="4"/>
  <c r="E1605" i="4"/>
  <c r="I1605" i="4"/>
  <c r="D1742" i="3"/>
  <c r="D1741" i="3"/>
  <c r="H1742" i="3"/>
  <c r="H1741" i="3"/>
  <c r="BL2287" i="3"/>
  <c r="BL2303" i="3"/>
  <c r="BL2305" i="3"/>
  <c r="D1576" i="4"/>
  <c r="D1575" i="4"/>
  <c r="G1576" i="4"/>
  <c r="G1575" i="4"/>
  <c r="F1575" i="4"/>
  <c r="F1576" i="4"/>
  <c r="E1819" i="1"/>
  <c r="E1813" i="1"/>
  <c r="E1814" i="1"/>
  <c r="E1816" i="1"/>
  <c r="E1812" i="1"/>
  <c r="E1815" i="1"/>
  <c r="C1607" i="2"/>
  <c r="C1604" i="2"/>
  <c r="C1603" i="2"/>
  <c r="C1602" i="2"/>
  <c r="C1601" i="2"/>
  <c r="C1600" i="2"/>
  <c r="G1601" i="2"/>
  <c r="G1602" i="2"/>
  <c r="G1600" i="2"/>
  <c r="G1603" i="2"/>
  <c r="G1607" i="2"/>
  <c r="G1604" i="2"/>
  <c r="E1718" i="3"/>
  <c r="E1723" i="3"/>
  <c r="E1716" i="3"/>
  <c r="E1719" i="3"/>
  <c r="E1720" i="3"/>
  <c r="E1717" i="3"/>
  <c r="C1551" i="4"/>
  <c r="C1552" i="4"/>
  <c r="C1550" i="4"/>
  <c r="C1554" i="4"/>
  <c r="C1557" i="4"/>
  <c r="C1553" i="4"/>
  <c r="G1552" i="4"/>
  <c r="G1550" i="4"/>
  <c r="G1554" i="4"/>
  <c r="G1557" i="4"/>
  <c r="G1553" i="4"/>
  <c r="G1551" i="4"/>
  <c r="E1084" i="5"/>
  <c r="E1079" i="5"/>
  <c r="E1080" i="5"/>
  <c r="E1077" i="5"/>
  <c r="E1078" i="5"/>
  <c r="E1081" i="5"/>
  <c r="C318" i="6"/>
  <c r="C315" i="6"/>
  <c r="C316" i="6"/>
  <c r="C321" i="6"/>
  <c r="C314" i="6"/>
  <c r="G315" i="6"/>
  <c r="G316" i="6"/>
  <c r="G318" i="6"/>
  <c r="G321" i="6"/>
  <c r="G314" i="6"/>
  <c r="BO2408" i="1"/>
  <c r="G1838" i="1"/>
  <c r="G1837" i="1"/>
  <c r="B1837" i="1"/>
  <c r="B1838" i="1"/>
  <c r="H1891" i="1"/>
  <c r="H1892" i="1"/>
  <c r="F393" i="6"/>
  <c r="F394" i="6"/>
  <c r="H1864" i="1"/>
  <c r="H1865" i="1"/>
  <c r="B1654" i="2"/>
  <c r="B1655" i="2"/>
  <c r="D1654" i="2"/>
  <c r="D1655" i="2"/>
  <c r="F1768" i="3"/>
  <c r="F1769" i="3"/>
  <c r="C1768" i="3"/>
  <c r="C1769" i="3"/>
  <c r="BQ2387" i="1"/>
  <c r="BQ2404" i="1"/>
  <c r="I1888" i="1"/>
  <c r="BQ2380" i="1"/>
  <c r="J1895" i="1"/>
  <c r="J1888" i="1"/>
  <c r="E1682" i="2"/>
  <c r="E1683" i="2"/>
  <c r="H1682" i="2"/>
  <c r="H1683" i="2"/>
  <c r="C1796" i="3"/>
  <c r="C1795" i="3"/>
  <c r="BI2117" i="4"/>
  <c r="BI2134" i="4"/>
  <c r="J1631" i="4"/>
  <c r="I1624" i="4"/>
  <c r="BI2110" i="4"/>
  <c r="I1628" i="4"/>
  <c r="BI2114" i="4"/>
  <c r="BI2121" i="4"/>
  <c r="BI2138" i="4"/>
  <c r="J1635" i="4"/>
  <c r="E1157" i="5"/>
  <c r="E1156" i="5"/>
  <c r="E1866" i="1"/>
  <c r="E1869" i="1"/>
  <c r="E1867" i="1"/>
  <c r="E1873" i="1"/>
  <c r="E1870" i="1"/>
  <c r="E1868" i="1"/>
  <c r="G1133" i="5"/>
  <c r="I1133" i="5"/>
  <c r="G1138" i="5"/>
  <c r="G1131" i="5"/>
  <c r="I1131" i="5"/>
  <c r="G1134" i="5"/>
  <c r="I1134" i="5"/>
  <c r="G1132" i="5"/>
  <c r="I1132" i="5"/>
  <c r="G1135" i="5"/>
  <c r="I1135" i="5"/>
  <c r="E1657" i="4"/>
  <c r="E1656" i="4"/>
  <c r="J1572" i="4"/>
  <c r="J1099" i="5"/>
  <c r="I1682" i="2"/>
  <c r="BI2185" i="2"/>
  <c r="J1621" i="2"/>
  <c r="J1623" i="2"/>
  <c r="J1570" i="4"/>
  <c r="J1097" i="5"/>
  <c r="I1635" i="2"/>
  <c r="BG2122" i="4"/>
  <c r="AP1649" i="5"/>
  <c r="J1767" i="3"/>
  <c r="I1623" i="2"/>
  <c r="BG2182" i="2"/>
  <c r="I392" i="6"/>
  <c r="P878" i="6"/>
  <c r="P886" i="6"/>
  <c r="G376" i="6"/>
  <c r="G377" i="6"/>
  <c r="E1929" i="1"/>
  <c r="H1929" i="1"/>
  <c r="F1833" i="3"/>
  <c r="C1712" i="2"/>
  <c r="C1715" i="2"/>
  <c r="C1713" i="2"/>
  <c r="C1719" i="2"/>
  <c r="C1716" i="2"/>
  <c r="G1716" i="2"/>
  <c r="G1715" i="2"/>
  <c r="G1713" i="2"/>
  <c r="G1719" i="2"/>
  <c r="G1712" i="2"/>
  <c r="B1827" i="3"/>
  <c r="B1831" i="3"/>
  <c r="B1826" i="3"/>
  <c r="F1828" i="3"/>
  <c r="F1825" i="3"/>
  <c r="F1824" i="3"/>
  <c r="E1187" i="5"/>
  <c r="E1185" i="5"/>
  <c r="E1188" i="5"/>
  <c r="E1192" i="5"/>
  <c r="E1186" i="5"/>
  <c r="D424" i="6"/>
  <c r="D429" i="6"/>
  <c r="D423" i="6"/>
  <c r="H429" i="6"/>
  <c r="H423" i="6"/>
  <c r="H424" i="6"/>
  <c r="H1738" i="2"/>
  <c r="H1739" i="2"/>
  <c r="E1852" i="3"/>
  <c r="E1855" i="3"/>
  <c r="E1854" i="3"/>
  <c r="E1853" i="3"/>
  <c r="E1851" i="3"/>
  <c r="E1858" i="3"/>
  <c r="C1687" i="4"/>
  <c r="C1688" i="4"/>
  <c r="C1685" i="4"/>
  <c r="C1692" i="4"/>
  <c r="C1686" i="4"/>
  <c r="C1689" i="4"/>
  <c r="G1692" i="4"/>
  <c r="G1686" i="4"/>
  <c r="G1689" i="4"/>
  <c r="G1687" i="4"/>
  <c r="G1688" i="4"/>
  <c r="G1685" i="4"/>
  <c r="E1213" i="5"/>
  <c r="E1216" i="5"/>
  <c r="E1219" i="5"/>
  <c r="E1214" i="5"/>
  <c r="E1215" i="5"/>
  <c r="E1212" i="5"/>
  <c r="C452" i="6"/>
  <c r="C453" i="6"/>
  <c r="C450" i="6"/>
  <c r="C456" i="6"/>
  <c r="C451" i="6"/>
  <c r="C449" i="6"/>
  <c r="G451" i="6"/>
  <c r="G449" i="6"/>
  <c r="G456" i="6"/>
  <c r="G452" i="6"/>
  <c r="G453" i="6"/>
  <c r="G450" i="6"/>
  <c r="BL2140" i="4"/>
  <c r="G1767" i="2"/>
  <c r="G1766" i="2"/>
  <c r="C1767" i="2"/>
  <c r="C1766" i="2"/>
  <c r="B1710" i="4"/>
  <c r="B1711" i="4"/>
  <c r="E1711" i="4"/>
  <c r="E1710" i="4"/>
  <c r="C474" i="6"/>
  <c r="C475" i="6"/>
  <c r="B1975" i="1"/>
  <c r="B1981" i="1"/>
  <c r="I1979" i="1"/>
  <c r="B1978" i="1"/>
  <c r="B1976" i="1"/>
  <c r="B1974" i="1"/>
  <c r="B1977" i="1"/>
  <c r="F1976" i="1"/>
  <c r="F1975" i="1"/>
  <c r="F1974" i="1"/>
  <c r="F1981" i="1"/>
  <c r="F1978" i="1"/>
  <c r="F1977" i="1"/>
  <c r="E1879" i="3"/>
  <c r="E1880" i="3"/>
  <c r="E1878" i="3"/>
  <c r="E1882" i="3"/>
  <c r="E1885" i="3"/>
  <c r="E1881" i="3"/>
  <c r="D1246" i="5"/>
  <c r="D1241" i="5"/>
  <c r="D1242" i="5"/>
  <c r="D1239" i="5"/>
  <c r="D1240" i="5"/>
  <c r="D1243" i="5"/>
  <c r="H1239" i="5"/>
  <c r="H1240" i="5"/>
  <c r="H1246" i="5"/>
  <c r="H1243" i="5"/>
  <c r="H1242" i="5"/>
  <c r="H1241" i="5"/>
  <c r="F479" i="6"/>
  <c r="F476" i="6"/>
  <c r="F483" i="6"/>
  <c r="F477" i="6"/>
  <c r="F480" i="6"/>
  <c r="F478" i="6"/>
  <c r="H1613" i="4"/>
  <c r="I1712" i="2"/>
  <c r="D1715" i="2"/>
  <c r="D1719" i="2"/>
  <c r="D1714" i="2"/>
  <c r="H1719" i="2"/>
  <c r="H1714" i="2"/>
  <c r="H1715" i="2"/>
  <c r="C1828" i="3"/>
  <c r="C1825" i="3"/>
  <c r="C1827" i="3"/>
  <c r="C1824" i="3"/>
  <c r="C1831" i="3"/>
  <c r="G1825" i="3"/>
  <c r="G1827" i="3"/>
  <c r="G1824" i="3"/>
  <c r="G1831" i="3"/>
  <c r="G1828" i="3"/>
  <c r="B1192" i="5"/>
  <c r="B1186" i="5"/>
  <c r="B1187" i="5"/>
  <c r="C1187" i="5"/>
  <c r="D1187" i="5"/>
  <c r="F1187" i="5"/>
  <c r="G1187" i="5"/>
  <c r="H1187" i="5"/>
  <c r="I1187" i="5"/>
  <c r="F1192" i="5"/>
  <c r="F1186" i="5"/>
  <c r="E423" i="6"/>
  <c r="E425" i="6"/>
  <c r="E426" i="6"/>
  <c r="I426" i="6"/>
  <c r="E422" i="6"/>
  <c r="E429" i="6"/>
  <c r="BO2269" i="3"/>
  <c r="BO2296" i="3"/>
  <c r="J1810" i="3"/>
  <c r="J1644" i="4"/>
  <c r="J1657" i="4"/>
  <c r="BJ2103" i="4"/>
  <c r="BS2388" i="1"/>
  <c r="BS2405" i="1"/>
  <c r="J1950" i="1"/>
  <c r="J1943" i="1"/>
  <c r="G1946" i="1"/>
  <c r="G1945" i="1"/>
  <c r="F1738" i="2"/>
  <c r="F1739" i="2"/>
  <c r="B1852" i="3"/>
  <c r="B1854" i="3"/>
  <c r="B1851" i="3"/>
  <c r="B1853" i="3"/>
  <c r="B1855" i="3"/>
  <c r="B1858" i="3"/>
  <c r="F1855" i="3"/>
  <c r="F1853" i="3"/>
  <c r="F1854" i="3"/>
  <c r="F1851" i="3"/>
  <c r="F1858" i="3"/>
  <c r="F1852" i="3"/>
  <c r="D1689" i="4"/>
  <c r="D1687" i="4"/>
  <c r="D1688" i="4"/>
  <c r="D1685" i="4"/>
  <c r="D1692" i="4"/>
  <c r="D1686" i="4"/>
  <c r="H1688" i="4"/>
  <c r="H1685" i="4"/>
  <c r="H1692" i="4"/>
  <c r="H1686" i="4"/>
  <c r="H1689" i="4"/>
  <c r="H1687" i="4"/>
  <c r="B1213" i="5"/>
  <c r="B1219" i="5"/>
  <c r="B1212" i="5"/>
  <c r="B1214" i="5"/>
  <c r="B1216" i="5"/>
  <c r="B1215" i="5"/>
  <c r="F1212" i="5"/>
  <c r="F1214" i="5"/>
  <c r="F1216" i="5"/>
  <c r="F1219" i="5"/>
  <c r="F1215" i="5"/>
  <c r="F1213" i="5"/>
  <c r="D456" i="6"/>
  <c r="D449" i="6"/>
  <c r="D451" i="6"/>
  <c r="D453" i="6"/>
  <c r="D452" i="6"/>
  <c r="D450" i="6"/>
  <c r="H452" i="6"/>
  <c r="H450" i="6"/>
  <c r="H449" i="6"/>
  <c r="H451" i="6"/>
  <c r="H453" i="6"/>
  <c r="H456" i="6"/>
  <c r="F1766" i="2"/>
  <c r="F1767" i="2"/>
  <c r="C1977" i="1"/>
  <c r="C1976" i="1"/>
  <c r="C1975" i="1"/>
  <c r="C1981" i="1"/>
  <c r="C1978" i="1"/>
  <c r="C1974" i="1"/>
  <c r="G1976" i="1"/>
  <c r="G1975" i="1"/>
  <c r="G1978" i="1"/>
  <c r="G1974" i="1"/>
  <c r="G1981" i="1"/>
  <c r="G1977" i="1"/>
  <c r="B1880" i="3"/>
  <c r="B1881" i="3"/>
  <c r="B1878" i="3"/>
  <c r="B1879" i="3"/>
  <c r="B1885" i="3"/>
  <c r="B1882" i="3"/>
  <c r="F1882" i="3"/>
  <c r="F1880" i="3"/>
  <c r="F1881" i="3"/>
  <c r="F1878" i="3"/>
  <c r="F1885" i="3"/>
  <c r="F1879" i="3"/>
  <c r="E1239" i="5"/>
  <c r="E1246" i="5"/>
  <c r="E1243" i="5"/>
  <c r="E1242" i="5"/>
  <c r="E1241" i="5"/>
  <c r="E1240" i="5"/>
  <c r="J1693" i="2"/>
  <c r="I1683" i="2"/>
  <c r="BI2186" i="2"/>
  <c r="I1738" i="3"/>
  <c r="BL2278" i="3"/>
  <c r="J344" i="6"/>
  <c r="I1716" i="2"/>
  <c r="D1833" i="3"/>
  <c r="E1713" i="2"/>
  <c r="E1715" i="2"/>
  <c r="E1714" i="2"/>
  <c r="E1719" i="2"/>
  <c r="D1824" i="3"/>
  <c r="D1828" i="3"/>
  <c r="D1825" i="3"/>
  <c r="H1827" i="3"/>
  <c r="H1831" i="3"/>
  <c r="H1826" i="3"/>
  <c r="C1192" i="5"/>
  <c r="C1188" i="5"/>
  <c r="C1185" i="5"/>
  <c r="C1186" i="5"/>
  <c r="C1189" i="5"/>
  <c r="G1188" i="5"/>
  <c r="G1185" i="5"/>
  <c r="G1186" i="5"/>
  <c r="G1189" i="5"/>
  <c r="G1192" i="5"/>
  <c r="B429" i="6"/>
  <c r="B424" i="6"/>
  <c r="B423" i="6"/>
  <c r="F423" i="6"/>
  <c r="F429" i="6"/>
  <c r="F424" i="6"/>
  <c r="BS2389" i="1"/>
  <c r="BS2406" i="1"/>
  <c r="J1951" i="1"/>
  <c r="J1944" i="1"/>
  <c r="I1940" i="1"/>
  <c r="BS2378" i="1"/>
  <c r="BS2385" i="1"/>
  <c r="BS2402" i="1"/>
  <c r="D1738" i="2"/>
  <c r="D1739" i="2"/>
  <c r="C1748" i="2"/>
  <c r="C1749" i="2"/>
  <c r="BK2190" i="2"/>
  <c r="BK2207" i="2"/>
  <c r="J1743" i="2"/>
  <c r="G1748" i="2"/>
  <c r="G1749" i="2"/>
  <c r="C1858" i="3"/>
  <c r="C1855" i="3"/>
  <c r="C1853" i="3"/>
  <c r="C1854" i="3"/>
  <c r="C1851" i="3"/>
  <c r="C1852" i="3"/>
  <c r="G1852" i="3"/>
  <c r="G1851" i="3"/>
  <c r="G1858" i="3"/>
  <c r="G1855" i="3"/>
  <c r="G1854" i="3"/>
  <c r="G1853" i="3"/>
  <c r="E1692" i="4"/>
  <c r="E1689" i="4"/>
  <c r="E1686" i="4"/>
  <c r="E1687" i="4"/>
  <c r="E1688" i="4"/>
  <c r="E1685" i="4"/>
  <c r="C1214" i="5"/>
  <c r="C1215" i="5"/>
  <c r="C1212" i="5"/>
  <c r="C1219" i="5"/>
  <c r="C1213" i="5"/>
  <c r="C1216" i="5"/>
  <c r="G1219" i="5"/>
  <c r="G1216" i="5"/>
  <c r="G1215" i="5"/>
  <c r="G1214" i="5"/>
  <c r="G1212" i="5"/>
  <c r="G1213" i="5"/>
  <c r="E452" i="6"/>
  <c r="E453" i="6"/>
  <c r="E450" i="6"/>
  <c r="E456" i="6"/>
  <c r="E451" i="6"/>
  <c r="E449" i="6"/>
  <c r="E1766" i="2"/>
  <c r="E1767" i="2"/>
  <c r="C1711" i="4"/>
  <c r="C1710" i="4"/>
  <c r="H1710" i="4"/>
  <c r="H1711" i="4"/>
  <c r="D1710" i="4"/>
  <c r="D1711" i="4"/>
  <c r="B474" i="6"/>
  <c r="B475" i="6"/>
  <c r="G1711" i="4"/>
  <c r="G1710" i="4"/>
  <c r="BR2305" i="3"/>
  <c r="D1974" i="1"/>
  <c r="D1977" i="1"/>
  <c r="D1981" i="1"/>
  <c r="D1978" i="1"/>
  <c r="D1975" i="1"/>
  <c r="D1976" i="1"/>
  <c r="H1976" i="1"/>
  <c r="H1977" i="1"/>
  <c r="H1974" i="1"/>
  <c r="H1975" i="1"/>
  <c r="H1981" i="1"/>
  <c r="H1978" i="1"/>
  <c r="C1878" i="3"/>
  <c r="C1882" i="3"/>
  <c r="C1885" i="3"/>
  <c r="C1879" i="3"/>
  <c r="C1881" i="3"/>
  <c r="C1880" i="3"/>
  <c r="G1882" i="3"/>
  <c r="G1879" i="3"/>
  <c r="G1880" i="3"/>
  <c r="G1878" i="3"/>
  <c r="G1881" i="3"/>
  <c r="G1885" i="3"/>
  <c r="B1246" i="5"/>
  <c r="B1240" i="5"/>
  <c r="B1243" i="5"/>
  <c r="B1241" i="5"/>
  <c r="B1242" i="5"/>
  <c r="B1239" i="5"/>
  <c r="F1241" i="5"/>
  <c r="F1242" i="5"/>
  <c r="F1239" i="5"/>
  <c r="F1246" i="5"/>
  <c r="F1240" i="5"/>
  <c r="F1243" i="5"/>
  <c r="D479" i="6"/>
  <c r="I479" i="6"/>
  <c r="D476" i="6"/>
  <c r="I476" i="6"/>
  <c r="D477" i="6"/>
  <c r="D480" i="6"/>
  <c r="I480" i="6"/>
  <c r="D483" i="6"/>
  <c r="D478" i="6"/>
  <c r="I478" i="6"/>
  <c r="B1719" i="2"/>
  <c r="B1715" i="2"/>
  <c r="B1714" i="2"/>
  <c r="F1714" i="2"/>
  <c r="F1719" i="2"/>
  <c r="F1715" i="2"/>
  <c r="E1827" i="3"/>
  <c r="E1828" i="3"/>
  <c r="E1825" i="3"/>
  <c r="E1826" i="3"/>
  <c r="D1192" i="5"/>
  <c r="D1186" i="5"/>
  <c r="H1192" i="5"/>
  <c r="H1186" i="5"/>
  <c r="C425" i="6"/>
  <c r="C424" i="6"/>
  <c r="C422" i="6"/>
  <c r="G422" i="6"/>
  <c r="I422" i="6"/>
  <c r="C423" i="6"/>
  <c r="C429" i="6"/>
  <c r="G423" i="6"/>
  <c r="G429" i="6"/>
  <c r="G425" i="6"/>
  <c r="G424" i="6"/>
  <c r="J408" i="6"/>
  <c r="Q867" i="6"/>
  <c r="C1946" i="1"/>
  <c r="C1945" i="1"/>
  <c r="B1738" i="2"/>
  <c r="B1739" i="2"/>
  <c r="J1741" i="2"/>
  <c r="BK2188" i="2"/>
  <c r="BK2205" i="2"/>
  <c r="I1745" i="2"/>
  <c r="BK2191" i="2"/>
  <c r="BK2208" i="2"/>
  <c r="J1744" i="2"/>
  <c r="D1851" i="3"/>
  <c r="D1853" i="3"/>
  <c r="D1855" i="3"/>
  <c r="D1852" i="3"/>
  <c r="D1854" i="3"/>
  <c r="D1858" i="3"/>
  <c r="H1851" i="3"/>
  <c r="H1853" i="3"/>
  <c r="H1855" i="3"/>
  <c r="H1852" i="3"/>
  <c r="H1854" i="3"/>
  <c r="H1858" i="3"/>
  <c r="B1689" i="4"/>
  <c r="B1687" i="4"/>
  <c r="B1688" i="4"/>
  <c r="B1685" i="4"/>
  <c r="B1692" i="4"/>
  <c r="B1686" i="4"/>
  <c r="F1686" i="4"/>
  <c r="I1686" i="4"/>
  <c r="F1688" i="4"/>
  <c r="F1685" i="4"/>
  <c r="F1689" i="4"/>
  <c r="F1692" i="4"/>
  <c r="F1687" i="4"/>
  <c r="D1219" i="5"/>
  <c r="D1215" i="5"/>
  <c r="D1213" i="5"/>
  <c r="D1212" i="5"/>
  <c r="D1214" i="5"/>
  <c r="D1216" i="5"/>
  <c r="H1215" i="5"/>
  <c r="H1213" i="5"/>
  <c r="H1212" i="5"/>
  <c r="H1214" i="5"/>
  <c r="H1216" i="5"/>
  <c r="H1219" i="5"/>
  <c r="B456" i="6"/>
  <c r="B452" i="6"/>
  <c r="B450" i="6"/>
  <c r="B449" i="6"/>
  <c r="F449" i="6"/>
  <c r="I449" i="6"/>
  <c r="B451" i="6"/>
  <c r="B453" i="6"/>
  <c r="F453" i="6"/>
  <c r="I453" i="6"/>
  <c r="F456" i="6"/>
  <c r="F452" i="6"/>
  <c r="F451" i="6"/>
  <c r="F450" i="6"/>
  <c r="G474" i="6"/>
  <c r="G475" i="6"/>
  <c r="B1767" i="2"/>
  <c r="B1766" i="2"/>
  <c r="E1975" i="1"/>
  <c r="E1978" i="1"/>
  <c r="E1974" i="1"/>
  <c r="E1981" i="1"/>
  <c r="E1977" i="1"/>
  <c r="E1976" i="1"/>
  <c r="D1882" i="3"/>
  <c r="D1880" i="3"/>
  <c r="D1881" i="3"/>
  <c r="D1878" i="3"/>
  <c r="D1879" i="3"/>
  <c r="D1885" i="3"/>
  <c r="H1879" i="3"/>
  <c r="H1885" i="3"/>
  <c r="H1882" i="3"/>
  <c r="H1880" i="3"/>
  <c r="H1881" i="3"/>
  <c r="H1878" i="3"/>
  <c r="C1243" i="5"/>
  <c r="C1242" i="5"/>
  <c r="C1241" i="5"/>
  <c r="C1239" i="5"/>
  <c r="C1240" i="5"/>
  <c r="C1246" i="5"/>
  <c r="G1239" i="5"/>
  <c r="G1240" i="5"/>
  <c r="G1243" i="5"/>
  <c r="G1246" i="5"/>
  <c r="G1242" i="5"/>
  <c r="G1241" i="5"/>
  <c r="E484" i="6"/>
  <c r="E485" i="6"/>
  <c r="G1737" i="4"/>
  <c r="G1738" i="4"/>
  <c r="H1924" i="1"/>
  <c r="F1922" i="1"/>
  <c r="F1927" i="1"/>
  <c r="D1921" i="1"/>
  <c r="E1921" i="1"/>
  <c r="I1921" i="1"/>
  <c r="B1924" i="1"/>
  <c r="G1923" i="1"/>
  <c r="I1923" i="1"/>
  <c r="E1924" i="1"/>
  <c r="C1922" i="1"/>
  <c r="I1922" i="1"/>
  <c r="I1650" i="4"/>
  <c r="BJ2175" i="2"/>
  <c r="J1857" i="3"/>
  <c r="E1747" i="2"/>
  <c r="E1948" i="1"/>
  <c r="I1948" i="1"/>
  <c r="I1732" i="2"/>
  <c r="J1769" i="2"/>
  <c r="J1762" i="2"/>
  <c r="F1720" i="4"/>
  <c r="F1721" i="4"/>
  <c r="E2001" i="1"/>
  <c r="E2004" i="1"/>
  <c r="E2005" i="1"/>
  <c r="E2002" i="1"/>
  <c r="E2003" i="1"/>
  <c r="E2008" i="1"/>
  <c r="B1804" i="2"/>
  <c r="B1805" i="2"/>
  <c r="G1803" i="2"/>
  <c r="G1798" i="2"/>
  <c r="G1799" i="2"/>
  <c r="G1796" i="2"/>
  <c r="G1797" i="2"/>
  <c r="G1800" i="2"/>
  <c r="E1273" i="5"/>
  <c r="E1270" i="5"/>
  <c r="E1268" i="5"/>
  <c r="E1269" i="5"/>
  <c r="E1266" i="5"/>
  <c r="E1267" i="5"/>
  <c r="C504" i="6"/>
  <c r="C507" i="6"/>
  <c r="C510" i="6"/>
  <c r="C505" i="6"/>
  <c r="C506" i="6"/>
  <c r="C503" i="6"/>
  <c r="G507" i="6"/>
  <c r="G505" i="6"/>
  <c r="G510" i="6"/>
  <c r="G503" i="6"/>
  <c r="G506" i="6"/>
  <c r="G504" i="6"/>
  <c r="H1291" i="5"/>
  <c r="H1292" i="5"/>
  <c r="G1292" i="5"/>
  <c r="G1291" i="5"/>
  <c r="B2029" i="1"/>
  <c r="I2033" i="1"/>
  <c r="B2032" i="1"/>
  <c r="B2030" i="1"/>
  <c r="B2035" i="1"/>
  <c r="B2031" i="1"/>
  <c r="B2028" i="1"/>
  <c r="F2032" i="1"/>
  <c r="F2035" i="1"/>
  <c r="F2030" i="1"/>
  <c r="F2031" i="1"/>
  <c r="F2028" i="1"/>
  <c r="F2029" i="1"/>
  <c r="D1828" i="2"/>
  <c r="D1825" i="2"/>
  <c r="D1831" i="2"/>
  <c r="D1826" i="2"/>
  <c r="D1824" i="2"/>
  <c r="D1827" i="2"/>
  <c r="H1824" i="2"/>
  <c r="H1827" i="2"/>
  <c r="H1828" i="2"/>
  <c r="H1825" i="2"/>
  <c r="H1831" i="2"/>
  <c r="H1826" i="2"/>
  <c r="B1933" i="3"/>
  <c r="B1935" i="3"/>
  <c r="B1939" i="3"/>
  <c r="B1932" i="3"/>
  <c r="B1934" i="3"/>
  <c r="B1936" i="3"/>
  <c r="F1933" i="3"/>
  <c r="F1936" i="3"/>
  <c r="F1939" i="3"/>
  <c r="F1934" i="3"/>
  <c r="F1935" i="3"/>
  <c r="F1932" i="3"/>
  <c r="D1773" i="4"/>
  <c r="D1770" i="4"/>
  <c r="D1769" i="4"/>
  <c r="D1768" i="4"/>
  <c r="D1767" i="4"/>
  <c r="D1766" i="4"/>
  <c r="H1773" i="4"/>
  <c r="H1770" i="4"/>
  <c r="H1769" i="4"/>
  <c r="H1768" i="4"/>
  <c r="H1767" i="4"/>
  <c r="H1766" i="4"/>
  <c r="H532" i="6"/>
  <c r="H530" i="6"/>
  <c r="H537" i="6"/>
  <c r="H533" i="6"/>
  <c r="H534" i="6"/>
  <c r="H531" i="6"/>
  <c r="B2053" i="1"/>
  <c r="B2054" i="1"/>
  <c r="B2002" i="1"/>
  <c r="I2006" i="1"/>
  <c r="B2001" i="1"/>
  <c r="B2005" i="1"/>
  <c r="B2003" i="1"/>
  <c r="B2004" i="1"/>
  <c r="B2008" i="1"/>
  <c r="F2002" i="1"/>
  <c r="F2003" i="1"/>
  <c r="F2001" i="1"/>
  <c r="F2008" i="1"/>
  <c r="F2005" i="1"/>
  <c r="F2004" i="1"/>
  <c r="C1796" i="2"/>
  <c r="E1796" i="2"/>
  <c r="I1796" i="2"/>
  <c r="E1797" i="2"/>
  <c r="E1800" i="2"/>
  <c r="E1803" i="2"/>
  <c r="E1798" i="2"/>
  <c r="E1799" i="2"/>
  <c r="H1804" i="2"/>
  <c r="H1805" i="2"/>
  <c r="B1273" i="5"/>
  <c r="B1267" i="5"/>
  <c r="B1270" i="5"/>
  <c r="B1268" i="5"/>
  <c r="B1269" i="5"/>
  <c r="B1266" i="5"/>
  <c r="F1273" i="5"/>
  <c r="F1267" i="5"/>
  <c r="F1270" i="5"/>
  <c r="F1268" i="5"/>
  <c r="F1269" i="5"/>
  <c r="F1266" i="5"/>
  <c r="D507" i="6"/>
  <c r="D506" i="6"/>
  <c r="D503" i="6"/>
  <c r="D505" i="6"/>
  <c r="D504" i="6"/>
  <c r="D510" i="6"/>
  <c r="H506" i="6"/>
  <c r="H504" i="6"/>
  <c r="H510" i="6"/>
  <c r="H507" i="6"/>
  <c r="H503" i="6"/>
  <c r="H505" i="6"/>
  <c r="F528" i="6"/>
  <c r="F529" i="6"/>
  <c r="E1291" i="5"/>
  <c r="E1292" i="5"/>
  <c r="C2028" i="1"/>
  <c r="C2032" i="1"/>
  <c r="C2029" i="1"/>
  <c r="C2035" i="1"/>
  <c r="C2031" i="1"/>
  <c r="C2030" i="1"/>
  <c r="G2029" i="1"/>
  <c r="G2031" i="1"/>
  <c r="G2030" i="1"/>
  <c r="G2028" i="1"/>
  <c r="G2035" i="1"/>
  <c r="G2032" i="1"/>
  <c r="E1825" i="2"/>
  <c r="E1824" i="2"/>
  <c r="E1831" i="2"/>
  <c r="E1828" i="2"/>
  <c r="E1827" i="2"/>
  <c r="E1826" i="2"/>
  <c r="C1932" i="3"/>
  <c r="C1936" i="3"/>
  <c r="C1933" i="3"/>
  <c r="C1939" i="3"/>
  <c r="C1935" i="3"/>
  <c r="C1934" i="3"/>
  <c r="G1933" i="3"/>
  <c r="G1935" i="3"/>
  <c r="G1934" i="3"/>
  <c r="G1932" i="3"/>
  <c r="G1936" i="3"/>
  <c r="G1939" i="3"/>
  <c r="E1768" i="4"/>
  <c r="E1769" i="4"/>
  <c r="E1773" i="4"/>
  <c r="E1766" i="4"/>
  <c r="E1770" i="4"/>
  <c r="E1767" i="4"/>
  <c r="C533" i="6"/>
  <c r="C537" i="6"/>
  <c r="C530" i="6"/>
  <c r="D530" i="6"/>
  <c r="G530" i="6"/>
  <c r="I530" i="6"/>
  <c r="C532" i="6"/>
  <c r="C531" i="6"/>
  <c r="D531" i="6"/>
  <c r="G531" i="6"/>
  <c r="I531" i="6"/>
  <c r="C534" i="6"/>
  <c r="F1850" i="2"/>
  <c r="F1851" i="2"/>
  <c r="J2060" i="1"/>
  <c r="BW2390" i="1"/>
  <c r="I2062" i="1"/>
  <c r="H1920" i="1"/>
  <c r="B1920" i="1"/>
  <c r="J1735" i="4"/>
  <c r="C2004" i="1"/>
  <c r="C2005" i="1"/>
  <c r="C2002" i="1"/>
  <c r="C2003" i="1"/>
  <c r="C2008" i="1"/>
  <c r="C2001" i="1"/>
  <c r="G2003" i="1"/>
  <c r="G2008" i="1"/>
  <c r="G2001" i="1"/>
  <c r="G2004" i="1"/>
  <c r="G2005" i="1"/>
  <c r="G2002" i="1"/>
  <c r="C1803" i="2"/>
  <c r="C1798" i="2"/>
  <c r="D1798" i="2"/>
  <c r="F1798" i="2"/>
  <c r="H1798" i="2"/>
  <c r="I1798" i="2"/>
  <c r="C1800" i="2"/>
  <c r="C1799" i="2"/>
  <c r="I1799" i="2"/>
  <c r="C1797" i="2"/>
  <c r="C1269" i="5"/>
  <c r="C1268" i="5"/>
  <c r="C1266" i="5"/>
  <c r="C1273" i="5"/>
  <c r="C1267" i="5"/>
  <c r="C1270" i="5"/>
  <c r="G1273" i="5"/>
  <c r="G1267" i="5"/>
  <c r="G1270" i="5"/>
  <c r="G1269" i="5"/>
  <c r="G1268" i="5"/>
  <c r="G1266" i="5"/>
  <c r="E510" i="6"/>
  <c r="E505" i="6"/>
  <c r="E506" i="6"/>
  <c r="E503" i="6"/>
  <c r="E504" i="6"/>
  <c r="E507" i="6"/>
  <c r="AW1667" i="5"/>
  <c r="F1291" i="5"/>
  <c r="F1292" i="5"/>
  <c r="D2031" i="1"/>
  <c r="D2028" i="1"/>
  <c r="D2029" i="1"/>
  <c r="D2035" i="1"/>
  <c r="D2032" i="1"/>
  <c r="D2030" i="1"/>
  <c r="H2029" i="1"/>
  <c r="H2032" i="1"/>
  <c r="H2030" i="1"/>
  <c r="H2035" i="1"/>
  <c r="H2031" i="1"/>
  <c r="H2028" i="1"/>
  <c r="B1828" i="2"/>
  <c r="B1825" i="2"/>
  <c r="B1826" i="2"/>
  <c r="B1824" i="2"/>
  <c r="B1831" i="2"/>
  <c r="B1827" i="2"/>
  <c r="F1824" i="2"/>
  <c r="F1831" i="2"/>
  <c r="F1827" i="2"/>
  <c r="F1828" i="2"/>
  <c r="F1825" i="2"/>
  <c r="F1826" i="2"/>
  <c r="D1932" i="3"/>
  <c r="D1934" i="3"/>
  <c r="D1936" i="3"/>
  <c r="D1933" i="3"/>
  <c r="D1935" i="3"/>
  <c r="D1939" i="3"/>
  <c r="H1932" i="3"/>
  <c r="H1934" i="3"/>
  <c r="H1936" i="3"/>
  <c r="H1939" i="3"/>
  <c r="H1933" i="3"/>
  <c r="H1935" i="3"/>
  <c r="B1768" i="4"/>
  <c r="C1768" i="4"/>
  <c r="F1768" i="4"/>
  <c r="G1768" i="4"/>
  <c r="I1768" i="4"/>
  <c r="B1767" i="4"/>
  <c r="B1766" i="4"/>
  <c r="B1773" i="4"/>
  <c r="B1770" i="4"/>
  <c r="B1769" i="4"/>
  <c r="F1767" i="4"/>
  <c r="F1766" i="4"/>
  <c r="F1773" i="4"/>
  <c r="F1770" i="4"/>
  <c r="F1769" i="4"/>
  <c r="D532" i="6"/>
  <c r="D537" i="6"/>
  <c r="D533" i="6"/>
  <c r="D534" i="6"/>
  <c r="E2063" i="1"/>
  <c r="E2064" i="1"/>
  <c r="D2001" i="1"/>
  <c r="D2005" i="1"/>
  <c r="D2004" i="1"/>
  <c r="D2008" i="1"/>
  <c r="D2002" i="1"/>
  <c r="D2003" i="1"/>
  <c r="H2001" i="1"/>
  <c r="H2005" i="1"/>
  <c r="H2003" i="1"/>
  <c r="H2004" i="1"/>
  <c r="H2002" i="1"/>
  <c r="H2008" i="1"/>
  <c r="D1804" i="2"/>
  <c r="D1805" i="2"/>
  <c r="D1273" i="5"/>
  <c r="D1267" i="5"/>
  <c r="D1270" i="5"/>
  <c r="D1268" i="5"/>
  <c r="D1269" i="5"/>
  <c r="D1266" i="5"/>
  <c r="H1273" i="5"/>
  <c r="H1267" i="5"/>
  <c r="H1270" i="5"/>
  <c r="H1268" i="5"/>
  <c r="H1269" i="5"/>
  <c r="H1266" i="5"/>
  <c r="B507" i="6"/>
  <c r="F507" i="6"/>
  <c r="I507" i="6"/>
  <c r="B503" i="6"/>
  <c r="B505" i="6"/>
  <c r="B506" i="6"/>
  <c r="B504" i="6"/>
  <c r="B510" i="6"/>
  <c r="F506" i="6"/>
  <c r="F510" i="6"/>
  <c r="F504" i="6"/>
  <c r="F503" i="6"/>
  <c r="F505" i="6"/>
  <c r="B1292" i="5"/>
  <c r="B1291" i="5"/>
  <c r="B528" i="6"/>
  <c r="B529" i="6"/>
  <c r="E2031" i="1"/>
  <c r="E2030" i="1"/>
  <c r="E2032" i="1"/>
  <c r="E2028" i="1"/>
  <c r="E2035" i="1"/>
  <c r="E2029" i="1"/>
  <c r="C1828" i="2"/>
  <c r="C1827" i="2"/>
  <c r="C1825" i="2"/>
  <c r="C1826" i="2"/>
  <c r="C1831" i="2"/>
  <c r="C1824" i="2"/>
  <c r="G1825" i="2"/>
  <c r="G1826" i="2"/>
  <c r="G1824" i="2"/>
  <c r="G1831" i="2"/>
  <c r="G1827" i="2"/>
  <c r="G1828" i="2"/>
  <c r="E1935" i="3"/>
  <c r="E1934" i="3"/>
  <c r="E1936" i="3"/>
  <c r="E1932" i="3"/>
  <c r="E1939" i="3"/>
  <c r="E1933" i="3"/>
  <c r="C1769" i="4"/>
  <c r="C1773" i="4"/>
  <c r="C1766" i="4"/>
  <c r="C1770" i="4"/>
  <c r="C1767" i="4"/>
  <c r="G1767" i="4"/>
  <c r="G1766" i="4"/>
  <c r="G1769" i="4"/>
  <c r="G1773" i="4"/>
  <c r="G1770" i="4"/>
  <c r="E538" i="6"/>
  <c r="E539" i="6"/>
  <c r="G534" i="6"/>
  <c r="G532" i="6"/>
  <c r="G537" i="6"/>
  <c r="G533" i="6"/>
  <c r="I533" i="6"/>
  <c r="H2054" i="1"/>
  <c r="H2053" i="1"/>
  <c r="E1851" i="2"/>
  <c r="E1850" i="2"/>
  <c r="H1850" i="2"/>
  <c r="H1851" i="2"/>
  <c r="BM2174" i="2"/>
  <c r="CA2174" i="2"/>
  <c r="B1797" i="2"/>
  <c r="F1797" i="2"/>
  <c r="B1800" i="2"/>
  <c r="I1800" i="2"/>
  <c r="F1803" i="2"/>
  <c r="I1816" i="2"/>
  <c r="D2063" i="1"/>
  <c r="D2064" i="1"/>
  <c r="B566" i="6"/>
  <c r="F1329" i="5"/>
  <c r="G1802" i="4"/>
  <c r="C1802" i="4"/>
  <c r="D2055" i="1"/>
  <c r="D2059" i="1"/>
  <c r="D2056" i="1"/>
  <c r="H2058" i="1"/>
  <c r="H2057" i="1"/>
  <c r="E2057" i="1"/>
  <c r="I2057" i="1"/>
  <c r="B1854" i="2"/>
  <c r="B1859" i="2"/>
  <c r="B1853" i="2"/>
  <c r="D1963" i="3"/>
  <c r="E1963" i="3"/>
  <c r="F1963" i="3"/>
  <c r="I1963" i="3"/>
  <c r="D1960" i="3"/>
  <c r="B1800" i="4"/>
  <c r="B1794" i="4"/>
  <c r="B1795" i="4"/>
  <c r="C1795" i="4"/>
  <c r="D1795" i="4"/>
  <c r="F1795" i="4"/>
  <c r="G1795" i="4"/>
  <c r="H1795" i="4"/>
  <c r="I1795" i="4"/>
  <c r="F1800" i="4"/>
  <c r="F1794" i="4"/>
  <c r="D1327" i="5"/>
  <c r="D1321" i="5"/>
  <c r="D1320" i="5"/>
  <c r="D1322" i="5"/>
  <c r="D1324" i="5"/>
  <c r="H1321" i="5"/>
  <c r="H1320" i="5"/>
  <c r="H1322" i="5"/>
  <c r="H1324" i="5"/>
  <c r="H1327" i="5"/>
  <c r="B560" i="6"/>
  <c r="B557" i="6"/>
  <c r="B561" i="6"/>
  <c r="F560" i="6"/>
  <c r="F557" i="6"/>
  <c r="F561" i="6"/>
  <c r="W882" i="6"/>
  <c r="W898" i="6"/>
  <c r="W903" i="6"/>
  <c r="J585" i="6"/>
  <c r="J578" i="6"/>
  <c r="B2086" i="1"/>
  <c r="B2083" i="1"/>
  <c r="B2089" i="1"/>
  <c r="I2087" i="1"/>
  <c r="B2082" i="1"/>
  <c r="F2089" i="1"/>
  <c r="F2086" i="1"/>
  <c r="F2085" i="1"/>
  <c r="F2084" i="1"/>
  <c r="F2083" i="1"/>
  <c r="F2082" i="1"/>
  <c r="E1887" i="2"/>
  <c r="E1880" i="2"/>
  <c r="E1881" i="2"/>
  <c r="E1883" i="2"/>
  <c r="E1884" i="2"/>
  <c r="E1882" i="2"/>
  <c r="J1866" i="2"/>
  <c r="BP2173" i="2"/>
  <c r="I1911" i="2"/>
  <c r="I1913" i="2"/>
  <c r="I1905" i="2"/>
  <c r="BQ2184" i="2"/>
  <c r="BQ2187" i="2"/>
  <c r="BQ2204" i="2"/>
  <c r="J1908" i="2"/>
  <c r="D566" i="6"/>
  <c r="G566" i="6"/>
  <c r="C565" i="6"/>
  <c r="C566" i="6"/>
  <c r="E2056" i="1"/>
  <c r="C1855" i="2"/>
  <c r="G1855" i="2"/>
  <c r="I1855" i="2"/>
  <c r="C1853" i="2"/>
  <c r="G1853" i="2"/>
  <c r="E1959" i="3"/>
  <c r="E1960" i="3"/>
  <c r="F1960" i="3"/>
  <c r="I1960" i="3"/>
  <c r="E1961" i="3"/>
  <c r="E1962" i="3"/>
  <c r="C1794" i="4"/>
  <c r="C1793" i="4"/>
  <c r="E1793" i="4"/>
  <c r="G1793" i="4"/>
  <c r="I1793" i="4"/>
  <c r="G1794" i="4"/>
  <c r="E1322" i="5"/>
  <c r="E1327" i="5"/>
  <c r="E1321" i="5"/>
  <c r="C558" i="6"/>
  <c r="C559" i="6"/>
  <c r="G559" i="6"/>
  <c r="I559" i="6"/>
  <c r="G558" i="6"/>
  <c r="C2086" i="1"/>
  <c r="C2083" i="1"/>
  <c r="C2089" i="1"/>
  <c r="C2084" i="1"/>
  <c r="C2082" i="1"/>
  <c r="C2085" i="1"/>
  <c r="G2086" i="1"/>
  <c r="G2085" i="1"/>
  <c r="G2084" i="1"/>
  <c r="G2082" i="1"/>
  <c r="G2083" i="1"/>
  <c r="G2089" i="1"/>
  <c r="B1884" i="2"/>
  <c r="B1881" i="2"/>
  <c r="B1882" i="2"/>
  <c r="B1880" i="2"/>
  <c r="B1887" i="2"/>
  <c r="B1883" i="2"/>
  <c r="F1884" i="2"/>
  <c r="F1881" i="2"/>
  <c r="F1882" i="2"/>
  <c r="F1880" i="2"/>
  <c r="F1887" i="2"/>
  <c r="F1883" i="2"/>
  <c r="D1797" i="2"/>
  <c r="H1797" i="2"/>
  <c r="F566" i="6"/>
  <c r="E566" i="6"/>
  <c r="G1859" i="2"/>
  <c r="C1859" i="2"/>
  <c r="B2059" i="1"/>
  <c r="B2058" i="1"/>
  <c r="B2055" i="1"/>
  <c r="C2055" i="1"/>
  <c r="F2055" i="1"/>
  <c r="G2055" i="1"/>
  <c r="I2055" i="1"/>
  <c r="F2059" i="1"/>
  <c r="F2056" i="1"/>
  <c r="D1853" i="2"/>
  <c r="D1859" i="2"/>
  <c r="D1854" i="2"/>
  <c r="B1962" i="3"/>
  <c r="B1966" i="3"/>
  <c r="F1966" i="3"/>
  <c r="D1800" i="4"/>
  <c r="D1794" i="4"/>
  <c r="H1794" i="4"/>
  <c r="H1800" i="4"/>
  <c r="D561" i="6"/>
  <c r="D560" i="6"/>
  <c r="D557" i="6"/>
  <c r="H561" i="6"/>
  <c r="H560" i="6"/>
  <c r="H557" i="6"/>
  <c r="E1994" i="3"/>
  <c r="E1995" i="3"/>
  <c r="D2089" i="1"/>
  <c r="D2086" i="1"/>
  <c r="D2083" i="1"/>
  <c r="D2082" i="1"/>
  <c r="H2089" i="1"/>
  <c r="H2085" i="1"/>
  <c r="H2084" i="1"/>
  <c r="C1883" i="2"/>
  <c r="C1884" i="2"/>
  <c r="C1887" i="2"/>
  <c r="C1882" i="2"/>
  <c r="C1881" i="2"/>
  <c r="C1880" i="2"/>
  <c r="G1887" i="2"/>
  <c r="G1882" i="2"/>
  <c r="G1881" i="2"/>
  <c r="G1880" i="2"/>
  <c r="G1883" i="2"/>
  <c r="G1884" i="2"/>
  <c r="BQ2191" i="2"/>
  <c r="BQ2208" i="2"/>
  <c r="J1912" i="2"/>
  <c r="H566" i="6"/>
  <c r="B1329" i="5"/>
  <c r="E1802" i="4"/>
  <c r="C2058" i="1"/>
  <c r="C2059" i="1"/>
  <c r="G2059" i="1"/>
  <c r="G2058" i="1"/>
  <c r="C1959" i="3"/>
  <c r="G1959" i="3"/>
  <c r="I1959" i="3"/>
  <c r="C1961" i="3"/>
  <c r="G1961" i="3"/>
  <c r="I1961" i="3"/>
  <c r="E1797" i="4"/>
  <c r="I1797" i="4"/>
  <c r="E1794" i="4"/>
  <c r="C1327" i="5"/>
  <c r="C1323" i="5"/>
  <c r="G1323" i="5"/>
  <c r="I1323" i="5"/>
  <c r="C1322" i="5"/>
  <c r="G1327" i="5"/>
  <c r="G1322" i="5"/>
  <c r="E560" i="6"/>
  <c r="E558" i="6"/>
  <c r="I558" i="6"/>
  <c r="E557" i="6"/>
  <c r="E561" i="6"/>
  <c r="E2085" i="1"/>
  <c r="E2089" i="1"/>
  <c r="E2083" i="1"/>
  <c r="E2084" i="1"/>
  <c r="E2086" i="1"/>
  <c r="E2082" i="1"/>
  <c r="D1880" i="2"/>
  <c r="D1887" i="2"/>
  <c r="D1883" i="2"/>
  <c r="D1884" i="2"/>
  <c r="D1881" i="2"/>
  <c r="D1882" i="2"/>
  <c r="H1880" i="2"/>
  <c r="H1887" i="2"/>
  <c r="H1883" i="2"/>
  <c r="H1884" i="2"/>
  <c r="H1881" i="2"/>
  <c r="H1882" i="2"/>
  <c r="AY1636" i="5"/>
  <c r="J1339" i="5"/>
  <c r="B1355" i="5"/>
  <c r="B1356" i="5"/>
  <c r="E1907" i="2"/>
  <c r="E1906" i="2"/>
  <c r="I1844" i="2"/>
  <c r="J1781" i="4"/>
  <c r="G1355" i="5"/>
  <c r="G1356" i="5"/>
  <c r="H1355" i="5"/>
  <c r="H1356" i="5"/>
  <c r="G1987" i="3"/>
  <c r="E1986" i="3"/>
  <c r="I1986" i="3"/>
  <c r="C1987" i="3"/>
  <c r="F1349" i="5"/>
  <c r="F1351" i="5"/>
  <c r="I1351" i="5"/>
  <c r="D1347" i="5"/>
  <c r="I1347" i="5"/>
  <c r="B1348" i="5"/>
  <c r="I1348" i="5"/>
  <c r="B1350" i="5"/>
  <c r="I1350" i="5"/>
  <c r="G1822" i="4"/>
  <c r="C1822" i="4"/>
  <c r="I1872" i="2"/>
  <c r="AY1631" i="5"/>
  <c r="BJ1631" i="5"/>
  <c r="BV2291" i="3"/>
  <c r="J2076" i="3"/>
  <c r="I2092" i="3"/>
  <c r="BY2281" i="3"/>
  <c r="I1379" i="5"/>
  <c r="I2093" i="3"/>
  <c r="BY2282" i="3"/>
  <c r="D2107" i="1"/>
  <c r="E2118" i="1"/>
  <c r="H1917" i="2"/>
  <c r="C1850" i="4"/>
  <c r="C1854" i="4"/>
  <c r="C1847" i="4"/>
  <c r="C1851" i="4"/>
  <c r="C1848" i="4"/>
  <c r="C1849" i="4"/>
  <c r="G1850" i="4"/>
  <c r="G1851" i="4"/>
  <c r="G1847" i="4"/>
  <c r="G1849" i="4"/>
  <c r="G1854" i="4"/>
  <c r="G1848" i="4"/>
  <c r="B618" i="6"/>
  <c r="B613" i="6"/>
  <c r="B614" i="6"/>
  <c r="B611" i="6"/>
  <c r="B612" i="6"/>
  <c r="B615" i="6"/>
  <c r="F618" i="6"/>
  <c r="F613" i="6"/>
  <c r="F614" i="6"/>
  <c r="F611" i="6"/>
  <c r="F612" i="6"/>
  <c r="F615" i="6"/>
  <c r="G2135" i="1"/>
  <c r="G2134" i="1"/>
  <c r="H1935" i="2"/>
  <c r="H1934" i="2"/>
  <c r="E2048" i="3"/>
  <c r="E2049" i="3"/>
  <c r="BW2285" i="3"/>
  <c r="BW2301" i="3"/>
  <c r="J2042" i="3"/>
  <c r="BW2283" i="3"/>
  <c r="BW2299" i="3"/>
  <c r="I2045" i="3"/>
  <c r="I2035" i="3"/>
  <c r="BW2278" i="3"/>
  <c r="J2040" i="3"/>
  <c r="H1872" i="4"/>
  <c r="H1873" i="4"/>
  <c r="D1872" i="4"/>
  <c r="D1873" i="4"/>
  <c r="D1400" i="5"/>
  <c r="D1399" i="5"/>
  <c r="C1399" i="5"/>
  <c r="C1400" i="5"/>
  <c r="D2139" i="1"/>
  <c r="D2136" i="1"/>
  <c r="D2138" i="1"/>
  <c r="D2143" i="1"/>
  <c r="D2137" i="1"/>
  <c r="D2140" i="1"/>
  <c r="F1943" i="2"/>
  <c r="F1939" i="2"/>
  <c r="F1940" i="2"/>
  <c r="F1937" i="2"/>
  <c r="F1938" i="2"/>
  <c r="F1936" i="2"/>
  <c r="D1854" i="4"/>
  <c r="D1850" i="4"/>
  <c r="D1851" i="4"/>
  <c r="D1848" i="4"/>
  <c r="D1849" i="4"/>
  <c r="D1847" i="4"/>
  <c r="H1854" i="4"/>
  <c r="H1850" i="4"/>
  <c r="H1851" i="4"/>
  <c r="H1848" i="4"/>
  <c r="H1849" i="4"/>
  <c r="H1847" i="4"/>
  <c r="C613" i="6"/>
  <c r="C615" i="6"/>
  <c r="C611" i="6"/>
  <c r="C614" i="6"/>
  <c r="C618" i="6"/>
  <c r="C612" i="6"/>
  <c r="G614" i="6"/>
  <c r="G618" i="6"/>
  <c r="G612" i="6"/>
  <c r="G613" i="6"/>
  <c r="G615" i="6"/>
  <c r="G611" i="6"/>
  <c r="E2135" i="1"/>
  <c r="E2134" i="1"/>
  <c r="H2038" i="3"/>
  <c r="H2039" i="3"/>
  <c r="B1399" i="5"/>
  <c r="B1400" i="5"/>
  <c r="Y903" i="6"/>
  <c r="B2139" i="1"/>
  <c r="B2143" i="1"/>
  <c r="I2141" i="1"/>
  <c r="B2138" i="1"/>
  <c r="B2140" i="1"/>
  <c r="B2137" i="1"/>
  <c r="B2136" i="1"/>
  <c r="H2136" i="1"/>
  <c r="H2138" i="1"/>
  <c r="H2139" i="1"/>
  <c r="H2140" i="1"/>
  <c r="H2143" i="1"/>
  <c r="H2137" i="1"/>
  <c r="D1349" i="5"/>
  <c r="I1349" i="5"/>
  <c r="J2107" i="1"/>
  <c r="J2117" i="1"/>
  <c r="I2103" i="1"/>
  <c r="BY2379" i="1"/>
  <c r="J1374" i="5"/>
  <c r="I647" i="6"/>
  <c r="J2103" i="3"/>
  <c r="F1907" i="2"/>
  <c r="H2117" i="1"/>
  <c r="H2118" i="1"/>
  <c r="I2104" i="1"/>
  <c r="BY2380" i="1"/>
  <c r="BY2387" i="1"/>
  <c r="BY2404" i="1"/>
  <c r="BY2408" i="1"/>
  <c r="J2111" i="1"/>
  <c r="J2104" i="1"/>
  <c r="D1917" i="2"/>
  <c r="J2016" i="3"/>
  <c r="J2009" i="3"/>
  <c r="BV2286" i="3"/>
  <c r="BV2302" i="3"/>
  <c r="BV2305" i="3"/>
  <c r="H2022" i="3"/>
  <c r="E1848" i="4"/>
  <c r="E1849" i="4"/>
  <c r="E1847" i="4"/>
  <c r="E1854" i="4"/>
  <c r="E1850" i="4"/>
  <c r="E1851" i="4"/>
  <c r="D612" i="6"/>
  <c r="D615" i="6"/>
  <c r="D618" i="6"/>
  <c r="D613" i="6"/>
  <c r="D614" i="6"/>
  <c r="D611" i="6"/>
  <c r="H612" i="6"/>
  <c r="H615" i="6"/>
  <c r="H618" i="6"/>
  <c r="H613" i="6"/>
  <c r="H614" i="6"/>
  <c r="H611" i="6"/>
  <c r="D1934" i="2"/>
  <c r="D1935" i="2"/>
  <c r="G2039" i="3"/>
  <c r="G2038" i="3"/>
  <c r="B2039" i="3"/>
  <c r="B2038" i="3"/>
  <c r="F2038" i="3"/>
  <c r="F2039" i="3"/>
  <c r="BW2287" i="3"/>
  <c r="BW2303" i="3"/>
  <c r="J2044" i="3"/>
  <c r="G1399" i="5"/>
  <c r="G1400" i="5"/>
  <c r="B1943" i="2"/>
  <c r="B1939" i="2"/>
  <c r="E1939" i="2"/>
  <c r="I1939" i="2"/>
  <c r="B1940" i="2"/>
  <c r="B1937" i="2"/>
  <c r="B1938" i="2"/>
  <c r="B1936" i="2"/>
  <c r="E1936" i="2"/>
  <c r="I1936" i="2"/>
  <c r="BW2286" i="3"/>
  <c r="BW2302" i="3"/>
  <c r="J2043" i="3"/>
  <c r="B2118" i="1"/>
  <c r="B1849" i="4"/>
  <c r="F1849" i="4"/>
  <c r="I1849" i="4"/>
  <c r="B1847" i="4"/>
  <c r="B1854" i="4"/>
  <c r="B1850" i="4"/>
  <c r="B1851" i="4"/>
  <c r="F1851" i="4"/>
  <c r="I1851" i="4"/>
  <c r="B1848" i="4"/>
  <c r="F1847" i="4"/>
  <c r="F1854" i="4"/>
  <c r="F1850" i="4"/>
  <c r="F1848" i="4"/>
  <c r="E613" i="6"/>
  <c r="E612" i="6"/>
  <c r="E615" i="6"/>
  <c r="E618" i="6"/>
  <c r="E611" i="6"/>
  <c r="E614" i="6"/>
  <c r="C2135" i="1"/>
  <c r="C2134" i="1"/>
  <c r="C2038" i="3"/>
  <c r="C2039" i="3"/>
  <c r="F1400" i="5"/>
  <c r="F1399" i="5"/>
  <c r="E1400" i="5"/>
  <c r="E1399" i="5"/>
  <c r="F2138" i="1"/>
  <c r="F2139" i="1"/>
  <c r="F2143" i="1"/>
  <c r="F2136" i="1"/>
  <c r="F2140" i="1"/>
  <c r="F2137" i="1"/>
  <c r="E1938" i="2"/>
  <c r="E1943" i="2"/>
  <c r="E1937" i="2"/>
  <c r="E1940" i="2"/>
  <c r="J2087" i="3"/>
  <c r="J2046" i="3"/>
  <c r="BY2288" i="3"/>
  <c r="D2048" i="3"/>
  <c r="D2049" i="3"/>
  <c r="C1882" i="4"/>
  <c r="C1883" i="4"/>
  <c r="E2137" i="1"/>
  <c r="H1405" i="5"/>
  <c r="I1405" i="5"/>
  <c r="H1403" i="5"/>
  <c r="D1403" i="5"/>
  <c r="I1403" i="5"/>
  <c r="F1402" i="5"/>
  <c r="I1402" i="5"/>
  <c r="C1943" i="2"/>
  <c r="F1404" i="5"/>
  <c r="C1937" i="2"/>
  <c r="C2172" i="1"/>
  <c r="B2167" i="1"/>
  <c r="B2166" i="1"/>
  <c r="B2165" i="1"/>
  <c r="B2164" i="1"/>
  <c r="B2163" i="1"/>
  <c r="I2168" i="1"/>
  <c r="F2167" i="1"/>
  <c r="F2164" i="1"/>
  <c r="F2165" i="1"/>
  <c r="F2163" i="1"/>
  <c r="F2170" i="1"/>
  <c r="F2166" i="1"/>
  <c r="D1966" i="2"/>
  <c r="D1964" i="2"/>
  <c r="D1971" i="2"/>
  <c r="D1967" i="2"/>
  <c r="D1968" i="2"/>
  <c r="D1965" i="2"/>
  <c r="H1966" i="2"/>
  <c r="H1964" i="2"/>
  <c r="H1968" i="2"/>
  <c r="H1965" i="2"/>
  <c r="B1432" i="5"/>
  <c r="B1430" i="5"/>
  <c r="B1431" i="5"/>
  <c r="B1428" i="5"/>
  <c r="B1435" i="5"/>
  <c r="B1429" i="5"/>
  <c r="F1431" i="5"/>
  <c r="F1428" i="5"/>
  <c r="F1435" i="5"/>
  <c r="F1429" i="5"/>
  <c r="F1432" i="5"/>
  <c r="F1430" i="5"/>
  <c r="D672" i="6"/>
  <c r="D668" i="6"/>
  <c r="D669" i="6"/>
  <c r="D666" i="6"/>
  <c r="D667" i="6"/>
  <c r="D665" i="6"/>
  <c r="H672" i="6"/>
  <c r="H668" i="6"/>
  <c r="H669" i="6"/>
  <c r="H667" i="6"/>
  <c r="H666" i="6"/>
  <c r="H665" i="6"/>
  <c r="E2189" i="1"/>
  <c r="E2188" i="1"/>
  <c r="F2092" i="3"/>
  <c r="F2093" i="3"/>
  <c r="E1454" i="5"/>
  <c r="E1453" i="5"/>
  <c r="B1453" i="5"/>
  <c r="B1454" i="5"/>
  <c r="H691" i="6"/>
  <c r="H690" i="6"/>
  <c r="G690" i="6"/>
  <c r="G691" i="6"/>
  <c r="G1927" i="4"/>
  <c r="G1926" i="4"/>
  <c r="G2190" i="1"/>
  <c r="G2197" i="1"/>
  <c r="G2191" i="1"/>
  <c r="G2194" i="1"/>
  <c r="G2193" i="1"/>
  <c r="G2192" i="1"/>
  <c r="F1996" i="2"/>
  <c r="F1993" i="2"/>
  <c r="F1994" i="2"/>
  <c r="F1992" i="2"/>
  <c r="F1999" i="2"/>
  <c r="F1995" i="2"/>
  <c r="H1383" i="5"/>
  <c r="BX2305" i="3"/>
  <c r="C2166" i="1"/>
  <c r="C2164" i="1"/>
  <c r="C2163" i="1"/>
  <c r="C2167" i="1"/>
  <c r="C2165" i="1"/>
  <c r="G2166" i="1"/>
  <c r="G2163" i="1"/>
  <c r="G2164" i="1"/>
  <c r="G2167" i="1"/>
  <c r="G2165" i="1"/>
  <c r="E1966" i="2"/>
  <c r="E1971" i="2"/>
  <c r="E1964" i="2"/>
  <c r="E1965" i="2"/>
  <c r="E1967" i="2"/>
  <c r="E1968" i="2"/>
  <c r="C1428" i="5"/>
  <c r="C1431" i="5"/>
  <c r="C1435" i="5"/>
  <c r="C1429" i="5"/>
  <c r="C1430" i="5"/>
  <c r="C1432" i="5"/>
  <c r="G1435" i="5"/>
  <c r="G1429" i="5"/>
  <c r="G1430" i="5"/>
  <c r="G1432" i="5"/>
  <c r="G1428" i="5"/>
  <c r="G1431" i="5"/>
  <c r="E666" i="6"/>
  <c r="E665" i="6"/>
  <c r="E668" i="6"/>
  <c r="E669" i="6"/>
  <c r="E672" i="6"/>
  <c r="E667" i="6"/>
  <c r="D1990" i="2"/>
  <c r="D1991" i="2"/>
  <c r="BY2305" i="3"/>
  <c r="H1453" i="5"/>
  <c r="H1454" i="5"/>
  <c r="F691" i="6"/>
  <c r="F690" i="6"/>
  <c r="E691" i="6"/>
  <c r="E690" i="6"/>
  <c r="G1454" i="5"/>
  <c r="G1453" i="5"/>
  <c r="B2194" i="1"/>
  <c r="B2193" i="1"/>
  <c r="B2190" i="1"/>
  <c r="B2191" i="1"/>
  <c r="B2197" i="1"/>
  <c r="B2192" i="1"/>
  <c r="I2195" i="1"/>
  <c r="G1994" i="2"/>
  <c r="G1995" i="2"/>
  <c r="G1992" i="2"/>
  <c r="G1999" i="2"/>
  <c r="G1993" i="2"/>
  <c r="G1996" i="2"/>
  <c r="J2142" i="1"/>
  <c r="E2139" i="1"/>
  <c r="G1877" i="4"/>
  <c r="I1877" i="4"/>
  <c r="F1401" i="5"/>
  <c r="D1401" i="5"/>
  <c r="B1404" i="5"/>
  <c r="I1404" i="5"/>
  <c r="G1874" i="4"/>
  <c r="I1874" i="4"/>
  <c r="G2172" i="1"/>
  <c r="H1973" i="2"/>
  <c r="BC1647" i="5"/>
  <c r="BC1664" i="5"/>
  <c r="BC1667" i="5"/>
  <c r="D2165" i="1"/>
  <c r="D2163" i="1"/>
  <c r="D2166" i="1"/>
  <c r="D2164" i="1"/>
  <c r="D2167" i="1"/>
  <c r="D2170" i="1"/>
  <c r="H2166" i="1"/>
  <c r="H2167" i="1"/>
  <c r="H2164" i="1"/>
  <c r="H2165" i="1"/>
  <c r="H2163" i="1"/>
  <c r="B1971" i="2"/>
  <c r="B1967" i="2"/>
  <c r="B1968" i="2"/>
  <c r="B1965" i="2"/>
  <c r="B1966" i="2"/>
  <c r="B1964" i="2"/>
  <c r="F1971" i="2"/>
  <c r="F1967" i="2"/>
  <c r="F1968" i="2"/>
  <c r="F1965" i="2"/>
  <c r="F1964" i="2"/>
  <c r="D1431" i="5"/>
  <c r="D1428" i="5"/>
  <c r="D1429" i="5"/>
  <c r="D1432" i="5"/>
  <c r="D1435" i="5"/>
  <c r="D1430" i="5"/>
  <c r="H1432" i="5"/>
  <c r="H1435" i="5"/>
  <c r="H1430" i="5"/>
  <c r="H1431" i="5"/>
  <c r="H1428" i="5"/>
  <c r="H1429" i="5"/>
  <c r="B667" i="6"/>
  <c r="B665" i="6"/>
  <c r="B672" i="6"/>
  <c r="B668" i="6"/>
  <c r="B669" i="6"/>
  <c r="B666" i="6"/>
  <c r="F667" i="6"/>
  <c r="F665" i="6"/>
  <c r="F672" i="6"/>
  <c r="F668" i="6"/>
  <c r="F669" i="6"/>
  <c r="F666" i="6"/>
  <c r="G2093" i="3"/>
  <c r="G2092" i="3"/>
  <c r="E2092" i="3"/>
  <c r="E2093" i="3"/>
  <c r="D1453" i="5"/>
  <c r="D1454" i="5"/>
  <c r="J1458" i="5"/>
  <c r="J1451" i="5"/>
  <c r="D690" i="6"/>
  <c r="D691" i="6"/>
  <c r="C690" i="6"/>
  <c r="C691" i="6"/>
  <c r="C1454" i="5"/>
  <c r="C1453" i="5"/>
  <c r="E1991" i="2"/>
  <c r="E1990" i="2"/>
  <c r="C2194" i="1"/>
  <c r="C2193" i="1"/>
  <c r="C2197" i="1"/>
  <c r="C2192" i="1"/>
  <c r="C2190" i="1"/>
  <c r="C2191" i="1"/>
  <c r="B1996" i="2"/>
  <c r="B1993" i="2"/>
  <c r="H1993" i="2"/>
  <c r="I1993" i="2"/>
  <c r="B1994" i="2"/>
  <c r="B1992" i="2"/>
  <c r="H1992" i="2"/>
  <c r="I1992" i="2"/>
  <c r="B1999" i="2"/>
  <c r="B1995" i="2"/>
  <c r="H1995" i="2"/>
  <c r="I1995" i="2"/>
  <c r="H1999" i="2"/>
  <c r="H1996" i="2"/>
  <c r="H1994" i="2"/>
  <c r="H1401" i="5"/>
  <c r="H1408" i="5"/>
  <c r="E647" i="6"/>
  <c r="J624" i="6"/>
  <c r="Y867" i="6"/>
  <c r="Y894" i="6"/>
  <c r="E2163" i="1"/>
  <c r="E2166" i="1"/>
  <c r="E2164" i="1"/>
  <c r="E2167" i="1"/>
  <c r="E2165" i="1"/>
  <c r="E2170" i="1"/>
  <c r="C1965" i="2"/>
  <c r="C1964" i="2"/>
  <c r="C1967" i="2"/>
  <c r="C1971" i="2"/>
  <c r="C1966" i="2"/>
  <c r="G1967" i="2"/>
  <c r="G1971" i="2"/>
  <c r="G1966" i="2"/>
  <c r="G1965" i="2"/>
  <c r="E1429" i="5"/>
  <c r="E1432" i="5"/>
  <c r="E1435" i="5"/>
  <c r="E1430" i="5"/>
  <c r="E1431" i="5"/>
  <c r="E1428" i="5"/>
  <c r="C668" i="6"/>
  <c r="C672" i="6"/>
  <c r="C669" i="6"/>
  <c r="C666" i="6"/>
  <c r="C667" i="6"/>
  <c r="C665" i="6"/>
  <c r="G666" i="6"/>
  <c r="G667" i="6"/>
  <c r="G665" i="6"/>
  <c r="G668" i="6"/>
  <c r="G672" i="6"/>
  <c r="G669" i="6"/>
  <c r="C2092" i="3"/>
  <c r="C2093" i="3"/>
  <c r="F1453" i="5"/>
  <c r="F1454" i="5"/>
  <c r="B690" i="6"/>
  <c r="B691" i="6"/>
  <c r="AA884" i="6"/>
  <c r="AA900" i="6"/>
  <c r="AA903" i="6"/>
  <c r="J695" i="6"/>
  <c r="J688" i="6"/>
  <c r="E1927" i="4"/>
  <c r="E1926" i="4"/>
  <c r="F2192" i="1"/>
  <c r="F2194" i="1"/>
  <c r="F2193" i="1"/>
  <c r="F2197" i="1"/>
  <c r="F2190" i="1"/>
  <c r="F2191" i="1"/>
  <c r="C2000" i="2"/>
  <c r="C2001" i="2"/>
  <c r="D2075" i="3"/>
  <c r="D2076" i="3"/>
  <c r="B1909" i="4"/>
  <c r="B1910" i="4"/>
  <c r="D2102" i="3"/>
  <c r="D2103" i="3"/>
  <c r="B2102" i="3"/>
  <c r="B2103" i="3"/>
  <c r="H2102" i="3"/>
  <c r="H2103" i="3"/>
  <c r="H2198" i="1"/>
  <c r="H2199" i="1"/>
  <c r="D2190" i="1"/>
  <c r="H2192" i="1"/>
  <c r="G2019" i="2"/>
  <c r="G2128" i="3"/>
  <c r="G2124" i="3"/>
  <c r="G2125" i="3"/>
  <c r="G2123" i="3"/>
  <c r="G2122" i="3"/>
  <c r="G2121" i="3"/>
  <c r="D1955" i="4"/>
  <c r="D1962" i="4"/>
  <c r="D1958" i="4"/>
  <c r="D1959" i="4"/>
  <c r="D1956" i="4"/>
  <c r="D1957" i="4"/>
  <c r="E1485" i="5"/>
  <c r="E1486" i="5"/>
  <c r="E1482" i="5"/>
  <c r="E1484" i="5"/>
  <c r="E1489" i="5"/>
  <c r="E1483" i="5"/>
  <c r="E720" i="6"/>
  <c r="E726" i="6"/>
  <c r="E722" i="6"/>
  <c r="E721" i="6"/>
  <c r="E723" i="6"/>
  <c r="E719" i="6"/>
  <c r="B2243" i="1"/>
  <c r="B2242" i="1"/>
  <c r="F2242" i="1"/>
  <c r="F2243" i="1"/>
  <c r="H1981" i="4"/>
  <c r="H1980" i="4"/>
  <c r="G2270" i="1"/>
  <c r="G2269" i="1"/>
  <c r="F2146" i="3"/>
  <c r="F2147" i="3"/>
  <c r="E2147" i="3"/>
  <c r="E2146" i="3"/>
  <c r="H745" i="6"/>
  <c r="H744" i="6"/>
  <c r="D744" i="6"/>
  <c r="D745" i="6"/>
  <c r="G1981" i="4"/>
  <c r="G1980" i="4"/>
  <c r="BF1667" i="5"/>
  <c r="B2124" i="3"/>
  <c r="B2121" i="3"/>
  <c r="B2122" i="3"/>
  <c r="B2125" i="3"/>
  <c r="B2123" i="3"/>
  <c r="B2128" i="3"/>
  <c r="H2124" i="3"/>
  <c r="H2121" i="3"/>
  <c r="H2122" i="3"/>
  <c r="H2125" i="3"/>
  <c r="H2123" i="3"/>
  <c r="H2128" i="3"/>
  <c r="E1958" i="4"/>
  <c r="E1956" i="4"/>
  <c r="E1955" i="4"/>
  <c r="E1959" i="4"/>
  <c r="E1957" i="4"/>
  <c r="E1962" i="4"/>
  <c r="F1489" i="5"/>
  <c r="F1486" i="5"/>
  <c r="F1485" i="5"/>
  <c r="F1484" i="5"/>
  <c r="F1483" i="5"/>
  <c r="F1482" i="5"/>
  <c r="B722" i="6"/>
  <c r="B719" i="6"/>
  <c r="B720" i="6"/>
  <c r="B723" i="6"/>
  <c r="B726" i="6"/>
  <c r="B721" i="6"/>
  <c r="F722" i="6"/>
  <c r="F719" i="6"/>
  <c r="F720" i="6"/>
  <c r="F723" i="6"/>
  <c r="F726" i="6"/>
  <c r="F721" i="6"/>
  <c r="B1980" i="4"/>
  <c r="B1981" i="4"/>
  <c r="D2146" i="3"/>
  <c r="D2147" i="3"/>
  <c r="C2147" i="3"/>
  <c r="C2146" i="3"/>
  <c r="B2156" i="3"/>
  <c r="B2157" i="3"/>
  <c r="I2182" i="1"/>
  <c r="H2190" i="1"/>
  <c r="F2216" i="1"/>
  <c r="G2216" i="1"/>
  <c r="CC2408" i="1"/>
  <c r="F1955" i="4"/>
  <c r="F1958" i="4"/>
  <c r="F1959" i="4"/>
  <c r="F1956" i="4"/>
  <c r="F1962" i="4"/>
  <c r="F1957" i="4"/>
  <c r="C720" i="6"/>
  <c r="C723" i="6"/>
  <c r="C721" i="6"/>
  <c r="C722" i="6"/>
  <c r="C719" i="6"/>
  <c r="C726" i="6"/>
  <c r="G719" i="6"/>
  <c r="G722" i="6"/>
  <c r="G726" i="6"/>
  <c r="G720" i="6"/>
  <c r="G723" i="6"/>
  <c r="G721" i="6"/>
  <c r="D1981" i="4"/>
  <c r="D1980" i="4"/>
  <c r="E2243" i="1"/>
  <c r="E2242" i="1"/>
  <c r="G2147" i="3"/>
  <c r="G2146" i="3"/>
  <c r="CA2283" i="3"/>
  <c r="CA2299" i="3"/>
  <c r="I2153" i="3"/>
  <c r="J2148" i="3"/>
  <c r="F745" i="6"/>
  <c r="F744" i="6"/>
  <c r="B744" i="6"/>
  <c r="B745" i="6"/>
  <c r="C1507" i="5"/>
  <c r="C1508" i="5"/>
  <c r="F2122" i="3"/>
  <c r="F2125" i="3"/>
  <c r="F2128" i="3"/>
  <c r="F2123" i="3"/>
  <c r="F2124" i="3"/>
  <c r="F2121" i="3"/>
  <c r="C1958" i="4"/>
  <c r="I1958" i="4"/>
  <c r="C1959" i="4"/>
  <c r="C1957" i="4"/>
  <c r="I1957" i="4"/>
  <c r="C1962" i="4"/>
  <c r="C1956" i="4"/>
  <c r="I1956" i="4"/>
  <c r="C1955" i="4"/>
  <c r="B1489" i="5"/>
  <c r="B1486" i="5"/>
  <c r="B1485" i="5"/>
  <c r="I1485" i="5"/>
  <c r="B1484" i="5"/>
  <c r="B1483" i="5"/>
  <c r="I1483" i="5"/>
  <c r="B1482" i="5"/>
  <c r="I1482" i="5"/>
  <c r="D723" i="6"/>
  <c r="D726" i="6"/>
  <c r="D721" i="6"/>
  <c r="D722" i="6"/>
  <c r="D719" i="6"/>
  <c r="D720" i="6"/>
  <c r="H723" i="6"/>
  <c r="H726" i="6"/>
  <c r="H721" i="6"/>
  <c r="H722" i="6"/>
  <c r="H719" i="6"/>
  <c r="H720" i="6"/>
  <c r="H2242" i="1"/>
  <c r="H2243" i="1"/>
  <c r="F1980" i="4"/>
  <c r="F1981" i="4"/>
  <c r="BE1667" i="5"/>
  <c r="E2270" i="1"/>
  <c r="E2269" i="1"/>
  <c r="H2146" i="3"/>
  <c r="H2147" i="3"/>
  <c r="CA2285" i="3"/>
  <c r="CA2301" i="3"/>
  <c r="J2150" i="3"/>
  <c r="I2143" i="3"/>
  <c r="CA2278" i="3"/>
  <c r="G744" i="6"/>
  <c r="G745" i="6"/>
  <c r="C744" i="6"/>
  <c r="C745" i="6"/>
  <c r="C2129" i="3"/>
  <c r="C2130" i="3"/>
  <c r="I1977" i="4"/>
  <c r="BV2112" i="4"/>
  <c r="I1975" i="4"/>
  <c r="BV2110" i="4"/>
  <c r="BV2189" i="2"/>
  <c r="BV2206" i="2"/>
  <c r="BV2121" i="4"/>
  <c r="BV2138" i="4"/>
  <c r="BV2140" i="4"/>
  <c r="J2051" i="2"/>
  <c r="D2057" i="2"/>
  <c r="F2057" i="2"/>
  <c r="E2245" i="1"/>
  <c r="E2246" i="1"/>
  <c r="B2048" i="2"/>
  <c r="I2048" i="2"/>
  <c r="B2055" i="2"/>
  <c r="E747" i="6"/>
  <c r="I747" i="6"/>
  <c r="E753" i="6"/>
  <c r="D2275" i="1"/>
  <c r="I2275" i="1"/>
  <c r="H2083" i="2"/>
  <c r="H2078" i="2"/>
  <c r="H2080" i="2"/>
  <c r="H2079" i="2"/>
  <c r="H2076" i="2"/>
  <c r="H2077" i="2"/>
  <c r="J2037" i="2"/>
  <c r="I2040" i="2"/>
  <c r="BV2178" i="2"/>
  <c r="C2249" i="1"/>
  <c r="C2251" i="1"/>
  <c r="G2249" i="1"/>
  <c r="CB2305" i="3"/>
  <c r="I2014" i="4"/>
  <c r="G2083" i="2"/>
  <c r="G2078" i="2"/>
  <c r="F2078" i="2"/>
  <c r="I2078" i="2"/>
  <c r="G2079" i="2"/>
  <c r="G2076" i="2"/>
  <c r="I2076" i="2"/>
  <c r="G2077" i="2"/>
  <c r="G2080" i="2"/>
  <c r="J759" i="6"/>
  <c r="J772" i="6"/>
  <c r="AD867" i="6"/>
  <c r="AD894" i="6"/>
  <c r="F2083" i="2"/>
  <c r="F2077" i="2"/>
  <c r="I2077" i="2"/>
  <c r="H2272" i="1"/>
  <c r="I2272" i="1"/>
  <c r="B2079" i="2"/>
  <c r="I2079" i="2"/>
  <c r="F2080" i="2"/>
  <c r="I2080" i="2"/>
  <c r="F2296" i="1"/>
  <c r="F2297" i="1"/>
  <c r="E2103" i="2"/>
  <c r="E2102" i="2"/>
  <c r="H2296" i="1"/>
  <c r="H2297" i="1"/>
  <c r="H2102" i="2"/>
  <c r="H2103" i="2"/>
  <c r="D2102" i="2"/>
  <c r="D2103" i="2"/>
  <c r="I2167" i="3"/>
  <c r="B2210" i="3"/>
  <c r="B2211" i="3"/>
  <c r="E2297" i="1"/>
  <c r="E2296" i="1"/>
  <c r="D2296" i="1"/>
  <c r="D2297" i="1"/>
  <c r="B2296" i="1"/>
  <c r="B2297" i="1"/>
  <c r="C2297" i="1"/>
  <c r="C2296" i="1"/>
  <c r="B2102" i="2"/>
  <c r="B2103" i="2"/>
  <c r="BX2188" i="2"/>
  <c r="BX2205" i="2"/>
  <c r="J2105" i="2"/>
  <c r="J2106" i="2"/>
  <c r="J800" i="6"/>
  <c r="D2210" i="3"/>
  <c r="D2211" i="3"/>
  <c r="H2210" i="3"/>
  <c r="H2211" i="3"/>
  <c r="CG2393" i="1"/>
  <c r="CF2387" i="1"/>
  <c r="CF2404" i="1"/>
  <c r="F2112" i="2"/>
  <c r="F2113" i="2"/>
  <c r="D2204" i="3"/>
  <c r="I2204" i="3"/>
  <c r="F2211" i="3"/>
  <c r="H1572" i="5"/>
  <c r="C2206" i="3"/>
  <c r="C2203" i="3"/>
  <c r="D2203" i="3"/>
  <c r="E2203" i="3"/>
  <c r="G2203" i="3"/>
  <c r="I2203" i="3"/>
  <c r="C2202" i="3"/>
  <c r="G2202" i="3"/>
  <c r="G2206" i="3"/>
  <c r="B2037" i="4"/>
  <c r="B2043" i="4"/>
  <c r="B2038" i="4"/>
  <c r="F2037" i="4"/>
  <c r="F2043" i="4"/>
  <c r="F2038" i="4"/>
  <c r="E1564" i="5"/>
  <c r="F1564" i="5"/>
  <c r="I1564" i="5"/>
  <c r="E1563" i="5"/>
  <c r="E1570" i="5"/>
  <c r="E1567" i="5"/>
  <c r="D807" i="6"/>
  <c r="D802" i="6"/>
  <c r="D801" i="6"/>
  <c r="H807" i="6"/>
  <c r="H802" i="6"/>
  <c r="H801" i="6"/>
  <c r="F2227" i="3"/>
  <c r="F2228" i="3"/>
  <c r="D2202" i="3"/>
  <c r="F2202" i="3"/>
  <c r="I2202" i="3"/>
  <c r="D2205" i="3"/>
  <c r="C2037" i="4"/>
  <c r="C2038" i="4"/>
  <c r="C2036" i="4"/>
  <c r="G2037" i="4"/>
  <c r="G2036" i="4"/>
  <c r="G2038" i="4"/>
  <c r="B1567" i="5"/>
  <c r="B1566" i="5"/>
  <c r="B1563" i="5"/>
  <c r="F1566" i="5"/>
  <c r="F1563" i="5"/>
  <c r="F1567" i="5"/>
  <c r="E801" i="6"/>
  <c r="E807" i="6"/>
  <c r="E804" i="6"/>
  <c r="BX2173" i="2"/>
  <c r="BX2201" i="2"/>
  <c r="J2090" i="2"/>
  <c r="J2188" i="3"/>
  <c r="CC2269" i="3"/>
  <c r="CC2296" i="3"/>
  <c r="J786" i="6"/>
  <c r="AE867" i="6"/>
  <c r="AE894" i="6"/>
  <c r="B2228" i="3"/>
  <c r="B2227" i="3"/>
  <c r="C2237" i="3"/>
  <c r="C2238" i="3"/>
  <c r="J2104" i="2"/>
  <c r="I2306" i="1"/>
  <c r="C2045" i="4"/>
  <c r="B1572" i="5"/>
  <c r="G804" i="6"/>
  <c r="F2324" i="1"/>
  <c r="C2301" i="1"/>
  <c r="G2301" i="1"/>
  <c r="I2301" i="1"/>
  <c r="C2302" i="1"/>
  <c r="G2302" i="1"/>
  <c r="E2205" i="3"/>
  <c r="E2209" i="3"/>
  <c r="D2043" i="4"/>
  <c r="D2038" i="4"/>
  <c r="D2037" i="4"/>
  <c r="H2043" i="4"/>
  <c r="H2037" i="4"/>
  <c r="H2038" i="4"/>
  <c r="C1570" i="5"/>
  <c r="C1565" i="5"/>
  <c r="G1565" i="5"/>
  <c r="I1565" i="5"/>
  <c r="G1570" i="5"/>
  <c r="B801" i="6"/>
  <c r="B807" i="6"/>
  <c r="B802" i="6"/>
  <c r="F801" i="6"/>
  <c r="F807" i="6"/>
  <c r="F802" i="6"/>
  <c r="D1572" i="5"/>
  <c r="C2111" i="2"/>
  <c r="C2107" i="2"/>
  <c r="G2107" i="2"/>
  <c r="I2107" i="2"/>
  <c r="G2111" i="2"/>
  <c r="F2205" i="3"/>
  <c r="F2206" i="3"/>
  <c r="E2036" i="4"/>
  <c r="E2040" i="4"/>
  <c r="I2040" i="4"/>
  <c r="E2039" i="4"/>
  <c r="I2039" i="4"/>
  <c r="D1566" i="5"/>
  <c r="D1563" i="5"/>
  <c r="D1567" i="5"/>
  <c r="H1567" i="5"/>
  <c r="H1566" i="5"/>
  <c r="H1563" i="5"/>
  <c r="C803" i="6"/>
  <c r="C807" i="6"/>
  <c r="C802" i="6"/>
  <c r="G803" i="6"/>
  <c r="G802" i="6"/>
  <c r="G807" i="6"/>
  <c r="J2022" i="4"/>
  <c r="BX2103" i="4"/>
  <c r="BX2131" i="4"/>
  <c r="J1549" i="5"/>
  <c r="BG1630" i="5"/>
  <c r="D2228" i="3"/>
  <c r="D2227" i="3"/>
  <c r="G2333" i="1"/>
  <c r="G2334" i="1"/>
  <c r="G2236" i="3"/>
  <c r="H2067" i="4"/>
  <c r="I2067" i="4"/>
  <c r="H2070" i="4"/>
  <c r="D2066" i="4"/>
  <c r="G2328" i="1"/>
  <c r="G2325" i="1"/>
  <c r="G2329" i="1"/>
  <c r="G2326" i="1"/>
  <c r="E2233" i="3"/>
  <c r="E2230" i="3"/>
  <c r="E2236" i="3"/>
  <c r="E2232" i="3"/>
  <c r="C1593" i="5"/>
  <c r="E1593" i="5"/>
  <c r="G1593" i="5"/>
  <c r="I1593" i="5"/>
  <c r="C1594" i="5"/>
  <c r="C1597" i="5"/>
  <c r="C1592" i="5"/>
  <c r="C1591" i="5"/>
  <c r="E1591" i="5"/>
  <c r="G1591" i="5"/>
  <c r="I1591" i="5"/>
  <c r="H830" i="6"/>
  <c r="H834" i="6"/>
  <c r="H828" i="6"/>
  <c r="J813" i="6"/>
  <c r="AF867" i="6"/>
  <c r="AF894" i="6"/>
  <c r="F2350" i="1"/>
  <c r="F2351" i="1"/>
  <c r="F2159" i="2"/>
  <c r="F2158" i="2"/>
  <c r="D2254" i="3"/>
  <c r="D2255" i="3"/>
  <c r="F2254" i="3"/>
  <c r="F2255" i="3"/>
  <c r="H2238" i="3"/>
  <c r="E2329" i="1"/>
  <c r="E2326" i="1"/>
  <c r="E2328" i="1"/>
  <c r="E2325" i="1"/>
  <c r="B2139" i="2"/>
  <c r="B2135" i="2"/>
  <c r="I2135" i="2"/>
  <c r="C2233" i="3"/>
  <c r="C2230" i="3"/>
  <c r="G2230" i="3"/>
  <c r="I2230" i="3"/>
  <c r="C2231" i="3"/>
  <c r="I2231" i="3"/>
  <c r="C2232" i="3"/>
  <c r="F831" i="6"/>
  <c r="F830" i="6"/>
  <c r="F828" i="6"/>
  <c r="F834" i="6"/>
  <c r="F827" i="6"/>
  <c r="F829" i="6"/>
  <c r="G2351" i="1"/>
  <c r="G2350" i="1"/>
  <c r="B2158" i="2"/>
  <c r="B2159" i="2"/>
  <c r="H2159" i="2"/>
  <c r="H2158" i="2"/>
  <c r="D2158" i="2"/>
  <c r="D2159" i="2"/>
  <c r="H2066" i="4"/>
  <c r="C2328" i="1"/>
  <c r="C2325" i="1"/>
  <c r="I2325" i="1"/>
  <c r="C2329" i="1"/>
  <c r="C2326" i="1"/>
  <c r="I2326" i="1"/>
  <c r="F2070" i="4"/>
  <c r="F2065" i="4"/>
  <c r="I2065" i="4"/>
  <c r="G1592" i="5"/>
  <c r="G1590" i="5"/>
  <c r="G1597" i="5"/>
  <c r="D831" i="6"/>
  <c r="D834" i="6"/>
  <c r="D827" i="6"/>
  <c r="D829" i="6"/>
  <c r="D830" i="6"/>
  <c r="I830" i="6"/>
  <c r="E2159" i="2"/>
  <c r="E2158" i="2"/>
  <c r="B2072" i="4"/>
  <c r="G2232" i="3"/>
  <c r="G2233" i="3"/>
  <c r="D2070" i="4"/>
  <c r="D2064" i="4"/>
  <c r="I2064" i="4"/>
  <c r="E1590" i="5"/>
  <c r="I1590" i="5"/>
  <c r="E1597" i="5"/>
  <c r="E1594" i="5"/>
  <c r="B828" i="6"/>
  <c r="I828" i="6"/>
  <c r="B834" i="6"/>
  <c r="B827" i="6"/>
  <c r="I827" i="6"/>
  <c r="B829" i="6"/>
  <c r="B831" i="6"/>
  <c r="I831" i="6"/>
  <c r="C2351" i="1"/>
  <c r="C2350" i="1"/>
  <c r="E2353" i="1"/>
  <c r="E2352" i="1"/>
  <c r="E2355" i="1"/>
  <c r="E2356" i="1"/>
  <c r="G2163" i="2"/>
  <c r="G2160" i="2"/>
  <c r="G2167" i="2"/>
  <c r="G2161" i="2"/>
  <c r="E2093" i="4"/>
  <c r="E2090" i="4"/>
  <c r="E2094" i="4"/>
  <c r="J453" i="9"/>
  <c r="C931" i="9"/>
  <c r="J465" i="9"/>
  <c r="E931" i="9"/>
  <c r="J477" i="9"/>
  <c r="L972" i="9"/>
  <c r="M972" i="9"/>
  <c r="M976" i="9"/>
  <c r="E977" i="9"/>
  <c r="J859" i="9"/>
  <c r="J1618" i="5"/>
  <c r="C2260" i="3"/>
  <c r="C2257" i="3"/>
  <c r="C2259" i="3"/>
  <c r="G2259" i="3"/>
  <c r="G2260" i="3"/>
  <c r="G2257" i="3"/>
  <c r="B2094" i="4"/>
  <c r="B2093" i="4"/>
  <c r="B2091" i="4"/>
  <c r="F2094" i="4"/>
  <c r="F2093" i="4"/>
  <c r="F2091" i="4"/>
  <c r="L975" i="9"/>
  <c r="M975" i="9"/>
  <c r="G966" i="9"/>
  <c r="K908" i="9"/>
  <c r="K925" i="9"/>
  <c r="L966" i="9"/>
  <c r="M966" i="9"/>
  <c r="C977" i="9"/>
  <c r="J825" i="9"/>
  <c r="J842" i="9"/>
  <c r="G2072" i="4"/>
  <c r="CG2370" i="1"/>
  <c r="CI2370" i="1"/>
  <c r="CJ2370" i="1"/>
  <c r="G2265" i="3"/>
  <c r="C2265" i="3"/>
  <c r="F863" i="6"/>
  <c r="C2352" i="1"/>
  <c r="C2355" i="1"/>
  <c r="G2355" i="1"/>
  <c r="I2355" i="1"/>
  <c r="C2356" i="1"/>
  <c r="C2353" i="1"/>
  <c r="G2353" i="1"/>
  <c r="I2353" i="1"/>
  <c r="G2356" i="1"/>
  <c r="C2163" i="2"/>
  <c r="I2163" i="2"/>
  <c r="C2167" i="2"/>
  <c r="C2161" i="2"/>
  <c r="I2161" i="2"/>
  <c r="C2160" i="2"/>
  <c r="C2094" i="4"/>
  <c r="C2093" i="4"/>
  <c r="C2090" i="4"/>
  <c r="D2090" i="4"/>
  <c r="G2090" i="4"/>
  <c r="I2090" i="4"/>
  <c r="G2094" i="4"/>
  <c r="G2093" i="4"/>
  <c r="F931" i="9"/>
  <c r="J489" i="9"/>
  <c r="J501" i="9"/>
  <c r="G931" i="9"/>
  <c r="J513" i="9"/>
  <c r="L973" i="9"/>
  <c r="M973" i="9"/>
  <c r="G967" i="9"/>
  <c r="K909" i="9"/>
  <c r="K926" i="9"/>
  <c r="L967" i="9"/>
  <c r="M967" i="9"/>
  <c r="K907" i="9"/>
  <c r="G965" i="9"/>
  <c r="F977" i="9"/>
  <c r="J876" i="9"/>
  <c r="E2260" i="3"/>
  <c r="E2257" i="3"/>
  <c r="E2259" i="3"/>
  <c r="D2093" i="4"/>
  <c r="D2097" i="4"/>
  <c r="H2094" i="4"/>
  <c r="H2097" i="4"/>
  <c r="H2091" i="4"/>
  <c r="K924" i="9"/>
  <c r="L965" i="9"/>
  <c r="M965" i="9"/>
  <c r="G964" i="9"/>
  <c r="K906" i="9"/>
  <c r="B977" i="9"/>
  <c r="K977" i="9"/>
  <c r="BI1636" i="5"/>
  <c r="BI1659" i="5"/>
  <c r="B1621" i="5"/>
  <c r="I1621" i="5"/>
  <c r="J846" i="6"/>
  <c r="J852" i="6"/>
  <c r="K958" i="9"/>
  <c r="L974" i="9"/>
  <c r="M974" i="9"/>
  <c r="I791" i="9"/>
  <c r="K945" i="9"/>
  <c r="K928" i="9"/>
  <c r="L969" i="9"/>
  <c r="M969" i="9"/>
  <c r="K903" i="9"/>
  <c r="C883" i="9"/>
  <c r="G971" i="9"/>
  <c r="K929" i="9"/>
  <c r="L970" i="9"/>
  <c r="M970" i="9"/>
  <c r="K910" i="9"/>
  <c r="J66" i="9"/>
  <c r="K930" i="9"/>
  <c r="L971" i="9"/>
  <c r="K922" i="9"/>
  <c r="K896" i="9"/>
  <c r="B889" i="9"/>
  <c r="K889" i="9"/>
  <c r="F883" i="9"/>
  <c r="K927" i="9"/>
  <c r="L968" i="9"/>
  <c r="M968" i="9"/>
  <c r="K923" i="9"/>
  <c r="K920" i="9"/>
  <c r="H883" i="9"/>
  <c r="D883" i="9"/>
  <c r="AF884" i="6"/>
  <c r="AF900" i="6"/>
  <c r="J830" i="6"/>
  <c r="BY2119" i="4"/>
  <c r="BY2136" i="4"/>
  <c r="J2065" i="4"/>
  <c r="H2188" i="1"/>
  <c r="H2189" i="1"/>
  <c r="B1900" i="4"/>
  <c r="B1899" i="4"/>
  <c r="G1346" i="5"/>
  <c r="G1345" i="5"/>
  <c r="U884" i="6"/>
  <c r="U900" i="6"/>
  <c r="J533" i="6"/>
  <c r="CC2284" i="3"/>
  <c r="CC2300" i="3"/>
  <c r="J2203" i="3"/>
  <c r="H2200" i="3"/>
  <c r="H2201" i="3"/>
  <c r="CE2386" i="1"/>
  <c r="CE2403" i="1"/>
  <c r="I2265" i="1"/>
  <c r="CE2379" i="1"/>
  <c r="J2272" i="1"/>
  <c r="J2265" i="1"/>
  <c r="I2081" i="2"/>
  <c r="I2069" i="2"/>
  <c r="BW2180" i="2"/>
  <c r="BW2187" i="2"/>
  <c r="BW2204" i="2"/>
  <c r="J2076" i="2"/>
  <c r="H2092" i="3"/>
  <c r="H2093" i="3"/>
  <c r="D2065" i="3"/>
  <c r="D2066" i="3"/>
  <c r="C1873" i="4"/>
  <c r="C1872" i="4"/>
  <c r="BU2283" i="3"/>
  <c r="BU2299" i="3"/>
  <c r="J1986" i="3"/>
  <c r="V882" i="6"/>
  <c r="V898" i="6"/>
  <c r="J558" i="6"/>
  <c r="BT2284" i="3"/>
  <c r="BT2300" i="3"/>
  <c r="J1960" i="3"/>
  <c r="B1795" i="2"/>
  <c r="B1794" i="2"/>
  <c r="Q881" i="6"/>
  <c r="Q897" i="6"/>
  <c r="J422" i="6"/>
  <c r="S884" i="6"/>
  <c r="S900" i="6"/>
  <c r="J479" i="6"/>
  <c r="E1048" i="5"/>
  <c r="E1049" i="5"/>
  <c r="E1543" i="2"/>
  <c r="E1542" i="2"/>
  <c r="G1730" i="1"/>
  <c r="G1729" i="1"/>
  <c r="H1606" i="3"/>
  <c r="H1607" i="3"/>
  <c r="B1386" i="4"/>
  <c r="B1387" i="4"/>
  <c r="BE2286" i="3"/>
  <c r="BE2302" i="3"/>
  <c r="J1557" i="3"/>
  <c r="F1336" i="3"/>
  <c r="F1337" i="3"/>
  <c r="AY2190" i="2"/>
  <c r="AY2207" i="2"/>
  <c r="J1407" i="2"/>
  <c r="J438" i="4"/>
  <c r="Q2120" i="4"/>
  <c r="Q2137" i="4"/>
  <c r="C1198" i="4"/>
  <c r="C1197" i="4"/>
  <c r="J1136" i="1"/>
  <c r="J1129" i="1"/>
  <c r="I1129" i="1"/>
  <c r="AO2385" i="1"/>
  <c r="AO2402" i="1"/>
  <c r="D1386" i="4"/>
  <c r="D1387" i="4"/>
  <c r="C1171" i="4"/>
  <c r="C1170" i="4"/>
  <c r="J1037" i="4"/>
  <c r="AM2117" i="4"/>
  <c r="AM2134" i="4"/>
  <c r="H1305" i="4"/>
  <c r="H1306" i="4"/>
  <c r="J448" i="1"/>
  <c r="J441" i="1"/>
  <c r="P2389" i="1"/>
  <c r="P2406" i="1"/>
  <c r="I441" i="1"/>
  <c r="J223" i="4"/>
  <c r="I213" i="4"/>
  <c r="I2116" i="4"/>
  <c r="I212" i="4"/>
  <c r="I2115" i="4"/>
  <c r="G2387" i="1"/>
  <c r="J161" i="1"/>
  <c r="J893" i="1"/>
  <c r="J886" i="1"/>
  <c r="I886" i="1"/>
  <c r="AF2387" i="1"/>
  <c r="AF2404" i="1"/>
  <c r="C1229" i="3"/>
  <c r="C1228" i="3"/>
  <c r="H514" i="3"/>
  <c r="H515" i="3"/>
  <c r="C482" i="5"/>
  <c r="C481" i="5"/>
  <c r="F239" i="5"/>
  <c r="F238" i="5"/>
  <c r="C100" i="5"/>
  <c r="C101" i="5"/>
  <c r="F1514" i="1"/>
  <c r="F1513" i="1"/>
  <c r="D694" i="1"/>
  <c r="D693" i="1"/>
  <c r="F443" i="1"/>
  <c r="F442" i="1"/>
  <c r="E1035" i="4"/>
  <c r="E1036" i="4"/>
  <c r="G1170" i="4"/>
  <c r="G1171" i="4"/>
  <c r="B739" i="3"/>
  <c r="B740" i="3"/>
  <c r="D100" i="5"/>
  <c r="D101" i="5"/>
  <c r="D1121" i="3"/>
  <c r="D1120" i="3"/>
  <c r="G972" i="1"/>
  <c r="G973" i="1"/>
  <c r="G1054" i="1"/>
  <c r="G1053" i="1"/>
  <c r="F1568" i="1"/>
  <c r="F1567" i="1"/>
  <c r="F1262" i="2"/>
  <c r="F1263" i="2"/>
  <c r="E43" i="6"/>
  <c r="E42" i="6"/>
  <c r="H1298" i="1"/>
  <c r="H1297" i="1"/>
  <c r="D873" i="4"/>
  <c r="D874" i="4"/>
  <c r="E428" i="5"/>
  <c r="E427" i="5"/>
  <c r="H490" i="4"/>
  <c r="H489" i="4"/>
  <c r="I500" i="4"/>
  <c r="D842" i="2"/>
  <c r="D843" i="2"/>
  <c r="H983" i="2"/>
  <c r="H982" i="2"/>
  <c r="D1621" i="1"/>
  <c r="D1622" i="1"/>
  <c r="C1739" i="2"/>
  <c r="C1738" i="2"/>
  <c r="G367" i="6"/>
  <c r="G366" i="6"/>
  <c r="G285" i="6"/>
  <c r="G286" i="6"/>
  <c r="D1022" i="5"/>
  <c r="D1021" i="5"/>
  <c r="E1606" i="3"/>
  <c r="E1607" i="3"/>
  <c r="BK2386" i="1"/>
  <c r="BK2403" i="1"/>
  <c r="I1725" i="1"/>
  <c r="BK2379" i="1"/>
  <c r="J1732" i="1"/>
  <c r="J1461" i="2"/>
  <c r="BA2188" i="2"/>
  <c r="BA2205" i="2"/>
  <c r="J1201" i="4"/>
  <c r="AS2119" i="4"/>
  <c r="AS2136" i="4"/>
  <c r="AO2386" i="1"/>
  <c r="AO2403" i="1"/>
  <c r="I1130" i="1"/>
  <c r="J1137" i="1"/>
  <c r="J1130" i="1"/>
  <c r="AW2387" i="1"/>
  <c r="AW2404" i="1"/>
  <c r="I1348" i="1"/>
  <c r="J1355" i="1"/>
  <c r="J1348" i="1"/>
  <c r="B151" i="6"/>
  <c r="B150" i="6"/>
  <c r="BG2387" i="1"/>
  <c r="BG2404" i="1"/>
  <c r="J1625" i="1"/>
  <c r="J1618" i="1"/>
  <c r="I1618" i="1"/>
  <c r="BG2380" i="1"/>
  <c r="F1278" i="4"/>
  <c r="F1279" i="4"/>
  <c r="AX2118" i="4"/>
  <c r="AX2135" i="4"/>
  <c r="J1335" i="4"/>
  <c r="I1339" i="4"/>
  <c r="I1328" i="4"/>
  <c r="AX2111" i="4"/>
  <c r="F151" i="6"/>
  <c r="F150" i="6"/>
  <c r="AY2189" i="2"/>
  <c r="AY2206" i="2"/>
  <c r="J1406" i="2"/>
  <c r="I214" i="1"/>
  <c r="I2389" i="1"/>
  <c r="J221" i="1"/>
  <c r="J214" i="1"/>
  <c r="B1202" i="3"/>
  <c r="B1201" i="3"/>
  <c r="F1012" i="3"/>
  <c r="F1013" i="3"/>
  <c r="C461" i="3"/>
  <c r="C460" i="3"/>
  <c r="B400" i="5"/>
  <c r="B401" i="5"/>
  <c r="E212" i="5"/>
  <c r="E211" i="5"/>
  <c r="H73" i="5"/>
  <c r="H72" i="5"/>
  <c r="F1026" i="1"/>
  <c r="F1027" i="1"/>
  <c r="H638" i="1"/>
  <c r="H637" i="1"/>
  <c r="G819" i="4"/>
  <c r="G820" i="4"/>
  <c r="C69" i="6"/>
  <c r="C70" i="6"/>
  <c r="D1255" i="3"/>
  <c r="D1256" i="3"/>
  <c r="C293" i="5"/>
  <c r="C292" i="5"/>
  <c r="D1201" i="3"/>
  <c r="D1202" i="3"/>
  <c r="B972" i="1"/>
  <c r="B973" i="1"/>
  <c r="D1406" i="1"/>
  <c r="D1405" i="1"/>
  <c r="G1297" i="1"/>
  <c r="G1298" i="1"/>
  <c r="B1263" i="2"/>
  <c r="B1262" i="2"/>
  <c r="C589" i="5"/>
  <c r="C590" i="5"/>
  <c r="B1297" i="1"/>
  <c r="B1298" i="1"/>
  <c r="F405" i="4"/>
  <c r="F406" i="4"/>
  <c r="I416" i="4"/>
  <c r="G238" i="5"/>
  <c r="G239" i="5"/>
  <c r="F574" i="4"/>
  <c r="F573" i="4"/>
  <c r="F158" i="2"/>
  <c r="F157" i="2"/>
  <c r="G645" i="2"/>
  <c r="G644" i="2"/>
  <c r="B443" i="1"/>
  <c r="B442" i="1"/>
  <c r="C985" i="3"/>
  <c r="C986" i="3"/>
  <c r="B1255" i="3"/>
  <c r="B1256" i="3"/>
  <c r="D100" i="3"/>
  <c r="D101" i="3"/>
  <c r="G2324" i="1"/>
  <c r="G2323" i="1"/>
  <c r="CF2388" i="1"/>
  <c r="CF2405" i="1"/>
  <c r="J2301" i="1"/>
  <c r="J2294" i="1"/>
  <c r="I2294" i="1"/>
  <c r="CF2381" i="1"/>
  <c r="CC2283" i="3"/>
  <c r="CC2299" i="3"/>
  <c r="J2202" i="3"/>
  <c r="BG1645" i="5"/>
  <c r="BG1662" i="5"/>
  <c r="J1564" i="5"/>
  <c r="F2102" i="2"/>
  <c r="F2103" i="2"/>
  <c r="BW2191" i="2"/>
  <c r="BW2208" i="2"/>
  <c r="J2080" i="2"/>
  <c r="I2073" i="2"/>
  <c r="BW2184" i="2"/>
  <c r="C2119" i="3"/>
  <c r="C2120" i="3"/>
  <c r="B2092" i="3"/>
  <c r="B2093" i="3"/>
  <c r="J1403" i="5"/>
  <c r="BA1646" i="5"/>
  <c r="BA1663" i="5"/>
  <c r="D2038" i="3"/>
  <c r="D2039" i="3"/>
  <c r="AY1648" i="5"/>
  <c r="AY1665" i="5"/>
  <c r="J1351" i="5"/>
  <c r="B1345" i="5"/>
  <c r="B1346" i="5"/>
  <c r="BT2285" i="3"/>
  <c r="BT2301" i="3"/>
  <c r="J1961" i="3"/>
  <c r="BM2189" i="2"/>
  <c r="BM2206" i="2"/>
  <c r="J1798" i="2"/>
  <c r="J2230" i="3"/>
  <c r="CD2284" i="3"/>
  <c r="CD2300" i="3"/>
  <c r="D2200" i="3"/>
  <c r="D2201" i="3"/>
  <c r="I2071" i="2"/>
  <c r="BW2182" i="2"/>
  <c r="J2078" i="2"/>
  <c r="BW2189" i="2"/>
  <c r="BW2206" i="2"/>
  <c r="D2092" i="3"/>
  <c r="D2093" i="3"/>
  <c r="H2108" i="1"/>
  <c r="H2107" i="1"/>
  <c r="AY1646" i="5"/>
  <c r="AY1663" i="5"/>
  <c r="J1349" i="5"/>
  <c r="H1345" i="5"/>
  <c r="H1346" i="5"/>
  <c r="J1959" i="3"/>
  <c r="BT2283" i="3"/>
  <c r="BT2299" i="3"/>
  <c r="J1793" i="4"/>
  <c r="BO2117" i="4"/>
  <c r="BO2134" i="4"/>
  <c r="BT2287" i="3"/>
  <c r="BT2303" i="3"/>
  <c r="J1963" i="3"/>
  <c r="BW2387" i="1"/>
  <c r="BW2404" i="1"/>
  <c r="I2050" i="1"/>
  <c r="BW2380" i="1"/>
  <c r="J2057" i="1"/>
  <c r="J2050" i="1"/>
  <c r="BS2386" i="1"/>
  <c r="BS2403" i="1"/>
  <c r="I1941" i="1"/>
  <c r="BS2379" i="1"/>
  <c r="J1948" i="1"/>
  <c r="J1941" i="1"/>
  <c r="G1739" i="2"/>
  <c r="G1738" i="2"/>
  <c r="AQ1647" i="5"/>
  <c r="AQ1664" i="5"/>
  <c r="J1134" i="5"/>
  <c r="D285" i="6"/>
  <c r="D286" i="6"/>
  <c r="F1021" i="5"/>
  <c r="F1022" i="5"/>
  <c r="B177" i="6"/>
  <c r="B178" i="6"/>
  <c r="F15" i="11"/>
  <c r="F16" i="11"/>
  <c r="C1521" i="4"/>
  <c r="C1522" i="4"/>
  <c r="D17" i="4"/>
  <c r="D18" i="4"/>
  <c r="M2386" i="1"/>
  <c r="J361" i="1"/>
  <c r="J354" i="1"/>
  <c r="I354" i="1"/>
  <c r="M2379" i="1"/>
  <c r="I1133" i="1"/>
  <c r="AO2389" i="1"/>
  <c r="AO2406" i="1"/>
  <c r="J1140" i="1"/>
  <c r="J1133" i="1"/>
  <c r="J919" i="5"/>
  <c r="AI1648" i="5"/>
  <c r="J633" i="4"/>
  <c r="X2119" i="4"/>
  <c r="X2136" i="4"/>
  <c r="J1308" i="4"/>
  <c r="AW2118" i="4"/>
  <c r="AW2135" i="4"/>
  <c r="AR2388" i="1"/>
  <c r="AR2405" i="1"/>
  <c r="J1220" i="1"/>
  <c r="J1213" i="1"/>
  <c r="I1213" i="1"/>
  <c r="BB2385" i="1"/>
  <c r="BB2402" i="1"/>
  <c r="I1481" i="1"/>
  <c r="J1488" i="1"/>
  <c r="BG2386" i="1"/>
  <c r="BG2403" i="1"/>
  <c r="BG2408" i="1"/>
  <c r="J1624" i="1"/>
  <c r="J1617" i="1"/>
  <c r="I1617" i="1"/>
  <c r="BG2379" i="1"/>
  <c r="J1405" i="2"/>
  <c r="AY2188" i="2"/>
  <c r="AY2205" i="2"/>
  <c r="J1200" i="4"/>
  <c r="AS2118" i="4"/>
  <c r="AS2135" i="4"/>
  <c r="I1204" i="4"/>
  <c r="I1193" i="4"/>
  <c r="AS2111" i="4"/>
  <c r="F985" i="3"/>
  <c r="F986" i="3"/>
  <c r="C739" i="3"/>
  <c r="C740" i="3"/>
  <c r="C72" i="3"/>
  <c r="C73" i="3"/>
  <c r="F373" i="5"/>
  <c r="F374" i="5"/>
  <c r="G100" i="5"/>
  <c r="G101" i="5"/>
  <c r="D1026" i="1"/>
  <c r="D1027" i="1"/>
  <c r="B185" i="4"/>
  <c r="B184" i="4"/>
  <c r="I195" i="4"/>
  <c r="E1472" i="3"/>
  <c r="E1471" i="3"/>
  <c r="C1499" i="3"/>
  <c r="C1498" i="3"/>
  <c r="E515" i="3"/>
  <c r="E514" i="3"/>
  <c r="H959" i="3"/>
  <c r="H958" i="3"/>
  <c r="C1143" i="4"/>
  <c r="C1144" i="4"/>
  <c r="B1406" i="1"/>
  <c r="B1405" i="1"/>
  <c r="C582" i="1"/>
  <c r="C583" i="1"/>
  <c r="D1094" i="2"/>
  <c r="D1095" i="2"/>
  <c r="C346" i="5"/>
  <c r="C347" i="5"/>
  <c r="F1008" i="4"/>
  <c r="F1009" i="4"/>
  <c r="E322" i="4"/>
  <c r="E321" i="4"/>
  <c r="I332" i="4"/>
  <c r="D156" i="5"/>
  <c r="D157" i="5"/>
  <c r="H518" i="4"/>
  <c r="H517" i="4"/>
  <c r="H73" i="2"/>
  <c r="H72" i="2"/>
  <c r="I83" i="2"/>
  <c r="C805" i="1"/>
  <c r="C806" i="1"/>
  <c r="C543" i="3"/>
  <c r="C542" i="3"/>
  <c r="B1215" i="1"/>
  <c r="B1216" i="1"/>
  <c r="H1622" i="1"/>
  <c r="H1621" i="1"/>
  <c r="D1147" i="3"/>
  <c r="D1148" i="3"/>
  <c r="E1541" i="1"/>
  <c r="E1540" i="1"/>
  <c r="D2054" i="1"/>
  <c r="D2053" i="1"/>
  <c r="F1710" i="4"/>
  <c r="F1711" i="4"/>
  <c r="BR2387" i="1"/>
  <c r="BR2404" i="1"/>
  <c r="I1915" i="1"/>
  <c r="BR2380" i="1"/>
  <c r="J1922" i="1"/>
  <c r="J1915" i="1"/>
  <c r="E1522" i="4"/>
  <c r="E1521" i="4"/>
  <c r="F1458" i="2"/>
  <c r="F1459" i="2"/>
  <c r="B17" i="3"/>
  <c r="B18" i="3"/>
  <c r="AP2389" i="1"/>
  <c r="AP2406" i="1"/>
  <c r="J1167" i="1"/>
  <c r="J1160" i="1"/>
  <c r="I1160" i="1"/>
  <c r="C1430" i="2"/>
  <c r="C1431" i="2"/>
  <c r="H684" i="3"/>
  <c r="H683" i="3"/>
  <c r="E1431" i="2"/>
  <c r="E1430" i="2"/>
  <c r="G1252" i="4"/>
  <c r="G1251" i="4"/>
  <c r="F1386" i="4"/>
  <c r="F1387" i="4"/>
  <c r="J1228" i="4"/>
  <c r="AT2119" i="4"/>
  <c r="AT2136" i="4"/>
  <c r="I242" i="1"/>
  <c r="J2379" i="1"/>
  <c r="J2386" i="1"/>
  <c r="J2403" i="1"/>
  <c r="J249" i="1"/>
  <c r="J242" i="1"/>
  <c r="J1221" i="1"/>
  <c r="J1214" i="1"/>
  <c r="AR2389" i="1"/>
  <c r="AR2406" i="1"/>
  <c r="I1214" i="1"/>
  <c r="F1405" i="1"/>
  <c r="F1406" i="1"/>
  <c r="B380" i="3"/>
  <c r="B379" i="3"/>
  <c r="D542" i="3"/>
  <c r="D543" i="3"/>
  <c r="C751" i="5"/>
  <c r="C752" i="5"/>
  <c r="B373" i="5"/>
  <c r="B374" i="5"/>
  <c r="E100" i="5"/>
  <c r="E101" i="5"/>
  <c r="F693" i="1"/>
  <c r="F694" i="1"/>
  <c r="H442" i="1"/>
  <c r="H443" i="1"/>
  <c r="C1090" i="4"/>
  <c r="C1089" i="4"/>
  <c r="G546" i="4"/>
  <c r="G545" i="4"/>
  <c r="I556" i="4"/>
  <c r="G156" i="3"/>
  <c r="G157" i="3"/>
  <c r="E887" i="5"/>
  <c r="E886" i="5"/>
  <c r="E157" i="3"/>
  <c r="E156" i="3"/>
  <c r="D616" i="2"/>
  <c r="D615" i="2"/>
  <c r="G1116" i="4"/>
  <c r="G1117" i="4"/>
  <c r="C1094" i="2"/>
  <c r="C1095" i="2"/>
  <c r="F42" i="6"/>
  <c r="F43" i="6"/>
  <c r="D128" i="4"/>
  <c r="D129" i="4"/>
  <c r="C1008" i="4"/>
  <c r="C1009" i="4"/>
  <c r="G644" i="5"/>
  <c r="G643" i="5"/>
  <c r="C157" i="5"/>
  <c r="C156" i="5"/>
  <c r="C17" i="3"/>
  <c r="C18" i="3"/>
  <c r="D954" i="2"/>
  <c r="D955" i="2"/>
  <c r="H46" i="1"/>
  <c r="B2384" i="1"/>
  <c r="H45" i="1"/>
  <c r="B2383" i="1"/>
  <c r="H470" i="1"/>
  <c r="H471" i="1"/>
  <c r="B1514" i="1"/>
  <c r="B1513" i="1"/>
  <c r="J2163" i="2"/>
  <c r="BZ2190" i="2"/>
  <c r="BZ2207" i="2"/>
  <c r="F852" i="6"/>
  <c r="F853" i="6"/>
  <c r="I2093" i="4"/>
  <c r="AF885" i="6"/>
  <c r="AF901" i="6"/>
  <c r="J831" i="6"/>
  <c r="BH1644" i="5"/>
  <c r="BH1661" i="5"/>
  <c r="J1590" i="5"/>
  <c r="H2227" i="3"/>
  <c r="H2228" i="3"/>
  <c r="E2237" i="3"/>
  <c r="E2238" i="3"/>
  <c r="K931" i="9"/>
  <c r="K883" i="9"/>
  <c r="J1621" i="5"/>
  <c r="BI1648" i="5"/>
  <c r="BI1665" i="5"/>
  <c r="BI1667" i="5"/>
  <c r="I1622" i="5"/>
  <c r="I1614" i="5"/>
  <c r="BI1641" i="5"/>
  <c r="L964" i="9"/>
  <c r="M964" i="9"/>
  <c r="L963" i="9"/>
  <c r="M963" i="9"/>
  <c r="D2098" i="4"/>
  <c r="D2099" i="4"/>
  <c r="I2160" i="2"/>
  <c r="I2356" i="1"/>
  <c r="C2255" i="3"/>
  <c r="C2254" i="3"/>
  <c r="I2094" i="4"/>
  <c r="I2259" i="3"/>
  <c r="I829" i="6"/>
  <c r="D835" i="6"/>
  <c r="D836" i="6"/>
  <c r="F2071" i="4"/>
  <c r="F2072" i="4"/>
  <c r="I2328" i="1"/>
  <c r="I2233" i="3"/>
  <c r="I1594" i="5"/>
  <c r="BY2121" i="4"/>
  <c r="BY2138" i="4"/>
  <c r="J2067" i="4"/>
  <c r="I803" i="6"/>
  <c r="BX2121" i="4"/>
  <c r="BX2138" i="4"/>
  <c r="J2040" i="4"/>
  <c r="C2112" i="2"/>
  <c r="C2113" i="2"/>
  <c r="F808" i="6"/>
  <c r="F809" i="6"/>
  <c r="I801" i="6"/>
  <c r="C1571" i="5"/>
  <c r="C1572" i="5"/>
  <c r="I2302" i="1"/>
  <c r="B1562" i="5"/>
  <c r="B1561" i="5"/>
  <c r="E808" i="6"/>
  <c r="E809" i="6"/>
  <c r="E1571" i="5"/>
  <c r="E1572" i="5"/>
  <c r="F2044" i="4"/>
  <c r="F2045" i="4"/>
  <c r="I2037" i="4"/>
  <c r="F2200" i="3"/>
  <c r="F2201" i="3"/>
  <c r="G2084" i="2"/>
  <c r="G2085" i="2"/>
  <c r="C2244" i="1"/>
  <c r="C2245" i="1"/>
  <c r="C2248" i="1"/>
  <c r="C2246" i="1"/>
  <c r="C2247" i="1"/>
  <c r="I2249" i="1"/>
  <c r="J2040" i="2"/>
  <c r="BV2179" i="2"/>
  <c r="BV2202" i="2"/>
  <c r="B2056" i="2"/>
  <c r="B2057" i="2"/>
  <c r="F2046" i="2"/>
  <c r="F2047" i="2"/>
  <c r="D727" i="6"/>
  <c r="D728" i="6"/>
  <c r="I1484" i="5"/>
  <c r="I1955" i="4"/>
  <c r="I1959" i="4"/>
  <c r="I2145" i="3"/>
  <c r="CA2280" i="3"/>
  <c r="I2144" i="3"/>
  <c r="CA2279" i="3"/>
  <c r="I2155" i="3"/>
  <c r="CA2288" i="3"/>
  <c r="I2142" i="3"/>
  <c r="CA2277" i="3"/>
  <c r="J2153" i="3"/>
  <c r="C727" i="6"/>
  <c r="C728" i="6"/>
  <c r="J2182" i="1"/>
  <c r="CB2372" i="1"/>
  <c r="I721" i="6"/>
  <c r="I719" i="6"/>
  <c r="E1963" i="4"/>
  <c r="E1964" i="4"/>
  <c r="B2129" i="3"/>
  <c r="B2130" i="3"/>
  <c r="I2121" i="3"/>
  <c r="G673" i="6"/>
  <c r="G674" i="6"/>
  <c r="E637" i="6"/>
  <c r="E636" i="6"/>
  <c r="I1994" i="2"/>
  <c r="F673" i="6"/>
  <c r="F674" i="6"/>
  <c r="I669" i="6"/>
  <c r="I667" i="6"/>
  <c r="D1436" i="5"/>
  <c r="D1437" i="5"/>
  <c r="I1965" i="2"/>
  <c r="H1963" i="2"/>
  <c r="H1962" i="2"/>
  <c r="I1401" i="5"/>
  <c r="G2000" i="2"/>
  <c r="G2001" i="2"/>
  <c r="CB2390" i="1"/>
  <c r="J2195" i="1"/>
  <c r="I2197" i="1"/>
  <c r="I2190" i="1"/>
  <c r="E1972" i="2"/>
  <c r="E1973" i="2"/>
  <c r="H673" i="6"/>
  <c r="H674" i="6"/>
  <c r="I1431" i="5"/>
  <c r="I2163" i="1"/>
  <c r="I2167" i="1"/>
  <c r="BA1648" i="5"/>
  <c r="BA1665" i="5"/>
  <c r="J1405" i="5"/>
  <c r="I1848" i="4"/>
  <c r="I1847" i="4"/>
  <c r="I1940" i="2"/>
  <c r="J647" i="6"/>
  <c r="I637" i="6"/>
  <c r="Y880" i="6"/>
  <c r="Y890" i="6"/>
  <c r="I636" i="6"/>
  <c r="Y879" i="6"/>
  <c r="I2136" i="1"/>
  <c r="I2143" i="1"/>
  <c r="BZ2390" i="1"/>
  <c r="J2141" i="1"/>
  <c r="D2144" i="1"/>
  <c r="D2145" i="1"/>
  <c r="BW2305" i="3"/>
  <c r="I615" i="6"/>
  <c r="I613" i="6"/>
  <c r="C1855" i="4"/>
  <c r="C1856" i="4"/>
  <c r="J2065" i="3"/>
  <c r="J2066" i="3"/>
  <c r="I1822" i="4"/>
  <c r="J1347" i="5"/>
  <c r="AY1644" i="5"/>
  <c r="AY1661" i="5"/>
  <c r="I1352" i="5"/>
  <c r="I1342" i="5"/>
  <c r="AY1639" i="5"/>
  <c r="D1888" i="2"/>
  <c r="D1889" i="2"/>
  <c r="I1322" i="5"/>
  <c r="BO2121" i="4"/>
  <c r="BO2138" i="4"/>
  <c r="J1797" i="4"/>
  <c r="H555" i="6"/>
  <c r="H556" i="6"/>
  <c r="D1860" i="2"/>
  <c r="D1861" i="2"/>
  <c r="C1860" i="2"/>
  <c r="C1861" i="2"/>
  <c r="I1880" i="2"/>
  <c r="G2090" i="1"/>
  <c r="G2091" i="1"/>
  <c r="I2084" i="1"/>
  <c r="I1901" i="2"/>
  <c r="BQ2180" i="2"/>
  <c r="E1888" i="2"/>
  <c r="E1889" i="2"/>
  <c r="J2087" i="1"/>
  <c r="BX2390" i="1"/>
  <c r="I2089" i="1"/>
  <c r="H1328" i="5"/>
  <c r="H1329" i="5"/>
  <c r="I1321" i="5"/>
  <c r="I1854" i="2"/>
  <c r="G1792" i="4"/>
  <c r="G1791" i="4"/>
  <c r="CB2174" i="2"/>
  <c r="CA2193" i="2"/>
  <c r="E2036" i="1"/>
  <c r="E2037" i="1"/>
  <c r="B511" i="6"/>
  <c r="B512" i="6"/>
  <c r="I503" i="6"/>
  <c r="H2009" i="1"/>
  <c r="H2010" i="1"/>
  <c r="D2009" i="1"/>
  <c r="D2010" i="1"/>
  <c r="B1774" i="4"/>
  <c r="B1775" i="4"/>
  <c r="F1832" i="2"/>
  <c r="F1833" i="2"/>
  <c r="I1824" i="2"/>
  <c r="D2036" i="1"/>
  <c r="D2037" i="1"/>
  <c r="E511" i="6"/>
  <c r="E512" i="6"/>
  <c r="I1920" i="1"/>
  <c r="I534" i="6"/>
  <c r="C538" i="6"/>
  <c r="C539" i="6"/>
  <c r="G1940" i="3"/>
  <c r="G1941" i="3"/>
  <c r="C1940" i="3"/>
  <c r="C1941" i="3"/>
  <c r="D511" i="6"/>
  <c r="D512" i="6"/>
  <c r="I1266" i="5"/>
  <c r="I1267" i="5"/>
  <c r="I2003" i="1"/>
  <c r="I2002" i="1"/>
  <c r="D1774" i="4"/>
  <c r="D1775" i="4"/>
  <c r="F1940" i="3"/>
  <c r="F1941" i="3"/>
  <c r="I1934" i="3"/>
  <c r="I1933" i="3"/>
  <c r="I2031" i="1"/>
  <c r="I2035" i="1"/>
  <c r="J2033" i="1"/>
  <c r="BV2390" i="1"/>
  <c r="E2009" i="1"/>
  <c r="E2010" i="1"/>
  <c r="J1732" i="2"/>
  <c r="BK2179" i="2"/>
  <c r="F1928" i="1"/>
  <c r="F1929" i="1"/>
  <c r="I451" i="6"/>
  <c r="B457" i="6"/>
  <c r="B458" i="6"/>
  <c r="D1220" i="5"/>
  <c r="D1221" i="5"/>
  <c r="B1693" i="4"/>
  <c r="B1694" i="4"/>
  <c r="I1689" i="4"/>
  <c r="BK2210" i="2"/>
  <c r="D1193" i="5"/>
  <c r="D1194" i="5"/>
  <c r="I1714" i="2"/>
  <c r="D484" i="6"/>
  <c r="D485" i="6"/>
  <c r="I1242" i="5"/>
  <c r="B1247" i="5"/>
  <c r="B1248" i="5"/>
  <c r="E457" i="6"/>
  <c r="E458" i="6"/>
  <c r="C1220" i="5"/>
  <c r="C1221" i="5"/>
  <c r="I1185" i="5"/>
  <c r="E1247" i="5"/>
  <c r="E1248" i="5"/>
  <c r="I1882" i="3"/>
  <c r="I1881" i="3"/>
  <c r="D457" i="6"/>
  <c r="D458" i="6"/>
  <c r="I1216" i="5"/>
  <c r="I1213" i="5"/>
  <c r="H1693" i="4"/>
  <c r="H1694" i="4"/>
  <c r="D1693" i="4"/>
  <c r="D1694" i="4"/>
  <c r="I1855" i="3"/>
  <c r="I1852" i="3"/>
  <c r="I1186" i="5"/>
  <c r="I1824" i="3"/>
  <c r="D1720" i="2"/>
  <c r="D1721" i="2"/>
  <c r="H1602" i="4"/>
  <c r="H1603" i="4"/>
  <c r="F484" i="6"/>
  <c r="F485" i="6"/>
  <c r="E1886" i="3"/>
  <c r="E1887" i="3"/>
  <c r="I1974" i="1"/>
  <c r="B1982" i="1"/>
  <c r="B1983" i="1"/>
  <c r="C1693" i="4"/>
  <c r="C1694" i="4"/>
  <c r="E1859" i="3"/>
  <c r="E1860" i="3"/>
  <c r="D430" i="6"/>
  <c r="D431" i="6"/>
  <c r="I1827" i="3"/>
  <c r="I1713" i="2"/>
  <c r="F1822" i="3"/>
  <c r="F1823" i="3"/>
  <c r="J1739" i="3"/>
  <c r="J1740" i="3"/>
  <c r="J1737" i="3"/>
  <c r="J1736" i="3"/>
  <c r="G322" i="6"/>
  <c r="G323" i="6"/>
  <c r="E1085" i="5"/>
  <c r="E1086" i="5"/>
  <c r="C1558" i="4"/>
  <c r="C1559" i="4"/>
  <c r="G1608" i="2"/>
  <c r="G1609" i="2"/>
  <c r="E1820" i="1"/>
  <c r="E1821" i="1"/>
  <c r="BH2118" i="4"/>
  <c r="BH2135" i="4"/>
  <c r="J1605" i="4"/>
  <c r="I1609" i="4"/>
  <c r="I1597" i="4"/>
  <c r="BH2110" i="4"/>
  <c r="BH2117" i="4"/>
  <c r="BH2134" i="4"/>
  <c r="J1604" i="4"/>
  <c r="I316" i="6"/>
  <c r="I1552" i="4"/>
  <c r="I1602" i="2"/>
  <c r="H1820" i="1"/>
  <c r="H1821" i="1"/>
  <c r="BQ2408" i="1"/>
  <c r="G1724" i="3"/>
  <c r="G1725" i="3"/>
  <c r="O881" i="6"/>
  <c r="O897" i="6"/>
  <c r="J368" i="6"/>
  <c r="I373" i="6"/>
  <c r="I365" i="6"/>
  <c r="O878" i="6"/>
  <c r="O885" i="6"/>
  <c r="O901" i="6"/>
  <c r="J372" i="6"/>
  <c r="H1139" i="5"/>
  <c r="H1140" i="5"/>
  <c r="F1874" i="1"/>
  <c r="F1875" i="1"/>
  <c r="I1870" i="1"/>
  <c r="I1079" i="5"/>
  <c r="H1558" i="4"/>
  <c r="H1559" i="4"/>
  <c r="I1716" i="3"/>
  <c r="B1820" i="1"/>
  <c r="B1821" i="1"/>
  <c r="I208" i="6"/>
  <c r="B1766" i="1"/>
  <c r="B1767" i="1"/>
  <c r="I1760" i="1"/>
  <c r="J1734" i="1"/>
  <c r="I1727" i="1"/>
  <c r="BK2381" i="1"/>
  <c r="BK2388" i="1"/>
  <c r="BK2405" i="1"/>
  <c r="BK2389" i="1"/>
  <c r="BK2406" i="1"/>
  <c r="J1735" i="1"/>
  <c r="I1728" i="1"/>
  <c r="BK2382" i="1"/>
  <c r="F214" i="6"/>
  <c r="F215" i="6"/>
  <c r="I1444" i="4"/>
  <c r="I1582" i="3"/>
  <c r="I1585" i="3"/>
  <c r="F1004" i="5"/>
  <c r="F1005" i="5"/>
  <c r="I1000" i="5"/>
  <c r="H1477" i="4"/>
  <c r="H1478" i="4"/>
  <c r="F1643" i="3"/>
  <c r="F1644" i="3"/>
  <c r="I1637" i="3"/>
  <c r="I209" i="6"/>
  <c r="E214" i="6"/>
  <c r="E215" i="6"/>
  <c r="D1468" i="2"/>
  <c r="D1469" i="2"/>
  <c r="D950" i="5"/>
  <c r="D951" i="5"/>
  <c r="H1685" i="1"/>
  <c r="H1686" i="1"/>
  <c r="BE2285" i="3"/>
  <c r="BE2301" i="3"/>
  <c r="J1556" i="3"/>
  <c r="B1670" i="3"/>
  <c r="B1671" i="3"/>
  <c r="I1664" i="3"/>
  <c r="D1766" i="1"/>
  <c r="D1767" i="1"/>
  <c r="C950" i="5"/>
  <c r="C951" i="5"/>
  <c r="C1685" i="1"/>
  <c r="C1686" i="1"/>
  <c r="I1679" i="1"/>
  <c r="D1004" i="5"/>
  <c r="D1005" i="5"/>
  <c r="B1477" i="4"/>
  <c r="B1478" i="4"/>
  <c r="I1469" i="4"/>
  <c r="I1516" i="2"/>
  <c r="I1520" i="2"/>
  <c r="C1450" i="4"/>
  <c r="C1451" i="4"/>
  <c r="I945" i="5"/>
  <c r="F1685" i="1"/>
  <c r="F1686" i="1"/>
  <c r="B923" i="5"/>
  <c r="B924" i="5"/>
  <c r="CA2178" i="2"/>
  <c r="CB2178" i="2"/>
  <c r="J506" i="1"/>
  <c r="I507" i="1"/>
  <c r="R2391" i="1"/>
  <c r="R2407" i="1"/>
  <c r="J1166" i="1"/>
  <c r="J1159" i="1"/>
  <c r="I1159" i="1"/>
  <c r="AP2388" i="1"/>
  <c r="AP2405" i="1"/>
  <c r="C368" i="2"/>
  <c r="C369" i="2"/>
  <c r="I988" i="2"/>
  <c r="C1132" i="2"/>
  <c r="C1133" i="2"/>
  <c r="I1404" i="2"/>
  <c r="H910" i="4"/>
  <c r="H911" i="4"/>
  <c r="J1173" i="4"/>
  <c r="I1177" i="4"/>
  <c r="AR2118" i="4"/>
  <c r="AR2135" i="4"/>
  <c r="I104" i="1"/>
  <c r="B112" i="1"/>
  <c r="B113" i="1"/>
  <c r="F112" i="1"/>
  <c r="F113" i="1"/>
  <c r="J363" i="1"/>
  <c r="J356" i="1"/>
  <c r="I356" i="1"/>
  <c r="M2381" i="1"/>
  <c r="M2388" i="1"/>
  <c r="G396" i="1"/>
  <c r="G397" i="1"/>
  <c r="W2388" i="1"/>
  <c r="W2405" i="1"/>
  <c r="J642" i="1"/>
  <c r="I635" i="1"/>
  <c r="W2381" i="1"/>
  <c r="D675" i="1"/>
  <c r="D676" i="1"/>
  <c r="Z2387" i="1"/>
  <c r="Z2404" i="1"/>
  <c r="I718" i="1"/>
  <c r="J725" i="1"/>
  <c r="J718" i="1"/>
  <c r="I829" i="1"/>
  <c r="AD2386" i="1"/>
  <c r="AD2403" i="1"/>
  <c r="J836" i="1"/>
  <c r="J829" i="1"/>
  <c r="C871" i="1"/>
  <c r="C872" i="1"/>
  <c r="G871" i="1"/>
  <c r="G872" i="1"/>
  <c r="AK2386" i="1"/>
  <c r="AK2403" i="1"/>
  <c r="I1022" i="1"/>
  <c r="J1029" i="1"/>
  <c r="J1022" i="1"/>
  <c r="AO2388" i="1"/>
  <c r="AO2405" i="1"/>
  <c r="I1132" i="1"/>
  <c r="J1139" i="1"/>
  <c r="J1132" i="1"/>
  <c r="G1144" i="1"/>
  <c r="G1145" i="1"/>
  <c r="AS2386" i="1"/>
  <c r="AS2403" i="1"/>
  <c r="J1246" i="1"/>
  <c r="J1239" i="1"/>
  <c r="I1239" i="1"/>
  <c r="D1334" i="1"/>
  <c r="D1335" i="1"/>
  <c r="H1334" i="1"/>
  <c r="H1335" i="1"/>
  <c r="I1347" i="1"/>
  <c r="J1354" i="1"/>
  <c r="J1347" i="1"/>
  <c r="AW2386" i="1"/>
  <c r="AW2403" i="1"/>
  <c r="J1384" i="1"/>
  <c r="J1377" i="1"/>
  <c r="AX2389" i="1"/>
  <c r="AX2406" i="1"/>
  <c r="I1377" i="1"/>
  <c r="H1415" i="1"/>
  <c r="H1416" i="1"/>
  <c r="C1523" i="1"/>
  <c r="C1524" i="1"/>
  <c r="J1543" i="1"/>
  <c r="J1536" i="1"/>
  <c r="BD2386" i="1"/>
  <c r="BD2403" i="1"/>
  <c r="I1536" i="1"/>
  <c r="I1597" i="1"/>
  <c r="D79" i="6"/>
  <c r="D80" i="6"/>
  <c r="C106" i="6"/>
  <c r="C107" i="6"/>
  <c r="I917" i="5"/>
  <c r="I1436" i="2"/>
  <c r="J536" i="2"/>
  <c r="T2190" i="2"/>
  <c r="T2207" i="2"/>
  <c r="H1132" i="2"/>
  <c r="H1133" i="2"/>
  <c r="E1412" i="2"/>
  <c r="E1413" i="2"/>
  <c r="I75" i="4"/>
  <c r="F2120" i="4"/>
  <c r="J133" i="4"/>
  <c r="J126" i="4"/>
  <c r="I126" i="4"/>
  <c r="F2113" i="4"/>
  <c r="J520" i="4"/>
  <c r="T2118" i="4"/>
  <c r="T2135" i="4"/>
  <c r="J1146" i="4"/>
  <c r="AQ2118" i="4"/>
  <c r="AQ2135" i="4"/>
  <c r="I1150" i="4"/>
  <c r="I1139" i="4"/>
  <c r="AQ2111" i="4"/>
  <c r="J1282" i="4"/>
  <c r="AV2119" i="4"/>
  <c r="AV2136" i="4"/>
  <c r="J280" i="1"/>
  <c r="J273" i="1"/>
  <c r="I273" i="1"/>
  <c r="J362" i="1"/>
  <c r="J355" i="1"/>
  <c r="I355" i="1"/>
  <c r="M2380" i="1"/>
  <c r="M2387" i="1"/>
  <c r="Q2387" i="1"/>
  <c r="Q2404" i="1"/>
  <c r="I467" i="1"/>
  <c r="Q2380" i="1"/>
  <c r="J474" i="1"/>
  <c r="J467" i="1"/>
  <c r="Q2389" i="1"/>
  <c r="Q2406" i="1"/>
  <c r="I469" i="1"/>
  <c r="Q2382" i="1"/>
  <c r="J476" i="1"/>
  <c r="J469" i="1"/>
  <c r="J839" i="1"/>
  <c r="J832" i="1"/>
  <c r="AD2389" i="1"/>
  <c r="AD2406" i="1"/>
  <c r="I832" i="1"/>
  <c r="I828" i="1"/>
  <c r="AD2385" i="1"/>
  <c r="AD2402" i="1"/>
  <c r="J835" i="1"/>
  <c r="J828" i="1"/>
  <c r="J894" i="1"/>
  <c r="J887" i="1"/>
  <c r="AF2388" i="1"/>
  <c r="AF2405" i="1"/>
  <c r="I887" i="1"/>
  <c r="J1004" i="1"/>
  <c r="J997" i="1"/>
  <c r="I997" i="1"/>
  <c r="AJ2388" i="1"/>
  <c r="AJ2405" i="1"/>
  <c r="E1090" i="1"/>
  <c r="E1091" i="1"/>
  <c r="H1144" i="1"/>
  <c r="H1145" i="1"/>
  <c r="I1193" i="1"/>
  <c r="F1225" i="1"/>
  <c r="F1226" i="1"/>
  <c r="E1442" i="1"/>
  <c r="E1443" i="1"/>
  <c r="I1428" i="1"/>
  <c r="AZ2386" i="1"/>
  <c r="AZ2403" i="1"/>
  <c r="J1435" i="1"/>
  <c r="J1428" i="1"/>
  <c r="I1464" i="1"/>
  <c r="E79" i="6"/>
  <c r="E80" i="6"/>
  <c r="B349" i="4"/>
  <c r="B350" i="4"/>
  <c r="I360" i="4"/>
  <c r="I1389" i="4"/>
  <c r="G1562" i="3"/>
  <c r="G1563" i="3"/>
  <c r="AE2190" i="2"/>
  <c r="AE2207" i="2"/>
  <c r="J847" i="2"/>
  <c r="J928" i="2"/>
  <c r="AH2187" i="2"/>
  <c r="AH2204" i="2"/>
  <c r="AL2191" i="2"/>
  <c r="AL2208" i="2"/>
  <c r="J1044" i="2"/>
  <c r="E1132" i="2"/>
  <c r="E1133" i="2"/>
  <c r="J162" i="4"/>
  <c r="J155" i="4"/>
  <c r="G2121" i="4"/>
  <c r="I155" i="4"/>
  <c r="G2114" i="4"/>
  <c r="I243" i="4"/>
  <c r="G249" i="4"/>
  <c r="G250" i="4"/>
  <c r="B471" i="4"/>
  <c r="B472" i="4"/>
  <c r="S2120" i="4"/>
  <c r="S2137" i="4"/>
  <c r="J494" i="4"/>
  <c r="J575" i="4"/>
  <c r="V2117" i="4"/>
  <c r="V2134" i="4"/>
  <c r="I580" i="4"/>
  <c r="I568" i="4"/>
  <c r="V2110" i="4"/>
  <c r="I772" i="4"/>
  <c r="J767" i="4"/>
  <c r="AC2117" i="4"/>
  <c r="AC2134" i="4"/>
  <c r="AE2118" i="4"/>
  <c r="AE2135" i="4"/>
  <c r="I826" i="4"/>
  <c r="I815" i="4"/>
  <c r="AE2111" i="4"/>
  <c r="J822" i="4"/>
  <c r="AN2118" i="4"/>
  <c r="AN2135" i="4"/>
  <c r="I1069" i="4"/>
  <c r="J1065" i="4"/>
  <c r="AP2118" i="4"/>
  <c r="AP2135" i="4"/>
  <c r="I1123" i="4"/>
  <c r="J1119" i="4"/>
  <c r="J1362" i="4"/>
  <c r="AY2118" i="4"/>
  <c r="AY2135" i="4"/>
  <c r="D112" i="1"/>
  <c r="D113" i="1"/>
  <c r="I159" i="1"/>
  <c r="I305" i="1"/>
  <c r="I445" i="1"/>
  <c r="I447" i="1"/>
  <c r="I524" i="1"/>
  <c r="S2381" i="1"/>
  <c r="S2388" i="1"/>
  <c r="S2405" i="1"/>
  <c r="J531" i="1"/>
  <c r="J524" i="1"/>
  <c r="I667" i="1"/>
  <c r="I668" i="1"/>
  <c r="D1198" i="1"/>
  <c r="D1199" i="1"/>
  <c r="H1198" i="1"/>
  <c r="H1199" i="1"/>
  <c r="J1217" i="1"/>
  <c r="J1210" i="1"/>
  <c r="AR2385" i="1"/>
  <c r="AR2402" i="1"/>
  <c r="I1210" i="1"/>
  <c r="I1238" i="1"/>
  <c r="AS2385" i="1"/>
  <c r="AS2402" i="1"/>
  <c r="J1245" i="1"/>
  <c r="J1238" i="1"/>
  <c r="I1328" i="1"/>
  <c r="E1523" i="1"/>
  <c r="E1524" i="1"/>
  <c r="D1550" i="1"/>
  <c r="D1551" i="1"/>
  <c r="E156" i="5"/>
  <c r="E157" i="5"/>
  <c r="B129" i="4"/>
  <c r="I139" i="4"/>
  <c r="B128" i="4"/>
  <c r="H1346" i="2"/>
  <c r="H1347" i="2"/>
  <c r="D1038" i="2"/>
  <c r="D1039" i="2"/>
  <c r="G1008" i="4"/>
  <c r="G1009" i="4"/>
  <c r="B514" i="3"/>
  <c r="B515" i="3"/>
  <c r="H842" i="2"/>
  <c r="H843" i="2"/>
  <c r="D758" i="2"/>
  <c r="D759" i="2"/>
  <c r="E673" i="2"/>
  <c r="E674" i="2"/>
  <c r="H587" i="2"/>
  <c r="H588" i="2"/>
  <c r="D503" i="2"/>
  <c r="D502" i="2"/>
  <c r="G806" i="1"/>
  <c r="G805" i="1"/>
  <c r="C160" i="6"/>
  <c r="C161" i="6"/>
  <c r="F1440" i="2"/>
  <c r="F1441" i="2"/>
  <c r="I1652" i="1"/>
  <c r="G1048" i="2"/>
  <c r="G1049" i="2"/>
  <c r="B1132" i="2"/>
  <c r="B1133" i="2"/>
  <c r="G1412" i="2"/>
  <c r="G1413" i="2"/>
  <c r="AB2119" i="4"/>
  <c r="AB2136" i="4"/>
  <c r="J742" i="4"/>
  <c r="AF2119" i="4"/>
  <c r="AF2136" i="4"/>
  <c r="I853" i="4"/>
  <c r="J850" i="4"/>
  <c r="I843" i="4"/>
  <c r="AF2112" i="4"/>
  <c r="J875" i="4"/>
  <c r="AG2117" i="4"/>
  <c r="AG2134" i="4"/>
  <c r="I880" i="4"/>
  <c r="I868" i="4"/>
  <c r="AG2110" i="4"/>
  <c r="AS2120" i="4"/>
  <c r="AS2137" i="4"/>
  <c r="J1202" i="4"/>
  <c r="I1195" i="4"/>
  <c r="AS2113" i="4"/>
  <c r="C167" i="1"/>
  <c r="C168" i="1"/>
  <c r="I217" i="1"/>
  <c r="J2385" i="1"/>
  <c r="J2402" i="1"/>
  <c r="J248" i="1"/>
  <c r="J241" i="1"/>
  <c r="I241" i="1"/>
  <c r="J2378" i="1"/>
  <c r="I243" i="1"/>
  <c r="J2380" i="1"/>
  <c r="J250" i="1"/>
  <c r="J243" i="1"/>
  <c r="J2387" i="1"/>
  <c r="J2404" i="1"/>
  <c r="I334" i="1"/>
  <c r="I391" i="1"/>
  <c r="B647" i="1"/>
  <c r="B648" i="1"/>
  <c r="I696" i="1"/>
  <c r="I1085" i="1"/>
  <c r="G1090" i="1"/>
  <c r="G1091" i="1"/>
  <c r="G1469" i="1"/>
  <c r="G1470" i="1"/>
  <c r="F25" i="6"/>
  <c r="F26" i="6"/>
  <c r="I99" i="6"/>
  <c r="F1035" i="4"/>
  <c r="F1036" i="4"/>
  <c r="B433" i="4"/>
  <c r="B434" i="4"/>
  <c r="I444" i="4"/>
  <c r="I198" i="1"/>
  <c r="B188" i="1"/>
  <c r="B187" i="1"/>
  <c r="J644" i="1"/>
  <c r="W2390" i="1"/>
  <c r="I646" i="1"/>
  <c r="AC2132" i="4"/>
  <c r="H1012" i="3"/>
  <c r="H1013" i="3"/>
  <c r="J151" i="3"/>
  <c r="J153" i="3"/>
  <c r="J152" i="3"/>
  <c r="J155" i="3"/>
  <c r="I651" i="3"/>
  <c r="X2277" i="3"/>
  <c r="J662" i="3"/>
  <c r="I654" i="3"/>
  <c r="X2280" i="3"/>
  <c r="I664" i="3"/>
  <c r="I652" i="3"/>
  <c r="X2278" i="3"/>
  <c r="I650" i="3"/>
  <c r="X2276" i="3"/>
  <c r="X2288" i="3"/>
  <c r="I653" i="3"/>
  <c r="X2279" i="3"/>
  <c r="I339" i="2"/>
  <c r="I329" i="2"/>
  <c r="M2184" i="2"/>
  <c r="I328" i="2"/>
  <c r="M2183" i="2"/>
  <c r="J337" i="2"/>
  <c r="M2192" i="2"/>
  <c r="I325" i="2"/>
  <c r="M2180" i="2"/>
  <c r="I326" i="2"/>
  <c r="M2181" i="2"/>
  <c r="I327" i="2"/>
  <c r="M2182" i="2"/>
  <c r="I156" i="3"/>
  <c r="J167" i="3"/>
  <c r="I157" i="3"/>
  <c r="I2301" i="3"/>
  <c r="I208" i="3"/>
  <c r="I2277" i="3"/>
  <c r="I221" i="3"/>
  <c r="I2288" i="3"/>
  <c r="I207" i="3"/>
  <c r="I2276" i="3"/>
  <c r="J219" i="3"/>
  <c r="I748" i="3"/>
  <c r="AA2288" i="3"/>
  <c r="I735" i="3"/>
  <c r="AA2277" i="3"/>
  <c r="I738" i="3"/>
  <c r="AA2280" i="3"/>
  <c r="I734" i="3"/>
  <c r="AA2276" i="3"/>
  <c r="I736" i="3"/>
  <c r="AA2278" i="3"/>
  <c r="J746" i="3"/>
  <c r="I1061" i="3"/>
  <c r="AM2276" i="3"/>
  <c r="I1075" i="3"/>
  <c r="AM2288" i="3"/>
  <c r="J1073" i="3"/>
  <c r="I1065" i="3"/>
  <c r="AM2280" i="3"/>
  <c r="I1063" i="3"/>
  <c r="AM2278" i="3"/>
  <c r="I1062" i="3"/>
  <c r="AM2277" i="3"/>
  <c r="AV2305" i="3"/>
  <c r="CF2269" i="3"/>
  <c r="CG2269" i="3"/>
  <c r="I2300" i="3"/>
  <c r="I1335" i="3"/>
  <c r="AW2280" i="3"/>
  <c r="J1343" i="3"/>
  <c r="I1332" i="3"/>
  <c r="AW2277" i="3"/>
  <c r="AW2288" i="3"/>
  <c r="I1333" i="3"/>
  <c r="AW2278" i="3"/>
  <c r="I1331" i="3"/>
  <c r="AW2276" i="3"/>
  <c r="I1345" i="3"/>
  <c r="I413" i="2"/>
  <c r="P2183" i="2"/>
  <c r="I414" i="2"/>
  <c r="P2184" i="2"/>
  <c r="I412" i="2"/>
  <c r="P2182" i="2"/>
  <c r="J422" i="2"/>
  <c r="I411" i="2"/>
  <c r="P2181" i="2"/>
  <c r="I424" i="2"/>
  <c r="P2192" i="2"/>
  <c r="J1154" i="3"/>
  <c r="I1156" i="3"/>
  <c r="AP2288" i="3"/>
  <c r="I1144" i="3"/>
  <c r="AP2278" i="3"/>
  <c r="I1145" i="3"/>
  <c r="AP2279" i="3"/>
  <c r="I1146" i="3"/>
  <c r="AP2280" i="3"/>
  <c r="I1142" i="3"/>
  <c r="AP2276" i="3"/>
  <c r="I1143" i="3"/>
  <c r="AP2277" i="3"/>
  <c r="I1254" i="3"/>
  <c r="AT2280" i="3"/>
  <c r="AT2288" i="3"/>
  <c r="I1251" i="3"/>
  <c r="AT2277" i="3"/>
  <c r="I1264" i="3"/>
  <c r="I1252" i="3"/>
  <c r="AT2278" i="3"/>
  <c r="J1262" i="3"/>
  <c r="I1250" i="3"/>
  <c r="AT2276" i="3"/>
  <c r="J210" i="3"/>
  <c r="I100" i="4"/>
  <c r="E2115" i="4"/>
  <c r="I101" i="4"/>
  <c r="E2116" i="4"/>
  <c r="J111" i="4"/>
  <c r="I590" i="5"/>
  <c r="W1643" i="5"/>
  <c r="I589" i="5"/>
  <c r="W1642" i="5"/>
  <c r="W1653" i="5"/>
  <c r="J600" i="5"/>
  <c r="I184" i="5"/>
  <c r="H1642" i="5"/>
  <c r="H1653" i="5"/>
  <c r="I185" i="5"/>
  <c r="H1643" i="5"/>
  <c r="J195" i="5"/>
  <c r="J455" i="5"/>
  <c r="J454" i="5"/>
  <c r="AI2196" i="2"/>
  <c r="J965" i="2"/>
  <c r="I954" i="2"/>
  <c r="AI2185" i="2"/>
  <c r="I955" i="2"/>
  <c r="AI2186" i="2"/>
  <c r="J18" i="2"/>
  <c r="J17" i="2"/>
  <c r="J297" i="3"/>
  <c r="J298" i="3"/>
  <c r="J1039" i="3"/>
  <c r="J1040" i="3"/>
  <c r="J1444" i="3"/>
  <c r="J1445" i="3"/>
  <c r="J44" i="3"/>
  <c r="J45" i="3"/>
  <c r="J832" i="5"/>
  <c r="J833" i="5"/>
  <c r="BM2292" i="3"/>
  <c r="J1779" i="3"/>
  <c r="I1769" i="3"/>
  <c r="BM2282" i="3"/>
  <c r="I1768" i="3"/>
  <c r="BM2281" i="3"/>
  <c r="J960" i="9"/>
  <c r="K960" i="9"/>
  <c r="J791" i="9"/>
  <c r="CH2388" i="1"/>
  <c r="CH2405" i="1"/>
  <c r="J2355" i="1"/>
  <c r="J2348" i="1"/>
  <c r="I2348" i="1"/>
  <c r="CH2381" i="1"/>
  <c r="AF881" i="6"/>
  <c r="AF897" i="6"/>
  <c r="I832" i="6"/>
  <c r="I823" i="6"/>
  <c r="AF877" i="6"/>
  <c r="J827" i="6"/>
  <c r="I820" i="6"/>
  <c r="AF874" i="6"/>
  <c r="BY2190" i="2"/>
  <c r="BY2207" i="2"/>
  <c r="BY2210" i="2"/>
  <c r="J2135" i="2"/>
  <c r="I2137" i="2"/>
  <c r="I2128" i="2"/>
  <c r="BY2183" i="2"/>
  <c r="BH1645" i="5"/>
  <c r="BH1662" i="5"/>
  <c r="J1591" i="5"/>
  <c r="G2237" i="3"/>
  <c r="G2238" i="3"/>
  <c r="G2112" i="2"/>
  <c r="G2113" i="2"/>
  <c r="D1561" i="5"/>
  <c r="D1562" i="5"/>
  <c r="C2228" i="3"/>
  <c r="C2227" i="3"/>
  <c r="I1563" i="5"/>
  <c r="CC2285" i="3"/>
  <c r="CC2301" i="3"/>
  <c r="J2204" i="3"/>
  <c r="B2200" i="3"/>
  <c r="B2201" i="3"/>
  <c r="G2247" i="1"/>
  <c r="G2245" i="1"/>
  <c r="G2246" i="1"/>
  <c r="G2248" i="1"/>
  <c r="G2244" i="1"/>
  <c r="CE2389" i="1"/>
  <c r="CE2406" i="1"/>
  <c r="I2268" i="1"/>
  <c r="CE2382" i="1"/>
  <c r="J2275" i="1"/>
  <c r="J2268" i="1"/>
  <c r="BV2187" i="2"/>
  <c r="BV2204" i="2"/>
  <c r="BV2210" i="2"/>
  <c r="I2053" i="2"/>
  <c r="J2048" i="2"/>
  <c r="I2041" i="2"/>
  <c r="BV2180" i="2"/>
  <c r="D2046" i="2"/>
  <c r="D2047" i="2"/>
  <c r="BD1647" i="5"/>
  <c r="BD1664" i="5"/>
  <c r="J1485" i="5"/>
  <c r="BU2118" i="4"/>
  <c r="BU2135" i="4"/>
  <c r="J1956" i="4"/>
  <c r="BU2120" i="4"/>
  <c r="BU2137" i="4"/>
  <c r="J1958" i="4"/>
  <c r="F2129" i="3"/>
  <c r="F2130" i="3"/>
  <c r="CA2305" i="3"/>
  <c r="G727" i="6"/>
  <c r="G728" i="6"/>
  <c r="B2146" i="3"/>
  <c r="B2147" i="3"/>
  <c r="B727" i="6"/>
  <c r="B728" i="6"/>
  <c r="I722" i="6"/>
  <c r="I2123" i="3"/>
  <c r="I2124" i="3"/>
  <c r="C1991" i="2"/>
  <c r="C1990" i="2"/>
  <c r="F2198" i="1"/>
  <c r="F2199" i="1"/>
  <c r="C673" i="6"/>
  <c r="C674" i="6"/>
  <c r="H1409" i="5"/>
  <c r="H1410" i="5"/>
  <c r="BT2190" i="2"/>
  <c r="BT2207" i="2"/>
  <c r="J1995" i="2"/>
  <c r="BT2188" i="2"/>
  <c r="BT2205" i="2"/>
  <c r="J1993" i="2"/>
  <c r="I668" i="6"/>
  <c r="H1436" i="5"/>
  <c r="H1437" i="5"/>
  <c r="F1972" i="2"/>
  <c r="F1973" i="2"/>
  <c r="I1968" i="2"/>
  <c r="D2171" i="1"/>
  <c r="D2172" i="1"/>
  <c r="G2162" i="1"/>
  <c r="G2161" i="1"/>
  <c r="I2192" i="1"/>
  <c r="I2193" i="1"/>
  <c r="G1436" i="5"/>
  <c r="G1437" i="5"/>
  <c r="C1436" i="5"/>
  <c r="C1437" i="5"/>
  <c r="F2000" i="2"/>
  <c r="F2001" i="2"/>
  <c r="I1429" i="5"/>
  <c r="I1430" i="5"/>
  <c r="I2164" i="1"/>
  <c r="C1944" i="2"/>
  <c r="C1945" i="2"/>
  <c r="F2144" i="1"/>
  <c r="F2145" i="1"/>
  <c r="F1855" i="4"/>
  <c r="F1856" i="4"/>
  <c r="BQ2121" i="4"/>
  <c r="BQ2138" i="4"/>
  <c r="J1851" i="4"/>
  <c r="J1849" i="4"/>
  <c r="BQ2119" i="4"/>
  <c r="BQ2136" i="4"/>
  <c r="BR2187" i="2"/>
  <c r="BR2204" i="2"/>
  <c r="J1936" i="2"/>
  <c r="BR2190" i="2"/>
  <c r="BR2207" i="2"/>
  <c r="J1939" i="2"/>
  <c r="D619" i="6"/>
  <c r="D620" i="6"/>
  <c r="D1906" i="2"/>
  <c r="D1907" i="2"/>
  <c r="I2137" i="1"/>
  <c r="B2144" i="1"/>
  <c r="B2145" i="1"/>
  <c r="C619" i="6"/>
  <c r="C620" i="6"/>
  <c r="D1855" i="4"/>
  <c r="D1856" i="4"/>
  <c r="F1944" i="2"/>
  <c r="F1945" i="2"/>
  <c r="I2033" i="3"/>
  <c r="BW2276" i="3"/>
  <c r="E2038" i="3"/>
  <c r="E2039" i="3"/>
  <c r="I612" i="6"/>
  <c r="B619" i="6"/>
  <c r="B620" i="6"/>
  <c r="AY1659" i="5"/>
  <c r="BJ1659" i="5"/>
  <c r="BK1659" i="5"/>
  <c r="BJ1636" i="5"/>
  <c r="BK1636" i="5"/>
  <c r="AX1647" i="5"/>
  <c r="AX1664" i="5"/>
  <c r="J1323" i="5"/>
  <c r="E1792" i="4"/>
  <c r="E1791" i="4"/>
  <c r="G1888" i="2"/>
  <c r="G1889" i="2"/>
  <c r="C1888" i="2"/>
  <c r="C1889" i="2"/>
  <c r="E1985" i="3"/>
  <c r="E1984" i="3"/>
  <c r="H1801" i="4"/>
  <c r="H1802" i="4"/>
  <c r="D1801" i="4"/>
  <c r="D1802" i="4"/>
  <c r="B1967" i="3"/>
  <c r="B1968" i="3"/>
  <c r="BW2385" i="1"/>
  <c r="BW2402" i="1"/>
  <c r="I2048" i="1"/>
  <c r="BW2378" i="1"/>
  <c r="J2055" i="1"/>
  <c r="J2048" i="1"/>
  <c r="G1860" i="2"/>
  <c r="G1861" i="2"/>
  <c r="F1888" i="2"/>
  <c r="F1889" i="2"/>
  <c r="I1882" i="2"/>
  <c r="C2090" i="1"/>
  <c r="C2091" i="1"/>
  <c r="C556" i="6"/>
  <c r="C555" i="6"/>
  <c r="BP2201" i="2"/>
  <c r="CA2201" i="2"/>
  <c r="CB2201" i="2"/>
  <c r="CA2173" i="2"/>
  <c r="CB2173" i="2"/>
  <c r="B2090" i="1"/>
  <c r="B2091" i="1"/>
  <c r="I561" i="6"/>
  <c r="I1324" i="5"/>
  <c r="D1328" i="5"/>
  <c r="D1329" i="5"/>
  <c r="J1795" i="4"/>
  <c r="BO2119" i="4"/>
  <c r="BO2136" i="4"/>
  <c r="F1318" i="5"/>
  <c r="F1319" i="5"/>
  <c r="BN2179" i="2"/>
  <c r="BN2202" i="2"/>
  <c r="J1816" i="2"/>
  <c r="G1832" i="2"/>
  <c r="G1833" i="2"/>
  <c r="I504" i="6"/>
  <c r="T885" i="6"/>
  <c r="T901" i="6"/>
  <c r="J507" i="6"/>
  <c r="D1274" i="5"/>
  <c r="D1275" i="5"/>
  <c r="E2053" i="1"/>
  <c r="E2054" i="1"/>
  <c r="D538" i="6"/>
  <c r="D539" i="6"/>
  <c r="I1766" i="4"/>
  <c r="I1826" i="2"/>
  <c r="C1274" i="5"/>
  <c r="C1275" i="5"/>
  <c r="U882" i="6"/>
  <c r="U898" i="6"/>
  <c r="J531" i="6"/>
  <c r="E1774" i="4"/>
  <c r="E1775" i="4"/>
  <c r="H511" i="6"/>
  <c r="H512" i="6"/>
  <c r="I1269" i="5"/>
  <c r="B1274" i="5"/>
  <c r="B1275" i="5"/>
  <c r="I2005" i="1"/>
  <c r="I1932" i="3"/>
  <c r="F2036" i="1"/>
  <c r="F2037" i="1"/>
  <c r="B2036" i="1"/>
  <c r="B2037" i="1"/>
  <c r="I2029" i="1"/>
  <c r="G511" i="6"/>
  <c r="G512" i="6"/>
  <c r="G1804" i="2"/>
  <c r="G1805" i="2"/>
  <c r="I1656" i="4"/>
  <c r="BJ2115" i="4"/>
  <c r="J1650" i="4"/>
  <c r="J1656" i="4"/>
  <c r="BJ2109" i="4"/>
  <c r="BJ2132" i="4"/>
  <c r="BR2388" i="1"/>
  <c r="BR2405" i="1"/>
  <c r="J1923" i="1"/>
  <c r="J1916" i="1"/>
  <c r="I1916" i="1"/>
  <c r="BR2381" i="1"/>
  <c r="E475" i="6"/>
  <c r="E474" i="6"/>
  <c r="G1247" i="5"/>
  <c r="G1248" i="5"/>
  <c r="C1247" i="5"/>
  <c r="C1248" i="5"/>
  <c r="D1886" i="3"/>
  <c r="D1887" i="3"/>
  <c r="E1982" i="1"/>
  <c r="E1983" i="1"/>
  <c r="J449" i="6"/>
  <c r="R881" i="6"/>
  <c r="R897" i="6"/>
  <c r="H1220" i="5"/>
  <c r="H1221" i="5"/>
  <c r="I1685" i="4"/>
  <c r="H1859" i="3"/>
  <c r="H1860" i="3"/>
  <c r="H1193" i="5"/>
  <c r="H1194" i="5"/>
  <c r="I1715" i="2"/>
  <c r="J480" i="6"/>
  <c r="S885" i="6"/>
  <c r="S901" i="6"/>
  <c r="I1241" i="5"/>
  <c r="G1886" i="3"/>
  <c r="G1887" i="3"/>
  <c r="G1220" i="5"/>
  <c r="G1221" i="5"/>
  <c r="E1693" i="4"/>
  <c r="E1694" i="4"/>
  <c r="G1859" i="3"/>
  <c r="G1860" i="3"/>
  <c r="C1859" i="3"/>
  <c r="C1860" i="3"/>
  <c r="I423" i="6"/>
  <c r="I424" i="6"/>
  <c r="I425" i="6"/>
  <c r="I427" i="6"/>
  <c r="G1193" i="5"/>
  <c r="G1194" i="5"/>
  <c r="I1188" i="5"/>
  <c r="H1832" i="3"/>
  <c r="H1833" i="3"/>
  <c r="B1886" i="3"/>
  <c r="B1887" i="3"/>
  <c r="I1880" i="3"/>
  <c r="H457" i="6"/>
  <c r="H458" i="6"/>
  <c r="I1214" i="5"/>
  <c r="I1853" i="3"/>
  <c r="J426" i="6"/>
  <c r="Q885" i="6"/>
  <c r="Q901" i="6"/>
  <c r="B1193" i="5"/>
  <c r="B1194" i="5"/>
  <c r="I1976" i="1"/>
  <c r="I1975" i="1"/>
  <c r="G457" i="6"/>
  <c r="G458" i="6"/>
  <c r="E1220" i="5"/>
  <c r="E1221" i="5"/>
  <c r="G1693" i="4"/>
  <c r="G1694" i="4"/>
  <c r="H1919" i="1"/>
  <c r="H1918" i="1"/>
  <c r="AQ1644" i="5"/>
  <c r="AQ1661" i="5"/>
  <c r="I1136" i="5"/>
  <c r="I1127" i="5"/>
  <c r="AQ1640" i="5"/>
  <c r="J1131" i="5"/>
  <c r="BI2140" i="4"/>
  <c r="E1724" i="3"/>
  <c r="E1725" i="3"/>
  <c r="E1612" i="4"/>
  <c r="E1613" i="4"/>
  <c r="BH2121" i="4"/>
  <c r="BH2138" i="4"/>
  <c r="I1601" i="4"/>
  <c r="BH2114" i="4"/>
  <c r="J1608" i="4"/>
  <c r="F322" i="6"/>
  <c r="F323" i="6"/>
  <c r="B322" i="6"/>
  <c r="B323" i="6"/>
  <c r="H1085" i="5"/>
  <c r="H1086" i="5"/>
  <c r="F1558" i="4"/>
  <c r="F1559" i="4"/>
  <c r="B1558" i="4"/>
  <c r="B1559" i="4"/>
  <c r="F1608" i="2"/>
  <c r="F1609" i="2"/>
  <c r="B1608" i="2"/>
  <c r="B1609" i="2"/>
  <c r="D1820" i="1"/>
  <c r="D1821" i="1"/>
  <c r="C1874" i="1"/>
  <c r="C1875" i="1"/>
  <c r="C1085" i="5"/>
  <c r="C1086" i="5"/>
  <c r="C1724" i="3"/>
  <c r="C1725" i="3"/>
  <c r="G1820" i="1"/>
  <c r="G1821" i="1"/>
  <c r="C1820" i="1"/>
  <c r="C1821" i="1"/>
  <c r="B258" i="6"/>
  <c r="B259" i="6"/>
  <c r="J369" i="6"/>
  <c r="O882" i="6"/>
  <c r="O898" i="6"/>
  <c r="I362" i="6"/>
  <c r="O875" i="6"/>
  <c r="I1868" i="1"/>
  <c r="I1867" i="1"/>
  <c r="B1085" i="5"/>
  <c r="B1086" i="5"/>
  <c r="I1077" i="5"/>
  <c r="D1558" i="4"/>
  <c r="D1559" i="4"/>
  <c r="F1724" i="3"/>
  <c r="F1725" i="3"/>
  <c r="I1720" i="3"/>
  <c r="I1719" i="3"/>
  <c r="D1608" i="2"/>
  <c r="D1609" i="2"/>
  <c r="I1816" i="1"/>
  <c r="BN2390" i="1"/>
  <c r="I1819" i="1"/>
  <c r="J1817" i="1"/>
  <c r="B25" i="11"/>
  <c r="B26" i="11"/>
  <c r="I1759" i="1"/>
  <c r="J1762" i="1"/>
  <c r="I1755" i="1"/>
  <c r="BL2382" i="1"/>
  <c r="BL2389" i="1"/>
  <c r="BL2406" i="1"/>
  <c r="I1684" i="3"/>
  <c r="BJ2278" i="3"/>
  <c r="BJ2288" i="3"/>
  <c r="I1682" i="3"/>
  <c r="BJ2276" i="3"/>
  <c r="I1696" i="3"/>
  <c r="J1694" i="3"/>
  <c r="I1686" i="3"/>
  <c r="BJ2280" i="3"/>
  <c r="C1004" i="5"/>
  <c r="C1005" i="5"/>
  <c r="E1477" i="4"/>
  <c r="E1478" i="4"/>
  <c r="G1643" i="3"/>
  <c r="G1644" i="3"/>
  <c r="C1643" i="3"/>
  <c r="C1644" i="3"/>
  <c r="J1733" i="1"/>
  <c r="I1726" i="1"/>
  <c r="BK2380" i="1"/>
  <c r="BK2387" i="1"/>
  <c r="BK2404" i="1"/>
  <c r="BK2385" i="1"/>
  <c r="BK2402" i="1"/>
  <c r="I1724" i="1"/>
  <c r="BK2378" i="1"/>
  <c r="J1731" i="1"/>
  <c r="B1450" i="4"/>
  <c r="B1451" i="4"/>
  <c r="BB2117" i="4"/>
  <c r="BB2134" i="4"/>
  <c r="J1442" i="4"/>
  <c r="BF2286" i="3"/>
  <c r="BF2302" i="3"/>
  <c r="J1584" i="3"/>
  <c r="H1783" i="1"/>
  <c r="H1784" i="1"/>
  <c r="G258" i="6"/>
  <c r="G259" i="6"/>
  <c r="I998" i="5"/>
  <c r="I1635" i="3"/>
  <c r="D1524" i="2"/>
  <c r="D1525" i="2"/>
  <c r="J1463" i="2"/>
  <c r="BA2190" i="2"/>
  <c r="BA2207" i="2"/>
  <c r="D1685" i="1"/>
  <c r="D1686" i="1"/>
  <c r="F882" i="6"/>
  <c r="F898" i="6"/>
  <c r="J126" i="6"/>
  <c r="I1665" i="3"/>
  <c r="I1662" i="3"/>
  <c r="H1766" i="1"/>
  <c r="H1767" i="1"/>
  <c r="C1477" i="4"/>
  <c r="C1478" i="4"/>
  <c r="G1524" i="2"/>
  <c r="G1525" i="2"/>
  <c r="H1450" i="4"/>
  <c r="H1451" i="4"/>
  <c r="H1589" i="3"/>
  <c r="H1590" i="3"/>
  <c r="G1685" i="1"/>
  <c r="G1686" i="1"/>
  <c r="I1678" i="1"/>
  <c r="H1004" i="5"/>
  <c r="H1005" i="5"/>
  <c r="I1470" i="4"/>
  <c r="F1524" i="2"/>
  <c r="F1525" i="2"/>
  <c r="I1518" i="2"/>
  <c r="F950" i="5"/>
  <c r="F951" i="5"/>
  <c r="I943" i="5"/>
  <c r="I944" i="5"/>
  <c r="C1589" i="3"/>
  <c r="C1590" i="3"/>
  <c r="C1650" i="5"/>
  <c r="C1666" i="5"/>
  <c r="I53" i="5"/>
  <c r="F1631" i="1"/>
  <c r="F1632" i="1"/>
  <c r="J1409" i="1"/>
  <c r="J1402" i="1"/>
  <c r="AY2387" i="1"/>
  <c r="AY2404" i="1"/>
  <c r="I1402" i="1"/>
  <c r="J1164" i="1"/>
  <c r="J1157" i="1"/>
  <c r="I1157" i="1"/>
  <c r="AP2386" i="1"/>
  <c r="AP2403" i="1"/>
  <c r="AP2408" i="1"/>
  <c r="F1552" i="3"/>
  <c r="F1553" i="3"/>
  <c r="H1440" i="2"/>
  <c r="H1441" i="2"/>
  <c r="I365" i="2"/>
  <c r="I356" i="2"/>
  <c r="N2183" i="2"/>
  <c r="J363" i="2"/>
  <c r="N2190" i="2"/>
  <c r="N2207" i="2"/>
  <c r="N2210" i="2"/>
  <c r="AD2191" i="2"/>
  <c r="AD2208" i="2"/>
  <c r="J820" i="2"/>
  <c r="AJ2190" i="2"/>
  <c r="AJ2207" i="2"/>
  <c r="J987" i="2"/>
  <c r="M2117" i="4"/>
  <c r="M2134" i="4"/>
  <c r="I328" i="4"/>
  <c r="J323" i="4"/>
  <c r="J435" i="4"/>
  <c r="Q2117" i="4"/>
  <c r="Q2134" i="4"/>
  <c r="I440" i="4"/>
  <c r="I428" i="4"/>
  <c r="Q2110" i="4"/>
  <c r="AR2120" i="4"/>
  <c r="AR2137" i="4"/>
  <c r="J1175" i="4"/>
  <c r="I1168" i="4"/>
  <c r="AR2113" i="4"/>
  <c r="E2386" i="1"/>
  <c r="J105" i="1"/>
  <c r="J106" i="1"/>
  <c r="E2387" i="1"/>
  <c r="J641" i="1"/>
  <c r="J634" i="1"/>
  <c r="W2387" i="1"/>
  <c r="W2404" i="1"/>
  <c r="I634" i="1"/>
  <c r="W2380" i="1"/>
  <c r="J698" i="1"/>
  <c r="J691" i="1"/>
  <c r="Y2388" i="1"/>
  <c r="Y2405" i="1"/>
  <c r="I691" i="1"/>
  <c r="Y2381" i="1"/>
  <c r="Z2386" i="1"/>
  <c r="Z2403" i="1"/>
  <c r="I717" i="1"/>
  <c r="J724" i="1"/>
  <c r="J717" i="1"/>
  <c r="Z2388" i="1"/>
  <c r="Z2405" i="1"/>
  <c r="J726" i="1"/>
  <c r="J719" i="1"/>
  <c r="I719" i="1"/>
  <c r="AD2387" i="1"/>
  <c r="AD2404" i="1"/>
  <c r="J837" i="1"/>
  <c r="J830" i="1"/>
  <c r="I830" i="1"/>
  <c r="I860" i="1"/>
  <c r="J867" i="1"/>
  <c r="J860" i="1"/>
  <c r="AE2389" i="1"/>
  <c r="AE2406" i="1"/>
  <c r="C1036" i="1"/>
  <c r="C1037" i="1"/>
  <c r="AK2387" i="1"/>
  <c r="AK2404" i="1"/>
  <c r="J1030" i="1"/>
  <c r="J1023" i="1"/>
  <c r="I1023" i="1"/>
  <c r="I1131" i="1"/>
  <c r="J1138" i="1"/>
  <c r="J1131" i="1"/>
  <c r="AO2387" i="1"/>
  <c r="AO2404" i="1"/>
  <c r="I1240" i="1"/>
  <c r="AS2387" i="1"/>
  <c r="AS2404" i="1"/>
  <c r="J1247" i="1"/>
  <c r="J1240" i="1"/>
  <c r="J1274" i="1"/>
  <c r="J1267" i="1"/>
  <c r="AT2387" i="1"/>
  <c r="AT2404" i="1"/>
  <c r="I1267" i="1"/>
  <c r="I1350" i="1"/>
  <c r="J1357" i="1"/>
  <c r="J1350" i="1"/>
  <c r="AW2389" i="1"/>
  <c r="AW2406" i="1"/>
  <c r="AX2386" i="1"/>
  <c r="AX2403" i="1"/>
  <c r="J1381" i="1"/>
  <c r="J1374" i="1"/>
  <c r="I1374" i="1"/>
  <c r="J1515" i="1"/>
  <c r="J1508" i="1"/>
  <c r="I1508" i="1"/>
  <c r="BC2385" i="1"/>
  <c r="BC2402" i="1"/>
  <c r="I1546" i="1"/>
  <c r="C1604" i="1"/>
  <c r="C1605" i="1"/>
  <c r="I72" i="6"/>
  <c r="E133" i="6"/>
  <c r="E134" i="6"/>
  <c r="J918" i="5"/>
  <c r="AI1647" i="5"/>
  <c r="I1433" i="2"/>
  <c r="F1658" i="1"/>
  <c r="F1659" i="1"/>
  <c r="J533" i="2"/>
  <c r="T2187" i="2"/>
  <c r="T2204" i="2"/>
  <c r="D1132" i="2"/>
  <c r="D1133" i="2"/>
  <c r="J131" i="4"/>
  <c r="J124" i="4"/>
  <c r="F2118" i="4"/>
  <c r="F2135" i="4"/>
  <c r="I124" i="4"/>
  <c r="F2111" i="4"/>
  <c r="D583" i="4"/>
  <c r="D584" i="4"/>
  <c r="I636" i="4"/>
  <c r="I626" i="4"/>
  <c r="X2112" i="4"/>
  <c r="X2118" i="4"/>
  <c r="X2135" i="4"/>
  <c r="X2140" i="4"/>
  <c r="J632" i="4"/>
  <c r="AQ2120" i="4"/>
  <c r="AQ2137" i="4"/>
  <c r="J1148" i="4"/>
  <c r="I1141" i="4"/>
  <c r="AQ2113" i="4"/>
  <c r="J1174" i="4"/>
  <c r="AR2119" i="4"/>
  <c r="AR2136" i="4"/>
  <c r="I1167" i="4"/>
  <c r="AR2112" i="4"/>
  <c r="I1285" i="4"/>
  <c r="I1275" i="4"/>
  <c r="AV2112" i="4"/>
  <c r="J1281" i="4"/>
  <c r="AV2118" i="4"/>
  <c r="AV2135" i="4"/>
  <c r="AV2140" i="4"/>
  <c r="E167" i="1"/>
  <c r="E168" i="1"/>
  <c r="J277" i="1"/>
  <c r="J270" i="1"/>
  <c r="I270" i="1"/>
  <c r="Q2388" i="1"/>
  <c r="Q2405" i="1"/>
  <c r="I468" i="1"/>
  <c r="Q2381" i="1"/>
  <c r="J475" i="1"/>
  <c r="J468" i="1"/>
  <c r="E675" i="1"/>
  <c r="E676" i="1"/>
  <c r="I892" i="1"/>
  <c r="AJ2389" i="1"/>
  <c r="AJ2406" i="1"/>
  <c r="I998" i="1"/>
  <c r="J1005" i="1"/>
  <c r="J998" i="1"/>
  <c r="AJ2385" i="1"/>
  <c r="AJ2402" i="1"/>
  <c r="I994" i="1"/>
  <c r="J1001" i="1"/>
  <c r="J994" i="1"/>
  <c r="J1276" i="1"/>
  <c r="J1269" i="1"/>
  <c r="AT2389" i="1"/>
  <c r="AT2406" i="1"/>
  <c r="I1269" i="1"/>
  <c r="D1361" i="1"/>
  <c r="D1362" i="1"/>
  <c r="AZ2387" i="1"/>
  <c r="AZ2404" i="1"/>
  <c r="J1436" i="1"/>
  <c r="J1429" i="1"/>
  <c r="I1429" i="1"/>
  <c r="BA2389" i="1"/>
  <c r="BA2406" i="1"/>
  <c r="I1458" i="1"/>
  <c r="J1465" i="1"/>
  <c r="J1458" i="1"/>
  <c r="I1461" i="1"/>
  <c r="D900" i="4"/>
  <c r="D901" i="4"/>
  <c r="F294" i="4"/>
  <c r="F293" i="4"/>
  <c r="D150" i="6"/>
  <c r="D151" i="6"/>
  <c r="E923" i="5"/>
  <c r="E924" i="5"/>
  <c r="I1390" i="4"/>
  <c r="I1388" i="4"/>
  <c r="I507" i="2"/>
  <c r="AE2187" i="2"/>
  <c r="AE2204" i="2"/>
  <c r="J844" i="2"/>
  <c r="G2120" i="4"/>
  <c r="G2137" i="4"/>
  <c r="I154" i="4"/>
  <c r="G2113" i="4"/>
  <c r="J161" i="4"/>
  <c r="J154" i="4"/>
  <c r="C249" i="4"/>
  <c r="C250" i="4"/>
  <c r="L2117" i="4"/>
  <c r="L2134" i="4"/>
  <c r="I300" i="4"/>
  <c r="I288" i="4"/>
  <c r="L2110" i="4"/>
  <c r="J295" i="4"/>
  <c r="J465" i="4"/>
  <c r="R2119" i="4"/>
  <c r="R2136" i="4"/>
  <c r="I496" i="4"/>
  <c r="J491" i="4"/>
  <c r="S2117" i="4"/>
  <c r="S2134" i="4"/>
  <c r="I484" i="4"/>
  <c r="S2110" i="4"/>
  <c r="AC2119" i="4"/>
  <c r="AC2136" i="4"/>
  <c r="J769" i="4"/>
  <c r="I762" i="4"/>
  <c r="AC2112" i="4"/>
  <c r="I1041" i="4"/>
  <c r="J1067" i="4"/>
  <c r="AN2120" i="4"/>
  <c r="AN2137" i="4"/>
  <c r="I1060" i="4"/>
  <c r="AN2113" i="4"/>
  <c r="J1121" i="4"/>
  <c r="AP2120" i="4"/>
  <c r="AP2137" i="4"/>
  <c r="I1114" i="4"/>
  <c r="AP2113" i="4"/>
  <c r="I244" i="1"/>
  <c r="J2381" i="1"/>
  <c r="J251" i="1"/>
  <c r="J244" i="1"/>
  <c r="J2388" i="1"/>
  <c r="J2405" i="1"/>
  <c r="I306" i="1"/>
  <c r="E396" i="1"/>
  <c r="E397" i="1"/>
  <c r="I444" i="1"/>
  <c r="S2385" i="1"/>
  <c r="S2402" i="1"/>
  <c r="J528" i="1"/>
  <c r="J521" i="1"/>
  <c r="I521" i="1"/>
  <c r="S2378" i="1"/>
  <c r="I523" i="1"/>
  <c r="S2380" i="1"/>
  <c r="J530" i="1"/>
  <c r="J523" i="1"/>
  <c r="S2387" i="1"/>
  <c r="S2404" i="1"/>
  <c r="B675" i="1"/>
  <c r="B676" i="1"/>
  <c r="I669" i="1"/>
  <c r="F1090" i="1"/>
  <c r="F1091" i="1"/>
  <c r="AQ2387" i="1"/>
  <c r="AQ2404" i="1"/>
  <c r="I1185" i="1"/>
  <c r="J1192" i="1"/>
  <c r="J1185" i="1"/>
  <c r="I1218" i="1"/>
  <c r="B1334" i="1"/>
  <c r="B1335" i="1"/>
  <c r="I1491" i="1"/>
  <c r="J1598" i="1"/>
  <c r="J1591" i="1"/>
  <c r="BF2387" i="1"/>
  <c r="BF2404" i="1"/>
  <c r="I1591" i="1"/>
  <c r="BF2380" i="1"/>
  <c r="H241" i="3"/>
  <c r="H240" i="3"/>
  <c r="F184" i="3"/>
  <c r="F185" i="3"/>
  <c r="H45" i="4"/>
  <c r="H44" i="4"/>
  <c r="F1347" i="2"/>
  <c r="F1346" i="2"/>
  <c r="D1378" i="1"/>
  <c r="D1379" i="1"/>
  <c r="E1279" i="4"/>
  <c r="E1278" i="4"/>
  <c r="F101" i="3"/>
  <c r="F100" i="3"/>
  <c r="G814" i="2"/>
  <c r="G815" i="2"/>
  <c r="E731" i="2"/>
  <c r="E730" i="2"/>
  <c r="H645" i="2"/>
  <c r="H644" i="2"/>
  <c r="D588" i="2"/>
  <c r="D587" i="2"/>
  <c r="H445" i="2"/>
  <c r="H444" i="2"/>
  <c r="F75" i="1"/>
  <c r="F74" i="1"/>
  <c r="I155" i="6"/>
  <c r="G923" i="5"/>
  <c r="G924" i="5"/>
  <c r="E1396" i="4"/>
  <c r="E1397" i="4"/>
  <c r="B1658" i="1"/>
  <c r="B1659" i="1"/>
  <c r="I1650" i="1"/>
  <c r="I1126" i="2"/>
  <c r="C1412" i="2"/>
  <c r="C1413" i="2"/>
  <c r="J381" i="4"/>
  <c r="O2119" i="4"/>
  <c r="O2136" i="4"/>
  <c r="I384" i="4"/>
  <c r="I374" i="4"/>
  <c r="O2112" i="4"/>
  <c r="C611" i="4"/>
  <c r="C612" i="4"/>
  <c r="J741" i="4"/>
  <c r="AB2118" i="4"/>
  <c r="AB2135" i="4"/>
  <c r="AB2140" i="4"/>
  <c r="I745" i="4"/>
  <c r="I734" i="4"/>
  <c r="AB2111" i="4"/>
  <c r="J852" i="4"/>
  <c r="AF2121" i="4"/>
  <c r="AF2138" i="4"/>
  <c r="I845" i="4"/>
  <c r="AF2114" i="4"/>
  <c r="AH2117" i="4"/>
  <c r="AH2134" i="4"/>
  <c r="J902" i="4"/>
  <c r="AT2118" i="4"/>
  <c r="AT2135" i="4"/>
  <c r="J1227" i="4"/>
  <c r="I1231" i="4"/>
  <c r="I1220" i="4"/>
  <c r="AT2111" i="4"/>
  <c r="I1363" i="4"/>
  <c r="E112" i="1"/>
  <c r="E113" i="1"/>
  <c r="I220" i="1"/>
  <c r="I335" i="1"/>
  <c r="I392" i="1"/>
  <c r="I640" i="1"/>
  <c r="I699" i="1"/>
  <c r="I1082" i="1"/>
  <c r="I1084" i="1"/>
  <c r="F1144" i="1"/>
  <c r="F1145" i="1"/>
  <c r="I1191" i="1"/>
  <c r="G1442" i="1"/>
  <c r="G1443" i="1"/>
  <c r="I1592" i="1"/>
  <c r="BF2381" i="1"/>
  <c r="BF2388" i="1"/>
  <c r="BF2405" i="1"/>
  <c r="J1599" i="1"/>
  <c r="J1592" i="1"/>
  <c r="J19" i="6"/>
  <c r="B883" i="6"/>
  <c r="D1036" i="4"/>
  <c r="D1035" i="4"/>
  <c r="F518" i="4"/>
  <c r="F517" i="4"/>
  <c r="G985" i="3"/>
  <c r="G986" i="3"/>
  <c r="G487" i="3"/>
  <c r="G488" i="3"/>
  <c r="B128" i="3"/>
  <c r="B129" i="3"/>
  <c r="B1081" i="1"/>
  <c r="B1080" i="1"/>
  <c r="H1417" i="3"/>
  <c r="H1418" i="3"/>
  <c r="H2377" i="1"/>
  <c r="H2382" i="1"/>
  <c r="G2125" i="4"/>
  <c r="G2126" i="4"/>
  <c r="I1225" i="3"/>
  <c r="AS2278" i="3"/>
  <c r="J1235" i="3"/>
  <c r="I1237" i="3"/>
  <c r="AS2288" i="3"/>
  <c r="I1223" i="3"/>
  <c r="AS2276" i="3"/>
  <c r="I1224" i="3"/>
  <c r="AS2277" i="3"/>
  <c r="I1227" i="3"/>
  <c r="AS2280" i="3"/>
  <c r="I1197" i="3"/>
  <c r="AR2277" i="3"/>
  <c r="AR2288" i="3"/>
  <c r="I1198" i="3"/>
  <c r="AR2278" i="3"/>
  <c r="I1200" i="3"/>
  <c r="AR2280" i="3"/>
  <c r="I1210" i="3"/>
  <c r="I1199" i="3"/>
  <c r="AR2279" i="3"/>
  <c r="J1208" i="3"/>
  <c r="J1196" i="3"/>
  <c r="J211" i="3"/>
  <c r="J1253" i="3"/>
  <c r="J949" i="4"/>
  <c r="J953" i="4"/>
  <c r="J963" i="4"/>
  <c r="J964" i="4"/>
  <c r="J952" i="4"/>
  <c r="J950" i="4"/>
  <c r="J154" i="3"/>
  <c r="J559" i="2"/>
  <c r="J560" i="2"/>
  <c r="J737" i="3"/>
  <c r="I790" i="3"/>
  <c r="AC2276" i="3"/>
  <c r="J802" i="3"/>
  <c r="I792" i="3"/>
  <c r="AC2278" i="3"/>
  <c r="AC2288" i="3"/>
  <c r="I794" i="3"/>
  <c r="AC2280" i="3"/>
  <c r="I791" i="3"/>
  <c r="AC2277" i="3"/>
  <c r="I804" i="3"/>
  <c r="I1305" i="3"/>
  <c r="AV2277" i="3"/>
  <c r="J1316" i="3"/>
  <c r="J1307" i="3"/>
  <c r="I1318" i="3"/>
  <c r="AV2288" i="3"/>
  <c r="I1307" i="3"/>
  <c r="AV2279" i="3"/>
  <c r="I1306" i="3"/>
  <c r="AV2278" i="3"/>
  <c r="I1308" i="3"/>
  <c r="AV2280" i="3"/>
  <c r="I1304" i="3"/>
  <c r="AV2276" i="3"/>
  <c r="J565" i="1"/>
  <c r="I555" i="1"/>
  <c r="T2384" i="1"/>
  <c r="T2394" i="1"/>
  <c r="I554" i="1"/>
  <c r="T2383" i="1"/>
  <c r="J208" i="3"/>
  <c r="I281" i="2"/>
  <c r="J279" i="2"/>
  <c r="J270" i="2"/>
  <c r="K2192" i="2"/>
  <c r="I267" i="2"/>
  <c r="K2180" i="2"/>
  <c r="I270" i="2"/>
  <c r="K2183" i="2"/>
  <c r="I269" i="2"/>
  <c r="K2182" i="2"/>
  <c r="I268" i="2"/>
  <c r="K2181" i="2"/>
  <c r="I271" i="2"/>
  <c r="K2184" i="2"/>
  <c r="J1334" i="3"/>
  <c r="I692" i="3"/>
  <c r="Y2288" i="3"/>
  <c r="I678" i="3"/>
  <c r="Y2276" i="3"/>
  <c r="J690" i="3"/>
  <c r="I680" i="3"/>
  <c r="Y2278" i="3"/>
  <c r="I682" i="3"/>
  <c r="Y2280" i="3"/>
  <c r="I681" i="3"/>
  <c r="Y2279" i="3"/>
  <c r="P2204" i="2"/>
  <c r="P2210" i="2"/>
  <c r="J1145" i="3"/>
  <c r="J1250" i="3"/>
  <c r="J1306" i="3"/>
  <c r="I2302" i="3"/>
  <c r="Q1653" i="5"/>
  <c r="I427" i="5"/>
  <c r="Q1642" i="5"/>
  <c r="I428" i="5"/>
  <c r="Q1643" i="5"/>
  <c r="J438" i="5"/>
  <c r="J644" i="2"/>
  <c r="J645" i="2"/>
  <c r="J515" i="3"/>
  <c r="J514" i="3"/>
  <c r="G977" i="9"/>
  <c r="BZ2117" i="4"/>
  <c r="BZ2134" i="4"/>
  <c r="J2090" i="4"/>
  <c r="BZ2188" i="2"/>
  <c r="BZ2205" i="2"/>
  <c r="J2161" i="2"/>
  <c r="G2255" i="3"/>
  <c r="G2254" i="3"/>
  <c r="I2257" i="3"/>
  <c r="E1598" i="5"/>
  <c r="E1599" i="5"/>
  <c r="BY2118" i="4"/>
  <c r="BY2135" i="4"/>
  <c r="J2064" i="4"/>
  <c r="I2066" i="4"/>
  <c r="I2068" i="4"/>
  <c r="I2057" i="4"/>
  <c r="BY2111" i="4"/>
  <c r="J2326" i="1"/>
  <c r="J2319" i="1"/>
  <c r="CG2386" i="1"/>
  <c r="CG2403" i="1"/>
  <c r="I2319" i="1"/>
  <c r="CG2379" i="1"/>
  <c r="F835" i="6"/>
  <c r="F836" i="6"/>
  <c r="I2232" i="3"/>
  <c r="BH1647" i="5"/>
  <c r="BH1664" i="5"/>
  <c r="J1593" i="5"/>
  <c r="M971" i="9"/>
  <c r="J808" i="9"/>
  <c r="H2098" i="4"/>
  <c r="H2099" i="4"/>
  <c r="C2168" i="2"/>
  <c r="C2169" i="2"/>
  <c r="I2352" i="1"/>
  <c r="I2091" i="4"/>
  <c r="I2095" i="4"/>
  <c r="I2260" i="3"/>
  <c r="G2168" i="2"/>
  <c r="G2169" i="2"/>
  <c r="B835" i="6"/>
  <c r="B836" i="6"/>
  <c r="D2071" i="4"/>
  <c r="D2072" i="4"/>
  <c r="B2061" i="4"/>
  <c r="B2062" i="4"/>
  <c r="G1598" i="5"/>
  <c r="G1599" i="5"/>
  <c r="I2329" i="1"/>
  <c r="CD2285" i="3"/>
  <c r="CD2301" i="3"/>
  <c r="J2231" i="3"/>
  <c r="B2140" i="2"/>
  <c r="B2141" i="2"/>
  <c r="I1592" i="5"/>
  <c r="I802" i="6"/>
  <c r="G1571" i="5"/>
  <c r="G1572" i="5"/>
  <c r="D2044" i="4"/>
  <c r="D2045" i="4"/>
  <c r="C2035" i="4"/>
  <c r="C2034" i="4"/>
  <c r="I1566" i="5"/>
  <c r="I2205" i="3"/>
  <c r="D808" i="6"/>
  <c r="D809" i="6"/>
  <c r="I2038" i="4"/>
  <c r="I2206" i="3"/>
  <c r="CB2275" i="3"/>
  <c r="J2167" i="3"/>
  <c r="J2173" i="3"/>
  <c r="I2173" i="3"/>
  <c r="CB2281" i="3"/>
  <c r="BW2188" i="2"/>
  <c r="BW2205" i="2"/>
  <c r="J2077" i="2"/>
  <c r="I2070" i="2"/>
  <c r="BW2181" i="2"/>
  <c r="G2251" i="1"/>
  <c r="E754" i="6"/>
  <c r="E755" i="6"/>
  <c r="J2143" i="3"/>
  <c r="H727" i="6"/>
  <c r="H728" i="6"/>
  <c r="BD1644" i="5"/>
  <c r="BD1661" i="5"/>
  <c r="J1482" i="5"/>
  <c r="I1486" i="5"/>
  <c r="I1487" i="5"/>
  <c r="C1963" i="4"/>
  <c r="C1964" i="4"/>
  <c r="I2141" i="3"/>
  <c r="CA2276" i="3"/>
  <c r="I723" i="6"/>
  <c r="H2129" i="3"/>
  <c r="H2130" i="3"/>
  <c r="I2125" i="3"/>
  <c r="E1490" i="5"/>
  <c r="E1491" i="5"/>
  <c r="G2129" i="3"/>
  <c r="G2130" i="3"/>
  <c r="E1436" i="5"/>
  <c r="E1437" i="5"/>
  <c r="C1972" i="2"/>
  <c r="C1973" i="2"/>
  <c r="E2171" i="1"/>
  <c r="E2172" i="1"/>
  <c r="B2000" i="2"/>
  <c r="B2001" i="2"/>
  <c r="I1996" i="2"/>
  <c r="C2198" i="1"/>
  <c r="C2199" i="1"/>
  <c r="B673" i="6"/>
  <c r="B674" i="6"/>
  <c r="I1964" i="2"/>
  <c r="I1967" i="2"/>
  <c r="BR2117" i="4"/>
  <c r="BR2134" i="4"/>
  <c r="I1879" i="4"/>
  <c r="I1867" i="4"/>
  <c r="BR2110" i="4"/>
  <c r="J1874" i="4"/>
  <c r="B2198" i="1"/>
  <c r="B2199" i="1"/>
  <c r="I2194" i="1"/>
  <c r="G2198" i="1"/>
  <c r="G2199" i="1"/>
  <c r="D673" i="6"/>
  <c r="D674" i="6"/>
  <c r="F1436" i="5"/>
  <c r="F1437" i="5"/>
  <c r="B1436" i="5"/>
  <c r="B1437" i="5"/>
  <c r="I1432" i="5"/>
  <c r="D1972" i="2"/>
  <c r="D1973" i="2"/>
  <c r="F2171" i="1"/>
  <c r="F2172" i="1"/>
  <c r="I2165" i="1"/>
  <c r="C2161" i="1"/>
  <c r="C2162" i="1"/>
  <c r="J1402" i="5"/>
  <c r="BA1645" i="5"/>
  <c r="BA1662" i="5"/>
  <c r="E619" i="6"/>
  <c r="E620" i="6"/>
  <c r="I1850" i="4"/>
  <c r="B2108" i="1"/>
  <c r="B2107" i="1"/>
  <c r="I1938" i="2"/>
  <c r="B1944" i="2"/>
  <c r="B1945" i="2"/>
  <c r="E1855" i="4"/>
  <c r="E1856" i="4"/>
  <c r="H2011" i="3"/>
  <c r="H2012" i="3"/>
  <c r="I2140" i="1"/>
  <c r="I2139" i="1"/>
  <c r="G619" i="6"/>
  <c r="G620" i="6"/>
  <c r="BQ2190" i="2"/>
  <c r="BQ2207" i="2"/>
  <c r="J1911" i="2"/>
  <c r="I1904" i="2"/>
  <c r="BQ2183" i="2"/>
  <c r="I611" i="6"/>
  <c r="H1906" i="2"/>
  <c r="H1907" i="2"/>
  <c r="AZ1649" i="5"/>
  <c r="I1367" i="5"/>
  <c r="AZ1637" i="5"/>
  <c r="I1370" i="5"/>
  <c r="AZ1640" i="5"/>
  <c r="I1369" i="5"/>
  <c r="AZ1639" i="5"/>
  <c r="I1381" i="5"/>
  <c r="I1371" i="5"/>
  <c r="AZ1641" i="5"/>
  <c r="J1379" i="5"/>
  <c r="I1368" i="5"/>
  <c r="AZ1638" i="5"/>
  <c r="BJ1650" i="5"/>
  <c r="BK1650" i="5"/>
  <c r="BK1631" i="5"/>
  <c r="AY1647" i="5"/>
  <c r="AY1664" i="5"/>
  <c r="I1343" i="5"/>
  <c r="AY1640" i="5"/>
  <c r="J1350" i="5"/>
  <c r="J1844" i="2"/>
  <c r="BO2179" i="2"/>
  <c r="BO2202" i="2"/>
  <c r="H1888" i="2"/>
  <c r="H1889" i="2"/>
  <c r="E2090" i="1"/>
  <c r="E2091" i="1"/>
  <c r="C1328" i="5"/>
  <c r="C1329" i="5"/>
  <c r="B1318" i="5"/>
  <c r="B1319" i="5"/>
  <c r="H2090" i="1"/>
  <c r="H2091" i="1"/>
  <c r="D2090" i="1"/>
  <c r="D2091" i="1"/>
  <c r="F1967" i="3"/>
  <c r="F1968" i="3"/>
  <c r="I1962" i="3"/>
  <c r="I1964" i="3"/>
  <c r="I2058" i="1"/>
  <c r="E556" i="6"/>
  <c r="E555" i="6"/>
  <c r="I1883" i="2"/>
  <c r="I1881" i="2"/>
  <c r="I2085" i="1"/>
  <c r="E1328" i="5"/>
  <c r="E1329" i="5"/>
  <c r="BO2190" i="2"/>
  <c r="BO2207" i="2"/>
  <c r="J1855" i="2"/>
  <c r="G556" i="6"/>
  <c r="G555" i="6"/>
  <c r="BQ2210" i="2"/>
  <c r="F2090" i="1"/>
  <c r="F2091" i="1"/>
  <c r="I2083" i="1"/>
  <c r="I557" i="6"/>
  <c r="I1794" i="4"/>
  <c r="I1853" i="2"/>
  <c r="B555" i="6"/>
  <c r="B556" i="6"/>
  <c r="F1804" i="2"/>
  <c r="F1805" i="2"/>
  <c r="G538" i="6"/>
  <c r="G539" i="6"/>
  <c r="E1940" i="3"/>
  <c r="E1941" i="3"/>
  <c r="C1832" i="2"/>
  <c r="C1833" i="2"/>
  <c r="F511" i="6"/>
  <c r="F512" i="6"/>
  <c r="I506" i="6"/>
  <c r="F1774" i="4"/>
  <c r="F1775" i="4"/>
  <c r="I1769" i="4"/>
  <c r="I1767" i="4"/>
  <c r="H1940" i="3"/>
  <c r="H1941" i="3"/>
  <c r="D1940" i="3"/>
  <c r="D1941" i="3"/>
  <c r="I1827" i="2"/>
  <c r="I1825" i="2"/>
  <c r="H2036" i="1"/>
  <c r="H2037" i="1"/>
  <c r="G1274" i="5"/>
  <c r="G1275" i="5"/>
  <c r="C1804" i="2"/>
  <c r="C1805" i="2"/>
  <c r="C2009" i="1"/>
  <c r="C2010" i="1"/>
  <c r="BW2392" i="1"/>
  <c r="I2063" i="1"/>
  <c r="I2064" i="1"/>
  <c r="J2062" i="1"/>
  <c r="I532" i="6"/>
  <c r="C2036" i="1"/>
  <c r="C2037" i="1"/>
  <c r="I1268" i="5"/>
  <c r="F2009" i="1"/>
  <c r="F2010" i="1"/>
  <c r="B2009" i="1"/>
  <c r="B2010" i="1"/>
  <c r="I2001" i="1"/>
  <c r="H538" i="6"/>
  <c r="H539" i="6"/>
  <c r="H1774" i="4"/>
  <c r="H1775" i="4"/>
  <c r="B1940" i="3"/>
  <c r="B1941" i="3"/>
  <c r="H1832" i="2"/>
  <c r="H1833" i="2"/>
  <c r="D1832" i="2"/>
  <c r="D1833" i="2"/>
  <c r="I2030" i="1"/>
  <c r="E1748" i="2"/>
  <c r="E1749" i="2"/>
  <c r="I1924" i="1"/>
  <c r="F457" i="6"/>
  <c r="F458" i="6"/>
  <c r="I450" i="6"/>
  <c r="I452" i="6"/>
  <c r="I454" i="6"/>
  <c r="F1693" i="4"/>
  <c r="F1694" i="4"/>
  <c r="I1688" i="4"/>
  <c r="C430" i="6"/>
  <c r="C431" i="6"/>
  <c r="F1720" i="2"/>
  <c r="F1721" i="2"/>
  <c r="B1720" i="2"/>
  <c r="B1721" i="2"/>
  <c r="I477" i="6"/>
  <c r="I1243" i="5"/>
  <c r="C1886" i="3"/>
  <c r="C1887" i="3"/>
  <c r="H1982" i="1"/>
  <c r="H1983" i="1"/>
  <c r="D1982" i="1"/>
  <c r="D1983" i="1"/>
  <c r="BS2408" i="1"/>
  <c r="I1189" i="5"/>
  <c r="E1720" i="2"/>
  <c r="E1721" i="2"/>
  <c r="D1823" i="3"/>
  <c r="D1822" i="3"/>
  <c r="I1879" i="3"/>
  <c r="C1982" i="1"/>
  <c r="C1983" i="1"/>
  <c r="I1212" i="5"/>
  <c r="F1859" i="3"/>
  <c r="F1860" i="3"/>
  <c r="I1851" i="3"/>
  <c r="CF2296" i="3"/>
  <c r="CG2296" i="3"/>
  <c r="F1193" i="5"/>
  <c r="F1194" i="5"/>
  <c r="I1825" i="3"/>
  <c r="H1720" i="2"/>
  <c r="H1721" i="2"/>
  <c r="H1247" i="5"/>
  <c r="H1248" i="5"/>
  <c r="D1247" i="5"/>
  <c r="D1248" i="5"/>
  <c r="I1978" i="1"/>
  <c r="C457" i="6"/>
  <c r="C458" i="6"/>
  <c r="H430" i="6"/>
  <c r="H431" i="6"/>
  <c r="I1826" i="3"/>
  <c r="G1720" i="2"/>
  <c r="G1721" i="2"/>
  <c r="E1919" i="1"/>
  <c r="E1918" i="1"/>
  <c r="AQ1648" i="5"/>
  <c r="AQ1665" i="5"/>
  <c r="J1135" i="5"/>
  <c r="I1128" i="5"/>
  <c r="AQ1641" i="5"/>
  <c r="G1139" i="5"/>
  <c r="G1140" i="5"/>
  <c r="E1874" i="1"/>
  <c r="E1875" i="1"/>
  <c r="BI2122" i="4"/>
  <c r="I1627" i="4"/>
  <c r="BI2113" i="4"/>
  <c r="J1636" i="4"/>
  <c r="I1625" i="4"/>
  <c r="BI2111" i="4"/>
  <c r="I1638" i="4"/>
  <c r="C322" i="6"/>
  <c r="C323" i="6"/>
  <c r="C1608" i="2"/>
  <c r="C1609" i="2"/>
  <c r="J1606" i="4"/>
  <c r="BH2119" i="4"/>
  <c r="BH2136" i="4"/>
  <c r="I1599" i="4"/>
  <c r="BH2112" i="4"/>
  <c r="I334" i="6"/>
  <c r="N874" i="6"/>
  <c r="I348" i="6"/>
  <c r="J346" i="6"/>
  <c r="I338" i="6"/>
  <c r="N878" i="6"/>
  <c r="N886" i="6"/>
  <c r="I336" i="6"/>
  <c r="N876" i="6"/>
  <c r="I337" i="6"/>
  <c r="N877" i="6"/>
  <c r="I314" i="6"/>
  <c r="I318" i="6"/>
  <c r="D1085" i="5"/>
  <c r="D1086" i="5"/>
  <c r="I1553" i="4"/>
  <c r="I1551" i="4"/>
  <c r="D1724" i="3"/>
  <c r="D1725" i="3"/>
  <c r="I1603" i="2"/>
  <c r="I1601" i="2"/>
  <c r="J1626" i="4"/>
  <c r="E1558" i="4"/>
  <c r="E1559" i="4"/>
  <c r="O883" i="6"/>
  <c r="O899" i="6"/>
  <c r="J370" i="6"/>
  <c r="I363" i="6"/>
  <c r="O876" i="6"/>
  <c r="B1874" i="1"/>
  <c r="B1875" i="1"/>
  <c r="BP2390" i="1"/>
  <c r="J1871" i="1"/>
  <c r="I1873" i="1"/>
  <c r="D322" i="6"/>
  <c r="D323" i="6"/>
  <c r="F1085" i="5"/>
  <c r="F1086" i="5"/>
  <c r="I1078" i="5"/>
  <c r="I1081" i="5"/>
  <c r="B1724" i="3"/>
  <c r="B1725" i="3"/>
  <c r="I1718" i="3"/>
  <c r="I1814" i="1"/>
  <c r="I1815" i="1"/>
  <c r="BE2188" i="2"/>
  <c r="BE2205" i="2"/>
  <c r="BE2210" i="2"/>
  <c r="I1577" i="2"/>
  <c r="I1566" i="2"/>
  <c r="BE2181" i="2"/>
  <c r="J1573" i="2"/>
  <c r="J18" i="11"/>
  <c r="B45" i="11"/>
  <c r="I22" i="11"/>
  <c r="I11" i="11"/>
  <c r="B38" i="11"/>
  <c r="H214" i="6"/>
  <c r="H215" i="6"/>
  <c r="F1766" i="1"/>
  <c r="F1767" i="1"/>
  <c r="I1758" i="1"/>
  <c r="J1683" i="3"/>
  <c r="I1685" i="3"/>
  <c r="BJ2279" i="3"/>
  <c r="D1739" i="1"/>
  <c r="D1740" i="1"/>
  <c r="F1450" i="4"/>
  <c r="F1451" i="4"/>
  <c r="I1443" i="4"/>
  <c r="I1445" i="4"/>
  <c r="I1446" i="4"/>
  <c r="I1447" i="4"/>
  <c r="E950" i="5"/>
  <c r="E951" i="5"/>
  <c r="I1583" i="3"/>
  <c r="C1670" i="3"/>
  <c r="C1671" i="3"/>
  <c r="I997" i="5"/>
  <c r="I996" i="5"/>
  <c r="D1477" i="4"/>
  <c r="D1478" i="4"/>
  <c r="B1643" i="3"/>
  <c r="B1644" i="3"/>
  <c r="I1638" i="3"/>
  <c r="I210" i="6"/>
  <c r="E1450" i="4"/>
  <c r="E1451" i="4"/>
  <c r="BA2191" i="2"/>
  <c r="BA2208" i="2"/>
  <c r="J1464" i="2"/>
  <c r="H950" i="5"/>
  <c r="H951" i="5"/>
  <c r="E1589" i="3"/>
  <c r="E1590" i="3"/>
  <c r="J578" i="3"/>
  <c r="V2289" i="3"/>
  <c r="V2304" i="3"/>
  <c r="V2305" i="3"/>
  <c r="I579" i="3"/>
  <c r="C1334" i="1"/>
  <c r="C1335" i="1"/>
  <c r="I1663" i="3"/>
  <c r="B63" i="11"/>
  <c r="C63" i="11"/>
  <c r="D63" i="11"/>
  <c r="C47" i="11"/>
  <c r="E1643" i="3"/>
  <c r="E1644" i="3"/>
  <c r="G950" i="5"/>
  <c r="G951" i="5"/>
  <c r="D1589" i="3"/>
  <c r="D1590" i="3"/>
  <c r="BI2390" i="1"/>
  <c r="J1682" i="1"/>
  <c r="I1684" i="1"/>
  <c r="I1677" i="1"/>
  <c r="I1558" i="3"/>
  <c r="G1766" i="1"/>
  <c r="G1767" i="1"/>
  <c r="C1766" i="1"/>
  <c r="C1767" i="1"/>
  <c r="F1477" i="4"/>
  <c r="F1478" i="4"/>
  <c r="I1472" i="4"/>
  <c r="I1519" i="2"/>
  <c r="G214" i="6"/>
  <c r="G215" i="6"/>
  <c r="G1450" i="4"/>
  <c r="G1451" i="4"/>
  <c r="B950" i="5"/>
  <c r="B951" i="5"/>
  <c r="I946" i="5"/>
  <c r="J968" i="5"/>
  <c r="J967" i="5"/>
  <c r="I1511" i="1"/>
  <c r="J1518" i="1"/>
  <c r="J1511" i="1"/>
  <c r="BC2388" i="1"/>
  <c r="BC2405" i="1"/>
  <c r="I1485" i="1"/>
  <c r="BB2389" i="1"/>
  <c r="BB2406" i="1"/>
  <c r="J1492" i="1"/>
  <c r="G1334" i="1"/>
  <c r="G1335" i="1"/>
  <c r="J73" i="6"/>
  <c r="D883" i="6"/>
  <c r="D899" i="6"/>
  <c r="B1496" i="1"/>
  <c r="B1497" i="1"/>
  <c r="E160" i="6"/>
  <c r="E161" i="6"/>
  <c r="G1396" i="4"/>
  <c r="G1397" i="4"/>
  <c r="I1554" i="3"/>
  <c r="AD2190" i="2"/>
  <c r="AD2207" i="2"/>
  <c r="J819" i="2"/>
  <c r="J984" i="2"/>
  <c r="AJ2187" i="2"/>
  <c r="AJ2204" i="2"/>
  <c r="I989" i="2"/>
  <c r="I977" i="2"/>
  <c r="AJ2180" i="2"/>
  <c r="AL2188" i="2"/>
  <c r="J1041" i="2"/>
  <c r="I1408" i="2"/>
  <c r="M2121" i="4"/>
  <c r="M2138" i="4"/>
  <c r="J327" i="4"/>
  <c r="I320" i="4"/>
  <c r="M2114" i="4"/>
  <c r="Q2121" i="4"/>
  <c r="Q2138" i="4"/>
  <c r="J439" i="4"/>
  <c r="I432" i="4"/>
  <c r="Q2114" i="4"/>
  <c r="M2389" i="1"/>
  <c r="I357" i="1"/>
  <c r="M2382" i="1"/>
  <c r="J364" i="1"/>
  <c r="J357" i="1"/>
  <c r="C396" i="1"/>
  <c r="C397" i="1"/>
  <c r="C647" i="1"/>
  <c r="C648" i="1"/>
  <c r="H675" i="1"/>
  <c r="H676" i="1"/>
  <c r="I690" i="1"/>
  <c r="Y2380" i="1"/>
  <c r="J697" i="1"/>
  <c r="J690" i="1"/>
  <c r="Y2387" i="1"/>
  <c r="Y2404" i="1"/>
  <c r="Z2389" i="1"/>
  <c r="Z2406" i="1"/>
  <c r="I720" i="1"/>
  <c r="J727" i="1"/>
  <c r="J720" i="1"/>
  <c r="Z2385" i="1"/>
  <c r="Z2402" i="1"/>
  <c r="Z2408" i="1"/>
  <c r="J723" i="1"/>
  <c r="J716" i="1"/>
  <c r="I716" i="1"/>
  <c r="AE2385" i="1"/>
  <c r="AE2402" i="1"/>
  <c r="J863" i="1"/>
  <c r="J856" i="1"/>
  <c r="I856" i="1"/>
  <c r="J864" i="1"/>
  <c r="J857" i="1"/>
  <c r="I857" i="1"/>
  <c r="AE2386" i="1"/>
  <c r="AE2403" i="1"/>
  <c r="AK2388" i="1"/>
  <c r="AK2405" i="1"/>
  <c r="I1024" i="1"/>
  <c r="J1031" i="1"/>
  <c r="J1024" i="1"/>
  <c r="AK2385" i="1"/>
  <c r="AK2402" i="1"/>
  <c r="I1021" i="1"/>
  <c r="J1028" i="1"/>
  <c r="J1021" i="1"/>
  <c r="C1144" i="1"/>
  <c r="C1145" i="1"/>
  <c r="I1241" i="1"/>
  <c r="J1248" i="1"/>
  <c r="J1241" i="1"/>
  <c r="AS2388" i="1"/>
  <c r="AS2405" i="1"/>
  <c r="J1275" i="1"/>
  <c r="J1268" i="1"/>
  <c r="I1268" i="1"/>
  <c r="AT2388" i="1"/>
  <c r="AT2405" i="1"/>
  <c r="F1361" i="1"/>
  <c r="F1362" i="1"/>
  <c r="B1388" i="1"/>
  <c r="B1389" i="1"/>
  <c r="BC2386" i="1"/>
  <c r="BC2403" i="1"/>
  <c r="J1516" i="1"/>
  <c r="J1509" i="1"/>
  <c r="I1509" i="1"/>
  <c r="I1545" i="1"/>
  <c r="B1550" i="1"/>
  <c r="B1551" i="1"/>
  <c r="J101" i="6"/>
  <c r="E884" i="6"/>
  <c r="G160" i="6"/>
  <c r="G161" i="6"/>
  <c r="I915" i="5"/>
  <c r="I1434" i="2"/>
  <c r="I1435" i="2"/>
  <c r="I537" i="2"/>
  <c r="AL2190" i="2"/>
  <c r="AL2207" i="2"/>
  <c r="J1043" i="2"/>
  <c r="I1045" i="2"/>
  <c r="I1036" i="2"/>
  <c r="AL2183" i="2"/>
  <c r="I76" i="4"/>
  <c r="G82" i="4"/>
  <c r="G83" i="4"/>
  <c r="B527" i="4"/>
  <c r="B528" i="4"/>
  <c r="V2119" i="4"/>
  <c r="V2136" i="4"/>
  <c r="J577" i="4"/>
  <c r="I570" i="4"/>
  <c r="V2112" i="4"/>
  <c r="AO2118" i="4"/>
  <c r="AO2135" i="4"/>
  <c r="J1092" i="4"/>
  <c r="I1096" i="4"/>
  <c r="C112" i="1"/>
  <c r="C113" i="1"/>
  <c r="G112" i="1"/>
  <c r="G113" i="1"/>
  <c r="I278" i="1"/>
  <c r="J360" i="1"/>
  <c r="J353" i="1"/>
  <c r="I353" i="1"/>
  <c r="M2378" i="1"/>
  <c r="M2385" i="1"/>
  <c r="J472" i="1"/>
  <c r="J465" i="1"/>
  <c r="Q2385" i="1"/>
  <c r="Q2402" i="1"/>
  <c r="I465" i="1"/>
  <c r="Q2378" i="1"/>
  <c r="C1009" i="1"/>
  <c r="C1010" i="1"/>
  <c r="AJ2386" i="1"/>
  <c r="AJ2403" i="1"/>
  <c r="J1002" i="1"/>
  <c r="J995" i="1"/>
  <c r="I995" i="1"/>
  <c r="D1144" i="1"/>
  <c r="D1145" i="1"/>
  <c r="AT2386" i="1"/>
  <c r="AT2403" i="1"/>
  <c r="J1273" i="1"/>
  <c r="J1266" i="1"/>
  <c r="I1266" i="1"/>
  <c r="E1334" i="1"/>
  <c r="E1335" i="1"/>
  <c r="J1353" i="1"/>
  <c r="J1346" i="1"/>
  <c r="AW2385" i="1"/>
  <c r="AW2402" i="1"/>
  <c r="I1346" i="1"/>
  <c r="J1437" i="1"/>
  <c r="J1430" i="1"/>
  <c r="I1430" i="1"/>
  <c r="AZ2388" i="1"/>
  <c r="AZ2405" i="1"/>
  <c r="C1469" i="1"/>
  <c r="C1470" i="1"/>
  <c r="I1455" i="1"/>
  <c r="J1462" i="1"/>
  <c r="J1455" i="1"/>
  <c r="BA2386" i="1"/>
  <c r="BA2403" i="1"/>
  <c r="G1523" i="1"/>
  <c r="G1524" i="1"/>
  <c r="D106" i="6"/>
  <c r="D107" i="6"/>
  <c r="F873" i="4"/>
  <c r="F874" i="4"/>
  <c r="E157" i="4"/>
  <c r="E156" i="4"/>
  <c r="I167" i="4"/>
  <c r="I1392" i="4"/>
  <c r="C1396" i="4"/>
  <c r="C1397" i="4"/>
  <c r="D1440" i="2"/>
  <c r="D1441" i="2"/>
  <c r="H1658" i="1"/>
  <c r="H1659" i="1"/>
  <c r="I504" i="2"/>
  <c r="I848" i="2"/>
  <c r="I932" i="2"/>
  <c r="J158" i="4"/>
  <c r="J151" i="4"/>
  <c r="I151" i="4"/>
  <c r="G2110" i="4"/>
  <c r="G2117" i="4"/>
  <c r="J298" i="4"/>
  <c r="L2120" i="4"/>
  <c r="L2137" i="4"/>
  <c r="I291" i="4"/>
  <c r="L2113" i="4"/>
  <c r="I468" i="4"/>
  <c r="I457" i="4"/>
  <c r="R2111" i="4"/>
  <c r="R2118" i="4"/>
  <c r="R2135" i="4"/>
  <c r="J464" i="4"/>
  <c r="J519" i="4"/>
  <c r="T2117" i="4"/>
  <c r="T2134" i="4"/>
  <c r="I524" i="4"/>
  <c r="I512" i="4"/>
  <c r="T2110" i="4"/>
  <c r="J661" i="4"/>
  <c r="Y2119" i="4"/>
  <c r="Y2136" i="4"/>
  <c r="AC2121" i="4"/>
  <c r="AC2138" i="4"/>
  <c r="J771" i="4"/>
  <c r="I764" i="4"/>
  <c r="AC2114" i="4"/>
  <c r="I1040" i="4"/>
  <c r="I1042" i="4"/>
  <c r="CI2366" i="1"/>
  <c r="CJ2366" i="1"/>
  <c r="I307" i="1"/>
  <c r="I304" i="1"/>
  <c r="E452" i="1"/>
  <c r="E453" i="1"/>
  <c r="C536" i="1"/>
  <c r="C537" i="1"/>
  <c r="S2386" i="1"/>
  <c r="S2403" i="1"/>
  <c r="J529" i="1"/>
  <c r="J522" i="1"/>
  <c r="I522" i="1"/>
  <c r="S2379" i="1"/>
  <c r="I671" i="1"/>
  <c r="F675" i="1"/>
  <c r="F676" i="1"/>
  <c r="I1219" i="1"/>
  <c r="J1331" i="1"/>
  <c r="AV2390" i="1"/>
  <c r="I1322" i="1"/>
  <c r="I1323" i="1"/>
  <c r="I1319" i="1"/>
  <c r="I1333" i="1"/>
  <c r="J1493" i="1"/>
  <c r="BB2390" i="1"/>
  <c r="I1495" i="1"/>
  <c r="H79" i="6"/>
  <c r="H80" i="6"/>
  <c r="C959" i="3"/>
  <c r="C958" i="3"/>
  <c r="F1243" i="1"/>
  <c r="F1244" i="1"/>
  <c r="G1224" i="4"/>
  <c r="G1225" i="4"/>
  <c r="D1346" i="2"/>
  <c r="D1347" i="2"/>
  <c r="D185" i="5"/>
  <c r="D184" i="5"/>
  <c r="E293" i="4"/>
  <c r="I304" i="4"/>
  <c r="E294" i="4"/>
  <c r="C645" i="2"/>
  <c r="C644" i="2"/>
  <c r="E786" i="2"/>
  <c r="E787" i="2"/>
  <c r="H702" i="2"/>
  <c r="H703" i="2"/>
  <c r="D644" i="2"/>
  <c r="D645" i="2"/>
  <c r="H559" i="2"/>
  <c r="H560" i="2"/>
  <c r="D444" i="2"/>
  <c r="D445" i="2"/>
  <c r="H805" i="1"/>
  <c r="H806" i="1"/>
  <c r="I152" i="6"/>
  <c r="I154" i="6"/>
  <c r="I1651" i="1"/>
  <c r="BH2390" i="1"/>
  <c r="J1655" i="1"/>
  <c r="I1657" i="1"/>
  <c r="J383" i="4"/>
  <c r="O2121" i="4"/>
  <c r="O2138" i="4"/>
  <c r="I376" i="4"/>
  <c r="O2114" i="4"/>
  <c r="W2118" i="4"/>
  <c r="W2135" i="4"/>
  <c r="W2140" i="4"/>
  <c r="I608" i="4"/>
  <c r="I597" i="4"/>
  <c r="W2111" i="4"/>
  <c r="J604" i="4"/>
  <c r="C775" i="4"/>
  <c r="C776" i="4"/>
  <c r="J879" i="4"/>
  <c r="AG2121" i="4"/>
  <c r="AG2138" i="4"/>
  <c r="I872" i="4"/>
  <c r="AG2114" i="4"/>
  <c r="I904" i="4"/>
  <c r="AT2120" i="4"/>
  <c r="AT2137" i="4"/>
  <c r="J1229" i="4"/>
  <c r="I1222" i="4"/>
  <c r="AT2113" i="4"/>
  <c r="E1369" i="4"/>
  <c r="E1370" i="4"/>
  <c r="I160" i="1"/>
  <c r="G167" i="1"/>
  <c r="G168" i="1"/>
  <c r="I329" i="1"/>
  <c r="J336" i="1"/>
  <c r="J329" i="1"/>
  <c r="I390" i="1"/>
  <c r="I389" i="1"/>
  <c r="G480" i="1"/>
  <c r="G481" i="1"/>
  <c r="I643" i="1"/>
  <c r="I695" i="1"/>
  <c r="C1090" i="1"/>
  <c r="C1091" i="1"/>
  <c r="I1083" i="1"/>
  <c r="G1415" i="1"/>
  <c r="G1416" i="1"/>
  <c r="I100" i="6"/>
  <c r="H106" i="6"/>
  <c r="H107" i="6"/>
  <c r="B927" i="4"/>
  <c r="B928" i="4"/>
  <c r="J680" i="3"/>
  <c r="U1661" i="5"/>
  <c r="J653" i="3"/>
  <c r="J1226" i="3"/>
  <c r="I1196" i="3"/>
  <c r="AR2276" i="3"/>
  <c r="J329" i="2"/>
  <c r="J400" i="4"/>
  <c r="J404" i="4"/>
  <c r="J414" i="4"/>
  <c r="J415" i="4"/>
  <c r="J403" i="4"/>
  <c r="J402" i="4"/>
  <c r="I1037" i="2"/>
  <c r="AL2184" i="2"/>
  <c r="J1127" i="3"/>
  <c r="I1129" i="3"/>
  <c r="I1116" i="3"/>
  <c r="AO2277" i="3"/>
  <c r="AO2288" i="3"/>
  <c r="I1117" i="3"/>
  <c r="AO2278" i="3"/>
  <c r="I1119" i="3"/>
  <c r="AO2280" i="3"/>
  <c r="I1115" i="3"/>
  <c r="AO2276" i="3"/>
  <c r="I184" i="2"/>
  <c r="H2183" i="2"/>
  <c r="J193" i="2"/>
  <c r="J185" i="2"/>
  <c r="I183" i="2"/>
  <c r="H2182" i="2"/>
  <c r="I182" i="2"/>
  <c r="H2181" i="2"/>
  <c r="I181" i="2"/>
  <c r="H2180" i="2"/>
  <c r="I195" i="2"/>
  <c r="H2192" i="2"/>
  <c r="I2299" i="3"/>
  <c r="I1064" i="3"/>
  <c r="AM2279" i="3"/>
  <c r="J793" i="3"/>
  <c r="J1304" i="3"/>
  <c r="K2207" i="2"/>
  <c r="K2210" i="2"/>
  <c r="Y2305" i="3"/>
  <c r="J410" i="2"/>
  <c r="I596" i="3"/>
  <c r="I597" i="3"/>
  <c r="I607" i="3"/>
  <c r="I594" i="3"/>
  <c r="I595" i="3"/>
  <c r="I593" i="3"/>
  <c r="J605" i="3"/>
  <c r="M2288" i="3"/>
  <c r="I334" i="3"/>
  <c r="I321" i="3"/>
  <c r="M2277" i="3"/>
  <c r="I322" i="3"/>
  <c r="M2278" i="3"/>
  <c r="I324" i="3"/>
  <c r="M2280" i="3"/>
  <c r="J332" i="3"/>
  <c r="I320" i="3"/>
  <c r="M2276" i="3"/>
  <c r="AT2305" i="3"/>
  <c r="J787" i="2"/>
  <c r="J786" i="2"/>
  <c r="J617" i="5"/>
  <c r="J616" i="5"/>
  <c r="J1405" i="1"/>
  <c r="J1406" i="1"/>
  <c r="J562" i="5"/>
  <c r="J563" i="5"/>
  <c r="J353" i="3"/>
  <c r="J352" i="3"/>
  <c r="J1390" i="3"/>
  <c r="J1391" i="3"/>
  <c r="J959" i="3"/>
  <c r="J958" i="3"/>
  <c r="J100" i="5"/>
  <c r="J101" i="5"/>
  <c r="CH2386" i="1"/>
  <c r="CH2403" i="1"/>
  <c r="J2353" i="1"/>
  <c r="J2346" i="1"/>
  <c r="I2346" i="1"/>
  <c r="CH2379" i="1"/>
  <c r="G2061" i="4"/>
  <c r="G2062" i="4"/>
  <c r="J828" i="6"/>
  <c r="AF882" i="6"/>
  <c r="AF898" i="6"/>
  <c r="I821" i="6"/>
  <c r="AF875" i="6"/>
  <c r="J2325" i="1"/>
  <c r="J2318" i="1"/>
  <c r="CG2385" i="1"/>
  <c r="CG2402" i="1"/>
  <c r="I2318" i="1"/>
  <c r="CG2378" i="1"/>
  <c r="H835" i="6"/>
  <c r="H836" i="6"/>
  <c r="C1598" i="5"/>
  <c r="C1599" i="5"/>
  <c r="H2071" i="4"/>
  <c r="H2072" i="4"/>
  <c r="BG1658" i="5"/>
  <c r="BJ1658" i="5"/>
  <c r="BK1658" i="5"/>
  <c r="BJ1630" i="5"/>
  <c r="BK1630" i="5"/>
  <c r="G808" i="6"/>
  <c r="G809" i="6"/>
  <c r="C808" i="6"/>
  <c r="C809" i="6"/>
  <c r="BX2120" i="4"/>
  <c r="BX2137" i="4"/>
  <c r="J2039" i="4"/>
  <c r="BX2190" i="2"/>
  <c r="BX2207" i="2"/>
  <c r="BX2210" i="2"/>
  <c r="I2109" i="2"/>
  <c r="J2107" i="2"/>
  <c r="I2100" i="2"/>
  <c r="BX2183" i="2"/>
  <c r="B808" i="6"/>
  <c r="B809" i="6"/>
  <c r="BG1646" i="5"/>
  <c r="BG1663" i="5"/>
  <c r="J1565" i="5"/>
  <c r="H2044" i="4"/>
  <c r="H2045" i="4"/>
  <c r="E2210" i="3"/>
  <c r="E2211" i="3"/>
  <c r="I2307" i="1"/>
  <c r="J2306" i="1"/>
  <c r="CF2393" i="1"/>
  <c r="I804" i="6"/>
  <c r="I1567" i="5"/>
  <c r="I2036" i="4"/>
  <c r="H808" i="6"/>
  <c r="H809" i="6"/>
  <c r="B2044" i="4"/>
  <c r="B2045" i="4"/>
  <c r="H1561" i="5"/>
  <c r="H1562" i="5"/>
  <c r="BW2190" i="2"/>
  <c r="BW2207" i="2"/>
  <c r="J2079" i="2"/>
  <c r="I2072" i="2"/>
  <c r="BW2183" i="2"/>
  <c r="F2084" i="2"/>
  <c r="F2085" i="2"/>
  <c r="J2014" i="4"/>
  <c r="I2004" i="4"/>
  <c r="BW2112" i="4"/>
  <c r="I2005" i="4"/>
  <c r="BW2113" i="4"/>
  <c r="I2002" i="4"/>
  <c r="BW2110" i="4"/>
  <c r="I2016" i="4"/>
  <c r="I2006" i="4"/>
  <c r="BW2114" i="4"/>
  <c r="I2003" i="4"/>
  <c r="BW2111" i="4"/>
  <c r="BW2122" i="4"/>
  <c r="C2252" i="1"/>
  <c r="C2253" i="1"/>
  <c r="H2084" i="2"/>
  <c r="H2085" i="2"/>
  <c r="J747" i="6"/>
  <c r="I751" i="6"/>
  <c r="I740" i="6"/>
  <c r="AC875" i="6"/>
  <c r="AC882" i="6"/>
  <c r="AC898" i="6"/>
  <c r="AC903" i="6"/>
  <c r="J1483" i="5"/>
  <c r="BD1645" i="5"/>
  <c r="BD1662" i="5"/>
  <c r="B1490" i="5"/>
  <c r="B1491" i="5"/>
  <c r="BU2119" i="4"/>
  <c r="BU2136" i="4"/>
  <c r="J1957" i="4"/>
  <c r="J2141" i="3"/>
  <c r="F1963" i="4"/>
  <c r="F1964" i="4"/>
  <c r="F727" i="6"/>
  <c r="F728" i="6"/>
  <c r="I720" i="6"/>
  <c r="F1490" i="5"/>
  <c r="F1491" i="5"/>
  <c r="I2122" i="3"/>
  <c r="E727" i="6"/>
  <c r="E728" i="6"/>
  <c r="D1963" i="4"/>
  <c r="D1964" i="4"/>
  <c r="G1972" i="2"/>
  <c r="G1973" i="2"/>
  <c r="H2000" i="2"/>
  <c r="H2001" i="2"/>
  <c r="BT2187" i="2"/>
  <c r="BT2204" i="2"/>
  <c r="I1997" i="2"/>
  <c r="I1985" i="2"/>
  <c r="BT2180" i="2"/>
  <c r="J1992" i="2"/>
  <c r="I666" i="6"/>
  <c r="I665" i="6"/>
  <c r="I1966" i="2"/>
  <c r="B1972" i="2"/>
  <c r="B1973" i="2"/>
  <c r="J1404" i="5"/>
  <c r="BA1647" i="5"/>
  <c r="BA1664" i="5"/>
  <c r="BR2120" i="4"/>
  <c r="BR2137" i="4"/>
  <c r="J1877" i="4"/>
  <c r="I1870" i="4"/>
  <c r="BR2113" i="4"/>
  <c r="I2191" i="1"/>
  <c r="E673" i="6"/>
  <c r="E674" i="6"/>
  <c r="H1373" i="5"/>
  <c r="H1372" i="5"/>
  <c r="I1428" i="5"/>
  <c r="CA2390" i="1"/>
  <c r="I2170" i="1"/>
  <c r="J2168" i="1"/>
  <c r="I2166" i="1"/>
  <c r="E1944" i="2"/>
  <c r="E1945" i="2"/>
  <c r="B1855" i="4"/>
  <c r="B1856" i="4"/>
  <c r="I1937" i="2"/>
  <c r="H619" i="6"/>
  <c r="H620" i="6"/>
  <c r="J2093" i="3"/>
  <c r="J2092" i="3"/>
  <c r="H2144" i="1"/>
  <c r="H2145" i="1"/>
  <c r="I2138" i="1"/>
  <c r="H1855" i="4"/>
  <c r="H1856" i="4"/>
  <c r="BW2288" i="3"/>
  <c r="I2034" i="3"/>
  <c r="BW2277" i="3"/>
  <c r="I2036" i="3"/>
  <c r="BW2279" i="3"/>
  <c r="J2045" i="3"/>
  <c r="J2034" i="3"/>
  <c r="I2047" i="3"/>
  <c r="I2037" i="3"/>
  <c r="BW2280" i="3"/>
  <c r="F619" i="6"/>
  <c r="F620" i="6"/>
  <c r="I614" i="6"/>
  <c r="G1855" i="4"/>
  <c r="G1856" i="4"/>
  <c r="E2107" i="1"/>
  <c r="E2108" i="1"/>
  <c r="BP2179" i="2"/>
  <c r="BP2202" i="2"/>
  <c r="J1872" i="2"/>
  <c r="AY1645" i="5"/>
  <c r="AY1662" i="5"/>
  <c r="J1348" i="5"/>
  <c r="I1341" i="5"/>
  <c r="AY1638" i="5"/>
  <c r="I1987" i="3"/>
  <c r="I1991" i="3"/>
  <c r="G1328" i="5"/>
  <c r="G1329" i="5"/>
  <c r="I2059" i="1"/>
  <c r="F555" i="6"/>
  <c r="F556" i="6"/>
  <c r="B1888" i="2"/>
  <c r="B1889" i="2"/>
  <c r="I1884" i="2"/>
  <c r="V883" i="6"/>
  <c r="V899" i="6"/>
  <c r="J559" i="6"/>
  <c r="D555" i="6"/>
  <c r="D556" i="6"/>
  <c r="I1903" i="2"/>
  <c r="BQ2182" i="2"/>
  <c r="I1902" i="2"/>
  <c r="BQ2181" i="2"/>
  <c r="J1913" i="2"/>
  <c r="J1905" i="2"/>
  <c r="BQ2192" i="2"/>
  <c r="I1915" i="2"/>
  <c r="I2082" i="1"/>
  <c r="I2086" i="1"/>
  <c r="I560" i="6"/>
  <c r="I1320" i="5"/>
  <c r="F1801" i="4"/>
  <c r="F1802" i="4"/>
  <c r="B1801" i="4"/>
  <c r="B1802" i="4"/>
  <c r="B1860" i="2"/>
  <c r="B1861" i="2"/>
  <c r="I2056" i="1"/>
  <c r="C1792" i="4"/>
  <c r="C1791" i="4"/>
  <c r="BM2191" i="2"/>
  <c r="BM2208" i="2"/>
  <c r="J1800" i="2"/>
  <c r="I1797" i="2"/>
  <c r="I1801" i="2"/>
  <c r="E529" i="6"/>
  <c r="E528" i="6"/>
  <c r="G1774" i="4"/>
  <c r="G1775" i="4"/>
  <c r="C1774" i="4"/>
  <c r="C1775" i="4"/>
  <c r="I505" i="6"/>
  <c r="H1274" i="5"/>
  <c r="H1275" i="5"/>
  <c r="D1795" i="2"/>
  <c r="D1794" i="2"/>
  <c r="I1770" i="4"/>
  <c r="BN2119" i="4"/>
  <c r="BN2136" i="4"/>
  <c r="J1768" i="4"/>
  <c r="B1832" i="2"/>
  <c r="B1833" i="2"/>
  <c r="I1828" i="2"/>
  <c r="BM2190" i="2"/>
  <c r="BM2207" i="2"/>
  <c r="J1799" i="2"/>
  <c r="G2009" i="1"/>
  <c r="G2010" i="1"/>
  <c r="U881" i="6"/>
  <c r="U897" i="6"/>
  <c r="J530" i="6"/>
  <c r="I535" i="6"/>
  <c r="I523" i="6"/>
  <c r="U874" i="6"/>
  <c r="E1832" i="2"/>
  <c r="E1833" i="2"/>
  <c r="G2036" i="1"/>
  <c r="G2037" i="1"/>
  <c r="F1274" i="5"/>
  <c r="F1275" i="5"/>
  <c r="I1270" i="5"/>
  <c r="H1795" i="2"/>
  <c r="H1794" i="2"/>
  <c r="E1804" i="2"/>
  <c r="E1805" i="2"/>
  <c r="J1796" i="2"/>
  <c r="BM2187" i="2"/>
  <c r="BM2204" i="2"/>
  <c r="I2004" i="1"/>
  <c r="BU2390" i="1"/>
  <c r="I2008" i="1"/>
  <c r="J2006" i="1"/>
  <c r="I1936" i="3"/>
  <c r="I1935" i="3"/>
  <c r="I2028" i="1"/>
  <c r="I2032" i="1"/>
  <c r="C511" i="6"/>
  <c r="C512" i="6"/>
  <c r="E1274" i="5"/>
  <c r="E1275" i="5"/>
  <c r="BR2386" i="1"/>
  <c r="BR2403" i="1"/>
  <c r="I1914" i="1"/>
  <c r="BR2379" i="1"/>
  <c r="J1921" i="1"/>
  <c r="J1914" i="1"/>
  <c r="H1886" i="3"/>
  <c r="H1887" i="3"/>
  <c r="R885" i="6"/>
  <c r="R901" i="6"/>
  <c r="J453" i="6"/>
  <c r="BK2118" i="4"/>
  <c r="BK2135" i="4"/>
  <c r="J1686" i="4"/>
  <c r="I1687" i="4"/>
  <c r="D1859" i="3"/>
  <c r="D1860" i="3"/>
  <c r="I1737" i="2"/>
  <c r="BK2184" i="2"/>
  <c r="I1735" i="2"/>
  <c r="BK2182" i="2"/>
  <c r="I1734" i="2"/>
  <c r="BK2181" i="2"/>
  <c r="J1745" i="2"/>
  <c r="J1737" i="2"/>
  <c r="BK2192" i="2"/>
  <c r="I1747" i="2"/>
  <c r="I1733" i="2"/>
  <c r="BK2180" i="2"/>
  <c r="I1736" i="2"/>
  <c r="BK2183" i="2"/>
  <c r="Q894" i="6"/>
  <c r="AH894" i="6"/>
  <c r="AI894" i="6"/>
  <c r="AH867" i="6"/>
  <c r="AI867" i="6"/>
  <c r="G430" i="6"/>
  <c r="G431" i="6"/>
  <c r="J478" i="6"/>
  <c r="S883" i="6"/>
  <c r="S899" i="6"/>
  <c r="I481" i="6"/>
  <c r="I471" i="6"/>
  <c r="S876" i="6"/>
  <c r="S881" i="6"/>
  <c r="S897" i="6"/>
  <c r="J476" i="6"/>
  <c r="F1247" i="5"/>
  <c r="F1248" i="5"/>
  <c r="I1239" i="5"/>
  <c r="I1240" i="5"/>
  <c r="F430" i="6"/>
  <c r="F431" i="6"/>
  <c r="B430" i="6"/>
  <c r="B431" i="6"/>
  <c r="C1193" i="5"/>
  <c r="C1194" i="5"/>
  <c r="J1716" i="2"/>
  <c r="BJ2191" i="2"/>
  <c r="BJ2208" i="2"/>
  <c r="J1683" i="2"/>
  <c r="J1682" i="2"/>
  <c r="F1886" i="3"/>
  <c r="F1887" i="3"/>
  <c r="I1878" i="3"/>
  <c r="G1982" i="1"/>
  <c r="G1983" i="1"/>
  <c r="F1220" i="5"/>
  <c r="F1221" i="5"/>
  <c r="I1215" i="5"/>
  <c r="B1220" i="5"/>
  <c r="B1221" i="5"/>
  <c r="B1859" i="3"/>
  <c r="B1860" i="3"/>
  <c r="I1854" i="3"/>
  <c r="BJ2131" i="4"/>
  <c r="CA2131" i="4"/>
  <c r="CB2131" i="4"/>
  <c r="CA2103" i="4"/>
  <c r="CB2103" i="4"/>
  <c r="E430" i="6"/>
  <c r="E431" i="6"/>
  <c r="AS1646" i="5"/>
  <c r="AS1663" i="5"/>
  <c r="J1187" i="5"/>
  <c r="G1832" i="3"/>
  <c r="G1833" i="3"/>
  <c r="C1832" i="3"/>
  <c r="C1833" i="3"/>
  <c r="I1828" i="3"/>
  <c r="I1717" i="2"/>
  <c r="J1712" i="2"/>
  <c r="I1705" i="2"/>
  <c r="BJ2180" i="2"/>
  <c r="BJ2187" i="2"/>
  <c r="BJ2204" i="2"/>
  <c r="F1982" i="1"/>
  <c r="F1983" i="1"/>
  <c r="I1977" i="1"/>
  <c r="BT2390" i="1"/>
  <c r="J1979" i="1"/>
  <c r="I1981" i="1"/>
  <c r="E1193" i="5"/>
  <c r="E1194" i="5"/>
  <c r="B1832" i="3"/>
  <c r="B1833" i="3"/>
  <c r="C1720" i="2"/>
  <c r="C1721" i="2"/>
  <c r="BG2194" i="2"/>
  <c r="I1636" i="2"/>
  <c r="I1637" i="2"/>
  <c r="BG2195" i="2"/>
  <c r="AQ1645" i="5"/>
  <c r="AQ1662" i="5"/>
  <c r="J1132" i="5"/>
  <c r="I1125" i="5"/>
  <c r="AQ1638" i="5"/>
  <c r="AQ1646" i="5"/>
  <c r="AQ1663" i="5"/>
  <c r="J1133" i="5"/>
  <c r="I1126" i="5"/>
  <c r="AQ1639" i="5"/>
  <c r="G1558" i="4"/>
  <c r="G1559" i="4"/>
  <c r="BH2120" i="4"/>
  <c r="BH2137" i="4"/>
  <c r="I1600" i="4"/>
  <c r="BH2113" i="4"/>
  <c r="J1607" i="4"/>
  <c r="J317" i="6"/>
  <c r="M884" i="6"/>
  <c r="M900" i="6"/>
  <c r="I315" i="6"/>
  <c r="I1550" i="4"/>
  <c r="I1554" i="4"/>
  <c r="H1724" i="3"/>
  <c r="H1725" i="3"/>
  <c r="I1600" i="2"/>
  <c r="I1604" i="2"/>
  <c r="J1018" i="5"/>
  <c r="J1017" i="5"/>
  <c r="J1020" i="5"/>
  <c r="J1030" i="5"/>
  <c r="J1031" i="5"/>
  <c r="J1016" i="5"/>
  <c r="J1019" i="5"/>
  <c r="E322" i="6"/>
  <c r="E323" i="6"/>
  <c r="G1085" i="5"/>
  <c r="G1086" i="5"/>
  <c r="E1608" i="2"/>
  <c r="E1609" i="2"/>
  <c r="D376" i="6"/>
  <c r="D377" i="6"/>
  <c r="J371" i="6"/>
  <c r="O884" i="6"/>
  <c r="O900" i="6"/>
  <c r="I364" i="6"/>
  <c r="O877" i="6"/>
  <c r="I1869" i="1"/>
  <c r="I1866" i="1"/>
  <c r="H322" i="6"/>
  <c r="H323" i="6"/>
  <c r="I1080" i="5"/>
  <c r="I1717" i="3"/>
  <c r="H1608" i="2"/>
  <c r="H1609" i="2"/>
  <c r="F1820" i="1"/>
  <c r="F1821" i="1"/>
  <c r="I1812" i="1"/>
  <c r="I1813" i="1"/>
  <c r="F1580" i="2"/>
  <c r="F1581" i="2"/>
  <c r="BL2390" i="1"/>
  <c r="J1763" i="1"/>
  <c r="I1765" i="1"/>
  <c r="I1761" i="1"/>
  <c r="G1004" i="5"/>
  <c r="G1005" i="5"/>
  <c r="E1524" i="2"/>
  <c r="E1525" i="2"/>
  <c r="I1738" i="1"/>
  <c r="J1736" i="1"/>
  <c r="BK2390" i="1"/>
  <c r="I226" i="6"/>
  <c r="J874" i="6"/>
  <c r="I228" i="6"/>
  <c r="J876" i="6"/>
  <c r="J238" i="6"/>
  <c r="I240" i="6"/>
  <c r="I229" i="6"/>
  <c r="J877" i="6"/>
  <c r="I230" i="6"/>
  <c r="J878" i="6"/>
  <c r="J886" i="6"/>
  <c r="F1589" i="3"/>
  <c r="F1590" i="3"/>
  <c r="B1589" i="3"/>
  <c r="B1590" i="3"/>
  <c r="BF2283" i="3"/>
  <c r="BF2299" i="3"/>
  <c r="J1581" i="3"/>
  <c r="I1586" i="3"/>
  <c r="I1574" i="3"/>
  <c r="BF2276" i="3"/>
  <c r="E1685" i="1"/>
  <c r="E1686" i="1"/>
  <c r="J1462" i="2"/>
  <c r="BA2189" i="2"/>
  <c r="BA2206" i="2"/>
  <c r="E1766" i="1"/>
  <c r="E1767" i="1"/>
  <c r="I281" i="6"/>
  <c r="L875" i="6"/>
  <c r="J292" i="6"/>
  <c r="I294" i="6"/>
  <c r="L886" i="6"/>
  <c r="I284" i="6"/>
  <c r="L878" i="6"/>
  <c r="I280" i="6"/>
  <c r="L874" i="6"/>
  <c r="I282" i="6"/>
  <c r="L876" i="6"/>
  <c r="B1004" i="5"/>
  <c r="B1005" i="5"/>
  <c r="I999" i="5"/>
  <c r="I1639" i="3"/>
  <c r="BH2284" i="3"/>
  <c r="BH2300" i="3"/>
  <c r="J1636" i="3"/>
  <c r="H1524" i="2"/>
  <c r="H1525" i="2"/>
  <c r="I881" i="6"/>
  <c r="I897" i="6"/>
  <c r="J206" i="6"/>
  <c r="I207" i="6"/>
  <c r="I211" i="6"/>
  <c r="BA2187" i="2"/>
  <c r="BA2204" i="2"/>
  <c r="I1465" i="2"/>
  <c r="I1454" i="2"/>
  <c r="BA2181" i="2"/>
  <c r="J1460" i="2"/>
  <c r="I1453" i="2"/>
  <c r="BA2180" i="2"/>
  <c r="D204" i="6"/>
  <c r="D205" i="6"/>
  <c r="CA2175" i="2"/>
  <c r="CB2175" i="2"/>
  <c r="BI2287" i="3"/>
  <c r="BI2303" i="3"/>
  <c r="J1666" i="3"/>
  <c r="E1004" i="5"/>
  <c r="E1005" i="5"/>
  <c r="G1477" i="4"/>
  <c r="G1478" i="4"/>
  <c r="C1524" i="2"/>
  <c r="C1525" i="2"/>
  <c r="D1450" i="4"/>
  <c r="D1451" i="4"/>
  <c r="I1681" i="1"/>
  <c r="I1680" i="1"/>
  <c r="C1333" i="4"/>
  <c r="C1332" i="4"/>
  <c r="I1473" i="4"/>
  <c r="I1471" i="4"/>
  <c r="H1643" i="3"/>
  <c r="H1644" i="3"/>
  <c r="D1643" i="3"/>
  <c r="D1644" i="3"/>
  <c r="I1517" i="2"/>
  <c r="B1524" i="2"/>
  <c r="B1525" i="2"/>
  <c r="H1739" i="1"/>
  <c r="H1740" i="1"/>
  <c r="I942" i="5"/>
  <c r="G1589" i="3"/>
  <c r="G1590" i="3"/>
  <c r="F923" i="5"/>
  <c r="F924" i="5"/>
  <c r="J495" i="3"/>
  <c r="S2289" i="3"/>
  <c r="S2304" i="3"/>
  <c r="I496" i="3"/>
  <c r="BF2389" i="1"/>
  <c r="BF2406" i="1"/>
  <c r="J1600" i="1"/>
  <c r="J1593" i="1"/>
  <c r="I1593" i="1"/>
  <c r="BF2382" i="1"/>
  <c r="J127" i="6"/>
  <c r="F883" i="6"/>
  <c r="F899" i="6"/>
  <c r="H150" i="6"/>
  <c r="H151" i="6"/>
  <c r="D913" i="5"/>
  <c r="D914" i="5"/>
  <c r="C1562" i="3"/>
  <c r="C1563" i="3"/>
  <c r="D1658" i="1"/>
  <c r="D1659" i="1"/>
  <c r="J1555" i="3"/>
  <c r="BE2284" i="3"/>
  <c r="BE2300" i="3"/>
  <c r="J816" i="2"/>
  <c r="AD2187" i="2"/>
  <c r="AD2204" i="2"/>
  <c r="AD2210" i="2"/>
  <c r="I821" i="2"/>
  <c r="I809" i="2"/>
  <c r="AD2180" i="2"/>
  <c r="J1042" i="2"/>
  <c r="AL2189" i="2"/>
  <c r="I1035" i="2"/>
  <c r="AL2182" i="2"/>
  <c r="G1132" i="2"/>
  <c r="G1133" i="2"/>
  <c r="J326" i="4"/>
  <c r="M2120" i="4"/>
  <c r="M2137" i="4"/>
  <c r="I319" i="4"/>
  <c r="M2113" i="4"/>
  <c r="E284" i="1"/>
  <c r="E285" i="1"/>
  <c r="G452" i="1"/>
  <c r="G453" i="1"/>
  <c r="C703" i="1"/>
  <c r="C704" i="1"/>
  <c r="C731" i="1"/>
  <c r="C732" i="1"/>
  <c r="F843" i="1"/>
  <c r="F844" i="1"/>
  <c r="J866" i="1"/>
  <c r="J859" i="1"/>
  <c r="I859" i="1"/>
  <c r="AE2388" i="1"/>
  <c r="AE2405" i="1"/>
  <c r="I858" i="1"/>
  <c r="AE2387" i="1"/>
  <c r="AE2404" i="1"/>
  <c r="J865" i="1"/>
  <c r="J858" i="1"/>
  <c r="F899" i="1"/>
  <c r="F900" i="1"/>
  <c r="AK2389" i="1"/>
  <c r="AK2406" i="1"/>
  <c r="J1032" i="1"/>
  <c r="J1025" i="1"/>
  <c r="I1025" i="1"/>
  <c r="D1090" i="1"/>
  <c r="D1091" i="1"/>
  <c r="H1090" i="1"/>
  <c r="H1091" i="1"/>
  <c r="J1249" i="1"/>
  <c r="J1242" i="1"/>
  <c r="I1242" i="1"/>
  <c r="AS2389" i="1"/>
  <c r="AS2406" i="1"/>
  <c r="B1280" i="1"/>
  <c r="B1281" i="1"/>
  <c r="I1349" i="1"/>
  <c r="J1356" i="1"/>
  <c r="J1349" i="1"/>
  <c r="AW2388" i="1"/>
  <c r="AW2405" i="1"/>
  <c r="J1380" i="1"/>
  <c r="J1373" i="1"/>
  <c r="AX2385" i="1"/>
  <c r="AX2402" i="1"/>
  <c r="AX2408" i="1"/>
  <c r="I1373" i="1"/>
  <c r="BC2387" i="1"/>
  <c r="BC2404" i="1"/>
  <c r="I1510" i="1"/>
  <c r="J1517" i="1"/>
  <c r="J1510" i="1"/>
  <c r="I1542" i="1"/>
  <c r="J1544" i="1"/>
  <c r="J1537" i="1"/>
  <c r="I1537" i="1"/>
  <c r="BD2387" i="1"/>
  <c r="BD2404" i="1"/>
  <c r="J102" i="6"/>
  <c r="E885" i="6"/>
  <c r="I98" i="6"/>
  <c r="I130" i="6"/>
  <c r="I118" i="6"/>
  <c r="F874" i="6"/>
  <c r="J125" i="6"/>
  <c r="F881" i="6"/>
  <c r="F897" i="6"/>
  <c r="F903" i="6"/>
  <c r="AI1645" i="5"/>
  <c r="J916" i="5"/>
  <c r="C923" i="5"/>
  <c r="C924" i="5"/>
  <c r="E1562" i="3"/>
  <c r="E1563" i="3"/>
  <c r="I1432" i="2"/>
  <c r="B1440" i="2"/>
  <c r="B1441" i="2"/>
  <c r="E1048" i="2"/>
  <c r="E1049" i="2"/>
  <c r="C82" i="4"/>
  <c r="C83" i="4"/>
  <c r="T2119" i="4"/>
  <c r="T2136" i="4"/>
  <c r="J521" i="4"/>
  <c r="I514" i="4"/>
  <c r="T2112" i="4"/>
  <c r="H639" i="4"/>
  <c r="H640" i="4"/>
  <c r="J1094" i="4"/>
  <c r="AO2120" i="4"/>
  <c r="AO2137" i="4"/>
  <c r="I1087" i="4"/>
  <c r="AO2113" i="4"/>
  <c r="F225" i="1"/>
  <c r="F226" i="1"/>
  <c r="I279" i="1"/>
  <c r="F368" i="1"/>
  <c r="F369" i="1"/>
  <c r="D396" i="1"/>
  <c r="D397" i="1"/>
  <c r="E480" i="1"/>
  <c r="E481" i="1"/>
  <c r="Q2386" i="1"/>
  <c r="Q2403" i="1"/>
  <c r="J473" i="1"/>
  <c r="J466" i="1"/>
  <c r="I466" i="1"/>
  <c r="Q2379" i="1"/>
  <c r="AD2388" i="1"/>
  <c r="AD2405" i="1"/>
  <c r="J838" i="1"/>
  <c r="J831" i="1"/>
  <c r="I831" i="1"/>
  <c r="I888" i="1"/>
  <c r="J895" i="1"/>
  <c r="J888" i="1"/>
  <c r="AF2389" i="1"/>
  <c r="AF2406" i="1"/>
  <c r="I996" i="1"/>
  <c r="AJ2387" i="1"/>
  <c r="AJ2404" i="1"/>
  <c r="J1003" i="1"/>
  <c r="J996" i="1"/>
  <c r="AQ2389" i="1"/>
  <c r="AQ2406" i="1"/>
  <c r="J1194" i="1"/>
  <c r="J1187" i="1"/>
  <c r="I1187" i="1"/>
  <c r="D1253" i="1"/>
  <c r="D1254" i="1"/>
  <c r="AT2385" i="1"/>
  <c r="AT2402" i="1"/>
  <c r="AT2408" i="1"/>
  <c r="I1265" i="1"/>
  <c r="J1272" i="1"/>
  <c r="J1265" i="1"/>
  <c r="J1438" i="1"/>
  <c r="J1431" i="1"/>
  <c r="AZ2389" i="1"/>
  <c r="AZ2406" i="1"/>
  <c r="I1431" i="1"/>
  <c r="J1434" i="1"/>
  <c r="J1427" i="1"/>
  <c r="I1427" i="1"/>
  <c r="AZ2385" i="1"/>
  <c r="AZ2402" i="1"/>
  <c r="AZ2408" i="1"/>
  <c r="BA2387" i="1"/>
  <c r="BA2404" i="1"/>
  <c r="J1463" i="1"/>
  <c r="J1456" i="1"/>
  <c r="I1456" i="1"/>
  <c r="J1490" i="1"/>
  <c r="J1483" i="1"/>
  <c r="I1483" i="1"/>
  <c r="BB2387" i="1"/>
  <c r="BB2404" i="1"/>
  <c r="I1512" i="1"/>
  <c r="BC2389" i="1"/>
  <c r="BC2406" i="1"/>
  <c r="J1519" i="1"/>
  <c r="J1512" i="1"/>
  <c r="D881" i="6"/>
  <c r="I76" i="6"/>
  <c r="J71" i="6"/>
  <c r="H573" i="4"/>
  <c r="H574" i="4"/>
  <c r="H913" i="5"/>
  <c r="H914" i="5"/>
  <c r="I1391" i="4"/>
  <c r="G1430" i="2"/>
  <c r="G1431" i="2"/>
  <c r="I508" i="2"/>
  <c r="J931" i="2"/>
  <c r="AH2190" i="2"/>
  <c r="AH2207" i="2"/>
  <c r="J2118" i="4"/>
  <c r="J2135" i="4"/>
  <c r="J242" i="4"/>
  <c r="I246" i="4"/>
  <c r="J299" i="4"/>
  <c r="L2121" i="4"/>
  <c r="L2138" i="4"/>
  <c r="I292" i="4"/>
  <c r="L2114" i="4"/>
  <c r="S2121" i="4"/>
  <c r="S2138" i="4"/>
  <c r="J495" i="4"/>
  <c r="I488" i="4"/>
  <c r="S2114" i="4"/>
  <c r="I664" i="4"/>
  <c r="Y2118" i="4"/>
  <c r="Y2135" i="4"/>
  <c r="Y2140" i="4"/>
  <c r="J660" i="4"/>
  <c r="I653" i="4"/>
  <c r="Y2111" i="4"/>
  <c r="J823" i="4"/>
  <c r="AE2119" i="4"/>
  <c r="AE2136" i="4"/>
  <c r="I816" i="4"/>
  <c r="AE2112" i="4"/>
  <c r="J1095" i="4"/>
  <c r="AO2121" i="4"/>
  <c r="AO2138" i="4"/>
  <c r="I1088" i="4"/>
  <c r="AO2114" i="4"/>
  <c r="E1234" i="4"/>
  <c r="E1235" i="4"/>
  <c r="I1310" i="4"/>
  <c r="J1337" i="4"/>
  <c r="AX2120" i="4"/>
  <c r="AX2137" i="4"/>
  <c r="I1330" i="4"/>
  <c r="AX2113" i="4"/>
  <c r="H112" i="1"/>
  <c r="H113" i="1"/>
  <c r="J252" i="1"/>
  <c r="J245" i="1"/>
  <c r="J2389" i="1"/>
  <c r="J2406" i="1"/>
  <c r="I245" i="1"/>
  <c r="J2382" i="1"/>
  <c r="I308" i="1"/>
  <c r="E340" i="1"/>
  <c r="E341" i="1"/>
  <c r="I446" i="1"/>
  <c r="I525" i="1"/>
  <c r="S2382" i="1"/>
  <c r="J532" i="1"/>
  <c r="J525" i="1"/>
  <c r="S2389" i="1"/>
  <c r="S2406" i="1"/>
  <c r="X2390" i="1"/>
  <c r="J672" i="1"/>
  <c r="I674" i="1"/>
  <c r="I670" i="1"/>
  <c r="G1036" i="1"/>
  <c r="G1037" i="1"/>
  <c r="E1144" i="1"/>
  <c r="E1145" i="1"/>
  <c r="AQ2385" i="1"/>
  <c r="AQ2402" i="1"/>
  <c r="J1190" i="1"/>
  <c r="J1183" i="1"/>
  <c r="I1183" i="1"/>
  <c r="I1327" i="1"/>
  <c r="F1334" i="1"/>
  <c r="F1335" i="1"/>
  <c r="I1489" i="1"/>
  <c r="E1631" i="1"/>
  <c r="E1632" i="1"/>
  <c r="E106" i="6"/>
  <c r="E107" i="6"/>
  <c r="B932" i="3"/>
  <c r="B931" i="3"/>
  <c r="H212" i="4"/>
  <c r="H213" i="4"/>
  <c r="C1472" i="3"/>
  <c r="C1471" i="3"/>
  <c r="B1347" i="2"/>
  <c r="B1346" i="2"/>
  <c r="D1595" i="1"/>
  <c r="D1594" i="1"/>
  <c r="F515" i="3"/>
  <c r="F514" i="3"/>
  <c r="E560" i="2"/>
  <c r="E559" i="2"/>
  <c r="H759" i="2"/>
  <c r="H758" i="2"/>
  <c r="D703" i="2"/>
  <c r="D702" i="2"/>
  <c r="E616" i="2"/>
  <c r="E615" i="2"/>
  <c r="H502" i="2"/>
  <c r="H503" i="2"/>
  <c r="G358" i="2"/>
  <c r="G359" i="2"/>
  <c r="B414" i="1"/>
  <c r="B415" i="1"/>
  <c r="I156" i="6"/>
  <c r="I153" i="6"/>
  <c r="H1386" i="4"/>
  <c r="H1387" i="4"/>
  <c r="I1653" i="1"/>
  <c r="I1654" i="1"/>
  <c r="I1125" i="2"/>
  <c r="F1132" i="2"/>
  <c r="F1133" i="2"/>
  <c r="J324" i="4"/>
  <c r="M2118" i="4"/>
  <c r="M2135" i="4"/>
  <c r="I317" i="4"/>
  <c r="M2111" i="4"/>
  <c r="R2121" i="4"/>
  <c r="R2138" i="4"/>
  <c r="J467" i="4"/>
  <c r="I460" i="4"/>
  <c r="R2114" i="4"/>
  <c r="H748" i="4"/>
  <c r="H749" i="4"/>
  <c r="AC2118" i="4"/>
  <c r="AC2135" i="4"/>
  <c r="I761" i="4"/>
  <c r="AC2111" i="4"/>
  <c r="J768" i="4"/>
  <c r="J878" i="4"/>
  <c r="AG2120" i="4"/>
  <c r="AG2137" i="4"/>
  <c r="I871" i="4"/>
  <c r="AG2113" i="4"/>
  <c r="G1333" i="4"/>
  <c r="G1332" i="4"/>
  <c r="I219" i="1"/>
  <c r="I218" i="1"/>
  <c r="J333" i="1"/>
  <c r="J326" i="1"/>
  <c r="I326" i="1"/>
  <c r="I388" i="1"/>
  <c r="F396" i="1"/>
  <c r="F397" i="1"/>
  <c r="I639" i="1"/>
  <c r="C675" i="1"/>
  <c r="C676" i="1"/>
  <c r="G675" i="1"/>
  <c r="G676" i="1"/>
  <c r="B703" i="1"/>
  <c r="B704" i="1"/>
  <c r="I1086" i="1"/>
  <c r="I1408" i="1"/>
  <c r="J18" i="6"/>
  <c r="I22" i="6"/>
  <c r="I12" i="6"/>
  <c r="B876" i="6"/>
  <c r="B882" i="6"/>
  <c r="B106" i="6"/>
  <c r="B107" i="6"/>
  <c r="F629" i="4"/>
  <c r="F630" i="4"/>
  <c r="B1148" i="3"/>
  <c r="B1147" i="3"/>
  <c r="D638" i="1"/>
  <c r="D637" i="1"/>
  <c r="E1039" i="3"/>
  <c r="E1040" i="3"/>
  <c r="H352" i="3"/>
  <c r="H353" i="3"/>
  <c r="H721" i="1"/>
  <c r="H722" i="1"/>
  <c r="J1197" i="3"/>
  <c r="G543" i="3"/>
  <c r="G542" i="3"/>
  <c r="D1514" i="1"/>
  <c r="D1513" i="1"/>
  <c r="E379" i="3"/>
  <c r="E380" i="3"/>
  <c r="D527" i="1"/>
  <c r="D526" i="1"/>
  <c r="I1360" i="3"/>
  <c r="AX2278" i="3"/>
  <c r="I1358" i="3"/>
  <c r="AX2276" i="3"/>
  <c r="J1370" i="3"/>
  <c r="AX2288" i="3"/>
  <c r="I1359" i="3"/>
  <c r="AX2277" i="3"/>
  <c r="I1362" i="3"/>
  <c r="AX2280" i="3"/>
  <c r="I1372" i="3"/>
  <c r="I209" i="2"/>
  <c r="I2180" i="2"/>
  <c r="I223" i="2"/>
  <c r="I210" i="2"/>
  <c r="I2181" i="2"/>
  <c r="I212" i="2"/>
  <c r="I2183" i="2"/>
  <c r="I2192" i="2"/>
  <c r="I213" i="2"/>
  <c r="I2184" i="2"/>
  <c r="I211" i="2"/>
  <c r="I2182" i="2"/>
  <c r="J221" i="2"/>
  <c r="AR2305" i="3"/>
  <c r="I268" i="3"/>
  <c r="K2280" i="3"/>
  <c r="J276" i="3"/>
  <c r="J264" i="3"/>
  <c r="I266" i="3"/>
  <c r="K2278" i="3"/>
  <c r="I265" i="3"/>
  <c r="K2277" i="3"/>
  <c r="K2288" i="3"/>
  <c r="I267" i="3"/>
  <c r="K2279" i="3"/>
  <c r="I278" i="3"/>
  <c r="J1308" i="3"/>
  <c r="J209" i="3"/>
  <c r="AJ2288" i="3"/>
  <c r="I984" i="3"/>
  <c r="AJ2280" i="3"/>
  <c r="I980" i="3"/>
  <c r="AJ2276" i="3"/>
  <c r="I981" i="3"/>
  <c r="AJ2277" i="3"/>
  <c r="J992" i="3"/>
  <c r="I982" i="3"/>
  <c r="AJ2278" i="3"/>
  <c r="I994" i="3"/>
  <c r="H2208" i="2"/>
  <c r="H2210" i="2"/>
  <c r="J207" i="3"/>
  <c r="I711" i="4"/>
  <c r="AA2115" i="4"/>
  <c r="AA2126" i="4"/>
  <c r="J722" i="4"/>
  <c r="I712" i="4"/>
  <c r="AA2116" i="4"/>
  <c r="I1170" i="3"/>
  <c r="AQ2277" i="3"/>
  <c r="I1169" i="3"/>
  <c r="AQ2276" i="3"/>
  <c r="AQ2288" i="3"/>
  <c r="I1171" i="3"/>
  <c r="AQ2278" i="3"/>
  <c r="J1181" i="3"/>
  <c r="J1172" i="3"/>
  <c r="I1173" i="3"/>
  <c r="AQ2280" i="3"/>
  <c r="I1183" i="3"/>
  <c r="J1064" i="3"/>
  <c r="J401" i="4"/>
  <c r="I679" i="3"/>
  <c r="Y2277" i="3"/>
  <c r="J593" i="3"/>
  <c r="I240" i="2"/>
  <c r="J2183" i="2"/>
  <c r="I239" i="2"/>
  <c r="J2182" i="2"/>
  <c r="I251" i="2"/>
  <c r="I241" i="2"/>
  <c r="J2184" i="2"/>
  <c r="I237" i="2"/>
  <c r="J2180" i="2"/>
  <c r="J2192" i="2"/>
  <c r="I238" i="2"/>
  <c r="J2181" i="2"/>
  <c r="J249" i="2"/>
  <c r="J241" i="2"/>
  <c r="I210" i="3"/>
  <c r="I2279" i="3"/>
  <c r="J793" i="4"/>
  <c r="J792" i="4"/>
  <c r="J904" i="3"/>
  <c r="J905" i="3"/>
  <c r="J982" i="4"/>
  <c r="J981" i="4"/>
  <c r="B97" i="6"/>
  <c r="B96" i="6"/>
  <c r="F387" i="1"/>
  <c r="F386" i="1"/>
  <c r="E96" i="6"/>
  <c r="E97" i="6"/>
  <c r="D1243" i="1"/>
  <c r="D1244" i="1"/>
  <c r="G1580" i="3"/>
  <c r="G1579" i="3"/>
  <c r="D1440" i="4"/>
  <c r="D1441" i="4"/>
  <c r="I886" i="6"/>
  <c r="J211" i="6"/>
  <c r="J213" i="6"/>
  <c r="J214" i="6"/>
  <c r="I213" i="6"/>
  <c r="I199" i="6"/>
  <c r="I874" i="6"/>
  <c r="E1675" i="1"/>
  <c r="E1676" i="1"/>
  <c r="E1184" i="5"/>
  <c r="E1183" i="5"/>
  <c r="F420" i="6"/>
  <c r="F421" i="6"/>
  <c r="H1877" i="3"/>
  <c r="H1876" i="3"/>
  <c r="H798" i="6"/>
  <c r="H799" i="6"/>
  <c r="C798" i="6"/>
  <c r="C799" i="6"/>
  <c r="G157" i="1"/>
  <c r="G158" i="1"/>
  <c r="F665" i="1"/>
  <c r="F666" i="1"/>
  <c r="H1648" i="1"/>
  <c r="H1649" i="1"/>
  <c r="G151" i="6"/>
  <c r="G150" i="6"/>
  <c r="C386" i="1"/>
  <c r="C387" i="1"/>
  <c r="G1324" i="1"/>
  <c r="G1325" i="1"/>
  <c r="D1580" i="3"/>
  <c r="D1579" i="3"/>
  <c r="E1579" i="3"/>
  <c r="E1580" i="3"/>
  <c r="BB2122" i="4"/>
  <c r="I1449" i="4"/>
  <c r="J1447" i="4"/>
  <c r="J1449" i="4"/>
  <c r="J1450" i="4"/>
  <c r="I1435" i="4"/>
  <c r="BB2110" i="4"/>
  <c r="D1715" i="3"/>
  <c r="D1714" i="3"/>
  <c r="E1622" i="1"/>
  <c r="E1621" i="1"/>
  <c r="E1039" i="2"/>
  <c r="E1038" i="2"/>
  <c r="E1757" i="1"/>
  <c r="E1756" i="1"/>
  <c r="G995" i="5"/>
  <c r="G994" i="5"/>
  <c r="F1811" i="1"/>
  <c r="F1810" i="1"/>
  <c r="H312" i="6"/>
  <c r="H313" i="6"/>
  <c r="E313" i="6"/>
  <c r="E312" i="6"/>
  <c r="E420" i="6"/>
  <c r="E421" i="6"/>
  <c r="B1850" i="3"/>
  <c r="B1849" i="3"/>
  <c r="F1876" i="3"/>
  <c r="F1877" i="3"/>
  <c r="D1850" i="3"/>
  <c r="D1849" i="3"/>
  <c r="E1823" i="2"/>
  <c r="E1822" i="2"/>
  <c r="G2000" i="1"/>
  <c r="G1999" i="1"/>
  <c r="B1822" i="2"/>
  <c r="B1823" i="2"/>
  <c r="G1319" i="5"/>
  <c r="G1318" i="5"/>
  <c r="F1481" i="5"/>
  <c r="F1480" i="5"/>
  <c r="F2074" i="2"/>
  <c r="F2075" i="2"/>
  <c r="G798" i="6"/>
  <c r="G799" i="6"/>
  <c r="H69" i="6"/>
  <c r="H70" i="6"/>
  <c r="C526" i="1"/>
  <c r="C527" i="1"/>
  <c r="D1431" i="2"/>
  <c r="D1430" i="2"/>
  <c r="E1324" i="1"/>
  <c r="E1325" i="1"/>
  <c r="E1441" i="4"/>
  <c r="E1440" i="4"/>
  <c r="F1440" i="4"/>
  <c r="F1441" i="4"/>
  <c r="C313" i="6"/>
  <c r="C312" i="6"/>
  <c r="D1238" i="5"/>
  <c r="D1237" i="5"/>
  <c r="C1876" i="3"/>
  <c r="C1877" i="3"/>
  <c r="R886" i="6"/>
  <c r="I456" i="6"/>
  <c r="J454" i="6"/>
  <c r="J456" i="6"/>
  <c r="J457" i="6"/>
  <c r="I442" i="6"/>
  <c r="R874" i="6"/>
  <c r="I446" i="6"/>
  <c r="R878" i="6"/>
  <c r="F1999" i="1"/>
  <c r="F2000" i="1"/>
  <c r="BT2288" i="3"/>
  <c r="J1964" i="3"/>
  <c r="I1966" i="3"/>
  <c r="I1953" i="3"/>
  <c r="BT2277" i="3"/>
  <c r="I1952" i="3"/>
  <c r="BT2276" i="3"/>
  <c r="I1956" i="3"/>
  <c r="BT2280" i="3"/>
  <c r="I1954" i="3"/>
  <c r="BT2278" i="3"/>
  <c r="C1319" i="5"/>
  <c r="C1318" i="5"/>
  <c r="D1963" i="2"/>
  <c r="D1962" i="2"/>
  <c r="E745" i="6"/>
  <c r="E744" i="6"/>
  <c r="G2158" i="2"/>
  <c r="G2159" i="2"/>
  <c r="E1589" i="5"/>
  <c r="E1588" i="5"/>
  <c r="C1403" i="2"/>
  <c r="C1402" i="2"/>
  <c r="E157" i="1"/>
  <c r="E158" i="1"/>
  <c r="C1026" i="1"/>
  <c r="C1027" i="1"/>
  <c r="G1676" i="1"/>
  <c r="G1675" i="1"/>
  <c r="G1515" i="2"/>
  <c r="G1514" i="2"/>
  <c r="C1633" i="3"/>
  <c r="C1634" i="3"/>
  <c r="H447" i="6"/>
  <c r="H448" i="6"/>
  <c r="H1822" i="3"/>
  <c r="H1823" i="3"/>
  <c r="J427" i="6"/>
  <c r="J429" i="6"/>
  <c r="J430" i="6"/>
  <c r="I429" i="6"/>
  <c r="Q886" i="6"/>
  <c r="I415" i="6"/>
  <c r="Q874" i="6"/>
  <c r="I419" i="6"/>
  <c r="Q878" i="6"/>
  <c r="B1265" i="5"/>
  <c r="B1264" i="5"/>
  <c r="D1318" i="5"/>
  <c r="D1319" i="5"/>
  <c r="D1846" i="4"/>
  <c r="D1845" i="4"/>
  <c r="C664" i="6"/>
  <c r="C663" i="6"/>
  <c r="G1402" i="2"/>
  <c r="G1403" i="2"/>
  <c r="G239" i="4"/>
  <c r="G240" i="4"/>
  <c r="H1406" i="1"/>
  <c r="H1405" i="1"/>
  <c r="C1123" i="2"/>
  <c r="C1122" i="2"/>
  <c r="C1676" i="1"/>
  <c r="C1675" i="1"/>
  <c r="H1548" i="4"/>
  <c r="H1549" i="4"/>
  <c r="H1683" i="4"/>
  <c r="H1684" i="4"/>
  <c r="B447" i="6"/>
  <c r="B448" i="6"/>
  <c r="F1930" i="3"/>
  <c r="F1931" i="3"/>
  <c r="C529" i="6"/>
  <c r="C528" i="6"/>
  <c r="B502" i="6"/>
  <c r="B501" i="6"/>
  <c r="D1850" i="2"/>
  <c r="D1851" i="2"/>
  <c r="B2120" i="3"/>
  <c r="B2119" i="3"/>
  <c r="D825" i="6"/>
  <c r="D826" i="6"/>
  <c r="F1265" i="5"/>
  <c r="F1264" i="5"/>
  <c r="H420" i="6"/>
  <c r="H421" i="6"/>
  <c r="E1710" i="2"/>
  <c r="E1711" i="2"/>
  <c r="F447" i="6"/>
  <c r="F448" i="6"/>
  <c r="H2026" i="1"/>
  <c r="H2027" i="1"/>
  <c r="F1764" i="4"/>
  <c r="F1765" i="4"/>
  <c r="H2080" i="1"/>
  <c r="H2081" i="1"/>
  <c r="E2080" i="1"/>
  <c r="E2081" i="1"/>
  <c r="E609" i="6"/>
  <c r="E610" i="6"/>
  <c r="H2120" i="3"/>
  <c r="H2119" i="3"/>
  <c r="D573" i="4"/>
  <c r="D574" i="4"/>
  <c r="I584" i="4"/>
  <c r="C1595" i="1"/>
  <c r="C1594" i="1"/>
  <c r="H1431" i="2"/>
  <c r="H1430" i="2"/>
  <c r="F940" i="5"/>
  <c r="F941" i="5"/>
  <c r="C1468" i="4"/>
  <c r="C1467" i="4"/>
  <c r="G1634" i="3"/>
  <c r="G1633" i="3"/>
  <c r="B1075" i="5"/>
  <c r="B1076" i="5"/>
  <c r="C1865" i="1"/>
  <c r="C1864" i="1"/>
  <c r="F1598" i="2"/>
  <c r="F1599" i="2"/>
  <c r="H1850" i="3"/>
  <c r="H1849" i="3"/>
  <c r="G502" i="6"/>
  <c r="G501" i="6"/>
  <c r="F2026" i="1"/>
  <c r="F2027" i="1"/>
  <c r="D1265" i="5"/>
  <c r="D1264" i="5"/>
  <c r="G1823" i="2"/>
  <c r="G1822" i="2"/>
  <c r="C2080" i="1"/>
  <c r="C2081" i="1"/>
  <c r="C1878" i="2"/>
  <c r="C1879" i="2"/>
  <c r="B610" i="6"/>
  <c r="B609" i="6"/>
  <c r="C609" i="6"/>
  <c r="C610" i="6"/>
  <c r="H1426" i="5"/>
  <c r="H1427" i="5"/>
  <c r="F2188" i="1"/>
  <c r="F2189" i="1"/>
  <c r="F16" i="6"/>
  <c r="F15" i="6"/>
  <c r="B1123" i="2"/>
  <c r="B1122" i="2"/>
  <c r="E1433" i="1"/>
  <c r="E1432" i="1"/>
  <c r="H1134" i="1"/>
  <c r="H1135" i="1"/>
  <c r="C96" i="6"/>
  <c r="C97" i="6"/>
  <c r="G386" i="1"/>
  <c r="G387" i="1"/>
  <c r="C941" i="5"/>
  <c r="C940" i="5"/>
  <c r="B1660" i="3"/>
  <c r="B1661" i="3"/>
  <c r="H1129" i="5"/>
  <c r="H1130" i="5"/>
  <c r="D421" i="6"/>
  <c r="D420" i="6"/>
  <c r="E1877" i="3"/>
  <c r="E1876" i="3"/>
  <c r="C1211" i="5"/>
  <c r="C1210" i="5"/>
  <c r="D1183" i="5"/>
  <c r="D1184" i="5"/>
  <c r="E1999" i="1"/>
  <c r="E2000" i="1"/>
  <c r="E2027" i="1"/>
  <c r="E2026" i="1"/>
  <c r="G2080" i="1"/>
  <c r="G2081" i="1"/>
  <c r="B2046" i="2"/>
  <c r="B2047" i="2"/>
  <c r="E1561" i="5"/>
  <c r="E1562" i="5"/>
  <c r="F799" i="6"/>
  <c r="F798" i="6"/>
  <c r="B693" i="1"/>
  <c r="B694" i="1"/>
  <c r="H738" i="4"/>
  <c r="H739" i="4"/>
  <c r="I749" i="4"/>
  <c r="B1430" i="2"/>
  <c r="B1431" i="2"/>
  <c r="H1081" i="1"/>
  <c r="H1080" i="1"/>
  <c r="H1730" i="1"/>
  <c r="H1729" i="1"/>
  <c r="F1570" i="2"/>
  <c r="F1571" i="2"/>
  <c r="H1599" i="2"/>
  <c r="H1598" i="2"/>
  <c r="H1714" i="3"/>
  <c r="H1715" i="3"/>
  <c r="G1823" i="3"/>
  <c r="G1822" i="3"/>
  <c r="B1210" i="5"/>
  <c r="B1211" i="5"/>
  <c r="C1184" i="5"/>
  <c r="C1183" i="5"/>
  <c r="G421" i="6"/>
  <c r="G420" i="6"/>
  <c r="C502" i="6"/>
  <c r="C501" i="6"/>
  <c r="J1801" i="2"/>
  <c r="J1803" i="2"/>
  <c r="J1804" i="2"/>
  <c r="BM2192" i="2"/>
  <c r="I1803" i="2"/>
  <c r="I1792" i="2"/>
  <c r="BM2183" i="2"/>
  <c r="I1791" i="2"/>
  <c r="BM2182" i="2"/>
  <c r="I1789" i="2"/>
  <c r="BM2180" i="2"/>
  <c r="I1793" i="2"/>
  <c r="BM2184" i="2"/>
  <c r="BU2288" i="3"/>
  <c r="I1983" i="3"/>
  <c r="BU2280" i="3"/>
  <c r="I1993" i="3"/>
  <c r="I1981" i="3"/>
  <c r="BU2278" i="3"/>
  <c r="I1982" i="3"/>
  <c r="BU2279" i="3"/>
  <c r="J1991" i="3"/>
  <c r="I1979" i="3"/>
  <c r="BU2276" i="3"/>
  <c r="G1845" i="4"/>
  <c r="G1846" i="4"/>
  <c r="H610" i="6"/>
  <c r="H609" i="6"/>
  <c r="D1953" i="4"/>
  <c r="D1954" i="4"/>
  <c r="H2074" i="2"/>
  <c r="H2075" i="2"/>
  <c r="C1588" i="5"/>
  <c r="C1589" i="5"/>
  <c r="H96" i="6"/>
  <c r="H97" i="6"/>
  <c r="C1000" i="1"/>
  <c r="C999" i="1"/>
  <c r="H666" i="1"/>
  <c r="H665" i="1"/>
  <c r="G1756" i="1"/>
  <c r="G1757" i="1"/>
  <c r="F216" i="1"/>
  <c r="F215" i="1"/>
  <c r="L213" i="1"/>
  <c r="L215" i="1"/>
  <c r="H629" i="4"/>
  <c r="H630" i="4"/>
  <c r="I640" i="4"/>
  <c r="D1081" i="1"/>
  <c r="D1080" i="1"/>
  <c r="F889" i="1"/>
  <c r="F890" i="1"/>
  <c r="H1514" i="2"/>
  <c r="H1515" i="2"/>
  <c r="F1580" i="3"/>
  <c r="F1579" i="3"/>
  <c r="G1549" i="4"/>
  <c r="G1548" i="4"/>
  <c r="B1823" i="3"/>
  <c r="B1822" i="3"/>
  <c r="B421" i="6"/>
  <c r="B420" i="6"/>
  <c r="F1237" i="5"/>
  <c r="F1238" i="5"/>
  <c r="H1265" i="5"/>
  <c r="H1264" i="5"/>
  <c r="G1765" i="4"/>
  <c r="G1764" i="4"/>
  <c r="H2134" i="1"/>
  <c r="H2135" i="1"/>
  <c r="B1962" i="2"/>
  <c r="B1963" i="2"/>
  <c r="E717" i="6"/>
  <c r="E718" i="6"/>
  <c r="B2034" i="4"/>
  <c r="B2035" i="4"/>
  <c r="E2201" i="3"/>
  <c r="E2200" i="3"/>
  <c r="C1081" i="1"/>
  <c r="C1080" i="1"/>
  <c r="J1042" i="4"/>
  <c r="I1032" i="4"/>
  <c r="AM2112" i="4"/>
  <c r="AM2122" i="4"/>
  <c r="I1044" i="4"/>
  <c r="I1031" i="4"/>
  <c r="AM2111" i="4"/>
  <c r="I1030" i="4"/>
  <c r="AM2110" i="4"/>
  <c r="C638" i="1"/>
  <c r="C637" i="1"/>
  <c r="E1634" i="3"/>
  <c r="E1633" i="3"/>
  <c r="F1756" i="1"/>
  <c r="F1757" i="1"/>
  <c r="D1075" i="5"/>
  <c r="D1076" i="5"/>
  <c r="C448" i="6"/>
  <c r="C447" i="6"/>
  <c r="F1183" i="5"/>
  <c r="F1184" i="5"/>
  <c r="C2027" i="1"/>
  <c r="C2026" i="1"/>
  <c r="C1794" i="2"/>
  <c r="C1795" i="2"/>
  <c r="H1931" i="3"/>
  <c r="H1930" i="3"/>
  <c r="F2081" i="1"/>
  <c r="F2080" i="1"/>
  <c r="H1879" i="2"/>
  <c r="H1878" i="2"/>
  <c r="E1845" i="4"/>
  <c r="E1846" i="4"/>
  <c r="B663" i="6"/>
  <c r="B664" i="6"/>
  <c r="J1487" i="5"/>
  <c r="J1489" i="5"/>
  <c r="J1490" i="5"/>
  <c r="BD1649" i="5"/>
  <c r="I1489" i="5"/>
  <c r="I1475" i="5"/>
  <c r="BD1637" i="5"/>
  <c r="I1478" i="5"/>
  <c r="BD1640" i="5"/>
  <c r="I1476" i="5"/>
  <c r="BD1638" i="5"/>
  <c r="G1562" i="5"/>
  <c r="G1561" i="5"/>
  <c r="D2062" i="4"/>
  <c r="D2061" i="4"/>
  <c r="BZ2122" i="4"/>
  <c r="I2097" i="4"/>
  <c r="J2095" i="4"/>
  <c r="I2085" i="4"/>
  <c r="BZ2112" i="4"/>
  <c r="I2083" i="4"/>
  <c r="BZ2110" i="4"/>
  <c r="H2088" i="4"/>
  <c r="H2089" i="4"/>
  <c r="G1433" i="1"/>
  <c r="G1432" i="1"/>
  <c r="C1580" i="3"/>
  <c r="C1579" i="3"/>
  <c r="H994" i="5"/>
  <c r="H995" i="5"/>
  <c r="E1468" i="4"/>
  <c r="E1467" i="4"/>
  <c r="D1811" i="1"/>
  <c r="D1810" i="1"/>
  <c r="F313" i="6"/>
  <c r="F312" i="6"/>
  <c r="E1603" i="4"/>
  <c r="E1602" i="4"/>
  <c r="H501" i="6"/>
  <c r="H502" i="6"/>
  <c r="D528" i="6"/>
  <c r="D529" i="6"/>
  <c r="B1958" i="3"/>
  <c r="B1957" i="3"/>
  <c r="G1878" i="2"/>
  <c r="G1879" i="2"/>
  <c r="B2134" i="1"/>
  <c r="B2135" i="1"/>
  <c r="D610" i="6"/>
  <c r="D609" i="6"/>
  <c r="F2120" i="3"/>
  <c r="F2119" i="3"/>
  <c r="G2228" i="3"/>
  <c r="G2227" i="3"/>
  <c r="G1460" i="1"/>
  <c r="G1459" i="1"/>
  <c r="C157" i="1"/>
  <c r="C158" i="1"/>
  <c r="G1039" i="2"/>
  <c r="G1038" i="2"/>
  <c r="E1081" i="1"/>
  <c r="E1080" i="1"/>
  <c r="D70" i="6"/>
  <c r="D69" i="6"/>
  <c r="C358" i="2"/>
  <c r="C359" i="2"/>
  <c r="F1633" i="3"/>
  <c r="F1634" i="3"/>
  <c r="F994" i="5"/>
  <c r="F995" i="5"/>
  <c r="F204" i="6"/>
  <c r="F205" i="6"/>
  <c r="H1811" i="1"/>
  <c r="H1810" i="1"/>
  <c r="F474" i="6"/>
  <c r="F475" i="6"/>
  <c r="E448" i="6"/>
  <c r="E447" i="6"/>
  <c r="F1918" i="1"/>
  <c r="F1919" i="1"/>
  <c r="H1999" i="1"/>
  <c r="H2000" i="1"/>
  <c r="D1879" i="2"/>
  <c r="D1878" i="2"/>
  <c r="D2134" i="1"/>
  <c r="D2135" i="1"/>
  <c r="G664" i="6"/>
  <c r="G663" i="6"/>
  <c r="D718" i="6"/>
  <c r="D717" i="6"/>
  <c r="C2103" i="2"/>
  <c r="C2102" i="2"/>
  <c r="E2227" i="3"/>
  <c r="E2228" i="3"/>
  <c r="H204" i="6"/>
  <c r="H205" i="6"/>
  <c r="C1598" i="2"/>
  <c r="C1599" i="2"/>
  <c r="G1711" i="2"/>
  <c r="G1710" i="2"/>
  <c r="H1972" i="1"/>
  <c r="H1973" i="1"/>
  <c r="F1684" i="4"/>
  <c r="F1683" i="4"/>
  <c r="E1739" i="2"/>
  <c r="E1738" i="2"/>
  <c r="H1764" i="4"/>
  <c r="H1765" i="4"/>
  <c r="B1999" i="1"/>
  <c r="B2000" i="1"/>
  <c r="E1930" i="3"/>
  <c r="E1931" i="3"/>
  <c r="F2161" i="1"/>
  <c r="F2162" i="1"/>
  <c r="C2189" i="1"/>
  <c r="C2188" i="1"/>
  <c r="E1480" i="5"/>
  <c r="E1481" i="5"/>
  <c r="G1588" i="5"/>
  <c r="G1589" i="5"/>
  <c r="B825" i="6"/>
  <c r="B826" i="6"/>
  <c r="G914" i="5"/>
  <c r="G913" i="5"/>
  <c r="B1325" i="1"/>
  <c r="B1324" i="1"/>
  <c r="B665" i="1"/>
  <c r="B666" i="1"/>
  <c r="E914" i="5"/>
  <c r="E913" i="5"/>
  <c r="H1440" i="4"/>
  <c r="H1441" i="4"/>
  <c r="C995" i="5"/>
  <c r="C994" i="5"/>
  <c r="B1183" i="5"/>
  <c r="B1184" i="5"/>
  <c r="C1264" i="5"/>
  <c r="C1265" i="5"/>
  <c r="F1846" i="4"/>
  <c r="F1845" i="4"/>
  <c r="F1990" i="2"/>
  <c r="F1991" i="2"/>
  <c r="H1399" i="5"/>
  <c r="H1400" i="5"/>
  <c r="E1514" i="1"/>
  <c r="E1513" i="1"/>
  <c r="H1189" i="1"/>
  <c r="H1188" i="1"/>
  <c r="C1514" i="1"/>
  <c r="C1513" i="1"/>
  <c r="C1441" i="4"/>
  <c r="C1440" i="4"/>
  <c r="D1684" i="4"/>
  <c r="D1683" i="4"/>
  <c r="D447" i="6"/>
  <c r="D448" i="6"/>
  <c r="G1931" i="3"/>
  <c r="G1930" i="3"/>
  <c r="C1851" i="2"/>
  <c r="C1850" i="2"/>
  <c r="C1561" i="5"/>
  <c r="C1562" i="5"/>
  <c r="F2061" i="4"/>
  <c r="F2062" i="4"/>
  <c r="B898" i="6"/>
  <c r="G666" i="1"/>
  <c r="G665" i="1"/>
  <c r="W2385" i="1"/>
  <c r="W2402" i="1"/>
  <c r="I632" i="1"/>
  <c r="W2378" i="1"/>
  <c r="J639" i="1"/>
  <c r="J632" i="1"/>
  <c r="F1123" i="2"/>
  <c r="F1122" i="2"/>
  <c r="J156" i="6"/>
  <c r="G885" i="6"/>
  <c r="G901" i="6"/>
  <c r="F1324" i="1"/>
  <c r="F1325" i="1"/>
  <c r="L2389" i="1"/>
  <c r="J308" i="1"/>
  <c r="J301" i="1"/>
  <c r="I301" i="1"/>
  <c r="J2122" i="4"/>
  <c r="J246" i="4"/>
  <c r="I234" i="4"/>
  <c r="J2110" i="4"/>
  <c r="I238" i="4"/>
  <c r="J2114" i="4"/>
  <c r="I248" i="4"/>
  <c r="I249" i="4"/>
  <c r="I237" i="4"/>
  <c r="J2113" i="4"/>
  <c r="I78" i="6"/>
  <c r="I68" i="6"/>
  <c r="D878" i="6"/>
  <c r="I67" i="6"/>
  <c r="D877" i="6"/>
  <c r="J76" i="6"/>
  <c r="D886" i="6"/>
  <c r="AJ2380" i="1"/>
  <c r="AJ2375" i="1"/>
  <c r="AD2376" i="1"/>
  <c r="AD2381" i="1"/>
  <c r="D387" i="1"/>
  <c r="D386" i="1"/>
  <c r="I272" i="1"/>
  <c r="J279" i="1"/>
  <c r="J272" i="1"/>
  <c r="C73" i="4"/>
  <c r="C72" i="4"/>
  <c r="I83" i="4"/>
  <c r="C914" i="5"/>
  <c r="C913" i="5"/>
  <c r="AI1662" i="5"/>
  <c r="BD2385" i="1"/>
  <c r="BD2402" i="1"/>
  <c r="I1535" i="1"/>
  <c r="J1542" i="1"/>
  <c r="J1535" i="1"/>
  <c r="AE2381" i="1"/>
  <c r="AE2376" i="1"/>
  <c r="G443" i="1"/>
  <c r="G442" i="1"/>
  <c r="G1123" i="2"/>
  <c r="G1122" i="2"/>
  <c r="AJ1644" i="5"/>
  <c r="AJ1661" i="5"/>
  <c r="J942" i="5"/>
  <c r="I947" i="5"/>
  <c r="I935" i="5"/>
  <c r="AJ1637" i="5"/>
  <c r="B1514" i="2"/>
  <c r="B1515" i="2"/>
  <c r="G1468" i="4"/>
  <c r="G1467" i="4"/>
  <c r="J199" i="6"/>
  <c r="BH2287" i="3"/>
  <c r="BH2303" i="3"/>
  <c r="J1639" i="3"/>
  <c r="J2194" i="2"/>
  <c r="I252" i="2"/>
  <c r="J2195" i="2"/>
  <c r="AQ2290" i="3"/>
  <c r="I1184" i="3"/>
  <c r="I1185" i="3"/>
  <c r="J1183" i="3"/>
  <c r="J711" i="4"/>
  <c r="J712" i="4"/>
  <c r="J982" i="3"/>
  <c r="J980" i="3"/>
  <c r="J984" i="3"/>
  <c r="J981" i="3"/>
  <c r="K2290" i="3"/>
  <c r="I279" i="3"/>
  <c r="I280" i="3"/>
  <c r="J278" i="3"/>
  <c r="J212" i="2"/>
  <c r="J210" i="2"/>
  <c r="J223" i="2"/>
  <c r="J224" i="2"/>
  <c r="J211" i="2"/>
  <c r="J209" i="2"/>
  <c r="J1372" i="3"/>
  <c r="I1373" i="3"/>
  <c r="I1374" i="3"/>
  <c r="AX2290" i="3"/>
  <c r="J1359" i="3"/>
  <c r="J1360" i="3"/>
  <c r="J1358" i="3"/>
  <c r="J1362" i="3"/>
  <c r="I11" i="6"/>
  <c r="B875" i="6"/>
  <c r="AM2389" i="1"/>
  <c r="AM2406" i="1"/>
  <c r="I1079" i="1"/>
  <c r="J1086" i="1"/>
  <c r="J1079" i="1"/>
  <c r="J446" i="1"/>
  <c r="J439" i="1"/>
  <c r="P2387" i="1"/>
  <c r="P2404" i="1"/>
  <c r="I439" i="1"/>
  <c r="J1310" i="4"/>
  <c r="AW2120" i="4"/>
  <c r="AW2137" i="4"/>
  <c r="J664" i="4"/>
  <c r="I656" i="4"/>
  <c r="Y2114" i="4"/>
  <c r="I655" i="4"/>
  <c r="Y2113" i="4"/>
  <c r="Y2122" i="4"/>
  <c r="I666" i="4"/>
  <c r="I652" i="4"/>
  <c r="Y2110" i="4"/>
  <c r="I235" i="4"/>
  <c r="J2111" i="4"/>
  <c r="I64" i="6"/>
  <c r="D874" i="6"/>
  <c r="BC2377" i="1"/>
  <c r="BC2382" i="1"/>
  <c r="BA2375" i="1"/>
  <c r="BA2380" i="1"/>
  <c r="AZ2373" i="1"/>
  <c r="AZ2378" i="1"/>
  <c r="J1432" i="2"/>
  <c r="I1437" i="2"/>
  <c r="I1425" i="2"/>
  <c r="AZ2180" i="2"/>
  <c r="AZ2187" i="2"/>
  <c r="AZ2204" i="2"/>
  <c r="J98" i="6"/>
  <c r="I103" i="6"/>
  <c r="E881" i="6"/>
  <c r="E897" i="6"/>
  <c r="AW2376" i="1"/>
  <c r="AW2381" i="1"/>
  <c r="AS2377" i="1"/>
  <c r="AS2382" i="1"/>
  <c r="I811" i="2"/>
  <c r="AD2182" i="2"/>
  <c r="AD2192" i="2"/>
  <c r="I810" i="2"/>
  <c r="AD2181" i="2"/>
  <c r="J821" i="2"/>
  <c r="I823" i="2"/>
  <c r="S2290" i="3"/>
  <c r="I497" i="3"/>
  <c r="J496" i="3"/>
  <c r="BC2188" i="2"/>
  <c r="BC2205" i="2"/>
  <c r="J1517" i="2"/>
  <c r="BA2210" i="2"/>
  <c r="AL1647" i="5"/>
  <c r="AL1664" i="5"/>
  <c r="J999" i="5"/>
  <c r="J284" i="6"/>
  <c r="J294" i="6"/>
  <c r="J295" i="6"/>
  <c r="J282" i="6"/>
  <c r="J280" i="6"/>
  <c r="J281" i="6"/>
  <c r="I1455" i="2"/>
  <c r="BA2182" i="2"/>
  <c r="J1761" i="1"/>
  <c r="J1754" i="1"/>
  <c r="BL2388" i="1"/>
  <c r="BL2405" i="1"/>
  <c r="I1754" i="1"/>
  <c r="BL2381" i="1"/>
  <c r="J1717" i="3"/>
  <c r="BK2284" i="3"/>
  <c r="BK2300" i="3"/>
  <c r="J1866" i="1"/>
  <c r="J1859" i="1"/>
  <c r="BP2385" i="1"/>
  <c r="BP2402" i="1"/>
  <c r="I1859" i="1"/>
  <c r="BP2378" i="1"/>
  <c r="I1605" i="2"/>
  <c r="J1600" i="2"/>
  <c r="I1593" i="2"/>
  <c r="BF2180" i="2"/>
  <c r="BF2187" i="2"/>
  <c r="BF2204" i="2"/>
  <c r="BF2117" i="4"/>
  <c r="BF2134" i="4"/>
  <c r="J1550" i="4"/>
  <c r="I1555" i="4"/>
  <c r="I1543" i="4"/>
  <c r="BF2110" i="4"/>
  <c r="I1970" i="1"/>
  <c r="BT2381" i="1"/>
  <c r="BT2388" i="1"/>
  <c r="BT2405" i="1"/>
  <c r="J1977" i="1"/>
  <c r="J1970" i="1"/>
  <c r="J1215" i="5"/>
  <c r="AT1647" i="5"/>
  <c r="AT1664" i="5"/>
  <c r="AU1644" i="5"/>
  <c r="AU1661" i="5"/>
  <c r="J1239" i="5"/>
  <c r="I1244" i="5"/>
  <c r="I1232" i="5"/>
  <c r="AU1637" i="5"/>
  <c r="S886" i="6"/>
  <c r="J481" i="6"/>
  <c r="J483" i="6"/>
  <c r="J484" i="6"/>
  <c r="I483" i="6"/>
  <c r="I1748" i="2"/>
  <c r="BK2195" i="2"/>
  <c r="BK2194" i="2"/>
  <c r="BK2119" i="4"/>
  <c r="BK2136" i="4"/>
  <c r="J1687" i="4"/>
  <c r="J452" i="6"/>
  <c r="J445" i="6"/>
  <c r="R884" i="6"/>
  <c r="R900" i="6"/>
  <c r="I445" i="6"/>
  <c r="R877" i="6"/>
  <c r="J1936" i="3"/>
  <c r="BS2287" i="3"/>
  <c r="BS2303" i="3"/>
  <c r="BU2388" i="1"/>
  <c r="BU2405" i="1"/>
  <c r="J2004" i="1"/>
  <c r="J1997" i="1"/>
  <c r="I1997" i="1"/>
  <c r="BU2381" i="1"/>
  <c r="J1789" i="2"/>
  <c r="T883" i="6"/>
  <c r="T899" i="6"/>
  <c r="J505" i="6"/>
  <c r="AX1644" i="5"/>
  <c r="AX1661" i="5"/>
  <c r="J1320" i="5"/>
  <c r="I1325" i="5"/>
  <c r="I1313" i="5"/>
  <c r="AX1637" i="5"/>
  <c r="BQ2194" i="2"/>
  <c r="I1916" i="2"/>
  <c r="BQ2195" i="2"/>
  <c r="I1917" i="2"/>
  <c r="J614" i="6"/>
  <c r="X884" i="6"/>
  <c r="X900" i="6"/>
  <c r="BW2290" i="3"/>
  <c r="J2047" i="3"/>
  <c r="I2048" i="3"/>
  <c r="I2049" i="3"/>
  <c r="CA2388" i="1"/>
  <c r="CA2405" i="1"/>
  <c r="J2166" i="1"/>
  <c r="J2159" i="1"/>
  <c r="I2159" i="1"/>
  <c r="CA2381" i="1"/>
  <c r="BB1644" i="5"/>
  <c r="BB1661" i="5"/>
  <c r="J1428" i="5"/>
  <c r="I1433" i="5"/>
  <c r="I1421" i="5"/>
  <c r="BB1637" i="5"/>
  <c r="Z882" i="6"/>
  <c r="Z898" i="6"/>
  <c r="J666" i="6"/>
  <c r="J720" i="6"/>
  <c r="AB882" i="6"/>
  <c r="AB898" i="6"/>
  <c r="J751" i="6"/>
  <c r="I743" i="6"/>
  <c r="AC878" i="6"/>
  <c r="AC886" i="6"/>
  <c r="I753" i="6"/>
  <c r="I741" i="6"/>
  <c r="AC876" i="6"/>
  <c r="I742" i="6"/>
  <c r="AC877" i="6"/>
  <c r="I739" i="6"/>
  <c r="AC874" i="6"/>
  <c r="J804" i="6"/>
  <c r="AE885" i="6"/>
  <c r="AE901" i="6"/>
  <c r="J1129" i="3"/>
  <c r="AO2290" i="3"/>
  <c r="I1130" i="3"/>
  <c r="I1131" i="3"/>
  <c r="U1667" i="5"/>
  <c r="I688" i="1"/>
  <c r="Y2378" i="1"/>
  <c r="J695" i="1"/>
  <c r="J688" i="1"/>
  <c r="Y2385" i="1"/>
  <c r="Y2402" i="1"/>
  <c r="I382" i="1"/>
  <c r="J389" i="1"/>
  <c r="J382" i="1"/>
  <c r="N2386" i="1"/>
  <c r="N2403" i="1"/>
  <c r="J904" i="4"/>
  <c r="AH2119" i="4"/>
  <c r="AH2136" i="4"/>
  <c r="AH2140" i="4"/>
  <c r="I596" i="4"/>
  <c r="W2110" i="4"/>
  <c r="I600" i="4"/>
  <c r="W2114" i="4"/>
  <c r="W2122" i="4"/>
  <c r="I599" i="4"/>
  <c r="W2113" i="4"/>
  <c r="J608" i="4"/>
  <c r="I610" i="4"/>
  <c r="I598" i="4"/>
  <c r="W2112" i="4"/>
  <c r="BH2386" i="1"/>
  <c r="BH2403" i="1"/>
  <c r="I1644" i="1"/>
  <c r="BH2379" i="1"/>
  <c r="J1651" i="1"/>
  <c r="J1644" i="1"/>
  <c r="J1495" i="1"/>
  <c r="BB2392" i="1"/>
  <c r="I1496" i="1"/>
  <c r="I1497" i="1"/>
  <c r="AV2373" i="1"/>
  <c r="AV2378" i="1"/>
  <c r="J1319" i="1"/>
  <c r="J1323" i="1"/>
  <c r="J1322" i="1"/>
  <c r="X2389" i="1"/>
  <c r="X2406" i="1"/>
  <c r="I664" i="1"/>
  <c r="X2382" i="1"/>
  <c r="J671" i="1"/>
  <c r="J664" i="1"/>
  <c r="J304" i="1"/>
  <c r="J297" i="1"/>
  <c r="L2385" i="1"/>
  <c r="I297" i="1"/>
  <c r="T2140" i="4"/>
  <c r="AH2191" i="2"/>
  <c r="AH2208" i="2"/>
  <c r="J932" i="2"/>
  <c r="AW2408" i="1"/>
  <c r="AT2379" i="1"/>
  <c r="AT2374" i="1"/>
  <c r="I271" i="1"/>
  <c r="J278" i="1"/>
  <c r="J271" i="1"/>
  <c r="AO2140" i="4"/>
  <c r="I69" i="4"/>
  <c r="D2112" i="4"/>
  <c r="J76" i="4"/>
  <c r="J69" i="4"/>
  <c r="D2119" i="4"/>
  <c r="J537" i="2"/>
  <c r="T2191" i="2"/>
  <c r="T2208" i="2"/>
  <c r="BC2379" i="1"/>
  <c r="BC2374" i="1"/>
  <c r="AT2376" i="1"/>
  <c r="AT2381" i="1"/>
  <c r="AS2376" i="1"/>
  <c r="AS2381" i="1"/>
  <c r="AK2378" i="1"/>
  <c r="AK2373" i="1"/>
  <c r="AE2373" i="1"/>
  <c r="AE2378" i="1"/>
  <c r="I1034" i="2"/>
  <c r="AL2181" i="2"/>
  <c r="I979" i="2"/>
  <c r="AJ2182" i="2"/>
  <c r="I991" i="2"/>
  <c r="AJ2192" i="2"/>
  <c r="I978" i="2"/>
  <c r="AJ2181" i="2"/>
  <c r="J989" i="2"/>
  <c r="J812" i="2"/>
  <c r="BB2382" i="1"/>
  <c r="BB2377" i="1"/>
  <c r="D47" i="11"/>
  <c r="B49" i="11"/>
  <c r="C49" i="11"/>
  <c r="C40" i="11"/>
  <c r="I1457" i="2"/>
  <c r="BA2184" i="2"/>
  <c r="AL1645" i="5"/>
  <c r="AL1662" i="5"/>
  <c r="J997" i="5"/>
  <c r="I10" i="11"/>
  <c r="B37" i="11"/>
  <c r="I14" i="11"/>
  <c r="B41" i="11"/>
  <c r="I24" i="11"/>
  <c r="I12" i="11"/>
  <c r="B39" i="11"/>
  <c r="J22" i="11"/>
  <c r="I13" i="11"/>
  <c r="B40" i="11"/>
  <c r="BN2388" i="1"/>
  <c r="BN2405" i="1"/>
  <c r="J1815" i="1"/>
  <c r="J1808" i="1"/>
  <c r="I1808" i="1"/>
  <c r="BN2381" i="1"/>
  <c r="J338" i="6"/>
  <c r="J334" i="6"/>
  <c r="J348" i="6"/>
  <c r="J349" i="6"/>
  <c r="J336" i="6"/>
  <c r="J1638" i="4"/>
  <c r="J1639" i="4"/>
  <c r="J1627" i="4"/>
  <c r="J1625" i="4"/>
  <c r="J1879" i="3"/>
  <c r="BQ2284" i="3"/>
  <c r="BQ2300" i="3"/>
  <c r="Q884" i="6"/>
  <c r="Q900" i="6"/>
  <c r="I418" i="6"/>
  <c r="Q877" i="6"/>
  <c r="J425" i="6"/>
  <c r="J418" i="6"/>
  <c r="J2030" i="1"/>
  <c r="J2023" i="1"/>
  <c r="BV2387" i="1"/>
  <c r="BV2404" i="1"/>
  <c r="I2023" i="1"/>
  <c r="BV2380" i="1"/>
  <c r="AV1646" i="5"/>
  <c r="AV1663" i="5"/>
  <c r="J1268" i="5"/>
  <c r="J1825" i="2"/>
  <c r="BN2188" i="2"/>
  <c r="BN2205" i="2"/>
  <c r="BO2118" i="4"/>
  <c r="BO2135" i="4"/>
  <c r="J1794" i="4"/>
  <c r="AZ1651" i="5"/>
  <c r="I1382" i="5"/>
  <c r="I1383" i="5"/>
  <c r="AZ1652" i="5"/>
  <c r="J2035" i="3"/>
  <c r="J2140" i="1"/>
  <c r="J2133" i="1"/>
  <c r="BZ2389" i="1"/>
  <c r="BZ2406" i="1"/>
  <c r="I2133" i="1"/>
  <c r="BZ2382" i="1"/>
  <c r="J1938" i="2"/>
  <c r="BR2189" i="2"/>
  <c r="BR2206" i="2"/>
  <c r="I1425" i="5"/>
  <c r="BB1641" i="5"/>
  <c r="J1432" i="5"/>
  <c r="BB1648" i="5"/>
  <c r="BB1665" i="5"/>
  <c r="J1967" i="2"/>
  <c r="BS2190" i="2"/>
  <c r="BS2207" i="2"/>
  <c r="G2252" i="1"/>
  <c r="G2253" i="1"/>
  <c r="BX2119" i="4"/>
  <c r="BX2136" i="4"/>
  <c r="J2038" i="4"/>
  <c r="BG1647" i="5"/>
  <c r="BG1664" i="5"/>
  <c r="J1566" i="5"/>
  <c r="BY2120" i="4"/>
  <c r="BY2137" i="4"/>
  <c r="I2059" i="4"/>
  <c r="BY2113" i="4"/>
  <c r="J2066" i="4"/>
  <c r="I2345" i="1"/>
  <c r="CH2378" i="1"/>
  <c r="CH2385" i="1"/>
  <c r="CH2402" i="1"/>
  <c r="J2352" i="1"/>
  <c r="J2345" i="1"/>
  <c r="J2083" i="4"/>
  <c r="J678" i="3"/>
  <c r="J681" i="3"/>
  <c r="J682" i="3"/>
  <c r="I282" i="2"/>
  <c r="I283" i="2"/>
  <c r="K2195" i="2"/>
  <c r="K2194" i="2"/>
  <c r="J213" i="2"/>
  <c r="J1173" i="3"/>
  <c r="B899" i="6"/>
  <c r="I1184" i="1"/>
  <c r="J1191" i="1"/>
  <c r="J1184" i="1"/>
  <c r="AQ2386" i="1"/>
  <c r="AQ2403" i="1"/>
  <c r="AQ2388" i="1"/>
  <c r="AQ2405" i="1"/>
  <c r="AQ2408" i="1"/>
  <c r="J1082" i="1"/>
  <c r="J1075" i="1"/>
  <c r="I1075" i="1"/>
  <c r="AM2385" i="1"/>
  <c r="AM2402" i="1"/>
  <c r="I328" i="1"/>
  <c r="J335" i="1"/>
  <c r="J328" i="1"/>
  <c r="AY2119" i="4"/>
  <c r="AY2136" i="4"/>
  <c r="J1363" i="4"/>
  <c r="AT2140" i="4"/>
  <c r="O2140" i="4"/>
  <c r="J1126" i="2"/>
  <c r="AO2189" i="2"/>
  <c r="AO2206" i="2"/>
  <c r="G884" i="6"/>
  <c r="G900" i="6"/>
  <c r="J155" i="6"/>
  <c r="J444" i="1"/>
  <c r="J437" i="1"/>
  <c r="I437" i="1"/>
  <c r="P2385" i="1"/>
  <c r="P2402" i="1"/>
  <c r="J496" i="4"/>
  <c r="I485" i="4"/>
  <c r="S2111" i="4"/>
  <c r="I486" i="4"/>
  <c r="S2112" i="4"/>
  <c r="I498" i="4"/>
  <c r="S2122" i="4"/>
  <c r="I1454" i="1"/>
  <c r="BA2385" i="1"/>
  <c r="BA2402" i="1"/>
  <c r="J1461" i="1"/>
  <c r="J1454" i="1"/>
  <c r="AZ2375" i="1"/>
  <c r="AZ2380" i="1"/>
  <c r="AJ2377" i="1"/>
  <c r="AJ2382" i="1"/>
  <c r="I1274" i="4"/>
  <c r="AV2111" i="4"/>
  <c r="BD2389" i="1"/>
  <c r="BD2406" i="1"/>
  <c r="J1546" i="1"/>
  <c r="J1539" i="1"/>
  <c r="I1539" i="1"/>
  <c r="AX2374" i="1"/>
  <c r="AX2379" i="1"/>
  <c r="J440" i="4"/>
  <c r="I430" i="4"/>
  <c r="Q2112" i="4"/>
  <c r="I442" i="4"/>
  <c r="I429" i="4"/>
  <c r="Q2111" i="4"/>
  <c r="Q2122" i="4"/>
  <c r="J980" i="2"/>
  <c r="I353" i="2"/>
  <c r="N2180" i="2"/>
  <c r="I354" i="2"/>
  <c r="N2181" i="2"/>
  <c r="I355" i="2"/>
  <c r="N2182" i="2"/>
  <c r="I357" i="2"/>
  <c r="N2184" i="2"/>
  <c r="J365" i="2"/>
  <c r="I367" i="2"/>
  <c r="N2192" i="2"/>
  <c r="AY2375" i="1"/>
  <c r="AY2380" i="1"/>
  <c r="J1470" i="4"/>
  <c r="BC2118" i="4"/>
  <c r="BC2135" i="4"/>
  <c r="I1456" i="2"/>
  <c r="BA2183" i="2"/>
  <c r="J1724" i="1"/>
  <c r="J1686" i="3"/>
  <c r="J1682" i="3"/>
  <c r="J1684" i="3"/>
  <c r="I1752" i="1"/>
  <c r="BL2379" i="1"/>
  <c r="J1759" i="1"/>
  <c r="J1752" i="1"/>
  <c r="BL2386" i="1"/>
  <c r="BL2403" i="1"/>
  <c r="I1820" i="1"/>
  <c r="I1821" i="1"/>
  <c r="BN2392" i="1"/>
  <c r="J1819" i="1"/>
  <c r="BT2387" i="1"/>
  <c r="BT2404" i="1"/>
  <c r="I1969" i="1"/>
  <c r="BT2380" i="1"/>
  <c r="J1976" i="1"/>
  <c r="J1969" i="1"/>
  <c r="J473" i="6"/>
  <c r="J1734" i="2"/>
  <c r="J1685" i="4"/>
  <c r="BK2117" i="4"/>
  <c r="BK2134" i="4"/>
  <c r="I1690" i="4"/>
  <c r="I1678" i="4"/>
  <c r="BK2110" i="4"/>
  <c r="J1932" i="3"/>
  <c r="BS2283" i="3"/>
  <c r="BS2299" i="3"/>
  <c r="I1937" i="3"/>
  <c r="I1925" i="3"/>
  <c r="BS2276" i="3"/>
  <c r="AV1647" i="5"/>
  <c r="AV1664" i="5"/>
  <c r="J1269" i="5"/>
  <c r="BP2189" i="2"/>
  <c r="BP2206" i="2"/>
  <c r="J1882" i="2"/>
  <c r="BB1646" i="5"/>
  <c r="BB1663" i="5"/>
  <c r="I1423" i="5"/>
  <c r="BB1639" i="5"/>
  <c r="J1430" i="5"/>
  <c r="CB2388" i="1"/>
  <c r="CB2405" i="1"/>
  <c r="J2193" i="1"/>
  <c r="J2186" i="1"/>
  <c r="I2186" i="1"/>
  <c r="CB2381" i="1"/>
  <c r="I1986" i="2"/>
  <c r="BT2181" i="2"/>
  <c r="AB884" i="6"/>
  <c r="AB900" i="6"/>
  <c r="J722" i="6"/>
  <c r="J1478" i="5"/>
  <c r="BG1644" i="5"/>
  <c r="BG1661" i="5"/>
  <c r="J1563" i="5"/>
  <c r="I1568" i="5"/>
  <c r="I1556" i="5"/>
  <c r="BG1637" i="5"/>
  <c r="J1252" i="3"/>
  <c r="J1254" i="3"/>
  <c r="J1251" i="3"/>
  <c r="P2194" i="2"/>
  <c r="I425" i="2"/>
  <c r="P2195" i="2"/>
  <c r="J1333" i="3"/>
  <c r="J1332" i="3"/>
  <c r="J1331" i="3"/>
  <c r="J1335" i="3"/>
  <c r="J1075" i="3"/>
  <c r="AM2290" i="3"/>
  <c r="I1076" i="3"/>
  <c r="I1077" i="3"/>
  <c r="J748" i="3"/>
  <c r="I749" i="3"/>
  <c r="I750" i="3"/>
  <c r="AA2290" i="3"/>
  <c r="J325" i="2"/>
  <c r="J328" i="2"/>
  <c r="J339" i="2"/>
  <c r="J340" i="2"/>
  <c r="J326" i="2"/>
  <c r="J327" i="2"/>
  <c r="CA2132" i="4"/>
  <c r="CB2132" i="4"/>
  <c r="E882" i="6"/>
  <c r="E898" i="6"/>
  <c r="J99" i="6"/>
  <c r="I92" i="6"/>
  <c r="E875" i="6"/>
  <c r="I689" i="1"/>
  <c r="Y2379" i="1"/>
  <c r="J696" i="1"/>
  <c r="J689" i="1"/>
  <c r="Y2386" i="1"/>
  <c r="Y2403" i="1"/>
  <c r="I327" i="1"/>
  <c r="J334" i="1"/>
  <c r="J327" i="1"/>
  <c r="AF2140" i="4"/>
  <c r="I128" i="4"/>
  <c r="F2115" i="4"/>
  <c r="I129" i="4"/>
  <c r="F2116" i="4"/>
  <c r="J139" i="4"/>
  <c r="I1321" i="1"/>
  <c r="J1328" i="1"/>
  <c r="J1321" i="1"/>
  <c r="AV2387" i="1"/>
  <c r="AV2404" i="1"/>
  <c r="AR2373" i="1"/>
  <c r="AR2378" i="1"/>
  <c r="J667" i="1"/>
  <c r="J660" i="1"/>
  <c r="X2385" i="1"/>
  <c r="X2402" i="1"/>
  <c r="I660" i="1"/>
  <c r="X2378" i="1"/>
  <c r="J447" i="1"/>
  <c r="J440" i="1"/>
  <c r="P2388" i="1"/>
  <c r="P2405" i="1"/>
  <c r="I440" i="1"/>
  <c r="AY2140" i="4"/>
  <c r="J1123" i="4"/>
  <c r="I1115" i="4"/>
  <c r="AP2114" i="4"/>
  <c r="I1113" i="4"/>
  <c r="AP2112" i="4"/>
  <c r="I1111" i="4"/>
  <c r="AP2110" i="4"/>
  <c r="I1125" i="4"/>
  <c r="AP2122" i="4"/>
  <c r="I1061" i="4"/>
  <c r="AN2114" i="4"/>
  <c r="I1059" i="4"/>
  <c r="AN2112" i="4"/>
  <c r="I1071" i="4"/>
  <c r="J1069" i="4"/>
  <c r="J1060" i="4"/>
  <c r="AN2122" i="4"/>
  <c r="I1057" i="4"/>
  <c r="AN2110" i="4"/>
  <c r="V2140" i="4"/>
  <c r="AH2210" i="2"/>
  <c r="I350" i="4"/>
  <c r="N2116" i="4"/>
  <c r="J360" i="4"/>
  <c r="I349" i="4"/>
  <c r="N2115" i="4"/>
  <c r="AZ2374" i="1"/>
  <c r="AZ2379" i="1"/>
  <c r="I513" i="4"/>
  <c r="T2111" i="4"/>
  <c r="J1597" i="1"/>
  <c r="J1590" i="1"/>
  <c r="BF2386" i="1"/>
  <c r="BF2403" i="1"/>
  <c r="BF2408" i="1"/>
  <c r="I1590" i="1"/>
  <c r="BF2379" i="1"/>
  <c r="AX2382" i="1"/>
  <c r="AX2377" i="1"/>
  <c r="AO2376" i="1"/>
  <c r="AO2381" i="1"/>
  <c r="I1169" i="4"/>
  <c r="AR2114" i="4"/>
  <c r="J1177" i="4"/>
  <c r="AR2122" i="4"/>
  <c r="I1179" i="4"/>
  <c r="I1165" i="4"/>
  <c r="AR2110" i="4"/>
  <c r="AY2187" i="2"/>
  <c r="AY2204" i="2"/>
  <c r="J1404" i="2"/>
  <c r="I1409" i="2"/>
  <c r="I1397" i="2"/>
  <c r="AY2180" i="2"/>
  <c r="BC2191" i="2"/>
  <c r="BC2208" i="2"/>
  <c r="J1520" i="2"/>
  <c r="J1679" i="1"/>
  <c r="J1672" i="1"/>
  <c r="BI2387" i="1"/>
  <c r="BI2404" i="1"/>
  <c r="I1672" i="1"/>
  <c r="BI2380" i="1"/>
  <c r="BF2284" i="3"/>
  <c r="BF2300" i="3"/>
  <c r="BI2284" i="3"/>
  <c r="BI2300" i="3"/>
  <c r="BO2284" i="3"/>
  <c r="BO2300" i="3"/>
  <c r="BP2284" i="3"/>
  <c r="BP2300" i="3"/>
  <c r="BS2284" i="3"/>
  <c r="BS2300" i="3"/>
  <c r="BU2284" i="3"/>
  <c r="BU2300" i="3"/>
  <c r="BZ2284" i="3"/>
  <c r="BZ2300" i="3"/>
  <c r="CE2284" i="3"/>
  <c r="CE2300" i="3"/>
  <c r="CF2300" i="3"/>
  <c r="CG2300" i="3"/>
  <c r="J1582" i="3"/>
  <c r="I1575" i="3"/>
  <c r="BF2277" i="3"/>
  <c r="AO1646" i="5"/>
  <c r="AO1663" i="5"/>
  <c r="J1079" i="5"/>
  <c r="O903" i="6"/>
  <c r="M883" i="6"/>
  <c r="M899" i="6"/>
  <c r="J316" i="6"/>
  <c r="J1628" i="4"/>
  <c r="BO2286" i="3"/>
  <c r="BO2302" i="3"/>
  <c r="J1827" i="3"/>
  <c r="J1852" i="3"/>
  <c r="J1736" i="2"/>
  <c r="BK2202" i="2"/>
  <c r="CA2202" i="2"/>
  <c r="CB2202" i="2"/>
  <c r="CA2179" i="2"/>
  <c r="CB2179" i="2"/>
  <c r="J1933" i="3"/>
  <c r="I1926" i="3"/>
  <c r="BS2277" i="3"/>
  <c r="J1267" i="5"/>
  <c r="AV1645" i="5"/>
  <c r="AV1662" i="5"/>
  <c r="BN2187" i="2"/>
  <c r="BN2204" i="2"/>
  <c r="J1824" i="2"/>
  <c r="I1829" i="2"/>
  <c r="I1818" i="2"/>
  <c r="BN2181" i="2"/>
  <c r="J2084" i="1"/>
  <c r="J2077" i="1"/>
  <c r="BX2387" i="1"/>
  <c r="BX2404" i="1"/>
  <c r="I2077" i="1"/>
  <c r="BX2380" i="1"/>
  <c r="I1340" i="5"/>
  <c r="AY1637" i="5"/>
  <c r="BP2119" i="4"/>
  <c r="BP2136" i="4"/>
  <c r="BP2140" i="4"/>
  <c r="J1822" i="4"/>
  <c r="I1825" i="4"/>
  <c r="I1815" i="4"/>
  <c r="BP2112" i="4"/>
  <c r="J2143" i="1"/>
  <c r="BZ2392" i="1"/>
  <c r="I2144" i="1"/>
  <c r="I2145" i="1"/>
  <c r="BQ2118" i="4"/>
  <c r="BQ2135" i="4"/>
  <c r="J1848" i="4"/>
  <c r="I2160" i="1"/>
  <c r="CA2382" i="1"/>
  <c r="CA2389" i="1"/>
  <c r="CA2406" i="1"/>
  <c r="J2167" i="1"/>
  <c r="J2160" i="1"/>
  <c r="CB2392" i="1"/>
  <c r="J2197" i="1"/>
  <c r="I2198" i="1"/>
  <c r="I2199" i="1"/>
  <c r="J1965" i="2"/>
  <c r="BS2188" i="2"/>
  <c r="BS2205" i="2"/>
  <c r="J669" i="6"/>
  <c r="Z885" i="6"/>
  <c r="Z901" i="6"/>
  <c r="BZ2283" i="3"/>
  <c r="BZ2299" i="3"/>
  <c r="J2121" i="3"/>
  <c r="I2126" i="3"/>
  <c r="I2114" i="3"/>
  <c r="BZ2276" i="3"/>
  <c r="I2251" i="1"/>
  <c r="CD2390" i="1"/>
  <c r="J2249" i="1"/>
  <c r="I2245" i="1"/>
  <c r="BX2118" i="4"/>
  <c r="BX2135" i="4"/>
  <c r="J2037" i="4"/>
  <c r="AF883" i="6"/>
  <c r="AF899" i="6"/>
  <c r="J829" i="6"/>
  <c r="I822" i="6"/>
  <c r="AF876" i="6"/>
  <c r="I1610" i="5"/>
  <c r="BI1637" i="5"/>
  <c r="BI1649" i="5"/>
  <c r="I1624" i="5"/>
  <c r="I1613" i="5"/>
  <c r="BI1640" i="5"/>
  <c r="J1622" i="5"/>
  <c r="I1611" i="5"/>
  <c r="BI1638" i="5"/>
  <c r="I1612" i="5"/>
  <c r="BI1639" i="5"/>
  <c r="AR2377" i="1"/>
  <c r="AR2382" i="1"/>
  <c r="AI1665" i="5"/>
  <c r="AO2377" i="1"/>
  <c r="AO2382" i="1"/>
  <c r="I1798" i="4"/>
  <c r="AW2375" i="1"/>
  <c r="AW2380" i="1"/>
  <c r="J213" i="4"/>
  <c r="J212" i="4"/>
  <c r="J472" i="6"/>
  <c r="J2081" i="2"/>
  <c r="J2083" i="2"/>
  <c r="J2084" i="2"/>
  <c r="BW2192" i="2"/>
  <c r="I2083" i="2"/>
  <c r="C666" i="1"/>
  <c r="C665" i="1"/>
  <c r="J1125" i="2"/>
  <c r="I1129" i="2"/>
  <c r="I1119" i="2"/>
  <c r="AO2182" i="2"/>
  <c r="AO2188" i="2"/>
  <c r="AO2205" i="2"/>
  <c r="AO2210" i="2"/>
  <c r="I1118" i="2"/>
  <c r="AO2181" i="2"/>
  <c r="E1135" i="1"/>
  <c r="E1134" i="1"/>
  <c r="E331" i="1"/>
  <c r="E330" i="1"/>
  <c r="J235" i="4"/>
  <c r="E1553" i="3"/>
  <c r="E1552" i="3"/>
  <c r="AE2380" i="1"/>
  <c r="AE2375" i="1"/>
  <c r="C694" i="1"/>
  <c r="C693" i="1"/>
  <c r="C1553" i="3"/>
  <c r="C1552" i="3"/>
  <c r="S2305" i="3"/>
  <c r="CF2304" i="3"/>
  <c r="CG2304" i="3"/>
  <c r="D1633" i="3"/>
  <c r="D1634" i="3"/>
  <c r="I1673" i="1"/>
  <c r="BI2381" i="1"/>
  <c r="BI2388" i="1"/>
  <c r="BI2405" i="1"/>
  <c r="J1680" i="1"/>
  <c r="J1673" i="1"/>
  <c r="E995" i="5"/>
  <c r="E994" i="5"/>
  <c r="J207" i="6"/>
  <c r="J200" i="6"/>
  <c r="I882" i="6"/>
  <c r="I898" i="6"/>
  <c r="I200" i="6"/>
  <c r="I875" i="6"/>
  <c r="B994" i="5"/>
  <c r="B995" i="5"/>
  <c r="B1580" i="3"/>
  <c r="B1579" i="3"/>
  <c r="BB2120" i="4"/>
  <c r="BB2137" i="4"/>
  <c r="J1445" i="4"/>
  <c r="J1438" i="4"/>
  <c r="I1438" i="4"/>
  <c r="BB2113" i="4"/>
  <c r="I241" i="6"/>
  <c r="I242" i="6"/>
  <c r="J889" i="6"/>
  <c r="J888" i="6"/>
  <c r="E1515" i="2"/>
  <c r="E1514" i="2"/>
  <c r="AO1647" i="5"/>
  <c r="AO1664" i="5"/>
  <c r="J1080" i="5"/>
  <c r="I1862" i="1"/>
  <c r="BP2381" i="1"/>
  <c r="BP2388" i="1"/>
  <c r="BP2405" i="1"/>
  <c r="J1869" i="1"/>
  <c r="J1862" i="1"/>
  <c r="D366" i="6"/>
  <c r="D367" i="6"/>
  <c r="G1075" i="5"/>
  <c r="G1076" i="5"/>
  <c r="M882" i="6"/>
  <c r="M898" i="6"/>
  <c r="J315" i="6"/>
  <c r="BG2196" i="2"/>
  <c r="I1627" i="2"/>
  <c r="BG2186" i="2"/>
  <c r="I1626" i="2"/>
  <c r="BG2185" i="2"/>
  <c r="J1637" i="2"/>
  <c r="BT2392" i="1"/>
  <c r="I1982" i="1"/>
  <c r="J1981" i="1"/>
  <c r="I1983" i="1"/>
  <c r="F1973" i="1"/>
  <c r="F1972" i="1"/>
  <c r="C1823" i="3"/>
  <c r="C1822" i="3"/>
  <c r="F1210" i="5"/>
  <c r="F1211" i="5"/>
  <c r="BQ2283" i="3"/>
  <c r="BQ2299" i="3"/>
  <c r="J1878" i="3"/>
  <c r="I1883" i="3"/>
  <c r="I1871" i="3"/>
  <c r="BQ2276" i="3"/>
  <c r="J471" i="6"/>
  <c r="J446" i="6"/>
  <c r="E1264" i="5"/>
  <c r="E1265" i="5"/>
  <c r="BV2389" i="1"/>
  <c r="BV2406" i="1"/>
  <c r="I2025" i="1"/>
  <c r="BV2382" i="1"/>
  <c r="J2032" i="1"/>
  <c r="J2025" i="1"/>
  <c r="E1794" i="2"/>
  <c r="E1795" i="2"/>
  <c r="AV1648" i="5"/>
  <c r="AV1665" i="5"/>
  <c r="J1270" i="5"/>
  <c r="G2027" i="1"/>
  <c r="G2026" i="1"/>
  <c r="U886" i="6"/>
  <c r="J535" i="6"/>
  <c r="J537" i="6"/>
  <c r="J538" i="6"/>
  <c r="I537" i="6"/>
  <c r="BN2191" i="2"/>
  <c r="BN2208" i="2"/>
  <c r="J1828" i="2"/>
  <c r="C1765" i="4"/>
  <c r="C1764" i="4"/>
  <c r="J1793" i="2"/>
  <c r="J2056" i="1"/>
  <c r="J2049" i="1"/>
  <c r="BW2386" i="1"/>
  <c r="BW2403" i="1"/>
  <c r="I2049" i="1"/>
  <c r="BW2379" i="1"/>
  <c r="B1791" i="4"/>
  <c r="B1792" i="4"/>
  <c r="J560" i="6"/>
  <c r="V884" i="6"/>
  <c r="V900" i="6"/>
  <c r="F610" i="6"/>
  <c r="F609" i="6"/>
  <c r="H1846" i="4"/>
  <c r="H1845" i="4"/>
  <c r="B1845" i="4"/>
  <c r="B1846" i="4"/>
  <c r="J2191" i="1"/>
  <c r="J2184" i="1"/>
  <c r="I2184" i="1"/>
  <c r="CB2379" i="1"/>
  <c r="CB2386" i="1"/>
  <c r="CB2403" i="1"/>
  <c r="H1990" i="2"/>
  <c r="H1991" i="2"/>
  <c r="J2122" i="3"/>
  <c r="I2115" i="3"/>
  <c r="BZ2277" i="3"/>
  <c r="F718" i="6"/>
  <c r="F717" i="6"/>
  <c r="B1480" i="5"/>
  <c r="B1481" i="5"/>
  <c r="J1476" i="5"/>
  <c r="C2243" i="1"/>
  <c r="C2242" i="1"/>
  <c r="J322" i="3"/>
  <c r="J321" i="3"/>
  <c r="J320" i="3"/>
  <c r="J324" i="3"/>
  <c r="J334" i="3"/>
  <c r="M2290" i="3"/>
  <c r="I335" i="3"/>
  <c r="I336" i="3"/>
  <c r="I196" i="2"/>
  <c r="H2195" i="2"/>
  <c r="H2194" i="2"/>
  <c r="J181" i="2"/>
  <c r="J184" i="2"/>
  <c r="J182" i="2"/>
  <c r="J195" i="2"/>
  <c r="J196" i="2"/>
  <c r="J183" i="2"/>
  <c r="J1119" i="3"/>
  <c r="J1117" i="3"/>
  <c r="J1115" i="3"/>
  <c r="J1116" i="3"/>
  <c r="I1076" i="1"/>
  <c r="J1083" i="1"/>
  <c r="J1076" i="1"/>
  <c r="AM2386" i="1"/>
  <c r="AM2403" i="1"/>
  <c r="W2389" i="1"/>
  <c r="W2406" i="1"/>
  <c r="J643" i="1"/>
  <c r="J636" i="1"/>
  <c r="I636" i="1"/>
  <c r="W2382" i="1"/>
  <c r="N2387" i="1"/>
  <c r="N2404" i="1"/>
  <c r="J390" i="1"/>
  <c r="J383" i="1"/>
  <c r="I383" i="1"/>
  <c r="C765" i="4"/>
  <c r="C766" i="4"/>
  <c r="I1658" i="1"/>
  <c r="I1659" i="1"/>
  <c r="BH2392" i="1"/>
  <c r="J1657" i="1"/>
  <c r="J154" i="6"/>
  <c r="G883" i="6"/>
  <c r="G899" i="6"/>
  <c r="AV2377" i="1"/>
  <c r="AV2382" i="1"/>
  <c r="I1212" i="1"/>
  <c r="AR2387" i="1"/>
  <c r="AR2404" i="1"/>
  <c r="J1219" i="1"/>
  <c r="J1212" i="1"/>
  <c r="J307" i="1"/>
  <c r="J300" i="1"/>
  <c r="L2388" i="1"/>
  <c r="I300" i="1"/>
  <c r="J654" i="4"/>
  <c r="J468" i="4"/>
  <c r="I470" i="4"/>
  <c r="R2122" i="4"/>
  <c r="I459" i="4"/>
  <c r="R2113" i="4"/>
  <c r="I456" i="4"/>
  <c r="R2110" i="4"/>
  <c r="G2134" i="4"/>
  <c r="AE2191" i="2"/>
  <c r="AE2208" i="2"/>
  <c r="AE2210" i="2"/>
  <c r="J848" i="2"/>
  <c r="AZ2121" i="4"/>
  <c r="AZ2138" i="4"/>
  <c r="J1392" i="4"/>
  <c r="G1513" i="1"/>
  <c r="G1514" i="1"/>
  <c r="BA2379" i="1"/>
  <c r="BA2374" i="1"/>
  <c r="AZ2376" i="1"/>
  <c r="AZ2381" i="1"/>
  <c r="AJ2374" i="1"/>
  <c r="AJ2379" i="1"/>
  <c r="AO2122" i="4"/>
  <c r="I1086" i="4"/>
  <c r="AO2112" i="4"/>
  <c r="I1084" i="4"/>
  <c r="AO2110" i="4"/>
  <c r="J1096" i="4"/>
  <c r="I1098" i="4"/>
  <c r="B517" i="4"/>
  <c r="B518" i="4"/>
  <c r="I528" i="4"/>
  <c r="J1435" i="2"/>
  <c r="I1428" i="2"/>
  <c r="AZ2183" i="2"/>
  <c r="AZ2190" i="2"/>
  <c r="AZ2207" i="2"/>
  <c r="B1541" i="1"/>
  <c r="B1540" i="1"/>
  <c r="F1352" i="1"/>
  <c r="F1351" i="1"/>
  <c r="C1135" i="1"/>
  <c r="C1134" i="1"/>
  <c r="AK2408" i="1"/>
  <c r="E151" i="6"/>
  <c r="E150" i="6"/>
  <c r="G1441" i="4"/>
  <c r="G1440" i="4"/>
  <c r="BC2190" i="2"/>
  <c r="BC2207" i="2"/>
  <c r="J1519" i="2"/>
  <c r="C1756" i="1"/>
  <c r="C1757" i="1"/>
  <c r="J1558" i="3"/>
  <c r="BE2287" i="3"/>
  <c r="G941" i="5"/>
  <c r="G940" i="5"/>
  <c r="V2290" i="3"/>
  <c r="I580" i="3"/>
  <c r="I581" i="3"/>
  <c r="J579" i="3"/>
  <c r="I885" i="6"/>
  <c r="I901" i="6"/>
  <c r="J210" i="6"/>
  <c r="J203" i="6"/>
  <c r="I203" i="6"/>
  <c r="I878" i="6"/>
  <c r="D1467" i="4"/>
  <c r="D1468" i="4"/>
  <c r="C1661" i="3"/>
  <c r="C1660" i="3"/>
  <c r="E941" i="5"/>
  <c r="E940" i="5"/>
  <c r="J1814" i="1"/>
  <c r="J1807" i="1"/>
  <c r="BN2387" i="1"/>
  <c r="BN2404" i="1"/>
  <c r="I1807" i="1"/>
  <c r="BN2380" i="1"/>
  <c r="J1081" i="5"/>
  <c r="AO1648" i="5"/>
  <c r="AO1665" i="5"/>
  <c r="D312" i="6"/>
  <c r="D313" i="6"/>
  <c r="I349" i="6"/>
  <c r="N889" i="6"/>
  <c r="N888" i="6"/>
  <c r="I350" i="6"/>
  <c r="G1130" i="5"/>
  <c r="G1129" i="5"/>
  <c r="H1710" i="2"/>
  <c r="H1711" i="2"/>
  <c r="J1212" i="5"/>
  <c r="AT1644" i="5"/>
  <c r="AT1661" i="5"/>
  <c r="I1217" i="5"/>
  <c r="I1205" i="5"/>
  <c r="AT1637" i="5"/>
  <c r="AS1648" i="5"/>
  <c r="AS1665" i="5"/>
  <c r="J1189" i="5"/>
  <c r="D1972" i="1"/>
  <c r="D1973" i="1"/>
  <c r="B1711" i="2"/>
  <c r="B1710" i="2"/>
  <c r="C421" i="6"/>
  <c r="C420" i="6"/>
  <c r="BR2389" i="1"/>
  <c r="BR2406" i="1"/>
  <c r="I1917" i="1"/>
  <c r="BR2382" i="1"/>
  <c r="J1924" i="1"/>
  <c r="J1917" i="1"/>
  <c r="D1822" i="2"/>
  <c r="D1823" i="2"/>
  <c r="B1930" i="3"/>
  <c r="B1931" i="3"/>
  <c r="H528" i="6"/>
  <c r="H529" i="6"/>
  <c r="BW2394" i="1"/>
  <c r="J2064" i="1"/>
  <c r="I2053" i="1"/>
  <c r="BW2383" i="1"/>
  <c r="I2054" i="1"/>
  <c r="BW2384" i="1"/>
  <c r="C1999" i="1"/>
  <c r="C2000" i="1"/>
  <c r="G1264" i="5"/>
  <c r="G1265" i="5"/>
  <c r="BN2190" i="2"/>
  <c r="BN2207" i="2"/>
  <c r="J1827" i="2"/>
  <c r="I1820" i="2"/>
  <c r="BN2183" i="2"/>
  <c r="C1823" i="2"/>
  <c r="C1822" i="2"/>
  <c r="G529" i="6"/>
  <c r="G528" i="6"/>
  <c r="J557" i="6"/>
  <c r="V881" i="6"/>
  <c r="V897" i="6"/>
  <c r="I562" i="6"/>
  <c r="I2078" i="1"/>
  <c r="BX2381" i="1"/>
  <c r="J2085" i="1"/>
  <c r="J2078" i="1"/>
  <c r="BX2388" i="1"/>
  <c r="BX2405" i="1"/>
  <c r="F1957" i="3"/>
  <c r="F1958" i="3"/>
  <c r="J2033" i="3"/>
  <c r="G609" i="6"/>
  <c r="G610" i="6"/>
  <c r="J2037" i="3"/>
  <c r="B1427" i="5"/>
  <c r="B1426" i="5"/>
  <c r="D663" i="6"/>
  <c r="D664" i="6"/>
  <c r="CB2389" i="1"/>
  <c r="CB2406" i="1"/>
  <c r="J2194" i="1"/>
  <c r="J2187" i="1"/>
  <c r="I2187" i="1"/>
  <c r="CB2382" i="1"/>
  <c r="I1969" i="2"/>
  <c r="I1960" i="2"/>
  <c r="BS2183" i="2"/>
  <c r="BS2187" i="2"/>
  <c r="BS2204" i="2"/>
  <c r="J1964" i="2"/>
  <c r="E2161" i="1"/>
  <c r="E2162" i="1"/>
  <c r="E1426" i="5"/>
  <c r="E1427" i="5"/>
  <c r="C1954" i="4"/>
  <c r="C1953" i="4"/>
  <c r="D798" i="6"/>
  <c r="D799" i="6"/>
  <c r="BH1646" i="5"/>
  <c r="BH1663" i="5"/>
  <c r="BH1648" i="5"/>
  <c r="BH1665" i="5"/>
  <c r="BH1667" i="5"/>
  <c r="J1592" i="5"/>
  <c r="C2158" i="2"/>
  <c r="C2159" i="2"/>
  <c r="J2068" i="4"/>
  <c r="BY2122" i="4"/>
  <c r="I2056" i="4"/>
  <c r="BY2110" i="4"/>
  <c r="I2070" i="4"/>
  <c r="J428" i="5"/>
  <c r="J427" i="5"/>
  <c r="J555" i="1"/>
  <c r="J554" i="1"/>
  <c r="J1200" i="3"/>
  <c r="J1198" i="3"/>
  <c r="J1199" i="3"/>
  <c r="AS2290" i="3"/>
  <c r="I1238" i="3"/>
  <c r="I1239" i="3"/>
  <c r="J1237" i="3"/>
  <c r="F1134" i="1"/>
  <c r="F1135" i="1"/>
  <c r="I692" i="1"/>
  <c r="Y2382" i="1"/>
  <c r="Y2389" i="1"/>
  <c r="Y2406" i="1"/>
  <c r="J699" i="1"/>
  <c r="J692" i="1"/>
  <c r="I213" i="1"/>
  <c r="I2388" i="1"/>
  <c r="J220" i="1"/>
  <c r="J213" i="1"/>
  <c r="I737" i="4"/>
  <c r="AB2114" i="4"/>
  <c r="I733" i="4"/>
  <c r="AB2110" i="4"/>
  <c r="J745" i="4"/>
  <c r="I736" i="4"/>
  <c r="AB2113" i="4"/>
  <c r="AB2122" i="4"/>
  <c r="I747" i="4"/>
  <c r="C602" i="4"/>
  <c r="C601" i="4"/>
  <c r="I612" i="4"/>
  <c r="J1650" i="1"/>
  <c r="J1643" i="1"/>
  <c r="BH2385" i="1"/>
  <c r="BH2402" i="1"/>
  <c r="I1643" i="1"/>
  <c r="BH2378" i="1"/>
  <c r="E1387" i="4"/>
  <c r="E1386" i="4"/>
  <c r="AR2386" i="1"/>
  <c r="AR2403" i="1"/>
  <c r="J1218" i="1"/>
  <c r="J1211" i="1"/>
  <c r="I1211" i="1"/>
  <c r="F1081" i="1"/>
  <c r="F1080" i="1"/>
  <c r="E387" i="1"/>
  <c r="E386" i="1"/>
  <c r="J1114" i="4"/>
  <c r="AM2121" i="4"/>
  <c r="AM2138" i="4"/>
  <c r="J1041" i="4"/>
  <c r="J1034" i="4"/>
  <c r="I1034" i="4"/>
  <c r="AM2114" i="4"/>
  <c r="I458" i="4"/>
  <c r="R2112" i="4"/>
  <c r="C239" i="4"/>
  <c r="C240" i="4"/>
  <c r="I250" i="4"/>
  <c r="J507" i="2"/>
  <c r="S2190" i="2"/>
  <c r="AT2377" i="1"/>
  <c r="AT2382" i="1"/>
  <c r="AJ2378" i="1"/>
  <c r="AJ2373" i="1"/>
  <c r="I627" i="4"/>
  <c r="X2113" i="4"/>
  <c r="X2122" i="4"/>
  <c r="I628" i="4"/>
  <c r="X2114" i="4"/>
  <c r="I638" i="4"/>
  <c r="I624" i="4"/>
  <c r="X2110" i="4"/>
  <c r="J636" i="4"/>
  <c r="F1649" i="1"/>
  <c r="F1648" i="1"/>
  <c r="AI1664" i="5"/>
  <c r="J72" i="6"/>
  <c r="J65" i="6"/>
  <c r="D882" i="6"/>
  <c r="D898" i="6"/>
  <c r="I65" i="6"/>
  <c r="D875" i="6"/>
  <c r="BC2408" i="1"/>
  <c r="AW2377" i="1"/>
  <c r="AW2382" i="1"/>
  <c r="J1168" i="4"/>
  <c r="Q2140" i="4"/>
  <c r="I330" i="4"/>
  <c r="I331" i="4"/>
  <c r="I318" i="4"/>
  <c r="M2112" i="4"/>
  <c r="J328" i="4"/>
  <c r="J320" i="4"/>
  <c r="M2122" i="4"/>
  <c r="M2124" i="4"/>
  <c r="I54" i="5"/>
  <c r="C1652" i="5"/>
  <c r="C1651" i="5"/>
  <c r="AJ1646" i="5"/>
  <c r="AJ1663" i="5"/>
  <c r="J944" i="5"/>
  <c r="I937" i="5"/>
  <c r="AJ1639" i="5"/>
  <c r="BC2189" i="2"/>
  <c r="BC2206" i="2"/>
  <c r="J1518" i="2"/>
  <c r="BI2283" i="3"/>
  <c r="BI2299" i="3"/>
  <c r="I1667" i="3"/>
  <c r="I1655" i="3"/>
  <c r="BI2276" i="3"/>
  <c r="J1662" i="3"/>
  <c r="I1640" i="3"/>
  <c r="BH2283" i="3"/>
  <c r="BH2299" i="3"/>
  <c r="J1635" i="3"/>
  <c r="I1628" i="3"/>
  <c r="BH2276" i="3"/>
  <c r="J1726" i="1"/>
  <c r="J1696" i="3"/>
  <c r="I1697" i="3"/>
  <c r="I1698" i="3"/>
  <c r="BJ2290" i="3"/>
  <c r="B16" i="11"/>
  <c r="B15" i="11"/>
  <c r="BK2286" i="3"/>
  <c r="BK2302" i="3"/>
  <c r="J1719" i="3"/>
  <c r="D1549" i="4"/>
  <c r="D1548" i="4"/>
  <c r="C1811" i="1"/>
  <c r="C1810" i="1"/>
  <c r="C1715" i="3"/>
  <c r="C1714" i="3"/>
  <c r="B1598" i="2"/>
  <c r="B1599" i="2"/>
  <c r="B1549" i="4"/>
  <c r="B1548" i="4"/>
  <c r="H1075" i="5"/>
  <c r="H1076" i="5"/>
  <c r="E1715" i="3"/>
  <c r="E1714" i="3"/>
  <c r="AQ1649" i="5"/>
  <c r="J1136" i="5"/>
  <c r="J1138" i="5"/>
  <c r="J1139" i="5"/>
  <c r="I1138" i="5"/>
  <c r="G1684" i="4"/>
  <c r="G1683" i="4"/>
  <c r="G448" i="6"/>
  <c r="G447" i="6"/>
  <c r="J419" i="6"/>
  <c r="G1184" i="5"/>
  <c r="G1183" i="5"/>
  <c r="G1850" i="3"/>
  <c r="G1849" i="3"/>
  <c r="G1211" i="5"/>
  <c r="G1210" i="5"/>
  <c r="J1241" i="5"/>
  <c r="I1234" i="5"/>
  <c r="AU1639" i="5"/>
  <c r="AU1646" i="5"/>
  <c r="AU1663" i="5"/>
  <c r="BJ2190" i="2"/>
  <c r="BJ2207" i="2"/>
  <c r="J1715" i="2"/>
  <c r="I1708" i="2"/>
  <c r="BJ2183" i="2"/>
  <c r="H1210" i="5"/>
  <c r="H1211" i="5"/>
  <c r="D1876" i="3"/>
  <c r="D1877" i="3"/>
  <c r="G1237" i="5"/>
  <c r="G1238" i="5"/>
  <c r="B2026" i="1"/>
  <c r="B2027" i="1"/>
  <c r="BU2389" i="1"/>
  <c r="BU2406" i="1"/>
  <c r="I1998" i="1"/>
  <c r="BU2382" i="1"/>
  <c r="J2005" i="1"/>
  <c r="J1998" i="1"/>
  <c r="J524" i="6"/>
  <c r="J504" i="6"/>
  <c r="T882" i="6"/>
  <c r="T898" i="6"/>
  <c r="AX1648" i="5"/>
  <c r="AX1665" i="5"/>
  <c r="J1324" i="5"/>
  <c r="I1317" i="5"/>
  <c r="AX1641" i="5"/>
  <c r="F1879" i="2"/>
  <c r="F1878" i="2"/>
  <c r="H1791" i="4"/>
  <c r="H1792" i="4"/>
  <c r="C1934" i="2"/>
  <c r="C1935" i="2"/>
  <c r="BB1645" i="5"/>
  <c r="BB1662" i="5"/>
  <c r="I1422" i="5"/>
  <c r="BB1638" i="5"/>
  <c r="J1429" i="5"/>
  <c r="C1427" i="5"/>
  <c r="C1426" i="5"/>
  <c r="CB2387" i="1"/>
  <c r="CB2404" i="1"/>
  <c r="I2185" i="1"/>
  <c r="CB2380" i="1"/>
  <c r="J2192" i="1"/>
  <c r="J2185" i="1"/>
  <c r="D2162" i="1"/>
  <c r="D2161" i="1"/>
  <c r="B718" i="6"/>
  <c r="B717" i="6"/>
  <c r="G718" i="6"/>
  <c r="G717" i="6"/>
  <c r="G2103" i="2"/>
  <c r="G2102" i="2"/>
  <c r="I2129" i="2"/>
  <c r="BY2184" i="2"/>
  <c r="BY2192" i="2"/>
  <c r="I2127" i="2"/>
  <c r="BY2182" i="2"/>
  <c r="I2125" i="2"/>
  <c r="BY2180" i="2"/>
  <c r="I2126" i="2"/>
  <c r="BY2181" i="2"/>
  <c r="I2139" i="2"/>
  <c r="J2137" i="2"/>
  <c r="J1156" i="3"/>
  <c r="I1157" i="3"/>
  <c r="I1158" i="3"/>
  <c r="AP2290" i="3"/>
  <c r="I2290" i="3"/>
  <c r="I222" i="3"/>
  <c r="J221" i="3"/>
  <c r="J983" i="3"/>
  <c r="I665" i="3"/>
  <c r="I666" i="3"/>
  <c r="X2290" i="3"/>
  <c r="J664" i="3"/>
  <c r="I647" i="1"/>
  <c r="I648" i="1"/>
  <c r="J646" i="1"/>
  <c r="W2392" i="1"/>
  <c r="G1081" i="1"/>
  <c r="G1080" i="1"/>
  <c r="B637" i="1"/>
  <c r="B638" i="1"/>
  <c r="I735" i="4"/>
  <c r="AB2112" i="4"/>
  <c r="C150" i="6"/>
  <c r="C151" i="6"/>
  <c r="D1540" i="1"/>
  <c r="D1541" i="1"/>
  <c r="AR2408" i="1"/>
  <c r="D1188" i="1"/>
  <c r="D1189" i="1"/>
  <c r="I438" i="1"/>
  <c r="P2386" i="1"/>
  <c r="P2403" i="1"/>
  <c r="J445" i="1"/>
  <c r="J438" i="1"/>
  <c r="L102" i="1"/>
  <c r="L97" i="1"/>
  <c r="AP2140" i="4"/>
  <c r="AN2140" i="4"/>
  <c r="AE2140" i="4"/>
  <c r="J772" i="4"/>
  <c r="J761" i="4"/>
  <c r="I763" i="4"/>
  <c r="AC2113" i="4"/>
  <c r="I774" i="4"/>
  <c r="AC2122" i="4"/>
  <c r="B461" i="4"/>
  <c r="B462" i="4"/>
  <c r="I472" i="4"/>
  <c r="J243" i="4"/>
  <c r="J236" i="4"/>
  <c r="J2119" i="4"/>
  <c r="J2136" i="4"/>
  <c r="I236" i="4"/>
  <c r="J2112" i="4"/>
  <c r="E1122" i="2"/>
  <c r="E1123" i="2"/>
  <c r="G1553" i="3"/>
  <c r="G1552" i="3"/>
  <c r="J1464" i="1"/>
  <c r="J1457" i="1"/>
  <c r="I1457" i="1"/>
  <c r="BA2388" i="1"/>
  <c r="BA2405" i="1"/>
  <c r="J1193" i="1"/>
  <c r="J1186" i="1"/>
  <c r="I1186" i="1"/>
  <c r="AF2376" i="1"/>
  <c r="AF2381" i="1"/>
  <c r="AD2408" i="1"/>
  <c r="I1152" i="4"/>
  <c r="AQ2122" i="4"/>
  <c r="I1142" i="4"/>
  <c r="AQ2114" i="4"/>
  <c r="J1150" i="4"/>
  <c r="J1141" i="4"/>
  <c r="I1138" i="4"/>
  <c r="AQ2110" i="4"/>
  <c r="I1140" i="4"/>
  <c r="AQ2112" i="4"/>
  <c r="F2137" i="4"/>
  <c r="H1123" i="2"/>
  <c r="H1122" i="2"/>
  <c r="BD2374" i="1"/>
  <c r="BD2379" i="1"/>
  <c r="AW2379" i="1"/>
  <c r="AW2374" i="1"/>
  <c r="D1324" i="1"/>
  <c r="D1325" i="1"/>
  <c r="G1135" i="1"/>
  <c r="G1134" i="1"/>
  <c r="G861" i="1"/>
  <c r="G862" i="1"/>
  <c r="Z2375" i="1"/>
  <c r="Z2380" i="1"/>
  <c r="J104" i="1"/>
  <c r="I109" i="1"/>
  <c r="E2385" i="1"/>
  <c r="I97" i="1"/>
  <c r="J1166" i="4"/>
  <c r="CI2407" i="1"/>
  <c r="CJ2407" i="1"/>
  <c r="R2408" i="1"/>
  <c r="B913" i="5"/>
  <c r="B914" i="5"/>
  <c r="J945" i="5"/>
  <c r="AJ1647" i="5"/>
  <c r="AJ1664" i="5"/>
  <c r="I938" i="5"/>
  <c r="AJ1640" i="5"/>
  <c r="J1516" i="2"/>
  <c r="I1521" i="2"/>
  <c r="BC2187" i="2"/>
  <c r="BC2204" i="2"/>
  <c r="D994" i="5"/>
  <c r="D995" i="5"/>
  <c r="D1757" i="1"/>
  <c r="D1756" i="1"/>
  <c r="H1675" i="1"/>
  <c r="H1676" i="1"/>
  <c r="D1459" i="2"/>
  <c r="D1458" i="2"/>
  <c r="J209" i="6"/>
  <c r="J202" i="6"/>
  <c r="I884" i="6"/>
  <c r="I900" i="6"/>
  <c r="I202" i="6"/>
  <c r="I877" i="6"/>
  <c r="H1467" i="4"/>
  <c r="H1468" i="4"/>
  <c r="BB2119" i="4"/>
  <c r="BB2136" i="4"/>
  <c r="J1444" i="4"/>
  <c r="J1437" i="4"/>
  <c r="I1437" i="4"/>
  <c r="BB2112" i="4"/>
  <c r="J1728" i="1"/>
  <c r="J1727" i="1"/>
  <c r="I883" i="6"/>
  <c r="I899" i="6"/>
  <c r="I903" i="6"/>
  <c r="J208" i="6"/>
  <c r="J201" i="6"/>
  <c r="I201" i="6"/>
  <c r="I876" i="6"/>
  <c r="BK2283" i="3"/>
  <c r="BK2299" i="3"/>
  <c r="I1721" i="3"/>
  <c r="J1716" i="3"/>
  <c r="I1863" i="1"/>
  <c r="BP2382" i="1"/>
  <c r="J1870" i="1"/>
  <c r="J1863" i="1"/>
  <c r="BP2389" i="1"/>
  <c r="BP2406" i="1"/>
  <c r="J373" i="6"/>
  <c r="J375" i="6"/>
  <c r="J376" i="6"/>
  <c r="I375" i="6"/>
  <c r="O886" i="6"/>
  <c r="G1715" i="3"/>
  <c r="G1714" i="3"/>
  <c r="J335" i="6"/>
  <c r="J1609" i="4"/>
  <c r="J1611" i="4"/>
  <c r="J1612" i="4"/>
  <c r="BH2122" i="4"/>
  <c r="I1611" i="4"/>
  <c r="E1811" i="1"/>
  <c r="E1810" i="1"/>
  <c r="C1548" i="4"/>
  <c r="C1549" i="4"/>
  <c r="G312" i="6"/>
  <c r="G313" i="6"/>
  <c r="C1683" i="4"/>
  <c r="C1684" i="4"/>
  <c r="I1967" i="1"/>
  <c r="BT2378" i="1"/>
  <c r="BT2385" i="1"/>
  <c r="BT2402" i="1"/>
  <c r="J1974" i="1"/>
  <c r="J1967" i="1"/>
  <c r="D1711" i="2"/>
  <c r="D1710" i="2"/>
  <c r="J1855" i="3"/>
  <c r="BP2287" i="3"/>
  <c r="BP2303" i="3"/>
  <c r="E1238" i="5"/>
  <c r="E1237" i="5"/>
  <c r="B1237" i="5"/>
  <c r="B1238" i="5"/>
  <c r="D475" i="6"/>
  <c r="D474" i="6"/>
  <c r="D1210" i="5"/>
  <c r="D1211" i="5"/>
  <c r="I444" i="6"/>
  <c r="R876" i="6"/>
  <c r="J451" i="6"/>
  <c r="J444" i="6"/>
  <c r="R883" i="6"/>
  <c r="R899" i="6"/>
  <c r="BS2285" i="3"/>
  <c r="BS2301" i="3"/>
  <c r="J1934" i="3"/>
  <c r="I1927" i="3"/>
  <c r="BS2278" i="3"/>
  <c r="D1765" i="4"/>
  <c r="D1764" i="4"/>
  <c r="AV1644" i="5"/>
  <c r="AV1661" i="5"/>
  <c r="AV1667" i="5"/>
  <c r="I1271" i="5"/>
  <c r="I1259" i="5"/>
  <c r="AV1637" i="5"/>
  <c r="J1266" i="5"/>
  <c r="I1263" i="5"/>
  <c r="AV1641" i="5"/>
  <c r="C1931" i="3"/>
  <c r="C1930" i="3"/>
  <c r="E502" i="6"/>
  <c r="E501" i="6"/>
  <c r="F1822" i="2"/>
  <c r="F1823" i="2"/>
  <c r="D1999" i="1"/>
  <c r="D2000" i="1"/>
  <c r="T881" i="6"/>
  <c r="T897" i="6"/>
  <c r="I508" i="6"/>
  <c r="I497" i="6"/>
  <c r="T875" i="6"/>
  <c r="J503" i="6"/>
  <c r="H1318" i="5"/>
  <c r="H1319" i="5"/>
  <c r="E1878" i="2"/>
  <c r="E1879" i="2"/>
  <c r="J1322" i="5"/>
  <c r="AX1646" i="5"/>
  <c r="AX1663" i="5"/>
  <c r="I1315" i="5"/>
  <c r="AX1639" i="5"/>
  <c r="AY1649" i="5"/>
  <c r="I1354" i="5"/>
  <c r="J1352" i="5"/>
  <c r="J1354" i="5"/>
  <c r="J1355" i="5"/>
  <c r="J613" i="6"/>
  <c r="X883" i="6"/>
  <c r="X899" i="6"/>
  <c r="J2136" i="1"/>
  <c r="J2129" i="1"/>
  <c r="BZ2385" i="1"/>
  <c r="BZ2402" i="1"/>
  <c r="I2129" i="1"/>
  <c r="BZ2378" i="1"/>
  <c r="J636" i="6"/>
  <c r="J637" i="6"/>
  <c r="CA2385" i="1"/>
  <c r="CA2402" i="1"/>
  <c r="I2156" i="1"/>
  <c r="CA2378" i="1"/>
  <c r="J2163" i="1"/>
  <c r="J2156" i="1"/>
  <c r="E1963" i="2"/>
  <c r="E1962" i="2"/>
  <c r="J1401" i="5"/>
  <c r="I1406" i="5"/>
  <c r="I1394" i="5"/>
  <c r="BA1637" i="5"/>
  <c r="BA1644" i="5"/>
  <c r="BA1661" i="5"/>
  <c r="BA1667" i="5"/>
  <c r="D1427" i="5"/>
  <c r="D1426" i="5"/>
  <c r="F663" i="6"/>
  <c r="F664" i="6"/>
  <c r="AB881" i="6"/>
  <c r="AB897" i="6"/>
  <c r="J719" i="6"/>
  <c r="I724" i="6"/>
  <c r="I712" i="6"/>
  <c r="AB874" i="6"/>
  <c r="C717" i="6"/>
  <c r="C718" i="6"/>
  <c r="BU2121" i="4"/>
  <c r="BU2138" i="4"/>
  <c r="J1959" i="4"/>
  <c r="I2247" i="1"/>
  <c r="I2244" i="1"/>
  <c r="F2034" i="4"/>
  <c r="F2035" i="4"/>
  <c r="E799" i="6"/>
  <c r="E798" i="6"/>
  <c r="AE882" i="6"/>
  <c r="AE898" i="6"/>
  <c r="I805" i="6"/>
  <c r="I794" i="6"/>
  <c r="AE875" i="6"/>
  <c r="I797" i="6"/>
  <c r="AE878" i="6"/>
  <c r="J801" i="6"/>
  <c r="AE884" i="6"/>
  <c r="AE900" i="6"/>
  <c r="J803" i="6"/>
  <c r="I796" i="6"/>
  <c r="AE877" i="6"/>
  <c r="J1594" i="5"/>
  <c r="J2259" i="3"/>
  <c r="CE2286" i="3"/>
  <c r="CE2302" i="3"/>
  <c r="I2349" i="1"/>
  <c r="CH2382" i="1"/>
  <c r="J2356" i="1"/>
  <c r="J2349" i="1"/>
  <c r="CH2389" i="1"/>
  <c r="CH2406" i="1"/>
  <c r="I824" i="6"/>
  <c r="AF878" i="6"/>
  <c r="J2093" i="4"/>
  <c r="J2086" i="4"/>
  <c r="BZ2120" i="4"/>
  <c r="BZ2137" i="4"/>
  <c r="I2086" i="4"/>
  <c r="BZ2113" i="4"/>
  <c r="I184" i="4"/>
  <c r="H2115" i="4"/>
  <c r="J195" i="4"/>
  <c r="I185" i="4"/>
  <c r="H2116" i="4"/>
  <c r="AS2122" i="4"/>
  <c r="I1192" i="4"/>
  <c r="AS2110" i="4"/>
  <c r="I1206" i="4"/>
  <c r="J1204" i="4"/>
  <c r="I1196" i="4"/>
  <c r="AS2114" i="4"/>
  <c r="AR2381" i="1"/>
  <c r="AR2376" i="1"/>
  <c r="I1312" i="4"/>
  <c r="J1127" i="5"/>
  <c r="J1952" i="3"/>
  <c r="J1342" i="5"/>
  <c r="J1954" i="3"/>
  <c r="J1344" i="5"/>
  <c r="AX2122" i="4"/>
  <c r="I1331" i="4"/>
  <c r="AX2114" i="4"/>
  <c r="J1339" i="4"/>
  <c r="I1327" i="4"/>
  <c r="AX2110" i="4"/>
  <c r="I1341" i="4"/>
  <c r="I1329" i="4"/>
  <c r="AX2112" i="4"/>
  <c r="I1194" i="4"/>
  <c r="AS2112" i="4"/>
  <c r="AF2380" i="1"/>
  <c r="AF2375" i="1"/>
  <c r="P2382" i="1"/>
  <c r="P2377" i="1"/>
  <c r="J1030" i="4"/>
  <c r="J431" i="4"/>
  <c r="J1953" i="3"/>
  <c r="J1979" i="3"/>
  <c r="J2069" i="2"/>
  <c r="I526" i="6"/>
  <c r="U877" i="6"/>
  <c r="J267" i="3"/>
  <c r="J266" i="3"/>
  <c r="J265" i="3"/>
  <c r="J268" i="3"/>
  <c r="I14" i="6"/>
  <c r="B878" i="6"/>
  <c r="J22" i="6"/>
  <c r="B886" i="6"/>
  <c r="I13" i="6"/>
  <c r="B877" i="6"/>
  <c r="I10" i="6"/>
  <c r="B874" i="6"/>
  <c r="I24" i="6"/>
  <c r="I211" i="1"/>
  <c r="I2386" i="1"/>
  <c r="J218" i="1"/>
  <c r="J211" i="1"/>
  <c r="J1327" i="1"/>
  <c r="J1320" i="1"/>
  <c r="I1320" i="1"/>
  <c r="AV2386" i="1"/>
  <c r="AV2403" i="1"/>
  <c r="AV2408" i="1"/>
  <c r="J670" i="1"/>
  <c r="J663" i="1"/>
  <c r="X2388" i="1"/>
  <c r="X2405" i="1"/>
  <c r="I663" i="1"/>
  <c r="X2381" i="1"/>
  <c r="E1225" i="4"/>
  <c r="E1224" i="4"/>
  <c r="J1088" i="4"/>
  <c r="J1391" i="4"/>
  <c r="AZ2120" i="4"/>
  <c r="AZ2137" i="4"/>
  <c r="D897" i="6"/>
  <c r="E471" i="1"/>
  <c r="E470" i="1"/>
  <c r="F358" i="1"/>
  <c r="F359" i="1"/>
  <c r="BD2380" i="1"/>
  <c r="BD2375" i="1"/>
  <c r="BC2380" i="1"/>
  <c r="BC2375" i="1"/>
  <c r="B1270" i="1"/>
  <c r="B1271" i="1"/>
  <c r="F834" i="1"/>
  <c r="F833" i="1"/>
  <c r="E274" i="1"/>
  <c r="E275" i="1"/>
  <c r="J319" i="4"/>
  <c r="AL2206" i="2"/>
  <c r="BC2119" i="4"/>
  <c r="BC2136" i="4"/>
  <c r="J1471" i="4"/>
  <c r="C1515" i="2"/>
  <c r="C1514" i="2"/>
  <c r="J1765" i="1"/>
  <c r="BL2392" i="1"/>
  <c r="I1766" i="1"/>
  <c r="J1171" i="3"/>
  <c r="J1169" i="3"/>
  <c r="J1170" i="3"/>
  <c r="AJ2290" i="3"/>
  <c r="I995" i="3"/>
  <c r="I996" i="3"/>
  <c r="J994" i="3"/>
  <c r="I2194" i="2"/>
  <c r="I224" i="2"/>
  <c r="I225" i="2"/>
  <c r="I2195" i="2"/>
  <c r="J11" i="6"/>
  <c r="N2385" i="1"/>
  <c r="N2402" i="1"/>
  <c r="J388" i="1"/>
  <c r="J381" i="1"/>
  <c r="I381" i="1"/>
  <c r="I212" i="1"/>
  <c r="I2387" i="1"/>
  <c r="J219" i="1"/>
  <c r="J212" i="1"/>
  <c r="J460" i="4"/>
  <c r="J317" i="4"/>
  <c r="J1654" i="1"/>
  <c r="J1647" i="1"/>
  <c r="BH2389" i="1"/>
  <c r="BH2406" i="1"/>
  <c r="I1647" i="1"/>
  <c r="BH2382" i="1"/>
  <c r="G882" i="6"/>
  <c r="G898" i="6"/>
  <c r="J153" i="6"/>
  <c r="I1482" i="1"/>
  <c r="BB2386" i="1"/>
  <c r="BB2403" i="1"/>
  <c r="BB2388" i="1"/>
  <c r="BB2405" i="1"/>
  <c r="BB2408" i="1"/>
  <c r="J1489" i="1"/>
  <c r="J1482" i="1"/>
  <c r="AQ2373" i="1"/>
  <c r="AQ2378" i="1"/>
  <c r="I675" i="1"/>
  <c r="J674" i="1"/>
  <c r="X2392" i="1"/>
  <c r="J653" i="4"/>
  <c r="J488" i="4"/>
  <c r="J2140" i="4"/>
  <c r="J508" i="2"/>
  <c r="S2191" i="2"/>
  <c r="I509" i="2"/>
  <c r="I501" i="2"/>
  <c r="S2184" i="2"/>
  <c r="J64" i="6"/>
  <c r="BB2375" i="1"/>
  <c r="BB2380" i="1"/>
  <c r="AZ2382" i="1"/>
  <c r="AZ2377" i="1"/>
  <c r="AT2378" i="1"/>
  <c r="AT2373" i="1"/>
  <c r="AQ2382" i="1"/>
  <c r="AQ2377" i="1"/>
  <c r="AF2377" i="1"/>
  <c r="AF2382" i="1"/>
  <c r="E901" i="6"/>
  <c r="AK2382" i="1"/>
  <c r="AK2377" i="1"/>
  <c r="J1045" i="2"/>
  <c r="J1035" i="2"/>
  <c r="J809" i="2"/>
  <c r="BC2121" i="4"/>
  <c r="BC2138" i="4"/>
  <c r="J1473" i="4"/>
  <c r="I1674" i="1"/>
  <c r="BI2382" i="1"/>
  <c r="BI2389" i="1"/>
  <c r="BI2406" i="1"/>
  <c r="J1681" i="1"/>
  <c r="J1674" i="1"/>
  <c r="I1588" i="3"/>
  <c r="J1586" i="3"/>
  <c r="J1577" i="3"/>
  <c r="BF2288" i="3"/>
  <c r="J230" i="6"/>
  <c r="J228" i="6"/>
  <c r="J240" i="6"/>
  <c r="J241" i="6"/>
  <c r="J226" i="6"/>
  <c r="BN2386" i="1"/>
  <c r="BN2403" i="1"/>
  <c r="I1806" i="1"/>
  <c r="BN2379" i="1"/>
  <c r="J1813" i="1"/>
  <c r="J1806" i="1"/>
  <c r="J1125" i="5"/>
  <c r="J1717" i="2"/>
  <c r="J1719" i="2"/>
  <c r="J1720" i="2"/>
  <c r="I1719" i="2"/>
  <c r="BJ2192" i="2"/>
  <c r="I1709" i="2"/>
  <c r="BJ2184" i="2"/>
  <c r="I469" i="6"/>
  <c r="S874" i="6"/>
  <c r="J1733" i="2"/>
  <c r="J1735" i="2"/>
  <c r="J1747" i="2"/>
  <c r="J1748" i="2"/>
  <c r="BV2385" i="1"/>
  <c r="BV2402" i="1"/>
  <c r="I2021" i="1"/>
  <c r="BV2378" i="1"/>
  <c r="J2028" i="1"/>
  <c r="J2021" i="1"/>
  <c r="BU2392" i="1"/>
  <c r="J2008" i="1"/>
  <c r="I2009" i="1"/>
  <c r="J523" i="6"/>
  <c r="J2086" i="1"/>
  <c r="J2079" i="1"/>
  <c r="BX2389" i="1"/>
  <c r="BX2406" i="1"/>
  <c r="I2079" i="1"/>
  <c r="BX2382" i="1"/>
  <c r="J1915" i="2"/>
  <c r="J1916" i="2"/>
  <c r="J1902" i="2"/>
  <c r="J1903" i="2"/>
  <c r="J1884" i="2"/>
  <c r="BP2191" i="2"/>
  <c r="BP2208" i="2"/>
  <c r="I1980" i="3"/>
  <c r="BU2277" i="3"/>
  <c r="J1987" i="3"/>
  <c r="J1980" i="3"/>
  <c r="J1937" i="2"/>
  <c r="BR2188" i="2"/>
  <c r="BR2205" i="2"/>
  <c r="BR2191" i="2"/>
  <c r="BR2208" i="2"/>
  <c r="BR2210" i="2"/>
  <c r="J2170" i="1"/>
  <c r="CA2392" i="1"/>
  <c r="I2171" i="1"/>
  <c r="BS2189" i="2"/>
  <c r="BS2206" i="2"/>
  <c r="I1959" i="2"/>
  <c r="BS2182" i="2"/>
  <c r="J1966" i="2"/>
  <c r="J740" i="6"/>
  <c r="I2017" i="4"/>
  <c r="BW2125" i="4"/>
  <c r="BW2124" i="4"/>
  <c r="J2016" i="4"/>
  <c r="J2017" i="4"/>
  <c r="J2004" i="4"/>
  <c r="J2003" i="4"/>
  <c r="J2006" i="4"/>
  <c r="J2002" i="4"/>
  <c r="J2005" i="4"/>
  <c r="J2072" i="2"/>
  <c r="BX2117" i="4"/>
  <c r="BX2134" i="4"/>
  <c r="BX2140" i="4"/>
  <c r="I2041" i="4"/>
  <c r="J2036" i="4"/>
  <c r="I2305" i="3"/>
  <c r="J1034" i="2"/>
  <c r="AL2192" i="2"/>
  <c r="I1047" i="2"/>
  <c r="I1033" i="2"/>
  <c r="AL2180" i="2"/>
  <c r="J1361" i="3"/>
  <c r="J100" i="6"/>
  <c r="E883" i="6"/>
  <c r="E899" i="6"/>
  <c r="I93" i="6"/>
  <c r="E876" i="6"/>
  <c r="J160" i="1"/>
  <c r="G2386" i="1"/>
  <c r="J1231" i="4"/>
  <c r="J1222" i="4"/>
  <c r="J597" i="4"/>
  <c r="I157" i="6"/>
  <c r="I145" i="6"/>
  <c r="G874" i="6"/>
  <c r="G881" i="6"/>
  <c r="G897" i="6"/>
  <c r="G903" i="6"/>
  <c r="J152" i="6"/>
  <c r="I293" i="4"/>
  <c r="L2115" i="4"/>
  <c r="J304" i="4"/>
  <c r="I294" i="4"/>
  <c r="L2116" i="4"/>
  <c r="AV2381" i="1"/>
  <c r="AV2376" i="1"/>
  <c r="J457" i="4"/>
  <c r="S2187" i="2"/>
  <c r="J504" i="2"/>
  <c r="I497" i="2"/>
  <c r="S2180" i="2"/>
  <c r="I156" i="4"/>
  <c r="G2115" i="4"/>
  <c r="I157" i="4"/>
  <c r="G2116" i="4"/>
  <c r="J167" i="4"/>
  <c r="I1085" i="4"/>
  <c r="AO2111" i="4"/>
  <c r="J580" i="4"/>
  <c r="J570" i="4"/>
  <c r="J1036" i="2"/>
  <c r="AZ2189" i="2"/>
  <c r="AZ2206" i="2"/>
  <c r="I1427" i="2"/>
  <c r="AZ2182" i="2"/>
  <c r="J1434" i="2"/>
  <c r="AE2379" i="1"/>
  <c r="AE2374" i="1"/>
  <c r="AE2408" i="1"/>
  <c r="J432" i="4"/>
  <c r="AL2205" i="2"/>
  <c r="AL2210" i="2"/>
  <c r="J977" i="2"/>
  <c r="I1559" i="3"/>
  <c r="I1551" i="3"/>
  <c r="BE2280" i="3"/>
  <c r="J1554" i="3"/>
  <c r="I1547" i="3"/>
  <c r="BE2276" i="3"/>
  <c r="BE2283" i="3"/>
  <c r="J66" i="6"/>
  <c r="J1485" i="1"/>
  <c r="AJ1648" i="5"/>
  <c r="AJ1665" i="5"/>
  <c r="J946" i="5"/>
  <c r="I939" i="5"/>
  <c r="AJ1641" i="5"/>
  <c r="BC2120" i="4"/>
  <c r="BC2137" i="4"/>
  <c r="I1474" i="4"/>
  <c r="I1465" i="4"/>
  <c r="BC2113" i="4"/>
  <c r="J1472" i="4"/>
  <c r="I1670" i="1"/>
  <c r="BI2378" i="1"/>
  <c r="J1677" i="1"/>
  <c r="J1670" i="1"/>
  <c r="BI2385" i="1"/>
  <c r="BI2402" i="1"/>
  <c r="I1656" i="3"/>
  <c r="BI2277" i="3"/>
  <c r="J1663" i="3"/>
  <c r="BH2286" i="3"/>
  <c r="J1638" i="3"/>
  <c r="I1631" i="3"/>
  <c r="BH2279" i="3"/>
  <c r="BB2121" i="4"/>
  <c r="BB2138" i="4"/>
  <c r="J1446" i="4"/>
  <c r="J1439" i="4"/>
  <c r="I1439" i="4"/>
  <c r="BB2114" i="4"/>
  <c r="J227" i="6"/>
  <c r="C45" i="11"/>
  <c r="B61" i="11"/>
  <c r="I1569" i="2"/>
  <c r="BE2184" i="2"/>
  <c r="I1565" i="2"/>
  <c r="BE2180" i="2"/>
  <c r="BE2192" i="2"/>
  <c r="I1579" i="2"/>
  <c r="J1577" i="2"/>
  <c r="I1568" i="2"/>
  <c r="BE2183" i="2"/>
  <c r="I1567" i="2"/>
  <c r="BE2182" i="2"/>
  <c r="J1718" i="3"/>
  <c r="BK2285" i="3"/>
  <c r="BK2301" i="3"/>
  <c r="I1711" i="3"/>
  <c r="BK2278" i="3"/>
  <c r="J1078" i="5"/>
  <c r="AO1645" i="5"/>
  <c r="AO1662" i="5"/>
  <c r="BF2188" i="2"/>
  <c r="BF2205" i="2"/>
  <c r="I1594" i="2"/>
  <c r="BF2181" i="2"/>
  <c r="J1601" i="2"/>
  <c r="BF2118" i="4"/>
  <c r="BF2135" i="4"/>
  <c r="I1544" i="4"/>
  <c r="BF2111" i="4"/>
  <c r="J1551" i="4"/>
  <c r="J318" i="6"/>
  <c r="M885" i="6"/>
  <c r="M901" i="6"/>
  <c r="BI2124" i="4"/>
  <c r="I1639" i="4"/>
  <c r="BI2125" i="4"/>
  <c r="J1826" i="3"/>
  <c r="BO2285" i="3"/>
  <c r="BO2301" i="3"/>
  <c r="J1825" i="3"/>
  <c r="J1851" i="3"/>
  <c r="BP2283" i="3"/>
  <c r="BP2299" i="3"/>
  <c r="I1856" i="3"/>
  <c r="I1844" i="3"/>
  <c r="BP2276" i="3"/>
  <c r="Q883" i="6"/>
  <c r="Q899" i="6"/>
  <c r="J424" i="6"/>
  <c r="J417" i="6"/>
  <c r="I417" i="6"/>
  <c r="Q876" i="6"/>
  <c r="J1243" i="5"/>
  <c r="I1236" i="5"/>
  <c r="AU1641" i="5"/>
  <c r="AU1648" i="5"/>
  <c r="AU1665" i="5"/>
  <c r="R882" i="6"/>
  <c r="R898" i="6"/>
  <c r="R903" i="6"/>
  <c r="J450" i="6"/>
  <c r="J443" i="6"/>
  <c r="I443" i="6"/>
  <c r="R875" i="6"/>
  <c r="J2063" i="1"/>
  <c r="BW2393" i="1"/>
  <c r="BN2118" i="4"/>
  <c r="BN2135" i="4"/>
  <c r="J1767" i="4"/>
  <c r="T884" i="6"/>
  <c r="T900" i="6"/>
  <c r="J506" i="6"/>
  <c r="I499" i="6"/>
  <c r="T877" i="6"/>
  <c r="I2076" i="1"/>
  <c r="BX2379" i="1"/>
  <c r="J2083" i="1"/>
  <c r="J2076" i="1"/>
  <c r="BX2386" i="1"/>
  <c r="BX2403" i="1"/>
  <c r="BP2188" i="2"/>
  <c r="BP2205" i="2"/>
  <c r="J1881" i="2"/>
  <c r="I2051" i="1"/>
  <c r="BW2381" i="1"/>
  <c r="J2058" i="1"/>
  <c r="J2051" i="1"/>
  <c r="BW2388" i="1"/>
  <c r="BW2405" i="1"/>
  <c r="J1369" i="5"/>
  <c r="J1381" i="5"/>
  <c r="J1382" i="5"/>
  <c r="J1370" i="5"/>
  <c r="J1371" i="5"/>
  <c r="J1368" i="5"/>
  <c r="I1868" i="4"/>
  <c r="BR2111" i="4"/>
  <c r="I1869" i="4"/>
  <c r="BR2112" i="4"/>
  <c r="I1871" i="4"/>
  <c r="BR2114" i="4"/>
  <c r="J1879" i="4"/>
  <c r="J1867" i="4"/>
  <c r="BR2122" i="4"/>
  <c r="I1881" i="4"/>
  <c r="BT2191" i="2"/>
  <c r="BT2208" i="2"/>
  <c r="J1996" i="2"/>
  <c r="I1989" i="2"/>
  <c r="BT2184" i="2"/>
  <c r="I716" i="6"/>
  <c r="AB878" i="6"/>
  <c r="AB885" i="6"/>
  <c r="AB901" i="6"/>
  <c r="J723" i="6"/>
  <c r="BD1648" i="5"/>
  <c r="BD1665" i="5"/>
  <c r="J1486" i="5"/>
  <c r="J1479" i="5"/>
  <c r="I1479" i="5"/>
  <c r="BD1641" i="5"/>
  <c r="J2070" i="2"/>
  <c r="CB2297" i="3"/>
  <c r="CF2297" i="3"/>
  <c r="CG2297" i="3"/>
  <c r="CF2275" i="3"/>
  <c r="CG2275" i="3"/>
  <c r="CE2287" i="3"/>
  <c r="CE2303" i="3"/>
  <c r="J2260" i="3"/>
  <c r="CD2286" i="3"/>
  <c r="CD2302" i="3"/>
  <c r="J2232" i="3"/>
  <c r="I2234" i="3"/>
  <c r="I2225" i="3"/>
  <c r="CD2279" i="3"/>
  <c r="J2057" i="4"/>
  <c r="CE2305" i="3"/>
  <c r="I2261" i="3"/>
  <c r="J2257" i="3"/>
  <c r="I805" i="3"/>
  <c r="I806" i="3"/>
  <c r="AC2290" i="3"/>
  <c r="J804" i="3"/>
  <c r="J1227" i="3"/>
  <c r="J1224" i="3"/>
  <c r="J1223" i="3"/>
  <c r="J1225" i="3"/>
  <c r="J12" i="6"/>
  <c r="W2386" i="1"/>
  <c r="W2403" i="1"/>
  <c r="I633" i="1"/>
  <c r="W2379" i="1"/>
  <c r="J640" i="1"/>
  <c r="J633" i="1"/>
  <c r="I1223" i="4"/>
  <c r="AT2114" i="4"/>
  <c r="J1221" i="4"/>
  <c r="I1233" i="4"/>
  <c r="I1219" i="4"/>
  <c r="AT2110" i="4"/>
  <c r="AT2122" i="4"/>
  <c r="I907" i="4"/>
  <c r="I897" i="4"/>
  <c r="AH2112" i="4"/>
  <c r="I1484" i="1"/>
  <c r="J1491" i="1"/>
  <c r="J1484" i="1"/>
  <c r="S2140" i="4"/>
  <c r="I302" i="4"/>
  <c r="I303" i="4"/>
  <c r="I289" i="4"/>
  <c r="L2111" i="4"/>
  <c r="J300" i="4"/>
  <c r="J288" i="4"/>
  <c r="L2122" i="4"/>
  <c r="L2124" i="4"/>
  <c r="I290" i="4"/>
  <c r="L2112" i="4"/>
  <c r="AZ2117" i="4"/>
  <c r="AZ2134" i="4"/>
  <c r="J1388" i="4"/>
  <c r="I1393" i="4"/>
  <c r="I1381" i="4"/>
  <c r="AZ2110" i="4"/>
  <c r="BA2377" i="1"/>
  <c r="BA2382" i="1"/>
  <c r="AJ2408" i="1"/>
  <c r="AF2386" i="1"/>
  <c r="AF2403" i="1"/>
  <c r="AF2408" i="1"/>
  <c r="I885" i="1"/>
  <c r="J892" i="1"/>
  <c r="J885" i="1"/>
  <c r="J1167" i="4"/>
  <c r="I625" i="4"/>
  <c r="X2111" i="4"/>
  <c r="I538" i="2"/>
  <c r="I530" i="2"/>
  <c r="T2184" i="2"/>
  <c r="BC2373" i="1"/>
  <c r="BC2378" i="1"/>
  <c r="AT2375" i="1"/>
  <c r="AT2380" i="1"/>
  <c r="AO2380" i="1"/>
  <c r="AO2375" i="1"/>
  <c r="AE2377" i="1"/>
  <c r="AE2382" i="1"/>
  <c r="Z2376" i="1"/>
  <c r="Z2381" i="1"/>
  <c r="Z2374" i="1"/>
  <c r="Z2379" i="1"/>
  <c r="J428" i="4"/>
  <c r="M2140" i="4"/>
  <c r="I813" i="2"/>
  <c r="AD2184" i="2"/>
  <c r="J356" i="2"/>
  <c r="AP2374" i="1"/>
  <c r="AP2379" i="1"/>
  <c r="C1667" i="5"/>
  <c r="BJ1666" i="5"/>
  <c r="BK1666" i="5"/>
  <c r="AJ1645" i="5"/>
  <c r="AJ1662" i="5"/>
  <c r="J943" i="5"/>
  <c r="I936" i="5"/>
  <c r="AJ1638" i="5"/>
  <c r="I1658" i="3"/>
  <c r="BI2279" i="3"/>
  <c r="BI2286" i="3"/>
  <c r="BI2302" i="3"/>
  <c r="J1665" i="3"/>
  <c r="J1465" i="2"/>
  <c r="J1456" i="2"/>
  <c r="J998" i="5"/>
  <c r="AL1646" i="5"/>
  <c r="AL1663" i="5"/>
  <c r="BK2408" i="1"/>
  <c r="J1685" i="3"/>
  <c r="J1816" i="1"/>
  <c r="J1809" i="1"/>
  <c r="BN2389" i="1"/>
  <c r="BN2406" i="1"/>
  <c r="I1809" i="1"/>
  <c r="BN2382" i="1"/>
  <c r="BK2287" i="3"/>
  <c r="BK2303" i="3"/>
  <c r="J1720" i="3"/>
  <c r="I1713" i="3"/>
  <c r="BK2280" i="3"/>
  <c r="J1867" i="1"/>
  <c r="J1860" i="1"/>
  <c r="BP2386" i="1"/>
  <c r="BP2403" i="1"/>
  <c r="I1860" i="1"/>
  <c r="BP2379" i="1"/>
  <c r="J362" i="6"/>
  <c r="AQ1667" i="5"/>
  <c r="BP2285" i="3"/>
  <c r="BP2301" i="3"/>
  <c r="I1846" i="3"/>
  <c r="BP2278" i="3"/>
  <c r="J1853" i="3"/>
  <c r="BQ2285" i="3"/>
  <c r="BQ2301" i="3"/>
  <c r="J1880" i="3"/>
  <c r="I1873" i="3"/>
  <c r="BQ2278" i="3"/>
  <c r="Q882" i="6"/>
  <c r="Q898" i="6"/>
  <c r="I416" i="6"/>
  <c r="Q875" i="6"/>
  <c r="J423" i="6"/>
  <c r="J416" i="6"/>
  <c r="I473" i="6"/>
  <c r="S878" i="6"/>
  <c r="J442" i="6"/>
  <c r="J1826" i="2"/>
  <c r="BN2189" i="2"/>
  <c r="BN2206" i="2"/>
  <c r="I1819" i="2"/>
  <c r="BN2182" i="2"/>
  <c r="J561" i="6"/>
  <c r="I554" i="6"/>
  <c r="V878" i="6"/>
  <c r="V885" i="6"/>
  <c r="V901" i="6"/>
  <c r="X882" i="6"/>
  <c r="X898" i="6"/>
  <c r="J612" i="6"/>
  <c r="J2137" i="1"/>
  <c r="J2130" i="1"/>
  <c r="BZ2386" i="1"/>
  <c r="BZ2403" i="1"/>
  <c r="I2130" i="1"/>
  <c r="BZ2379" i="1"/>
  <c r="I1941" i="2"/>
  <c r="BS2191" i="2"/>
  <c r="BS2208" i="2"/>
  <c r="I1961" i="2"/>
  <c r="BS2184" i="2"/>
  <c r="J1968" i="2"/>
  <c r="BZ2286" i="3"/>
  <c r="BZ2302" i="3"/>
  <c r="I2117" i="3"/>
  <c r="BZ2279" i="3"/>
  <c r="J2124" i="3"/>
  <c r="J2128" i="2"/>
  <c r="AF886" i="6"/>
  <c r="I834" i="6"/>
  <c r="J832" i="6"/>
  <c r="J834" i="6"/>
  <c r="J835" i="6"/>
  <c r="AT2290" i="3"/>
  <c r="J1264" i="3"/>
  <c r="I1265" i="3"/>
  <c r="I1266" i="3"/>
  <c r="J323" i="3"/>
  <c r="J1142" i="3"/>
  <c r="J1143" i="3"/>
  <c r="J1144" i="3"/>
  <c r="J1146" i="3"/>
  <c r="J424" i="2"/>
  <c r="J425" i="2"/>
  <c r="J413" i="2"/>
  <c r="J412" i="2"/>
  <c r="J414" i="2"/>
  <c r="J411" i="2"/>
  <c r="J679" i="3"/>
  <c r="J1061" i="3"/>
  <c r="J1062" i="3"/>
  <c r="J1065" i="3"/>
  <c r="J1063" i="3"/>
  <c r="J734" i="3"/>
  <c r="J735" i="3"/>
  <c r="J738" i="3"/>
  <c r="J736" i="3"/>
  <c r="J1118" i="3"/>
  <c r="J157" i="3"/>
  <c r="J156" i="3"/>
  <c r="I188" i="1"/>
  <c r="H2384" i="1"/>
  <c r="J198" i="1"/>
  <c r="I187" i="1"/>
  <c r="H2383" i="1"/>
  <c r="J2408" i="1"/>
  <c r="I869" i="4"/>
  <c r="AG2111" i="4"/>
  <c r="I882" i="4"/>
  <c r="I870" i="4"/>
  <c r="AG2112" i="4"/>
  <c r="AG2122" i="4"/>
  <c r="J880" i="4"/>
  <c r="J871" i="4"/>
  <c r="J735" i="4"/>
  <c r="BH2387" i="1"/>
  <c r="BH2404" i="1"/>
  <c r="J1652" i="1"/>
  <c r="J1645" i="1"/>
  <c r="I1645" i="1"/>
  <c r="BH2380" i="1"/>
  <c r="AS2408" i="1"/>
  <c r="L2386" i="1"/>
  <c r="I298" i="1"/>
  <c r="J305" i="1"/>
  <c r="J298" i="1"/>
  <c r="I1112" i="4"/>
  <c r="AP2111" i="4"/>
  <c r="I1058" i="4"/>
  <c r="AN2111" i="4"/>
  <c r="I818" i="4"/>
  <c r="AE2114" i="4"/>
  <c r="I828" i="4"/>
  <c r="AE2122" i="4"/>
  <c r="J826" i="4"/>
  <c r="J816" i="4"/>
  <c r="I814" i="4"/>
  <c r="AE2110" i="4"/>
  <c r="I817" i="4"/>
  <c r="AE2113" i="4"/>
  <c r="I760" i="4"/>
  <c r="AC2110" i="4"/>
  <c r="I571" i="4"/>
  <c r="V2113" i="4"/>
  <c r="I582" i="4"/>
  <c r="V2122" i="4"/>
  <c r="I569" i="4"/>
  <c r="V2111" i="4"/>
  <c r="I572" i="4"/>
  <c r="V2114" i="4"/>
  <c r="I487" i="4"/>
  <c r="S2113" i="4"/>
  <c r="AD2378" i="1"/>
  <c r="AD2373" i="1"/>
  <c r="AQ2140" i="4"/>
  <c r="I68" i="4"/>
  <c r="D2111" i="4"/>
  <c r="J75" i="4"/>
  <c r="J68" i="4"/>
  <c r="D2118" i="4"/>
  <c r="AZ2191" i="2"/>
  <c r="AZ2208" i="2"/>
  <c r="J1436" i="2"/>
  <c r="I1429" i="2"/>
  <c r="AZ2184" i="2"/>
  <c r="AS2379" i="1"/>
  <c r="AS2374" i="1"/>
  <c r="J635" i="1"/>
  <c r="I1166" i="4"/>
  <c r="AR2111" i="4"/>
  <c r="R2392" i="1"/>
  <c r="J507" i="1"/>
  <c r="I508" i="1"/>
  <c r="I509" i="1"/>
  <c r="I1466" i="4"/>
  <c r="BC2114" i="4"/>
  <c r="BC2117" i="4"/>
  <c r="BC2134" i="4"/>
  <c r="BC2140" i="4"/>
  <c r="J1469" i="4"/>
  <c r="BH2285" i="3"/>
  <c r="BH2301" i="3"/>
  <c r="J1637" i="3"/>
  <c r="I1630" i="3"/>
  <c r="BH2278" i="3"/>
  <c r="J283" i="6"/>
  <c r="BL2387" i="1"/>
  <c r="BL2404" i="1"/>
  <c r="I1753" i="1"/>
  <c r="BL2380" i="1"/>
  <c r="J1760" i="1"/>
  <c r="J1753" i="1"/>
  <c r="J229" i="6"/>
  <c r="J365" i="6"/>
  <c r="I361" i="6"/>
  <c r="O874" i="6"/>
  <c r="BF2189" i="2"/>
  <c r="BF2206" i="2"/>
  <c r="J1602" i="2"/>
  <c r="I1595" i="2"/>
  <c r="BF2182" i="2"/>
  <c r="J1597" i="4"/>
  <c r="I1598" i="4"/>
  <c r="BH2111" i="4"/>
  <c r="BO2283" i="3"/>
  <c r="BO2299" i="3"/>
  <c r="J1824" i="3"/>
  <c r="I1829" i="3"/>
  <c r="I1819" i="3"/>
  <c r="BO2278" i="3"/>
  <c r="AT1645" i="5"/>
  <c r="AT1662" i="5"/>
  <c r="J1213" i="5"/>
  <c r="I1206" i="5"/>
  <c r="AT1638" i="5"/>
  <c r="BQ2286" i="3"/>
  <c r="BQ2302" i="3"/>
  <c r="J1881" i="3"/>
  <c r="I1874" i="3"/>
  <c r="BQ2279" i="3"/>
  <c r="J337" i="6"/>
  <c r="I1707" i="2"/>
  <c r="BJ2182" i="2"/>
  <c r="BJ2189" i="2"/>
  <c r="BJ2206" i="2"/>
  <c r="J1714" i="2"/>
  <c r="J1707" i="2"/>
  <c r="J1689" i="4"/>
  <c r="BK2121" i="4"/>
  <c r="BK2138" i="4"/>
  <c r="I1682" i="4"/>
  <c r="BK2114" i="4"/>
  <c r="BV2392" i="1"/>
  <c r="I2036" i="1"/>
  <c r="J2035" i="1"/>
  <c r="I2037" i="1"/>
  <c r="BU2386" i="1"/>
  <c r="BU2403" i="1"/>
  <c r="J2002" i="1"/>
  <c r="J1995" i="1"/>
  <c r="I1995" i="1"/>
  <c r="BU2379" i="1"/>
  <c r="U885" i="6"/>
  <c r="U901" i="6"/>
  <c r="J534" i="6"/>
  <c r="J527" i="6"/>
  <c r="I527" i="6"/>
  <c r="U878" i="6"/>
  <c r="CA2209" i="2"/>
  <c r="CB2209" i="2"/>
  <c r="CB2193" i="2"/>
  <c r="BO2189" i="2"/>
  <c r="BO2206" i="2"/>
  <c r="J1854" i="2"/>
  <c r="BX2392" i="1"/>
  <c r="I2090" i="1"/>
  <c r="J2089" i="1"/>
  <c r="AY1667" i="5"/>
  <c r="X885" i="6"/>
  <c r="X901" i="6"/>
  <c r="I616" i="6"/>
  <c r="I608" i="6"/>
  <c r="X878" i="6"/>
  <c r="J615" i="6"/>
  <c r="J1940" i="2"/>
  <c r="I1933" i="2"/>
  <c r="BR2184" i="2"/>
  <c r="BB1647" i="5"/>
  <c r="BB1664" i="5"/>
  <c r="J1431" i="5"/>
  <c r="I1424" i="5"/>
  <c r="BB1640" i="5"/>
  <c r="AB883" i="6"/>
  <c r="AB899" i="6"/>
  <c r="J721" i="6"/>
  <c r="I714" i="6"/>
  <c r="AB876" i="6"/>
  <c r="CA2290" i="3"/>
  <c r="J2155" i="3"/>
  <c r="I2156" i="3"/>
  <c r="I2157" i="3"/>
  <c r="BU2117" i="4"/>
  <c r="BU2134" i="4"/>
  <c r="BU2140" i="4"/>
  <c r="J1955" i="4"/>
  <c r="I1960" i="4"/>
  <c r="I1948" i="4"/>
  <c r="BU2110" i="4"/>
  <c r="I2246" i="1"/>
  <c r="CF2389" i="1"/>
  <c r="CF2406" i="1"/>
  <c r="CF2408" i="1"/>
  <c r="I2295" i="1"/>
  <c r="CF2382" i="1"/>
  <c r="J2302" i="1"/>
  <c r="J2295" i="1"/>
  <c r="I2060" i="4"/>
  <c r="BY2114" i="4"/>
  <c r="CD2287" i="3"/>
  <c r="CD2303" i="3"/>
  <c r="J2233" i="3"/>
  <c r="J2094" i="4"/>
  <c r="J2087" i="4"/>
  <c r="BZ2121" i="4"/>
  <c r="BZ2138" i="4"/>
  <c r="I2087" i="4"/>
  <c r="BZ2114" i="4"/>
  <c r="BZ2187" i="2"/>
  <c r="BZ2204" i="2"/>
  <c r="BZ2210" i="2"/>
  <c r="J2160" i="2"/>
  <c r="I2165" i="2"/>
  <c r="I2153" i="2"/>
  <c r="BZ2180" i="2"/>
  <c r="J1614" i="5"/>
  <c r="J824" i="6"/>
  <c r="I1221" i="4"/>
  <c r="AT2112" i="4"/>
  <c r="I321" i="4"/>
  <c r="M2115" i="4"/>
  <c r="I322" i="4"/>
  <c r="M2116" i="4"/>
  <c r="J332" i="4"/>
  <c r="AS2140" i="4"/>
  <c r="J1481" i="1"/>
  <c r="AW2140" i="4"/>
  <c r="J626" i="4"/>
  <c r="BO2140" i="4"/>
  <c r="I2226" i="3"/>
  <c r="CD2280" i="3"/>
  <c r="J1791" i="2"/>
  <c r="I1344" i="5"/>
  <c r="AY1641" i="5"/>
  <c r="J2073" i="2"/>
  <c r="I2377" i="1"/>
  <c r="I2382" i="1"/>
  <c r="J1328" i="4"/>
  <c r="AO2408" i="1"/>
  <c r="I472" i="6"/>
  <c r="S877" i="6"/>
  <c r="Q903" i="6"/>
  <c r="BU2305" i="3"/>
  <c r="BW2210" i="2"/>
  <c r="J526" i="6"/>
  <c r="I2058" i="4"/>
  <c r="BY2112" i="4"/>
  <c r="J823" i="6"/>
  <c r="J240" i="2"/>
  <c r="J239" i="2"/>
  <c r="J238" i="2"/>
  <c r="J237" i="2"/>
  <c r="J251" i="2"/>
  <c r="J252" i="2"/>
  <c r="AY2386" i="1"/>
  <c r="AY2403" i="1"/>
  <c r="AY2408" i="1"/>
  <c r="J1408" i="1"/>
  <c r="J1401" i="1"/>
  <c r="I1401" i="1"/>
  <c r="J1653" i="1"/>
  <c r="J1646" i="1"/>
  <c r="I1646" i="1"/>
  <c r="BH2381" i="1"/>
  <c r="BH2388" i="1"/>
  <c r="BH2405" i="1"/>
  <c r="G1026" i="1"/>
  <c r="G1027" i="1"/>
  <c r="F886" i="6"/>
  <c r="I121" i="6"/>
  <c r="F877" i="6"/>
  <c r="I132" i="6"/>
  <c r="I122" i="6"/>
  <c r="F878" i="6"/>
  <c r="J130" i="6"/>
  <c r="AX2373" i="1"/>
  <c r="AX2378" i="1"/>
  <c r="C721" i="1"/>
  <c r="C722" i="1"/>
  <c r="D1648" i="1"/>
  <c r="D1649" i="1"/>
  <c r="I120" i="6"/>
  <c r="F876" i="6"/>
  <c r="F913" i="5"/>
  <c r="F914" i="5"/>
  <c r="H1633" i="3"/>
  <c r="H1634" i="3"/>
  <c r="BA2192" i="2"/>
  <c r="I1467" i="2"/>
  <c r="J1467" i="2"/>
  <c r="J1468" i="2"/>
  <c r="I295" i="6"/>
  <c r="I296" i="6"/>
  <c r="L888" i="6"/>
  <c r="L889" i="6"/>
  <c r="J1574" i="3"/>
  <c r="I1739" i="1"/>
  <c r="J1738" i="1"/>
  <c r="BK2392" i="1"/>
  <c r="J1812" i="1"/>
  <c r="J1805" i="1"/>
  <c r="BN2385" i="1"/>
  <c r="BN2402" i="1"/>
  <c r="BN2408" i="1"/>
  <c r="I1805" i="1"/>
  <c r="BN2378" i="1"/>
  <c r="E1598" i="2"/>
  <c r="E1599" i="2"/>
  <c r="BF2191" i="2"/>
  <c r="BF2208" i="2"/>
  <c r="J1604" i="2"/>
  <c r="I1597" i="2"/>
  <c r="BF2184" i="2"/>
  <c r="J1554" i="4"/>
  <c r="BF2121" i="4"/>
  <c r="BF2138" i="4"/>
  <c r="I1547" i="4"/>
  <c r="BF2114" i="4"/>
  <c r="J1126" i="5"/>
  <c r="C1711" i="2"/>
  <c r="C1710" i="2"/>
  <c r="J1828" i="3"/>
  <c r="BO2287" i="3"/>
  <c r="BO2303" i="3"/>
  <c r="BP2286" i="3"/>
  <c r="BP2302" i="3"/>
  <c r="J1854" i="3"/>
  <c r="I1847" i="3"/>
  <c r="BP2279" i="3"/>
  <c r="G1973" i="1"/>
  <c r="G1972" i="1"/>
  <c r="AU1645" i="5"/>
  <c r="AU1662" i="5"/>
  <c r="J1240" i="5"/>
  <c r="I1233" i="5"/>
  <c r="AU1638" i="5"/>
  <c r="J469" i="6"/>
  <c r="BS2286" i="3"/>
  <c r="BS2302" i="3"/>
  <c r="J1935" i="3"/>
  <c r="I1928" i="3"/>
  <c r="BS2279" i="3"/>
  <c r="BM2188" i="2"/>
  <c r="BM2205" i="2"/>
  <c r="BM2210" i="2"/>
  <c r="J1792" i="2"/>
  <c r="J1770" i="4"/>
  <c r="BN2121" i="4"/>
  <c r="BN2138" i="4"/>
  <c r="J1797" i="2"/>
  <c r="J1790" i="2"/>
  <c r="I1790" i="2"/>
  <c r="BM2181" i="2"/>
  <c r="B1850" i="2"/>
  <c r="B1851" i="2"/>
  <c r="F1791" i="4"/>
  <c r="F1792" i="4"/>
  <c r="I2075" i="1"/>
  <c r="BX2378" i="1"/>
  <c r="J2082" i="1"/>
  <c r="J2075" i="1"/>
  <c r="BX2385" i="1"/>
  <c r="BX2402" i="1"/>
  <c r="BX2408" i="1"/>
  <c r="B1879" i="2"/>
  <c r="B1878" i="2"/>
  <c r="BW2389" i="1"/>
  <c r="BW2406" i="1"/>
  <c r="I2052" i="1"/>
  <c r="BW2382" i="1"/>
  <c r="J2059" i="1"/>
  <c r="J2052" i="1"/>
  <c r="J2138" i="1"/>
  <c r="J2131" i="1"/>
  <c r="I2131" i="1"/>
  <c r="BZ2380" i="1"/>
  <c r="BZ2387" i="1"/>
  <c r="BZ2404" i="1"/>
  <c r="J2036" i="3"/>
  <c r="E1935" i="2"/>
  <c r="E1934" i="2"/>
  <c r="E664" i="6"/>
  <c r="E663" i="6"/>
  <c r="J1870" i="4"/>
  <c r="I670" i="6"/>
  <c r="J665" i="6"/>
  <c r="Z881" i="6"/>
  <c r="Z897" i="6"/>
  <c r="I658" i="6"/>
  <c r="Z874" i="6"/>
  <c r="I1999" i="2"/>
  <c r="BT2192" i="2"/>
  <c r="J1997" i="2"/>
  <c r="J1999" i="2"/>
  <c r="J2000" i="2"/>
  <c r="G1962" i="2"/>
  <c r="G1963" i="2"/>
  <c r="F1953" i="4"/>
  <c r="F1954" i="4"/>
  <c r="BG1648" i="5"/>
  <c r="BG1665" i="5"/>
  <c r="J1567" i="5"/>
  <c r="I1560" i="5"/>
  <c r="BG1641" i="5"/>
  <c r="CF2394" i="1"/>
  <c r="I2296" i="1"/>
  <c r="CF2383" i="1"/>
  <c r="I2297" i="1"/>
  <c r="CF2384" i="1"/>
  <c r="J2307" i="1"/>
  <c r="H2034" i="4"/>
  <c r="H2035" i="4"/>
  <c r="B799" i="6"/>
  <c r="B798" i="6"/>
  <c r="BX2192" i="2"/>
  <c r="I2099" i="2"/>
  <c r="BX2182" i="2"/>
  <c r="I2098" i="2"/>
  <c r="BX2181" i="2"/>
  <c r="J2109" i="2"/>
  <c r="J2100" i="2"/>
  <c r="I2101" i="2"/>
  <c r="BX2184" i="2"/>
  <c r="I2097" i="2"/>
  <c r="BX2180" i="2"/>
  <c r="I2111" i="2"/>
  <c r="H2062" i="4"/>
  <c r="H2061" i="4"/>
  <c r="H825" i="6"/>
  <c r="H826" i="6"/>
  <c r="J597" i="3"/>
  <c r="J596" i="3"/>
  <c r="J595" i="3"/>
  <c r="J594" i="3"/>
  <c r="I608" i="3"/>
  <c r="J608" i="3"/>
  <c r="J607" i="3"/>
  <c r="G1406" i="1"/>
  <c r="G1405" i="1"/>
  <c r="G470" i="1"/>
  <c r="G471" i="1"/>
  <c r="E1360" i="4"/>
  <c r="E1359" i="4"/>
  <c r="J872" i="4"/>
  <c r="AV2392" i="1"/>
  <c r="I1334" i="1"/>
  <c r="I1335" i="1"/>
  <c r="J1333" i="1"/>
  <c r="E443" i="1"/>
  <c r="E442" i="1"/>
  <c r="AM2120" i="4"/>
  <c r="AM2137" i="4"/>
  <c r="J1040" i="4"/>
  <c r="J1033" i="4"/>
  <c r="I1033" i="4"/>
  <c r="AM2113" i="4"/>
  <c r="I654" i="4"/>
  <c r="Y2112" i="4"/>
  <c r="T2122" i="4"/>
  <c r="I516" i="4"/>
  <c r="T2114" i="4"/>
  <c r="J524" i="4"/>
  <c r="I515" i="4"/>
  <c r="T2113" i="4"/>
  <c r="I526" i="4"/>
  <c r="R2140" i="4"/>
  <c r="C1387" i="4"/>
  <c r="C1386" i="4"/>
  <c r="D96" i="6"/>
  <c r="D97" i="6"/>
  <c r="C1460" i="1"/>
  <c r="C1459" i="1"/>
  <c r="AW2373" i="1"/>
  <c r="AW2378" i="1"/>
  <c r="D1134" i="1"/>
  <c r="D1135" i="1"/>
  <c r="Q2408" i="1"/>
  <c r="J1085" i="4"/>
  <c r="G72" i="4"/>
  <c r="G73" i="4"/>
  <c r="AI1644" i="5"/>
  <c r="I920" i="5"/>
  <c r="J915" i="5"/>
  <c r="I908" i="5"/>
  <c r="AI1637" i="5"/>
  <c r="E900" i="6"/>
  <c r="BD2388" i="1"/>
  <c r="BD2405" i="1"/>
  <c r="J1545" i="1"/>
  <c r="J1538" i="1"/>
  <c r="I1538" i="1"/>
  <c r="B1378" i="1"/>
  <c r="B1379" i="1"/>
  <c r="AK2376" i="1"/>
  <c r="AK2381" i="1"/>
  <c r="Z2373" i="1"/>
  <c r="Z2378" i="1"/>
  <c r="Z2382" i="1"/>
  <c r="Z2377" i="1"/>
  <c r="AY2191" i="2"/>
  <c r="AY2208" i="2"/>
  <c r="J1408" i="2"/>
  <c r="I1401" i="2"/>
  <c r="AY2184" i="2"/>
  <c r="I812" i="2"/>
  <c r="AD2183" i="2"/>
  <c r="G1387" i="4"/>
  <c r="G1386" i="4"/>
  <c r="B1487" i="1"/>
  <c r="B1486" i="1"/>
  <c r="I66" i="6"/>
  <c r="D876" i="6"/>
  <c r="BC2381" i="1"/>
  <c r="BC2376" i="1"/>
  <c r="B940" i="5"/>
  <c r="B941" i="5"/>
  <c r="G205" i="6"/>
  <c r="G204" i="6"/>
  <c r="F1467" i="4"/>
  <c r="F1468" i="4"/>
  <c r="BI2392" i="1"/>
  <c r="I1685" i="1"/>
  <c r="J1684" i="1"/>
  <c r="C1324" i="1"/>
  <c r="C1325" i="1"/>
  <c r="H940" i="5"/>
  <c r="H941" i="5"/>
  <c r="B1633" i="3"/>
  <c r="B1634" i="3"/>
  <c r="I1001" i="5"/>
  <c r="I992" i="5"/>
  <c r="AL1640" i="5"/>
  <c r="AL1644" i="5"/>
  <c r="AL1661" i="5"/>
  <c r="J996" i="5"/>
  <c r="BF2285" i="3"/>
  <c r="J1583" i="3"/>
  <c r="J1576" i="3"/>
  <c r="I1576" i="3"/>
  <c r="BF2278" i="3"/>
  <c r="BB2118" i="4"/>
  <c r="BB2135" i="4"/>
  <c r="BB2140" i="4"/>
  <c r="J1443" i="4"/>
  <c r="J1436" i="4"/>
  <c r="I1436" i="4"/>
  <c r="BB2111" i="4"/>
  <c r="D1729" i="1"/>
  <c r="D1730" i="1"/>
  <c r="BL2385" i="1"/>
  <c r="BL2402" i="1"/>
  <c r="BL2408" i="1"/>
  <c r="J1758" i="1"/>
  <c r="J1751" i="1"/>
  <c r="I1751" i="1"/>
  <c r="BL2378" i="1"/>
  <c r="J11" i="11"/>
  <c r="B1714" i="3"/>
  <c r="B1715" i="3"/>
  <c r="F1075" i="5"/>
  <c r="F1076" i="5"/>
  <c r="I1874" i="1"/>
  <c r="BP2392" i="1"/>
  <c r="I1875" i="1"/>
  <c r="J1873" i="1"/>
  <c r="B1864" i="1"/>
  <c r="B1865" i="1"/>
  <c r="E1549" i="4"/>
  <c r="E1548" i="4"/>
  <c r="J1603" i="2"/>
  <c r="I1596" i="2"/>
  <c r="BF2183" i="2"/>
  <c r="BF2190" i="2"/>
  <c r="BF2207" i="2"/>
  <c r="BF2120" i="4"/>
  <c r="BF2137" i="4"/>
  <c r="J1553" i="4"/>
  <c r="I1546" i="4"/>
  <c r="BF2113" i="4"/>
  <c r="M881" i="6"/>
  <c r="M897" i="6"/>
  <c r="M903" i="6"/>
  <c r="I319" i="6"/>
  <c r="I307" i="6"/>
  <c r="M874" i="6"/>
  <c r="J314" i="6"/>
  <c r="E1865" i="1"/>
  <c r="E1864" i="1"/>
  <c r="J1978" i="1"/>
  <c r="J1971" i="1"/>
  <c r="I1971" i="1"/>
  <c r="BT2382" i="1"/>
  <c r="BT2389" i="1"/>
  <c r="BT2406" i="1"/>
  <c r="H1238" i="5"/>
  <c r="H1237" i="5"/>
  <c r="F1850" i="3"/>
  <c r="F1849" i="3"/>
  <c r="C1972" i="1"/>
  <c r="C1973" i="1"/>
  <c r="J477" i="6"/>
  <c r="J470" i="6"/>
  <c r="I470" i="6"/>
  <c r="S875" i="6"/>
  <c r="S882" i="6"/>
  <c r="S898" i="6"/>
  <c r="S903" i="6"/>
  <c r="F1710" i="2"/>
  <c r="F1711" i="2"/>
  <c r="J1688" i="4"/>
  <c r="BK2120" i="4"/>
  <c r="BK2137" i="4"/>
  <c r="I1681" i="4"/>
  <c r="BK2113" i="4"/>
  <c r="H1822" i="2"/>
  <c r="H1823" i="2"/>
  <c r="BU2385" i="1"/>
  <c r="BU2402" i="1"/>
  <c r="I1994" i="1"/>
  <c r="BU2378" i="1"/>
  <c r="J2001" i="1"/>
  <c r="J1994" i="1"/>
  <c r="U883" i="6"/>
  <c r="U899" i="6"/>
  <c r="U903" i="6"/>
  <c r="J532" i="6"/>
  <c r="J525" i="6"/>
  <c r="I525" i="6"/>
  <c r="U876" i="6"/>
  <c r="D1931" i="3"/>
  <c r="D1930" i="3"/>
  <c r="J1769" i="4"/>
  <c r="I1771" i="4"/>
  <c r="I1762" i="4"/>
  <c r="BN2113" i="4"/>
  <c r="BN2120" i="4"/>
  <c r="BN2137" i="4"/>
  <c r="F502" i="6"/>
  <c r="F501" i="6"/>
  <c r="F1795" i="2"/>
  <c r="F1794" i="2"/>
  <c r="J1853" i="2"/>
  <c r="BO2188" i="2"/>
  <c r="BO2205" i="2"/>
  <c r="I1857" i="2"/>
  <c r="I1846" i="2"/>
  <c r="BO2181" i="2"/>
  <c r="E1319" i="5"/>
  <c r="E1318" i="5"/>
  <c r="J1883" i="2"/>
  <c r="BP2190" i="2"/>
  <c r="BP2207" i="2"/>
  <c r="BT2286" i="3"/>
  <c r="BT2302" i="3"/>
  <c r="J1962" i="3"/>
  <c r="J1955" i="3"/>
  <c r="I1955" i="3"/>
  <c r="BT2279" i="3"/>
  <c r="D2080" i="1"/>
  <c r="D2081" i="1"/>
  <c r="X881" i="6"/>
  <c r="X897" i="6"/>
  <c r="X903" i="6"/>
  <c r="J611" i="6"/>
  <c r="I604" i="6"/>
  <c r="X874" i="6"/>
  <c r="J1904" i="2"/>
  <c r="BZ2388" i="1"/>
  <c r="BZ2405" i="1"/>
  <c r="J2139" i="1"/>
  <c r="J2132" i="1"/>
  <c r="I2132" i="1"/>
  <c r="BZ2381" i="1"/>
  <c r="B1934" i="2"/>
  <c r="B1935" i="2"/>
  <c r="BQ2120" i="4"/>
  <c r="BQ2137" i="4"/>
  <c r="J1850" i="4"/>
  <c r="J2165" i="1"/>
  <c r="J2158" i="1"/>
  <c r="CA2387" i="1"/>
  <c r="CA2404" i="1"/>
  <c r="I2158" i="1"/>
  <c r="CA2380" i="1"/>
  <c r="F1426" i="5"/>
  <c r="F1427" i="5"/>
  <c r="G2188" i="1"/>
  <c r="G2189" i="1"/>
  <c r="B2188" i="1"/>
  <c r="B2189" i="1"/>
  <c r="BR2140" i="4"/>
  <c r="B1990" i="2"/>
  <c r="B1991" i="2"/>
  <c r="C1963" i="2"/>
  <c r="C1962" i="2"/>
  <c r="G2119" i="3"/>
  <c r="G2120" i="3"/>
  <c r="BZ2287" i="3"/>
  <c r="BZ2303" i="3"/>
  <c r="I2118" i="3"/>
  <c r="BZ2280" i="3"/>
  <c r="J2125" i="3"/>
  <c r="J1475" i="5"/>
  <c r="H718" i="6"/>
  <c r="H717" i="6"/>
  <c r="CC2287" i="3"/>
  <c r="CC2303" i="3"/>
  <c r="J2206" i="3"/>
  <c r="CC2286" i="3"/>
  <c r="CC2302" i="3"/>
  <c r="CC2305" i="3"/>
  <c r="J2205" i="3"/>
  <c r="D2034" i="4"/>
  <c r="D2035" i="4"/>
  <c r="AE883" i="6"/>
  <c r="AE899" i="6"/>
  <c r="J802" i="6"/>
  <c r="I795" i="6"/>
  <c r="AE876" i="6"/>
  <c r="B2131" i="2"/>
  <c r="B2130" i="2"/>
  <c r="CG2389" i="1"/>
  <c r="CG2406" i="1"/>
  <c r="J2329" i="1"/>
  <c r="J2322" i="1"/>
  <c r="I2322" i="1"/>
  <c r="CG2382" i="1"/>
  <c r="J2091" i="4"/>
  <c r="J2084" i="4"/>
  <c r="BZ2118" i="4"/>
  <c r="BZ2135" i="4"/>
  <c r="BZ2140" i="4"/>
  <c r="I2084" i="4"/>
  <c r="BZ2111" i="4"/>
  <c r="F826" i="6"/>
  <c r="F825" i="6"/>
  <c r="BY2140" i="4"/>
  <c r="J692" i="3"/>
  <c r="Y2290" i="3"/>
  <c r="I693" i="3"/>
  <c r="I694" i="3"/>
  <c r="J268" i="2"/>
  <c r="J271" i="2"/>
  <c r="J281" i="2"/>
  <c r="J282" i="2"/>
  <c r="J269" i="2"/>
  <c r="J267" i="2"/>
  <c r="I1319" i="3"/>
  <c r="I1320" i="3"/>
  <c r="AV2290" i="3"/>
  <c r="J1318" i="3"/>
  <c r="J790" i="3"/>
  <c r="J792" i="3"/>
  <c r="J794" i="3"/>
  <c r="J791" i="3"/>
  <c r="AR2290" i="3"/>
  <c r="J1210" i="3"/>
  <c r="I1211" i="3"/>
  <c r="I1212" i="3"/>
  <c r="I1077" i="1"/>
  <c r="AM2387" i="1"/>
  <c r="AM2404" i="1"/>
  <c r="J1084" i="1"/>
  <c r="J1077" i="1"/>
  <c r="J392" i="1"/>
  <c r="J385" i="1"/>
  <c r="I385" i="1"/>
  <c r="N2389" i="1"/>
  <c r="N2406" i="1"/>
  <c r="J1220" i="4"/>
  <c r="J853" i="4"/>
  <c r="J845" i="4"/>
  <c r="J734" i="4"/>
  <c r="I372" i="4"/>
  <c r="O2110" i="4"/>
  <c r="O2122" i="4"/>
  <c r="O2124" i="4"/>
  <c r="I373" i="4"/>
  <c r="O2111" i="4"/>
  <c r="I386" i="4"/>
  <c r="I387" i="4"/>
  <c r="I375" i="4"/>
  <c r="O2113" i="4"/>
  <c r="J384" i="4"/>
  <c r="B1649" i="1"/>
  <c r="B1648" i="1"/>
  <c r="AQ2380" i="1"/>
  <c r="AQ2375" i="1"/>
  <c r="I662" i="1"/>
  <c r="X2380" i="1"/>
  <c r="J669" i="1"/>
  <c r="J662" i="1"/>
  <c r="X2387" i="1"/>
  <c r="X2404" i="1"/>
  <c r="S2408" i="1"/>
  <c r="J306" i="1"/>
  <c r="J299" i="1"/>
  <c r="I299" i="1"/>
  <c r="L2387" i="1"/>
  <c r="J762" i="4"/>
  <c r="J484" i="4"/>
  <c r="J458" i="4"/>
  <c r="L2140" i="4"/>
  <c r="I849" i="2"/>
  <c r="J1390" i="4"/>
  <c r="I1383" i="4"/>
  <c r="AZ2112" i="4"/>
  <c r="AZ2119" i="4"/>
  <c r="AZ2136" i="4"/>
  <c r="D1351" i="1"/>
  <c r="D1352" i="1"/>
  <c r="E666" i="1"/>
  <c r="E665" i="1"/>
  <c r="I1273" i="4"/>
  <c r="AV2110" i="4"/>
  <c r="I1277" i="4"/>
  <c r="AV2114" i="4"/>
  <c r="AV2122" i="4"/>
  <c r="I1287" i="4"/>
  <c r="I1276" i="4"/>
  <c r="AV2113" i="4"/>
  <c r="J1285" i="4"/>
  <c r="J1274" i="4"/>
  <c r="J625" i="4"/>
  <c r="D1123" i="2"/>
  <c r="D1122" i="2"/>
  <c r="T2210" i="2"/>
  <c r="I1426" i="2"/>
  <c r="AZ2181" i="2"/>
  <c r="AZ2188" i="2"/>
  <c r="AZ2205" i="2"/>
  <c r="J1433" i="2"/>
  <c r="E123" i="6"/>
  <c r="E124" i="6"/>
  <c r="AS2375" i="1"/>
  <c r="AS2380" i="1"/>
  <c r="AK2380" i="1"/>
  <c r="AK2375" i="1"/>
  <c r="AD2380" i="1"/>
  <c r="AD2375" i="1"/>
  <c r="I316" i="4"/>
  <c r="M2110" i="4"/>
  <c r="I980" i="2"/>
  <c r="AJ2183" i="2"/>
  <c r="J813" i="2"/>
  <c r="F1621" i="1"/>
  <c r="F1622" i="1"/>
  <c r="F1514" i="2"/>
  <c r="F1515" i="2"/>
  <c r="BI2386" i="1"/>
  <c r="BI2403" i="1"/>
  <c r="I1671" i="1"/>
  <c r="BI2379" i="1"/>
  <c r="J1678" i="1"/>
  <c r="J1671" i="1"/>
  <c r="H1580" i="3"/>
  <c r="H1579" i="3"/>
  <c r="H1757" i="1"/>
  <c r="H1756" i="1"/>
  <c r="I119" i="6"/>
  <c r="F875" i="6"/>
  <c r="D1675" i="1"/>
  <c r="D1676" i="1"/>
  <c r="D1514" i="2"/>
  <c r="D1515" i="2"/>
  <c r="I1577" i="3"/>
  <c r="BF2279" i="3"/>
  <c r="J1435" i="4"/>
  <c r="B1440" i="4"/>
  <c r="B1441" i="4"/>
  <c r="J1755" i="1"/>
  <c r="D1599" i="2"/>
  <c r="D1598" i="2"/>
  <c r="F1714" i="3"/>
  <c r="F1715" i="3"/>
  <c r="AO1644" i="5"/>
  <c r="AO1661" i="5"/>
  <c r="AO1667" i="5"/>
  <c r="I1082" i="5"/>
  <c r="I1070" i="5"/>
  <c r="AO1637" i="5"/>
  <c r="J1077" i="5"/>
  <c r="J1868" i="1"/>
  <c r="J1861" i="1"/>
  <c r="I1861" i="1"/>
  <c r="BP2380" i="1"/>
  <c r="BP2387" i="1"/>
  <c r="BP2404" i="1"/>
  <c r="G1811" i="1"/>
  <c r="G1810" i="1"/>
  <c r="C1075" i="5"/>
  <c r="C1076" i="5"/>
  <c r="F1548" i="4"/>
  <c r="F1549" i="4"/>
  <c r="B313" i="6"/>
  <c r="B312" i="6"/>
  <c r="J1601" i="4"/>
  <c r="I1124" i="5"/>
  <c r="AQ1637" i="5"/>
  <c r="E1211" i="5"/>
  <c r="E1210" i="5"/>
  <c r="I1968" i="1"/>
  <c r="BT2379" i="1"/>
  <c r="BT2386" i="1"/>
  <c r="BT2403" i="1"/>
  <c r="J1975" i="1"/>
  <c r="J1968" i="1"/>
  <c r="AT1646" i="5"/>
  <c r="AT1663" i="5"/>
  <c r="J1214" i="5"/>
  <c r="I1207" i="5"/>
  <c r="AT1639" i="5"/>
  <c r="B1877" i="3"/>
  <c r="B1876" i="3"/>
  <c r="AS1647" i="5"/>
  <c r="AS1664" i="5"/>
  <c r="I1190" i="5"/>
  <c r="I1181" i="5"/>
  <c r="AS1640" i="5"/>
  <c r="J1188" i="5"/>
  <c r="C1850" i="3"/>
  <c r="C1849" i="3"/>
  <c r="E1684" i="4"/>
  <c r="E1683" i="4"/>
  <c r="G1877" i="3"/>
  <c r="G1876" i="3"/>
  <c r="H1183" i="5"/>
  <c r="H1184" i="5"/>
  <c r="E1973" i="1"/>
  <c r="E1972" i="1"/>
  <c r="C1238" i="5"/>
  <c r="C1237" i="5"/>
  <c r="G1794" i="2"/>
  <c r="G1795" i="2"/>
  <c r="J2029" i="1"/>
  <c r="J2022" i="1"/>
  <c r="BV2386" i="1"/>
  <c r="BV2403" i="1"/>
  <c r="I2022" i="1"/>
  <c r="BV2379" i="1"/>
  <c r="E1765" i="4"/>
  <c r="E1764" i="4"/>
  <c r="I524" i="6"/>
  <c r="U875" i="6"/>
  <c r="J1766" i="4"/>
  <c r="BN2117" i="4"/>
  <c r="BN2134" i="4"/>
  <c r="BN2140" i="4"/>
  <c r="I1759" i="4"/>
  <c r="BN2110" i="4"/>
  <c r="B2081" i="1"/>
  <c r="B2080" i="1"/>
  <c r="J1901" i="2"/>
  <c r="G1851" i="2"/>
  <c r="G1850" i="2"/>
  <c r="BW2408" i="1"/>
  <c r="D1791" i="4"/>
  <c r="D1792" i="4"/>
  <c r="F1935" i="2"/>
  <c r="F1934" i="2"/>
  <c r="J1367" i="5"/>
  <c r="F2134" i="1"/>
  <c r="F2135" i="1"/>
  <c r="CA2386" i="1"/>
  <c r="CA2403" i="1"/>
  <c r="J2164" i="1"/>
  <c r="J2157" i="1"/>
  <c r="I2157" i="1"/>
  <c r="CA2379" i="1"/>
  <c r="G1427" i="5"/>
  <c r="G1426" i="5"/>
  <c r="F1962" i="2"/>
  <c r="F1963" i="2"/>
  <c r="J668" i="6"/>
  <c r="I661" i="6"/>
  <c r="Z877" i="6"/>
  <c r="Z884" i="6"/>
  <c r="Z900" i="6"/>
  <c r="I1988" i="2"/>
  <c r="BT2183" i="2"/>
  <c r="BZ2285" i="3"/>
  <c r="BZ2301" i="3"/>
  <c r="I2116" i="3"/>
  <c r="BZ2278" i="3"/>
  <c r="J2123" i="3"/>
  <c r="I2042" i="2"/>
  <c r="BV2181" i="2"/>
  <c r="I2055" i="2"/>
  <c r="I2045" i="2"/>
  <c r="BV2184" i="2"/>
  <c r="I2044" i="2"/>
  <c r="BV2183" i="2"/>
  <c r="J2053" i="2"/>
  <c r="BV2192" i="2"/>
  <c r="I2043" i="2"/>
  <c r="BV2182" i="2"/>
  <c r="AF903" i="6"/>
  <c r="J1769" i="3"/>
  <c r="J1768" i="3"/>
  <c r="J955" i="2"/>
  <c r="J954" i="2"/>
  <c r="J185" i="5"/>
  <c r="J184" i="5"/>
  <c r="J589" i="5"/>
  <c r="J590" i="5"/>
  <c r="J101" i="4"/>
  <c r="J100" i="4"/>
  <c r="I1346" i="3"/>
  <c r="J1345" i="3"/>
  <c r="AW2290" i="3"/>
  <c r="I1347" i="3"/>
  <c r="CF2284" i="3"/>
  <c r="J1305" i="3"/>
  <c r="I340" i="2"/>
  <c r="M2195" i="2"/>
  <c r="M2194" i="2"/>
  <c r="J651" i="3"/>
  <c r="J650" i="3"/>
  <c r="J654" i="3"/>
  <c r="J652" i="3"/>
  <c r="CA2109" i="4"/>
  <c r="CB2109" i="4"/>
  <c r="I434" i="4"/>
  <c r="Q2116" i="4"/>
  <c r="J444" i="4"/>
  <c r="Q2126" i="4"/>
  <c r="I433" i="4"/>
  <c r="Q2115" i="4"/>
  <c r="J1085" i="1"/>
  <c r="J1078" i="1"/>
  <c r="I1078" i="1"/>
  <c r="AM2388" i="1"/>
  <c r="AM2405" i="1"/>
  <c r="N2388" i="1"/>
  <c r="N2405" i="1"/>
  <c r="I384" i="1"/>
  <c r="J391" i="1"/>
  <c r="J384" i="1"/>
  <c r="I2385" i="1"/>
  <c r="I210" i="1"/>
  <c r="J217" i="1"/>
  <c r="J210" i="1"/>
  <c r="J1195" i="4"/>
  <c r="AG2140" i="4"/>
  <c r="I844" i="4"/>
  <c r="AF2113" i="4"/>
  <c r="AF2122" i="4"/>
  <c r="I855" i="4"/>
  <c r="I841" i="4"/>
  <c r="AF2110" i="4"/>
  <c r="I842" i="4"/>
  <c r="AF2111" i="4"/>
  <c r="F1430" i="2"/>
  <c r="F1431" i="2"/>
  <c r="AS2373" i="1"/>
  <c r="AS2378" i="1"/>
  <c r="X2386" i="1"/>
  <c r="X2403" i="1"/>
  <c r="J668" i="1"/>
  <c r="J661" i="1"/>
  <c r="I661" i="1"/>
  <c r="X2379" i="1"/>
  <c r="G2385" i="1"/>
  <c r="J159" i="1"/>
  <c r="I164" i="1"/>
  <c r="I152" i="1"/>
  <c r="I1366" i="4"/>
  <c r="J1112" i="4"/>
  <c r="J1058" i="4"/>
  <c r="J815" i="4"/>
  <c r="AC2140" i="4"/>
  <c r="J487" i="4"/>
  <c r="G2138" i="4"/>
  <c r="CA2138" i="4"/>
  <c r="CB2138" i="4"/>
  <c r="CA2121" i="4"/>
  <c r="J1037" i="2"/>
  <c r="I933" i="2"/>
  <c r="I925" i="2"/>
  <c r="AH2184" i="2"/>
  <c r="J1389" i="4"/>
  <c r="AZ2118" i="4"/>
  <c r="AZ2135" i="4"/>
  <c r="CA2135" i="4"/>
  <c r="CB2135" i="4"/>
  <c r="I1382" i="4"/>
  <c r="AZ2111" i="4"/>
  <c r="E69" i="6"/>
  <c r="E70" i="6"/>
  <c r="F1216" i="1"/>
  <c r="F1215" i="1"/>
  <c r="AJ2376" i="1"/>
  <c r="AJ2381" i="1"/>
  <c r="AD2382" i="1"/>
  <c r="AD2377" i="1"/>
  <c r="J1139" i="4"/>
  <c r="E1403" i="2"/>
  <c r="E1402" i="2"/>
  <c r="AI1646" i="5"/>
  <c r="J917" i="5"/>
  <c r="I910" i="5"/>
  <c r="AI1639" i="5"/>
  <c r="H1325" i="1"/>
  <c r="H1324" i="1"/>
  <c r="AK2379" i="1"/>
  <c r="AK2374" i="1"/>
  <c r="C861" i="1"/>
  <c r="C862" i="1"/>
  <c r="AD2379" i="1"/>
  <c r="AD2374" i="1"/>
  <c r="D666" i="1"/>
  <c r="D665" i="1"/>
  <c r="AR2140" i="4"/>
  <c r="H900" i="4"/>
  <c r="H901" i="4"/>
  <c r="J988" i="2"/>
  <c r="J981" i="2"/>
  <c r="AJ2191" i="2"/>
  <c r="AJ2208" i="2"/>
  <c r="AJ2210" i="2"/>
  <c r="I981" i="2"/>
  <c r="AJ2184" i="2"/>
  <c r="AP2381" i="1"/>
  <c r="AP2376" i="1"/>
  <c r="F1675" i="1"/>
  <c r="F1676" i="1"/>
  <c r="B1467" i="4"/>
  <c r="B1468" i="4"/>
  <c r="BI2285" i="3"/>
  <c r="BI2301" i="3"/>
  <c r="I1657" i="3"/>
  <c r="BI2278" i="3"/>
  <c r="J1664" i="3"/>
  <c r="D940" i="5"/>
  <c r="D941" i="5"/>
  <c r="E205" i="6"/>
  <c r="E204" i="6"/>
  <c r="AL1648" i="5"/>
  <c r="AL1665" i="5"/>
  <c r="I993" i="5"/>
  <c r="AL1641" i="5"/>
  <c r="J1000" i="5"/>
  <c r="BF2287" i="3"/>
  <c r="BF2303" i="3"/>
  <c r="I1578" i="3"/>
  <c r="BF2280" i="3"/>
  <c r="J1585" i="3"/>
  <c r="J1578" i="3"/>
  <c r="B1756" i="1"/>
  <c r="B1757" i="1"/>
  <c r="B1810" i="1"/>
  <c r="B1811" i="1"/>
  <c r="F1864" i="1"/>
  <c r="F1865" i="1"/>
  <c r="J361" i="6"/>
  <c r="I1545" i="4"/>
  <c r="BF2112" i="4"/>
  <c r="J1552" i="4"/>
  <c r="BF2119" i="4"/>
  <c r="BF2136" i="4"/>
  <c r="BH2140" i="4"/>
  <c r="J1598" i="4"/>
  <c r="G1599" i="2"/>
  <c r="G1598" i="2"/>
  <c r="E1076" i="5"/>
  <c r="E1075" i="5"/>
  <c r="J1624" i="4"/>
  <c r="J1713" i="2"/>
  <c r="J1706" i="2"/>
  <c r="I1706" i="2"/>
  <c r="BJ2181" i="2"/>
  <c r="BJ2188" i="2"/>
  <c r="BJ2205" i="2"/>
  <c r="BJ2210" i="2"/>
  <c r="E1849" i="3"/>
  <c r="E1850" i="3"/>
  <c r="B1973" i="1"/>
  <c r="B1972" i="1"/>
  <c r="AS1645" i="5"/>
  <c r="AS1662" i="5"/>
  <c r="J1186" i="5"/>
  <c r="AT1648" i="5"/>
  <c r="AT1665" i="5"/>
  <c r="J1216" i="5"/>
  <c r="I1209" i="5"/>
  <c r="AT1641" i="5"/>
  <c r="BQ2287" i="3"/>
  <c r="BQ2303" i="3"/>
  <c r="I1875" i="3"/>
  <c r="BQ2280" i="3"/>
  <c r="J1882" i="3"/>
  <c r="J1185" i="5"/>
  <c r="AS1644" i="5"/>
  <c r="AS1661" i="5"/>
  <c r="AS1667" i="5"/>
  <c r="J1242" i="5"/>
  <c r="AU1647" i="5"/>
  <c r="AU1664" i="5"/>
  <c r="I1235" i="5"/>
  <c r="AU1640" i="5"/>
  <c r="B1683" i="4"/>
  <c r="B1684" i="4"/>
  <c r="BV2388" i="1"/>
  <c r="BV2405" i="1"/>
  <c r="J2031" i="1"/>
  <c r="J2024" i="1"/>
  <c r="I2024" i="1"/>
  <c r="BV2381" i="1"/>
  <c r="BU2387" i="1"/>
  <c r="BU2404" i="1"/>
  <c r="J2003" i="1"/>
  <c r="J1996" i="1"/>
  <c r="I1996" i="1"/>
  <c r="BU2380" i="1"/>
  <c r="D501" i="6"/>
  <c r="D502" i="6"/>
  <c r="J1920" i="1"/>
  <c r="J1913" i="1"/>
  <c r="BR2385" i="1"/>
  <c r="BR2402" i="1"/>
  <c r="BR2408" i="1"/>
  <c r="I1913" i="1"/>
  <c r="BR2378" i="1"/>
  <c r="D2026" i="1"/>
  <c r="D2027" i="1"/>
  <c r="B1765" i="4"/>
  <c r="B1764" i="4"/>
  <c r="AX1645" i="5"/>
  <c r="AX1662" i="5"/>
  <c r="J1321" i="5"/>
  <c r="I1314" i="5"/>
  <c r="AX1638" i="5"/>
  <c r="BP2187" i="2"/>
  <c r="BP2204" i="2"/>
  <c r="BP2210" i="2"/>
  <c r="J1880" i="2"/>
  <c r="I1885" i="2"/>
  <c r="I1873" i="2"/>
  <c r="BP2180" i="2"/>
  <c r="J1340" i="5"/>
  <c r="C1845" i="4"/>
  <c r="C1846" i="4"/>
  <c r="J1847" i="4"/>
  <c r="BQ2117" i="4"/>
  <c r="BQ2134" i="4"/>
  <c r="BQ2140" i="4"/>
  <c r="I1852" i="4"/>
  <c r="I1840" i="4"/>
  <c r="BQ2110" i="4"/>
  <c r="H663" i="6"/>
  <c r="H664" i="6"/>
  <c r="J2190" i="1"/>
  <c r="J2183" i="1"/>
  <c r="CB2385" i="1"/>
  <c r="CB2402" i="1"/>
  <c r="CB2408" i="1"/>
  <c r="I2183" i="1"/>
  <c r="CB2378" i="1"/>
  <c r="G1991" i="2"/>
  <c r="G1990" i="2"/>
  <c r="Z883" i="6"/>
  <c r="Z899" i="6"/>
  <c r="I660" i="6"/>
  <c r="Z876" i="6"/>
  <c r="J667" i="6"/>
  <c r="BT2189" i="2"/>
  <c r="BT2206" i="2"/>
  <c r="BT2210" i="2"/>
  <c r="I1987" i="2"/>
  <c r="BT2182" i="2"/>
  <c r="J1994" i="2"/>
  <c r="J1987" i="2"/>
  <c r="E1954" i="4"/>
  <c r="E1953" i="4"/>
  <c r="CB2400" i="1"/>
  <c r="CI2400" i="1"/>
  <c r="CJ2400" i="1"/>
  <c r="CI2372" i="1"/>
  <c r="CJ2372" i="1"/>
  <c r="J2145" i="3"/>
  <c r="J2144" i="3"/>
  <c r="J2142" i="3"/>
  <c r="BD1646" i="5"/>
  <c r="BD1663" i="5"/>
  <c r="BD1667" i="5"/>
  <c r="J1484" i="5"/>
  <c r="J1477" i="5"/>
  <c r="I1477" i="5"/>
  <c r="BD1639" i="5"/>
  <c r="I2248" i="1"/>
  <c r="G2074" i="2"/>
  <c r="G2075" i="2"/>
  <c r="J2060" i="4"/>
  <c r="CG2388" i="1"/>
  <c r="CG2405" i="1"/>
  <c r="CG2408" i="1"/>
  <c r="J2328" i="1"/>
  <c r="J2321" i="1"/>
  <c r="I2321" i="1"/>
  <c r="CG2381" i="1"/>
  <c r="D2088" i="4"/>
  <c r="D2089" i="4"/>
  <c r="L977" i="9"/>
  <c r="I1595" i="5"/>
  <c r="I1585" i="5"/>
  <c r="BH1639" i="5"/>
  <c r="J556" i="4"/>
  <c r="I546" i="4"/>
  <c r="U2116" i="4"/>
  <c r="I545" i="4"/>
  <c r="U2115" i="4"/>
  <c r="U2126" i="4"/>
  <c r="AP2382" i="1"/>
  <c r="AP2377" i="1"/>
  <c r="I73" i="2"/>
  <c r="D2186" i="2"/>
  <c r="I72" i="2"/>
  <c r="D2185" i="2"/>
  <c r="D2196" i="2"/>
  <c r="J83" i="2"/>
  <c r="J1193" i="4"/>
  <c r="BB2378" i="1"/>
  <c r="BB2373" i="1"/>
  <c r="J1956" i="3"/>
  <c r="BT2305" i="3"/>
  <c r="CD2305" i="3"/>
  <c r="I2207" i="3"/>
  <c r="I405" i="4"/>
  <c r="P2115" i="4"/>
  <c r="I406" i="4"/>
  <c r="P2116" i="4"/>
  <c r="J416" i="4"/>
  <c r="P2126" i="4"/>
  <c r="AX2140" i="4"/>
  <c r="AO2379" i="1"/>
  <c r="AO2374" i="1"/>
  <c r="J1194" i="4"/>
  <c r="J1725" i="1"/>
  <c r="I489" i="4"/>
  <c r="S2115" i="4"/>
  <c r="I490" i="4"/>
  <c r="S2116" i="4"/>
  <c r="J500" i="4"/>
  <c r="S2126" i="4"/>
  <c r="AM2140" i="4"/>
  <c r="AO2373" i="1"/>
  <c r="AO2378" i="1"/>
  <c r="I431" i="4"/>
  <c r="Q2113" i="4"/>
  <c r="J415" i="6"/>
  <c r="CE2408" i="1"/>
  <c r="J2058" i="4"/>
  <c r="I1201" i="3"/>
  <c r="AR2281" i="3"/>
  <c r="AR2292" i="3"/>
  <c r="J1212" i="3"/>
  <c r="I1202" i="3"/>
  <c r="AR2282" i="3"/>
  <c r="I684" i="3"/>
  <c r="Y2282" i="3"/>
  <c r="J694" i="3"/>
  <c r="Y2292" i="3"/>
  <c r="I683" i="3"/>
  <c r="Y2281" i="3"/>
  <c r="I1256" i="3"/>
  <c r="AT2282" i="3"/>
  <c r="I1255" i="3"/>
  <c r="AT2281" i="3"/>
  <c r="AT2292" i="3"/>
  <c r="J1266" i="3"/>
  <c r="BJ2292" i="3"/>
  <c r="I1688" i="3"/>
  <c r="BJ2282" i="3"/>
  <c r="J1698" i="3"/>
  <c r="I1687" i="3"/>
  <c r="BJ2281" i="3"/>
  <c r="J1077" i="3"/>
  <c r="AM2292" i="3"/>
  <c r="I1066" i="3"/>
  <c r="AM2281" i="3"/>
  <c r="I1067" i="3"/>
  <c r="AM2282" i="3"/>
  <c r="AX2292" i="3"/>
  <c r="I1363" i="3"/>
  <c r="AX2281" i="3"/>
  <c r="I1364" i="3"/>
  <c r="AX2282" i="3"/>
  <c r="J1374" i="3"/>
  <c r="K2292" i="3"/>
  <c r="J280" i="3"/>
  <c r="I270" i="3"/>
  <c r="K2282" i="3"/>
  <c r="I269" i="3"/>
  <c r="K2281" i="3"/>
  <c r="BH2394" i="1"/>
  <c r="J1659" i="1"/>
  <c r="I1648" i="1"/>
  <c r="BH2383" i="1"/>
  <c r="I1649" i="1"/>
  <c r="BH2384" i="1"/>
  <c r="J1497" i="1"/>
  <c r="I1486" i="1"/>
  <c r="BB2383" i="1"/>
  <c r="BB2394" i="1"/>
  <c r="I1487" i="1"/>
  <c r="BB2384" i="1"/>
  <c r="I2147" i="3"/>
  <c r="CA2282" i="3"/>
  <c r="J2157" i="3"/>
  <c r="I2146" i="3"/>
  <c r="CA2281" i="3"/>
  <c r="CA2292" i="3"/>
  <c r="I986" i="3"/>
  <c r="AJ2282" i="3"/>
  <c r="I985" i="3"/>
  <c r="AJ2281" i="3"/>
  <c r="J996" i="3"/>
  <c r="AJ2292" i="3"/>
  <c r="I739" i="3"/>
  <c r="AA2281" i="3"/>
  <c r="AA2292" i="3"/>
  <c r="J750" i="3"/>
  <c r="I740" i="3"/>
  <c r="AA2282" i="3"/>
  <c r="G2243" i="1"/>
  <c r="G2242" i="1"/>
  <c r="I1228" i="3"/>
  <c r="AS2281" i="3"/>
  <c r="AS2292" i="3"/>
  <c r="I1229" i="3"/>
  <c r="AS2282" i="3"/>
  <c r="J1239" i="3"/>
  <c r="BN2394" i="1"/>
  <c r="J1821" i="1"/>
  <c r="I1811" i="1"/>
  <c r="BN2384" i="1"/>
  <c r="I1810" i="1"/>
  <c r="BN2383" i="1"/>
  <c r="J72" i="2"/>
  <c r="J73" i="2"/>
  <c r="G2378" i="1"/>
  <c r="G2373" i="1"/>
  <c r="I2378" i="1"/>
  <c r="I2373" i="1"/>
  <c r="J1771" i="4"/>
  <c r="J1759" i="4"/>
  <c r="J546" i="4"/>
  <c r="J545" i="4"/>
  <c r="J2248" i="1"/>
  <c r="J2241" i="1"/>
  <c r="I2241" i="1"/>
  <c r="CD2382" i="1"/>
  <c r="CD2389" i="1"/>
  <c r="CD2406" i="1"/>
  <c r="CI2406" i="1"/>
  <c r="CJ2406" i="1"/>
  <c r="BP2192" i="2"/>
  <c r="J1885" i="2"/>
  <c r="J1887" i="2"/>
  <c r="J1888" i="2"/>
  <c r="I1887" i="2"/>
  <c r="I1192" i="5"/>
  <c r="J1190" i="5"/>
  <c r="AS1649" i="5"/>
  <c r="I1180" i="5"/>
  <c r="AS1639" i="5"/>
  <c r="I1179" i="5"/>
  <c r="AS1638" i="5"/>
  <c r="AI1663" i="5"/>
  <c r="BJ1663" i="5"/>
  <c r="BK1663" i="5"/>
  <c r="BJ1646" i="5"/>
  <c r="J1275" i="4"/>
  <c r="I163" i="1"/>
  <c r="J164" i="1"/>
  <c r="J154" i="1"/>
  <c r="G2390" i="1"/>
  <c r="G2392" i="1"/>
  <c r="I162" i="1"/>
  <c r="I166" i="1"/>
  <c r="I154" i="1"/>
  <c r="J855" i="4"/>
  <c r="J856" i="4"/>
  <c r="J844" i="4"/>
  <c r="J842" i="4"/>
  <c r="J841" i="4"/>
  <c r="CG2284" i="3"/>
  <c r="J1346" i="3"/>
  <c r="AW2291" i="3"/>
  <c r="BN2122" i="4"/>
  <c r="J1762" i="4"/>
  <c r="I1773" i="4"/>
  <c r="I1761" i="4"/>
  <c r="BN2112" i="4"/>
  <c r="J1181" i="5"/>
  <c r="J1082" i="5"/>
  <c r="J1084" i="5"/>
  <c r="J1085" i="5"/>
  <c r="AO1649" i="5"/>
  <c r="I1084" i="5"/>
  <c r="I838" i="2"/>
  <c r="AE2181" i="2"/>
  <c r="J849" i="2"/>
  <c r="I851" i="2"/>
  <c r="I839" i="2"/>
  <c r="AE2182" i="2"/>
  <c r="AE2192" i="2"/>
  <c r="I840" i="2"/>
  <c r="AE2183" i="2"/>
  <c r="I837" i="2"/>
  <c r="AE2180" i="2"/>
  <c r="J373" i="4"/>
  <c r="J375" i="4"/>
  <c r="J372" i="4"/>
  <c r="J386" i="4"/>
  <c r="J387" i="4"/>
  <c r="O2125" i="4"/>
  <c r="O2126" i="4"/>
  <c r="AV2291" i="3"/>
  <c r="J1319" i="3"/>
  <c r="X886" i="6"/>
  <c r="J616" i="6"/>
  <c r="J618" i="6"/>
  <c r="J619" i="6"/>
  <c r="I618" i="6"/>
  <c r="BO2210" i="2"/>
  <c r="BU2408" i="1"/>
  <c r="M886" i="6"/>
  <c r="J319" i="6"/>
  <c r="I321" i="6"/>
  <c r="I310" i="6"/>
  <c r="M877" i="6"/>
  <c r="I989" i="5"/>
  <c r="AL1637" i="5"/>
  <c r="J1685" i="1"/>
  <c r="BI2393" i="1"/>
  <c r="J1334" i="1"/>
  <c r="AV2393" i="1"/>
  <c r="BX2194" i="2"/>
  <c r="I2112" i="2"/>
  <c r="BX2195" i="2"/>
  <c r="I2113" i="2"/>
  <c r="I2000" i="2"/>
  <c r="BT2195" i="2"/>
  <c r="BT2194" i="2"/>
  <c r="I2001" i="2"/>
  <c r="Z886" i="6"/>
  <c r="I672" i="6"/>
  <c r="J670" i="6"/>
  <c r="J672" i="6"/>
  <c r="J673" i="6"/>
  <c r="J1763" i="4"/>
  <c r="I1821" i="3"/>
  <c r="BO2280" i="3"/>
  <c r="J122" i="6"/>
  <c r="J132" i="6"/>
  <c r="J133" i="6"/>
  <c r="J121" i="6"/>
  <c r="J1941" i="2"/>
  <c r="J1933" i="2"/>
  <c r="BV2393" i="1"/>
  <c r="J2036" i="1"/>
  <c r="I1817" i="3"/>
  <c r="BO2276" i="3"/>
  <c r="I1462" i="4"/>
  <c r="BC2110" i="4"/>
  <c r="R2393" i="1"/>
  <c r="J508" i="1"/>
  <c r="I1943" i="2"/>
  <c r="BR2192" i="2"/>
  <c r="I1929" i="2"/>
  <c r="BR2180" i="2"/>
  <c r="I1932" i="2"/>
  <c r="BR2183" i="2"/>
  <c r="J605" i="6"/>
  <c r="J1393" i="4"/>
  <c r="J1395" i="4"/>
  <c r="J1396" i="4"/>
  <c r="I1395" i="4"/>
  <c r="AZ2122" i="4"/>
  <c r="J805" i="3"/>
  <c r="AC2291" i="3"/>
  <c r="I2251" i="3"/>
  <c r="CE2278" i="3"/>
  <c r="J2261" i="3"/>
  <c r="I2249" i="3"/>
  <c r="CE2276" i="3"/>
  <c r="I2263" i="3"/>
  <c r="CE2288" i="3"/>
  <c r="I1874" i="2"/>
  <c r="BP2181" i="2"/>
  <c r="I1760" i="4"/>
  <c r="BN2111" i="4"/>
  <c r="BP2305" i="3"/>
  <c r="I1640" i="4"/>
  <c r="I311" i="6"/>
  <c r="M878" i="6"/>
  <c r="J1569" i="2"/>
  <c r="J1565" i="2"/>
  <c r="J1579" i="2"/>
  <c r="J1580" i="2"/>
  <c r="J1568" i="2"/>
  <c r="J1567" i="2"/>
  <c r="BE2299" i="3"/>
  <c r="CF2283" i="3"/>
  <c r="I498" i="2"/>
  <c r="S2181" i="2"/>
  <c r="I499" i="2"/>
  <c r="S2182" i="2"/>
  <c r="I511" i="2"/>
  <c r="S2192" i="2"/>
  <c r="T2192" i="2"/>
  <c r="AH2192" i="2"/>
  <c r="AO2192" i="2"/>
  <c r="AY2192" i="2"/>
  <c r="AZ2192" i="2"/>
  <c r="BC2192" i="2"/>
  <c r="BF2192" i="2"/>
  <c r="BN2192" i="2"/>
  <c r="BO2192" i="2"/>
  <c r="BS2192" i="2"/>
  <c r="BZ2192" i="2"/>
  <c r="CA2192" i="2"/>
  <c r="J509" i="2"/>
  <c r="J293" i="4"/>
  <c r="J294" i="4"/>
  <c r="I153" i="1"/>
  <c r="AL2194" i="2"/>
  <c r="I1048" i="2"/>
  <c r="AL2195" i="2"/>
  <c r="I1049" i="2"/>
  <c r="BX2122" i="4"/>
  <c r="I2043" i="4"/>
  <c r="J2041" i="4"/>
  <c r="I2033" i="4"/>
  <c r="BX2114" i="4"/>
  <c r="I2032" i="4"/>
  <c r="BX2113" i="4"/>
  <c r="I1877" i="2"/>
  <c r="BP2184" i="2"/>
  <c r="J1455" i="2"/>
  <c r="AH885" i="6"/>
  <c r="S2208" i="2"/>
  <c r="CA2191" i="2"/>
  <c r="N2408" i="1"/>
  <c r="BL2393" i="1"/>
  <c r="J1766" i="1"/>
  <c r="AH881" i="6"/>
  <c r="J1384" i="4"/>
  <c r="J1341" i="4"/>
  <c r="J1342" i="4"/>
  <c r="J1329" i="4"/>
  <c r="J1327" i="4"/>
  <c r="J1331" i="4"/>
  <c r="I2252" i="3"/>
  <c r="CE2279" i="3"/>
  <c r="I1587" i="5"/>
  <c r="BH1641" i="5"/>
  <c r="AE903" i="6"/>
  <c r="AB886" i="6"/>
  <c r="J724" i="6"/>
  <c r="J726" i="6"/>
  <c r="J727" i="6"/>
  <c r="I726" i="6"/>
  <c r="CA2408" i="1"/>
  <c r="BZ2408" i="1"/>
  <c r="J606" i="6"/>
  <c r="BC2210" i="2"/>
  <c r="E2378" i="1"/>
  <c r="E2373" i="1"/>
  <c r="CA2137" i="4"/>
  <c r="CB2137" i="4"/>
  <c r="R2126" i="4"/>
  <c r="I462" i="4"/>
  <c r="R2116" i="4"/>
  <c r="J472" i="4"/>
  <c r="I461" i="4"/>
  <c r="R2115" i="4"/>
  <c r="P2374" i="1"/>
  <c r="P2379" i="1"/>
  <c r="I2291" i="3"/>
  <c r="J222" i="3"/>
  <c r="AP2291" i="3"/>
  <c r="J1157" i="3"/>
  <c r="BY2194" i="2"/>
  <c r="I2140" i="2"/>
  <c r="BY2195" i="2"/>
  <c r="BH2288" i="3"/>
  <c r="I1642" i="3"/>
  <c r="J1640" i="3"/>
  <c r="J1629" i="3"/>
  <c r="I1629" i="3"/>
  <c r="BH2277" i="3"/>
  <c r="BI2305" i="3"/>
  <c r="I55" i="5"/>
  <c r="J638" i="4"/>
  <c r="J639" i="4"/>
  <c r="J628" i="4"/>
  <c r="J627" i="4"/>
  <c r="J624" i="4"/>
  <c r="J500" i="2"/>
  <c r="J733" i="4"/>
  <c r="J747" i="4"/>
  <c r="J748" i="4"/>
  <c r="J737" i="4"/>
  <c r="J736" i="4"/>
  <c r="I1957" i="2"/>
  <c r="BS2180" i="2"/>
  <c r="AT1667" i="5"/>
  <c r="V2291" i="3"/>
  <c r="J580" i="3"/>
  <c r="BE2303" i="3"/>
  <c r="CF2303" i="3"/>
  <c r="CG2303" i="3"/>
  <c r="CF2287" i="3"/>
  <c r="I1099" i="4"/>
  <c r="AO2125" i="4"/>
  <c r="AO2124" i="4"/>
  <c r="I1100" i="4"/>
  <c r="I841" i="2"/>
  <c r="AE2184" i="2"/>
  <c r="G2140" i="4"/>
  <c r="CA2134" i="4"/>
  <c r="R2124" i="4"/>
  <c r="I471" i="4"/>
  <c r="R2125" i="4"/>
  <c r="J764" i="4"/>
  <c r="M2291" i="3"/>
  <c r="J335" i="3"/>
  <c r="I538" i="6"/>
  <c r="U889" i="6"/>
  <c r="I539" i="6"/>
  <c r="U888" i="6"/>
  <c r="I1073" i="5"/>
  <c r="AO1640" i="5"/>
  <c r="J2030" i="4"/>
  <c r="J662" i="6"/>
  <c r="CB2393" i="1"/>
  <c r="J2198" i="1"/>
  <c r="I1072" i="5"/>
  <c r="AO1639" i="5"/>
  <c r="P2376" i="1"/>
  <c r="P2381" i="1"/>
  <c r="X2408" i="1"/>
  <c r="I426" i="2"/>
  <c r="J715" i="6"/>
  <c r="J1875" i="2"/>
  <c r="I1262" i="5"/>
  <c r="AV1640" i="5"/>
  <c r="BS2305" i="3"/>
  <c r="BK2140" i="4"/>
  <c r="I368" i="2"/>
  <c r="N2195" i="2"/>
  <c r="N2194" i="2"/>
  <c r="J430" i="4"/>
  <c r="J429" i="4"/>
  <c r="J442" i="4"/>
  <c r="J443" i="4"/>
  <c r="BD2382" i="1"/>
  <c r="BD2377" i="1"/>
  <c r="BA2373" i="1"/>
  <c r="BA2378" i="1"/>
  <c r="S2124" i="4"/>
  <c r="I499" i="4"/>
  <c r="S2125" i="4"/>
  <c r="AM2378" i="1"/>
  <c r="AM2373" i="1"/>
  <c r="AQ2379" i="1"/>
  <c r="AQ2374" i="1"/>
  <c r="I1559" i="5"/>
  <c r="BG1640" i="5"/>
  <c r="J2031" i="4"/>
  <c r="I1931" i="2"/>
  <c r="BR2182" i="2"/>
  <c r="B51" i="11"/>
  <c r="I25" i="11"/>
  <c r="B52" i="11"/>
  <c r="I26" i="11"/>
  <c r="J979" i="2"/>
  <c r="J978" i="2"/>
  <c r="J991" i="2"/>
  <c r="J992" i="2"/>
  <c r="CA2119" i="4"/>
  <c r="J291" i="4"/>
  <c r="J376" i="4"/>
  <c r="J1130" i="3"/>
  <c r="AO2291" i="3"/>
  <c r="J713" i="6"/>
  <c r="BB1667" i="5"/>
  <c r="BW2291" i="3"/>
  <c r="J2048" i="3"/>
  <c r="I607" i="6"/>
  <c r="X877" i="6"/>
  <c r="AX1649" i="5"/>
  <c r="J1325" i="5"/>
  <c r="I1327" i="5"/>
  <c r="I1316" i="5"/>
  <c r="AX1640" i="5"/>
  <c r="J1555" i="4"/>
  <c r="J1557" i="4"/>
  <c r="J1558" i="4"/>
  <c r="BF2122" i="4"/>
  <c r="I1557" i="4"/>
  <c r="J120" i="6"/>
  <c r="J103" i="6"/>
  <c r="J93" i="6"/>
  <c r="E886" i="6"/>
  <c r="I105" i="6"/>
  <c r="I94" i="6"/>
  <c r="E877" i="6"/>
  <c r="I95" i="6"/>
  <c r="E878" i="6"/>
  <c r="AM2377" i="1"/>
  <c r="AM2382" i="1"/>
  <c r="J1184" i="3"/>
  <c r="AQ2291" i="3"/>
  <c r="AJ1667" i="5"/>
  <c r="BD2373" i="1"/>
  <c r="BD2378" i="1"/>
  <c r="BJ1662" i="5"/>
  <c r="BK1662" i="5"/>
  <c r="J2124" i="4"/>
  <c r="J1873" i="2"/>
  <c r="J1178" i="5"/>
  <c r="J152" i="1"/>
  <c r="J433" i="4"/>
  <c r="J434" i="4"/>
  <c r="BV2194" i="2"/>
  <c r="I2056" i="2"/>
  <c r="BV2195" i="2"/>
  <c r="I2057" i="2"/>
  <c r="AV2124" i="4"/>
  <c r="I1288" i="4"/>
  <c r="AV2125" i="4"/>
  <c r="AR2291" i="3"/>
  <c r="J1211" i="3"/>
  <c r="I1876" i="2"/>
  <c r="BP2183" i="2"/>
  <c r="I1865" i="1"/>
  <c r="BP2384" i="1"/>
  <c r="J1875" i="1"/>
  <c r="BP2394" i="1"/>
  <c r="I1864" i="1"/>
  <c r="BP2383" i="1"/>
  <c r="J516" i="4"/>
  <c r="J526" i="4"/>
  <c r="J527" i="4"/>
  <c r="J515" i="4"/>
  <c r="BK2393" i="1"/>
  <c r="J1739" i="1"/>
  <c r="L890" i="6"/>
  <c r="I285" i="6"/>
  <c r="L879" i="6"/>
  <c r="J296" i="6"/>
  <c r="I286" i="6"/>
  <c r="L880" i="6"/>
  <c r="J321" i="4"/>
  <c r="J322" i="4"/>
  <c r="I1962" i="4"/>
  <c r="BU2122" i="4"/>
  <c r="J1960" i="4"/>
  <c r="I1951" i="4"/>
  <c r="BU2113" i="4"/>
  <c r="I1949" i="4"/>
  <c r="BU2111" i="4"/>
  <c r="I1950" i="4"/>
  <c r="BU2112" i="4"/>
  <c r="CA2291" i="3"/>
  <c r="J2156" i="3"/>
  <c r="J714" i="6"/>
  <c r="J2090" i="1"/>
  <c r="BX2393" i="1"/>
  <c r="J513" i="4"/>
  <c r="V2124" i="4"/>
  <c r="I583" i="4"/>
  <c r="V2125" i="4"/>
  <c r="I829" i="4"/>
  <c r="AE2125" i="4"/>
  <c r="I830" i="4"/>
  <c r="AE2124" i="4"/>
  <c r="J843" i="4"/>
  <c r="I883" i="4"/>
  <c r="AG2125" i="4"/>
  <c r="AG2124" i="4"/>
  <c r="I884" i="4"/>
  <c r="I605" i="6"/>
  <c r="X875" i="6"/>
  <c r="BB2381" i="1"/>
  <c r="BB2376" i="1"/>
  <c r="AT2124" i="4"/>
  <c r="I1234" i="4"/>
  <c r="I1235" i="4"/>
  <c r="AT2125" i="4"/>
  <c r="I1882" i="4"/>
  <c r="BR2125" i="4"/>
  <c r="BR2124" i="4"/>
  <c r="J1760" i="4"/>
  <c r="J311" i="6"/>
  <c r="I1071" i="5"/>
  <c r="AO1638" i="5"/>
  <c r="J1721" i="3"/>
  <c r="J1711" i="3"/>
  <c r="I1580" i="2"/>
  <c r="BE2195" i="2"/>
  <c r="BE2194" i="2"/>
  <c r="C61" i="11"/>
  <c r="D61" i="11"/>
  <c r="B66" i="11"/>
  <c r="C66" i="11"/>
  <c r="D66" i="11"/>
  <c r="BH2302" i="3"/>
  <c r="CF2302" i="3"/>
  <c r="CG2302" i="3"/>
  <c r="CF2286" i="3"/>
  <c r="BI2408" i="1"/>
  <c r="CA2188" i="2"/>
  <c r="J156" i="4"/>
  <c r="J157" i="4"/>
  <c r="G886" i="6"/>
  <c r="I159" i="6"/>
  <c r="J157" i="6"/>
  <c r="J159" i="6"/>
  <c r="J160" i="6"/>
  <c r="CA2393" i="1"/>
  <c r="J2171" i="1"/>
  <c r="J1877" i="2"/>
  <c r="BU2393" i="1"/>
  <c r="J2009" i="1"/>
  <c r="J1453" i="2"/>
  <c r="AH901" i="6"/>
  <c r="AI901" i="6"/>
  <c r="J501" i="2"/>
  <c r="X2393" i="1"/>
  <c r="J675" i="1"/>
  <c r="I2375" i="1"/>
  <c r="I2380" i="1"/>
  <c r="D903" i="6"/>
  <c r="AH897" i="6"/>
  <c r="AI897" i="6"/>
  <c r="J2244" i="1"/>
  <c r="J2237" i="1"/>
  <c r="CD2385" i="1"/>
  <c r="CD2402" i="1"/>
  <c r="I2237" i="1"/>
  <c r="CD2378" i="1"/>
  <c r="J508" i="6"/>
  <c r="J496" i="6"/>
  <c r="T886" i="6"/>
  <c r="I510" i="6"/>
  <c r="I500" i="6"/>
  <c r="T878" i="6"/>
  <c r="BT2408" i="1"/>
  <c r="I1723" i="3"/>
  <c r="J1709" i="3"/>
  <c r="BK2288" i="3"/>
  <c r="J1521" i="2"/>
  <c r="J1523" i="2"/>
  <c r="J1524" i="2"/>
  <c r="I1523" i="2"/>
  <c r="CI2385" i="1"/>
  <c r="AC2124" i="4"/>
  <c r="I775" i="4"/>
  <c r="AC2125" i="4"/>
  <c r="I638" i="1"/>
  <c r="W2384" i="1"/>
  <c r="W2394" i="1"/>
  <c r="J648" i="1"/>
  <c r="I637" i="1"/>
  <c r="W2383" i="1"/>
  <c r="I655" i="3"/>
  <c r="X2281" i="3"/>
  <c r="X2292" i="3"/>
  <c r="J666" i="3"/>
  <c r="I656" i="3"/>
  <c r="X2282" i="3"/>
  <c r="J1986" i="2"/>
  <c r="J1708" i="2"/>
  <c r="AQ1651" i="5"/>
  <c r="I1139" i="5"/>
  <c r="AQ1652" i="5"/>
  <c r="I1140" i="5"/>
  <c r="J1697" i="3"/>
  <c r="BJ2291" i="3"/>
  <c r="I1511" i="2"/>
  <c r="BC2182" i="2"/>
  <c r="I239" i="4"/>
  <c r="J2115" i="4"/>
  <c r="I240" i="4"/>
  <c r="J2116" i="4"/>
  <c r="J250" i="4"/>
  <c r="AR2379" i="1"/>
  <c r="AR2374" i="1"/>
  <c r="J374" i="4"/>
  <c r="AB2124" i="4"/>
  <c r="I748" i="4"/>
  <c r="AB2125" i="4"/>
  <c r="I2381" i="1"/>
  <c r="I2376" i="1"/>
  <c r="AS2291" i="3"/>
  <c r="J1238" i="3"/>
  <c r="J2056" i="4"/>
  <c r="J2070" i="4"/>
  <c r="J2071" i="4"/>
  <c r="J1595" i="5"/>
  <c r="J1585" i="5"/>
  <c r="V886" i="6"/>
  <c r="I564" i="6"/>
  <c r="J562" i="6"/>
  <c r="I552" i="6"/>
  <c r="V876" i="6"/>
  <c r="I551" i="6"/>
  <c r="V875" i="6"/>
  <c r="I1182" i="5"/>
  <c r="AS1641" i="5"/>
  <c r="I1074" i="5"/>
  <c r="AO1641" i="5"/>
  <c r="J1457" i="2"/>
  <c r="I1512" i="2"/>
  <c r="BC2183" i="2"/>
  <c r="I517" i="4"/>
  <c r="T2115" i="4"/>
  <c r="T2126" i="4"/>
  <c r="I518" i="4"/>
  <c r="T2116" i="4"/>
  <c r="J528" i="4"/>
  <c r="J1084" i="4"/>
  <c r="J1098" i="4"/>
  <c r="J1099" i="4"/>
  <c r="J1086" i="4"/>
  <c r="I1385" i="4"/>
  <c r="AZ2114" i="4"/>
  <c r="J841" i="2"/>
  <c r="J459" i="4"/>
  <c r="J456" i="4"/>
  <c r="J470" i="4"/>
  <c r="J471" i="4"/>
  <c r="L2376" i="1"/>
  <c r="L2381" i="1"/>
  <c r="I147" i="6"/>
  <c r="G876" i="6"/>
  <c r="BQ2305" i="3"/>
  <c r="I1973" i="1"/>
  <c r="BT2384" i="1"/>
  <c r="J1983" i="1"/>
  <c r="BT2394" i="1"/>
  <c r="I1972" i="1"/>
  <c r="BT2383" i="1"/>
  <c r="J1626" i="2"/>
  <c r="J1627" i="2"/>
  <c r="J1600" i="4"/>
  <c r="J1073" i="5"/>
  <c r="J2071" i="2"/>
  <c r="BJ1648" i="5"/>
  <c r="I1625" i="5"/>
  <c r="BI1652" i="5"/>
  <c r="BI1651" i="5"/>
  <c r="I1626" i="5"/>
  <c r="J822" i="6"/>
  <c r="J2251" i="1"/>
  <c r="I2252" i="1"/>
  <c r="I2253" i="1"/>
  <c r="CD2392" i="1"/>
  <c r="BZ2305" i="3"/>
  <c r="J2199" i="1"/>
  <c r="I2188" i="1"/>
  <c r="CB2383" i="1"/>
  <c r="CB2394" i="1"/>
  <c r="I2189" i="1"/>
  <c r="CB2384" i="1"/>
  <c r="BN2210" i="2"/>
  <c r="AY2210" i="2"/>
  <c r="J1179" i="4"/>
  <c r="J1180" i="4"/>
  <c r="J1165" i="4"/>
  <c r="J1169" i="4"/>
  <c r="J1061" i="4"/>
  <c r="J1071" i="4"/>
  <c r="J1072" i="4"/>
  <c r="J1057" i="4"/>
  <c r="J1059" i="4"/>
  <c r="AA2291" i="3"/>
  <c r="J749" i="3"/>
  <c r="BG1667" i="5"/>
  <c r="I1875" i="2"/>
  <c r="BP2182" i="2"/>
  <c r="J119" i="6"/>
  <c r="J354" i="2"/>
  <c r="J355" i="2"/>
  <c r="J353" i="2"/>
  <c r="J367" i="2"/>
  <c r="J368" i="2"/>
  <c r="J357" i="2"/>
  <c r="J148" i="6"/>
  <c r="AH883" i="6"/>
  <c r="J2059" i="4"/>
  <c r="J1931" i="2"/>
  <c r="J1343" i="5"/>
  <c r="I1261" i="5"/>
  <c r="AV1639" i="5"/>
  <c r="J1128" i="5"/>
  <c r="J10" i="11"/>
  <c r="J14" i="11"/>
  <c r="J24" i="11"/>
  <c r="J25" i="11"/>
  <c r="J12" i="11"/>
  <c r="J13" i="11"/>
  <c r="BB2393" i="1"/>
  <c r="J1496" i="1"/>
  <c r="N2374" i="1"/>
  <c r="N2379" i="1"/>
  <c r="J742" i="6"/>
  <c r="J739" i="6"/>
  <c r="J741" i="6"/>
  <c r="J753" i="6"/>
  <c r="J754" i="6"/>
  <c r="J743" i="6"/>
  <c r="BW2292" i="3"/>
  <c r="I2038" i="3"/>
  <c r="BW2281" i="3"/>
  <c r="J2049" i="3"/>
  <c r="I2039" i="3"/>
  <c r="BW2282" i="3"/>
  <c r="BQ2196" i="2"/>
  <c r="J1917" i="2"/>
  <c r="I1906" i="2"/>
  <c r="BQ2185" i="2"/>
  <c r="I1907" i="2"/>
  <c r="BQ2186" i="2"/>
  <c r="I1680" i="4"/>
  <c r="BK2112" i="4"/>
  <c r="AU1667" i="5"/>
  <c r="J1543" i="4"/>
  <c r="BP2408" i="1"/>
  <c r="I1710" i="3"/>
  <c r="BK2277" i="3"/>
  <c r="J497" i="3"/>
  <c r="S2291" i="3"/>
  <c r="AD2194" i="2"/>
  <c r="I824" i="2"/>
  <c r="AD2195" i="2"/>
  <c r="I825" i="2"/>
  <c r="J91" i="6"/>
  <c r="I667" i="4"/>
  <c r="Y2125" i="4"/>
  <c r="Y2124" i="4"/>
  <c r="J656" i="4"/>
  <c r="J652" i="4"/>
  <c r="J666" i="4"/>
  <c r="J667" i="4"/>
  <c r="J655" i="4"/>
  <c r="J1373" i="3"/>
  <c r="AX2291" i="3"/>
  <c r="I1632" i="3"/>
  <c r="BH2280" i="3"/>
  <c r="BD2408" i="1"/>
  <c r="J1330" i="4"/>
  <c r="J149" i="6"/>
  <c r="J2085" i="4"/>
  <c r="J2097" i="4"/>
  <c r="J2098" i="4"/>
  <c r="J1032" i="4"/>
  <c r="J1031" i="4"/>
  <c r="J1044" i="4"/>
  <c r="J1045" i="4"/>
  <c r="I1804" i="2"/>
  <c r="I1805" i="2"/>
  <c r="BM2194" i="2"/>
  <c r="BM2195" i="2"/>
  <c r="I430" i="6"/>
  <c r="I431" i="6"/>
  <c r="Q889" i="6"/>
  <c r="Q888" i="6"/>
  <c r="I888" i="6"/>
  <c r="I214" i="6"/>
  <c r="I215" i="6"/>
  <c r="I889" i="6"/>
  <c r="BH1649" i="5"/>
  <c r="I1597" i="5"/>
  <c r="I1586" i="5"/>
  <c r="BH1640" i="5"/>
  <c r="I1584" i="5"/>
  <c r="BH1638" i="5"/>
  <c r="I1583" i="5"/>
  <c r="BH1637" i="5"/>
  <c r="J1852" i="4"/>
  <c r="I1854" i="4"/>
  <c r="BQ2122" i="4"/>
  <c r="I1844" i="4"/>
  <c r="BQ2114" i="4"/>
  <c r="I1842" i="4"/>
  <c r="BQ2112" i="4"/>
  <c r="J1179" i="5"/>
  <c r="I935" i="2"/>
  <c r="J933" i="2"/>
  <c r="I922" i="2"/>
  <c r="AH2181" i="2"/>
  <c r="I923" i="2"/>
  <c r="AH2182" i="2"/>
  <c r="I921" i="2"/>
  <c r="AH2180" i="2"/>
  <c r="I924" i="2"/>
  <c r="AH2183" i="2"/>
  <c r="AF2124" i="4"/>
  <c r="I856" i="4"/>
  <c r="I857" i="4"/>
  <c r="AF2125" i="4"/>
  <c r="AM2381" i="1"/>
  <c r="AM2376" i="1"/>
  <c r="AW2292" i="3"/>
  <c r="J1347" i="3"/>
  <c r="I1337" i="3"/>
  <c r="AW2282" i="3"/>
  <c r="I1336" i="3"/>
  <c r="AW2281" i="3"/>
  <c r="J661" i="6"/>
  <c r="J489" i="4"/>
  <c r="J490" i="4"/>
  <c r="J2207" i="3"/>
  <c r="I2209" i="3"/>
  <c r="CC2288" i="3"/>
  <c r="I2196" i="3"/>
  <c r="CC2277" i="3"/>
  <c r="I2195" i="3"/>
  <c r="CC2276" i="3"/>
  <c r="I2197" i="3"/>
  <c r="CC2278" i="3"/>
  <c r="M979" i="9"/>
  <c r="M978" i="9"/>
  <c r="M977" i="9"/>
  <c r="J660" i="6"/>
  <c r="I1178" i="5"/>
  <c r="AS1637" i="5"/>
  <c r="J1545" i="4"/>
  <c r="AY2122" i="4"/>
  <c r="J1366" i="4"/>
  <c r="I1357" i="4"/>
  <c r="AY2113" i="4"/>
  <c r="I1368" i="4"/>
  <c r="I1358" i="4"/>
  <c r="AY2114" i="4"/>
  <c r="I1354" i="4"/>
  <c r="AY2110" i="4"/>
  <c r="I1355" i="4"/>
  <c r="AY2111" i="4"/>
  <c r="N2381" i="1"/>
  <c r="N2376" i="1"/>
  <c r="I341" i="2"/>
  <c r="J2042" i="2"/>
  <c r="J2045" i="2"/>
  <c r="J2043" i="2"/>
  <c r="J2055" i="2"/>
  <c r="J2056" i="2"/>
  <c r="J2044" i="2"/>
  <c r="J1070" i="5"/>
  <c r="L2375" i="1"/>
  <c r="L2380" i="1"/>
  <c r="I2199" i="3"/>
  <c r="CC2280" i="3"/>
  <c r="J604" i="6"/>
  <c r="J307" i="6"/>
  <c r="AL1667" i="5"/>
  <c r="I1686" i="1"/>
  <c r="AH884" i="6"/>
  <c r="AI1649" i="5"/>
  <c r="J920" i="5"/>
  <c r="I922" i="5"/>
  <c r="I912" i="5"/>
  <c r="AI1641" i="5"/>
  <c r="I909" i="5"/>
  <c r="AI1638" i="5"/>
  <c r="I911" i="5"/>
  <c r="AI1640" i="5"/>
  <c r="I609" i="3"/>
  <c r="Z903" i="6"/>
  <c r="I1763" i="4"/>
  <c r="BN2114" i="4"/>
  <c r="I1740" i="1"/>
  <c r="F888" i="6"/>
  <c r="I133" i="6"/>
  <c r="F889" i="6"/>
  <c r="I134" i="6"/>
  <c r="AY2379" i="1"/>
  <c r="AY2374" i="1"/>
  <c r="J1454" i="2"/>
  <c r="CD2288" i="3"/>
  <c r="I2236" i="3"/>
  <c r="J2234" i="3"/>
  <c r="J2225" i="3"/>
  <c r="I2222" i="3"/>
  <c r="CD2276" i="3"/>
  <c r="I2223" i="3"/>
  <c r="CD2277" i="3"/>
  <c r="I2224" i="3"/>
  <c r="CD2278" i="3"/>
  <c r="I2157" i="2"/>
  <c r="BZ2184" i="2"/>
  <c r="I2167" i="2"/>
  <c r="I2155" i="2"/>
  <c r="BZ2182" i="2"/>
  <c r="J2165" i="2"/>
  <c r="I2154" i="2"/>
  <c r="BZ2181" i="2"/>
  <c r="I2156" i="2"/>
  <c r="BZ2183" i="2"/>
  <c r="J1948" i="4"/>
  <c r="J608" i="6"/>
  <c r="I2026" i="1"/>
  <c r="BV2383" i="1"/>
  <c r="I2027" i="1"/>
  <c r="BV2384" i="1"/>
  <c r="BV2394" i="1"/>
  <c r="J2037" i="1"/>
  <c r="BO2305" i="3"/>
  <c r="J1474" i="4"/>
  <c r="J1476" i="4"/>
  <c r="J1477" i="4"/>
  <c r="BC2122" i="4"/>
  <c r="I1476" i="4"/>
  <c r="CA2118" i="4"/>
  <c r="J569" i="4"/>
  <c r="J572" i="4"/>
  <c r="J582" i="4"/>
  <c r="J583" i="4"/>
  <c r="J571" i="4"/>
  <c r="L2374" i="1"/>
  <c r="L2379" i="1"/>
  <c r="J882" i="4"/>
  <c r="J883" i="4"/>
  <c r="J870" i="4"/>
  <c r="J869" i="4"/>
  <c r="J187" i="1"/>
  <c r="J188" i="1"/>
  <c r="I540" i="2"/>
  <c r="J538" i="2"/>
  <c r="I527" i="2"/>
  <c r="T2181" i="2"/>
  <c r="I528" i="2"/>
  <c r="T2182" i="2"/>
  <c r="I529" i="2"/>
  <c r="T2183" i="2"/>
  <c r="I526" i="2"/>
  <c r="T2180" i="2"/>
  <c r="J1381" i="4"/>
  <c r="L2125" i="4"/>
  <c r="L2126" i="4"/>
  <c r="AH2122" i="4"/>
  <c r="AW2122" i="4"/>
  <c r="BK2122" i="4"/>
  <c r="BO2122" i="4"/>
  <c r="BP2122" i="4"/>
  <c r="CA2122" i="4"/>
  <c r="I896" i="4"/>
  <c r="AH2111" i="4"/>
  <c r="I898" i="4"/>
  <c r="AH2113" i="4"/>
  <c r="I899" i="4"/>
  <c r="AH2114" i="4"/>
  <c r="J907" i="4"/>
  <c r="I909" i="4"/>
  <c r="I895" i="4"/>
  <c r="AH2110" i="4"/>
  <c r="J1219" i="4"/>
  <c r="J1223" i="4"/>
  <c r="J1233" i="4"/>
  <c r="J1234" i="4"/>
  <c r="I2250" i="3"/>
  <c r="CE2277" i="3"/>
  <c r="I2253" i="3"/>
  <c r="CE2280" i="3"/>
  <c r="J499" i="6"/>
  <c r="I1818" i="3"/>
  <c r="BO2277" i="3"/>
  <c r="J1544" i="4"/>
  <c r="J1071" i="5"/>
  <c r="D45" i="11"/>
  <c r="C38" i="11"/>
  <c r="J1667" i="3"/>
  <c r="J1656" i="3"/>
  <c r="J497" i="2"/>
  <c r="J145" i="6"/>
  <c r="J153" i="1"/>
  <c r="J1047" i="2"/>
  <c r="J1048" i="2"/>
  <c r="J1033" i="2"/>
  <c r="I2029" i="4"/>
  <c r="BX2110" i="4"/>
  <c r="I2018" i="4"/>
  <c r="I1930" i="2"/>
  <c r="BR2181" i="2"/>
  <c r="J118" i="6"/>
  <c r="I676" i="1"/>
  <c r="BB2374" i="1"/>
  <c r="BB2379" i="1"/>
  <c r="N2373" i="1"/>
  <c r="N2378" i="1"/>
  <c r="I1767" i="1"/>
  <c r="I1384" i="4"/>
  <c r="AZ2113" i="4"/>
  <c r="AV2379" i="1"/>
  <c r="AV2374" i="1"/>
  <c r="I2374" i="1"/>
  <c r="I2379" i="1"/>
  <c r="AX2124" i="4"/>
  <c r="I1342" i="4"/>
  <c r="AX2125" i="4"/>
  <c r="I1300" i="4"/>
  <c r="AW2110" i="4"/>
  <c r="I1302" i="4"/>
  <c r="AW2112" i="4"/>
  <c r="I1304" i="4"/>
  <c r="AW2114" i="4"/>
  <c r="J1312" i="4"/>
  <c r="J1303" i="4"/>
  <c r="I1314" i="4"/>
  <c r="I1301" i="4"/>
  <c r="AW2111" i="4"/>
  <c r="J1192" i="4"/>
  <c r="J1196" i="4"/>
  <c r="J1206" i="4"/>
  <c r="J1207" i="4"/>
  <c r="J2252" i="3"/>
  <c r="I807" i="6"/>
  <c r="I793" i="6"/>
  <c r="AE874" i="6"/>
  <c r="J805" i="6"/>
  <c r="AE886" i="6"/>
  <c r="AH886" i="6"/>
  <c r="CD2388" i="1"/>
  <c r="CD2405" i="1"/>
  <c r="CI2405" i="1"/>
  <c r="CJ2405" i="1"/>
  <c r="J2247" i="1"/>
  <c r="J2240" i="1"/>
  <c r="I2240" i="1"/>
  <c r="CD2381" i="1"/>
  <c r="J712" i="6"/>
  <c r="J1406" i="5"/>
  <c r="BA1649" i="5"/>
  <c r="I1408" i="5"/>
  <c r="I1396" i="5"/>
  <c r="BA1639" i="5"/>
  <c r="I1395" i="5"/>
  <c r="BA1638" i="5"/>
  <c r="I1398" i="5"/>
  <c r="BA1641" i="5"/>
  <c r="I1397" i="5"/>
  <c r="BA1640" i="5"/>
  <c r="I606" i="6"/>
  <c r="X876" i="6"/>
  <c r="AY1651" i="5"/>
  <c r="I1355" i="5"/>
  <c r="AY1652" i="5"/>
  <c r="J1315" i="5"/>
  <c r="T903" i="6"/>
  <c r="I376" i="6"/>
  <c r="I377" i="6"/>
  <c r="O888" i="6"/>
  <c r="O889" i="6"/>
  <c r="BK2305" i="3"/>
  <c r="J1509" i="2"/>
  <c r="J947" i="5"/>
  <c r="J938" i="5"/>
  <c r="I108" i="1"/>
  <c r="I107" i="1"/>
  <c r="J109" i="1"/>
  <c r="E2390" i="1"/>
  <c r="I111" i="1"/>
  <c r="I99" i="1"/>
  <c r="I98" i="1"/>
  <c r="AQ2124" i="4"/>
  <c r="I1153" i="4"/>
  <c r="AQ2125" i="4"/>
  <c r="BA2376" i="1"/>
  <c r="BA2381" i="1"/>
  <c r="CA2136" i="4"/>
  <c r="CB2136" i="4"/>
  <c r="W2393" i="1"/>
  <c r="J647" i="1"/>
  <c r="X2291" i="3"/>
  <c r="J665" i="3"/>
  <c r="J820" i="6"/>
  <c r="J1317" i="5"/>
  <c r="J497" i="6"/>
  <c r="J1712" i="3"/>
  <c r="J1628" i="3"/>
  <c r="I1669" i="3"/>
  <c r="BI2288" i="3"/>
  <c r="J1659" i="3"/>
  <c r="I1659" i="3"/>
  <c r="BI2280" i="3"/>
  <c r="J1511" i="2"/>
  <c r="M2125" i="4"/>
  <c r="M2126" i="4"/>
  <c r="BJ1647" i="5"/>
  <c r="F2140" i="4"/>
  <c r="X2124" i="4"/>
  <c r="I639" i="4"/>
  <c r="X2125" i="4"/>
  <c r="I500" i="2"/>
  <c r="S2183" i="2"/>
  <c r="J612" i="4"/>
  <c r="I602" i="4"/>
  <c r="W2116" i="4"/>
  <c r="I601" i="4"/>
  <c r="W2115" i="4"/>
  <c r="W2126" i="4"/>
  <c r="I2071" i="4"/>
  <c r="I2072" i="4"/>
  <c r="BY2124" i="4"/>
  <c r="BY2125" i="4"/>
  <c r="BS2210" i="2"/>
  <c r="V903" i="6"/>
  <c r="J2054" i="1"/>
  <c r="J2053" i="1"/>
  <c r="J1599" i="4"/>
  <c r="J363" i="6"/>
  <c r="J1512" i="2"/>
  <c r="J1385" i="4"/>
  <c r="J512" i="4"/>
  <c r="AR2375" i="1"/>
  <c r="AR2380" i="1"/>
  <c r="N2375" i="1"/>
  <c r="N2380" i="1"/>
  <c r="AM2379" i="1"/>
  <c r="AM2374" i="1"/>
  <c r="I197" i="2"/>
  <c r="J553" i="6"/>
  <c r="I1821" i="2"/>
  <c r="BN2184" i="2"/>
  <c r="BQ2288" i="3"/>
  <c r="J1883" i="3"/>
  <c r="J1871" i="3"/>
  <c r="I1885" i="3"/>
  <c r="J1705" i="2"/>
  <c r="J308" i="6"/>
  <c r="I1789" i="4"/>
  <c r="BO2113" i="4"/>
  <c r="J1798" i="4"/>
  <c r="J1787" i="4"/>
  <c r="I1800" i="4"/>
  <c r="I1786" i="4"/>
  <c r="BO2110" i="4"/>
  <c r="I1790" i="4"/>
  <c r="BO2114" i="4"/>
  <c r="I1788" i="4"/>
  <c r="BO2112" i="4"/>
  <c r="BJ1665" i="5"/>
  <c r="BK1665" i="5"/>
  <c r="CD2386" i="1"/>
  <c r="CD2403" i="1"/>
  <c r="CI2403" i="1"/>
  <c r="CJ2403" i="1"/>
  <c r="J2245" i="1"/>
  <c r="J2238" i="1"/>
  <c r="I2238" i="1"/>
  <c r="CD2379" i="1"/>
  <c r="J2126" i="3"/>
  <c r="J2115" i="3"/>
  <c r="I2128" i="3"/>
  <c r="BZ2288" i="3"/>
  <c r="I662" i="6"/>
  <c r="Z878" i="6"/>
  <c r="I1958" i="2"/>
  <c r="BS2181" i="2"/>
  <c r="BZ2393" i="1"/>
  <c r="J2144" i="1"/>
  <c r="I1817" i="2"/>
  <c r="BN2180" i="2"/>
  <c r="I309" i="6"/>
  <c r="M876" i="6"/>
  <c r="J1072" i="5"/>
  <c r="J1575" i="3"/>
  <c r="J349" i="4"/>
  <c r="J350" i="4"/>
  <c r="J760" i="4"/>
  <c r="AN2124" i="4"/>
  <c r="I1072" i="4"/>
  <c r="AN2125" i="4"/>
  <c r="AP2124" i="4"/>
  <c r="I1126" i="4"/>
  <c r="AP2125" i="4"/>
  <c r="J1113" i="4"/>
  <c r="J1115" i="4"/>
  <c r="J1125" i="4"/>
  <c r="J1126" i="4"/>
  <c r="J1111" i="4"/>
  <c r="AV2380" i="1"/>
  <c r="AV2375" i="1"/>
  <c r="J92" i="6"/>
  <c r="J1988" i="2"/>
  <c r="BS2288" i="3"/>
  <c r="I1939" i="3"/>
  <c r="J1937" i="3"/>
  <c r="J1925" i="3"/>
  <c r="I1463" i="4"/>
  <c r="BC2111" i="4"/>
  <c r="Q2124" i="4"/>
  <c r="Q2125" i="4"/>
  <c r="I443" i="4"/>
  <c r="P2408" i="1"/>
  <c r="I1356" i="4"/>
  <c r="AY2112" i="4"/>
  <c r="AH899" i="6"/>
  <c r="AI899" i="6"/>
  <c r="CH2408" i="1"/>
  <c r="I1872" i="3"/>
  <c r="BQ2277" i="3"/>
  <c r="D49" i="11"/>
  <c r="D40" i="11"/>
  <c r="C51" i="11"/>
  <c r="C41" i="11"/>
  <c r="C39" i="11"/>
  <c r="C37" i="11"/>
  <c r="J925" i="2"/>
  <c r="L2373" i="1"/>
  <c r="L2378" i="1"/>
  <c r="W2124" i="4"/>
  <c r="I611" i="4"/>
  <c r="W2125" i="4"/>
  <c r="J897" i="4"/>
  <c r="Y2408" i="1"/>
  <c r="J797" i="6"/>
  <c r="AC888" i="6"/>
  <c r="I754" i="6"/>
  <c r="AC889" i="6"/>
  <c r="I713" i="6"/>
  <c r="AB875" i="6"/>
  <c r="I659" i="6"/>
  <c r="Z875" i="6"/>
  <c r="I1435" i="5"/>
  <c r="BB1649" i="5"/>
  <c r="J1433" i="5"/>
  <c r="J1435" i="5"/>
  <c r="J1436" i="5"/>
  <c r="J607" i="6"/>
  <c r="J1313" i="5"/>
  <c r="I498" i="6"/>
  <c r="T876" i="6"/>
  <c r="I1749" i="2"/>
  <c r="J1709" i="2"/>
  <c r="BF2140" i="4"/>
  <c r="J1605" i="2"/>
  <c r="J1607" i="2"/>
  <c r="J1608" i="2"/>
  <c r="I1607" i="2"/>
  <c r="I1510" i="2"/>
  <c r="BC2181" i="2"/>
  <c r="J823" i="2"/>
  <c r="J824" i="2"/>
  <c r="J811" i="2"/>
  <c r="J810" i="2"/>
  <c r="I91" i="6"/>
  <c r="E874" i="6"/>
  <c r="J1437" i="2"/>
  <c r="J1439" i="2"/>
  <c r="J1440" i="2"/>
  <c r="I1439" i="2"/>
  <c r="J514" i="4"/>
  <c r="P2380" i="1"/>
  <c r="P2375" i="1"/>
  <c r="J279" i="3"/>
  <c r="K2291" i="3"/>
  <c r="I253" i="2"/>
  <c r="J1632" i="3"/>
  <c r="I949" i="5"/>
  <c r="J949" i="5"/>
  <c r="J950" i="5"/>
  <c r="AJ1649" i="5"/>
  <c r="D888" i="6"/>
  <c r="I79" i="6"/>
  <c r="I80" i="6"/>
  <c r="D889" i="6"/>
  <c r="L2377" i="1"/>
  <c r="CI2377" i="1"/>
  <c r="CJ2377" i="1"/>
  <c r="L2382" i="1"/>
  <c r="AH898" i="6"/>
  <c r="AI898" i="6"/>
  <c r="B903" i="6"/>
  <c r="I2098" i="4"/>
  <c r="BZ2125" i="4"/>
  <c r="BZ2124" i="4"/>
  <c r="I2099" i="4"/>
  <c r="I1045" i="4"/>
  <c r="AM2125" i="4"/>
  <c r="AM2124" i="4"/>
  <c r="I630" i="4"/>
  <c r="X2116" i="4"/>
  <c r="J640" i="4"/>
  <c r="X2126" i="4"/>
  <c r="I629" i="4"/>
  <c r="X2115" i="4"/>
  <c r="I1994" i="3"/>
  <c r="I1995" i="3"/>
  <c r="BU2290" i="3"/>
  <c r="J1993" i="3"/>
  <c r="I739" i="4"/>
  <c r="AB2116" i="4"/>
  <c r="J749" i="4"/>
  <c r="AB2126" i="4"/>
  <c r="I738" i="4"/>
  <c r="AB2115" i="4"/>
  <c r="BT2290" i="3"/>
  <c r="I1967" i="3"/>
  <c r="J1966" i="3"/>
  <c r="I457" i="6"/>
  <c r="R889" i="6"/>
  <c r="R888" i="6"/>
  <c r="BB2124" i="4"/>
  <c r="I1450" i="4"/>
  <c r="BB2125" i="4"/>
  <c r="J405" i="4"/>
  <c r="J406" i="4"/>
  <c r="J910" i="5"/>
  <c r="CB2121" i="4"/>
  <c r="J1287" i="4"/>
  <c r="J1288" i="4"/>
  <c r="J1276" i="4"/>
  <c r="J1277" i="4"/>
  <c r="J1273" i="4"/>
  <c r="J1383" i="4"/>
  <c r="N2377" i="1"/>
  <c r="N2382" i="1"/>
  <c r="AM2375" i="1"/>
  <c r="AM2380" i="1"/>
  <c r="I1309" i="3"/>
  <c r="AV2281" i="3"/>
  <c r="AV2292" i="3"/>
  <c r="J1320" i="3"/>
  <c r="I1310" i="3"/>
  <c r="AV2282" i="3"/>
  <c r="J693" i="3"/>
  <c r="Y2291" i="3"/>
  <c r="J795" i="6"/>
  <c r="I2198" i="3"/>
  <c r="CC2279" i="3"/>
  <c r="J2199" i="3"/>
  <c r="I1843" i="4"/>
  <c r="BQ2113" i="4"/>
  <c r="J1876" i="2"/>
  <c r="I1845" i="2"/>
  <c r="BO2180" i="2"/>
  <c r="I1849" i="2"/>
  <c r="BO2184" i="2"/>
  <c r="I1859" i="2"/>
  <c r="J1857" i="2"/>
  <c r="I1848" i="2"/>
  <c r="BO2183" i="2"/>
  <c r="J1546" i="4"/>
  <c r="J1596" i="2"/>
  <c r="J1874" i="1"/>
  <c r="BP2393" i="1"/>
  <c r="BF2301" i="3"/>
  <c r="CF2301" i="3"/>
  <c r="CG2301" i="3"/>
  <c r="CF2285" i="3"/>
  <c r="J1001" i="5"/>
  <c r="J1003" i="5"/>
  <c r="J1004" i="5"/>
  <c r="AL1649" i="5"/>
  <c r="I1003" i="5"/>
  <c r="BD2376" i="1"/>
  <c r="BD2381" i="1"/>
  <c r="AH900" i="6"/>
  <c r="AI900" i="6"/>
  <c r="AI1661" i="5"/>
  <c r="BJ1644" i="5"/>
  <c r="T2124" i="4"/>
  <c r="I527" i="4"/>
  <c r="T2125" i="4"/>
  <c r="AV2394" i="1"/>
  <c r="J1335" i="1"/>
  <c r="I1325" i="1"/>
  <c r="AV2384" i="1"/>
  <c r="I1324" i="1"/>
  <c r="AV2383" i="1"/>
  <c r="J2111" i="2"/>
  <c r="J2112" i="2"/>
  <c r="J2101" i="2"/>
  <c r="J2097" i="2"/>
  <c r="J2098" i="2"/>
  <c r="J2099" i="2"/>
  <c r="J2296" i="1"/>
  <c r="J2297" i="1"/>
  <c r="J658" i="6"/>
  <c r="J1597" i="2"/>
  <c r="I1468" i="2"/>
  <c r="BA2195" i="2"/>
  <c r="BA2194" i="2"/>
  <c r="J2153" i="2"/>
  <c r="CD2387" i="1"/>
  <c r="CD2404" i="1"/>
  <c r="CI2404" i="1"/>
  <c r="CJ2404" i="1"/>
  <c r="J2246" i="1"/>
  <c r="J2239" i="1"/>
  <c r="I2239" i="1"/>
  <c r="CD2380" i="1"/>
  <c r="I2091" i="1"/>
  <c r="I1847" i="2"/>
  <c r="BO2182" i="2"/>
  <c r="I1831" i="3"/>
  <c r="BO2288" i="3"/>
  <c r="J1829" i="3"/>
  <c r="J1821" i="3"/>
  <c r="J1462" i="4"/>
  <c r="J509" i="1"/>
  <c r="I499" i="1"/>
  <c r="R2384" i="1"/>
  <c r="R2394" i="1"/>
  <c r="I498" i="1"/>
  <c r="R2383" i="1"/>
  <c r="J818" i="4"/>
  <c r="J814" i="4"/>
  <c r="J828" i="4"/>
  <c r="J829" i="4"/>
  <c r="J817" i="4"/>
  <c r="CI2402" i="1"/>
  <c r="AT2291" i="3"/>
  <c r="J1265" i="3"/>
  <c r="AF888" i="6"/>
  <c r="I835" i="6"/>
  <c r="AF889" i="6"/>
  <c r="I836" i="6"/>
  <c r="J2041" i="2"/>
  <c r="J1713" i="3"/>
  <c r="I991" i="5"/>
  <c r="AL1639" i="5"/>
  <c r="AF2379" i="1"/>
  <c r="AF2374" i="1"/>
  <c r="AZ2140" i="4"/>
  <c r="J289" i="4"/>
  <c r="J302" i="4"/>
  <c r="J303" i="4"/>
  <c r="J290" i="4"/>
  <c r="AC2292" i="3"/>
  <c r="I796" i="3"/>
  <c r="AC2282" i="3"/>
  <c r="I795" i="3"/>
  <c r="AC2281" i="3"/>
  <c r="J806" i="3"/>
  <c r="J2250" i="3"/>
  <c r="J2253" i="3"/>
  <c r="J716" i="6"/>
  <c r="J1989" i="2"/>
  <c r="J1881" i="4"/>
  <c r="J1882" i="4"/>
  <c r="J1871" i="4"/>
  <c r="J1868" i="4"/>
  <c r="J1869" i="4"/>
  <c r="J1874" i="2"/>
  <c r="I1858" i="3"/>
  <c r="BP2288" i="3"/>
  <c r="J1856" i="3"/>
  <c r="J1845" i="3"/>
  <c r="J1819" i="3"/>
  <c r="BE2288" i="3"/>
  <c r="I1561" i="3"/>
  <c r="J1559" i="3"/>
  <c r="J1547" i="3"/>
  <c r="I1550" i="3"/>
  <c r="BE2279" i="3"/>
  <c r="I1549" i="3"/>
  <c r="BE2278" i="3"/>
  <c r="I1548" i="3"/>
  <c r="BE2277" i="3"/>
  <c r="J1427" i="2"/>
  <c r="S2204" i="2"/>
  <c r="CA2187" i="2"/>
  <c r="J2029" i="4"/>
  <c r="I2172" i="1"/>
  <c r="J1930" i="2"/>
  <c r="I2010" i="1"/>
  <c r="BV2408" i="1"/>
  <c r="BJ2194" i="2"/>
  <c r="I1720" i="2"/>
  <c r="BJ2195" i="2"/>
  <c r="I1589" i="3"/>
  <c r="I1590" i="3"/>
  <c r="BF2290" i="3"/>
  <c r="J1588" i="3"/>
  <c r="J292" i="4"/>
  <c r="I146" i="6"/>
  <c r="G875" i="6"/>
  <c r="I214" i="2"/>
  <c r="I2185" i="2"/>
  <c r="I2196" i="2"/>
  <c r="I215" i="2"/>
  <c r="I2186" i="2"/>
  <c r="J225" i="2"/>
  <c r="AJ2291" i="3"/>
  <c r="J995" i="3"/>
  <c r="I1464" i="4"/>
  <c r="BC2112" i="4"/>
  <c r="CA2189" i="2"/>
  <c r="I25" i="6"/>
  <c r="I26" i="6"/>
  <c r="B889" i="6"/>
  <c r="B888" i="6"/>
  <c r="J10" i="6"/>
  <c r="J14" i="6"/>
  <c r="J24" i="6"/>
  <c r="J25" i="6"/>
  <c r="J13" i="6"/>
  <c r="I1207" i="4"/>
  <c r="AS2125" i="4"/>
  <c r="AS2124" i="4"/>
  <c r="J184" i="4"/>
  <c r="J185" i="4"/>
  <c r="J1587" i="5"/>
  <c r="J796" i="6"/>
  <c r="I1952" i="4"/>
  <c r="BU2114" i="4"/>
  <c r="AB903" i="6"/>
  <c r="J1394" i="5"/>
  <c r="I496" i="6"/>
  <c r="T874" i="6"/>
  <c r="AV1649" i="5"/>
  <c r="I1273" i="5"/>
  <c r="J1271" i="5"/>
  <c r="J1273" i="5"/>
  <c r="J1274" i="5"/>
  <c r="I1848" i="3"/>
  <c r="BP2280" i="3"/>
  <c r="BH2124" i="4"/>
  <c r="I1612" i="4"/>
  <c r="BH2125" i="4"/>
  <c r="I1613" i="4"/>
  <c r="I1709" i="3"/>
  <c r="BK2276" i="3"/>
  <c r="I1509" i="2"/>
  <c r="BC2180" i="2"/>
  <c r="J97" i="1"/>
  <c r="CA2120" i="4"/>
  <c r="J1142" i="4"/>
  <c r="J1140" i="4"/>
  <c r="J1152" i="4"/>
  <c r="J1153" i="4"/>
  <c r="J1138" i="4"/>
  <c r="AQ2381" i="1"/>
  <c r="AQ2376" i="1"/>
  <c r="J568" i="4"/>
  <c r="J774" i="4"/>
  <c r="J775" i="4"/>
  <c r="J763" i="4"/>
  <c r="I1148" i="3"/>
  <c r="AP2282" i="3"/>
  <c r="J1158" i="3"/>
  <c r="AP2292" i="3"/>
  <c r="I1147" i="3"/>
  <c r="AP2281" i="3"/>
  <c r="J2129" i="2"/>
  <c r="J2126" i="2"/>
  <c r="J2125" i="2"/>
  <c r="J2139" i="2"/>
  <c r="J2140" i="2"/>
  <c r="J2127" i="2"/>
  <c r="I1712" i="3"/>
  <c r="BK2279" i="3"/>
  <c r="BH2305" i="3"/>
  <c r="J330" i="4"/>
  <c r="J331" i="4"/>
  <c r="J318" i="4"/>
  <c r="BJ1664" i="5"/>
  <c r="BK1664" i="5"/>
  <c r="S2207" i="2"/>
  <c r="CA2190" i="2"/>
  <c r="BH2408" i="1"/>
  <c r="J1969" i="2"/>
  <c r="J1971" i="2"/>
  <c r="J1972" i="2"/>
  <c r="I1971" i="2"/>
  <c r="I550" i="6"/>
  <c r="V874" i="6"/>
  <c r="J1182" i="5"/>
  <c r="AT1649" i="5"/>
  <c r="I1219" i="5"/>
  <c r="J1217" i="5"/>
  <c r="J1219" i="5"/>
  <c r="J1220" i="5"/>
  <c r="J350" i="6"/>
  <c r="I339" i="6"/>
  <c r="N879" i="6"/>
  <c r="N890" i="6"/>
  <c r="I340" i="6"/>
  <c r="N880" i="6"/>
  <c r="J1074" i="5"/>
  <c r="J1566" i="2"/>
  <c r="I571" i="3"/>
  <c r="V2282" i="3"/>
  <c r="J581" i="3"/>
  <c r="V2292" i="3"/>
  <c r="I570" i="3"/>
  <c r="V2281" i="3"/>
  <c r="CA2117" i="4"/>
  <c r="J147" i="6"/>
  <c r="BH2393" i="1"/>
  <c r="J1658" i="1"/>
  <c r="I326" i="3"/>
  <c r="M2282" i="3"/>
  <c r="J336" i="3"/>
  <c r="M2292" i="3"/>
  <c r="I325" i="3"/>
  <c r="M2281" i="3"/>
  <c r="J821" i="6"/>
  <c r="J1985" i="2"/>
  <c r="I553" i="6"/>
  <c r="V877" i="6"/>
  <c r="BT2393" i="1"/>
  <c r="J1982" i="1"/>
  <c r="I308" i="6"/>
  <c r="M875" i="6"/>
  <c r="J890" i="6"/>
  <c r="I232" i="6"/>
  <c r="J880" i="6"/>
  <c r="I231" i="6"/>
  <c r="J879" i="6"/>
  <c r="J242" i="6"/>
  <c r="I1117" i="2"/>
  <c r="AO2180" i="2"/>
  <c r="I1131" i="2"/>
  <c r="I1121" i="2"/>
  <c r="AO2184" i="2"/>
  <c r="I1120" i="2"/>
  <c r="AO2183" i="2"/>
  <c r="J1129" i="2"/>
  <c r="J1118" i="2"/>
  <c r="BW2194" i="2"/>
  <c r="I2084" i="2"/>
  <c r="BW2195" i="2"/>
  <c r="J1610" i="5"/>
  <c r="J1624" i="5"/>
  <c r="J1625" i="5"/>
  <c r="J1613" i="5"/>
  <c r="J1612" i="5"/>
  <c r="J1611" i="5"/>
  <c r="I2030" i="4"/>
  <c r="BX2111" i="4"/>
  <c r="J1958" i="2"/>
  <c r="I1841" i="4"/>
  <c r="BQ2111" i="4"/>
  <c r="BZ2394" i="1"/>
  <c r="J2145" i="1"/>
  <c r="I2134" i="1"/>
  <c r="BZ2383" i="1"/>
  <c r="I2135" i="1"/>
  <c r="BZ2384" i="1"/>
  <c r="I1817" i="4"/>
  <c r="BP2114" i="4"/>
  <c r="I1816" i="4"/>
  <c r="BP2113" i="4"/>
  <c r="J1825" i="4"/>
  <c r="J1815" i="4"/>
  <c r="I1813" i="4"/>
  <c r="BP2110" i="4"/>
  <c r="I1814" i="4"/>
  <c r="BP2111" i="4"/>
  <c r="I1827" i="4"/>
  <c r="J1829" i="2"/>
  <c r="J1831" i="2"/>
  <c r="J1832" i="2"/>
  <c r="I1831" i="2"/>
  <c r="I1260" i="5"/>
  <c r="AV1638" i="5"/>
  <c r="I1845" i="3"/>
  <c r="BP2277" i="3"/>
  <c r="I1820" i="3"/>
  <c r="BO2279" i="3"/>
  <c r="J309" i="6"/>
  <c r="I1513" i="2"/>
  <c r="BC2184" i="2"/>
  <c r="J1409" i="2"/>
  <c r="J1397" i="2"/>
  <c r="I1411" i="2"/>
  <c r="I1399" i="2"/>
  <c r="AY2182" i="2"/>
  <c r="I1400" i="2"/>
  <c r="AY2183" i="2"/>
  <c r="I1398" i="2"/>
  <c r="AY2181" i="2"/>
  <c r="I1180" i="4"/>
  <c r="AR2125" i="4"/>
  <c r="AR2124" i="4"/>
  <c r="J129" i="4"/>
  <c r="J128" i="4"/>
  <c r="J868" i="4"/>
  <c r="J1076" i="3"/>
  <c r="AM2291" i="3"/>
  <c r="BG1649" i="5"/>
  <c r="J1568" i="5"/>
  <c r="I1570" i="5"/>
  <c r="I1557" i="5"/>
  <c r="BG1638" i="5"/>
  <c r="I1558" i="5"/>
  <c r="BG1639" i="5"/>
  <c r="I715" i="6"/>
  <c r="AB877" i="6"/>
  <c r="J1423" i="5"/>
  <c r="J1262" i="5"/>
  <c r="J1690" i="4"/>
  <c r="I1692" i="4"/>
  <c r="I1679" i="4"/>
  <c r="BK2111" i="4"/>
  <c r="J1124" i="5"/>
  <c r="BN2393" i="1"/>
  <c r="J1820" i="1"/>
  <c r="J316" i="4"/>
  <c r="BA2408" i="1"/>
  <c r="J498" i="4"/>
  <c r="J499" i="4"/>
  <c r="J485" i="4"/>
  <c r="J486" i="4"/>
  <c r="P2373" i="1"/>
  <c r="P2378" i="1"/>
  <c r="I148" i="6"/>
  <c r="G877" i="6"/>
  <c r="J1356" i="4"/>
  <c r="AM2408" i="1"/>
  <c r="I272" i="2"/>
  <c r="K2185" i="2"/>
  <c r="I273" i="2"/>
  <c r="K2186" i="2"/>
  <c r="J283" i="2"/>
  <c r="K2196" i="2"/>
  <c r="I2031" i="4"/>
  <c r="BX2112" i="4"/>
  <c r="I1372" i="5"/>
  <c r="AZ1642" i="5"/>
  <c r="J1383" i="5"/>
  <c r="AZ1653" i="5"/>
  <c r="I1373" i="5"/>
  <c r="AZ1643" i="5"/>
  <c r="I1787" i="4"/>
  <c r="BO2111" i="4"/>
  <c r="I990" i="5"/>
  <c r="AL1638" i="5"/>
  <c r="AJ2194" i="2"/>
  <c r="I992" i="2"/>
  <c r="I993" i="2"/>
  <c r="AJ2195" i="2"/>
  <c r="J530" i="2"/>
  <c r="J596" i="4"/>
  <c r="J598" i="4"/>
  <c r="J599" i="4"/>
  <c r="J600" i="4"/>
  <c r="J610" i="4"/>
  <c r="J611" i="4"/>
  <c r="J1131" i="3"/>
  <c r="AO2292" i="3"/>
  <c r="I1120" i="3"/>
  <c r="AO2281" i="3"/>
  <c r="I1121" i="3"/>
  <c r="AO2282" i="3"/>
  <c r="J659" i="6"/>
  <c r="J1421" i="5"/>
  <c r="J1341" i="5"/>
  <c r="AX1667" i="5"/>
  <c r="I1929" i="3"/>
  <c r="BS2280" i="3"/>
  <c r="S888" i="6"/>
  <c r="I484" i="6"/>
  <c r="S889" i="6"/>
  <c r="I1246" i="5"/>
  <c r="J1244" i="5"/>
  <c r="J1246" i="5"/>
  <c r="J1247" i="5"/>
  <c r="AU1649" i="5"/>
  <c r="I1208" i="5"/>
  <c r="AT1640" i="5"/>
  <c r="BF2210" i="2"/>
  <c r="J364" i="6"/>
  <c r="I498" i="3"/>
  <c r="E903" i="6"/>
  <c r="AZ2210" i="2"/>
  <c r="J1087" i="4"/>
  <c r="I1303" i="4"/>
  <c r="AW2113" i="4"/>
  <c r="I1175" i="3"/>
  <c r="AQ2282" i="3"/>
  <c r="I1174" i="3"/>
  <c r="AQ2281" i="3"/>
  <c r="AQ2292" i="3"/>
  <c r="J1185" i="3"/>
  <c r="J935" i="5"/>
  <c r="BJ1645" i="5"/>
  <c r="I73" i="4"/>
  <c r="D2116" i="4"/>
  <c r="J83" i="4"/>
  <c r="I72" i="4"/>
  <c r="D2115" i="4"/>
  <c r="J68" i="6"/>
  <c r="J67" i="6"/>
  <c r="J78" i="6"/>
  <c r="J79" i="6"/>
  <c r="J234" i="4"/>
  <c r="J238" i="4"/>
  <c r="J237" i="4"/>
  <c r="J248" i="4"/>
  <c r="J249" i="4"/>
  <c r="I149" i="6"/>
  <c r="G878" i="6"/>
  <c r="W2408" i="1"/>
  <c r="AH882" i="6"/>
  <c r="BD1651" i="5"/>
  <c r="I1490" i="5"/>
  <c r="BD1652" i="5"/>
  <c r="I1491" i="5"/>
  <c r="J1981" i="3"/>
  <c r="J1983" i="3"/>
  <c r="J1982" i="3"/>
  <c r="I574" i="4"/>
  <c r="V2116" i="4"/>
  <c r="J584" i="4"/>
  <c r="V2126" i="4"/>
  <c r="I573" i="4"/>
  <c r="V2115" i="4"/>
  <c r="CB2192" i="2"/>
  <c r="CA2194" i="2"/>
  <c r="BF2292" i="3"/>
  <c r="I1579" i="3"/>
  <c r="BF2281" i="3"/>
  <c r="I1580" i="3"/>
  <c r="BF2282" i="3"/>
  <c r="J1590" i="3"/>
  <c r="CB2122" i="4"/>
  <c r="CA2124" i="4"/>
  <c r="CA2114" i="4"/>
  <c r="I1985" i="3"/>
  <c r="BU2282" i="3"/>
  <c r="BU2292" i="3"/>
  <c r="I1984" i="3"/>
  <c r="BU2281" i="3"/>
  <c r="J1995" i="3"/>
  <c r="AI886" i="6"/>
  <c r="AH888" i="6"/>
  <c r="I1481" i="5"/>
  <c r="BD1643" i="5"/>
  <c r="J1491" i="5"/>
  <c r="BD1653" i="5"/>
  <c r="I1480" i="5"/>
  <c r="BD1642" i="5"/>
  <c r="BK1645" i="5"/>
  <c r="J1692" i="4"/>
  <c r="J1693" i="4"/>
  <c r="J1679" i="4"/>
  <c r="J1570" i="5"/>
  <c r="J1571" i="5"/>
  <c r="J1558" i="5"/>
  <c r="J1557" i="5"/>
  <c r="BP2124" i="4"/>
  <c r="I1828" i="4"/>
  <c r="BP2125" i="4"/>
  <c r="J325" i="3"/>
  <c r="J326" i="3"/>
  <c r="I485" i="6"/>
  <c r="I1181" i="4"/>
  <c r="I1412" i="2"/>
  <c r="AY2195" i="2"/>
  <c r="AY2194" i="2"/>
  <c r="BN2194" i="2"/>
  <c r="I1832" i="2"/>
  <c r="I1833" i="2"/>
  <c r="BN2195" i="2"/>
  <c r="J2134" i="1"/>
  <c r="J2135" i="1"/>
  <c r="AO2194" i="2"/>
  <c r="I1132" i="2"/>
  <c r="AO2195" i="2"/>
  <c r="CA2110" i="4"/>
  <c r="CB2117" i="4"/>
  <c r="CB2110" i="4"/>
  <c r="I1220" i="5"/>
  <c r="AT1652" i="5"/>
  <c r="AT1651" i="5"/>
  <c r="I1221" i="5"/>
  <c r="BS2194" i="2"/>
  <c r="I1972" i="2"/>
  <c r="BS2195" i="2"/>
  <c r="CA2183" i="2"/>
  <c r="CA2207" i="2"/>
  <c r="CB2207" i="2"/>
  <c r="CB2190" i="2"/>
  <c r="CB2183" i="2"/>
  <c r="I1999" i="1"/>
  <c r="BU2383" i="1"/>
  <c r="BU2394" i="1"/>
  <c r="I2000" i="1"/>
  <c r="BU2384" i="1"/>
  <c r="J2010" i="1"/>
  <c r="CA2180" i="2"/>
  <c r="CB2187" i="2"/>
  <c r="CB2180" i="2"/>
  <c r="CA2204" i="2"/>
  <c r="CB2204" i="2"/>
  <c r="BP2290" i="3"/>
  <c r="J1858" i="3"/>
  <c r="I1859" i="3"/>
  <c r="I1860" i="3"/>
  <c r="CI2408" i="1"/>
  <c r="CJ2408" i="1"/>
  <c r="CJ2402" i="1"/>
  <c r="J499" i="1"/>
  <c r="J498" i="1"/>
  <c r="BO2290" i="3"/>
  <c r="J1831" i="3"/>
  <c r="I1832" i="3"/>
  <c r="J1849" i="2"/>
  <c r="J1845" i="2"/>
  <c r="J1859" i="2"/>
  <c r="J1860" i="2"/>
  <c r="J1848" i="2"/>
  <c r="I1451" i="4"/>
  <c r="I458" i="6"/>
  <c r="BT2291" i="3"/>
  <c r="J1967" i="3"/>
  <c r="J739" i="4"/>
  <c r="J738" i="4"/>
  <c r="J629" i="4"/>
  <c r="J630" i="4"/>
  <c r="AH903" i="6"/>
  <c r="AI903" i="6"/>
  <c r="I755" i="6"/>
  <c r="I1127" i="4"/>
  <c r="I1073" i="4"/>
  <c r="J1820" i="3"/>
  <c r="J2128" i="3"/>
  <c r="I2129" i="3"/>
  <c r="I2130" i="3"/>
  <c r="BZ2290" i="3"/>
  <c r="I186" i="2"/>
  <c r="H2185" i="2"/>
  <c r="H2196" i="2"/>
  <c r="I187" i="2"/>
  <c r="H2186" i="2"/>
  <c r="J197" i="2"/>
  <c r="BY2126" i="4"/>
  <c r="J2072" i="4"/>
  <c r="I2061" i="4"/>
  <c r="BY2115" i="4"/>
  <c r="I2062" i="4"/>
  <c r="BY2116" i="4"/>
  <c r="J601" i="4"/>
  <c r="J602" i="4"/>
  <c r="BI2290" i="3"/>
  <c r="I1670" i="3"/>
  <c r="I1671" i="3"/>
  <c r="J1669" i="3"/>
  <c r="E2374" i="1"/>
  <c r="E2379" i="1"/>
  <c r="J99" i="1"/>
  <c r="J98" i="1"/>
  <c r="I367" i="6"/>
  <c r="O880" i="6"/>
  <c r="J377" i="6"/>
  <c r="O890" i="6"/>
  <c r="I366" i="6"/>
  <c r="O879" i="6"/>
  <c r="I1356" i="5"/>
  <c r="BA1651" i="5"/>
  <c r="I1409" i="5"/>
  <c r="BA1652" i="5"/>
  <c r="I1410" i="5"/>
  <c r="J807" i="6"/>
  <c r="J808" i="6"/>
  <c r="J793" i="6"/>
  <c r="I1315" i="4"/>
  <c r="AW2125" i="4"/>
  <c r="I1316" i="4"/>
  <c r="AW2124" i="4"/>
  <c r="X2394" i="1"/>
  <c r="I665" i="1"/>
  <c r="X2383" i="1"/>
  <c r="I666" i="1"/>
  <c r="X2384" i="1"/>
  <c r="J676" i="1"/>
  <c r="J1959" i="2"/>
  <c r="J896" i="4"/>
  <c r="J899" i="4"/>
  <c r="J898" i="4"/>
  <c r="J909" i="4"/>
  <c r="J910" i="4"/>
  <c r="J895" i="4"/>
  <c r="J1658" i="3"/>
  <c r="J1874" i="3"/>
  <c r="I2168" i="2"/>
  <c r="BZ2195" i="2"/>
  <c r="BZ2194" i="2"/>
  <c r="J1847" i="3"/>
  <c r="J922" i="5"/>
  <c r="J923" i="5"/>
  <c r="J909" i="5"/>
  <c r="J912" i="5"/>
  <c r="J911" i="5"/>
  <c r="J1207" i="5"/>
  <c r="AY2124" i="4"/>
  <c r="I1369" i="4"/>
  <c r="AY2125" i="4"/>
  <c r="J993" i="5"/>
  <c r="J1337" i="3"/>
  <c r="J1336" i="3"/>
  <c r="J923" i="2"/>
  <c r="J935" i="2"/>
  <c r="J936" i="2"/>
  <c r="J922" i="2"/>
  <c r="J921" i="2"/>
  <c r="J924" i="2"/>
  <c r="J1235" i="5"/>
  <c r="I1855" i="4"/>
  <c r="BQ2125" i="4"/>
  <c r="BQ2124" i="4"/>
  <c r="I1856" i="4"/>
  <c r="I1795" i="2"/>
  <c r="BM2186" i="2"/>
  <c r="BM2196" i="2"/>
  <c r="I1794" i="2"/>
  <c r="BM2185" i="2"/>
  <c r="J1805" i="2"/>
  <c r="J1208" i="5"/>
  <c r="J2188" i="1"/>
  <c r="J2189" i="1"/>
  <c r="J2253" i="1"/>
  <c r="CD2394" i="1"/>
  <c r="I2243" i="1"/>
  <c r="CD2384" i="1"/>
  <c r="I2242" i="1"/>
  <c r="CD2383" i="1"/>
  <c r="J1957" i="2"/>
  <c r="J937" i="5"/>
  <c r="J1234" i="5"/>
  <c r="I776" i="4"/>
  <c r="BC2194" i="2"/>
  <c r="I1524" i="2"/>
  <c r="BC2195" i="2"/>
  <c r="I160" i="6"/>
  <c r="I161" i="6"/>
  <c r="G888" i="6"/>
  <c r="G889" i="6"/>
  <c r="CA2205" i="2"/>
  <c r="CB2205" i="2"/>
  <c r="CB2188" i="2"/>
  <c r="CB2181" i="2"/>
  <c r="CA2181" i="2"/>
  <c r="I1883" i="4"/>
  <c r="J1819" i="2"/>
  <c r="AG2126" i="4"/>
  <c r="I873" i="4"/>
  <c r="AG2115" i="4"/>
  <c r="I874" i="4"/>
  <c r="AG2116" i="4"/>
  <c r="J884" i="4"/>
  <c r="J1962" i="4"/>
  <c r="J1963" i="4"/>
  <c r="J1950" i="4"/>
  <c r="J1951" i="4"/>
  <c r="J1949" i="4"/>
  <c r="J1547" i="4"/>
  <c r="J989" i="5"/>
  <c r="I369" i="2"/>
  <c r="I416" i="2"/>
  <c r="P2186" i="2"/>
  <c r="P2196" i="2"/>
  <c r="J426" i="2"/>
  <c r="I415" i="2"/>
  <c r="P2185" i="2"/>
  <c r="J1260" i="5"/>
  <c r="I1090" i="4"/>
  <c r="AO2116" i="4"/>
  <c r="I1089" i="4"/>
  <c r="AO2115" i="4"/>
  <c r="J1100" i="4"/>
  <c r="AO2126" i="4"/>
  <c r="CG2287" i="3"/>
  <c r="CF2288" i="3"/>
  <c r="CF2280" i="3"/>
  <c r="C1653" i="5"/>
  <c r="I44" i="5"/>
  <c r="C1642" i="5"/>
  <c r="J55" i="5"/>
  <c r="I45" i="5"/>
  <c r="C1643" i="5"/>
  <c r="BH2290" i="3"/>
  <c r="J1642" i="3"/>
  <c r="I1643" i="3"/>
  <c r="J462" i="4"/>
  <c r="J461" i="4"/>
  <c r="CI2373" i="1"/>
  <c r="CJ2373" i="1"/>
  <c r="J1259" i="5"/>
  <c r="J1952" i="4"/>
  <c r="G2374" i="1"/>
  <c r="G2379" i="1"/>
  <c r="CG2283" i="3"/>
  <c r="J1631" i="3"/>
  <c r="J1818" i="3"/>
  <c r="J2251" i="3"/>
  <c r="J2249" i="3"/>
  <c r="J1873" i="3"/>
  <c r="J1847" i="2"/>
  <c r="M888" i="6"/>
  <c r="I322" i="6"/>
  <c r="M889" i="6"/>
  <c r="I323" i="6"/>
  <c r="AE2194" i="2"/>
  <c r="I852" i="2"/>
  <c r="AE2195" i="2"/>
  <c r="AO1651" i="5"/>
  <c r="I1085" i="5"/>
  <c r="I1086" i="5"/>
  <c r="AO1652" i="5"/>
  <c r="G2380" i="1"/>
  <c r="G2375" i="1"/>
  <c r="J1192" i="5"/>
  <c r="J1193" i="5"/>
  <c r="J1180" i="5"/>
  <c r="J1382" i="4"/>
  <c r="J1229" i="3"/>
  <c r="J1228" i="3"/>
  <c r="J2147" i="3"/>
  <c r="J2146" i="3"/>
  <c r="J273" i="2"/>
  <c r="J272" i="2"/>
  <c r="I1603" i="4"/>
  <c r="BH2116" i="4"/>
  <c r="BH2126" i="4"/>
  <c r="J1613" i="4"/>
  <c r="I1602" i="4"/>
  <c r="BH2115" i="4"/>
  <c r="I16" i="6"/>
  <c r="B880" i="6"/>
  <c r="I15" i="6"/>
  <c r="B879" i="6"/>
  <c r="B890" i="6"/>
  <c r="J26" i="6"/>
  <c r="S2210" i="2"/>
  <c r="J1324" i="1"/>
  <c r="J1325" i="1"/>
  <c r="BK1644" i="5"/>
  <c r="CF2278" i="3"/>
  <c r="CG2285" i="3"/>
  <c r="I1860" i="2"/>
  <c r="BO2195" i="2"/>
  <c r="BO2194" i="2"/>
  <c r="J1310" i="3"/>
  <c r="J1309" i="3"/>
  <c r="CI2387" i="1"/>
  <c r="J1994" i="3"/>
  <c r="BU2291" i="3"/>
  <c r="I2089" i="4"/>
  <c r="BZ2116" i="4"/>
  <c r="J2099" i="4"/>
  <c r="BZ2126" i="4"/>
  <c r="I2088" i="4"/>
  <c r="BZ2115" i="4"/>
  <c r="J80" i="6"/>
  <c r="I70" i="6"/>
  <c r="D880" i="6"/>
  <c r="D890" i="6"/>
  <c r="I69" i="6"/>
  <c r="D879" i="6"/>
  <c r="I950" i="5"/>
  <c r="AJ1652" i="5"/>
  <c r="AJ1651" i="5"/>
  <c r="I1440" i="2"/>
  <c r="I1441" i="2"/>
  <c r="AZ2194" i="2"/>
  <c r="AZ2195" i="2"/>
  <c r="BF2194" i="2"/>
  <c r="I1608" i="2"/>
  <c r="BF2195" i="2"/>
  <c r="BB1651" i="5"/>
  <c r="I1436" i="5"/>
  <c r="BB1652" i="5"/>
  <c r="J1261" i="5"/>
  <c r="J1926" i="3"/>
  <c r="BO2124" i="4"/>
  <c r="I1801" i="4"/>
  <c r="BO2125" i="4"/>
  <c r="BK1647" i="5"/>
  <c r="E2380" i="1"/>
  <c r="E2375" i="1"/>
  <c r="CI2375" i="1"/>
  <c r="CJ2375" i="1"/>
  <c r="J107" i="1"/>
  <c r="E2388" i="1"/>
  <c r="J1927" i="3"/>
  <c r="J1314" i="4"/>
  <c r="J1315" i="4"/>
  <c r="J1300" i="4"/>
  <c r="J1304" i="4"/>
  <c r="J1302" i="4"/>
  <c r="J1301" i="4"/>
  <c r="I2007" i="4"/>
  <c r="BW2115" i="4"/>
  <c r="BW2126" i="4"/>
  <c r="I2008" i="4"/>
  <c r="BW2116" i="4"/>
  <c r="J2018" i="4"/>
  <c r="J528" i="2"/>
  <c r="J527" i="2"/>
  <c r="J540" i="2"/>
  <c r="J541" i="2"/>
  <c r="J526" i="2"/>
  <c r="J529" i="2"/>
  <c r="J1846" i="3"/>
  <c r="J2026" i="1"/>
  <c r="J2027" i="1"/>
  <c r="J2222" i="3"/>
  <c r="J2224" i="3"/>
  <c r="J2223" i="3"/>
  <c r="BJ1649" i="5"/>
  <c r="BJ1637" i="5"/>
  <c r="CC2290" i="3"/>
  <c r="J2209" i="3"/>
  <c r="I2210" i="3"/>
  <c r="I846" i="4"/>
  <c r="AF2115" i="4"/>
  <c r="I847" i="4"/>
  <c r="AF2116" i="4"/>
  <c r="J857" i="4"/>
  <c r="AF2126" i="4"/>
  <c r="AH2194" i="2"/>
  <c r="I936" i="2"/>
  <c r="AH2195" i="2"/>
  <c r="J1854" i="4"/>
  <c r="J1855" i="4"/>
  <c r="J1842" i="4"/>
  <c r="J1844" i="4"/>
  <c r="BH1651" i="5"/>
  <c r="I1598" i="5"/>
  <c r="BH1652" i="5"/>
  <c r="I205" i="6"/>
  <c r="I880" i="6"/>
  <c r="J215" i="6"/>
  <c r="I890" i="6"/>
  <c r="I204" i="6"/>
  <c r="I879" i="6"/>
  <c r="I420" i="6"/>
  <c r="Q879" i="6"/>
  <c r="Q890" i="6"/>
  <c r="I421" i="6"/>
  <c r="Q880" i="6"/>
  <c r="J431" i="6"/>
  <c r="I815" i="2"/>
  <c r="AD2186" i="2"/>
  <c r="I814" i="2"/>
  <c r="AD2185" i="2"/>
  <c r="AD2196" i="2"/>
  <c r="J825" i="2"/>
  <c r="J2038" i="3"/>
  <c r="J2039" i="3"/>
  <c r="AI883" i="6"/>
  <c r="AI876" i="6"/>
  <c r="AH876" i="6"/>
  <c r="J1263" i="5"/>
  <c r="J1205" i="5"/>
  <c r="J564" i="6"/>
  <c r="J565" i="6"/>
  <c r="J552" i="6"/>
  <c r="J551" i="6"/>
  <c r="J240" i="4"/>
  <c r="J239" i="4"/>
  <c r="AQ1653" i="5"/>
  <c r="J1140" i="5"/>
  <c r="I1130" i="5"/>
  <c r="AQ1643" i="5"/>
  <c r="I1129" i="5"/>
  <c r="AQ1642" i="5"/>
  <c r="J655" i="3"/>
  <c r="J656" i="3"/>
  <c r="J638" i="1"/>
  <c r="J637" i="1"/>
  <c r="BK2290" i="3"/>
  <c r="I1724" i="3"/>
  <c r="J1723" i="3"/>
  <c r="I1725" i="3"/>
  <c r="I511" i="6"/>
  <c r="T889" i="6"/>
  <c r="I512" i="6"/>
  <c r="T888" i="6"/>
  <c r="CD2408" i="1"/>
  <c r="J1844" i="3"/>
  <c r="J554" i="6"/>
  <c r="AE2126" i="4"/>
  <c r="J830" i="4"/>
  <c r="I820" i="4"/>
  <c r="AE2116" i="4"/>
  <c r="I819" i="4"/>
  <c r="AE2115" i="4"/>
  <c r="J1233" i="5"/>
  <c r="J1681" i="4"/>
  <c r="BV2196" i="2"/>
  <c r="I2047" i="2"/>
  <c r="BV2186" i="2"/>
  <c r="J2057" i="2"/>
  <c r="I2046" i="2"/>
  <c r="BV2185" i="2"/>
  <c r="E888" i="6"/>
  <c r="I106" i="6"/>
  <c r="E889" i="6"/>
  <c r="J992" i="5"/>
  <c r="I1328" i="5"/>
  <c r="AX1652" i="5"/>
  <c r="AX1651" i="5"/>
  <c r="I1329" i="5"/>
  <c r="CB2119" i="4"/>
  <c r="CB2112" i="4"/>
  <c r="CA2112" i="4"/>
  <c r="J1463" i="4"/>
  <c r="J1513" i="2"/>
  <c r="J1817" i="2"/>
  <c r="J539" i="6"/>
  <c r="I529" i="6"/>
  <c r="U880" i="6"/>
  <c r="U890" i="6"/>
  <c r="I528" i="6"/>
  <c r="U879" i="6"/>
  <c r="CB2134" i="4"/>
  <c r="CA2140" i="4"/>
  <c r="CB2140" i="4"/>
  <c r="J550" i="6"/>
  <c r="AB888" i="6"/>
  <c r="I727" i="6"/>
  <c r="AB889" i="6"/>
  <c r="I728" i="6"/>
  <c r="AI881" i="6"/>
  <c r="AI874" i="6"/>
  <c r="AH874" i="6"/>
  <c r="AI885" i="6"/>
  <c r="AI878" i="6"/>
  <c r="AH878" i="6"/>
  <c r="I1039" i="2"/>
  <c r="AL2186" i="2"/>
  <c r="AL2196" i="2"/>
  <c r="J1049" i="2"/>
  <c r="I1038" i="2"/>
  <c r="AL2185" i="2"/>
  <c r="S2194" i="2"/>
  <c r="I512" i="2"/>
  <c r="I513" i="2"/>
  <c r="S2195" i="2"/>
  <c r="BE2305" i="3"/>
  <c r="CF2299" i="3"/>
  <c r="I1396" i="4"/>
  <c r="I1397" i="4"/>
  <c r="AZ2125" i="4"/>
  <c r="AZ2124" i="4"/>
  <c r="BR2194" i="2"/>
  <c r="I1944" i="2"/>
  <c r="BR2195" i="2"/>
  <c r="J1682" i="4"/>
  <c r="I673" i="6"/>
  <c r="Z889" i="6"/>
  <c r="Z888" i="6"/>
  <c r="J321" i="6"/>
  <c r="J322" i="6"/>
  <c r="J310" i="6"/>
  <c r="J1843" i="4"/>
  <c r="J838" i="2"/>
  <c r="J839" i="2"/>
  <c r="J851" i="2"/>
  <c r="J852" i="2"/>
  <c r="J837" i="2"/>
  <c r="J840" i="2"/>
  <c r="BN2124" i="4"/>
  <c r="I1774" i="4"/>
  <c r="I1775" i="4"/>
  <c r="BN2125" i="4"/>
  <c r="I167" i="1"/>
  <c r="J167" i="1"/>
  <c r="I168" i="1"/>
  <c r="J166" i="1"/>
  <c r="G2389" i="1"/>
  <c r="J163" i="1"/>
  <c r="AS1651" i="5"/>
  <c r="I1193" i="5"/>
  <c r="AS1652" i="5"/>
  <c r="J1840" i="4"/>
  <c r="J1363" i="3"/>
  <c r="J1364" i="3"/>
  <c r="J1067" i="3"/>
  <c r="J1066" i="3"/>
  <c r="J1202" i="3"/>
  <c r="J1201" i="3"/>
  <c r="J72" i="4"/>
  <c r="J73" i="4"/>
  <c r="J1175" i="3"/>
  <c r="J1174" i="3"/>
  <c r="I488" i="3"/>
  <c r="S2282" i="3"/>
  <c r="J498" i="3"/>
  <c r="I487" i="3"/>
  <c r="S2281" i="3"/>
  <c r="S2292" i="3"/>
  <c r="J1372" i="5"/>
  <c r="J1373" i="5"/>
  <c r="J1411" i="2"/>
  <c r="J1412" i="2"/>
  <c r="J1398" i="2"/>
  <c r="J1399" i="2"/>
  <c r="J1400" i="2"/>
  <c r="J1131" i="2"/>
  <c r="J1132" i="2"/>
  <c r="J1120" i="2"/>
  <c r="J1121" i="2"/>
  <c r="J1117" i="2"/>
  <c r="CB2120" i="4"/>
  <c r="CB2113" i="4"/>
  <c r="CA2113" i="4"/>
  <c r="J574" i="4"/>
  <c r="J573" i="4"/>
  <c r="AI882" i="6"/>
  <c r="AI875" i="6"/>
  <c r="AH875" i="6"/>
  <c r="BK2124" i="4"/>
  <c r="I1693" i="4"/>
  <c r="BK2125" i="4"/>
  <c r="I1694" i="4"/>
  <c r="BG1651" i="5"/>
  <c r="I1571" i="5"/>
  <c r="BG1652" i="5"/>
  <c r="I2085" i="2"/>
  <c r="J340" i="6"/>
  <c r="J339" i="6"/>
  <c r="J1148" i="3"/>
  <c r="J1147" i="3"/>
  <c r="AV1651" i="5"/>
  <c r="I1274" i="5"/>
  <c r="AV1652" i="5"/>
  <c r="I1208" i="4"/>
  <c r="CB2189" i="2"/>
  <c r="CB2182" i="2"/>
  <c r="CA2206" i="2"/>
  <c r="CB2206" i="2"/>
  <c r="CA2182" i="2"/>
  <c r="J215" i="2"/>
  <c r="J214" i="2"/>
  <c r="I1721" i="2"/>
  <c r="CA2394" i="1"/>
  <c r="I2161" i="1"/>
  <c r="CA2383" i="1"/>
  <c r="I2162" i="1"/>
  <c r="CA2384" i="1"/>
  <c r="J2172" i="1"/>
  <c r="J1550" i="3"/>
  <c r="J1548" i="3"/>
  <c r="J1549" i="3"/>
  <c r="J795" i="3"/>
  <c r="J796" i="3"/>
  <c r="I2081" i="1"/>
  <c r="BX2384" i="1"/>
  <c r="J2091" i="1"/>
  <c r="BX2394" i="1"/>
  <c r="I2080" i="1"/>
  <c r="BX2383" i="1"/>
  <c r="AI1667" i="5"/>
  <c r="BJ1667" i="5"/>
  <c r="BK1667" i="5"/>
  <c r="BJ1661" i="5"/>
  <c r="BK1661" i="5"/>
  <c r="AL1651" i="5"/>
  <c r="I1004" i="5"/>
  <c r="AL1652" i="5"/>
  <c r="I1005" i="5"/>
  <c r="J2116" i="3"/>
  <c r="I1968" i="3"/>
  <c r="I1046" i="4"/>
  <c r="BK2196" i="2"/>
  <c r="I1738" i="2"/>
  <c r="BK2185" i="2"/>
  <c r="J1749" i="2"/>
  <c r="I1739" i="2"/>
  <c r="BK2186" i="2"/>
  <c r="D51" i="11"/>
  <c r="C52" i="11"/>
  <c r="D52" i="11"/>
  <c r="BS2290" i="3"/>
  <c r="J1939" i="3"/>
  <c r="I1940" i="3"/>
  <c r="I1941" i="3"/>
  <c r="J1551" i="3"/>
  <c r="I1154" i="4"/>
  <c r="J111" i="1"/>
  <c r="I112" i="1"/>
  <c r="I113" i="1"/>
  <c r="J112" i="1"/>
  <c r="E2389" i="1"/>
  <c r="J108" i="1"/>
  <c r="J1408" i="5"/>
  <c r="J1409" i="5"/>
  <c r="J1396" i="5"/>
  <c r="J1395" i="5"/>
  <c r="J1398" i="5"/>
  <c r="J1397" i="5"/>
  <c r="AE888" i="6"/>
  <c r="I808" i="6"/>
  <c r="AE889" i="6"/>
  <c r="I809" i="6"/>
  <c r="I1343" i="4"/>
  <c r="J1466" i="4"/>
  <c r="I541" i="2"/>
  <c r="T2195" i="2"/>
  <c r="I542" i="2"/>
  <c r="T2194" i="2"/>
  <c r="J2117" i="3"/>
  <c r="CB2118" i="4"/>
  <c r="CB2111" i="4"/>
  <c r="CA2111" i="4"/>
  <c r="J1595" i="2"/>
  <c r="J2157" i="2"/>
  <c r="J2155" i="2"/>
  <c r="J2167" i="2"/>
  <c r="J2168" i="2"/>
  <c r="J2154" i="2"/>
  <c r="J2156" i="2"/>
  <c r="I2237" i="3"/>
  <c r="J2236" i="3"/>
  <c r="CD2290" i="3"/>
  <c r="I2238" i="3"/>
  <c r="BK2394" i="1"/>
  <c r="I1730" i="1"/>
  <c r="BK2384" i="1"/>
  <c r="J1740" i="1"/>
  <c r="I1729" i="1"/>
  <c r="BK2383" i="1"/>
  <c r="AI884" i="6"/>
  <c r="AI877" i="6"/>
  <c r="AH877" i="6"/>
  <c r="CI2386" i="1"/>
  <c r="M2196" i="2"/>
  <c r="J341" i="2"/>
  <c r="I331" i="2"/>
  <c r="M2186" i="2"/>
  <c r="I330" i="2"/>
  <c r="M2185" i="2"/>
  <c r="J1357" i="4"/>
  <c r="J1358" i="4"/>
  <c r="J1368" i="4"/>
  <c r="J1369" i="4"/>
  <c r="J1354" i="4"/>
  <c r="J1355" i="4"/>
  <c r="J1209" i="5"/>
  <c r="J2197" i="3"/>
  <c r="J2195" i="3"/>
  <c r="J2196" i="3"/>
  <c r="J1657" i="3"/>
  <c r="J1597" i="5"/>
  <c r="J1598" i="5"/>
  <c r="J1583" i="5"/>
  <c r="J1584" i="5"/>
  <c r="J1586" i="5"/>
  <c r="J1510" i="2"/>
  <c r="J1593" i="2"/>
  <c r="J1906" i="2"/>
  <c r="J1907" i="2"/>
  <c r="J1960" i="2"/>
  <c r="J1119" i="2"/>
  <c r="J1678" i="4"/>
  <c r="CD2393" i="1"/>
  <c r="J2252" i="1"/>
  <c r="BK1648" i="5"/>
  <c r="BJ1641" i="5"/>
  <c r="J1972" i="1"/>
  <c r="J1973" i="1"/>
  <c r="J1821" i="2"/>
  <c r="J518" i="4"/>
  <c r="J517" i="4"/>
  <c r="I565" i="6"/>
  <c r="V889" i="6"/>
  <c r="V888" i="6"/>
  <c r="I566" i="6"/>
  <c r="CI2376" i="1"/>
  <c r="CJ2376" i="1"/>
  <c r="J1655" i="3"/>
  <c r="J1422" i="5"/>
  <c r="CG2286" i="3"/>
  <c r="CF2279" i="3"/>
  <c r="I1581" i="2"/>
  <c r="J1817" i="3"/>
  <c r="BU2124" i="4"/>
  <c r="I1963" i="4"/>
  <c r="BU2125" i="4"/>
  <c r="I1964" i="4"/>
  <c r="J1928" i="3"/>
  <c r="J908" i="5"/>
  <c r="J1846" i="2"/>
  <c r="I1289" i="4"/>
  <c r="J2125" i="4"/>
  <c r="J2126" i="4"/>
  <c r="J1710" i="3"/>
  <c r="J1232" i="5"/>
  <c r="J1327" i="5"/>
  <c r="J1328" i="5"/>
  <c r="J1316" i="5"/>
  <c r="J990" i="5"/>
  <c r="J1872" i="3"/>
  <c r="J1425" i="5"/>
  <c r="I2141" i="2"/>
  <c r="J1464" i="4"/>
  <c r="J146" i="6"/>
  <c r="J2043" i="4"/>
  <c r="J2044" i="4"/>
  <c r="J2032" i="4"/>
  <c r="J2033" i="4"/>
  <c r="J939" i="5"/>
  <c r="CE2290" i="3"/>
  <c r="I2264" i="3"/>
  <c r="I2265" i="3"/>
  <c r="J2263" i="3"/>
  <c r="J1943" i="2"/>
  <c r="J1944" i="2"/>
  <c r="J1929" i="2"/>
  <c r="J1932" i="2"/>
  <c r="J1424" i="5"/>
  <c r="J1560" i="5"/>
  <c r="I619" i="6"/>
  <c r="I620" i="6"/>
  <c r="X889" i="6"/>
  <c r="X888" i="6"/>
  <c r="J2118" i="3"/>
  <c r="J1773" i="4"/>
  <c r="J1774" i="4"/>
  <c r="J1761" i="4"/>
  <c r="G2388" i="1"/>
  <c r="J162" i="1"/>
  <c r="J1314" i="5"/>
  <c r="J1811" i="1"/>
  <c r="J1810" i="1"/>
  <c r="J1648" i="1"/>
  <c r="J1649" i="1"/>
  <c r="J1256" i="3"/>
  <c r="J1255" i="3"/>
  <c r="J684" i="3"/>
  <c r="J683" i="3"/>
  <c r="I1247" i="5"/>
  <c r="AU1652" i="5"/>
  <c r="AU1651" i="5"/>
  <c r="I1248" i="5"/>
  <c r="J1121" i="3"/>
  <c r="J1120" i="3"/>
  <c r="I983" i="2"/>
  <c r="AJ2186" i="2"/>
  <c r="J993" i="2"/>
  <c r="AJ2196" i="2"/>
  <c r="I982" i="2"/>
  <c r="AJ2185" i="2"/>
  <c r="J1813" i="4"/>
  <c r="J1814" i="4"/>
  <c r="J1816" i="4"/>
  <c r="J1817" i="4"/>
  <c r="J1827" i="4"/>
  <c r="J1828" i="4"/>
  <c r="J231" i="6"/>
  <c r="J232" i="6"/>
  <c r="J571" i="3"/>
  <c r="J570" i="3"/>
  <c r="BF2291" i="3"/>
  <c r="J1589" i="3"/>
  <c r="BE2290" i="3"/>
  <c r="J1561" i="3"/>
  <c r="I1562" i="3"/>
  <c r="I1563" i="3"/>
  <c r="AF890" i="6"/>
  <c r="J836" i="6"/>
  <c r="I825" i="6"/>
  <c r="AF879" i="6"/>
  <c r="I826" i="6"/>
  <c r="AF880" i="6"/>
  <c r="I1469" i="2"/>
  <c r="CB2114" i="4"/>
  <c r="J2196" i="2"/>
  <c r="I243" i="2"/>
  <c r="J2186" i="2"/>
  <c r="I242" i="2"/>
  <c r="J2185" i="2"/>
  <c r="J253" i="2"/>
  <c r="J1680" i="4"/>
  <c r="D41" i="11"/>
  <c r="D39" i="11"/>
  <c r="D37" i="11"/>
  <c r="J1789" i="4"/>
  <c r="J1800" i="4"/>
  <c r="J1801" i="4"/>
  <c r="J1786" i="4"/>
  <c r="J1788" i="4"/>
  <c r="J1790" i="4"/>
  <c r="J1885" i="3"/>
  <c r="BQ2290" i="3"/>
  <c r="I1886" i="3"/>
  <c r="I1887" i="3"/>
  <c r="J1820" i="2"/>
  <c r="E2392" i="1"/>
  <c r="CI2390" i="1"/>
  <c r="I1756" i="1"/>
  <c r="BL2383" i="1"/>
  <c r="BL2394" i="1"/>
  <c r="J1767" i="1"/>
  <c r="I1757" i="1"/>
  <c r="BL2384" i="1"/>
  <c r="D38" i="11"/>
  <c r="J1236" i="5"/>
  <c r="I910" i="4"/>
  <c r="AH2125" i="4"/>
  <c r="AH2124" i="4"/>
  <c r="J936" i="5"/>
  <c r="BC2124" i="4"/>
  <c r="I1477" i="4"/>
  <c r="BC2125" i="4"/>
  <c r="F890" i="6"/>
  <c r="J134" i="6"/>
  <c r="I123" i="6"/>
  <c r="F879" i="6"/>
  <c r="I124" i="6"/>
  <c r="F880" i="6"/>
  <c r="I598" i="3"/>
  <c r="I599" i="3"/>
  <c r="J609" i="3"/>
  <c r="I923" i="5"/>
  <c r="AI1652" i="5"/>
  <c r="I924" i="5"/>
  <c r="AI1651" i="5"/>
  <c r="BI2394" i="1"/>
  <c r="J1686" i="1"/>
  <c r="I1676" i="1"/>
  <c r="BI2384" i="1"/>
  <c r="I1675" i="1"/>
  <c r="BI2383" i="1"/>
  <c r="J1875" i="3"/>
  <c r="J1425" i="2"/>
  <c r="BF2305" i="3"/>
  <c r="J1929" i="3"/>
  <c r="J1559" i="5"/>
  <c r="I1616" i="5"/>
  <c r="BI1643" i="5"/>
  <c r="BI1653" i="5"/>
  <c r="I1615" i="5"/>
  <c r="BI1642" i="5"/>
  <c r="J1626" i="5"/>
  <c r="CI2378" i="1"/>
  <c r="CJ2385" i="1"/>
  <c r="J1848" i="3"/>
  <c r="J510" i="6"/>
  <c r="J511" i="6"/>
  <c r="J500" i="6"/>
  <c r="J794" i="6"/>
  <c r="J1594" i="2"/>
  <c r="I1224" i="4"/>
  <c r="AT2115" i="4"/>
  <c r="I1225" i="4"/>
  <c r="AT2116" i="4"/>
  <c r="J1235" i="4"/>
  <c r="AT2126" i="4"/>
  <c r="J1961" i="2"/>
  <c r="J1206" i="5"/>
  <c r="J2226" i="3"/>
  <c r="J285" i="6"/>
  <c r="J286" i="6"/>
  <c r="J1401" i="2"/>
  <c r="J1865" i="1"/>
  <c r="J1864" i="1"/>
  <c r="J105" i="6"/>
  <c r="J106" i="6"/>
  <c r="J95" i="6"/>
  <c r="J94" i="6"/>
  <c r="BF2124" i="4"/>
  <c r="I1558" i="4"/>
  <c r="BF2125" i="4"/>
  <c r="J498" i="6"/>
  <c r="J26" i="11"/>
  <c r="I16" i="11"/>
  <c r="B43" i="11"/>
  <c r="I15" i="11"/>
  <c r="B42" i="11"/>
  <c r="B53" i="11"/>
  <c r="C53" i="11"/>
  <c r="J1818" i="2"/>
  <c r="J1556" i="5"/>
  <c r="J1841" i="4"/>
  <c r="J2114" i="3"/>
  <c r="J1428" i="2"/>
  <c r="CA2184" i="2"/>
  <c r="CB2191" i="2"/>
  <c r="CB2184" i="2"/>
  <c r="CA2208" i="2"/>
  <c r="CB2208" i="2"/>
  <c r="BX2124" i="4"/>
  <c r="I2044" i="4"/>
  <c r="BX2125" i="4"/>
  <c r="I2045" i="4"/>
  <c r="J498" i="2"/>
  <c r="J511" i="2"/>
  <c r="J512" i="2"/>
  <c r="J499" i="2"/>
  <c r="J1465" i="4"/>
  <c r="BI2126" i="4"/>
  <c r="J1640" i="4"/>
  <c r="I1629" i="4"/>
  <c r="BI2115" i="4"/>
  <c r="I1630" i="4"/>
  <c r="BI2116" i="4"/>
  <c r="J991" i="5"/>
  <c r="J1429" i="2"/>
  <c r="J1630" i="3"/>
  <c r="I1990" i="2"/>
  <c r="BT2185" i="2"/>
  <c r="J2001" i="2"/>
  <c r="BT2196" i="2"/>
  <c r="I1991" i="2"/>
  <c r="BT2186" i="2"/>
  <c r="I2103" i="2"/>
  <c r="BX2186" i="2"/>
  <c r="J2113" i="2"/>
  <c r="I2102" i="2"/>
  <c r="BX2185" i="2"/>
  <c r="BX2196" i="2"/>
  <c r="J2198" i="3"/>
  <c r="J1426" i="2"/>
  <c r="G2393" i="1"/>
  <c r="G2394" i="1"/>
  <c r="BJ1639" i="5"/>
  <c r="BK1646" i="5"/>
  <c r="BP2194" i="2"/>
  <c r="I1888" i="2"/>
  <c r="BP2195" i="2"/>
  <c r="I1889" i="2"/>
  <c r="J739" i="3"/>
  <c r="J740" i="3"/>
  <c r="J986" i="3"/>
  <c r="J985" i="3"/>
  <c r="J1486" i="1"/>
  <c r="J1487" i="1"/>
  <c r="J270" i="3"/>
  <c r="J269" i="3"/>
  <c r="J1687" i="3"/>
  <c r="J1688" i="3"/>
  <c r="I2255" i="3"/>
  <c r="CE2282" i="3"/>
  <c r="J2265" i="3"/>
  <c r="I2254" i="3"/>
  <c r="CE2281" i="3"/>
  <c r="CE2292" i="3"/>
  <c r="J1941" i="3"/>
  <c r="BS2292" i="3"/>
  <c r="I1931" i="3"/>
  <c r="BS2282" i="3"/>
  <c r="I1930" i="3"/>
  <c r="BS2281" i="3"/>
  <c r="I2119" i="3"/>
  <c r="BZ2281" i="3"/>
  <c r="I2120" i="3"/>
  <c r="BZ2282" i="3"/>
  <c r="J2130" i="3"/>
  <c r="BZ2292" i="3"/>
  <c r="J2102" i="2"/>
  <c r="J2103" i="2"/>
  <c r="I1559" i="4"/>
  <c r="J1616" i="5"/>
  <c r="J1615" i="5"/>
  <c r="J599" i="3"/>
  <c r="J598" i="3"/>
  <c r="I1478" i="4"/>
  <c r="CI2392" i="1"/>
  <c r="CJ2390" i="1"/>
  <c r="BQ2291" i="3"/>
  <c r="J1886" i="3"/>
  <c r="J242" i="2"/>
  <c r="J243" i="2"/>
  <c r="J825" i="6"/>
  <c r="J826" i="6"/>
  <c r="I1279" i="4"/>
  <c r="AV2116" i="4"/>
  <c r="AV2126" i="4"/>
  <c r="J1289" i="4"/>
  <c r="I1278" i="4"/>
  <c r="AV2115" i="4"/>
  <c r="I1954" i="4"/>
  <c r="BU2116" i="4"/>
  <c r="I1953" i="4"/>
  <c r="BU2115" i="4"/>
  <c r="BU2126" i="4"/>
  <c r="J1964" i="4"/>
  <c r="BE2196" i="2"/>
  <c r="J1581" i="2"/>
  <c r="I1571" i="2"/>
  <c r="BE2186" i="2"/>
  <c r="I1570" i="2"/>
  <c r="BE2185" i="2"/>
  <c r="J542" i="2"/>
  <c r="I532" i="2"/>
  <c r="T2186" i="2"/>
  <c r="I531" i="2"/>
  <c r="T2185" i="2"/>
  <c r="T2196" i="2"/>
  <c r="AE890" i="6"/>
  <c r="I798" i="6"/>
  <c r="AE879" i="6"/>
  <c r="I799" i="6"/>
  <c r="AE880" i="6"/>
  <c r="J809" i="6"/>
  <c r="I995" i="5"/>
  <c r="AL1643" i="5"/>
  <c r="AL1653" i="5"/>
  <c r="I994" i="5"/>
  <c r="AL1642" i="5"/>
  <c r="J1005" i="5"/>
  <c r="I1197" i="4"/>
  <c r="AS2115" i="4"/>
  <c r="I1198" i="4"/>
  <c r="AS2116" i="4"/>
  <c r="J1208" i="4"/>
  <c r="AS2126" i="4"/>
  <c r="BW2196" i="2"/>
  <c r="I2075" i="2"/>
  <c r="BW2186" i="2"/>
  <c r="I2074" i="2"/>
  <c r="BW2185" i="2"/>
  <c r="J2085" i="2"/>
  <c r="I1684" i="4"/>
  <c r="BK2116" i="4"/>
  <c r="J1694" i="4"/>
  <c r="BK2126" i="4"/>
  <c r="I1683" i="4"/>
  <c r="BK2115" i="4"/>
  <c r="I158" i="1"/>
  <c r="G2384" i="1"/>
  <c r="I157" i="1"/>
  <c r="G2383" i="1"/>
  <c r="L96" i="1"/>
  <c r="L99" i="1"/>
  <c r="J168" i="1"/>
  <c r="L103" i="1"/>
  <c r="I717" i="6"/>
  <c r="AB879" i="6"/>
  <c r="J728" i="6"/>
  <c r="I718" i="6"/>
  <c r="AB880" i="6"/>
  <c r="AB890" i="6"/>
  <c r="I107" i="6"/>
  <c r="I501" i="6"/>
  <c r="T879" i="6"/>
  <c r="J512" i="6"/>
  <c r="T890" i="6"/>
  <c r="I502" i="6"/>
  <c r="T880" i="6"/>
  <c r="BK2291" i="3"/>
  <c r="J1724" i="3"/>
  <c r="J1129" i="5"/>
  <c r="J1130" i="5"/>
  <c r="I937" i="2"/>
  <c r="CI2388" i="1"/>
  <c r="I1437" i="5"/>
  <c r="I1861" i="2"/>
  <c r="CG2288" i="3"/>
  <c r="CG2277" i="3"/>
  <c r="CF2290" i="3"/>
  <c r="CF2277" i="3"/>
  <c r="J873" i="4"/>
  <c r="J874" i="4"/>
  <c r="I1370" i="4"/>
  <c r="I2169" i="2"/>
  <c r="BI2291" i="3"/>
  <c r="J1670" i="3"/>
  <c r="AC890" i="6"/>
  <c r="I744" i="6"/>
  <c r="AC879" i="6"/>
  <c r="I745" i="6"/>
  <c r="AC880" i="6"/>
  <c r="J755" i="6"/>
  <c r="I447" i="6"/>
  <c r="R879" i="6"/>
  <c r="R890" i="6"/>
  <c r="I448" i="6"/>
  <c r="R880" i="6"/>
  <c r="J458" i="6"/>
  <c r="I1973" i="2"/>
  <c r="I1133" i="2"/>
  <c r="I1413" i="2"/>
  <c r="I474" i="6"/>
  <c r="S879" i="6"/>
  <c r="S890" i="6"/>
  <c r="J485" i="6"/>
  <c r="I475" i="6"/>
  <c r="S880" i="6"/>
  <c r="I1829" i="4"/>
  <c r="CB2124" i="4"/>
  <c r="CA2125" i="4"/>
  <c r="CB2125" i="4"/>
  <c r="J1991" i="2"/>
  <c r="J1990" i="2"/>
  <c r="I2034" i="4"/>
  <c r="BX2115" i="4"/>
  <c r="BX2126" i="4"/>
  <c r="J2045" i="4"/>
  <c r="I2035" i="4"/>
  <c r="BX2116" i="4"/>
  <c r="J1676" i="1"/>
  <c r="J1675" i="1"/>
  <c r="J1629" i="4"/>
  <c r="J1630" i="4"/>
  <c r="J15" i="11"/>
  <c r="J16" i="11"/>
  <c r="J124" i="6"/>
  <c r="J123" i="6"/>
  <c r="I911" i="4"/>
  <c r="J1756" i="1"/>
  <c r="J1757" i="1"/>
  <c r="E2393" i="1"/>
  <c r="E2394" i="1"/>
  <c r="I1459" i="2"/>
  <c r="BA2186" i="2"/>
  <c r="J1469" i="2"/>
  <c r="BA2196" i="2"/>
  <c r="I1458" i="2"/>
  <c r="BA2185" i="2"/>
  <c r="J331" i="2"/>
  <c r="J330" i="2"/>
  <c r="CD2291" i="3"/>
  <c r="J2237" i="3"/>
  <c r="CI2389" i="1"/>
  <c r="I1143" i="4"/>
  <c r="AQ2115" i="4"/>
  <c r="I1144" i="4"/>
  <c r="AQ2116" i="4"/>
  <c r="J1154" i="4"/>
  <c r="AQ2126" i="4"/>
  <c r="AM2126" i="4"/>
  <c r="I1036" i="4"/>
  <c r="AM2116" i="4"/>
  <c r="J1046" i="4"/>
  <c r="I1035" i="4"/>
  <c r="AM2115" i="4"/>
  <c r="I1275" i="5"/>
  <c r="I1572" i="5"/>
  <c r="J488" i="3"/>
  <c r="J487" i="3"/>
  <c r="I674" i="6"/>
  <c r="I1945" i="2"/>
  <c r="J1038" i="2"/>
  <c r="J1039" i="2"/>
  <c r="J528" i="6"/>
  <c r="J529" i="6"/>
  <c r="J814" i="2"/>
  <c r="J815" i="2"/>
  <c r="J421" i="6"/>
  <c r="J420" i="6"/>
  <c r="I1599" i="5"/>
  <c r="BJ1640" i="5"/>
  <c r="I951" i="5"/>
  <c r="J2089" i="4"/>
  <c r="J2088" i="4"/>
  <c r="CI2380" i="1"/>
  <c r="CJ2387" i="1"/>
  <c r="CJ2380" i="1"/>
  <c r="I853" i="2"/>
  <c r="CF2276" i="3"/>
  <c r="J1089" i="4"/>
  <c r="J1090" i="4"/>
  <c r="J369" i="2"/>
  <c r="N2196" i="2"/>
  <c r="I358" i="2"/>
  <c r="N2185" i="2"/>
  <c r="I359" i="2"/>
  <c r="N2186" i="2"/>
  <c r="I1872" i="4"/>
  <c r="BR2115" i="4"/>
  <c r="J1883" i="4"/>
  <c r="BR2126" i="4"/>
  <c r="I1873" i="4"/>
  <c r="BR2116" i="4"/>
  <c r="I1525" i="2"/>
  <c r="J366" i="6"/>
  <c r="J367" i="6"/>
  <c r="J1671" i="3"/>
  <c r="BI2292" i="3"/>
  <c r="I1660" i="3"/>
  <c r="BI2281" i="3"/>
  <c r="I1661" i="3"/>
  <c r="BI2282" i="3"/>
  <c r="J187" i="2"/>
  <c r="J186" i="2"/>
  <c r="I1440" i="4"/>
  <c r="BB2115" i="4"/>
  <c r="I1441" i="4"/>
  <c r="BB2116" i="4"/>
  <c r="J1451" i="4"/>
  <c r="BB2126" i="4"/>
  <c r="J1999" i="1"/>
  <c r="J2000" i="1"/>
  <c r="AI888" i="6"/>
  <c r="AH889" i="6"/>
  <c r="AI889" i="6"/>
  <c r="I1878" i="2"/>
  <c r="BP2185" i="2"/>
  <c r="J1889" i="2"/>
  <c r="I1879" i="2"/>
  <c r="BP2186" i="2"/>
  <c r="BP2196" i="2"/>
  <c r="C42" i="11"/>
  <c r="C43" i="11"/>
  <c r="D53" i="11"/>
  <c r="J1224" i="4"/>
  <c r="J1225" i="4"/>
  <c r="CJ2378" i="1"/>
  <c r="I914" i="5"/>
  <c r="AI1643" i="5"/>
  <c r="J924" i="5"/>
  <c r="AI1653" i="5"/>
  <c r="I913" i="5"/>
  <c r="AI1642" i="5"/>
  <c r="BE2292" i="3"/>
  <c r="I1553" i="3"/>
  <c r="BE2282" i="3"/>
  <c r="J1563" i="3"/>
  <c r="I1552" i="3"/>
  <c r="BE2281" i="3"/>
  <c r="I610" i="6"/>
  <c r="X880" i="6"/>
  <c r="X890" i="6"/>
  <c r="I609" i="6"/>
  <c r="X879" i="6"/>
  <c r="J620" i="6"/>
  <c r="CE2291" i="3"/>
  <c r="J2264" i="3"/>
  <c r="I2130" i="2"/>
  <c r="BY2185" i="2"/>
  <c r="BY2196" i="2"/>
  <c r="J2141" i="2"/>
  <c r="I2131" i="2"/>
  <c r="BY2186" i="2"/>
  <c r="CG2279" i="3"/>
  <c r="V890" i="6"/>
  <c r="I555" i="6"/>
  <c r="V879" i="6"/>
  <c r="J566" i="6"/>
  <c r="I556" i="6"/>
  <c r="V880" i="6"/>
  <c r="CD2292" i="3"/>
  <c r="I2227" i="3"/>
  <c r="CD2281" i="3"/>
  <c r="I2228" i="3"/>
  <c r="CD2282" i="3"/>
  <c r="J2238" i="3"/>
  <c r="J1739" i="2"/>
  <c r="J1738" i="2"/>
  <c r="J1968" i="3"/>
  <c r="I1957" i="3"/>
  <c r="BT2281" i="3"/>
  <c r="I1958" i="3"/>
  <c r="BT2282" i="3"/>
  <c r="BT2292" i="3"/>
  <c r="J2161" i="1"/>
  <c r="J2162" i="1"/>
  <c r="J1721" i="2"/>
  <c r="BJ2196" i="2"/>
  <c r="I1711" i="2"/>
  <c r="BJ2186" i="2"/>
  <c r="I1710" i="2"/>
  <c r="BJ2185" i="2"/>
  <c r="I1194" i="5"/>
  <c r="AZ2126" i="4"/>
  <c r="I1387" i="4"/>
  <c r="AZ2116" i="4"/>
  <c r="I1386" i="4"/>
  <c r="AZ2115" i="4"/>
  <c r="J1397" i="4"/>
  <c r="S2196" i="2"/>
  <c r="I502" i="2"/>
  <c r="S2185" i="2"/>
  <c r="I503" i="2"/>
  <c r="S2186" i="2"/>
  <c r="J513" i="2"/>
  <c r="J820" i="4"/>
  <c r="J819" i="4"/>
  <c r="BK2292" i="3"/>
  <c r="I1714" i="3"/>
  <c r="BK2281" i="3"/>
  <c r="J1725" i="3"/>
  <c r="I1715" i="3"/>
  <c r="BK2282" i="3"/>
  <c r="CC2291" i="3"/>
  <c r="J2210" i="3"/>
  <c r="BK1649" i="5"/>
  <c r="BK1640" i="5"/>
  <c r="BJ1651" i="5"/>
  <c r="J2007" i="4"/>
  <c r="J2008" i="4"/>
  <c r="I1802" i="4"/>
  <c r="I1609" i="2"/>
  <c r="J69" i="6"/>
  <c r="J70" i="6"/>
  <c r="BK1637" i="5"/>
  <c r="J15" i="6"/>
  <c r="J16" i="6"/>
  <c r="AO1653" i="5"/>
  <c r="I1075" i="5"/>
  <c r="AO1642" i="5"/>
  <c r="J1086" i="5"/>
  <c r="I1076" i="5"/>
  <c r="AO1643" i="5"/>
  <c r="CG2276" i="3"/>
  <c r="BH2291" i="3"/>
  <c r="J1643" i="3"/>
  <c r="J416" i="2"/>
  <c r="J415" i="2"/>
  <c r="J2242" i="1"/>
  <c r="J2243" i="1"/>
  <c r="J1794" i="2"/>
  <c r="J1795" i="2"/>
  <c r="J1856" i="4"/>
  <c r="I1845" i="4"/>
  <c r="BQ2115" i="4"/>
  <c r="I1846" i="4"/>
  <c r="BQ2116" i="4"/>
  <c r="BQ2126" i="4"/>
  <c r="J666" i="1"/>
  <c r="J665" i="1"/>
  <c r="AY1653" i="5"/>
  <c r="I1345" i="5"/>
  <c r="AY1642" i="5"/>
  <c r="J1356" i="5"/>
  <c r="I1346" i="5"/>
  <c r="AY1643" i="5"/>
  <c r="CI2374" i="1"/>
  <c r="CJ2374" i="1"/>
  <c r="AN2126" i="4"/>
  <c r="I1063" i="4"/>
  <c r="AN2116" i="4"/>
  <c r="J1073" i="4"/>
  <c r="I1062" i="4"/>
  <c r="AN2115" i="4"/>
  <c r="BO2291" i="3"/>
  <c r="J1832" i="3"/>
  <c r="BP2292" i="3"/>
  <c r="I1849" i="3"/>
  <c r="BP2281" i="3"/>
  <c r="J1860" i="3"/>
  <c r="I1850" i="3"/>
  <c r="BP2282" i="3"/>
  <c r="I1822" i="2"/>
  <c r="BN2185" i="2"/>
  <c r="J1833" i="2"/>
  <c r="I1823" i="2"/>
  <c r="BN2186" i="2"/>
  <c r="BN2196" i="2"/>
  <c r="J1579" i="3"/>
  <c r="J1580" i="3"/>
  <c r="CB2194" i="2"/>
  <c r="CA2195" i="2"/>
  <c r="CB2195" i="2"/>
  <c r="CA2210" i="2"/>
  <c r="CB2210" i="2"/>
  <c r="BQ2292" i="3"/>
  <c r="I1877" i="3"/>
  <c r="BQ2282" i="3"/>
  <c r="J1887" i="3"/>
  <c r="I1876" i="3"/>
  <c r="BQ2281" i="3"/>
  <c r="BE2291" i="3"/>
  <c r="J1562" i="3"/>
  <c r="J982" i="2"/>
  <c r="J983" i="2"/>
  <c r="AU1653" i="5"/>
  <c r="I1238" i="5"/>
  <c r="AU1643" i="5"/>
  <c r="I1237" i="5"/>
  <c r="AU1642" i="5"/>
  <c r="J1248" i="5"/>
  <c r="BK1641" i="5"/>
  <c r="CJ2386" i="1"/>
  <c r="CJ2379" i="1"/>
  <c r="CI2379" i="1"/>
  <c r="J1729" i="1"/>
  <c r="J1730" i="1"/>
  <c r="I1333" i="4"/>
  <c r="AX2116" i="4"/>
  <c r="I1332" i="4"/>
  <c r="AX2115" i="4"/>
  <c r="J1343" i="4"/>
  <c r="AX2126" i="4"/>
  <c r="I102" i="1"/>
  <c r="E2383" i="1"/>
  <c r="I103" i="1"/>
  <c r="E2384" i="1"/>
  <c r="J113" i="1"/>
  <c r="BS2291" i="3"/>
  <c r="J1940" i="3"/>
  <c r="J2080" i="1"/>
  <c r="J2081" i="1"/>
  <c r="I1765" i="4"/>
  <c r="BN2116" i="4"/>
  <c r="BN2126" i="4"/>
  <c r="I1764" i="4"/>
  <c r="BN2115" i="4"/>
  <c r="J1775" i="4"/>
  <c r="CG2299" i="3"/>
  <c r="CF2305" i="3"/>
  <c r="CG2305" i="3"/>
  <c r="I1318" i="5"/>
  <c r="AX1642" i="5"/>
  <c r="AX1653" i="5"/>
  <c r="I1319" i="5"/>
  <c r="AX1643" i="5"/>
  <c r="J1329" i="5"/>
  <c r="J2047" i="2"/>
  <c r="J2046" i="2"/>
  <c r="J205" i="6"/>
  <c r="J204" i="6"/>
  <c r="J847" i="4"/>
  <c r="J846" i="4"/>
  <c r="I2211" i="3"/>
  <c r="AZ2196" i="2"/>
  <c r="I1430" i="2"/>
  <c r="AZ2185" i="2"/>
  <c r="I1431" i="2"/>
  <c r="AZ2186" i="2"/>
  <c r="J1441" i="2"/>
  <c r="CG2278" i="3"/>
  <c r="J1602" i="4"/>
  <c r="J1603" i="4"/>
  <c r="I312" i="6"/>
  <c r="M879" i="6"/>
  <c r="J323" i="6"/>
  <c r="M890" i="6"/>
  <c r="I313" i="6"/>
  <c r="M880" i="6"/>
  <c r="I1644" i="3"/>
  <c r="J44" i="5"/>
  <c r="J45" i="5"/>
  <c r="CG2280" i="3"/>
  <c r="G890" i="6"/>
  <c r="I150" i="6"/>
  <c r="G879" i="6"/>
  <c r="I151" i="6"/>
  <c r="G880" i="6"/>
  <c r="J161" i="6"/>
  <c r="AC2126" i="4"/>
  <c r="I765" i="4"/>
  <c r="AC2115" i="4"/>
  <c r="I766" i="4"/>
  <c r="AC2116" i="4"/>
  <c r="J776" i="4"/>
  <c r="I1306" i="4"/>
  <c r="AW2116" i="4"/>
  <c r="I1305" i="4"/>
  <c r="AW2115" i="4"/>
  <c r="J1316" i="4"/>
  <c r="AW2126" i="4"/>
  <c r="I1400" i="5"/>
  <c r="BA1643" i="5"/>
  <c r="BA1653" i="5"/>
  <c r="J1410" i="5"/>
  <c r="I1399" i="5"/>
  <c r="BA1642" i="5"/>
  <c r="J2061" i="4"/>
  <c r="J2062" i="4"/>
  <c r="BZ2291" i="3"/>
  <c r="J2129" i="3"/>
  <c r="I1116" i="4"/>
  <c r="AP2115" i="4"/>
  <c r="J1127" i="4"/>
  <c r="AP2126" i="4"/>
  <c r="I1117" i="4"/>
  <c r="AP2116" i="4"/>
  <c r="I1833" i="3"/>
  <c r="BP2291" i="3"/>
  <c r="J1859" i="3"/>
  <c r="J1221" i="5"/>
  <c r="I1210" i="5"/>
  <c r="AT1642" i="5"/>
  <c r="AT1653" i="5"/>
  <c r="I1211" i="5"/>
  <c r="AT1643" i="5"/>
  <c r="I1171" i="4"/>
  <c r="AR2116" i="4"/>
  <c r="J1181" i="4"/>
  <c r="AR2126" i="4"/>
  <c r="I1170" i="4"/>
  <c r="AR2115" i="4"/>
  <c r="BJ1638" i="5"/>
  <c r="J1481" i="5"/>
  <c r="J1480" i="5"/>
  <c r="J1984" i="3"/>
  <c r="J1985" i="3"/>
  <c r="J1319" i="5"/>
  <c r="J1318" i="5"/>
  <c r="J1210" i="5"/>
  <c r="J1211" i="5"/>
  <c r="J1399" i="5"/>
  <c r="J1400" i="5"/>
  <c r="J1306" i="4"/>
  <c r="J1305" i="4"/>
  <c r="J1764" i="4"/>
  <c r="J1765" i="4"/>
  <c r="J103" i="1"/>
  <c r="J102" i="1"/>
  <c r="J1333" i="4"/>
  <c r="J1332" i="4"/>
  <c r="J1238" i="5"/>
  <c r="J1237" i="5"/>
  <c r="J1117" i="4"/>
  <c r="J1116" i="4"/>
  <c r="J313" i="6"/>
  <c r="J312" i="6"/>
  <c r="J1877" i="3"/>
  <c r="J1876" i="3"/>
  <c r="J1063" i="4"/>
  <c r="J1062" i="4"/>
  <c r="J1075" i="5"/>
  <c r="J1076" i="5"/>
  <c r="BF2196" i="2"/>
  <c r="I1598" i="2"/>
  <c r="BF2185" i="2"/>
  <c r="J1609" i="2"/>
  <c r="I1599" i="2"/>
  <c r="BF2186" i="2"/>
  <c r="BJ1652" i="5"/>
  <c r="BK1652" i="5"/>
  <c r="BK1651" i="5"/>
  <c r="J1957" i="3"/>
  <c r="J1958" i="3"/>
  <c r="J556" i="6"/>
  <c r="J555" i="6"/>
  <c r="J913" i="5"/>
  <c r="J914" i="5"/>
  <c r="I1515" i="2"/>
  <c r="BC2186" i="2"/>
  <c r="J1525" i="2"/>
  <c r="BC2196" i="2"/>
  <c r="I1514" i="2"/>
  <c r="BC2185" i="2"/>
  <c r="J358" i="2"/>
  <c r="J359" i="2"/>
  <c r="BH1653" i="5"/>
  <c r="I1588" i="5"/>
  <c r="BH1642" i="5"/>
  <c r="I1589" i="5"/>
  <c r="BH1643" i="5"/>
  <c r="J1599" i="5"/>
  <c r="J1036" i="4"/>
  <c r="J1035" i="4"/>
  <c r="J1144" i="4"/>
  <c r="J1143" i="4"/>
  <c r="J911" i="4"/>
  <c r="I901" i="4"/>
  <c r="AH2116" i="4"/>
  <c r="I900" i="4"/>
  <c r="AH2115" i="4"/>
  <c r="AH2126" i="4"/>
  <c r="AY2126" i="4"/>
  <c r="BC2126" i="4"/>
  <c r="BF2126" i="4"/>
  <c r="BO2126" i="4"/>
  <c r="BP2126" i="4"/>
  <c r="CA2126" i="4"/>
  <c r="AY2196" i="2"/>
  <c r="I1403" i="2"/>
  <c r="AY2186" i="2"/>
  <c r="I1402" i="2"/>
  <c r="AY2185" i="2"/>
  <c r="J1413" i="2"/>
  <c r="BO2196" i="2"/>
  <c r="I1851" i="2"/>
  <c r="BO2186" i="2"/>
  <c r="J1861" i="2"/>
  <c r="I1850" i="2"/>
  <c r="BO2185" i="2"/>
  <c r="CJ2388" i="1"/>
  <c r="CJ2381" i="1"/>
  <c r="CI2381" i="1"/>
  <c r="J501" i="6"/>
  <c r="J502" i="6"/>
  <c r="J158" i="1"/>
  <c r="J157" i="1"/>
  <c r="J2074" i="2"/>
  <c r="J2075" i="2"/>
  <c r="J995" i="5"/>
  <c r="J994" i="5"/>
  <c r="J799" i="6"/>
  <c r="J798" i="6"/>
  <c r="J1953" i="4"/>
  <c r="J1954" i="4"/>
  <c r="J1478" i="4"/>
  <c r="I1468" i="4"/>
  <c r="BC2116" i="4"/>
  <c r="I1467" i="4"/>
  <c r="BC2115" i="4"/>
  <c r="J1345" i="5"/>
  <c r="J1346" i="5"/>
  <c r="J1845" i="4"/>
  <c r="J1846" i="4"/>
  <c r="I1791" i="4"/>
  <c r="BO2115" i="4"/>
  <c r="I1792" i="4"/>
  <c r="BO2116" i="4"/>
  <c r="J1802" i="4"/>
  <c r="J1714" i="3"/>
  <c r="J1715" i="3"/>
  <c r="J2130" i="2"/>
  <c r="J2131" i="2"/>
  <c r="D43" i="11"/>
  <c r="D42" i="11"/>
  <c r="J1440" i="4"/>
  <c r="J1441" i="4"/>
  <c r="J1661" i="3"/>
  <c r="J1660" i="3"/>
  <c r="I842" i="2"/>
  <c r="AE2185" i="2"/>
  <c r="J853" i="2"/>
  <c r="I843" i="2"/>
  <c r="AE2186" i="2"/>
  <c r="AE2196" i="2"/>
  <c r="I1934" i="2"/>
  <c r="BR2185" i="2"/>
  <c r="BR2196" i="2"/>
  <c r="I1935" i="2"/>
  <c r="BR2186" i="2"/>
  <c r="J1945" i="2"/>
  <c r="I1562" i="5"/>
  <c r="BG1643" i="5"/>
  <c r="J1572" i="5"/>
  <c r="I1561" i="5"/>
  <c r="BG1642" i="5"/>
  <c r="BG1653" i="5"/>
  <c r="J475" i="6"/>
  <c r="J474" i="6"/>
  <c r="J1133" i="2"/>
  <c r="AO2196" i="2"/>
  <c r="I1123" i="2"/>
  <c r="AO2186" i="2"/>
  <c r="I1122" i="2"/>
  <c r="AO2185" i="2"/>
  <c r="I2158" i="2"/>
  <c r="BZ2185" i="2"/>
  <c r="I2159" i="2"/>
  <c r="BZ2186" i="2"/>
  <c r="J2169" i="2"/>
  <c r="BZ2196" i="2"/>
  <c r="J937" i="2"/>
  <c r="AH2196" i="2"/>
  <c r="I927" i="2"/>
  <c r="AH2186" i="2"/>
  <c r="I926" i="2"/>
  <c r="AH2185" i="2"/>
  <c r="J717" i="6"/>
  <c r="J718" i="6"/>
  <c r="J1198" i="4"/>
  <c r="J1197" i="4"/>
  <c r="J1278" i="4"/>
  <c r="J1279" i="4"/>
  <c r="I1549" i="4"/>
  <c r="BF2116" i="4"/>
  <c r="J1559" i="4"/>
  <c r="I1548" i="4"/>
  <c r="BF2115" i="4"/>
  <c r="J2120" i="3"/>
  <c r="J2119" i="3"/>
  <c r="J1171" i="4"/>
  <c r="J1170" i="4"/>
  <c r="I1823" i="3"/>
  <c r="BO2282" i="3"/>
  <c r="I1822" i="3"/>
  <c r="BO2281" i="3"/>
  <c r="BO2292" i="3"/>
  <c r="J1833" i="3"/>
  <c r="J1644" i="3"/>
  <c r="I1634" i="3"/>
  <c r="BH2282" i="3"/>
  <c r="I1633" i="3"/>
  <c r="BH2281" i="3"/>
  <c r="BH2292" i="3"/>
  <c r="J766" i="4"/>
  <c r="J765" i="4"/>
  <c r="J151" i="6"/>
  <c r="J150" i="6"/>
  <c r="J1430" i="2"/>
  <c r="J1431" i="2"/>
  <c r="I2200" i="3"/>
  <c r="CC2281" i="3"/>
  <c r="CC2292" i="3"/>
  <c r="I2201" i="3"/>
  <c r="CC2282" i="3"/>
  <c r="J2211" i="3"/>
  <c r="J1850" i="3"/>
  <c r="J1849" i="3"/>
  <c r="J502" i="2"/>
  <c r="J503" i="2"/>
  <c r="J1386" i="4"/>
  <c r="J1387" i="4"/>
  <c r="AS1653" i="5"/>
  <c r="I1183" i="5"/>
  <c r="AS1642" i="5"/>
  <c r="J1194" i="5"/>
  <c r="I1184" i="5"/>
  <c r="AS1643" i="5"/>
  <c r="J1710" i="2"/>
  <c r="J1711" i="2"/>
  <c r="J610" i="6"/>
  <c r="J609" i="6"/>
  <c r="J1879" i="2"/>
  <c r="J1878" i="2"/>
  <c r="AJ1653" i="5"/>
  <c r="AV1653" i="5"/>
  <c r="BB1653" i="5"/>
  <c r="BJ1653" i="5"/>
  <c r="I941" i="5"/>
  <c r="AJ1643" i="5"/>
  <c r="J951" i="5"/>
  <c r="I940" i="5"/>
  <c r="AJ1642" i="5"/>
  <c r="Z890" i="6"/>
  <c r="I664" i="6"/>
  <c r="Z880" i="6"/>
  <c r="J674" i="6"/>
  <c r="I663" i="6"/>
  <c r="Z879" i="6"/>
  <c r="I1265" i="5"/>
  <c r="AV1643" i="5"/>
  <c r="I1264" i="5"/>
  <c r="AV1642" i="5"/>
  <c r="J1275" i="5"/>
  <c r="J1458" i="2"/>
  <c r="J1459" i="2"/>
  <c r="BK1638" i="5"/>
  <c r="BS2196" i="2"/>
  <c r="I1963" i="2"/>
  <c r="BS2186" i="2"/>
  <c r="J1973" i="2"/>
  <c r="I1962" i="2"/>
  <c r="BS2185" i="2"/>
  <c r="J1370" i="4"/>
  <c r="I1360" i="4"/>
  <c r="AY2116" i="4"/>
  <c r="I1359" i="4"/>
  <c r="AY2115" i="4"/>
  <c r="CF2291" i="3"/>
  <c r="CG2291" i="3"/>
  <c r="CG2290" i="3"/>
  <c r="I1426" i="5"/>
  <c r="BB1642" i="5"/>
  <c r="J1437" i="5"/>
  <c r="I1427" i="5"/>
  <c r="BB1643" i="5"/>
  <c r="I96" i="6"/>
  <c r="E879" i="6"/>
  <c r="E890" i="6"/>
  <c r="J107" i="6"/>
  <c r="I97" i="6"/>
  <c r="E880" i="6"/>
  <c r="J1684" i="4"/>
  <c r="J1683" i="4"/>
  <c r="J1570" i="2"/>
  <c r="J1571" i="2"/>
  <c r="J2254" i="3"/>
  <c r="J2255" i="3"/>
  <c r="CA2196" i="2"/>
  <c r="J1823" i="2"/>
  <c r="J1822" i="2"/>
  <c r="J2228" i="3"/>
  <c r="J2227" i="3"/>
  <c r="J1553" i="3"/>
  <c r="J1552" i="3"/>
  <c r="J1873" i="4"/>
  <c r="J1872" i="4"/>
  <c r="CJ2389" i="1"/>
  <c r="CJ2382" i="1"/>
  <c r="CI2382" i="1"/>
  <c r="BK1639" i="5"/>
  <c r="J2035" i="4"/>
  <c r="J2034" i="4"/>
  <c r="J1829" i="4"/>
  <c r="I1818" i="4"/>
  <c r="BP2115" i="4"/>
  <c r="I1819" i="4"/>
  <c r="BP2116" i="4"/>
  <c r="J447" i="6"/>
  <c r="J448" i="6"/>
  <c r="J744" i="6"/>
  <c r="J745" i="6"/>
  <c r="J532" i="2"/>
  <c r="J531" i="2"/>
  <c r="CI2393" i="1"/>
  <c r="CI2394" i="1"/>
  <c r="CJ2392" i="1"/>
  <c r="CJ2393" i="1"/>
  <c r="J1930" i="3"/>
  <c r="J1931" i="3"/>
  <c r="CA2116" i="4"/>
  <c r="CA2115" i="4"/>
  <c r="CB2126" i="4"/>
  <c r="BJ1642" i="5"/>
  <c r="BJ1643" i="5"/>
  <c r="BK1653" i="5"/>
  <c r="J97" i="6"/>
  <c r="J96" i="6"/>
  <c r="AH890" i="6"/>
  <c r="J1426" i="5"/>
  <c r="J1427" i="5"/>
  <c r="J1359" i="4"/>
  <c r="J1360" i="4"/>
  <c r="J1265" i="5"/>
  <c r="J1264" i="5"/>
  <c r="J2200" i="3"/>
  <c r="J2201" i="3"/>
  <c r="J1549" i="4"/>
  <c r="J1548" i="4"/>
  <c r="J1561" i="5"/>
  <c r="J1562" i="5"/>
  <c r="J843" i="2"/>
  <c r="J842" i="2"/>
  <c r="J1792" i="4"/>
  <c r="J1791" i="4"/>
  <c r="J2159" i="2"/>
  <c r="J2158" i="2"/>
  <c r="J900" i="4"/>
  <c r="J901" i="4"/>
  <c r="J1598" i="2"/>
  <c r="J1599" i="2"/>
  <c r="CI2384" i="1"/>
  <c r="CJ2394" i="1"/>
  <c r="CI2383" i="1"/>
  <c r="J1818" i="4"/>
  <c r="J1819" i="4"/>
  <c r="J664" i="6"/>
  <c r="J663" i="6"/>
  <c r="J940" i="5"/>
  <c r="J941" i="5"/>
  <c r="J1634" i="3"/>
  <c r="J1633" i="3"/>
  <c r="CF2292" i="3"/>
  <c r="J1963" i="2"/>
  <c r="J1962" i="2"/>
  <c r="J1822" i="3"/>
  <c r="J1823" i="3"/>
  <c r="J1935" i="2"/>
  <c r="J1934" i="2"/>
  <c r="J1402" i="2"/>
  <c r="J1403" i="2"/>
  <c r="J1589" i="5"/>
  <c r="J1588" i="5"/>
  <c r="J1514" i="2"/>
  <c r="J1515" i="2"/>
  <c r="CA2185" i="2"/>
  <c r="CB2196" i="2"/>
  <c r="CA2186" i="2"/>
  <c r="J1184" i="5"/>
  <c r="J1183" i="5"/>
  <c r="J927" i="2"/>
  <c r="J926" i="2"/>
  <c r="J1123" i="2"/>
  <c r="J1122" i="2"/>
  <c r="J1468" i="4"/>
  <c r="J1467" i="4"/>
  <c r="J1851" i="2"/>
  <c r="J1850" i="2"/>
  <c r="CB2186" i="2"/>
  <c r="CB2185" i="2"/>
  <c r="CJ2384" i="1"/>
  <c r="CJ2383" i="1"/>
  <c r="AI890" i="6"/>
  <c r="AH879" i="6"/>
  <c r="AH880" i="6"/>
  <c r="CB2115" i="4"/>
  <c r="CB2116" i="4"/>
  <c r="CF2282" i="3"/>
  <c r="CG2292" i="3"/>
  <c r="CF2281" i="3"/>
  <c r="BK1643" i="5"/>
  <c r="BK1642" i="5"/>
  <c r="AI880" i="6"/>
  <c r="AI879" i="6"/>
  <c r="CG2282" i="3"/>
  <c r="CG2281" i="3"/>
</calcChain>
</file>

<file path=xl/sharedStrings.xml><?xml version="1.0" encoding="utf-8"?>
<sst xmlns="http://schemas.openxmlformats.org/spreadsheetml/2006/main" count="18640" uniqueCount="1501">
  <si>
    <t xml:space="preserve">REPORTE DE VENTAS  PEPE SIERRA </t>
  </si>
  <si>
    <t xml:space="preserve">SEMANA 1 </t>
  </si>
  <si>
    <t xml:space="preserve">DESCRIPCIÓN </t>
  </si>
  <si>
    <t>LUNES 9</t>
  </si>
  <si>
    <t>MARTES 10</t>
  </si>
  <si>
    <t>MIERCOLES 11</t>
  </si>
  <si>
    <t>JUEVES 12</t>
  </si>
  <si>
    <t>VIERNES 13</t>
  </si>
  <si>
    <t>SABADO  14</t>
  </si>
  <si>
    <t>DOMINGO 15</t>
  </si>
  <si>
    <t xml:space="preserve">TOTAL </t>
  </si>
  <si>
    <t>No. Pizzas vendidas</t>
  </si>
  <si>
    <t>No. Tiquetes  Domicilio</t>
  </si>
  <si>
    <t xml:space="preserve">No. Tiquetes Domicilio Carry Out </t>
  </si>
  <si>
    <t>No.  Tiquetes  Punto de Venta</t>
  </si>
  <si>
    <t xml:space="preserve">No. tiquetes punto de Venta Carryout </t>
  </si>
  <si>
    <t>No. Tiquete Punto de Venta Domicilio</t>
  </si>
  <si>
    <t xml:space="preserve">Total Tiquetes </t>
  </si>
  <si>
    <t>% Ventas Domicilio</t>
  </si>
  <si>
    <t xml:space="preserve">% Ventas Domicilio Carry Out </t>
  </si>
  <si>
    <t>% Ventas  Punto de Venta</t>
  </si>
  <si>
    <t xml:space="preserve">% Ventasunto de Venta Carryout </t>
  </si>
  <si>
    <t>% Ventas Punto de Venta Domicilio</t>
  </si>
  <si>
    <t>Venta por tiq. Promedio</t>
  </si>
  <si>
    <t>Venta por pizza Promedio</t>
  </si>
  <si>
    <t>Ventas Domicilio</t>
  </si>
  <si>
    <t xml:space="preserve">Ventas Domicilio Carry Out </t>
  </si>
  <si>
    <t>Ventas Punto de Venta</t>
  </si>
  <si>
    <t xml:space="preserve">Ventas Punto de Venta Carryout </t>
  </si>
  <si>
    <t>Ventas Punto de Venta Domicilio</t>
  </si>
  <si>
    <t>Subtotal sin iva y domicilios</t>
  </si>
  <si>
    <t xml:space="preserve">Cobro Domicilios </t>
  </si>
  <si>
    <t xml:space="preserve">TOTAL SIN IVA </t>
  </si>
  <si>
    <t xml:space="preserve">IVA </t>
  </si>
  <si>
    <t xml:space="preserve">TOTAL CON IVA </t>
  </si>
  <si>
    <t xml:space="preserve">SEMANA 2 </t>
  </si>
  <si>
    <t>LUNES F  16</t>
  </si>
  <si>
    <t>MARTES 17</t>
  </si>
  <si>
    <t>MIERCOLES  18</t>
  </si>
  <si>
    <t>JUEVES 19</t>
  </si>
  <si>
    <t>VIERNES 20</t>
  </si>
  <si>
    <t>SABADO  21</t>
  </si>
  <si>
    <t>DOMINGO 22</t>
  </si>
  <si>
    <t>PROMEDIO X DIA</t>
  </si>
  <si>
    <t xml:space="preserve">SEMANA 3 </t>
  </si>
  <si>
    <t>LUNES 23</t>
  </si>
  <si>
    <t>MARTES  24</t>
  </si>
  <si>
    <t>MIERCOLES 25</t>
  </si>
  <si>
    <t>JUEVES 26</t>
  </si>
  <si>
    <t>VIERNES 27</t>
  </si>
  <si>
    <t>SABADO 28</t>
  </si>
  <si>
    <t>DOMINGO  29</t>
  </si>
  <si>
    <t xml:space="preserve">SEMANA 4 </t>
  </si>
  <si>
    <t>LUNES 30</t>
  </si>
  <si>
    <t>MARTES 31</t>
  </si>
  <si>
    <t>MIERCOLES 1</t>
  </si>
  <si>
    <t>JUEVES 2</t>
  </si>
  <si>
    <t>VIERNES  3</t>
  </si>
  <si>
    <t>SABADO 4</t>
  </si>
  <si>
    <t>DOMINGO 5</t>
  </si>
  <si>
    <t xml:space="preserve">SEMANA 5 </t>
  </si>
  <si>
    <t xml:space="preserve">LUNES 6 </t>
  </si>
  <si>
    <t>MARTES 7</t>
  </si>
  <si>
    <t>MIERCOLES 8</t>
  </si>
  <si>
    <t>JUEVES  9</t>
  </si>
  <si>
    <t>VIERNES 10</t>
  </si>
  <si>
    <t>SABADO 11</t>
  </si>
  <si>
    <t>DOMINGO 12</t>
  </si>
  <si>
    <t xml:space="preserve">PROMEDIO X DIA </t>
  </si>
  <si>
    <t>SEMANA 6</t>
  </si>
  <si>
    <t>LUNES 13</t>
  </si>
  <si>
    <t>MARTES 14</t>
  </si>
  <si>
    <t>MIERCOLES 15</t>
  </si>
  <si>
    <t>JUEVES 16</t>
  </si>
  <si>
    <t>VIERNES 17</t>
  </si>
  <si>
    <t>SABADO 18</t>
  </si>
  <si>
    <t>DOMINGO 19</t>
  </si>
  <si>
    <t>PROMEDIO DIA</t>
  </si>
  <si>
    <t>DIFERENCIA INFORME SISTEMA</t>
  </si>
  <si>
    <t xml:space="preserve">DIFERENCIA CONTABLE </t>
  </si>
  <si>
    <t xml:space="preserve">SEMANA 7 </t>
  </si>
  <si>
    <t>LUNES 20</t>
  </si>
  <si>
    <t>MARTES 21</t>
  </si>
  <si>
    <t>MIERCOLES 22</t>
  </si>
  <si>
    <t>JUEVES 23</t>
  </si>
  <si>
    <t>VIERNES 24</t>
  </si>
  <si>
    <t>SABADO 25</t>
  </si>
  <si>
    <t>DOMINGO 26</t>
  </si>
  <si>
    <t xml:space="preserve">SEMANA 8 </t>
  </si>
  <si>
    <t>LUNES 27</t>
  </si>
  <si>
    <t>MARTES 28</t>
  </si>
  <si>
    <t>MIERCOLES  29</t>
  </si>
  <si>
    <t>JUEVES 30</t>
  </si>
  <si>
    <t>VIERNES 1</t>
  </si>
  <si>
    <t>SABADO 2</t>
  </si>
  <si>
    <t>DOMINGO 3</t>
  </si>
  <si>
    <t>TOTAL</t>
  </si>
  <si>
    <t>PROMEDIO x DIA</t>
  </si>
  <si>
    <t>SEMANA 9</t>
  </si>
  <si>
    <t>LUNES 4</t>
  </si>
  <si>
    <t>MARTES 5</t>
  </si>
  <si>
    <t>MIERCOLES 6</t>
  </si>
  <si>
    <t>JUEVES 7</t>
  </si>
  <si>
    <t>VIERNES 8</t>
  </si>
  <si>
    <t>SABADO 9</t>
  </si>
  <si>
    <t>DOMINGO 10</t>
  </si>
  <si>
    <t>SEMANA 10</t>
  </si>
  <si>
    <t>LUNES 11</t>
  </si>
  <si>
    <t>MARTES 12</t>
  </si>
  <si>
    <t>MIERCOLES 13</t>
  </si>
  <si>
    <t>JUEVES 14</t>
  </si>
  <si>
    <t>VIERNES 15</t>
  </si>
  <si>
    <t>SABADO 16</t>
  </si>
  <si>
    <t>DOMINGO 17</t>
  </si>
  <si>
    <t>SEMANA 11</t>
  </si>
  <si>
    <t xml:space="preserve">LUNES 18 F </t>
  </si>
  <si>
    <t>MARTES 19</t>
  </si>
  <si>
    <t>MIERCOLES 20</t>
  </si>
  <si>
    <t>JUEVES 21</t>
  </si>
  <si>
    <t>VIERNES 22</t>
  </si>
  <si>
    <t>SABADO 23</t>
  </si>
  <si>
    <t>DOMINGO 24</t>
  </si>
  <si>
    <t>SEMANA 12</t>
  </si>
  <si>
    <t>LUNES 25</t>
  </si>
  <si>
    <t>MARTES 26</t>
  </si>
  <si>
    <t>MIERCOLES 27</t>
  </si>
  <si>
    <t>JUEVES 28</t>
  </si>
  <si>
    <t>VIERNES 29</t>
  </si>
  <si>
    <t>SABADO 30</t>
  </si>
  <si>
    <t>DOMINGO 31</t>
  </si>
  <si>
    <t>SEMANA 13</t>
  </si>
  <si>
    <t>LUNES F 1</t>
  </si>
  <si>
    <t>MARTES 2</t>
  </si>
  <si>
    <t>MIERCOLES 3</t>
  </si>
  <si>
    <t>JUEVES 4</t>
  </si>
  <si>
    <t>VIERNES 5</t>
  </si>
  <si>
    <t>SABADO 6</t>
  </si>
  <si>
    <t>DOMINGO 7</t>
  </si>
  <si>
    <t>SEMANA 14</t>
  </si>
  <si>
    <t>LUNES 8</t>
  </si>
  <si>
    <t>MARTES 9</t>
  </si>
  <si>
    <t>MIERCOLES 10</t>
  </si>
  <si>
    <t>JUEVES 11</t>
  </si>
  <si>
    <t>VIERNES 12</t>
  </si>
  <si>
    <t>SABADO 13</t>
  </si>
  <si>
    <t>DOMINGO 14</t>
  </si>
  <si>
    <t>SEMANA 15</t>
  </si>
  <si>
    <t>LUNES 15</t>
  </si>
  <si>
    <t>MARTES 16</t>
  </si>
  <si>
    <t>MIERCOLES 17</t>
  </si>
  <si>
    <t>JUEVES 18</t>
  </si>
  <si>
    <t>VIERNES 19</t>
  </si>
  <si>
    <t>SABADO 20</t>
  </si>
  <si>
    <t>DOMINGO 21</t>
  </si>
  <si>
    <t>SEMANA 16</t>
  </si>
  <si>
    <t>LUNES 22</t>
  </si>
  <si>
    <t>MARTES 23</t>
  </si>
  <si>
    <t>MIERCOLES 24</t>
  </si>
  <si>
    <t>JUEVES 25</t>
  </si>
  <si>
    <t>VIERNES 26</t>
  </si>
  <si>
    <t>SABADO 27</t>
  </si>
  <si>
    <t>DOMINGO 28</t>
  </si>
  <si>
    <t>SEMANA 17</t>
  </si>
  <si>
    <t>LUNES 29</t>
  </si>
  <si>
    <t>MARTES 30</t>
  </si>
  <si>
    <t>VIERNES 3</t>
  </si>
  <si>
    <t>SEMANA 18</t>
  </si>
  <si>
    <t>LUNES 6</t>
  </si>
  <si>
    <t>JUEVES 9</t>
  </si>
  <si>
    <t>SEMANA 19</t>
  </si>
  <si>
    <t>SEMANA  20</t>
  </si>
  <si>
    <t>SEMANA  21</t>
  </si>
  <si>
    <t>MIERCOLES 29</t>
  </si>
  <si>
    <t>VIERNES 31</t>
  </si>
  <si>
    <t>SABADO 1</t>
  </si>
  <si>
    <t>DOMINGO 2</t>
  </si>
  <si>
    <t xml:space="preserve">SEMANA  22 ENERO </t>
  </si>
  <si>
    <t>LUNES 3</t>
  </si>
  <si>
    <t>MARTES 4</t>
  </si>
  <si>
    <t>MIERCOLES 5</t>
  </si>
  <si>
    <t>JUEVES 6</t>
  </si>
  <si>
    <t>VIERNES 7</t>
  </si>
  <si>
    <t>SABADO 8</t>
  </si>
  <si>
    <t>DOMINGO 9</t>
  </si>
  <si>
    <t xml:space="preserve">SEMANA  23 ENERO </t>
  </si>
  <si>
    <t>LUNES 10</t>
  </si>
  <si>
    <t>MARTES 11</t>
  </si>
  <si>
    <t>MIERCOLES 12</t>
  </si>
  <si>
    <t>JUEVES 13</t>
  </si>
  <si>
    <t>VIERNES 14</t>
  </si>
  <si>
    <t>SABADO 15</t>
  </si>
  <si>
    <t>DOMINGO 16</t>
  </si>
  <si>
    <t xml:space="preserve">SEMANA  24 ENERO </t>
  </si>
  <si>
    <t>LUNES 17</t>
  </si>
  <si>
    <t>MARTES 18</t>
  </si>
  <si>
    <t>MIERCOLES 19</t>
  </si>
  <si>
    <t>JUEVES 20</t>
  </si>
  <si>
    <t>VIERNES 21</t>
  </si>
  <si>
    <t>SABADO 22</t>
  </si>
  <si>
    <t>DOMINGO 23</t>
  </si>
  <si>
    <t xml:space="preserve">SEMANA  25 ENERO </t>
  </si>
  <si>
    <t>LUNES 24</t>
  </si>
  <si>
    <t>MARTES 25</t>
  </si>
  <si>
    <t>MIERCOLES 26</t>
  </si>
  <si>
    <t>JUEVES 27</t>
  </si>
  <si>
    <t>VIERNES 28</t>
  </si>
  <si>
    <t>SABADO 29</t>
  </si>
  <si>
    <t>DOMINGO 30</t>
  </si>
  <si>
    <t xml:space="preserve">SEMANA  26   </t>
  </si>
  <si>
    <t>LUNES 31</t>
  </si>
  <si>
    <t>MARTES 1</t>
  </si>
  <si>
    <t>MIERCOLES 2</t>
  </si>
  <si>
    <t>JUEVES 3</t>
  </si>
  <si>
    <t>VIERNES 4</t>
  </si>
  <si>
    <t>SABADO 5</t>
  </si>
  <si>
    <t>DOMINGO 6</t>
  </si>
  <si>
    <t xml:space="preserve">SEMANA  27   </t>
  </si>
  <si>
    <t>LUNES 7</t>
  </si>
  <si>
    <t>MARTES 8</t>
  </si>
  <si>
    <t>MIERCOLES 9</t>
  </si>
  <si>
    <t>JUEVES 10</t>
  </si>
  <si>
    <t>VIERNES 11</t>
  </si>
  <si>
    <t>SABADO 12</t>
  </si>
  <si>
    <t>DOMINGO 13</t>
  </si>
  <si>
    <t xml:space="preserve">SEMANA  28   </t>
  </si>
  <si>
    <t>LUNES 14</t>
  </si>
  <si>
    <t>MARTES 15</t>
  </si>
  <si>
    <t>MIERCOLES 16</t>
  </si>
  <si>
    <t>JUEVES 17</t>
  </si>
  <si>
    <t>VIERNES 18</t>
  </si>
  <si>
    <t>SABADO 19</t>
  </si>
  <si>
    <t>DOMINGO 20</t>
  </si>
  <si>
    <t xml:space="preserve">SEMANA  29   </t>
  </si>
  <si>
    <t>LUNES 21</t>
  </si>
  <si>
    <t>MARTES 22</t>
  </si>
  <si>
    <t>MIERCOLES 23</t>
  </si>
  <si>
    <t>JUEVES 24</t>
  </si>
  <si>
    <t>VIERNES 25</t>
  </si>
  <si>
    <t>SABADO 26</t>
  </si>
  <si>
    <t>DOMINGO 27</t>
  </si>
  <si>
    <t>SEMANA  30</t>
  </si>
  <si>
    <t>LUNES 28</t>
  </si>
  <si>
    <t>MARTES 01</t>
  </si>
  <si>
    <t>MIERCOLES 02</t>
  </si>
  <si>
    <t>JUEVES 03</t>
  </si>
  <si>
    <t>VIERNES 04</t>
  </si>
  <si>
    <t>SABADO 05</t>
  </si>
  <si>
    <t>DOMINGO 06</t>
  </si>
  <si>
    <t>SEMANA  31</t>
  </si>
  <si>
    <t>LUNES 07</t>
  </si>
  <si>
    <t>MARTES 08</t>
  </si>
  <si>
    <t>MIERCOLES 09</t>
  </si>
  <si>
    <t>SEMANA  32</t>
  </si>
  <si>
    <t>SEMANA  33</t>
  </si>
  <si>
    <t>SEMANA  34</t>
  </si>
  <si>
    <t>MARTES 29</t>
  </si>
  <si>
    <t>MIERCOLES 30</t>
  </si>
  <si>
    <t>JUEVES 31</t>
  </si>
  <si>
    <t>VIERNES 01</t>
  </si>
  <si>
    <t>SABADO 02</t>
  </si>
  <si>
    <t>DOMINGO 03</t>
  </si>
  <si>
    <t>SEMANA  35</t>
  </si>
  <si>
    <t>LUNES 04</t>
  </si>
  <si>
    <t>MARTES 05</t>
  </si>
  <si>
    <t>MIERCOLES 06</t>
  </si>
  <si>
    <t>JUEVES 07</t>
  </si>
  <si>
    <t>VIERNES 08</t>
  </si>
  <si>
    <t>SABADO 09</t>
  </si>
  <si>
    <t>SEMANA  36</t>
  </si>
  <si>
    <t>SEMANA  37</t>
  </si>
  <si>
    <t>LUNES 18</t>
  </si>
  <si>
    <t>SEMANA  38</t>
  </si>
  <si>
    <t>DOMINGO 01</t>
  </si>
  <si>
    <t>SEMANA  39</t>
  </si>
  <si>
    <t>LUNES 02</t>
  </si>
  <si>
    <t>MARTES 03</t>
  </si>
  <si>
    <t>MIERCOLES 04</t>
  </si>
  <si>
    <t>JUEVES 05</t>
  </si>
  <si>
    <t>VIERNES 06</t>
  </si>
  <si>
    <t>SABADO 07</t>
  </si>
  <si>
    <t>DOMINGO 08</t>
  </si>
  <si>
    <t>SEMANA  40</t>
  </si>
  <si>
    <t>LUNES 09</t>
  </si>
  <si>
    <t>SABADO 14</t>
  </si>
  <si>
    <t>SEMANA  41</t>
  </si>
  <si>
    <t>LUNES 16</t>
  </si>
  <si>
    <t>MIERCOLES 18</t>
  </si>
  <si>
    <t>SABADO 21</t>
  </si>
  <si>
    <t>SEMANA  42</t>
  </si>
  <si>
    <t>MARTES 24</t>
  </si>
  <si>
    <t>DOMINGO 29</t>
  </si>
  <si>
    <t>SEMANA  43</t>
  </si>
  <si>
    <t>MIERCOLES 01</t>
  </si>
  <si>
    <t>JUEVES 02</t>
  </si>
  <si>
    <t>VIERNES 03</t>
  </si>
  <si>
    <t>SABADO 04</t>
  </si>
  <si>
    <t>DOMINGO 05</t>
  </si>
  <si>
    <t>SEMANA  44</t>
  </si>
  <si>
    <t>LUNES 06</t>
  </si>
  <si>
    <t>MARTES 07</t>
  </si>
  <si>
    <t>MIERCOLES 08</t>
  </si>
  <si>
    <t>JUEVES 09</t>
  </si>
  <si>
    <t>SEMANA  45</t>
  </si>
  <si>
    <t>SEMANA  46</t>
  </si>
  <si>
    <t>SEMANA  47</t>
  </si>
  <si>
    <t>SEMANA  48</t>
  </si>
  <si>
    <t>SEMANA  49</t>
  </si>
  <si>
    <t>SEMANA  50</t>
  </si>
  <si>
    <t>SEMANA  51</t>
  </si>
  <si>
    <t>SEMANA  52</t>
  </si>
  <si>
    <t>LUNES 01</t>
  </si>
  <si>
    <t>MARTES 02</t>
  </si>
  <si>
    <t>MIERCOLES 03</t>
  </si>
  <si>
    <t>JUEVES 04</t>
  </si>
  <si>
    <t>VIERNES 05</t>
  </si>
  <si>
    <t>SABADO 06</t>
  </si>
  <si>
    <t>DOMINGO 07</t>
  </si>
  <si>
    <t>SEMANA  53</t>
  </si>
  <si>
    <t>LUNES 08</t>
  </si>
  <si>
    <t>MARTES 09</t>
  </si>
  <si>
    <t>SEMANA  54</t>
  </si>
  <si>
    <t>SEMANA  55</t>
  </si>
  <si>
    <t>SEMANA  56</t>
  </si>
  <si>
    <t>MIERCOLES 31</t>
  </si>
  <si>
    <t>JUEVES 01</t>
  </si>
  <si>
    <t>VIERNES 02</t>
  </si>
  <si>
    <t>SABADO 03</t>
  </si>
  <si>
    <t>DOMINGO 04</t>
  </si>
  <si>
    <t>SEMANA  57</t>
  </si>
  <si>
    <t>LUNES 05</t>
  </si>
  <si>
    <t>MARTES 06</t>
  </si>
  <si>
    <t>MIERCOLES 07</t>
  </si>
  <si>
    <t>JUEVES 08</t>
  </si>
  <si>
    <t>VIERNES 09</t>
  </si>
  <si>
    <t>SABADO 10</t>
  </si>
  <si>
    <t>DOMINGO 11</t>
  </si>
  <si>
    <t>SEMANA  58</t>
  </si>
  <si>
    <t>LUNES 12</t>
  </si>
  <si>
    <t>MARTES 13</t>
  </si>
  <si>
    <t>MIERCOLES 14</t>
  </si>
  <si>
    <t>JUEVES 15</t>
  </si>
  <si>
    <t>VIERNES 16</t>
  </si>
  <si>
    <t>SABADO 17</t>
  </si>
  <si>
    <t>DOMINGO 18</t>
  </si>
  <si>
    <t>SEMANA  59</t>
  </si>
  <si>
    <t>LUNES 19</t>
  </si>
  <si>
    <t>MARTES 20</t>
  </si>
  <si>
    <t>MIERCOLES 21</t>
  </si>
  <si>
    <t>JUEVES 22</t>
  </si>
  <si>
    <t>VIERNES 23</t>
  </si>
  <si>
    <t>SABADO 24</t>
  </si>
  <si>
    <t>DOMINGO 25</t>
  </si>
  <si>
    <t xml:space="preserve">CONSOLIDADO </t>
  </si>
  <si>
    <t>SEMANA 1</t>
  </si>
  <si>
    <t>SEMANA 2</t>
  </si>
  <si>
    <t>SEMANA 3</t>
  </si>
  <si>
    <t>SEMANA 4</t>
  </si>
  <si>
    <t>SEMANA 5</t>
  </si>
  <si>
    <t>SEMANA 7</t>
  </si>
  <si>
    <t>SEMANA 8</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</si>
  <si>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</si>
  <si>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</si>
  <si>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</si>
  <si>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</si>
  <si>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</si>
  <si>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</si>
  <si>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</si>
  <si>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</si>
  <si>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</si>
  <si>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</si>
  <si>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</si>
  <si>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</si>
  <si>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</si>
  <si>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</si>
  <si>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</si>
  <si>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</si>
  <si>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</si>
  <si>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</si>
  <si>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</si>
  <si>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</si>
  <si>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</si>
  <si>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</si>
  <si>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</si>
  <si>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</si>
  <si>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</si>
  <si>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</si>
  <si>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</si>
  <si>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</si>
  <si>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</si>
  <si>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</si>
  <si>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</si>
  <si>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</si>
  <si>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</si>
  <si>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</si>
  <si>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SEMANA 54</t>
  </si>
  <si>
    <t>SEMANA 55</t>
  </si>
  <si>
    <t>SEMANA 56</t>
  </si>
  <si>
    <t>SEMANA 57</t>
  </si>
  <si>
    <t>SEMANA 58</t>
  </si>
  <si>
    <t>SEMANA 59</t>
  </si>
  <si>
    <t>PROMEDIO SEMANA</t>
  </si>
  <si>
    <t>CONSOLIDADO</t>
  </si>
  <si>
    <t xml:space="preserve">REPORTE DE VENTAS FLORESTA </t>
  </si>
  <si>
    <t>LUNES 1</t>
  </si>
  <si>
    <t xml:space="preserve">SEMANA 5 FLORESTA </t>
  </si>
  <si>
    <t>LUNES FEST 15</t>
  </si>
  <si>
    <t>VIERNNES 11</t>
  </si>
  <si>
    <t>VIERNNES 18</t>
  </si>
  <si>
    <t>VIERNNES 25</t>
  </si>
  <si>
    <t xml:space="preserve">PROMEDIO SEMANA </t>
  </si>
  <si>
    <t>REPORTE DE VENTAS CEDRITOS</t>
  </si>
  <si>
    <t>,</t>
  </si>
  <si>
    <t xml:space="preserve">LUNES 18 f </t>
  </si>
  <si>
    <t xml:space="preserve">SEMANA 10 CEDRITOS </t>
  </si>
  <si>
    <t xml:space="preserve">REPORTE DE VENTAS NOGAL </t>
  </si>
  <si>
    <t xml:space="preserve">SEMANA 5 NOGAL </t>
  </si>
  <si>
    <t>MARTES 2/8</t>
  </si>
  <si>
    <t xml:space="preserve">                               </t>
  </si>
  <si>
    <t xml:space="preserve">INFORME DE VENTAS CON IVA   PJ  COL S.A.S </t>
  </si>
  <si>
    <t xml:space="preserve">PUNTOS DE VENTA </t>
  </si>
  <si>
    <t xml:space="preserve">LUNES 11 OCT </t>
  </si>
  <si>
    <t xml:space="preserve">MARTES 12 OCT </t>
  </si>
  <si>
    <t xml:space="preserve">MIERCOLES 13 OCT </t>
  </si>
  <si>
    <t xml:space="preserve">JUEVES 14 OCT </t>
  </si>
  <si>
    <t xml:space="preserve">VIERNES 15 OCT </t>
  </si>
  <si>
    <t xml:space="preserve">SABADO 16 OCT </t>
  </si>
  <si>
    <t xml:space="preserve">DOMINGO 17 OCT </t>
  </si>
  <si>
    <t xml:space="preserve">PEPE SIERRA </t>
  </si>
  <si>
    <t xml:space="preserve">CEDRITOS </t>
  </si>
  <si>
    <t xml:space="preserve">FLORESTA </t>
  </si>
  <si>
    <t>NOGAL</t>
  </si>
  <si>
    <t xml:space="preserve">LUNES 18 OCT </t>
  </si>
  <si>
    <t xml:space="preserve">MARTES 19 OCT </t>
  </si>
  <si>
    <t xml:space="preserve">MIERCOLES 20 OCT </t>
  </si>
  <si>
    <t>JUEVES 21 OCT</t>
  </si>
  <si>
    <t xml:space="preserve">VIERNES 22 OCT </t>
  </si>
  <si>
    <t xml:space="preserve">SABADO 23 OCT </t>
  </si>
  <si>
    <t xml:space="preserve">DOMINGO 24 OCT </t>
  </si>
  <si>
    <t xml:space="preserve">DIFERENCIA SEMANA ANTERIOR </t>
  </si>
  <si>
    <t xml:space="preserve">LUNES 25 OCT </t>
  </si>
  <si>
    <t xml:space="preserve">MARTES 26 OCT </t>
  </si>
  <si>
    <t xml:space="preserve">MIERCOLES 27 OCT </t>
  </si>
  <si>
    <t xml:space="preserve">JUEVES 28 OCT </t>
  </si>
  <si>
    <t xml:space="preserve">VIERNES 29 OCT </t>
  </si>
  <si>
    <t xml:space="preserve">SABADO 30 OCT </t>
  </si>
  <si>
    <t xml:space="preserve">DOMINMGO 31 OCT </t>
  </si>
  <si>
    <t xml:space="preserve">LUNES 1 NOV </t>
  </si>
  <si>
    <t xml:space="preserve">MARTES 2 NOV </t>
  </si>
  <si>
    <t xml:space="preserve">MIERCOLES 3 NOV </t>
  </si>
  <si>
    <t xml:space="preserve">JUEVES 4 NOV </t>
  </si>
  <si>
    <t xml:space="preserve">VIERNES 5 NOV </t>
  </si>
  <si>
    <t xml:space="preserve">SABADO 6 NJOV </t>
  </si>
  <si>
    <t xml:space="preserve">DOMINGO 7 NOV </t>
  </si>
  <si>
    <t xml:space="preserve">LUNES 8 NOV </t>
  </si>
  <si>
    <t xml:space="preserve">MARTES 9 NOV </t>
  </si>
  <si>
    <t xml:space="preserve">MIERCOLES 10 NOV </t>
  </si>
  <si>
    <t xml:space="preserve">JUEVES 11 NOV </t>
  </si>
  <si>
    <t xml:space="preserve">VIERNES 12 NOV </t>
  </si>
  <si>
    <t xml:space="preserve">SABADO 13 NOV </t>
  </si>
  <si>
    <t xml:space="preserve">DOMINGO 14 NOV </t>
  </si>
  <si>
    <t xml:space="preserve">LUNES 15 NOV </t>
  </si>
  <si>
    <t xml:space="preserve">MARTES 16 NOV </t>
  </si>
  <si>
    <t xml:space="preserve">MIERCOLES 17 NOV </t>
  </si>
  <si>
    <t xml:space="preserve">JUEVES 18 NOV </t>
  </si>
  <si>
    <t xml:space="preserve">VIERNES 19 NOV </t>
  </si>
  <si>
    <t xml:space="preserve">SABADO 20 NOV </t>
  </si>
  <si>
    <t xml:space="preserve">DOMINGO 21 NOV </t>
  </si>
  <si>
    <t xml:space="preserve">LUNES  22 NOV </t>
  </si>
  <si>
    <t xml:space="preserve">MARTES 23 NOV </t>
  </si>
  <si>
    <t xml:space="preserve">MIERCOLES 24 NOV </t>
  </si>
  <si>
    <t xml:space="preserve">JUEVES 25 NOV </t>
  </si>
  <si>
    <t xml:space="preserve">VIERNES 26 NOV </t>
  </si>
  <si>
    <t xml:space="preserve">SABADO 27 NOV </t>
  </si>
  <si>
    <t xml:space="preserve">DOMINGO 28 NOV </t>
  </si>
  <si>
    <t xml:space="preserve">LUNES 29 NOV </t>
  </si>
  <si>
    <t xml:space="preserve">MARTES 30 NOV </t>
  </si>
  <si>
    <t xml:space="preserve">MIERCOLES 1 DIC </t>
  </si>
  <si>
    <t xml:space="preserve">JUEVES 2 DIC </t>
  </si>
  <si>
    <t xml:space="preserve">VIERNES 3 DIC </t>
  </si>
  <si>
    <t xml:space="preserve">SABADO 4 DIC </t>
  </si>
  <si>
    <t xml:space="preserve">DOMINGO 5 DIC </t>
  </si>
  <si>
    <t xml:space="preserve">LUNES 6 DIC </t>
  </si>
  <si>
    <t xml:space="preserve">MARTES 7 DIC </t>
  </si>
  <si>
    <t>MIERCOLES 8 DIC</t>
  </si>
  <si>
    <t xml:space="preserve">JUEVES 9 DIC </t>
  </si>
  <si>
    <t xml:space="preserve">VIERNES 10 DIC </t>
  </si>
  <si>
    <t xml:space="preserve">SABADO 11 DIC </t>
  </si>
  <si>
    <t xml:space="preserve">DOMINGO 12 DIC </t>
  </si>
  <si>
    <t xml:space="preserve">LUNES 13 DIC </t>
  </si>
  <si>
    <t xml:space="preserve">MARTES 14 DIC </t>
  </si>
  <si>
    <t xml:space="preserve">MIERCOLES 15 DIC </t>
  </si>
  <si>
    <t xml:space="preserve">JUEVES 16 DIC </t>
  </si>
  <si>
    <t xml:space="preserve">VIERNES 17 DIC </t>
  </si>
  <si>
    <t xml:space="preserve">SABADO 18 DIC </t>
  </si>
  <si>
    <t xml:space="preserve">DOMINGO 19 DIC </t>
  </si>
  <si>
    <t xml:space="preserve">LUNES 20 DIC </t>
  </si>
  <si>
    <t xml:space="preserve">MARTES 21 DIC </t>
  </si>
  <si>
    <t xml:space="preserve">MIERCOLES 22 DIC </t>
  </si>
  <si>
    <t xml:space="preserve">JUEVES 23 DIC </t>
  </si>
  <si>
    <t xml:space="preserve">VIERNES 24 DIC </t>
  </si>
  <si>
    <t xml:space="preserve">SABADO 25 DIC </t>
  </si>
  <si>
    <t xml:space="preserve">DOMINGO 26 DIC </t>
  </si>
  <si>
    <t xml:space="preserve">LUNES 27 DIC </t>
  </si>
  <si>
    <t xml:space="preserve">MARTES 28 DIC </t>
  </si>
  <si>
    <t xml:space="preserve">MIERCOLES 29 DIC </t>
  </si>
  <si>
    <t>JUEVES 30 DIC</t>
  </si>
  <si>
    <t xml:space="preserve">VIERNES 31 DIC </t>
  </si>
  <si>
    <t>SABADO 1 ENERO</t>
  </si>
  <si>
    <t xml:space="preserve">LUNES 2 ENERO </t>
  </si>
  <si>
    <t xml:space="preserve">LUNES 3 ENERO </t>
  </si>
  <si>
    <t xml:space="preserve">MARTES 4 ENERO </t>
  </si>
  <si>
    <t>MIERCOLES 5 ENERO</t>
  </si>
  <si>
    <t xml:space="preserve">JUEVES 6 ENERO </t>
  </si>
  <si>
    <t xml:space="preserve">VIERNES 7 ENERO </t>
  </si>
  <si>
    <t xml:space="preserve">SABADO 8 ENERO </t>
  </si>
  <si>
    <t xml:space="preserve">DOMINGO 9 ENERO </t>
  </si>
  <si>
    <t xml:space="preserve">LUNES 10 ENERO </t>
  </si>
  <si>
    <t xml:space="preserve">MARTES 11 NERO </t>
  </si>
  <si>
    <t xml:space="preserve">MIERCOLES 12 ENERO </t>
  </si>
  <si>
    <t xml:space="preserve">JUEVES 13 ENERO </t>
  </si>
  <si>
    <t xml:space="preserve">VIERNES 14 ENERO </t>
  </si>
  <si>
    <t xml:space="preserve">SABADO 15 ENERO </t>
  </si>
  <si>
    <t xml:space="preserve">DOMINGO 16 ENERO </t>
  </si>
  <si>
    <t xml:space="preserve">LUNES 17 ENERO  </t>
  </si>
  <si>
    <t xml:space="preserve">MARTES 18 NERO </t>
  </si>
  <si>
    <t xml:space="preserve">MIERCOLES 19 ENERO </t>
  </si>
  <si>
    <t xml:space="preserve">JUEVES 20 ENERO </t>
  </si>
  <si>
    <t xml:space="preserve">VIERNES 21 ENERO </t>
  </si>
  <si>
    <t xml:space="preserve">SABADO 22  ENERO </t>
  </si>
  <si>
    <t xml:space="preserve">DOMINGO 23 ENERO </t>
  </si>
  <si>
    <t xml:space="preserve">LUNES 24 DE ENERO </t>
  </si>
  <si>
    <t xml:space="preserve">MARTES 25 ENERO </t>
  </si>
  <si>
    <t xml:space="preserve">MIERCOLES 26 ENERO </t>
  </si>
  <si>
    <t xml:space="preserve">JUEVES 27 ENERO </t>
  </si>
  <si>
    <t xml:space="preserve">VIERNES 28 ENERO </t>
  </si>
  <si>
    <t xml:space="preserve">SABADO 29  ENERO </t>
  </si>
  <si>
    <t xml:space="preserve">DOMINGO 30 ENERO </t>
  </si>
  <si>
    <t xml:space="preserve">LUNES 31 DE ENERO </t>
  </si>
  <si>
    <t>MARTES 1 FEBRERO</t>
  </si>
  <si>
    <t xml:space="preserve">MIERCOLES 2 FEBRERO </t>
  </si>
  <si>
    <t>JUEVES 3 FEBRERO</t>
  </si>
  <si>
    <t xml:space="preserve">VIERNES 4 FEBRERO </t>
  </si>
  <si>
    <t>SABADO 5 FEBRERO</t>
  </si>
  <si>
    <t>DOMINGO 6 FEBRERO</t>
  </si>
  <si>
    <t xml:space="preserve">AV CHILE </t>
  </si>
  <si>
    <t>USAQUEN</t>
  </si>
  <si>
    <t>CENTRO MAYOR</t>
  </si>
  <si>
    <t>CHICO</t>
  </si>
  <si>
    <t>15 DE AGOS AL 10 DE OCT</t>
  </si>
  <si>
    <t>11 AL 17 DE OCT</t>
  </si>
  <si>
    <t>18 AL 24 DE OCT</t>
  </si>
  <si>
    <t>25 AL 31 DE OCT</t>
  </si>
  <si>
    <t>1 AL 7 DE NOV</t>
  </si>
  <si>
    <t>8 AL 14 DE NOV</t>
  </si>
  <si>
    <t>15 AL 21 DE NOV</t>
  </si>
  <si>
    <t>22  AL 28 DE NOV</t>
  </si>
  <si>
    <t xml:space="preserve">29 DE NOV AL 5 DIC </t>
  </si>
  <si>
    <t xml:space="preserve">6 AL 12 DIC </t>
  </si>
  <si>
    <t>13 AL 19 DIC</t>
  </si>
  <si>
    <t xml:space="preserve">20  AL 26 DIC </t>
  </si>
  <si>
    <t>27 DIC AL 2 ENERO</t>
  </si>
  <si>
    <t>3 AL 9 DE ENERO</t>
  </si>
  <si>
    <t xml:space="preserve">10 AL 16 DE ENERO </t>
  </si>
  <si>
    <t>17 AL 23 ENERO</t>
  </si>
  <si>
    <t>24 AL 30 DE ENERO</t>
  </si>
  <si>
    <t>31 ENERO AL 6 FEB</t>
  </si>
  <si>
    <t xml:space="preserve">7 AL 13 DE FEBRERO </t>
  </si>
  <si>
    <t>14 AL 20 DE FEBRERO</t>
  </si>
  <si>
    <t>21 AL 27 DE FEBRERO</t>
  </si>
  <si>
    <t>28 FEB AL 06 MAR</t>
  </si>
  <si>
    <t>07 AL 13 MAR</t>
  </si>
  <si>
    <t>14 AL 20 MAR</t>
  </si>
  <si>
    <t>21 AL 27 MAR</t>
  </si>
  <si>
    <t>28 MAR AL 03 ABR</t>
  </si>
  <si>
    <t>04 AL 10 ABR</t>
  </si>
  <si>
    <t>11 AL 17 ABR</t>
  </si>
  <si>
    <t>18 AL 24 ABR</t>
  </si>
  <si>
    <t>25ABR AL 01 MAY</t>
  </si>
  <si>
    <t>02 AL 08 MAY</t>
  </si>
  <si>
    <t>09 AL 15 MAY</t>
  </si>
  <si>
    <t>16 AL 22 MAY</t>
  </si>
  <si>
    <t>23 AL 29 MAY</t>
  </si>
  <si>
    <t>29 MAY AL 05 JUN</t>
  </si>
  <si>
    <t>06 AL 12 JUN</t>
  </si>
  <si>
    <t>13 AL 19 JUN</t>
  </si>
  <si>
    <t>20 AL 26 JUN</t>
  </si>
  <si>
    <t>27 JUN AL 03 JUL</t>
  </si>
  <si>
    <t>03 AL 10 JUL</t>
  </si>
  <si>
    <t>11 AL 17 JUL</t>
  </si>
  <si>
    <t>18 AL 24 JUL</t>
  </si>
  <si>
    <t>25 AL 31 JUL</t>
  </si>
  <si>
    <t>01 AL 07 AGO</t>
  </si>
  <si>
    <t>08 AL 14 AGO</t>
  </si>
  <si>
    <t>15 AL 21 AGO</t>
  </si>
  <si>
    <t>22 AL 28 AGO</t>
  </si>
  <si>
    <t>29 AGO AL 04 SEP</t>
  </si>
  <si>
    <t>05 SEP AL 11 SEP</t>
  </si>
  <si>
    <t>12 SEP AL 18 SEP</t>
  </si>
  <si>
    <t>19 SEP AL 25 SEP</t>
  </si>
  <si>
    <t>SEMANA  60</t>
  </si>
  <si>
    <t>LUNES 26</t>
  </si>
  <si>
    <t>MARTES 27</t>
  </si>
  <si>
    <t>MIERCOLES 28</t>
  </si>
  <si>
    <t>JUEVES 29</t>
  </si>
  <si>
    <t>VIERNES 30</t>
  </si>
  <si>
    <t>SABADO 01</t>
  </si>
  <si>
    <t>DOMINGO 02</t>
  </si>
  <si>
    <t>SEMANA 60</t>
  </si>
  <si>
    <t>LUNES 03</t>
  </si>
  <si>
    <t>MARTES 04</t>
  </si>
  <si>
    <t>MIERCOLES 05</t>
  </si>
  <si>
    <t>JUEVES 06</t>
  </si>
  <si>
    <t>VIERNES 07</t>
  </si>
  <si>
    <t>SABADO 08</t>
  </si>
  <si>
    <t>DOMINGO 09</t>
  </si>
  <si>
    <t>26 SEP AL 02 OCT</t>
  </si>
  <si>
    <t>03 AL 09 0CT</t>
  </si>
  <si>
    <t>SEMANA  61</t>
  </si>
  <si>
    <t>SEMANA 61</t>
  </si>
  <si>
    <t>SEMANA  62</t>
  </si>
  <si>
    <t>SEMANA 62</t>
  </si>
  <si>
    <t>10 AL 16 0CT</t>
  </si>
  <si>
    <t>COLINA</t>
  </si>
  <si>
    <t>17 AL 23 OCT</t>
  </si>
  <si>
    <t>SEMANA 63</t>
  </si>
  <si>
    <t>SEMANA  63</t>
  </si>
  <si>
    <t>SEMANA  64</t>
  </si>
  <si>
    <t>SEMANA 64</t>
  </si>
  <si>
    <t>24 AL 30 OCT</t>
  </si>
  <si>
    <t>31 OCT AL 06 NOV</t>
  </si>
  <si>
    <t>SEMANA  65</t>
  </si>
  <si>
    <t>SEMANA 65</t>
  </si>
  <si>
    <t>07 AL 13  NOV</t>
  </si>
  <si>
    <t>SEMANA  66</t>
  </si>
  <si>
    <t>SEMANA 66</t>
  </si>
  <si>
    <t>14 AL 20  NOV</t>
  </si>
  <si>
    <t>SEMANA  67</t>
  </si>
  <si>
    <t>SEMANA 67</t>
  </si>
  <si>
    <t>21 AL 27  NOV</t>
  </si>
  <si>
    <t>SEMANA  68</t>
  </si>
  <si>
    <t>SEMANA 68</t>
  </si>
  <si>
    <t>28 NOV AL 04 DIC</t>
  </si>
  <si>
    <t>SEMANA  69</t>
  </si>
  <si>
    <t>SEMANA 69</t>
  </si>
  <si>
    <t>05 AL 11  DIC</t>
  </si>
  <si>
    <t>SEMANA  70</t>
  </si>
  <si>
    <t>SEMANA 70</t>
  </si>
  <si>
    <t>12 AL 18  DIC</t>
  </si>
  <si>
    <t>SEMANA  71</t>
  </si>
  <si>
    <t>SEMANA 71</t>
  </si>
  <si>
    <t>19 AL 25 DIC</t>
  </si>
  <si>
    <t>SEMANA  72</t>
  </si>
  <si>
    <t>SEMANA 72</t>
  </si>
  <si>
    <t>SABADO 31</t>
  </si>
  <si>
    <t>26 DIC AL 01 ENE</t>
  </si>
  <si>
    <t>SEMANA  73</t>
  </si>
  <si>
    <t>SEMANA 73</t>
  </si>
  <si>
    <t>02 AL 08 ENE</t>
  </si>
  <si>
    <t>MIERCOLES O4</t>
  </si>
  <si>
    <t>SEMANA  74</t>
  </si>
  <si>
    <t>SEMANA 74</t>
  </si>
  <si>
    <t>09 AL 15 ENE</t>
  </si>
  <si>
    <t>SEMANA  75</t>
  </si>
  <si>
    <t>SEMANA 75</t>
  </si>
  <si>
    <t xml:space="preserve"> </t>
  </si>
  <si>
    <t>16 AL 22 ENE</t>
  </si>
  <si>
    <t>SEMANA  76</t>
  </si>
  <si>
    <t>SEMANA 76</t>
  </si>
  <si>
    <t>23 AL 29 ENE</t>
  </si>
  <si>
    <t>SEMANA  77</t>
  </si>
  <si>
    <t>SEMANA 77</t>
  </si>
  <si>
    <t>CHAPINERO</t>
  </si>
  <si>
    <t>ANDES</t>
  </si>
  <si>
    <t>30 ENE AL 05 FEB</t>
  </si>
  <si>
    <t>SEMANA  78</t>
  </si>
  <si>
    <t>SEMANA 78</t>
  </si>
  <si>
    <t>05 AL 12 FEB</t>
  </si>
  <si>
    <t>SEMANA  79</t>
  </si>
  <si>
    <t>SEMANA 79</t>
  </si>
  <si>
    <t>13 AL 19 FEB</t>
  </si>
  <si>
    <t>SEMANA  80</t>
  </si>
  <si>
    <t>SEMANA 80</t>
  </si>
  <si>
    <t>NIZA</t>
  </si>
  <si>
    <t>SEMANA  81</t>
  </si>
  <si>
    <t>20 AL 26 FEB</t>
  </si>
  <si>
    <t>SEMANA 81</t>
  </si>
  <si>
    <t>SEMANA  82</t>
  </si>
  <si>
    <t>SEMANA 82</t>
  </si>
  <si>
    <t>27 AL 04 MAR</t>
  </si>
  <si>
    <t>05 AL 11  MAR</t>
  </si>
  <si>
    <t>SEMANA  83</t>
  </si>
  <si>
    <t>SEMANA 83</t>
  </si>
  <si>
    <t>12 AL 18  MAR</t>
  </si>
  <si>
    <t>SEMANA  84</t>
  </si>
  <si>
    <t>SEMANA 84</t>
  </si>
  <si>
    <t>19 AL 25  MAR</t>
  </si>
  <si>
    <t>SEMANA  85 -- 19 al 25 Mar/2012--</t>
  </si>
  <si>
    <t>SEMANA 85</t>
  </si>
  <si>
    <t>SEMANA 76 -- 19 al 25 Mar/2012 --</t>
  </si>
  <si>
    <t>SEMANA 81 -- 19 al 25 Mar/2012 --</t>
  </si>
  <si>
    <t>SEMANA 59 -- 19 al 25 Mar/2012 --</t>
  </si>
  <si>
    <t>SEMANA 31 -- 19 al 25 Mar/2012 --</t>
  </si>
  <si>
    <t>26 AL 01 ABR</t>
  </si>
  <si>
    <t>SEMANA  86 -- 26 al 01 Abr/2012--</t>
  </si>
  <si>
    <t>SEMANA 86</t>
  </si>
  <si>
    <t>SEMANA 77 -- 26 al 01 Abr/2012 --</t>
  </si>
  <si>
    <t>SEMANA 82 -- 26 al 01 Abr/2012 --</t>
  </si>
  <si>
    <t>SEMANA 60 -- 26 al 01 Abr/2012 --</t>
  </si>
  <si>
    <t>SEMANA 32 -- 26 al 01 Abr/2012 --</t>
  </si>
  <si>
    <t>GALERIAS</t>
  </si>
  <si>
    <t>15 DE AGO AL 10 DE OCT</t>
  </si>
  <si>
    <t>25 ABR AL 01 MAY</t>
  </si>
  <si>
    <t>19 SEP AL 25</t>
  </si>
  <si>
    <t>26 SEP AL 2 OCT</t>
  </si>
  <si>
    <t>3 OCT AL 9  OCT</t>
  </si>
  <si>
    <t>10 OCT AL 16 OCT</t>
  </si>
  <si>
    <t>17 OCT  AL 23 OCT</t>
  </si>
  <si>
    <t>24 OCT AL 30 OCT</t>
  </si>
  <si>
    <t>31 OCT AL 6 NOV</t>
  </si>
  <si>
    <t xml:space="preserve">7 NOV AL 13 NOV </t>
  </si>
  <si>
    <t xml:space="preserve">14 NOV AL 20 NOV </t>
  </si>
  <si>
    <t>21 NOV AL 27 NOV</t>
  </si>
  <si>
    <t xml:space="preserve">28 NOV AL 4 DIC </t>
  </si>
  <si>
    <t xml:space="preserve">5 DIC AL 11 DIC </t>
  </si>
  <si>
    <t>12 DIC AL 18 DIC</t>
  </si>
  <si>
    <t>19 DIC AL 25 DIC</t>
  </si>
  <si>
    <t>26 DIC AL 1 ENE</t>
  </si>
  <si>
    <t>2 ENE AL 8 ENE</t>
  </si>
  <si>
    <t>9 ENE AL 15 ENE</t>
  </si>
  <si>
    <t>16 ENE AL 22 ENE</t>
  </si>
  <si>
    <t>23 ENE AL 29 ENE</t>
  </si>
  <si>
    <t>30 ENE AL 5 FEB</t>
  </si>
  <si>
    <t>6 FEB AL 12 FEB</t>
  </si>
  <si>
    <t>13 FEB AL 19 FEB</t>
  </si>
  <si>
    <t>20 FEB AL 26 FEB</t>
  </si>
  <si>
    <t>27 FEB AL 4 MAR</t>
  </si>
  <si>
    <t>5 MAR AL 11 MAR</t>
  </si>
  <si>
    <t>12 MAR AL 18 MAR</t>
  </si>
  <si>
    <t>19 MAR AL 25 MAR</t>
  </si>
  <si>
    <t>Variables</t>
  </si>
  <si>
    <t>Ventas</t>
  </si>
  <si>
    <t>Llamadas contestadas</t>
  </si>
  <si>
    <t>Total Domicilios</t>
  </si>
  <si>
    <t>PQRS</t>
  </si>
  <si>
    <t xml:space="preserve">SAC </t>
  </si>
  <si>
    <t>Llamadas Ociosas</t>
  </si>
  <si>
    <t xml:space="preserve">Llamadas Erradas </t>
  </si>
  <si>
    <t>Fuera de Cobertura</t>
  </si>
  <si>
    <t xml:space="preserve">Gasto Marketing Puro </t>
  </si>
  <si>
    <t>Gastos Operativos</t>
  </si>
  <si>
    <t xml:space="preserve">Gasto Total Mercadeo </t>
  </si>
  <si>
    <t>Mercadeo</t>
  </si>
  <si>
    <t>x</t>
  </si>
  <si>
    <t>vacaciones</t>
  </si>
  <si>
    <t>Semana Sta.</t>
  </si>
  <si>
    <t>cancelado</t>
  </si>
  <si>
    <t>Cancelado</t>
  </si>
  <si>
    <t>X</t>
  </si>
  <si>
    <t>Colentrega</t>
  </si>
  <si>
    <t xml:space="preserve">Colentrega </t>
  </si>
  <si>
    <t>Boxtopper</t>
  </si>
  <si>
    <t>Menú</t>
  </si>
  <si>
    <t>Bajan $ palitos pan</t>
  </si>
  <si>
    <t>(Bajan gaseo, palitos, pies, agua)</t>
  </si>
  <si>
    <t xml:space="preserve">Cambio de Menu </t>
  </si>
  <si>
    <t>Revista G.O.</t>
  </si>
  <si>
    <t>City Paper</t>
  </si>
  <si>
    <t>Tiquetera Visa</t>
  </si>
  <si>
    <t>Nuevos Productos</t>
  </si>
  <si>
    <t>Jamón 4 quesos ( 8" y 12")</t>
  </si>
  <si>
    <t>Cheesesticks Jamón 4 Quesos</t>
  </si>
  <si>
    <t>Festival Picante</t>
  </si>
  <si>
    <t>Ultimate Pepp.</t>
  </si>
  <si>
    <t>Jam 4 ques ( 8-12-14")</t>
  </si>
  <si>
    <t>Ultimate Pepperoni</t>
  </si>
  <si>
    <t>FINAL Ultimate</t>
  </si>
  <si>
    <t>TEXANA - MEXICANA  - CANADIENSE</t>
  </si>
  <si>
    <t>PIZZA JUNIOR ANDES</t>
  </si>
  <si>
    <t>Actividades Clientes</t>
  </si>
  <si>
    <t xml:space="preserve">Raspa y Gana </t>
  </si>
  <si>
    <t>R Y G / Act. Base D.</t>
  </si>
  <si>
    <t>Act Base D.</t>
  </si>
  <si>
    <t xml:space="preserve">Sorteo I pad Usaquèn </t>
  </si>
  <si>
    <t>Encuestas a Clientes</t>
  </si>
  <si>
    <t>AV CHI./ CHIC.</t>
  </si>
  <si>
    <t>FLO/ PPS</t>
  </si>
  <si>
    <t>Termoformado CocaCola</t>
  </si>
  <si>
    <t xml:space="preserve">CD (colina) </t>
  </si>
  <si>
    <t>GLOBO COLINA</t>
  </si>
  <si>
    <t>GLOBO USAQUÈN</t>
  </si>
  <si>
    <t xml:space="preserve">GLOBO  CHAPINERO </t>
  </si>
  <si>
    <t>GLOBO NIZA</t>
  </si>
  <si>
    <t>MOMENTOS PAPA JOHNS</t>
  </si>
  <si>
    <t>Quejas varias</t>
  </si>
  <si>
    <t>Twitter, FB, Email</t>
  </si>
  <si>
    <t xml:space="preserve"> Super Intend. Publi. Engañ.</t>
  </si>
  <si>
    <t>Twitter, FB, Email.</t>
  </si>
  <si>
    <t>Demoras</t>
  </si>
  <si>
    <t>Fallo Lineas Cel</t>
  </si>
  <si>
    <t>Quejas</t>
  </si>
  <si>
    <t>twitter -Email</t>
  </si>
  <si>
    <t xml:space="preserve">Demoras </t>
  </si>
  <si>
    <t xml:space="preserve">DANIEL ACERO EXTRACTOR COLINA </t>
  </si>
  <si>
    <t>FB  HECTOR URREGO - CONTAMINACIÒN FISICA PIZZA EN COLINA</t>
  </si>
  <si>
    <t xml:space="preserve">QUEJA SUPER COBERTURA COLINA </t>
  </si>
  <si>
    <t>Call Center</t>
  </si>
  <si>
    <t>Mkt. Mix</t>
  </si>
  <si>
    <t>Cambia tarifa Call</t>
  </si>
  <si>
    <t>Cambia tarifa Moto</t>
  </si>
  <si>
    <t>&gt; tiempo entrega</t>
  </si>
  <si>
    <t>PROPUESTA</t>
  </si>
  <si>
    <t>NVO. SIMULADOR</t>
  </si>
  <si>
    <t>x NGL-FLO</t>
  </si>
  <si>
    <t>Vacaciones                  Diego - Nicolas - Carlos</t>
  </si>
  <si>
    <t>SALE FABIO EST PQR INGRESA CATALINA</t>
  </si>
  <si>
    <t>SALE CATALINA ESTACIÒN PQR INGRESA ANGELY</t>
  </si>
  <si>
    <t>Domicity</t>
  </si>
  <si>
    <t>x - NGL PPS</t>
  </si>
  <si>
    <t>Domecoop</t>
  </si>
  <si>
    <t>Malla Inc. NGL</t>
  </si>
  <si>
    <t>SALE DOMECOOP</t>
  </si>
  <si>
    <t>Caídas Sistema y luz</t>
  </si>
  <si>
    <t>CED/PPS</t>
  </si>
  <si>
    <t>CHI</t>
  </si>
  <si>
    <t>Daño PC FLO</t>
  </si>
  <si>
    <t>Daño PC NOG</t>
  </si>
  <si>
    <t>Daño PC PPS</t>
  </si>
  <si>
    <t xml:space="preserve">Luz PPS </t>
  </si>
  <si>
    <t>Luz PPS</t>
  </si>
  <si>
    <t>CED/PPS/Luz PPS</t>
  </si>
  <si>
    <t>* Fecha Aprox. Caida Chat *</t>
  </si>
  <si>
    <t>Sist NGL / No Chat</t>
  </si>
  <si>
    <t>No Chat</t>
  </si>
  <si>
    <t>Canal Colina / No Chat</t>
  </si>
  <si>
    <t>Daño disco duro Call / No Chat</t>
  </si>
  <si>
    <t>Luz NGL</t>
  </si>
  <si>
    <t>Funcionamiento Chat</t>
  </si>
  <si>
    <t xml:space="preserve">SIST USAQUEN </t>
  </si>
  <si>
    <t xml:space="preserve">SIST CEDRITOS </t>
  </si>
  <si>
    <t>SIST FLORESTA / LUZ CHAPINERO</t>
  </si>
  <si>
    <t>SIST FLORESTA</t>
  </si>
  <si>
    <t>Administrativo</t>
  </si>
  <si>
    <t>Nueva Gerencia</t>
  </si>
  <si>
    <t>Sale P. Bueno</t>
  </si>
  <si>
    <t>solos</t>
  </si>
  <si>
    <t xml:space="preserve">solos </t>
  </si>
  <si>
    <t>Entra J. Jimenez</t>
  </si>
  <si>
    <t>SALE J JIMENEZ</t>
  </si>
  <si>
    <t>ENTRA J GOMEZ</t>
  </si>
  <si>
    <t>ENTRA M IRAGORRI</t>
  </si>
  <si>
    <t>Aperturas</t>
  </si>
  <si>
    <t>PPS-CED</t>
  </si>
  <si>
    <t>FLO-NGL</t>
  </si>
  <si>
    <t>Ave. Chile</t>
  </si>
  <si>
    <t>USQ</t>
  </si>
  <si>
    <t>CMY</t>
  </si>
  <si>
    <t>CHAP - ANDES</t>
  </si>
  <si>
    <t>4 ADM / 3 JR</t>
  </si>
  <si>
    <t>4 ADM / 4 JR</t>
  </si>
  <si>
    <t>4 ADM / 5 JR</t>
  </si>
  <si>
    <t>4 AD / 5 JR / 1S</t>
  </si>
  <si>
    <t>5 AD / 6 JR / 1S</t>
  </si>
  <si>
    <t>Entrenador 1</t>
  </si>
  <si>
    <t>5 AD / 6 JR</t>
  </si>
  <si>
    <t>5 AD / 8 JR</t>
  </si>
  <si>
    <t>Entrenador 2</t>
  </si>
  <si>
    <t>6 AD /7 JR</t>
  </si>
  <si>
    <t>7 AD /7 JR</t>
  </si>
  <si>
    <t>7 AD / 8JR</t>
  </si>
  <si>
    <t>7 AD/9JR</t>
  </si>
  <si>
    <t>9 AD/ 9 JR</t>
  </si>
  <si>
    <t xml:space="preserve">3JR </t>
  </si>
  <si>
    <t>2 JR</t>
  </si>
  <si>
    <t>Ingreso Coord. Operaciones</t>
  </si>
  <si>
    <t>1 JR</t>
  </si>
  <si>
    <t>Ingresa Carolina Aranda</t>
  </si>
  <si>
    <t>Vacaciones Carolina Aranda</t>
  </si>
  <si>
    <t xml:space="preserve">Salida Raúl Angel </t>
  </si>
  <si>
    <t>Salidas Adm.</t>
  </si>
  <si>
    <t>Sale 1</t>
  </si>
  <si>
    <t>1 AD</t>
  </si>
  <si>
    <t>Sale Coord. Op.</t>
  </si>
  <si>
    <t xml:space="preserve">1JR </t>
  </si>
  <si>
    <t xml:space="preserve">1 JR </t>
  </si>
  <si>
    <t>Fallas Operación</t>
  </si>
  <si>
    <t>Apertura  5 pm olores aguas negras Av Chile</t>
  </si>
  <si>
    <t>Tub. Gas Colina. Apertura 4 pm</t>
  </si>
  <si>
    <t>Se va la lus NGL 2 horas Y la Op pasa a AV. CHILE</t>
  </si>
  <si>
    <t>Se daña horno FLO Martes 2:30 a 6:00Pm traslado operación a CHICO</t>
  </si>
  <si>
    <t>No llegan los domiciliarios a trabjar</t>
  </si>
  <si>
    <t>Daño Horno Chapinero</t>
  </si>
  <si>
    <t>Malla Incompleta todos los PDV</t>
  </si>
  <si>
    <t xml:space="preserve">Datáfonos </t>
  </si>
  <si>
    <t>PROBLEMAS CON NUMEROS DE DATAFAONOS</t>
  </si>
  <si>
    <t>FLORESTA NO ACEPTA TODAS LAS TARJETAS</t>
  </si>
  <si>
    <t>APOYO  DATAFONOS MASTERD CARD</t>
  </si>
  <si>
    <t>DATAFONOS MASTER CARD</t>
  </si>
  <si>
    <t>CD-12(1 PDV-2 dañ) PPS - 16 (2PDV)    Chico - 10 ( 3 PDV) NG  - 9 (1PDV)       FL - 10 ( 2 Dañ) C.M. 3 COLINA 10 USAQ 7 (2PDV) AV CHILE 6 (2PDV - 1 DAÑ)</t>
  </si>
  <si>
    <t>PROBLEMAS CANTIDAD DATÁFAONOS</t>
  </si>
  <si>
    <t>Domiciliario Colina Campestre se lleva un datáfono por 24 horas</t>
  </si>
  <si>
    <t>Clonación</t>
  </si>
  <si>
    <t>Clonación A. Gav.</t>
  </si>
  <si>
    <t>NGL</t>
  </si>
  <si>
    <t>CED</t>
  </si>
  <si>
    <t>CEDRITOS</t>
  </si>
  <si>
    <t>Quejas En Medios Com.</t>
  </si>
  <si>
    <t>Camila Zuluaga</t>
  </si>
  <si>
    <t>Revista Soho</t>
  </si>
  <si>
    <t xml:space="preserve">Agenda del Consumidor </t>
  </si>
  <si>
    <t>Vacaciones</t>
  </si>
  <si>
    <t>Salen Col-Univ.</t>
  </si>
  <si>
    <t xml:space="preserve">Vacaciones </t>
  </si>
  <si>
    <t>Regreso Colegios</t>
  </si>
  <si>
    <t>Regreso Universidades</t>
  </si>
  <si>
    <t>Salen Univ.</t>
  </si>
  <si>
    <t>Salen Colegios</t>
  </si>
  <si>
    <t xml:space="preserve">Regreso Universidades </t>
  </si>
  <si>
    <t>Semana Receso</t>
  </si>
  <si>
    <t xml:space="preserve">Salen Colegios Calendario A </t>
  </si>
  <si>
    <t>Salen Universidades</t>
  </si>
  <si>
    <t xml:space="preserve">Salen Colegios Calendario B </t>
  </si>
  <si>
    <t>Regreso Colegios Calendario B</t>
  </si>
  <si>
    <t xml:space="preserve">Regreso Colegios Calendario A </t>
  </si>
  <si>
    <t>Eventos Fútbol</t>
  </si>
  <si>
    <t>Copa América</t>
  </si>
  <si>
    <t>Mundial sub20</t>
  </si>
  <si>
    <t xml:space="preserve">COL - VEN </t>
  </si>
  <si>
    <t>COL  - ARG</t>
  </si>
  <si>
    <t>SEMIFINAL LIGA POSTOBON</t>
  </si>
  <si>
    <t>FINAL LIGA POSTOBON</t>
  </si>
  <si>
    <t>MEXICO - COLOMBIA</t>
  </si>
  <si>
    <t>Otros Eventos</t>
  </si>
  <si>
    <t xml:space="preserve">Halloween </t>
  </si>
  <si>
    <t>(Evento Anglo)</t>
  </si>
  <si>
    <t>Evento San Carlos</t>
  </si>
  <si>
    <t>Evento Montearroyo</t>
  </si>
  <si>
    <t>COLEGIO LOS CERROS</t>
  </si>
  <si>
    <t>FIESTA FIN DE AÑO EL TIEMPO</t>
  </si>
  <si>
    <t>RESERVA HOTEL RADISSON 30 PERSONAS       NOVENA MARKET MIX</t>
  </si>
  <si>
    <t>PARO TRASMILENIO</t>
  </si>
  <si>
    <t>Clima</t>
  </si>
  <si>
    <t>Lluvia</t>
  </si>
  <si>
    <t>Lluvias</t>
  </si>
  <si>
    <t xml:space="preserve">Lluvias </t>
  </si>
  <si>
    <t>26 MAR AL 01 ABR</t>
  </si>
  <si>
    <t xml:space="preserve"> 02 ABR AL 08 ABR</t>
  </si>
  <si>
    <t xml:space="preserve"> 09 ABR AL 15 ABR</t>
  </si>
  <si>
    <t>Caida Sistema 4 veces Galerias</t>
  </si>
  <si>
    <t>APERTURA GALERIAS</t>
  </si>
  <si>
    <t>SAMPLING RAFAEL NUÑEZ ETAPA 1</t>
  </si>
  <si>
    <t>QUEJAS POR TWITTER -FACEBOOK -CALL CENTER - MAILS - AGOTADOS</t>
  </si>
  <si>
    <t xml:space="preserve">MOMENTOS PAPA JOHNS MOTORIZADOS GALERIAS - </t>
  </si>
  <si>
    <t>MOMENTOS PAPA JOHNS - INVITACIÓN PERIODISTAS Y 13 TWITTEROS</t>
  </si>
  <si>
    <t>16 ABR AL 22 ABR</t>
  </si>
  <si>
    <t xml:space="preserve"> 23 ABR AL 29 ABR</t>
  </si>
  <si>
    <t xml:space="preserve">RAFAEL NUÑEZ ETAPA 5 SAMPLING NIZA </t>
  </si>
  <si>
    <t>APERTURA SALITRE</t>
  </si>
  <si>
    <t>30 ABR AL 6 MAY</t>
  </si>
  <si>
    <t>7 MAY AL 13 MAY</t>
  </si>
  <si>
    <t>14 MAY AL 20 MAY</t>
  </si>
  <si>
    <t>21 MAY AL  27 MAY</t>
  </si>
  <si>
    <t>28 MAY AL 3 JUN</t>
  </si>
  <si>
    <t xml:space="preserve">4 JUN AL 10 JUN </t>
  </si>
  <si>
    <t>11 JUN AL 17 JUN</t>
  </si>
  <si>
    <t>INICIO CAMPAÑA RECUPERACIÒN CLIENTES PEPE SIERRA</t>
  </si>
  <si>
    <t>JORGE VENEGAS REVISTA GO</t>
  </si>
  <si>
    <t>David Gustavo Mariño</t>
  </si>
  <si>
    <t xml:space="preserve">IBM </t>
  </si>
  <si>
    <t>MARKET MIX</t>
  </si>
  <si>
    <t>MARKET MIX/ TU GO</t>
  </si>
  <si>
    <t>ADE</t>
  </si>
  <si>
    <t>SAMPLING PABLO VI / SAMPLING NIZA / EVENTO PERIODISTAS</t>
  </si>
  <si>
    <t>VA / TORRES LA FLORESTA / AGENCIA TORO FISHEER</t>
  </si>
  <si>
    <t xml:space="preserve">BONOS APERTURA SALITRE </t>
  </si>
  <si>
    <t>COLOMBIA PERÚ</t>
  </si>
  <si>
    <t>COLOMBIA - ECUADOR, EUROCOPA</t>
  </si>
  <si>
    <t>DIA DEL PADRE</t>
  </si>
  <si>
    <t xml:space="preserve">DIA DE LA MADRE </t>
  </si>
  <si>
    <t>CAIDA TODOS LOS PUNTOS DE VENTA</t>
  </si>
  <si>
    <t xml:space="preserve">GAS FLORESTA </t>
  </si>
  <si>
    <t xml:space="preserve">EUROCOPA </t>
  </si>
  <si>
    <t>CIRCULO DE EXPERIENCIAS EL ESPECTADOR - Cuadernos Rumba Bogotá 15.000 Unidades universidades</t>
  </si>
  <si>
    <t>Cambio de Menu circulo y menu board</t>
  </si>
  <si>
    <t>JUEVES  12</t>
  </si>
  <si>
    <t>SALITRE</t>
  </si>
  <si>
    <t>02 AL 08 ABR</t>
  </si>
  <si>
    <t>09 AL 15 ABR</t>
  </si>
  <si>
    <t>16 AL 22 ABR</t>
  </si>
  <si>
    <t>23 AL 29 ABR</t>
  </si>
  <si>
    <t>29 AL 06 MAY</t>
  </si>
  <si>
    <t>07 AL 13 MAY</t>
  </si>
  <si>
    <t>14 AL 20 MAY</t>
  </si>
  <si>
    <t>21 AL 27 MAY</t>
  </si>
  <si>
    <t>18  JUN AL 24  JUN</t>
  </si>
  <si>
    <t>ZESTY JALAPEÑOS CARNES Y VEGETARIANA DELUXE</t>
  </si>
  <si>
    <t>PROMOCIÓN AGUILA Valla móvil - Promociones Pizzas Especiales y Pizzas Clásicas.</t>
  </si>
  <si>
    <t xml:space="preserve">PREMIACIÓN MOMENTOS PAPA JOHN`S ENTREGA BONOS GANADOR </t>
  </si>
  <si>
    <t>25 JUN AL 1 JUL</t>
  </si>
  <si>
    <t>2 JUL AL 8 JUL</t>
  </si>
  <si>
    <t xml:space="preserve">INGRESAN COLEGIOS CALENDARIO A </t>
  </si>
  <si>
    <t>CLINICA DE SERVICIO</t>
  </si>
  <si>
    <t xml:space="preserve">twitter -Buzones de Sugerencia </t>
  </si>
  <si>
    <t>TORRE LIBERTY SEGUROS</t>
  </si>
  <si>
    <t xml:space="preserve">EVERIS </t>
  </si>
  <si>
    <t xml:space="preserve">SORTEOS REDES SOCIALES </t>
  </si>
  <si>
    <t xml:space="preserve">DIA DE LA INDEPENDENCIA </t>
  </si>
  <si>
    <t>Correos Directo Zona 8 minutos Factura Gas Natutal Pepe Sierra - Floresta-Usaquen</t>
  </si>
  <si>
    <t>Correo Directo Zona 8 minutos Colentregas-  Pepe Sierra-Usaquen - Niza Floresta - Colina - Galerias - Av Chile y CLINICA DE SERVICIO</t>
  </si>
  <si>
    <t>LA POLLA PAPA JOHN´S Final Liga Postobón 1 Pizza</t>
  </si>
  <si>
    <r>
      <t xml:space="preserve">MORA AGUDELO ABOGADOS ASOCIADOS /  </t>
    </r>
    <r>
      <rPr>
        <sz val="9"/>
        <color theme="6" tint="-0.249977111117893"/>
        <rFont val="Calibri"/>
        <family val="2"/>
      </rPr>
      <t>POLLA FINAL EUROCOPA - 1 Pizza</t>
    </r>
  </si>
  <si>
    <r>
      <t xml:space="preserve">PRECISE / BEAT/ MONDRIAN / MASS DIGITAL/ </t>
    </r>
    <r>
      <rPr>
        <sz val="9"/>
        <color theme="6" tint="-0.249977111117893"/>
        <rFont val="Calibri"/>
        <family val="2"/>
      </rPr>
      <t>PIZZAS NUEVAS CON LA VALLA -2 pizzas</t>
    </r>
  </si>
  <si>
    <t xml:space="preserve">Niños Papa John´s </t>
  </si>
  <si>
    <t xml:space="preserve">TITAN PLAZA </t>
  </si>
  <si>
    <t>Twitter - Buzones de Sugerencia</t>
  </si>
  <si>
    <t xml:space="preserve"> Instalación Dispositivos CFS Salitre, Floresta, Av Chile, Usaquén, Colina </t>
  </si>
  <si>
    <t>6 AGO AL 12 AGO</t>
  </si>
  <si>
    <t>30 JUL AL 05 AGO</t>
  </si>
  <si>
    <t>9 JUL AL 15 JUL</t>
  </si>
  <si>
    <t>16 JUL AL 22 JUL</t>
  </si>
  <si>
    <t>23 JUL AL 29 JUL</t>
  </si>
  <si>
    <t>INGRESAN COLEGIOS CALENDARIO B</t>
  </si>
  <si>
    <t>13 AGO AL 19 AGO</t>
  </si>
  <si>
    <t xml:space="preserve">AGENCIA DIGITAL G2 / FALABELLA /  </t>
  </si>
  <si>
    <t>GEEKNIC</t>
  </si>
  <si>
    <t>Queja Super Demora Antonio Alvarez</t>
  </si>
  <si>
    <t xml:space="preserve">INNAGURACIÓN JUEGOS OLIMPICOS </t>
  </si>
  <si>
    <t xml:space="preserve">JUEGOS OLIMPICOS </t>
  </si>
  <si>
    <t xml:space="preserve">FESTIVOS CUMPLEAÑOS BTA - BATALLA DE BOYACA - CLAUSURA JUEGOS OLIMPICOS </t>
  </si>
  <si>
    <t>20 AGO - 26 AGO</t>
  </si>
  <si>
    <t>Daño Horno Chico</t>
  </si>
  <si>
    <t>Falla Luz Usaquén</t>
  </si>
  <si>
    <t>Santiago Fernandez</t>
  </si>
  <si>
    <t xml:space="preserve">Face Juan Barrera </t>
  </si>
  <si>
    <t>Ewdin Salvador</t>
  </si>
  <si>
    <t>WUNDERMAN</t>
  </si>
  <si>
    <t xml:space="preserve">BARCELONA - REAL MADRID </t>
  </si>
  <si>
    <t>27 AGO AL 2 SEP</t>
  </si>
  <si>
    <r>
      <t xml:space="preserve">BOLSA DE VALORES       </t>
    </r>
    <r>
      <rPr>
        <b/>
        <sz val="9"/>
        <color rgb="FF000000"/>
        <rFont val="Calibri"/>
        <family val="2"/>
      </rPr>
      <t>BAVARIA</t>
    </r>
  </si>
  <si>
    <r>
      <rPr>
        <b/>
        <sz val="10"/>
        <color theme="9" tint="-0.249977111117893"/>
        <rFont val="Calibri"/>
        <family val="2"/>
        <scheme val="minor"/>
      </rPr>
      <t xml:space="preserve">2 X 1 en Fuze tea   </t>
    </r>
    <r>
      <rPr>
        <b/>
        <sz val="10"/>
        <color theme="1"/>
        <rFont val="Calibri"/>
        <family val="2"/>
        <scheme val="minor"/>
      </rPr>
      <t xml:space="preserve">                            10 de Agosto Colentregas Usaquen</t>
    </r>
  </si>
  <si>
    <r>
      <rPr>
        <b/>
        <sz val="10"/>
        <color theme="9" tint="-0.249977111117893"/>
        <rFont val="Calibri"/>
        <family val="2"/>
        <scheme val="minor"/>
      </rPr>
      <t xml:space="preserve">2 X 1 en Fuze tea   </t>
    </r>
    <r>
      <rPr>
        <b/>
        <sz val="10"/>
        <color theme="1"/>
        <rFont val="Calibri"/>
        <family val="2"/>
        <scheme val="minor"/>
      </rPr>
      <t xml:space="preserve"> CLINICA DE SERVICIO      Volante Dispensadores</t>
    </r>
  </si>
  <si>
    <r>
      <rPr>
        <b/>
        <sz val="10"/>
        <color theme="9" tint="-0.249977111117893"/>
        <rFont val="Calibri"/>
        <family val="2"/>
        <scheme val="minor"/>
      </rPr>
      <t xml:space="preserve">2 X 1 en Fuze tea  </t>
    </r>
    <r>
      <rPr>
        <b/>
        <sz val="10"/>
        <color theme="1"/>
        <rFont val="Calibri"/>
        <family val="2"/>
        <scheme val="minor"/>
      </rPr>
      <t xml:space="preserve">       Pauta Rumba Bogotá - Cuadernos Notebook</t>
    </r>
  </si>
  <si>
    <t>Inicia Incentivos para incremento de ventas por PDV</t>
  </si>
  <si>
    <t>Actividades Internas</t>
  </si>
  <si>
    <t>Gana Incentivo Chapinero con 35  transacciones mas sobre la meta</t>
  </si>
  <si>
    <t>3 SEP AL 9 SEP</t>
  </si>
  <si>
    <t>10 SEP AL 16 SEP</t>
  </si>
  <si>
    <t>Ricardo Sánchez</t>
  </si>
  <si>
    <t>Sampling Call Center, entrega Agendas y espejos</t>
  </si>
  <si>
    <t>CELEBRACIÓN AMOR Y AMISTAD BOGOTÁ DESPIERTA</t>
  </si>
  <si>
    <t>Aviso Papa Johns en el Tiempo</t>
  </si>
  <si>
    <t xml:space="preserve">COLMOTORES -CEDRITOS </t>
  </si>
  <si>
    <t>QUALA</t>
  </si>
  <si>
    <t>EL CORRAL - ENERGETICOS - AZULK</t>
  </si>
  <si>
    <t xml:space="preserve">ELIMINATORIAS 2014 COLOMBIA - URUGUAY </t>
  </si>
  <si>
    <t xml:space="preserve">ELIMINATORIAS 2014  COLOMBIA  - CHILE </t>
  </si>
  <si>
    <t>17 SEP AL 23 SEP</t>
  </si>
  <si>
    <t>24 SEP AL 30 SEP</t>
  </si>
  <si>
    <t>Boxtopper Promo Bavaria - Coca Cola</t>
  </si>
  <si>
    <t xml:space="preserve">LANZAMIENTO MASA DELGADA  - VALLAS </t>
  </si>
  <si>
    <t>Volante Masa Delgada y pizza Corazón</t>
  </si>
  <si>
    <t>Ajuste promoción para festejar en el menú</t>
  </si>
  <si>
    <t>Actividad Twitteros 2 MD</t>
  </si>
  <si>
    <t>Actividad Twitteros 1 MD</t>
  </si>
  <si>
    <r>
      <rPr>
        <b/>
        <sz val="9"/>
        <color theme="9" tint="-0.249977111117893"/>
        <rFont val="Calibri"/>
        <family val="2"/>
        <scheme val="minor"/>
      </rPr>
      <t>Bonos el Espectador</t>
    </r>
    <r>
      <rPr>
        <b/>
        <sz val="9"/>
        <color theme="1"/>
        <rFont val="Calibri"/>
        <family val="2"/>
        <scheme val="minor"/>
      </rPr>
      <t xml:space="preserve"> CLINICA DE SERVICIO -</t>
    </r>
    <r>
      <rPr>
        <b/>
        <sz val="9"/>
        <color rgb="FFFF0000"/>
        <rFont val="Calibri"/>
        <family val="2"/>
        <scheme val="minor"/>
      </rPr>
      <t xml:space="preserve"> PIZZA CORAZÓN</t>
    </r>
  </si>
  <si>
    <t>IBM - GOLDEN GROUP - RUMBA BOGOTÁ - BOMBOX - COLDISEÑO - BOSTON SCIENTIFIC - CCE - COLMUNDO RADIO - EVERIST</t>
  </si>
  <si>
    <t>1 OCT AL 7 OCT</t>
  </si>
  <si>
    <t xml:space="preserve">Entrega de cortavientos </t>
  </si>
  <si>
    <r>
      <rPr>
        <b/>
        <sz val="9"/>
        <color rgb="FFFF0000"/>
        <rFont val="Calibri"/>
        <family val="2"/>
        <scheme val="minor"/>
      </rPr>
      <t>PIZZA CORAZÓN</t>
    </r>
  </si>
  <si>
    <r>
      <rPr>
        <b/>
        <sz val="9"/>
        <color theme="1"/>
        <rFont val="Calibri"/>
        <family val="2"/>
        <scheme val="minor"/>
      </rPr>
      <t xml:space="preserve">Correos Directo Zona 8 minutos Factura Gas Natutal Salitre - CLÍNICA DE SERVICIO - </t>
    </r>
    <r>
      <rPr>
        <b/>
        <sz val="9"/>
        <color rgb="FFFF0000"/>
        <rFont val="Calibri"/>
        <family val="2"/>
        <scheme val="minor"/>
      </rPr>
      <t>PIZZA CORAZÓN</t>
    </r>
  </si>
  <si>
    <t>8 OCT AL 14 OCT</t>
  </si>
  <si>
    <t>15 OCT AL 21 OCT</t>
  </si>
  <si>
    <t xml:space="preserve">Ingresa Coord. Call Center </t>
  </si>
  <si>
    <t xml:space="preserve">COLOMBIA - PARAGUAY </t>
  </si>
  <si>
    <t xml:space="preserve">COLOMBIA - CAMERUN </t>
  </si>
  <si>
    <t>22 OCT AL 28 OCT</t>
  </si>
  <si>
    <t>BARCELONA - CELTI</t>
  </si>
  <si>
    <t xml:space="preserve">CLONACIÓN COLINA </t>
  </si>
  <si>
    <t xml:space="preserve">Luz Nogal </t>
  </si>
  <si>
    <t xml:space="preserve">TRASLADO OPERACIÓN AV CHILE </t>
  </si>
  <si>
    <t>29 OCT AL 4 NOV</t>
  </si>
  <si>
    <t>BANCA MIA - OSTIA - PIXEL GROUP</t>
  </si>
  <si>
    <t xml:space="preserve">MEDIA 24 ( EL TIEMPO) - EVERIST SEDE 2 - PLAZA USAQUEN </t>
  </si>
  <si>
    <t xml:space="preserve">HABITAT PARA LA HUMANIDAD - CONJUNTO RESIDENCIAL LAS FLORES - </t>
  </si>
  <si>
    <t>Volante para Hogares, Oficina que va y Oficina que pide</t>
  </si>
  <si>
    <t>HALLOWEEN</t>
  </si>
  <si>
    <t>CENTRO COMERCIAL EL RETIRO - EVENTOS PR</t>
  </si>
  <si>
    <t>MOVISTAR - INMOBILIARIA PANAMERICANA - ADMINISTRACION TITÁN - EVENTOS PR</t>
  </si>
  <si>
    <t>CONJUNTO RESIDENCIAL BLUE - SEGUROS DEL ESTADO - EVENTOS PR</t>
  </si>
  <si>
    <t>HALLOWEEN             decoración de PDV</t>
  </si>
  <si>
    <t>Capacitación Sensibilización de servicio  Todos los puntos de venta- Ventas Call Center Coca Cola</t>
  </si>
  <si>
    <t xml:space="preserve">Capacitación Sensibilización de servicio  floresta </t>
  </si>
  <si>
    <t>5 NOV AL 11 NOV</t>
  </si>
  <si>
    <t>Jose Manuel Ruiz</t>
  </si>
  <si>
    <t>12 NOV AL 18 NOV</t>
  </si>
  <si>
    <t>19 NOV AL 25 NOV</t>
  </si>
  <si>
    <t>Alejandro Marin - Julio Correal (personas influyemtes en medios de comunicación)</t>
  </si>
  <si>
    <t>Laboratorio Genético de la fiscalia</t>
  </si>
  <si>
    <t>26 NOV AL 2 DIC</t>
  </si>
  <si>
    <t xml:space="preserve">Cliente Oculto domiciliarios </t>
  </si>
  <si>
    <t xml:space="preserve">TRASLADO OPERACIÓN CEDRITOS A USAQUEN </t>
  </si>
  <si>
    <t>COLOMBIA - BRASIL</t>
  </si>
  <si>
    <t>FESTIVO</t>
  </si>
  <si>
    <t>UEFA CHAMPIONS</t>
  </si>
  <si>
    <t>Caida en el sistema</t>
  </si>
  <si>
    <t>3 DIC AL 9 DIC</t>
  </si>
  <si>
    <t>Lanzamiento X-Box Hallo 4</t>
  </si>
  <si>
    <t>Clente oculto</t>
  </si>
  <si>
    <t>Cliente Oculto</t>
  </si>
  <si>
    <t>twitter -Buzones de Sugerencia</t>
  </si>
  <si>
    <t>Apertura Corferias</t>
  </si>
  <si>
    <t>Salida de Luz marina Saavedra</t>
  </si>
  <si>
    <t>Facebook (medical Care - Obama USA)</t>
  </si>
  <si>
    <t>UEFA LEAGUE</t>
  </si>
  <si>
    <t>Caida Emisora Usaquen por fallas en internet</t>
  </si>
  <si>
    <t>Premios Twitter</t>
  </si>
  <si>
    <t>Luvia por las tardes</t>
  </si>
  <si>
    <t>Lluvias por las tardes</t>
  </si>
  <si>
    <t>10 DIC AL 16 DIC</t>
  </si>
  <si>
    <t>17 DIC AL 23 DIC</t>
  </si>
  <si>
    <t>24 DIC AL 30 DIC</t>
  </si>
  <si>
    <t>Fallas en Micros en algunos puntos - caida del sistema por reformas en oficina</t>
  </si>
  <si>
    <t>Carvajal Floresta - Produccion revista VEA del Espectador Chico</t>
  </si>
  <si>
    <t>Circulo de Experiencia</t>
  </si>
  <si>
    <t xml:space="preserve">Inclución en programa de fidelización . El esepctador, cromos </t>
  </si>
  <si>
    <t>Soho</t>
  </si>
  <si>
    <t>Shock</t>
  </si>
  <si>
    <t>Pauta Edición Dicimenbre</t>
  </si>
  <si>
    <t>Participación en premios Shock</t>
  </si>
  <si>
    <t>Hospital Militar - Chapinero</t>
  </si>
  <si>
    <t>Conjunto Ixtapa Cedritos - Agencia StudioCom Colina</t>
  </si>
  <si>
    <t xml:space="preserve"> Navidad (Pizza Familiar  Hawaiana Pollo BBQ + Pie guuayaba + Coca Cola 2.5L)</t>
  </si>
  <si>
    <t>Navidad (Pizza Familiar  Hawaiana Pollo BBQ + Pie guuayaba + Coca Cola 2.5L - Ranch Pollo &amp; Tocineta / Works + Cinapie + Coca Cola 2.5)</t>
  </si>
  <si>
    <t>Ajustes en nuevo diseño- pendiente reunión con JM para precios y nuevos productos</t>
  </si>
  <si>
    <t>Ajustes Finales por parte de Visa</t>
  </si>
  <si>
    <t>Aprobación de Artes - Aprobación Cherpa</t>
  </si>
  <si>
    <t>Páginas Amarillas - GURU</t>
  </si>
  <si>
    <t>APROBACIÓN ATRES FINALES PAUTA Y CUPONES</t>
  </si>
  <si>
    <t>Inclusión en especial hombres como opción de comida con enfasis en masa delgada - se refuerza dirección de corferias como nuevo PDV</t>
  </si>
  <si>
    <t>Caida sistema general por Servidor</t>
  </si>
  <si>
    <t>X box Avda Chile - Revista Vea Chico - Campeonato Footboll 5 cedritos - Feria diseño independiente Las Puertas del cielo Nogal y Chapinero - Agencia G2 - Chico</t>
  </si>
  <si>
    <t>Bonos Actividades Navideñas C.C. Centro Mayor</t>
  </si>
  <si>
    <t>Clientes Oculto</t>
  </si>
  <si>
    <t>Salida Administrador PDV Los Andes</t>
  </si>
  <si>
    <t>Lina Ceballos de Servicios Al cliente</t>
  </si>
  <si>
    <t>Final Football Colombiano</t>
  </si>
  <si>
    <t>Luvias constantes en la hora de la tarde, no alcanza a coger el almuerzo ni la comida</t>
  </si>
  <si>
    <t>No se presenta el administrador de PDV Chapinero para apertura, se llama a descargos</t>
  </si>
  <si>
    <t>En espera de Aprobación de PJ Internacional</t>
  </si>
  <si>
    <t>Nuevos agentes en call</t>
  </si>
  <si>
    <t>SUPER BOWL</t>
  </si>
  <si>
    <t>Caida en corferias</t>
  </si>
  <si>
    <t xml:space="preserve">31 DIC AL 6 ENERO </t>
  </si>
  <si>
    <t>AÑO</t>
  </si>
  <si>
    <t>Evento fin de año Microsoft</t>
  </si>
  <si>
    <t>Mucho sol</t>
  </si>
  <si>
    <t>Queja Jose Fernando Cordoba por plastico en el producto</t>
  </si>
  <si>
    <t>Bonos navidad a domiciliarios 15 mil pesos por motorisado</t>
  </si>
  <si>
    <t>Impresión de ayuda ventas y produccuón de acrilicos</t>
  </si>
  <si>
    <t>Aprobados los individuales por parte de PJ internacional</t>
  </si>
  <si>
    <t>Prueba sensorial nuevos Productos presidente, vicepresidentes, gerentes VA!</t>
  </si>
  <si>
    <t>Daño electrico horno Colina</t>
  </si>
  <si>
    <t>renuncias constantes de operarios, 37 personas faltan de la planta total, operarios trabajando doble turno, puntos con 6 operarios por día</t>
  </si>
  <si>
    <t>Daño electrico en Corferias</t>
  </si>
  <si>
    <t>Mucho Sol</t>
  </si>
  <si>
    <t>Caida Pagina Grupo Fenix</t>
  </si>
  <si>
    <t xml:space="preserve">7 DE ENERO AL 13 ENERO </t>
  </si>
  <si>
    <t>Botones navidad</t>
  </si>
  <si>
    <t>Caida de sistema en las horas de la mañana</t>
  </si>
  <si>
    <t>Sudamericano Sub 20</t>
  </si>
  <si>
    <t>despido administrador Usaquen</t>
  </si>
  <si>
    <t>Niza no funciona logitix. Avda Chile: Falla en uno de los hornos, se traslada operación a Nogal.</t>
  </si>
  <si>
    <t>Operarios cansados por doble turnos, quejas constantes de trabajo</t>
  </si>
  <si>
    <t>Faltan uniformes de domiciliarios/ No se presenta la grilla completa en usaquen</t>
  </si>
  <si>
    <t>Prueba de color e impresión. 2000 unidades por arte realzado</t>
  </si>
  <si>
    <t>Quejas en twitter por demoras y presetnación de producto</t>
  </si>
  <si>
    <t>Sol</t>
  </si>
  <si>
    <t>14 ENEERO AL 20 ENERO</t>
  </si>
  <si>
    <t>Volante de Salsas Base - Dorada o toscana 6 Quesos + cinnapie + coca cola 2.5</t>
  </si>
  <si>
    <t>Dorada o toscana 6 Quesos + cinnapie + coca cola 2.5 - The Works o pepperoni pizzaz + cinapie + s coca colas 600 ml</t>
  </si>
  <si>
    <t>21 AL 27 DE ENERO</t>
  </si>
  <si>
    <t>28 ENERO AL 3 DE FEBRERO</t>
  </si>
  <si>
    <t>Analisis de precios para cambio de Menú</t>
  </si>
  <si>
    <t xml:space="preserve">Quejas en twitter por mal servicio </t>
  </si>
  <si>
    <t>Quejas pr presentación del producto</t>
  </si>
  <si>
    <t>Factura por contingencia para promociones de PA 2013</t>
  </si>
  <si>
    <t xml:space="preserve">Copa del rey- Sudamenricano Sub 20 </t>
  </si>
  <si>
    <t>Distribución a PDV</t>
  </si>
  <si>
    <t>Lento el sistema en Galerias - Niza y floresta, fallas en internet</t>
  </si>
  <si>
    <t>Falta domiciliario en usaquen y uniformes para galerias y Nogal</t>
  </si>
  <si>
    <t>Andes sisn sistema, facturan con contingencia</t>
  </si>
  <si>
    <t>Ripley y Edificio Alejandra</t>
  </si>
  <si>
    <t>11 AL 17 DE FEBRERO</t>
  </si>
  <si>
    <t>4 AL 10 AL FEBRERO</t>
  </si>
  <si>
    <t>SOL</t>
  </si>
  <si>
    <t>SUB 20, COPA DEL REY Y Super Bowl</t>
  </si>
  <si>
    <t>ENTRA CALLENDARIO B</t>
  </si>
  <si>
    <t>ENTRA CALENDARIO A</t>
  </si>
  <si>
    <t>Caida sistema domicilios Pepe Sierra</t>
  </si>
  <si>
    <t>Quejas en twitter por demoras en la entrega</t>
  </si>
  <si>
    <t>sale a circulación el directorio con anuncio y promociones</t>
  </si>
  <si>
    <t>Entrega de tarjetas a LSM</t>
  </si>
  <si>
    <t>cambio de menu Redondo y menu boards</t>
  </si>
  <si>
    <t>Capacitación a PDV</t>
  </si>
  <si>
    <t>Ssitema caido en Usaquen de multidimencionales y CRM</t>
  </si>
  <si>
    <t>Inconformidad por precios en arma tu pizza</t>
  </si>
  <si>
    <t>se factura por contingencia las promo del espectador</t>
  </si>
  <si>
    <t>Se empieza a normalizar las vacantes de operarios</t>
  </si>
  <si>
    <t>Volante Lunes: Pide 2 pizzas de cualquier tamaño  y llevate tu Cocacola Familiar por $5.000 pesos / Lunes a Miercoles: Pide tu pizza mediana, clasica, especial o signaute + Coca Cola Familiar por $30.100, $34.500, $38.900 / de Jueves a Domingo: Pizza Mediana The Works + cinnapie + Gaseosa familiar: $ 38.000 - Pizza Familiar toscana 6 quesos + cinnapie + Cocacola familiar $ 45.000</t>
  </si>
  <si>
    <t>Pizza Mediana The Works + cinnapie + Gaseosa familiar: $ 38.000 - Pizza Familiar toscana 6 quesos + cinnapie + Cocacola familiar $ 45.000</t>
  </si>
  <si>
    <t>Empieza la lluvia en las horas de la tarde</t>
  </si>
  <si>
    <t>Embajada de USA, Energeticos y Lowe</t>
  </si>
  <si>
    <t>No les han pagado el sueldo completo a los domiciliarios</t>
  </si>
  <si>
    <t>Quejas en Twiter  por demoras en domicilios - Queja en universidad de los andes por alza en precios especificamente en bebidas</t>
  </si>
  <si>
    <t>18 AL 24 DE FEBRERO</t>
  </si>
  <si>
    <t>25 AL 3 DE MARZO</t>
  </si>
  <si>
    <t>Copa Libertadores - martes y jueves</t>
  </si>
  <si>
    <t>Diferencias en el CID de Micros</t>
  </si>
  <si>
    <t>limitaciones en Micros para incluir promos - caida de lus en galerias</t>
  </si>
  <si>
    <t>Operarios en entrenamiento, falta gente para completar la operación</t>
  </si>
  <si>
    <t>Queja en twitter por confución en salsa de tomate por la salsa de guayaba - Titan, cliente se queja por imprimir datos en los sticker y ponerlos en las cajas o tablas afectando la privacidad</t>
  </si>
  <si>
    <t>Usaquen- Cencosud/ Chapinero - Previsora</t>
  </si>
  <si>
    <t>Pepe Sierra - Bancolombia/ Chico Previsora</t>
  </si>
  <si>
    <t>Floresta - Torres Floresta</t>
  </si>
  <si>
    <t>Inclusión de Tablets para PDV - Avda Chile- Colina - Usaquen - Chico</t>
  </si>
  <si>
    <t>Creación de encuestas con tablets para medición de habitos de consumo -  Avda Chile- Colina - Usaquen - Chico</t>
  </si>
  <si>
    <t>Queja en CRM Por no incluir en Volante el cargo del domicilio</t>
  </si>
  <si>
    <t>Incomleta la grilla</t>
  </si>
  <si>
    <t>Capacitaciioens a nuevos operarios - Corferias y Floresta conoperarios enviados a urgencias</t>
  </si>
  <si>
    <t>Facturas Por Contingencía</t>
  </si>
  <si>
    <t>Diferencias en el CID de Micros - Facturas Poe contingencia - FLATA SEGUNDO PISO EN CORFERIAS, AFECTA OPERACIÓN Y VENTAS</t>
  </si>
  <si>
    <t>Muere Domicliario por Infarto Avda Chile</t>
  </si>
  <si>
    <t>Se cae el Call el domingo 3 en horas de la mañana hasta las 2 pm</t>
  </si>
  <si>
    <t>Quejas en twitter por caida del call</t>
  </si>
  <si>
    <t>4 AL 10 DE MARZO</t>
  </si>
  <si>
    <t>11 AL 17 DE MARZO</t>
  </si>
  <si>
    <t>18 AL 24 DE MARZO</t>
  </si>
  <si>
    <t>25 AL 31 DE MARZO</t>
  </si>
  <si>
    <t>lunes se cae el call en horas de la tarde, noche</t>
  </si>
  <si>
    <t>no hay lluvia</t>
  </si>
  <si>
    <t>lluvia en la tarde</t>
  </si>
  <si>
    <t>Pepe Sierra - Falabella / Chapinero - the seven sea group -  lyon Casting - Yuna Marketing</t>
  </si>
  <si>
    <t>Galerias - Formarte</t>
  </si>
  <si>
    <t>sin lluvia</t>
  </si>
  <si>
    <t>PJ Pizza Card</t>
  </si>
  <si>
    <t>1 ra Premiación (8 marzo) captura base de datos</t>
  </si>
  <si>
    <t>Caida el ingreso redenciones plan amigo fin de semana</t>
  </si>
  <si>
    <t>Ingresa Gino Vargas Como coordiandor de la zona norte / Faltan operarios para completar la operación en todos los PDV</t>
  </si>
  <si>
    <t>Captura base de Datos</t>
  </si>
  <si>
    <t>Clasico Barcelona - Real madrid</t>
  </si>
  <si>
    <t>Copa Libertadores</t>
  </si>
  <si>
    <t>Copa Libertadores/ UEFA</t>
  </si>
  <si>
    <t>Mienrcoles 13 Chico cerrado por falta de pago de luz</t>
  </si>
  <si>
    <t>Eliminatorias al mundial</t>
  </si>
  <si>
    <t>Despido de Administrador de Pepe Sierra</t>
  </si>
  <si>
    <t>Se desconfigura por una hora (hora Almuerzo) horno Pepe Sierra, se traslada operación a Usaquen</t>
  </si>
  <si>
    <t>Chico -Young &amp; Rubicam / Nogal - C.C. El Retiro</t>
  </si>
  <si>
    <t>Papa Passion</t>
  </si>
  <si>
    <t>Se traslada operación de cedritos a usaquen por caida de sistema de 11 a 3 pm</t>
  </si>
  <si>
    <t>Individuales Papa Johns pizza Kids</t>
  </si>
  <si>
    <t>Queja de cliente por dolbe facturación el el pedido</t>
  </si>
  <si>
    <t>Lanzamiento Pizza especial Pollo a la Parmesana con salsa de Ajo / Jamon tocineta y Seis Quesos</t>
  </si>
  <si>
    <t>Saler coordinador de zona Ferando Clavijo</t>
  </si>
  <si>
    <t xml:space="preserve">Pizza Personal del Día por $10.000 ( 180.000)
 En marzo Ahorre $5.300 - Pizza Familiar Especial + cinnapie + Coca Cola 2.5 lt   (120.000)
En marzo Ahorre $ 9.700 Pizza Mediana Signaute + Cinnapie + Coca Cola 2.5 lt </t>
  </si>
  <si>
    <t>Redes Sociales Base de Datos</t>
  </si>
  <si>
    <t>Viernes 1 16.871 fans</t>
  </si>
  <si>
    <t>Viernes 8: 25.430 fans</t>
  </si>
  <si>
    <t>Viernes 15: A 31.854 fans</t>
  </si>
  <si>
    <t>T7 Benchmark PJI and Competition</t>
  </si>
  <si>
    <t>Plan Colombia</t>
  </si>
  <si>
    <t>Martes 19 lluvias intensas a la hora del almuerzo, se promocioana por facebook la nueva pizza Jamon tocineta y seis quesos</t>
  </si>
  <si>
    <t>Promociones y momentos vigentes del mes de Marzo</t>
  </si>
  <si>
    <t>En el carrucel del home de la pagina web se montan las nuevas pizzas</t>
  </si>
  <si>
    <t>Comunicación en facebook para incentivar consumo en horas de almuerzo para el partido de Champions con pizza del día a $10.000</t>
  </si>
  <si>
    <t xml:space="preserve">Envio de formato a cada PDV para identificación de:  Cual es su zona, Donde está su Punto de venta en esa zona, En su zona hay Oficinas, Iglesias, Colegios, Universidades, Centros Comerciales,  Donde es más importante el volanteo (Los principales puntos para volantear) La Competencia De Pizza en su Zona y Otros  los Competidores Domicilios
</t>
  </si>
  <si>
    <t>La Pizza que queres al precio que te gusta $24.000 - borde Hut Cheese/ de lunes a viernes de 12 a 3 pm disfruta de 80 combinaciones para tu almuerzo</t>
  </si>
  <si>
    <t>Sólo para domicilios Jenos pizza la segnda a 40 pesos / Archies por pedios a domicilio regala la otra mitad de la pizza</t>
  </si>
  <si>
    <t>Lluvia en la noche del jueves 14</t>
  </si>
  <si>
    <t>Comunicación en facebook para incentivar consumo en horas de la noche para el partido de Millonarios en Copa Libertadores con promocion de Ahorre o pizza de 10.000</t>
  </si>
  <si>
    <t>T3 Develop consumer database for eCRM  Exact Target emailing program (Leverage POS materials to generate awareness/participation)</t>
  </si>
  <si>
    <t>T4 Revise website to provide more call to action, promotional offers to drive transactions</t>
  </si>
  <si>
    <t>T5 Identify consumer segments beginning with the biggest opportunities you can execute LSM</t>
  </si>
  <si>
    <t>T6 Identify partnership opportunities, leverage daily events, sports, Holidays, low selling periods to drive call to action</t>
  </si>
  <si>
    <t>T7 Develop LSM tool kit for General Managers to leverage</t>
  </si>
  <si>
    <t>Pauta en Google adds y Facebook con los siguientes objetivos: 
Construcción de base de datos por medio de 10 rifa en las cuales se entregarán 100 tarjetas Papa Johns Pizza Cards en total cargadas con $ 200.000 pesos, 
Incrementar el No de Fans y el engagement en redes sociales 
Awareness en motor de busqueda  google, 
Poder generar mail masivos con comunicación de marca y ofertas especiales  para incrementar ventas.</t>
  </si>
  <si>
    <t>Volanteo en puntos estrategicos en el anillo de los 8 minutos
Volante de Pizza del dia a $ 10.000 en horas de la mañana o pasada la hora del almuerzo de lunes a miercoles / En marzo Ahorre se volatea todo el día de lunes a jueves 
Se envia en domiciliostodos los días volante de pizza del día y en Marzo Ahorre</t>
  </si>
  <si>
    <t xml:space="preserve">Volante de Lunes: Se Volantea los lunes todo el día, Se envía en los domicilios los Miércoles y Jueves. En PDV se incluye en el porta menú el día Miércoles y Jueves. Se comunica en redes sociales y en momentos de lluvia 50 mil volantes
Volante de Lunes a Miercoles: Se Volantea de lunes a Miercoles todo el día. Se envía en los domicilios  los Viernes, Sábado y Domingo. En PDV se incluye en el porta menú el día viernes, sábado y domingo. Se comunica en redes sociales en momentos de lluvia y Partidos de Football  50 mil volantes
Volante Jueves a Domingo: Se Volantea de Jueves a Domingo todo el día  Se envía en los domicilios de Lunes a Miércoles En PDV se incluye en el porta menú el día lunes, Martes y Miércoles Se comunica en redes sociales en momentos de lluvia, partidos de football momentos en familia y amigos  50 mil volantes
</t>
  </si>
  <si>
    <t>Entrega de mapas  a PDV: Chico, Colina, Nogal, Usaquen para que cada administrador conozca los puntos claves de su zona</t>
  </si>
  <si>
    <t>Combinación de Post de Promociones activas del mes, Football, trivias e incentivar producto</t>
  </si>
  <si>
    <t>Entrega de resutlados a los PDV por parte de la gerencia de Inteligencia de mercados.</t>
  </si>
  <si>
    <t>Comunicación de Promociones vigentes del mes y nuevos momentos</t>
  </si>
  <si>
    <t>Nuevos sabores en Pizza Hut de su Pizza Quiatro</t>
  </si>
  <si>
    <t>Archies: 15% en pedidos On line</t>
  </si>
  <si>
    <t>Aniversario 40 años Jenós Pizza
Agrandamos tu pizza, pide tu pizza y la segunda a 40 pesos</t>
  </si>
  <si>
    <t>Cupones redbox Pizza entregados a los domicilios y en PDV</t>
  </si>
  <si>
    <t>Pan Pa Ya:Porcion de Pizza mas gaseosa a $ 5.900</t>
  </si>
  <si>
    <t>Queja en Facebook de cliente que le salió un tornillo en la pizza,El pedido salió de Corferias</t>
  </si>
  <si>
    <t>Pizza Personal del Día por $10.000 / En marzo Ahorre $ 9.700 Pizza Mediana Signaute + Cinnapie + Coca Cola 2.5 lt (60.000)</t>
  </si>
  <si>
    <t>1 AL 7  DE ABRIL</t>
  </si>
  <si>
    <t>Renuncias constantes de operarios en varios PDV</t>
  </si>
  <si>
    <t>Renuncia de Operarios en PDV Nogal por problemas de transporte al momento del cierre</t>
  </si>
  <si>
    <t>Quejas Contantes por twitter por demoras en contestar o entrega de pedidos</t>
  </si>
  <si>
    <t>Comunicación en Facebook y Twitter para incentivar la compra por partidos de football de eliminatiors, copa libertadores y Champions</t>
  </si>
  <si>
    <t>Jeno´s Pizza pizza mediana a $ 6.000 pesos por aniversario</t>
  </si>
  <si>
    <t>Faltas motorizados en cedritos el dia sabado y chico el domingo</t>
  </si>
  <si>
    <t>Facturas por contongencia de nuevas promociones / falla de logistic en PDV Niza</t>
  </si>
  <si>
    <t xml:space="preserve">diferencias en el consolidado del dia jueves 4 en Avda Chile / daño en el cuarto frio de PDV Nogal, se traslada masas a chico y Avda Chile / </t>
  </si>
  <si>
    <t>8  AL 14  DE ABRIL</t>
  </si>
  <si>
    <t>Pauta sin autorización de la marca edición abril</t>
  </si>
  <si>
    <t>Pizza Hut - Pizza Mediana + gaseosa 1.5 borde relleno mzzarella y cubierto con queso cheddar por $ 29.900</t>
  </si>
  <si>
    <t>15 AL 21 DE ABRIL</t>
  </si>
  <si>
    <t>22 AL 28 DE ABRIL</t>
  </si>
  <si>
    <t>Quejas Contantes por twitter por demoras en contestar en el call o entrega de pedidos</t>
  </si>
  <si>
    <t>Falta de malla de motirizados el martes para cubrir el partido de colombia</t>
  </si>
  <si>
    <t>Renuncia de Administrador Nogal</t>
  </si>
  <si>
    <t>Jeno´s Pizza 17 abril pizza mediana a $ 6.000</t>
  </si>
  <si>
    <t>sol</t>
  </si>
  <si>
    <t>empiezan las lluvias en horas de la tarde</t>
  </si>
  <si>
    <t>faltan 2 operarios en Usaquen / 1 operario en Chicó /3 Centro mayor</t>
  </si>
  <si>
    <t>fallas en internet en colina/ caida de sistema el 14 en galerias</t>
  </si>
  <si>
    <t xml:space="preserve">malla de domicliarios incompleta </t>
  </si>
  <si>
    <t>reporte de clonación de tarjeta en Niza</t>
  </si>
  <si>
    <t>Pan Pa ya: pizza personal + gaseosas 10 Oz milhoja $11.900 / Pizza mediana + gaseosa 1.5 + s milhojas $19.000 / pizza extragrande + gaseosa 2.5 + 4 milhojas $29900</t>
  </si>
  <si>
    <t>Activivades PDV</t>
  </si>
  <si>
    <t>malla de domiclios incompleta</t>
  </si>
  <si>
    <t>Niza - Dinissan/ Colmotores - Chico / Inmobilairia Panamericana- Avda Chile /Ade Chico - Chico</t>
  </si>
  <si>
    <t>zoovidda Usaquen / Bancolombia - Nogal/ Megatransport - Corferias</t>
  </si>
  <si>
    <t>Asociacion Colombiana de Ingenieros de petrroleos / Chico / Agencia de aduanas DLI - Salitre / Oproc - Avda Chile</t>
  </si>
  <si>
    <t>Análisis de las microzonas por PDV en cada visita generada por la gerencia de mercadeo</t>
  </si>
  <si>
    <t>Pizza del día se cotninua volanteando en horas de la mañana y finals de la tarde/ en la hora de almuerzo se promociona la pizza mediana clásica + gaseosa familar</t>
  </si>
  <si>
    <t>Continua la pizza personal del día + gaseosa de 400 ml / Pizza Mediana Clasica + Gaseosa Familiar / Pizza Familiar clásica + cinnapie + gaseosa familiar / Momentos / En el Home en el carrucel de fotos está siempre presente los nuevos sabores e pizza</t>
  </si>
  <si>
    <t>Sale administrador de Andes</t>
  </si>
  <si>
    <t>Se envia a 10 administradores a descargos por bajo desempeño</t>
  </si>
  <si>
    <t>Sale administrador de Floresta</t>
  </si>
  <si>
    <t>falla internet en Titan</t>
  </si>
  <si>
    <t>No funcionan 4 datafonos en chico el dia domingo</t>
  </si>
  <si>
    <t>Quejas constantes por twitter por demoras en los domicilios</t>
  </si>
  <si>
    <t>Quejas en twtter por no conterstar en call</t>
  </si>
  <si>
    <t>Faltan 14 operarios en la zona sur y 12 operarios en la zona norte</t>
  </si>
  <si>
    <t>Se envian en domicilos los individuales por motivo del mes del niño</t>
  </si>
  <si>
    <t>Quejas por prooción engañosa ya que las alitas no son como estan en la foto</t>
  </si>
  <si>
    <t>Volanteo pago en C.C titan en las talanqueras y entradas principales</t>
  </si>
  <si>
    <t>lluvias todo el día, se  usa para incentivar pedidos por medio de redes sociales comunicando promociones vigentes</t>
  </si>
  <si>
    <t>Viernes 22 : 34.674 fans</t>
  </si>
  <si>
    <t>Viernes 15: 6.667 registros</t>
  </si>
  <si>
    <t>Viernes 8: 1.805 Regiustros</t>
  </si>
  <si>
    <t>Viernes 22 : 7.042 registros</t>
  </si>
  <si>
    <t>Viernes 5: 9.848 registros</t>
  </si>
  <si>
    <t>Viernes 12: 10.237 registros</t>
  </si>
  <si>
    <t>Viernes 29: 9.526 registros</t>
  </si>
  <si>
    <t>Viernes 29: 37.127 fans</t>
  </si>
  <si>
    <t>Viernes 5: 39.738 fans</t>
  </si>
  <si>
    <t>Viernes 12: 41,237 fans</t>
  </si>
  <si>
    <t>Viernes 19: 42.384 fans</t>
  </si>
  <si>
    <t>29 ABRIL AL 5 DE MAYO</t>
  </si>
  <si>
    <t>Floresta - Telefonica</t>
  </si>
  <si>
    <t>Faltan 30 operarios en la cadena</t>
  </si>
  <si>
    <t>Quejas por mal servicio, no contestan en el call, demoras en entrega de pedidos</t>
  </si>
  <si>
    <t>Queja por demoras en general y mal servicio en PDV  galerias</t>
  </si>
  <si>
    <t>3  Premiación (22 marzo) captura base de datos</t>
  </si>
  <si>
    <t>2  Premiación (15 marzo) captura base de datos</t>
  </si>
  <si>
    <t>4 y 5  Premiación (1 y 5 de Abril) captura base de datos</t>
  </si>
  <si>
    <t>6  Premiación (5 Abril) captura base de datos</t>
  </si>
  <si>
    <t>7  Premiación (12 Abril) captura base de datos</t>
  </si>
  <si>
    <t>8  Premiación (19 Abril) captura base de datos</t>
  </si>
  <si>
    <t>9  Premiación (26 Abril) captura base de datos</t>
  </si>
  <si>
    <t>malla de domiclios incompleta vuelven a pedir propina los domiciliarios/ vienres 26 telefono suena ocupado por 30 min</t>
  </si>
  <si>
    <t>problemas con los datafonos en titan</t>
  </si>
  <si>
    <t>falla de logistix en centro mayor/ falla de internet kds y computadores en titan/ se demora mucho en salir la factura en Nogal</t>
  </si>
  <si>
    <t>51.292.610.</t>
  </si>
  <si>
    <t>Jeno´s - Slice + gaeosa 12 oz por $ 5.000 - Desayunos Jeno´s huevos al horno, pizza cereal y burrito</t>
  </si>
  <si>
    <t>Luvvias en la tarde y Noche</t>
  </si>
  <si>
    <t>Semifinales de Champions, martes y miercoles</t>
  </si>
  <si>
    <t>falta completar operarios en la cadena</t>
  </si>
  <si>
    <t>10 premiación (3 Mayo) captura base de datos</t>
  </si>
  <si>
    <t>Quejas por publicidad engañosa por foto de alitas</t>
  </si>
  <si>
    <t xml:space="preserve">Quejas por demoras en pedidos </t>
  </si>
  <si>
    <t>Falta malla de domicliarios para cubrir la operación</t>
  </si>
  <si>
    <t>Viernes 26: 42.243 fans</t>
  </si>
  <si>
    <t>Se incluyen las ofertas de alas en la pagina web</t>
  </si>
  <si>
    <t>6  AL 12 DE MAYO</t>
  </si>
  <si>
    <t>13  AL 19 DE MAYO</t>
  </si>
  <si>
    <t>Pizza Pizza  - $2.999 porción de pizza - $ 6.500 2 porciones a gaseosa 12 oz/ Sanduche Qubano - sandwich personal a $6.900</t>
  </si>
  <si>
    <t>Jenós pizza - Pizza Mediana 2 ingredientes + dos pepsi $ 19.900 / espaguettis, sopa, Helado y gaseosa $ 13.900 / pizza personal + gaseosa $9.900 / Burger King Whopper jr $ 4.000</t>
  </si>
  <si>
    <t>bloqueo de micros en Niza</t>
  </si>
  <si>
    <t>faltan 13 operarios en zona sur y 9 operarios en zona norte</t>
  </si>
  <si>
    <t>Queja por call por dos cliente que le dejaron exesiva pulicidad (volantes) en sus casas</t>
  </si>
  <si>
    <t>20 AL 26 DE MAYO</t>
  </si>
  <si>
    <t>27 DE MAYO AL 2 DE JUNIO</t>
  </si>
  <si>
    <t>Quejas por la falta de canela en los PDV y no cumplir con las ofertas vigentes</t>
  </si>
  <si>
    <t>Viernes 3 Mayo: 43.874 fans</t>
  </si>
  <si>
    <t>Viernes 10 de mayo: 44.470 fans</t>
  </si>
  <si>
    <t>Viernes 17 de mayo: 44.690 fans</t>
  </si>
  <si>
    <t>Pizza Personal + gaseosa 400 ml y pizza mediana + gaseosa familiar se volantea en horas de lunes a miercoles a para incrementar ventas en hora de almuerzo en dias valle</t>
  </si>
  <si>
    <t>Se crea el Boletín de mercadeo para que los putos de venta tengan claro  cuales son las actividades, ofertas y estrategias a realizar cada semana por PDV o en general</t>
  </si>
  <si>
    <t>Final Copa del Rey/ copa libertadores Santafe Vs Gremio</t>
  </si>
  <si>
    <t xml:space="preserve">Pauta digital en Facebook y Google comunicación ofertas del mes enfocadas en los días y hora valle, </t>
  </si>
  <si>
    <t>Se Incluyen los Nuevos sabores de pizza en el carrucel de fotos de pagina principal</t>
  </si>
  <si>
    <t>Envio de correos masivos 10 de mayo a una base de 14.004 personas con el siguiente beneficio: paga personal, lleva mediana. Paga mediana, lleva familiar</t>
  </si>
  <si>
    <t>6 opretarios en zona sur y 14 operarios zona norte</t>
  </si>
  <si>
    <t>BBQ Cheese burger Pizza - Pollo con salsa Buffalo</t>
  </si>
  <si>
    <t>Jeno´s Pizza - Domiclios Gratis/ martes pizza al 50%</t>
  </si>
  <si>
    <t>Viernes 19: 10.482 registros</t>
  </si>
  <si>
    <t>Viernes 26 Abril: 10.620 registros</t>
  </si>
  <si>
    <t>(38.000 unid) LTO - BBQ Cheese Burger Pizza - Pollo con salsa Buffalo/ Helados Von Glacet</t>
  </si>
  <si>
    <t>Alitas x 6 y cerveza Miller 2x1 $ 22.200 -  pizza Familiar clasica + cinnapie + Gaseosa familiar $ 36.000 (100 mil Und) / Pizza Mediana Clasica + Gaseosa Familiar $ 19.900 (100 mil Und)</t>
  </si>
  <si>
    <t>Pizza Especial Pollo al al parmesana con salsa de Ajo / Pizza especial Jamon, tocineta y Seis Quesos ( 60 mil Und)</t>
  </si>
  <si>
    <t>Volanteo masivo en la totalidad de la zona de cobertura de PDV Cafam Floresta por proveedor externo (Push &amp; Pull) (45 mil volantes, 12 mil menus y 250 plan portero)</t>
  </si>
  <si>
    <t>Caida del sistema miercoles 22 en horas de la tarde en salitre y corferias</t>
  </si>
  <si>
    <t>Viernes 24 de mayo: 46.446 fans</t>
  </si>
  <si>
    <t xml:space="preserve">Participación en el evento de madres en centro comercial centro mayor  con prescencia en zona VIP (350 Pax) con individuales 350 Und, servilletas, menus 350 und, vasos 350 Und y producto (67 pizzas corte chicago) . </t>
  </si>
  <si>
    <t xml:space="preserve">Quejas por no entrega de pedidos o demoras </t>
  </si>
  <si>
    <t>Volanteo en talanqueras en centro comercial titan, en fin de semana de mes de madres ( 1500 volantes)</t>
  </si>
  <si>
    <t>faltan 9 operarios en toda la cadena</t>
  </si>
  <si>
    <t>devolución de pedidos por falta de inventarios de pepperoni</t>
  </si>
  <si>
    <t>Avda Chile - Everis/ Pepe Siera - Boston Scientific</t>
  </si>
  <si>
    <t>Cedritos - Conjunto San Pietro - Edificio San Moral</t>
  </si>
  <si>
    <t>Chico - Emisora LA X / Mercadeo VA - Cedritos</t>
  </si>
  <si>
    <t>Faltan 5 operarios en  toda la cadena</t>
  </si>
  <si>
    <t>Inconvenientes con domiciliarios por cumplimiento en protocolo y volanteo</t>
  </si>
  <si>
    <t>Sabado 1 y Domingo 2 se traslada la operación de Avda Chile a Nogal en horas de la noche</t>
  </si>
  <si>
    <t>No llueve en el fin de semana  4 y 5 de mayo</t>
  </si>
  <si>
    <t>Lluvia en horas de la tarde</t>
  </si>
  <si>
    <t>Lluvias en fin de semana</t>
  </si>
  <si>
    <t>Viernes 24 de mayo: 46.584 fans</t>
  </si>
  <si>
    <t>Jenos Pizza - Pizza Mediana $ 17.900 valido sólo para domicilios dia jueves/ come toda la pizza que quieras por $14,900 miercoles</t>
  </si>
  <si>
    <t>Entrada de nuevo competidor al mercado, Pizza Gourmet Piolla</t>
  </si>
  <si>
    <t>Lluvia en las tardes, no afecta horas de comida</t>
  </si>
  <si>
    <t>Semifinales Copa Libertadores - Santa Fe - Galeciano Peru / Final Champioins league sabado 25 hora de almuerzo</t>
  </si>
  <si>
    <t>Viernes 24 de mayo: 11.197 fans</t>
  </si>
  <si>
    <t xml:space="preserve">Viernes 24 de mayo: 11.362 </t>
  </si>
  <si>
    <t>Viernes 3 Mayo: 10.770</t>
  </si>
  <si>
    <t>Viernes 10 mayo: 10.975</t>
  </si>
  <si>
    <t>Vienres 17 Mayo: 11.076</t>
  </si>
  <si>
    <t xml:space="preserve">Piizza Personal de dia + gaseosa 400 ml $ 10.000 - Pizza Mediana Clasica + Gaseosa Familiar $ 19.900 /  Pizza Mediana Clasica + Cinnapie +  Gaseosa Familiar $ 29.900 / Pizza Familiar Especial + alitas x 6 + Cinnapie + Gaseosa Familiar   $ 54.000 </t>
  </si>
  <si>
    <t>Piizza Personal de dia + gaseosa 400 ml $ 10.000 - Pizza Mediana Clasica + Gaseosa Familiar $ 19.900 (100 mil und) /  Pizza Mediana Clasica + Cinnapie +  Gaseosa Familiar $ 29.900 / Pizza Familiar Especial + alitas x 6 + Cinnapie + Gaseosa Familiar  $ 54.000 (100 mil unid)</t>
  </si>
  <si>
    <t>Impresión de 50.000 menús mensuales</t>
  </si>
  <si>
    <t>Fin de semana soleado</t>
  </si>
  <si>
    <t>Sale José M Ruiz</t>
  </si>
  <si>
    <t>Ingresa R. Angel</t>
  </si>
  <si>
    <t>10 AL 16 DE JUNIO</t>
  </si>
  <si>
    <t>17 AL 23 DE JUNIO</t>
  </si>
  <si>
    <t xml:space="preserve">24 AL 30 DE JUNIO </t>
  </si>
  <si>
    <t>1 AL 7 DE JULIO</t>
  </si>
  <si>
    <t>8 AL 14 DE JULIO</t>
  </si>
  <si>
    <t>15 AL 21 DE JULIO</t>
  </si>
  <si>
    <t>22 AL 28 DE JULIO</t>
  </si>
  <si>
    <t>29 DE JULIO AL 4 DE AGOSTO</t>
  </si>
  <si>
    <t>5 AL 11 DE AGOSTO</t>
  </si>
  <si>
    <r>
      <t xml:space="preserve">3 AL 9 DE JUNIO                     </t>
    </r>
    <r>
      <rPr>
        <b/>
        <sz val="8"/>
        <color theme="0"/>
        <rFont val="Calibri"/>
        <family val="2"/>
      </rPr>
      <t>NOTA: a partir de esta fecha las ventas van sin IVA</t>
    </r>
  </si>
  <si>
    <t xml:space="preserve">Redes sociales </t>
  </si>
  <si>
    <t xml:space="preserve">Mustang - Redes sociales </t>
  </si>
  <si>
    <t xml:space="preserve">Redes Sociales </t>
  </si>
  <si>
    <t>Impesión 50.000 Menús</t>
  </si>
  <si>
    <r>
      <t xml:space="preserve">Iniciamos alianza con Circulo de Experiencia </t>
    </r>
    <r>
      <rPr>
        <b/>
        <sz val="9"/>
        <color theme="1"/>
        <rFont val="Calibri"/>
        <family val="2"/>
        <scheme val="minor"/>
      </rPr>
      <t>OFERTA 1:</t>
    </r>
    <r>
      <rPr>
        <sz val="9"/>
        <color theme="1"/>
        <rFont val="Calibri"/>
        <family val="2"/>
        <scheme val="minor"/>
      </rPr>
      <t xml:space="preserve"> Pizza 12" Signature + cinnapie + gaseosa familiar $ 39.900                                  </t>
    </r>
    <r>
      <rPr>
        <b/>
        <sz val="9"/>
        <color theme="1"/>
        <rFont val="Calibri"/>
        <family val="2"/>
        <scheme val="minor"/>
      </rPr>
      <t>OFERTA 2:</t>
    </r>
    <r>
      <rPr>
        <sz val="9"/>
        <color theme="1"/>
        <rFont val="Calibri"/>
        <family val="2"/>
        <scheme val="minor"/>
      </rPr>
      <t xml:space="preserve"> Pizza 14" Especial+ cinnapie + gaseosa familiar $ 48.000</t>
    </r>
  </si>
  <si>
    <t>Conjunto Altos de Hycata</t>
  </si>
  <si>
    <t>Iniciamos con la rifa mensual de las 10 Pj Pizza Card por $200.000                                                                                             (este juego se realizará desde julio y hasta diembre de 2013)</t>
  </si>
  <si>
    <t>Definición de Pauta para banners y frases en palabras claves como domicilios y comida rapida</t>
  </si>
  <si>
    <t>Apertura Bazaar Chía</t>
  </si>
  <si>
    <t>Apertura Calle 184</t>
  </si>
  <si>
    <t>Administradores/ Operarios</t>
  </si>
  <si>
    <t>12 AL 18 DE AGOSTO</t>
  </si>
  <si>
    <t>19 AL 25 DE AGOSTO</t>
  </si>
  <si>
    <t>26 DE AGOSTO AL 1 DE SEPTIEMBRE</t>
  </si>
  <si>
    <t>2 AL 8 DE SEPTIEMBRE</t>
  </si>
  <si>
    <t>9 AL 15 DE SEPTIEMBRE</t>
  </si>
  <si>
    <t>16 AL 22 DE SEPTIEMBRE</t>
  </si>
  <si>
    <t>23 AL 29 DE SEPTIEMBRE</t>
  </si>
  <si>
    <t>30 DE SEPTIEMBRE AL 6 DE OCTUBRE</t>
  </si>
  <si>
    <t>Día del Amor y la Amistad</t>
  </si>
  <si>
    <t xml:space="preserve"> 7 AL 13 DE OCTUBRE</t>
  </si>
  <si>
    <t xml:space="preserve"> 14 AL 20 DE OCTUBRE</t>
  </si>
  <si>
    <t xml:space="preserve"> 21 AL 27 DE OCTUBRE</t>
  </si>
  <si>
    <t xml:space="preserve"> 28 DE OCTUBRE AL 3 DE NOVIEMBRE</t>
  </si>
  <si>
    <t>4 AL 10 DE NOVIEMBRE</t>
  </si>
  <si>
    <t>11 AL 17 DE NOVIEMBRE</t>
  </si>
  <si>
    <t>18 AL 24 DE NOVIEMBRE</t>
  </si>
  <si>
    <t>25 DE NOVIEMBRE AL 1 DE DICIEMBRE</t>
  </si>
  <si>
    <t>2 AL 8 DE DICIEMBRE</t>
  </si>
  <si>
    <t>9 AL 15 DE DICIEMBRE</t>
  </si>
  <si>
    <t>16 AL 22 DE DICIEMBRE</t>
  </si>
  <si>
    <t>23 AL 29 DE DICIEMBRE</t>
  </si>
  <si>
    <r>
      <t>Sampling -</t>
    </r>
    <r>
      <rPr>
        <b/>
        <sz val="9"/>
        <rFont val="Calibri"/>
        <family val="2"/>
        <scheme val="minor"/>
      </rPr>
      <t xml:space="preserve"> Sampling en redes Sociales</t>
    </r>
  </si>
  <si>
    <t>Volante</t>
  </si>
  <si>
    <t>29 -4 ENERO</t>
  </si>
  <si>
    <t>5 - 11 ENERO</t>
  </si>
  <si>
    <t>12 - 18 ENERO</t>
  </si>
  <si>
    <t>19 -25 ENERO</t>
  </si>
  <si>
    <t>26 ENERO -            1 FEBRERO</t>
  </si>
  <si>
    <t>2 - 8 FEBRERO</t>
  </si>
  <si>
    <t>9 - 15 FEBRERO</t>
  </si>
  <si>
    <t>16 - 22 FEBRERO</t>
  </si>
  <si>
    <t xml:space="preserve">23 FEBRERO -      1 MARZO </t>
  </si>
  <si>
    <t>2 - 8 MARZO</t>
  </si>
  <si>
    <t>9 -15  MARZO</t>
  </si>
  <si>
    <t xml:space="preserve">16- 22 MARZO </t>
  </si>
  <si>
    <t xml:space="preserve">23 - 29 MARZO </t>
  </si>
  <si>
    <t xml:space="preserve">100 Ganadores Bonos de producto Ref. 100.000 fans Facebook </t>
  </si>
  <si>
    <t xml:space="preserve">Back to school Pizza Colombianas + Pizza del día </t>
  </si>
  <si>
    <t xml:space="preserve">Soleado </t>
  </si>
  <si>
    <t>Soleado</t>
  </si>
  <si>
    <t>Frío sin lluvía ni sol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</si>
</sst>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164" formatCode="_(&quot;$ &quot;* #,##0.00_);_(&quot;$ &quot;* \(#,##0.00\);_(&quot;$ &quot;* \-??_);_(@_)"/>
    <numFmt numFmtId="165" formatCode="_(&quot;$ &quot;* #,##0_);_(&quot;$ &quot;* \(#,##0\);_(&quot;$ &quot;* \-??_);_(@_)"/>
    <numFmt numFmtId="166" formatCode="_(* #,##0.00_);_(* \(#,##0.00\);_(* \-??_);_(@_)"/>
    <numFmt numFmtId="167" formatCode="_(* #,##0_);_(* \(#,##0\);_(* \-??_);_(@_)"/>
    <numFmt numFmtId="168" formatCode="[$$-240A]\ #,##0"/>
    <numFmt numFmtId="169" formatCode="_-[$$-240A]\ * #,##0_ ;_-[$$-240A]\ * \-#,##0\ ;_-[$$-240A]\ * &quot;-&quot;_ ;_-@_ "/>
  </numFmts>
  <fonts count="40" x14ac:knownFonts="1">
    <font>
      <sz val="11"/>
      <color indexed="8"/>
      <name val="Calibri"/>
      <family val="2"/>
    </font>
    <font>
      <b/>
      <sz val="20"/>
      <color indexed="8"/>
      <name val="Calibri"/>
      <family val="2"/>
    </font>
    <font>
      <sz val="12"/>
      <color indexed="8"/>
      <name val="Calibri"/>
      <family val="2"/>
    </font>
    <font>
      <b/>
      <sz val="12"/>
      <color indexed="8"/>
      <name val="Calibri"/>
      <family val="2"/>
    </font>
    <font>
      <sz val="11"/>
      <name val="Calibri"/>
      <family val="2"/>
    </font>
    <font>
      <b/>
      <sz val="11"/>
      <color indexed="8"/>
      <name val="Calibri"/>
      <family val="2"/>
    </font>
    <font>
      <b/>
      <sz val="11"/>
      <name val="Calibri"/>
      <family val="2"/>
    </font>
    <font>
      <b/>
      <sz val="12"/>
      <color indexed="9"/>
      <name val="Calibri"/>
      <family val="2"/>
    </font>
    <font>
      <b/>
      <sz val="11"/>
      <color indexed="9"/>
      <name val="Calibri"/>
      <family val="2"/>
    </font>
    <font>
      <b/>
      <sz val="18"/>
      <color indexed="8"/>
      <name val="Calibri"/>
      <family val="2"/>
    </font>
    <font>
      <sz val="11"/>
      <color indexed="8"/>
      <name val="Calibri"/>
      <family val="2"/>
    </font>
    <font>
      <sz val="11"/>
      <color indexed="8"/>
      <name val="Calibri"/>
      <family val="2"/>
      <charset val="1"/>
    </font>
    <font>
      <b/>
      <sz val="9"/>
      <name val="Calibri"/>
      <family val="2"/>
      <scheme val="minor"/>
    </font>
    <font>
      <b/>
      <sz val="9"/>
      <color indexed="9"/>
      <name val="Calibri"/>
      <family val="2"/>
    </font>
    <font>
      <sz val="9"/>
      <color theme="1"/>
      <name val="Calibri"/>
      <family val="2"/>
      <scheme val="minor"/>
    </font>
    <font>
      <b/>
      <sz val="9"/>
      <color indexed="8"/>
      <name val="Calibri"/>
      <family val="2"/>
    </font>
    <font>
      <b/>
      <sz val="9"/>
      <color theme="1"/>
      <name val="Calibri"/>
      <family val="2"/>
    </font>
    <font>
      <b/>
      <sz val="9"/>
      <color theme="1"/>
      <name val="Calibri"/>
      <family val="2"/>
      <scheme val="minor"/>
    </font>
    <font>
      <sz val="9"/>
      <color theme="1"/>
      <name val="Calibri"/>
      <family val="2"/>
    </font>
    <font>
      <b/>
      <sz val="9"/>
      <color rgb="FF000000"/>
      <name val="Calibri"/>
      <family val="2"/>
      <scheme val="minor"/>
    </font>
    <font>
      <b/>
      <sz val="8"/>
      <color theme="1"/>
      <name val="Calibri"/>
      <family val="2"/>
      <scheme val="minor"/>
    </font>
    <font>
      <u/>
      <sz val="11"/>
      <color theme="10"/>
      <name val="Calibri"/>
      <family val="2"/>
    </font>
    <font>
      <u/>
      <sz val="11"/>
      <color theme="11"/>
      <name val="Calibri"/>
      <family val="2"/>
    </font>
    <font>
      <sz val="10"/>
      <name val="Arial"/>
      <family val="2"/>
    </font>
    <font>
      <b/>
      <sz val="9"/>
      <color rgb="FF000000"/>
      <name val="Calibri"/>
      <family val="2"/>
    </font>
    <font>
      <b/>
      <sz val="9"/>
      <color rgb="FFFFFFFF"/>
      <name val="Calibri"/>
      <family val="2"/>
    </font>
    <font>
      <sz val="9"/>
      <color rgb="FF000000"/>
      <name val="Calibri"/>
      <family val="2"/>
    </font>
    <font>
      <sz val="11"/>
      <color theme="1"/>
      <name val="Calibri"/>
      <family val="2"/>
      <scheme val="minor"/>
    </font>
    <font>
      <b/>
      <sz val="11"/>
      <color theme="1"/>
      <name val="Calibri"/>
      <family val="2"/>
      <scheme val="minor"/>
    </font>
    <font>
      <sz val="9"/>
      <color theme="6" tint="-0.249977111117893"/>
      <name val="Calibri"/>
      <family val="2"/>
    </font>
    <font>
      <b/>
      <sz val="10"/>
      <color theme="1"/>
      <name val="Calibri"/>
      <family val="2"/>
      <scheme val="minor"/>
    </font>
    <font>
      <b/>
      <sz val="10"/>
      <color theme="9" tint="-0.249977111117893"/>
      <name val="Calibri"/>
      <family val="2"/>
      <scheme val="minor"/>
    </font>
    <font>
      <b/>
      <sz val="9"/>
      <color theme="6" tint="-0.249977111117893"/>
      <name val="Calibri"/>
      <family val="2"/>
    </font>
    <font>
      <b/>
      <sz val="9"/>
      <color theme="9" tint="-0.249977111117893"/>
      <name val="Calibri"/>
      <family val="2"/>
      <scheme val="minor"/>
    </font>
    <font>
      <b/>
      <sz val="9"/>
      <color rgb="FFFF0000"/>
      <name val="Calibri"/>
      <family val="2"/>
      <scheme val="minor"/>
    </font>
    <font>
      <b/>
      <sz val="12"/>
      <color theme="1"/>
      <name val="Calibri"/>
      <family val="2"/>
      <scheme val="minor"/>
    </font>
    <font>
      <b/>
      <sz val="9"/>
      <color theme="0"/>
      <name val="Calibri"/>
      <family val="2"/>
    </font>
    <font>
      <b/>
      <sz val="8"/>
      <color theme="0"/>
      <name val="Calibri"/>
      <family val="2"/>
    </font>
    <font>
      <sz val="9"/>
      <color rgb="FFFF0000"/>
      <name val="Calibri"/>
      <family val="2"/>
    </font>
    <font>
      <sz val="9"/>
      <name val="Calibri"/>
      <family val="2"/>
    </font>
  </fonts>
  <fills count="42">
    <fill>
      <patternFill patternType="none"/>
    </fill>
    <fill>
      <patternFill patternType="gray125"/>
    </fill>
    <fill>
      <patternFill patternType="solid">
        <fgColor indexed="40"/>
        <bgColor indexed="49"/>
      </patternFill>
    </fill>
    <fill>
      <patternFill patternType="solid">
        <fgColor indexed="9"/>
        <bgColor indexed="26"/>
      </patternFill>
    </fill>
    <fill>
      <patternFill patternType="solid">
        <fgColor indexed="51"/>
        <bgColor indexed="13"/>
      </patternFill>
    </fill>
    <fill>
      <patternFill patternType="solid">
        <fgColor indexed="45"/>
        <bgColor indexed="29"/>
      </patternFill>
    </fill>
    <fill>
      <patternFill patternType="solid">
        <fgColor indexed="46"/>
        <bgColor indexed="24"/>
      </patternFill>
    </fill>
    <fill>
      <patternFill patternType="solid">
        <fgColor indexed="50"/>
        <bgColor indexed="51"/>
      </patternFill>
    </fill>
    <fill>
      <patternFill patternType="solid">
        <fgColor indexed="13"/>
        <bgColor indexed="34"/>
      </patternFill>
    </fill>
    <fill>
      <patternFill patternType="solid">
        <fgColor indexed="62"/>
        <bgColor indexed="56"/>
      </patternFill>
    </fill>
    <fill>
      <patternFill patternType="solid">
        <fgColor indexed="10"/>
        <bgColor indexed="60"/>
      </patternFill>
    </fill>
    <fill>
      <patternFill patternType="solid">
        <fgColor indexed="44"/>
        <bgColor indexed="31"/>
      </patternFill>
    </fill>
    <fill>
      <patternFill patternType="solid">
        <fgColor indexed="31"/>
        <bgColor indexed="22"/>
      </patternFill>
    </fill>
    <fill>
      <patternFill patternType="solid">
        <fgColor indexed="62"/>
        <bgColor indexed="62"/>
      </patternFill>
    </fill>
    <fill>
      <patternFill patternType="solid">
        <fgColor rgb="FFFFFF00"/>
        <bgColor indexed="44"/>
      </patternFill>
    </fill>
    <fill>
      <patternFill patternType="solid">
        <fgColor rgb="FFFFFF00"/>
        <bgColor indexed="64"/>
      </patternFill>
    </fill>
    <fill>
      <patternFill patternType="solid">
        <fgColor theme="0"/>
        <bgColor indexed="44"/>
      </patternFill>
    </fill>
    <fill>
      <patternFill patternType="solid">
        <fgColor theme="0"/>
        <bgColor indexed="64"/>
      </patternFill>
    </fill>
    <fill>
      <patternFill patternType="solid">
        <fgColor rgb="FF00B0F0"/>
        <bgColor indexed="44"/>
      </patternFill>
    </fill>
    <fill>
      <patternFill patternType="solid">
        <fgColor rgb="FF00B0F0"/>
        <bgColor indexed="64"/>
      </patternFill>
    </fill>
    <fill>
      <patternFill patternType="solid">
        <fgColor theme="8"/>
        <bgColor indexed="64"/>
      </patternFill>
    </fill>
    <fill>
      <patternFill patternType="solid">
        <fgColor rgb="FF3366FF"/>
        <bgColor indexed="64"/>
      </patternFill>
    </fill>
    <fill>
      <patternFill patternType="solid">
        <fgColor rgb="FFFF66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DE9D9"/>
        <bgColor rgb="FF000000"/>
      </patternFill>
    </fill>
    <fill>
      <patternFill patternType="solid">
        <fgColor rgb="FF333399"/>
        <bgColor rgb="FF333399"/>
      </patternFill>
    </fill>
    <fill>
      <patternFill patternType="solid">
        <fgColor rgb="FFFFFF00"/>
        <bgColor rgb="FF000000"/>
      </patternFill>
    </fill>
    <fill>
      <patternFill patternType="solid">
        <fgColor rgb="FFFFFFFF"/>
        <bgColor rgb="FF000000"/>
      </patternFill>
    </fill>
    <fill>
      <patternFill patternType="solid">
        <fgColor rgb="FFD9D9D9"/>
        <bgColor rgb="FF000000"/>
      </patternFill>
    </fill>
    <fill>
      <patternFill patternType="solid">
        <fgColor rgb="FFA4B6FC"/>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rgb="FFE6B8B7"/>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70C0"/>
        <bgColor rgb="FF333399"/>
      </patternFill>
    </fill>
    <fill>
      <patternFill patternType="solid">
        <fgColor rgb="FF0070C0"/>
        <bgColor indexed="64"/>
      </patternFill>
    </fill>
  </fills>
  <borders count="182">
    <border>
      <left/>
      <right/>
      <top/>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medium">
        <color indexed="8"/>
      </bottom>
      <diagonal/>
    </border>
    <border>
      <left/>
      <right/>
      <top style="medium">
        <color indexed="8"/>
      </top>
      <bottom/>
      <diagonal/>
    </border>
    <border>
      <left style="medium">
        <color indexed="8"/>
      </left>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diagonal/>
    </border>
    <border>
      <left/>
      <right style="medium">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right style="thin">
        <color indexed="9"/>
      </right>
      <top style="medium">
        <color indexed="8"/>
      </top>
      <bottom style="thick">
        <color indexed="9"/>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9"/>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thin">
        <color indexed="9"/>
      </bottom>
      <diagonal/>
    </border>
    <border>
      <left style="thin">
        <color indexed="8"/>
      </left>
      <right style="thin">
        <color indexed="8"/>
      </right>
      <top/>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bottom style="thin">
        <color indexed="8"/>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medium">
        <color indexed="8"/>
      </left>
      <right style="medium">
        <color indexed="8"/>
      </right>
      <top style="thin">
        <color indexed="8"/>
      </top>
      <bottom/>
      <diagonal/>
    </border>
    <border>
      <left style="medium">
        <color indexed="8"/>
      </left>
      <right style="thin">
        <color indexed="8"/>
      </right>
      <top/>
      <bottom/>
      <diagonal/>
    </border>
    <border>
      <left style="thin">
        <color indexed="8"/>
      </left>
      <right style="thin">
        <color indexed="9"/>
      </right>
      <top style="thin">
        <color indexed="8"/>
      </top>
      <bottom style="thin">
        <color indexed="8"/>
      </bottom>
      <diagonal/>
    </border>
    <border>
      <left style="thin">
        <color indexed="9"/>
      </left>
      <right style="thin">
        <color indexed="8"/>
      </right>
      <top style="thin">
        <color indexed="8"/>
      </top>
      <bottom/>
      <diagonal/>
    </border>
    <border>
      <left style="thin">
        <color indexed="9"/>
      </left>
      <right style="thin">
        <color indexed="8"/>
      </right>
      <top style="thin">
        <color indexed="8"/>
      </top>
      <bottom style="thin">
        <color indexed="8"/>
      </bottom>
      <diagonal/>
    </border>
    <border>
      <left style="thin">
        <color indexed="9"/>
      </left>
      <right style="medium">
        <color indexed="8"/>
      </right>
      <top/>
      <bottom/>
      <diagonal/>
    </border>
    <border>
      <left style="thin">
        <color indexed="9"/>
      </left>
      <right style="thin">
        <color indexed="9"/>
      </right>
      <top style="medium">
        <color indexed="8"/>
      </top>
      <bottom style="thick">
        <color indexed="9"/>
      </bottom>
      <diagonal/>
    </border>
    <border>
      <left style="medium">
        <color indexed="8"/>
      </left>
      <right style="thin">
        <color indexed="9"/>
      </right>
      <top style="thin">
        <color indexed="8"/>
      </top>
      <bottom style="medium">
        <color indexed="8"/>
      </bottom>
      <diagonal/>
    </border>
    <border>
      <left/>
      <right style="thin">
        <color indexed="9"/>
      </right>
      <top/>
      <bottom style="thick">
        <color indexed="9"/>
      </bottom>
      <diagonal/>
    </border>
    <border>
      <left style="thin">
        <color indexed="9"/>
      </left>
      <right/>
      <top/>
      <bottom style="thick">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style="thin">
        <color indexed="9"/>
      </right>
      <top/>
      <bottom/>
      <diagonal/>
    </border>
    <border>
      <left style="thin">
        <color indexed="9"/>
      </left>
      <right/>
      <top/>
      <bottom/>
      <diagonal/>
    </border>
    <border>
      <left style="medium">
        <color indexed="8"/>
      </left>
      <right style="thin">
        <color indexed="9"/>
      </right>
      <top style="medium">
        <color indexed="8"/>
      </top>
      <bottom style="thick">
        <color indexed="9"/>
      </bottom>
      <diagonal/>
    </border>
    <border>
      <left style="thin">
        <color indexed="9"/>
      </left>
      <right style="medium">
        <color indexed="8"/>
      </right>
      <top style="medium">
        <color indexed="8"/>
      </top>
      <bottom style="thick">
        <color indexed="9"/>
      </bottom>
      <diagonal/>
    </border>
    <border>
      <left style="medium">
        <color indexed="8"/>
      </left>
      <right style="thin">
        <color indexed="9"/>
      </right>
      <top/>
      <bottom style="thin">
        <color indexed="9"/>
      </bottom>
      <diagonal/>
    </border>
    <border>
      <left style="thin">
        <color indexed="9"/>
      </left>
      <right style="medium">
        <color indexed="8"/>
      </right>
      <top style="thin">
        <color indexed="9"/>
      </top>
      <bottom style="thin">
        <color indexed="9"/>
      </bottom>
      <diagonal/>
    </border>
    <border>
      <left style="medium">
        <color indexed="8"/>
      </left>
      <right style="thin">
        <color indexed="9"/>
      </right>
      <top/>
      <bottom style="medium">
        <color indexed="8"/>
      </bottom>
      <diagonal/>
    </border>
    <border>
      <left/>
      <right style="thin">
        <color indexed="9"/>
      </right>
      <top/>
      <bottom style="medium">
        <color indexed="8"/>
      </bottom>
      <diagonal/>
    </border>
    <border>
      <left style="thin">
        <color indexed="9"/>
      </left>
      <right style="medium">
        <color indexed="8"/>
      </right>
      <top style="thin">
        <color indexed="9"/>
      </top>
      <bottom style="medium">
        <color indexed="8"/>
      </bottom>
      <diagonal/>
    </border>
    <border>
      <left style="thin">
        <color indexed="8"/>
      </left>
      <right style="thin">
        <color indexed="9"/>
      </right>
      <top style="thin">
        <color indexed="8"/>
      </top>
      <bottom style="thick">
        <color indexed="9"/>
      </bottom>
      <diagonal/>
    </border>
    <border>
      <left/>
      <right style="thin">
        <color indexed="9"/>
      </right>
      <top style="thin">
        <color indexed="8"/>
      </top>
      <bottom style="thick">
        <color indexed="9"/>
      </bottom>
      <diagonal/>
    </border>
    <border>
      <left style="thin">
        <color indexed="9"/>
      </left>
      <right style="thin">
        <color indexed="8"/>
      </right>
      <top style="thin">
        <color indexed="8"/>
      </top>
      <bottom style="thick">
        <color indexed="9"/>
      </bottom>
      <diagonal/>
    </border>
    <border>
      <left style="thin">
        <color indexed="8"/>
      </left>
      <right style="thin">
        <color indexed="9"/>
      </right>
      <top/>
      <bottom style="thin">
        <color indexed="9"/>
      </bottom>
      <diagonal/>
    </border>
    <border>
      <left style="thin">
        <color indexed="9"/>
      </left>
      <right style="thin">
        <color indexed="8"/>
      </right>
      <top style="thin">
        <color indexed="9"/>
      </top>
      <bottom style="thin">
        <color indexed="9"/>
      </bottom>
      <diagonal/>
    </border>
    <border>
      <left style="thin">
        <color indexed="8"/>
      </left>
      <right style="thin">
        <color indexed="9"/>
      </right>
      <top/>
      <bottom style="thin">
        <color indexed="8"/>
      </bottom>
      <diagonal/>
    </border>
    <border>
      <left/>
      <right style="thin">
        <color indexed="9"/>
      </right>
      <top/>
      <bottom style="thin">
        <color indexed="8"/>
      </bottom>
      <diagonal/>
    </border>
    <border>
      <left style="thin">
        <color indexed="9"/>
      </left>
      <right style="thin">
        <color indexed="8"/>
      </right>
      <top style="thin">
        <color indexed="9"/>
      </top>
      <bottom style="thin">
        <color indexed="8"/>
      </bottom>
      <diagonal/>
    </border>
    <border>
      <left style="thin">
        <color indexed="8"/>
      </left>
      <right style="thin">
        <color indexed="9"/>
      </right>
      <top/>
      <bottom/>
      <diagonal/>
    </border>
    <border>
      <left style="thin">
        <color indexed="9"/>
      </left>
      <right style="thin">
        <color indexed="8"/>
      </right>
      <top style="thin">
        <color indexed="9"/>
      </top>
      <bottom/>
      <diagonal/>
    </border>
    <border>
      <left style="medium">
        <color indexed="8"/>
      </left>
      <right style="thin">
        <color indexed="9"/>
      </right>
      <top/>
      <bottom/>
      <diagonal/>
    </border>
    <border>
      <left/>
      <right style="medium">
        <color indexed="8"/>
      </right>
      <top style="medium">
        <color indexed="8"/>
      </top>
      <bottom style="thick">
        <color indexed="9"/>
      </bottom>
      <diagonal/>
    </border>
    <border>
      <left/>
      <right style="medium">
        <color indexed="8"/>
      </right>
      <top/>
      <bottom style="thin">
        <color indexed="9"/>
      </bottom>
      <diagonal/>
    </border>
    <border>
      <left style="medium">
        <color indexed="8"/>
      </left>
      <right style="thin">
        <color indexed="9"/>
      </right>
      <top style="medium">
        <color indexed="8"/>
      </top>
      <bottom style="medium">
        <color indexed="8"/>
      </bottom>
      <diagonal/>
    </border>
    <border>
      <left/>
      <right style="thin">
        <color indexed="9"/>
      </right>
      <top style="medium">
        <color indexed="8"/>
      </top>
      <bottom style="medium">
        <color indexed="8"/>
      </bottom>
      <diagonal/>
    </border>
    <border>
      <left style="thin">
        <color indexed="9"/>
      </left>
      <right style="thin">
        <color indexed="8"/>
      </right>
      <top style="medium">
        <color indexed="8"/>
      </top>
      <bottom style="medium">
        <color indexed="8"/>
      </bottom>
      <diagonal/>
    </border>
    <border>
      <left/>
      <right/>
      <top style="medium">
        <color indexed="8"/>
      </top>
      <bottom style="thick">
        <color indexed="9"/>
      </bottom>
      <diagonal/>
    </border>
    <border>
      <left/>
      <right/>
      <top/>
      <bottom style="thin">
        <color indexed="9"/>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diagonal/>
    </border>
    <border>
      <left style="medium">
        <color indexed="8"/>
      </left>
      <right style="thin">
        <color indexed="8"/>
      </right>
      <top style="medium">
        <color auto="1"/>
      </top>
      <bottom/>
      <diagonal/>
    </border>
    <border>
      <left/>
      <right/>
      <top style="medium">
        <color auto="1"/>
      </top>
      <bottom/>
      <diagonal/>
    </border>
    <border>
      <left style="thin">
        <color indexed="8"/>
      </left>
      <right style="thin">
        <color indexed="8"/>
      </right>
      <top style="medium">
        <color auto="1"/>
      </top>
      <bottom/>
      <diagonal/>
    </border>
    <border>
      <left/>
      <right style="medium">
        <color indexed="8"/>
      </right>
      <top style="medium">
        <color auto="1"/>
      </top>
      <bottom/>
      <diagonal/>
    </border>
    <border>
      <left/>
      <right style="medium">
        <color auto="1"/>
      </right>
      <top style="medium">
        <color auto="1"/>
      </top>
      <bottom/>
      <diagonal/>
    </border>
    <border>
      <left style="medium">
        <color auto="1"/>
      </left>
      <right/>
      <top style="thin">
        <color indexed="8"/>
      </top>
      <bottom/>
      <diagonal/>
    </border>
    <border>
      <left/>
      <right style="medium">
        <color auto="1"/>
      </right>
      <top style="thin">
        <color indexed="8"/>
      </top>
      <bottom/>
      <diagonal/>
    </border>
    <border>
      <left style="medium">
        <color auto="1"/>
      </left>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top style="thin">
        <color indexed="8"/>
      </top>
      <bottom style="medium">
        <color auto="1"/>
      </bottom>
      <diagonal/>
    </border>
    <border>
      <left style="medium">
        <color indexed="8"/>
      </left>
      <right/>
      <top style="thin">
        <color indexed="8"/>
      </top>
      <bottom style="medium">
        <color auto="1"/>
      </bottom>
      <diagonal/>
    </border>
    <border>
      <left style="thin">
        <color indexed="8"/>
      </left>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auto="1"/>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medium">
        <color auto="1"/>
      </left>
      <right style="thin">
        <color indexed="8"/>
      </right>
      <top style="medium">
        <color auto="1"/>
      </top>
      <bottom/>
      <diagonal/>
    </border>
    <border>
      <left style="thin">
        <color auto="1"/>
      </left>
      <right style="thin">
        <color auto="1"/>
      </right>
      <top style="thin">
        <color auto="1"/>
      </top>
      <bottom style="thin">
        <color auto="1"/>
      </bottom>
      <diagonal/>
    </border>
    <border>
      <left style="medium">
        <color auto="1"/>
      </left>
      <right style="thin">
        <color indexed="8"/>
      </right>
      <top/>
      <bottom style="thin">
        <color indexed="8"/>
      </bottom>
      <diagonal/>
    </border>
    <border>
      <left style="medium">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9"/>
      </right>
      <top style="medium">
        <color auto="1"/>
      </top>
      <bottom/>
      <diagonal/>
    </border>
    <border>
      <left style="thin">
        <color indexed="8"/>
      </left>
      <right style="medium">
        <color auto="1"/>
      </right>
      <top style="medium">
        <color auto="1"/>
      </top>
      <bottom/>
      <diagonal/>
    </border>
    <border>
      <left/>
      <right style="medium">
        <color auto="1"/>
      </right>
      <top/>
      <bottom/>
      <diagonal/>
    </border>
    <border>
      <left/>
      <right style="medium">
        <color auto="1"/>
      </right>
      <top style="thin">
        <color indexed="8"/>
      </top>
      <bottom style="thin">
        <color indexed="8"/>
      </bottom>
      <diagonal/>
    </border>
    <border>
      <left/>
      <right/>
      <top style="thin">
        <color indexed="8"/>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indexed="8"/>
      </top>
      <bottom style="thin">
        <color indexed="8"/>
      </bottom>
      <diagonal/>
    </border>
    <border>
      <left style="medium">
        <color auto="1"/>
      </left>
      <right style="medium">
        <color auto="1"/>
      </right>
      <top style="thin">
        <color indexed="8"/>
      </top>
      <bottom style="medium">
        <color auto="1"/>
      </bottom>
      <diagonal/>
    </border>
    <border>
      <left/>
      <right style="thin">
        <color indexed="8"/>
      </right>
      <top style="medium">
        <color auto="1"/>
      </top>
      <bottom style="thin">
        <color indexed="8"/>
      </bottom>
      <diagonal/>
    </border>
    <border>
      <left/>
      <right style="thin">
        <color indexed="8"/>
      </right>
      <top style="thin">
        <color indexed="8"/>
      </top>
      <bottom style="medium">
        <color auto="1"/>
      </bottom>
      <diagonal/>
    </border>
    <border>
      <left style="medium">
        <color auto="1"/>
      </left>
      <right style="medium">
        <color auto="1"/>
      </right>
      <top style="medium">
        <color auto="1"/>
      </top>
      <bottom style="thin">
        <color indexed="8"/>
      </bottom>
      <diagonal/>
    </border>
    <border>
      <left style="thin">
        <color indexed="9"/>
      </left>
      <right style="medium">
        <color auto="1"/>
      </right>
      <top style="medium">
        <color auto="1"/>
      </top>
      <bottom/>
      <diagonal/>
    </border>
    <border>
      <left/>
      <right style="medium">
        <color auto="1"/>
      </right>
      <top style="thin">
        <color indexed="8"/>
      </top>
      <bottom style="medium">
        <color auto="1"/>
      </bottom>
      <diagonal/>
    </border>
    <border>
      <left style="thin">
        <color indexed="9"/>
      </left>
      <right style="medium">
        <color auto="1"/>
      </right>
      <top style="thin">
        <color indexed="8"/>
      </top>
      <bottom/>
      <diagonal/>
    </border>
    <border>
      <left style="thin">
        <color indexed="9"/>
      </left>
      <right style="medium">
        <color auto="1"/>
      </right>
      <top style="thin">
        <color indexed="8"/>
      </top>
      <bottom style="thin">
        <color indexed="8"/>
      </bottom>
      <diagonal/>
    </border>
    <border>
      <left/>
      <right/>
      <top/>
      <bottom style="thin">
        <color indexed="8"/>
      </bottom>
      <diagonal/>
    </border>
    <border>
      <left style="medium">
        <color auto="1"/>
      </left>
      <right style="medium">
        <color auto="1"/>
      </right>
      <top style="medium">
        <color auto="1"/>
      </top>
      <bottom style="thick">
        <color indexed="9"/>
      </bottom>
      <diagonal/>
    </border>
    <border>
      <left style="medium">
        <color auto="1"/>
      </left>
      <right style="medium">
        <color auto="1"/>
      </right>
      <top style="thin">
        <color indexed="9"/>
      </top>
      <bottom style="thin">
        <color indexed="9"/>
      </bottom>
      <diagonal/>
    </border>
    <border>
      <left style="medium">
        <color auto="1"/>
      </left>
      <right style="medium">
        <color auto="1"/>
      </right>
      <top style="thin">
        <color indexed="9"/>
      </top>
      <bottom style="medium">
        <color auto="1"/>
      </bottom>
      <diagonal/>
    </border>
    <border>
      <left style="medium">
        <color auto="1"/>
      </left>
      <right style="medium">
        <color auto="1"/>
      </right>
      <top style="thin">
        <color indexed="9"/>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style="medium">
        <color indexed="8"/>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77">
    <xf numFmtId="0" fontId="0" fillId="0" borderId="0"/>
    <xf numFmtId="166" fontId="10" fillId="0" borderId="0" applyFill="0" applyBorder="0" applyAlignment="0" applyProtection="0"/>
    <xf numFmtId="164" fontId="10" fillId="0" borderId="0" applyFill="0" applyBorder="0" applyAlignment="0" applyProtection="0"/>
    <xf numFmtId="164" fontId="10" fillId="0" borderId="0" applyFill="0" applyBorder="0" applyAlignment="0" applyProtection="0"/>
    <xf numFmtId="164" fontId="10" fillId="0" borderId="0" applyFill="0" applyBorder="0" applyAlignment="0" applyProtection="0"/>
    <xf numFmtId="164"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0" fontId="1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41" fontId="10"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1154">
    <xf numFmtId="0" fontId="0" fillId="0" borderId="0" xfId="0"/>
    <xf numFmtId="0" fontId="1" fillId="0" borderId="0" xfId="0" applyFont="1" applyBorder="1" applyAlignment="1">
      <alignment horizontal="center" vertical="center"/>
    </xf>
    <xf numFmtId="0" fontId="2"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2" borderId="4" xfId="0" applyFont="1" applyFill="1" applyBorder="1"/>
    <xf numFmtId="0" fontId="0" fillId="2" borderId="5" xfId="0" applyFill="1" applyBorder="1" applyAlignment="1">
      <alignment horizontal="right"/>
    </xf>
    <xf numFmtId="0" fontId="0" fillId="2" borderId="0" xfId="0" applyFill="1" applyBorder="1"/>
    <xf numFmtId="0" fontId="0" fillId="2" borderId="5" xfId="0" applyFill="1" applyBorder="1"/>
    <xf numFmtId="0" fontId="0" fillId="2" borderId="6" xfId="0" applyNumberFormat="1" applyFill="1" applyBorder="1"/>
    <xf numFmtId="0" fontId="4" fillId="3" borderId="7" xfId="0" applyFont="1" applyFill="1" applyBorder="1"/>
    <xf numFmtId="0" fontId="0" fillId="3" borderId="8" xfId="0" applyFont="1" applyFill="1" applyBorder="1" applyAlignment="1">
      <alignment horizontal="right"/>
    </xf>
    <xf numFmtId="165" fontId="5" fillId="3" borderId="8" xfId="0" applyNumberFormat="1" applyFont="1" applyFill="1" applyBorder="1" applyAlignment="1">
      <alignment horizontal="right"/>
    </xf>
    <xf numFmtId="0" fontId="0" fillId="3" borderId="9" xfId="0" applyFont="1" applyFill="1" applyBorder="1" applyAlignment="1">
      <alignment horizontal="right"/>
    </xf>
    <xf numFmtId="1" fontId="0" fillId="0" borderId="0" xfId="0" applyNumberFormat="1"/>
    <xf numFmtId="0" fontId="6" fillId="4" borderId="7" xfId="0" applyFont="1" applyFill="1" applyBorder="1"/>
    <xf numFmtId="0" fontId="0" fillId="4" borderId="8" xfId="0" applyFont="1" applyFill="1" applyBorder="1" applyAlignment="1">
      <alignment horizontal="right"/>
    </xf>
    <xf numFmtId="0" fontId="0" fillId="4" borderId="9" xfId="0" applyFont="1" applyFill="1" applyBorder="1" applyAlignment="1">
      <alignment horizontal="right"/>
    </xf>
    <xf numFmtId="9" fontId="0" fillId="3" borderId="8" xfId="6" applyFont="1" applyFill="1" applyBorder="1" applyAlignment="1" applyProtection="1">
      <alignment horizontal="right"/>
    </xf>
    <xf numFmtId="9" fontId="0" fillId="3" borderId="9" xfId="6" applyFont="1" applyFill="1" applyBorder="1" applyAlignment="1" applyProtection="1">
      <alignment horizontal="right"/>
    </xf>
    <xf numFmtId="0" fontId="0" fillId="3" borderId="8" xfId="0" applyFill="1" applyBorder="1"/>
    <xf numFmtId="165" fontId="5" fillId="3" borderId="8" xfId="0" applyNumberFormat="1" applyFont="1" applyFill="1" applyBorder="1"/>
    <xf numFmtId="9" fontId="0" fillId="3" borderId="8" xfId="6" applyFont="1" applyFill="1" applyBorder="1" applyAlignment="1" applyProtection="1"/>
    <xf numFmtId="9" fontId="0" fillId="3" borderId="9" xfId="6" applyFont="1" applyFill="1" applyBorder="1" applyAlignment="1" applyProtection="1"/>
    <xf numFmtId="0" fontId="4" fillId="5" borderId="7" xfId="0" applyFont="1" applyFill="1" applyBorder="1"/>
    <xf numFmtId="0" fontId="0" fillId="5" borderId="8" xfId="0" applyFill="1" applyBorder="1"/>
    <xf numFmtId="165" fontId="5" fillId="5" borderId="8" xfId="0" applyNumberFormat="1" applyFont="1" applyFill="1" applyBorder="1"/>
    <xf numFmtId="165" fontId="5" fillId="5" borderId="9" xfId="0" applyNumberFormat="1" applyFont="1" applyFill="1" applyBorder="1"/>
    <xf numFmtId="9" fontId="0" fillId="5" borderId="8" xfId="6" applyNumberFormat="1" applyFont="1" applyFill="1" applyBorder="1" applyAlignment="1" applyProtection="1"/>
    <xf numFmtId="9" fontId="0" fillId="5" borderId="9" xfId="6" applyNumberFormat="1" applyFont="1" applyFill="1" applyBorder="1" applyAlignment="1" applyProtection="1"/>
    <xf numFmtId="9" fontId="0" fillId="3" borderId="8" xfId="6" applyNumberFormat="1" applyFont="1" applyFill="1" applyBorder="1" applyAlignment="1" applyProtection="1"/>
    <xf numFmtId="165" fontId="0" fillId="3" borderId="8" xfId="2" applyNumberFormat="1" applyFont="1" applyFill="1" applyBorder="1" applyAlignment="1" applyProtection="1"/>
    <xf numFmtId="165" fontId="0" fillId="3" borderId="9" xfId="2" applyNumberFormat="1" applyFont="1" applyFill="1" applyBorder="1" applyAlignment="1" applyProtection="1"/>
    <xf numFmtId="0" fontId="4" fillId="6" borderId="7" xfId="0" applyFont="1" applyFill="1" applyBorder="1"/>
    <xf numFmtId="165" fontId="5" fillId="6" borderId="8" xfId="2" applyNumberFormat="1" applyFont="1" applyFill="1" applyBorder="1" applyAlignment="1" applyProtection="1"/>
    <xf numFmtId="165" fontId="5" fillId="6" borderId="8" xfId="0" applyNumberFormat="1" applyFont="1" applyFill="1" applyBorder="1"/>
    <xf numFmtId="165" fontId="5" fillId="6" borderId="9" xfId="0" applyNumberFormat="1" applyFont="1" applyFill="1" applyBorder="1"/>
    <xf numFmtId="0" fontId="5" fillId="7" borderId="7" xfId="0" applyFont="1" applyFill="1" applyBorder="1"/>
    <xf numFmtId="165" fontId="5" fillId="7" borderId="8" xfId="2" applyNumberFormat="1" applyFont="1" applyFill="1" applyBorder="1" applyAlignment="1" applyProtection="1"/>
    <xf numFmtId="165" fontId="5" fillId="7" borderId="8" xfId="0" applyNumberFormat="1" applyFont="1" applyFill="1" applyBorder="1"/>
    <xf numFmtId="165" fontId="5" fillId="7" borderId="9" xfId="0" applyNumberFormat="1" applyFont="1" applyFill="1" applyBorder="1"/>
    <xf numFmtId="165" fontId="0" fillId="3" borderId="8" xfId="0" applyNumberFormat="1" applyFill="1" applyBorder="1"/>
    <xf numFmtId="165" fontId="0" fillId="3" borderId="9" xfId="0" applyNumberFormat="1" applyFill="1" applyBorder="1"/>
    <xf numFmtId="0" fontId="6" fillId="8" borderId="10" xfId="0" applyFont="1" applyFill="1" applyBorder="1"/>
    <xf numFmtId="165" fontId="5" fillId="8" borderId="6" xfId="0" applyNumberFormat="1" applyFont="1" applyFill="1" applyBorder="1"/>
    <xf numFmtId="165" fontId="5" fillId="8" borderId="5" xfId="0" applyNumberFormat="1" applyFont="1" applyFill="1" applyBorder="1"/>
    <xf numFmtId="165" fontId="5" fillId="8" borderId="11" xfId="0" applyNumberFormat="1" applyFont="1" applyFill="1" applyBorder="1"/>
    <xf numFmtId="165" fontId="5" fillId="8" borderId="12" xfId="0" applyNumberFormat="1" applyFont="1" applyFill="1" applyBorder="1"/>
    <xf numFmtId="0" fontId="7" fillId="9" borderId="13" xfId="0" applyFont="1" applyFill="1" applyBorder="1" applyAlignment="1">
      <alignment horizontal="center" vertical="center" wrapText="1"/>
    </xf>
    <xf numFmtId="0" fontId="7" fillId="10" borderId="6" xfId="0" applyFont="1" applyFill="1" applyBorder="1" applyAlignment="1">
      <alignment horizontal="center" vertical="center"/>
    </xf>
    <xf numFmtId="0" fontId="7" fillId="9" borderId="5" xfId="0" applyFont="1" applyFill="1" applyBorder="1" applyAlignment="1">
      <alignment horizontal="center" vertical="center"/>
    </xf>
    <xf numFmtId="0" fontId="7" fillId="9" borderId="0" xfId="0" applyFont="1" applyFill="1" applyBorder="1" applyAlignment="1">
      <alignment horizontal="center" vertical="center"/>
    </xf>
    <xf numFmtId="0" fontId="7" fillId="9" borderId="6" xfId="0" applyFont="1" applyFill="1" applyBorder="1" applyAlignment="1">
      <alignment horizontal="center" vertical="center"/>
    </xf>
    <xf numFmtId="0" fontId="4" fillId="2" borderId="14" xfId="0" applyFont="1" applyFill="1" applyBorder="1"/>
    <xf numFmtId="0" fontId="0" fillId="2" borderId="6" xfId="0" applyFont="1" applyFill="1" applyBorder="1" applyAlignment="1">
      <alignment horizontal="right"/>
    </xf>
    <xf numFmtId="0" fontId="0" fillId="2" borderId="5" xfId="0" applyFont="1" applyFill="1" applyBorder="1" applyAlignment="1">
      <alignment horizontal="right"/>
    </xf>
    <xf numFmtId="0" fontId="0" fillId="2" borderId="0" xfId="0" applyFont="1" applyFill="1" applyBorder="1" applyAlignment="1">
      <alignment horizontal="right"/>
    </xf>
    <xf numFmtId="0" fontId="0" fillId="2" borderId="5" xfId="0" applyFont="1" applyFill="1" applyBorder="1"/>
    <xf numFmtId="0" fontId="0" fillId="2" borderId="0" xfId="0" applyFont="1" applyFill="1" applyBorder="1"/>
    <xf numFmtId="1" fontId="0" fillId="2" borderId="6" xfId="0" applyNumberFormat="1" applyFont="1" applyFill="1" applyBorder="1"/>
    <xf numFmtId="1" fontId="0" fillId="3" borderId="9" xfId="0" applyNumberFormat="1" applyFont="1" applyFill="1" applyBorder="1" applyAlignment="1">
      <alignment horizontal="right"/>
    </xf>
    <xf numFmtId="1" fontId="0" fillId="4" borderId="9" xfId="0" applyNumberFormat="1" applyFont="1" applyFill="1" applyBorder="1" applyAlignment="1">
      <alignment horizontal="right"/>
    </xf>
    <xf numFmtId="9" fontId="5" fillId="3" borderId="8" xfId="6" applyFont="1" applyFill="1" applyBorder="1" applyAlignment="1" applyProtection="1">
      <alignment horizontal="right"/>
    </xf>
    <xf numFmtId="9" fontId="5" fillId="3" borderId="9" xfId="6" applyFont="1" applyFill="1" applyBorder="1" applyAlignment="1" applyProtection="1">
      <alignment horizontal="right"/>
    </xf>
    <xf numFmtId="9" fontId="5" fillId="3" borderId="8" xfId="6" applyFont="1" applyFill="1" applyBorder="1" applyAlignment="1" applyProtection="1"/>
    <xf numFmtId="9" fontId="5" fillId="3" borderId="9" xfId="6" applyFont="1" applyFill="1" applyBorder="1" applyAlignment="1" applyProtection="1"/>
    <xf numFmtId="165" fontId="0" fillId="5" borderId="8" xfId="0" applyNumberFormat="1" applyFill="1" applyBorder="1"/>
    <xf numFmtId="165" fontId="0" fillId="5" borderId="9" xfId="0" applyNumberFormat="1" applyFill="1" applyBorder="1"/>
    <xf numFmtId="165" fontId="5" fillId="7" borderId="9" xfId="2" applyNumberFormat="1" applyFont="1" applyFill="1" applyBorder="1" applyAlignment="1" applyProtection="1"/>
    <xf numFmtId="0" fontId="6" fillId="3" borderId="0" xfId="0" applyFont="1" applyFill="1" applyBorder="1"/>
    <xf numFmtId="165" fontId="5" fillId="3" borderId="0" xfId="0" applyNumberFormat="1" applyFont="1" applyFill="1" applyBorder="1"/>
    <xf numFmtId="0" fontId="0" fillId="3" borderId="0" xfId="0" applyFill="1" applyBorder="1"/>
    <xf numFmtId="0" fontId="7" fillId="9" borderId="0" xfId="0" applyFont="1" applyFill="1" applyBorder="1" applyAlignment="1">
      <alignment horizontal="center" vertical="center" wrapText="1"/>
    </xf>
    <xf numFmtId="0" fontId="7" fillId="9" borderId="0" xfId="0" applyFont="1" applyFill="1" applyAlignment="1">
      <alignment horizontal="center" vertical="center"/>
    </xf>
    <xf numFmtId="0" fontId="4" fillId="2" borderId="0" xfId="0" applyFont="1" applyFill="1" applyBorder="1"/>
    <xf numFmtId="0" fontId="0" fillId="2" borderId="8" xfId="0" applyFont="1" applyFill="1" applyBorder="1" applyAlignment="1">
      <alignment horizontal="right"/>
    </xf>
    <xf numFmtId="1" fontId="0" fillId="2" borderId="8" xfId="2" applyNumberFormat="1" applyFont="1" applyFill="1" applyBorder="1" applyAlignment="1" applyProtection="1">
      <alignment horizontal="right"/>
    </xf>
    <xf numFmtId="0" fontId="4" fillId="3" borderId="9" xfId="0" applyFont="1" applyFill="1" applyBorder="1"/>
    <xf numFmtId="1" fontId="0" fillId="3" borderId="8" xfId="0" applyNumberFormat="1" applyFont="1" applyFill="1" applyBorder="1" applyAlignment="1">
      <alignment horizontal="right"/>
    </xf>
    <xf numFmtId="0" fontId="6" fillId="4" borderId="9" xfId="0" applyFont="1" applyFill="1" applyBorder="1"/>
    <xf numFmtId="1" fontId="0" fillId="4" borderId="8" xfId="0" applyNumberFormat="1" applyFont="1" applyFill="1" applyBorder="1" applyAlignment="1">
      <alignment horizontal="right"/>
    </xf>
    <xf numFmtId="0" fontId="4" fillId="5" borderId="9" xfId="0" applyFont="1" applyFill="1" applyBorder="1"/>
    <xf numFmtId="0" fontId="4" fillId="6" borderId="9" xfId="0" applyFont="1" applyFill="1" applyBorder="1"/>
    <xf numFmtId="0" fontId="5" fillId="7" borderId="9" xfId="0" applyFont="1" applyFill="1" applyBorder="1"/>
    <xf numFmtId="0" fontId="6" fillId="8" borderId="12" xfId="0" applyFont="1" applyFill="1" applyBorder="1"/>
    <xf numFmtId="0" fontId="0" fillId="0" borderId="0" xfId="0" applyBorder="1"/>
    <xf numFmtId="0" fontId="0" fillId="3" borderId="8" xfId="0" applyFill="1" applyBorder="1" applyAlignment="1">
      <alignment horizontal="right"/>
    </xf>
    <xf numFmtId="1" fontId="0" fillId="3" borderId="8" xfId="0" applyNumberFormat="1" applyFill="1" applyBorder="1" applyAlignment="1">
      <alignment horizontal="right"/>
    </xf>
    <xf numFmtId="1" fontId="0" fillId="4" borderId="8" xfId="2" applyNumberFormat="1" applyFont="1" applyFill="1" applyBorder="1" applyAlignment="1" applyProtection="1">
      <alignment horizontal="right"/>
    </xf>
    <xf numFmtId="165" fontId="0" fillId="0" borderId="0" xfId="0" applyNumberFormat="1"/>
    <xf numFmtId="165" fontId="5" fillId="5" borderId="8" xfId="0" applyNumberFormat="1" applyFont="1" applyFill="1" applyBorder="1" applyAlignment="1">
      <alignment horizontal="right"/>
    </xf>
    <xf numFmtId="165" fontId="0" fillId="6" borderId="8" xfId="2" applyNumberFormat="1" applyFont="1" applyFill="1" applyBorder="1" applyAlignment="1" applyProtection="1">
      <alignment horizontal="center"/>
    </xf>
    <xf numFmtId="165" fontId="0" fillId="3" borderId="8" xfId="2" applyNumberFormat="1" applyFont="1" applyFill="1" applyBorder="1" applyAlignment="1" applyProtection="1">
      <alignment horizontal="center"/>
    </xf>
    <xf numFmtId="165" fontId="0" fillId="7" borderId="8" xfId="2" applyNumberFormat="1" applyFont="1" applyFill="1" applyBorder="1" applyAlignment="1" applyProtection="1">
      <alignment horizontal="center"/>
    </xf>
    <xf numFmtId="165" fontId="5" fillId="3" borderId="8" xfId="0" applyNumberFormat="1" applyFont="1" applyFill="1" applyBorder="1" applyAlignment="1">
      <alignment horizontal="center"/>
    </xf>
    <xf numFmtId="165" fontId="0" fillId="3" borderId="8" xfId="6" applyNumberFormat="1" applyFont="1" applyFill="1" applyBorder="1" applyAlignment="1" applyProtection="1"/>
    <xf numFmtId="0" fontId="4" fillId="2" borderId="15" xfId="0" applyFont="1" applyFill="1" applyBorder="1"/>
    <xf numFmtId="0" fontId="0" fillId="2" borderId="16" xfId="0" applyFont="1" applyFill="1" applyBorder="1" applyAlignment="1">
      <alignment horizontal="right"/>
    </xf>
    <xf numFmtId="1" fontId="0" fillId="2" borderId="16" xfId="2" applyNumberFormat="1" applyFont="1" applyFill="1" applyBorder="1" applyAlignment="1" applyProtection="1">
      <alignment horizontal="right"/>
    </xf>
    <xf numFmtId="1" fontId="0" fillId="2" borderId="17" xfId="2" applyNumberFormat="1" applyFont="1" applyFill="1" applyBorder="1" applyAlignment="1" applyProtection="1">
      <alignment horizontal="right"/>
    </xf>
    <xf numFmtId="0" fontId="4" fillId="3" borderId="18" xfId="0" applyFont="1" applyFill="1" applyBorder="1"/>
    <xf numFmtId="1" fontId="0" fillId="3" borderId="19" xfId="2" applyNumberFormat="1" applyFont="1" applyFill="1" applyBorder="1" applyAlignment="1" applyProtection="1">
      <alignment horizontal="right"/>
    </xf>
    <xf numFmtId="0" fontId="6" fillId="4" borderId="18" xfId="0" applyFont="1" applyFill="1" applyBorder="1"/>
    <xf numFmtId="0" fontId="6" fillId="4" borderId="8" xfId="0" applyFont="1" applyFill="1" applyBorder="1"/>
    <xf numFmtId="1" fontId="6" fillId="4" borderId="19" xfId="0" applyNumberFormat="1" applyFont="1" applyFill="1" applyBorder="1"/>
    <xf numFmtId="9" fontId="0" fillId="3" borderId="19" xfId="6" applyFont="1" applyFill="1" applyBorder="1" applyAlignment="1" applyProtection="1">
      <alignment horizontal="right"/>
    </xf>
    <xf numFmtId="0" fontId="4" fillId="5" borderId="18" xfId="0" applyFont="1" applyFill="1" applyBorder="1"/>
    <xf numFmtId="165" fontId="0" fillId="5" borderId="5" xfId="2" applyNumberFormat="1" applyFont="1" applyFill="1" applyBorder="1" applyAlignment="1" applyProtection="1"/>
    <xf numFmtId="165" fontId="0" fillId="3" borderId="19" xfId="2" applyNumberFormat="1" applyFont="1" applyFill="1" applyBorder="1" applyAlignment="1" applyProtection="1">
      <alignment horizontal="center"/>
    </xf>
    <xf numFmtId="165" fontId="5" fillId="3" borderId="19" xfId="0" applyNumberFormat="1" applyFont="1" applyFill="1" applyBorder="1" applyAlignment="1">
      <alignment horizontal="center"/>
    </xf>
    <xf numFmtId="0" fontId="4" fillId="6" borderId="18" xfId="0" applyFont="1" applyFill="1" applyBorder="1"/>
    <xf numFmtId="165" fontId="0" fillId="6" borderId="19" xfId="2" applyNumberFormat="1" applyFont="1" applyFill="1" applyBorder="1" applyAlignment="1" applyProtection="1">
      <alignment horizontal="center"/>
    </xf>
    <xf numFmtId="165" fontId="5" fillId="3" borderId="0" xfId="0" applyNumberFormat="1" applyFont="1" applyFill="1" applyBorder="1" applyAlignment="1">
      <alignment horizontal="center"/>
    </xf>
    <xf numFmtId="165" fontId="5" fillId="3" borderId="5" xfId="0" applyNumberFormat="1" applyFont="1" applyFill="1" applyBorder="1" applyAlignment="1">
      <alignment horizontal="center"/>
    </xf>
    <xf numFmtId="0" fontId="5" fillId="7" borderId="18" xfId="0" applyFont="1" applyFill="1" applyBorder="1"/>
    <xf numFmtId="165" fontId="0" fillId="7" borderId="8" xfId="0" applyNumberFormat="1" applyFill="1" applyBorder="1"/>
    <xf numFmtId="165" fontId="0" fillId="7" borderId="19" xfId="0" applyNumberFormat="1" applyFill="1" applyBorder="1"/>
    <xf numFmtId="165" fontId="5" fillId="3" borderId="5" xfId="0" applyNumberFormat="1" applyFont="1" applyFill="1" applyBorder="1"/>
    <xf numFmtId="0" fontId="6" fillId="8" borderId="20" xfId="0" applyFont="1" applyFill="1" applyBorder="1"/>
    <xf numFmtId="165" fontId="5" fillId="8" borderId="0" xfId="0" applyNumberFormat="1" applyFont="1" applyFill="1" applyBorder="1"/>
    <xf numFmtId="165" fontId="5" fillId="8" borderId="21" xfId="0" applyNumberFormat="1" applyFont="1" applyFill="1" applyBorder="1"/>
    <xf numFmtId="0" fontId="7" fillId="9" borderId="22" xfId="0" applyFont="1" applyFill="1" applyBorder="1" applyAlignment="1">
      <alignment horizontal="center" vertical="center"/>
    </xf>
    <xf numFmtId="0" fontId="0" fillId="2" borderId="9" xfId="0" applyFont="1" applyFill="1" applyBorder="1" applyAlignment="1">
      <alignment horizontal="right"/>
    </xf>
    <xf numFmtId="1" fontId="0" fillId="2" borderId="9" xfId="2" applyNumberFormat="1" applyFont="1" applyFill="1" applyBorder="1" applyAlignment="1" applyProtection="1">
      <alignment horizontal="right"/>
    </xf>
    <xf numFmtId="1" fontId="0" fillId="2" borderId="8" xfId="0" applyNumberFormat="1" applyFont="1" applyFill="1" applyBorder="1"/>
    <xf numFmtId="0" fontId="0" fillId="3" borderId="7" xfId="0" applyFont="1" applyFill="1" applyBorder="1" applyAlignment="1">
      <alignment horizontal="right"/>
    </xf>
    <xf numFmtId="1" fontId="0" fillId="3" borderId="8" xfId="0" applyNumberFormat="1" applyFont="1" applyFill="1" applyBorder="1"/>
    <xf numFmtId="1" fontId="0" fillId="3" borderId="8" xfId="2" applyNumberFormat="1" applyFont="1" applyFill="1" applyBorder="1" applyAlignment="1" applyProtection="1">
      <alignment horizontal="right"/>
    </xf>
    <xf numFmtId="1" fontId="0" fillId="4" borderId="8" xfId="0" applyNumberFormat="1" applyFont="1" applyFill="1" applyBorder="1"/>
    <xf numFmtId="9" fontId="0" fillId="3" borderId="0" xfId="6" applyFont="1" applyFill="1" applyBorder="1" applyAlignment="1" applyProtection="1">
      <alignment horizontal="right"/>
    </xf>
    <xf numFmtId="165" fontId="0" fillId="5" borderId="8" xfId="2" applyNumberFormat="1" applyFont="1" applyFill="1" applyBorder="1" applyAlignment="1" applyProtection="1">
      <alignment horizontal="right"/>
    </xf>
    <xf numFmtId="165" fontId="0" fillId="5" borderId="9" xfId="2" applyNumberFormat="1" applyFont="1" applyFill="1" applyBorder="1" applyAlignment="1" applyProtection="1">
      <alignment horizontal="right"/>
    </xf>
    <xf numFmtId="165" fontId="0" fillId="5" borderId="7" xfId="2" applyNumberFormat="1" applyFont="1" applyFill="1" applyBorder="1" applyAlignment="1" applyProtection="1">
      <alignment horizontal="right"/>
    </xf>
    <xf numFmtId="165" fontId="0" fillId="3" borderId="9" xfId="2" applyNumberFormat="1" applyFont="1" applyFill="1" applyBorder="1" applyAlignment="1" applyProtection="1">
      <alignment horizontal="center"/>
    </xf>
    <xf numFmtId="165" fontId="0" fillId="3" borderId="7" xfId="2" applyNumberFormat="1" applyFont="1" applyFill="1" applyBorder="1" applyAlignment="1" applyProtection="1">
      <alignment horizontal="center"/>
    </xf>
    <xf numFmtId="165" fontId="4" fillId="3" borderId="8" xfId="2" applyNumberFormat="1" applyFont="1" applyFill="1" applyBorder="1" applyAlignment="1" applyProtection="1"/>
    <xf numFmtId="165" fontId="0" fillId="6" borderId="9" xfId="2" applyNumberFormat="1" applyFont="1" applyFill="1" applyBorder="1" applyAlignment="1" applyProtection="1">
      <alignment horizontal="center"/>
    </xf>
    <xf numFmtId="165" fontId="0" fillId="6" borderId="7" xfId="2" applyNumberFormat="1" applyFont="1" applyFill="1" applyBorder="1" applyAlignment="1" applyProtection="1">
      <alignment horizontal="center"/>
    </xf>
    <xf numFmtId="165" fontId="4" fillId="6" borderId="8" xfId="2" applyNumberFormat="1" applyFont="1" applyFill="1" applyBorder="1" applyAlignment="1" applyProtection="1"/>
    <xf numFmtId="165" fontId="5" fillId="3" borderId="9" xfId="0" applyNumberFormat="1" applyFont="1" applyFill="1" applyBorder="1" applyAlignment="1">
      <alignment horizontal="center"/>
    </xf>
    <xf numFmtId="165" fontId="5" fillId="7" borderId="7" xfId="0" applyNumberFormat="1" applyFont="1" applyFill="1" applyBorder="1"/>
    <xf numFmtId="165" fontId="0" fillId="3" borderId="0" xfId="0" applyNumberFormat="1" applyFill="1" applyBorder="1"/>
    <xf numFmtId="0" fontId="6" fillId="8" borderId="9" xfId="0" applyFont="1" applyFill="1" applyBorder="1"/>
    <xf numFmtId="165" fontId="6" fillId="8" borderId="9" xfId="2" applyNumberFormat="1" applyFont="1" applyFill="1" applyBorder="1" applyAlignment="1" applyProtection="1"/>
    <xf numFmtId="165" fontId="6" fillId="8" borderId="8" xfId="2" applyNumberFormat="1" applyFont="1" applyFill="1" applyBorder="1" applyAlignment="1" applyProtection="1"/>
    <xf numFmtId="165" fontId="6" fillId="8" borderId="7" xfId="2" applyNumberFormat="1" applyFont="1" applyFill="1" applyBorder="1" applyAlignment="1" applyProtection="1"/>
    <xf numFmtId="0" fontId="4" fillId="3" borderId="8" xfId="0" applyFont="1" applyFill="1" applyBorder="1"/>
    <xf numFmtId="1" fontId="0" fillId="3" borderId="8" xfId="0" applyNumberFormat="1" applyFill="1" applyBorder="1"/>
    <xf numFmtId="0" fontId="4" fillId="3" borderId="11" xfId="0" applyFont="1" applyFill="1" applyBorder="1"/>
    <xf numFmtId="0" fontId="5" fillId="0" borderId="0" xfId="0" applyFont="1" applyBorder="1"/>
    <xf numFmtId="165" fontId="0" fillId="0" borderId="0" xfId="0" applyNumberFormat="1" applyBorder="1"/>
    <xf numFmtId="0" fontId="0" fillId="0" borderId="0" xfId="0" applyFont="1" applyBorder="1"/>
    <xf numFmtId="0" fontId="0" fillId="0" borderId="0" xfId="0" applyFont="1"/>
    <xf numFmtId="0" fontId="7" fillId="9" borderId="21" xfId="0" applyFont="1" applyFill="1" applyBorder="1" applyAlignment="1">
      <alignment horizontal="center" vertical="center"/>
    </xf>
    <xf numFmtId="1" fontId="0" fillId="2" borderId="0" xfId="0" applyNumberFormat="1" applyFont="1" applyFill="1"/>
    <xf numFmtId="0" fontId="0" fillId="3" borderId="8" xfId="0" applyFont="1" applyFill="1" applyBorder="1"/>
    <xf numFmtId="0" fontId="0" fillId="3" borderId="9" xfId="0" applyFont="1" applyFill="1" applyBorder="1"/>
    <xf numFmtId="0" fontId="0" fillId="3" borderId="0" xfId="0" applyNumberFormat="1" applyFont="1" applyFill="1"/>
    <xf numFmtId="1" fontId="0" fillId="4" borderId="0" xfId="0" applyNumberFormat="1" applyFont="1" applyFill="1"/>
    <xf numFmtId="9" fontId="0" fillId="3" borderId="0" xfId="6" applyNumberFormat="1" applyFont="1" applyFill="1" applyBorder="1" applyAlignment="1" applyProtection="1"/>
    <xf numFmtId="9" fontId="0" fillId="3" borderId="9" xfId="6" applyNumberFormat="1" applyFont="1" applyFill="1" applyBorder="1" applyAlignment="1" applyProtection="1"/>
    <xf numFmtId="9" fontId="0" fillId="3" borderId="21" xfId="6" applyNumberFormat="1" applyFont="1" applyFill="1" applyBorder="1" applyAlignment="1" applyProtection="1"/>
    <xf numFmtId="9" fontId="0" fillId="3" borderId="11" xfId="6" applyNumberFormat="1" applyFont="1" applyFill="1" applyBorder="1" applyAlignment="1" applyProtection="1"/>
    <xf numFmtId="165" fontId="0" fillId="5" borderId="7" xfId="0" applyNumberFormat="1" applyFill="1" applyBorder="1"/>
    <xf numFmtId="165" fontId="0" fillId="5" borderId="23" xfId="0" applyNumberFormat="1" applyFill="1" applyBorder="1"/>
    <xf numFmtId="165" fontId="4" fillId="3" borderId="9" xfId="2" applyNumberFormat="1" applyFont="1" applyFill="1" applyBorder="1" applyAlignment="1" applyProtection="1"/>
    <xf numFmtId="165" fontId="4" fillId="3" borderId="7" xfId="2" applyNumberFormat="1" applyFont="1" applyFill="1" applyBorder="1" applyAlignment="1" applyProtection="1"/>
    <xf numFmtId="165" fontId="4" fillId="3" borderId="23" xfId="2" applyNumberFormat="1" applyFont="1" applyFill="1" applyBorder="1" applyAlignment="1" applyProtection="1"/>
    <xf numFmtId="165" fontId="6" fillId="6" borderId="8" xfId="2" applyNumberFormat="1" applyFont="1" applyFill="1" applyBorder="1" applyAlignment="1" applyProtection="1"/>
    <xf numFmtId="165" fontId="5" fillId="6" borderId="7" xfId="0" applyNumberFormat="1" applyFont="1" applyFill="1" applyBorder="1"/>
    <xf numFmtId="165" fontId="4" fillId="6" borderId="9" xfId="2" applyNumberFormat="1" applyFont="1" applyFill="1" applyBorder="1" applyAlignment="1" applyProtection="1"/>
    <xf numFmtId="165" fontId="4" fillId="6" borderId="7" xfId="2" applyNumberFormat="1" applyFont="1" applyFill="1" applyBorder="1" applyAlignment="1" applyProtection="1"/>
    <xf numFmtId="165" fontId="4" fillId="6" borderId="23" xfId="2" applyNumberFormat="1" applyFont="1" applyFill="1" applyBorder="1" applyAlignment="1" applyProtection="1"/>
    <xf numFmtId="165" fontId="0" fillId="0" borderId="0" xfId="2" applyNumberFormat="1" applyFont="1" applyFill="1" applyBorder="1" applyAlignment="1" applyProtection="1"/>
    <xf numFmtId="165" fontId="4" fillId="3" borderId="7" xfId="0" applyNumberFormat="1" applyFont="1" applyFill="1" applyBorder="1"/>
    <xf numFmtId="165" fontId="4" fillId="3" borderId="8" xfId="0" applyNumberFormat="1" applyFont="1" applyFill="1" applyBorder="1"/>
    <xf numFmtId="165" fontId="5" fillId="7" borderId="7" xfId="2" applyNumberFormat="1" applyFont="1" applyFill="1" applyBorder="1" applyAlignment="1" applyProtection="1"/>
    <xf numFmtId="165" fontId="4" fillId="3" borderId="9" xfId="0" applyNumberFormat="1" applyFont="1" applyFill="1" applyBorder="1"/>
    <xf numFmtId="165" fontId="6" fillId="8" borderId="11" xfId="2" applyNumberFormat="1" applyFont="1" applyFill="1" applyBorder="1" applyAlignment="1" applyProtection="1"/>
    <xf numFmtId="165" fontId="6" fillId="8" borderId="10" xfId="0" applyNumberFormat="1" applyFont="1" applyFill="1" applyBorder="1"/>
    <xf numFmtId="165" fontId="6" fillId="8" borderId="11" xfId="0" applyNumberFormat="1" applyFont="1" applyFill="1" applyBorder="1"/>
    <xf numFmtId="165" fontId="6" fillId="8" borderId="12" xfId="0" applyNumberFormat="1" applyFont="1" applyFill="1" applyBorder="1"/>
    <xf numFmtId="165" fontId="6" fillId="8" borderId="10" xfId="2" applyNumberFormat="1" applyFont="1" applyFill="1" applyBorder="1" applyAlignment="1" applyProtection="1"/>
    <xf numFmtId="165" fontId="0" fillId="3" borderId="0" xfId="0" applyNumberFormat="1" applyFont="1" applyFill="1" applyBorder="1"/>
    <xf numFmtId="0" fontId="0" fillId="3" borderId="0" xfId="0" applyNumberFormat="1" applyFont="1" applyFill="1" applyBorder="1"/>
    <xf numFmtId="165" fontId="5" fillId="0" borderId="0" xfId="0" applyNumberFormat="1" applyFont="1" applyBorder="1"/>
    <xf numFmtId="0" fontId="0" fillId="0" borderId="0" xfId="0" applyFill="1" applyBorder="1"/>
    <xf numFmtId="0" fontId="7" fillId="9" borderId="21" xfId="0" applyFont="1" applyFill="1" applyBorder="1" applyAlignment="1">
      <alignment horizontal="center" vertical="center" wrapText="1"/>
    </xf>
    <xf numFmtId="0" fontId="4" fillId="11" borderId="8" xfId="0" applyFont="1" applyFill="1" applyBorder="1"/>
    <xf numFmtId="0" fontId="0" fillId="11" borderId="8" xfId="0" applyFont="1" applyFill="1" applyBorder="1" applyAlignment="1">
      <alignment horizontal="right"/>
    </xf>
    <xf numFmtId="0" fontId="0" fillId="11" borderId="8" xfId="0" applyFont="1" applyFill="1" applyBorder="1"/>
    <xf numFmtId="167" fontId="0" fillId="11" borderId="8" xfId="1" applyNumberFormat="1" applyFont="1" applyFill="1" applyBorder="1" applyAlignment="1" applyProtection="1"/>
    <xf numFmtId="0" fontId="5" fillId="4" borderId="8" xfId="0" applyFont="1" applyFill="1" applyBorder="1" applyAlignment="1">
      <alignment horizontal="right"/>
    </xf>
    <xf numFmtId="1" fontId="5" fillId="4" borderId="8" xfId="0" applyNumberFormat="1" applyFont="1" applyFill="1" applyBorder="1" applyAlignment="1">
      <alignment horizontal="right"/>
    </xf>
    <xf numFmtId="165" fontId="0" fillId="0" borderId="0" xfId="0" applyNumberFormat="1" applyFill="1" applyBorder="1"/>
    <xf numFmtId="0" fontId="4" fillId="5" borderId="8" xfId="0" applyFont="1" applyFill="1" applyBorder="1"/>
    <xf numFmtId="0" fontId="4" fillId="6" borderId="8" xfId="0" applyFont="1" applyFill="1" applyBorder="1"/>
    <xf numFmtId="165" fontId="0" fillId="6" borderId="8" xfId="2" applyNumberFormat="1" applyFont="1" applyFill="1" applyBorder="1" applyAlignment="1" applyProtection="1"/>
    <xf numFmtId="0" fontId="5" fillId="7" borderId="8" xfId="0" applyFont="1" applyFill="1" applyBorder="1"/>
    <xf numFmtId="165" fontId="5" fillId="7" borderId="8" xfId="0" applyNumberFormat="1" applyFont="1" applyFill="1" applyBorder="1" applyAlignment="1">
      <alignment horizontal="center"/>
    </xf>
    <xf numFmtId="165" fontId="0" fillId="7" borderId="8" xfId="2" applyNumberFormat="1" applyFont="1" applyFill="1" applyBorder="1" applyAlignment="1" applyProtection="1"/>
    <xf numFmtId="0" fontId="6" fillId="8" borderId="11" xfId="0" applyFont="1" applyFill="1" applyBorder="1"/>
    <xf numFmtId="165" fontId="5" fillId="8" borderId="11" xfId="0" applyNumberFormat="1" applyFont="1" applyFill="1" applyBorder="1" applyAlignment="1">
      <alignment horizontal="center"/>
    </xf>
    <xf numFmtId="165" fontId="5" fillId="8" borderId="11" xfId="2" applyNumberFormat="1" applyFont="1" applyFill="1" applyBorder="1" applyAlignment="1" applyProtection="1"/>
    <xf numFmtId="0" fontId="4" fillId="3" borderId="0" xfId="0" applyFont="1" applyFill="1" applyBorder="1"/>
    <xf numFmtId="165" fontId="0" fillId="3" borderId="0" xfId="2" applyNumberFormat="1" applyFont="1" applyFill="1" applyBorder="1" applyAlignment="1" applyProtection="1"/>
    <xf numFmtId="0" fontId="7" fillId="10" borderId="5" xfId="0" applyFont="1" applyFill="1" applyBorder="1" applyAlignment="1">
      <alignment horizontal="center" vertical="center"/>
    </xf>
    <xf numFmtId="0" fontId="7" fillId="9" borderId="24" xfId="0" applyFont="1" applyFill="1" applyBorder="1" applyAlignment="1">
      <alignment horizontal="center" vertical="center" wrapText="1"/>
    </xf>
    <xf numFmtId="0" fontId="7" fillId="10" borderId="22" xfId="0" applyFont="1" applyFill="1" applyBorder="1" applyAlignment="1">
      <alignment horizontal="center" vertical="center"/>
    </xf>
    <xf numFmtId="0" fontId="7" fillId="9" borderId="25" xfId="0" applyFont="1" applyFill="1" applyBorder="1" applyAlignment="1">
      <alignment horizontal="center" vertical="center"/>
    </xf>
    <xf numFmtId="0" fontId="4" fillId="11" borderId="23" xfId="0" applyFont="1" applyFill="1" applyBorder="1"/>
    <xf numFmtId="167" fontId="0" fillId="11" borderId="9" xfId="1" applyNumberFormat="1" applyFont="1" applyFill="1" applyBorder="1" applyAlignment="1" applyProtection="1"/>
    <xf numFmtId="0" fontId="4" fillId="3" borderId="23" xfId="0" applyFont="1" applyFill="1" applyBorder="1"/>
    <xf numFmtId="0" fontId="6" fillId="4" borderId="23" xfId="0" applyFont="1" applyFill="1" applyBorder="1"/>
    <xf numFmtId="1" fontId="5" fillId="4" borderId="9" xfId="0" applyNumberFormat="1" applyFont="1" applyFill="1" applyBorder="1" applyAlignment="1">
      <alignment horizontal="right"/>
    </xf>
    <xf numFmtId="0" fontId="4" fillId="5" borderId="23" xfId="0" applyFont="1" applyFill="1" applyBorder="1"/>
    <xf numFmtId="0" fontId="4" fillId="6" borderId="23" xfId="0" applyFont="1" applyFill="1" applyBorder="1"/>
    <xf numFmtId="165" fontId="0" fillId="6" borderId="9" xfId="2" applyNumberFormat="1" applyFont="1" applyFill="1" applyBorder="1" applyAlignment="1" applyProtection="1"/>
    <xf numFmtId="0" fontId="5" fillId="7" borderId="23" xfId="0" applyFont="1" applyFill="1" applyBorder="1"/>
    <xf numFmtId="165" fontId="0" fillId="7" borderId="9" xfId="2" applyNumberFormat="1" applyFont="1" applyFill="1" applyBorder="1" applyAlignment="1" applyProtection="1"/>
    <xf numFmtId="0" fontId="6" fillId="8" borderId="26" xfId="0" applyFont="1" applyFill="1" applyBorder="1"/>
    <xf numFmtId="165" fontId="5" fillId="8" borderId="12" xfId="2" applyNumberFormat="1" applyFont="1" applyFill="1" applyBorder="1" applyAlignment="1" applyProtection="1"/>
    <xf numFmtId="165" fontId="0" fillId="6" borderId="8" xfId="3" applyNumberFormat="1" applyFont="1" applyFill="1" applyBorder="1" applyAlignment="1" applyProtection="1"/>
    <xf numFmtId="9" fontId="0" fillId="0" borderId="0" xfId="6" applyFont="1" applyFill="1" applyBorder="1" applyAlignment="1" applyProtection="1"/>
    <xf numFmtId="0" fontId="4" fillId="3" borderId="26" xfId="0" applyFont="1" applyFill="1" applyBorder="1"/>
    <xf numFmtId="165" fontId="5" fillId="3" borderId="11" xfId="0" applyNumberFormat="1" applyFont="1" applyFill="1" applyBorder="1" applyAlignment="1">
      <alignment horizontal="center"/>
    </xf>
    <xf numFmtId="165" fontId="0" fillId="3" borderId="12" xfId="2" applyNumberFormat="1" applyFont="1" applyFill="1" applyBorder="1" applyAlignment="1" applyProtection="1"/>
    <xf numFmtId="0" fontId="7" fillId="9" borderId="8" xfId="0" applyFont="1" applyFill="1" applyBorder="1" applyAlignment="1">
      <alignment horizontal="center" vertical="center" wrapText="1"/>
    </xf>
    <xf numFmtId="0" fontId="7" fillId="9" borderId="8" xfId="0" applyFont="1" applyFill="1" applyBorder="1" applyAlignment="1">
      <alignment horizontal="center" vertical="center"/>
    </xf>
    <xf numFmtId="0" fontId="6" fillId="8" borderId="8" xfId="0" applyFont="1" applyFill="1" applyBorder="1"/>
    <xf numFmtId="165" fontId="5" fillId="8" borderId="8" xfId="0" applyNumberFormat="1" applyFont="1" applyFill="1" applyBorder="1" applyAlignment="1">
      <alignment horizontal="center"/>
    </xf>
    <xf numFmtId="165" fontId="5" fillId="8" borderId="8" xfId="2" applyNumberFormat="1" applyFont="1" applyFill="1" applyBorder="1" applyAlignment="1" applyProtection="1"/>
    <xf numFmtId="0" fontId="8" fillId="9" borderId="27" xfId="0" applyFont="1" applyFill="1" applyBorder="1" applyAlignment="1">
      <alignment horizontal="center"/>
    </xf>
    <xf numFmtId="0" fontId="0" fillId="3" borderId="28" xfId="0" applyFont="1" applyFill="1" applyBorder="1" applyAlignment="1">
      <alignment horizontal="right"/>
    </xf>
    <xf numFmtId="9" fontId="0" fillId="3" borderId="28" xfId="12" applyFont="1" applyFill="1" applyBorder="1" applyAlignment="1" applyProtection="1">
      <alignment horizontal="right"/>
    </xf>
    <xf numFmtId="9" fontId="0" fillId="3" borderId="9" xfId="9" applyFont="1" applyFill="1" applyBorder="1" applyAlignment="1" applyProtection="1">
      <alignment horizontal="right"/>
    </xf>
    <xf numFmtId="9" fontId="0" fillId="3" borderId="8" xfId="9" applyFont="1" applyFill="1" applyBorder="1" applyAlignment="1" applyProtection="1">
      <alignment horizontal="right"/>
    </xf>
    <xf numFmtId="165" fontId="0" fillId="6" borderId="9" xfId="3" applyNumberFormat="1" applyFont="1" applyFill="1" applyBorder="1" applyAlignment="1" applyProtection="1"/>
    <xf numFmtId="0" fontId="7" fillId="9" borderId="29" xfId="0" applyFont="1" applyFill="1" applyBorder="1" applyAlignment="1">
      <alignment horizontal="center" vertical="center" wrapText="1"/>
    </xf>
    <xf numFmtId="0" fontId="8" fillId="9" borderId="30" xfId="0" applyFont="1" applyFill="1" applyBorder="1" applyAlignment="1">
      <alignment horizontal="center"/>
    </xf>
    <xf numFmtId="0" fontId="7" fillId="9" borderId="31" xfId="0" applyFont="1" applyFill="1" applyBorder="1" applyAlignment="1">
      <alignment horizontal="center" vertical="center"/>
    </xf>
    <xf numFmtId="0" fontId="7" fillId="9" borderId="32" xfId="0" applyFont="1" applyFill="1" applyBorder="1" applyAlignment="1">
      <alignment horizontal="center" vertical="center"/>
    </xf>
    <xf numFmtId="0" fontId="4" fillId="11" borderId="33" xfId="0" applyFont="1" applyFill="1" applyBorder="1"/>
    <xf numFmtId="0" fontId="0" fillId="11" borderId="34" xfId="0" applyFont="1" applyFill="1" applyBorder="1"/>
    <xf numFmtId="0" fontId="0" fillId="11" borderId="16" xfId="0" applyFont="1" applyFill="1" applyBorder="1"/>
    <xf numFmtId="167" fontId="0" fillId="11" borderId="17" xfId="1" applyNumberFormat="1" applyFont="1" applyFill="1" applyBorder="1" applyAlignment="1" applyProtection="1"/>
    <xf numFmtId="0" fontId="4" fillId="3" borderId="33" xfId="0" applyFont="1" applyFill="1" applyBorder="1"/>
    <xf numFmtId="1" fontId="0" fillId="3" borderId="19" xfId="0" applyNumberFormat="1" applyFont="1" applyFill="1" applyBorder="1" applyAlignment="1">
      <alignment horizontal="right"/>
    </xf>
    <xf numFmtId="0" fontId="6" fillId="4" borderId="33" xfId="0" applyFont="1" applyFill="1" applyBorder="1"/>
    <xf numFmtId="0" fontId="5" fillId="4" borderId="28" xfId="0" applyFont="1" applyFill="1" applyBorder="1" applyAlignment="1">
      <alignment horizontal="right"/>
    </xf>
    <xf numFmtId="1" fontId="5" fillId="4" borderId="19" xfId="0" applyNumberFormat="1" applyFont="1" applyFill="1" applyBorder="1" applyAlignment="1">
      <alignment horizontal="right"/>
    </xf>
    <xf numFmtId="9" fontId="0" fillId="3" borderId="19" xfId="6" applyNumberFormat="1" applyFont="1" applyFill="1" applyBorder="1" applyAlignment="1" applyProtection="1"/>
    <xf numFmtId="0" fontId="4" fillId="5" borderId="33" xfId="0" applyFont="1" applyFill="1" applyBorder="1"/>
    <xf numFmtId="165" fontId="0" fillId="5" borderId="28" xfId="0" applyNumberFormat="1" applyFill="1" applyBorder="1"/>
    <xf numFmtId="165" fontId="0" fillId="5" borderId="19" xfId="0" applyNumberFormat="1" applyFill="1" applyBorder="1"/>
    <xf numFmtId="165" fontId="0" fillId="3" borderId="28" xfId="2" applyNumberFormat="1" applyFont="1" applyFill="1" applyBorder="1" applyAlignment="1" applyProtection="1">
      <alignment horizontal="center"/>
    </xf>
    <xf numFmtId="165" fontId="0" fillId="3" borderId="19" xfId="2" applyNumberFormat="1" applyFont="1" applyFill="1" applyBorder="1" applyAlignment="1" applyProtection="1"/>
    <xf numFmtId="0" fontId="4" fillId="6" borderId="33" xfId="0" applyFont="1" applyFill="1" applyBorder="1"/>
    <xf numFmtId="165" fontId="0" fillId="6" borderId="18" xfId="3" applyNumberFormat="1" applyFont="1" applyFill="1" applyBorder="1" applyAlignment="1" applyProtection="1"/>
    <xf numFmtId="165" fontId="0" fillId="6" borderId="19" xfId="2" applyNumberFormat="1" applyFont="1" applyFill="1" applyBorder="1" applyAlignment="1" applyProtection="1"/>
    <xf numFmtId="0" fontId="5" fillId="7" borderId="33" xfId="0" applyFont="1" applyFill="1" applyBorder="1"/>
    <xf numFmtId="165" fontId="5" fillId="7" borderId="28" xfId="0" applyNumberFormat="1" applyFont="1" applyFill="1" applyBorder="1" applyAlignment="1">
      <alignment horizontal="center"/>
    </xf>
    <xf numFmtId="165" fontId="0" fillId="7" borderId="19" xfId="2" applyNumberFormat="1" applyFont="1" applyFill="1" applyBorder="1" applyAlignment="1" applyProtection="1"/>
    <xf numFmtId="165" fontId="5" fillId="3" borderId="28" xfId="0" applyNumberFormat="1" applyFont="1" applyFill="1" applyBorder="1" applyAlignment="1">
      <alignment horizontal="center"/>
    </xf>
    <xf numFmtId="0" fontId="6" fillId="8" borderId="35" xfId="0" applyFont="1" applyFill="1" applyBorder="1"/>
    <xf numFmtId="165" fontId="5" fillId="8" borderId="36" xfId="0" applyNumberFormat="1" applyFont="1" applyFill="1" applyBorder="1" applyAlignment="1">
      <alignment horizontal="center"/>
    </xf>
    <xf numFmtId="165" fontId="5" fillId="8" borderId="37" xfId="0" applyNumberFormat="1" applyFont="1" applyFill="1" applyBorder="1" applyAlignment="1">
      <alignment horizontal="center"/>
    </xf>
    <xf numFmtId="165" fontId="5" fillId="8" borderId="38" xfId="2" applyNumberFormat="1" applyFont="1" applyFill="1" applyBorder="1" applyAlignment="1" applyProtection="1"/>
    <xf numFmtId="0" fontId="0" fillId="11" borderId="16" xfId="0" applyFill="1" applyBorder="1"/>
    <xf numFmtId="0" fontId="1" fillId="3" borderId="39" xfId="0" applyFont="1" applyFill="1" applyBorder="1" applyAlignment="1">
      <alignment vertical="center"/>
    </xf>
    <xf numFmtId="0" fontId="1" fillId="3" borderId="40" xfId="0" applyFont="1" applyFill="1" applyBorder="1" applyAlignment="1">
      <alignment vertical="center"/>
    </xf>
    <xf numFmtId="0" fontId="1" fillId="3" borderId="41" xfId="0" applyFont="1" applyFill="1" applyBorder="1" applyAlignment="1">
      <alignment vertical="center"/>
    </xf>
    <xf numFmtId="0" fontId="0" fillId="11" borderId="8" xfId="0" applyNumberFormat="1" applyFont="1" applyFill="1" applyBorder="1" applyAlignment="1">
      <alignment horizontal="right"/>
    </xf>
    <xf numFmtId="1" fontId="0" fillId="11" borderId="9" xfId="0" applyNumberFormat="1" applyFont="1" applyFill="1" applyBorder="1" applyAlignment="1">
      <alignment horizontal="right"/>
    </xf>
    <xf numFmtId="0" fontId="0" fillId="3" borderId="8" xfId="2" applyNumberFormat="1" applyFont="1" applyFill="1" applyBorder="1" applyAlignment="1" applyProtection="1">
      <alignment horizontal="right"/>
    </xf>
    <xf numFmtId="0" fontId="5" fillId="3" borderId="8" xfId="0" applyNumberFormat="1" applyFont="1" applyFill="1" applyBorder="1" applyAlignment="1">
      <alignment horizontal="right"/>
    </xf>
    <xf numFmtId="1" fontId="5" fillId="3" borderId="8" xfId="0" applyNumberFormat="1" applyFont="1" applyFill="1" applyBorder="1" applyAlignment="1">
      <alignment horizontal="right"/>
    </xf>
    <xf numFmtId="1" fontId="5" fillId="3" borderId="9" xfId="0" applyNumberFormat="1" applyFont="1" applyFill="1" applyBorder="1" applyAlignment="1">
      <alignment horizontal="right"/>
    </xf>
    <xf numFmtId="0" fontId="5" fillId="4" borderId="8" xfId="0" applyNumberFormat="1" applyFont="1" applyFill="1" applyBorder="1" applyAlignment="1">
      <alignment horizontal="right"/>
    </xf>
    <xf numFmtId="9" fontId="0" fillId="3" borderId="8" xfId="2" applyNumberFormat="1" applyFont="1" applyFill="1" applyBorder="1" applyAlignment="1" applyProtection="1">
      <alignment horizontal="center"/>
    </xf>
    <xf numFmtId="9" fontId="5" fillId="3" borderId="8" xfId="0" applyNumberFormat="1" applyFont="1" applyFill="1" applyBorder="1" applyAlignment="1">
      <alignment horizontal="center"/>
    </xf>
    <xf numFmtId="10" fontId="5" fillId="3" borderId="8" xfId="0" applyNumberFormat="1" applyFont="1" applyFill="1" applyBorder="1" applyAlignment="1">
      <alignment horizontal="center"/>
    </xf>
    <xf numFmtId="9" fontId="0" fillId="3" borderId="8" xfId="6" applyNumberFormat="1" applyFont="1" applyFill="1" applyBorder="1" applyAlignment="1" applyProtection="1">
      <alignment horizontal="right"/>
    </xf>
    <xf numFmtId="10" fontId="0" fillId="3" borderId="8" xfId="6" applyNumberFormat="1" applyFont="1" applyFill="1" applyBorder="1" applyAlignment="1" applyProtection="1">
      <alignment horizontal="right"/>
    </xf>
    <xf numFmtId="165" fontId="5" fillId="7" borderId="9" xfId="0" applyNumberFormat="1" applyFont="1" applyFill="1" applyBorder="1" applyAlignment="1">
      <alignment horizontal="center"/>
    </xf>
    <xf numFmtId="165" fontId="5" fillId="8" borderId="12" xfId="0" applyNumberFormat="1" applyFont="1" applyFill="1" applyBorder="1" applyAlignment="1">
      <alignment horizontal="center"/>
    </xf>
    <xf numFmtId="1" fontId="0" fillId="11" borderId="8" xfId="0" applyNumberFormat="1" applyFont="1" applyFill="1" applyBorder="1" applyAlignment="1">
      <alignment horizontal="right"/>
    </xf>
    <xf numFmtId="0" fontId="7" fillId="9" borderId="42" xfId="0" applyFont="1" applyFill="1" applyBorder="1" applyAlignment="1">
      <alignment horizontal="center" vertical="center"/>
    </xf>
    <xf numFmtId="0" fontId="0" fillId="2" borderId="33" xfId="0" applyFont="1" applyFill="1" applyBorder="1" applyAlignment="1">
      <alignment horizontal="right"/>
    </xf>
    <xf numFmtId="0" fontId="0" fillId="2" borderId="21" xfId="0" applyFill="1" applyBorder="1" applyAlignment="1">
      <alignment horizontal="right"/>
    </xf>
    <xf numFmtId="0" fontId="0" fillId="2" borderId="43" xfId="0" applyFont="1" applyFill="1" applyBorder="1" applyAlignment="1">
      <alignment horizontal="right"/>
    </xf>
    <xf numFmtId="1" fontId="0" fillId="3" borderId="33" xfId="0" applyNumberFormat="1" applyFont="1" applyFill="1" applyBorder="1" applyAlignment="1">
      <alignment horizontal="right"/>
    </xf>
    <xf numFmtId="1" fontId="0" fillId="3" borderId="23" xfId="0" applyNumberFormat="1" applyFont="1" applyFill="1" applyBorder="1" applyAlignment="1">
      <alignment horizontal="right"/>
    </xf>
    <xf numFmtId="1" fontId="6" fillId="4" borderId="33" xfId="0" applyNumberFormat="1" applyFont="1" applyFill="1" applyBorder="1"/>
    <xf numFmtId="0" fontId="6" fillId="4" borderId="8" xfId="0" applyNumberFormat="1" applyFont="1" applyFill="1" applyBorder="1"/>
    <xf numFmtId="1" fontId="6" fillId="4" borderId="8" xfId="0" applyNumberFormat="1" applyFont="1" applyFill="1" applyBorder="1"/>
    <xf numFmtId="9" fontId="0" fillId="3" borderId="33" xfId="6" applyFont="1" applyFill="1" applyBorder="1" applyAlignment="1" applyProtection="1">
      <alignment horizontal="right"/>
    </xf>
    <xf numFmtId="9" fontId="0" fillId="3" borderId="23" xfId="6" applyFont="1" applyFill="1" applyBorder="1" applyAlignment="1" applyProtection="1">
      <alignment horizontal="right"/>
    </xf>
    <xf numFmtId="165" fontId="0" fillId="5" borderId="21" xfId="2" applyNumberFormat="1" applyFont="1" applyFill="1" applyBorder="1" applyAlignment="1" applyProtection="1"/>
    <xf numFmtId="165" fontId="0" fillId="3" borderId="33" xfId="2" applyNumberFormat="1" applyFont="1" applyFill="1" applyBorder="1" applyAlignment="1" applyProtection="1">
      <alignment horizontal="center"/>
    </xf>
    <xf numFmtId="165" fontId="0" fillId="3" borderId="23" xfId="2" applyNumberFormat="1" applyFont="1" applyFill="1" applyBorder="1" applyAlignment="1" applyProtection="1">
      <alignment horizontal="center"/>
    </xf>
    <xf numFmtId="165" fontId="5" fillId="3" borderId="33" xfId="0" applyNumberFormat="1" applyFont="1" applyFill="1" applyBorder="1" applyAlignment="1">
      <alignment horizontal="center"/>
    </xf>
    <xf numFmtId="165" fontId="5" fillId="3" borderId="23" xfId="0" applyNumberFormat="1" applyFont="1" applyFill="1" applyBorder="1" applyAlignment="1">
      <alignment horizontal="center"/>
    </xf>
    <xf numFmtId="165" fontId="4" fillId="6" borderId="7" xfId="0" applyNumberFormat="1" applyFont="1" applyFill="1" applyBorder="1"/>
    <xf numFmtId="165" fontId="4" fillId="6" borderId="9" xfId="0" applyNumberFormat="1" applyFont="1" applyFill="1" applyBorder="1"/>
    <xf numFmtId="165" fontId="0" fillId="7" borderId="33" xfId="0" applyNumberFormat="1" applyFill="1" applyBorder="1"/>
    <xf numFmtId="165" fontId="0" fillId="7" borderId="23" xfId="0" applyNumberFormat="1" applyFill="1" applyBorder="1"/>
    <xf numFmtId="165" fontId="5" fillId="3" borderId="33" xfId="0" applyNumberFormat="1" applyFont="1" applyFill="1" applyBorder="1"/>
    <xf numFmtId="165" fontId="5" fillId="8" borderId="35" xfId="0" applyNumberFormat="1" applyFont="1" applyFill="1" applyBorder="1"/>
    <xf numFmtId="165" fontId="5" fillId="8" borderId="0" xfId="0" applyNumberFormat="1" applyFont="1" applyFill="1"/>
    <xf numFmtId="0" fontId="3" fillId="9" borderId="0" xfId="0" applyFont="1" applyFill="1" applyBorder="1" applyAlignment="1">
      <alignment horizontal="center" vertical="center"/>
    </xf>
    <xf numFmtId="0" fontId="0" fillId="2" borderId="21" xfId="0" applyFont="1" applyFill="1" applyBorder="1"/>
    <xf numFmtId="1" fontId="0" fillId="2" borderId="21" xfId="0" applyNumberFormat="1" applyFont="1" applyFill="1" applyBorder="1"/>
    <xf numFmtId="0" fontId="0" fillId="3" borderId="23" xfId="0" applyFont="1" applyFill="1" applyBorder="1" applyAlignment="1">
      <alignment horizontal="right"/>
    </xf>
    <xf numFmtId="165" fontId="0" fillId="5" borderId="23" xfId="2" applyNumberFormat="1" applyFont="1" applyFill="1" applyBorder="1" applyAlignment="1" applyProtection="1">
      <alignment horizontal="right"/>
    </xf>
    <xf numFmtId="165" fontId="6" fillId="8" borderId="12" xfId="2" applyNumberFormat="1" applyFont="1" applyFill="1" applyBorder="1" applyAlignment="1" applyProtection="1"/>
    <xf numFmtId="0" fontId="0" fillId="2" borderId="8" xfId="0" applyFont="1" applyFill="1" applyBorder="1"/>
    <xf numFmtId="1" fontId="0" fillId="2" borderId="0" xfId="0" applyNumberFormat="1" applyFont="1" applyFill="1" applyBorder="1"/>
    <xf numFmtId="1" fontId="0" fillId="3" borderId="7" xfId="0" applyNumberFormat="1" applyFont="1" applyFill="1" applyBorder="1" applyAlignment="1">
      <alignment horizontal="right"/>
    </xf>
    <xf numFmtId="1" fontId="6" fillId="4" borderId="9" xfId="0" applyNumberFormat="1" applyFont="1" applyFill="1" applyBorder="1"/>
    <xf numFmtId="0" fontId="0" fillId="3" borderId="9" xfId="0" applyFill="1" applyBorder="1" applyAlignment="1">
      <alignment horizontal="right"/>
    </xf>
    <xf numFmtId="9" fontId="0" fillId="3" borderId="8" xfId="7" applyFont="1" applyFill="1" applyBorder="1" applyAlignment="1" applyProtection="1">
      <alignment horizontal="right"/>
    </xf>
    <xf numFmtId="9" fontId="0" fillId="3" borderId="9" xfId="7" applyFont="1" applyFill="1" applyBorder="1" applyAlignment="1" applyProtection="1">
      <alignment horizontal="right"/>
    </xf>
    <xf numFmtId="9" fontId="0" fillId="3" borderId="0" xfId="7" applyFont="1" applyFill="1" applyBorder="1" applyAlignment="1" applyProtection="1">
      <alignment horizontal="right"/>
    </xf>
    <xf numFmtId="9" fontId="0" fillId="3" borderId="23" xfId="7" applyFont="1" applyFill="1" applyBorder="1" applyAlignment="1" applyProtection="1">
      <alignment horizontal="right"/>
    </xf>
    <xf numFmtId="9" fontId="0" fillId="3" borderId="8" xfId="8" applyFont="1" applyFill="1" applyBorder="1" applyAlignment="1" applyProtection="1">
      <alignment horizontal="right"/>
    </xf>
    <xf numFmtId="9" fontId="0" fillId="3" borderId="9" xfId="17" applyFont="1" applyFill="1" applyBorder="1" applyAlignment="1" applyProtection="1">
      <alignment horizontal="right"/>
    </xf>
    <xf numFmtId="9" fontId="0" fillId="3" borderId="8" xfId="17" applyFont="1" applyFill="1" applyBorder="1" applyAlignment="1" applyProtection="1">
      <alignment horizontal="right"/>
    </xf>
    <xf numFmtId="9" fontId="0" fillId="3" borderId="0" xfId="17" applyFont="1" applyFill="1" applyBorder="1" applyAlignment="1" applyProtection="1">
      <alignment horizontal="right"/>
    </xf>
    <xf numFmtId="9" fontId="0" fillId="3" borderId="23" xfId="17" applyFont="1" applyFill="1" applyBorder="1" applyAlignment="1" applyProtection="1">
      <alignment horizontal="right"/>
    </xf>
    <xf numFmtId="9" fontId="0" fillId="3" borderId="0" xfId="8" applyFont="1" applyFill="1" applyBorder="1" applyAlignment="1" applyProtection="1">
      <alignment horizontal="right"/>
    </xf>
    <xf numFmtId="9" fontId="0" fillId="3" borderId="0" xfId="17" applyNumberFormat="1" applyFont="1" applyFill="1" applyBorder="1" applyAlignment="1" applyProtection="1">
      <alignment horizontal="right"/>
    </xf>
    <xf numFmtId="0" fontId="4" fillId="2" borderId="23" xfId="0" applyFont="1" applyFill="1" applyBorder="1"/>
    <xf numFmtId="1" fontId="0" fillId="2" borderId="0" xfId="0" applyNumberFormat="1" applyFont="1" applyFill="1" applyBorder="1" applyAlignment="1">
      <alignment horizontal="right"/>
    </xf>
    <xf numFmtId="1" fontId="0" fillId="2" borderId="5" xfId="0" applyNumberFormat="1" applyFont="1" applyFill="1" applyBorder="1"/>
    <xf numFmtId="1" fontId="0" fillId="2" borderId="0" xfId="0" applyNumberFormat="1" applyFill="1" applyBorder="1"/>
    <xf numFmtId="0" fontId="4" fillId="2" borderId="8" xfId="0" applyFont="1" applyFill="1" applyBorder="1"/>
    <xf numFmtId="1" fontId="0" fillId="2" borderId="8" xfId="0" applyNumberFormat="1" applyFill="1" applyBorder="1"/>
    <xf numFmtId="1" fontId="0" fillId="2" borderId="8" xfId="0" applyNumberFormat="1" applyFont="1" applyFill="1" applyBorder="1" applyAlignment="1">
      <alignment horizontal="right"/>
    </xf>
    <xf numFmtId="1" fontId="5" fillId="4" borderId="7" xfId="0" applyNumberFormat="1" applyFont="1" applyFill="1" applyBorder="1" applyAlignment="1">
      <alignment horizontal="right"/>
    </xf>
    <xf numFmtId="1" fontId="5" fillId="4" borderId="23" xfId="0" applyNumberFormat="1" applyFont="1" applyFill="1" applyBorder="1" applyAlignment="1">
      <alignment horizontal="right"/>
    </xf>
    <xf numFmtId="165" fontId="5" fillId="7" borderId="7" xfId="0" applyNumberFormat="1" applyFont="1" applyFill="1" applyBorder="1" applyAlignment="1">
      <alignment horizontal="center"/>
    </xf>
    <xf numFmtId="165" fontId="5" fillId="7" borderId="23" xfId="0" applyNumberFormat="1" applyFont="1" applyFill="1" applyBorder="1" applyAlignment="1">
      <alignment horizontal="center"/>
    </xf>
    <xf numFmtId="165" fontId="0" fillId="3" borderId="0" xfId="2" applyNumberFormat="1" applyFont="1" applyFill="1" applyBorder="1" applyAlignment="1" applyProtection="1">
      <alignment horizontal="center"/>
    </xf>
    <xf numFmtId="1" fontId="0" fillId="3" borderId="9" xfId="2" applyNumberFormat="1" applyFont="1" applyFill="1" applyBorder="1" applyAlignment="1" applyProtection="1">
      <alignment horizontal="right"/>
    </xf>
    <xf numFmtId="165" fontId="0" fillId="5" borderId="6" xfId="2" applyNumberFormat="1" applyFont="1" applyFill="1" applyBorder="1" applyAlignment="1" applyProtection="1"/>
    <xf numFmtId="165" fontId="5" fillId="3" borderId="6" xfId="0" applyNumberFormat="1" applyFont="1" applyFill="1" applyBorder="1" applyAlignment="1">
      <alignment horizontal="center"/>
    </xf>
    <xf numFmtId="165" fontId="0" fillId="7" borderId="9" xfId="0" applyNumberFormat="1" applyFill="1" applyBorder="1"/>
    <xf numFmtId="165" fontId="5" fillId="3" borderId="6" xfId="0" applyNumberFormat="1" applyFont="1" applyFill="1" applyBorder="1"/>
    <xf numFmtId="0" fontId="7" fillId="9" borderId="44" xfId="0" applyFont="1" applyFill="1" applyBorder="1" applyAlignment="1">
      <alignment horizontal="center" vertical="center"/>
    </xf>
    <xf numFmtId="0" fontId="3" fillId="9" borderId="0" xfId="0" applyFont="1" applyFill="1" applyAlignment="1">
      <alignment horizontal="center" vertical="center"/>
    </xf>
    <xf numFmtId="0" fontId="4" fillId="3" borderId="15" xfId="0" applyFont="1" applyFill="1" applyBorder="1"/>
    <xf numFmtId="0" fontId="0" fillId="12" borderId="42" xfId="0" applyFont="1" applyFill="1" applyBorder="1" applyAlignment="1">
      <alignment horizontal="right"/>
    </xf>
    <xf numFmtId="0" fontId="0" fillId="12" borderId="14" xfId="0" applyFont="1" applyFill="1" applyBorder="1" applyAlignment="1">
      <alignment horizontal="right"/>
    </xf>
    <xf numFmtId="0" fontId="0" fillId="12" borderId="14" xfId="0" applyFont="1" applyFill="1" applyBorder="1"/>
    <xf numFmtId="0" fontId="0" fillId="12" borderId="42" xfId="0" applyFont="1" applyFill="1" applyBorder="1"/>
    <xf numFmtId="0" fontId="0" fillId="12" borderId="4" xfId="0" applyFont="1" applyFill="1" applyBorder="1"/>
    <xf numFmtId="1" fontId="0" fillId="11" borderId="4" xfId="0" applyNumberFormat="1" applyFont="1" applyFill="1" applyBorder="1" applyAlignment="1">
      <alignment horizontal="right"/>
    </xf>
    <xf numFmtId="1" fontId="0" fillId="3" borderId="45" xfId="0" applyNumberFormat="1" applyFont="1" applyFill="1" applyBorder="1" applyAlignment="1">
      <alignment horizontal="right"/>
    </xf>
    <xf numFmtId="165" fontId="0" fillId="5" borderId="45" xfId="2" applyNumberFormat="1" applyFont="1" applyFill="1" applyBorder="1" applyAlignment="1" applyProtection="1">
      <alignment horizontal="right"/>
    </xf>
    <xf numFmtId="165" fontId="0" fillId="3" borderId="45" xfId="2" applyNumberFormat="1" applyFont="1" applyFill="1" applyBorder="1" applyAlignment="1" applyProtection="1">
      <alignment horizontal="center"/>
    </xf>
    <xf numFmtId="165" fontId="0" fillId="6" borderId="23" xfId="2" applyNumberFormat="1" applyFont="1" applyFill="1" applyBorder="1" applyAlignment="1" applyProtection="1">
      <alignment horizontal="center"/>
    </xf>
    <xf numFmtId="165" fontId="0" fillId="6" borderId="45" xfId="2" applyNumberFormat="1" applyFont="1" applyFill="1" applyBorder="1" applyAlignment="1" applyProtection="1">
      <alignment horizontal="center"/>
    </xf>
    <xf numFmtId="165" fontId="5" fillId="3" borderId="21" xfId="0" applyNumberFormat="1" applyFont="1" applyFill="1" applyBorder="1"/>
    <xf numFmtId="165" fontId="5" fillId="7" borderId="23" xfId="0" applyNumberFormat="1" applyFont="1" applyFill="1" applyBorder="1"/>
    <xf numFmtId="165" fontId="5" fillId="7" borderId="45" xfId="0" applyNumberFormat="1" applyFont="1" applyFill="1" applyBorder="1"/>
    <xf numFmtId="165" fontId="0" fillId="3" borderId="21" xfId="0" applyNumberFormat="1" applyFill="1" applyBorder="1"/>
    <xf numFmtId="165" fontId="6" fillId="8" borderId="26" xfId="2" applyNumberFormat="1" applyFont="1" applyFill="1" applyBorder="1" applyAlignment="1" applyProtection="1"/>
    <xf numFmtId="165" fontId="6" fillId="8" borderId="46" xfId="2" applyNumberFormat="1" applyFont="1" applyFill="1" applyBorder="1" applyAlignment="1" applyProtection="1"/>
    <xf numFmtId="0" fontId="0" fillId="2" borderId="15" xfId="0" applyFont="1" applyFill="1" applyBorder="1"/>
    <xf numFmtId="0" fontId="0" fillId="2" borderId="42" xfId="0" applyFont="1" applyFill="1" applyBorder="1" applyAlignment="1">
      <alignment horizontal="right"/>
    </xf>
    <xf numFmtId="0" fontId="0" fillId="2" borderId="14" xfId="0" applyFont="1" applyFill="1" applyBorder="1" applyAlignment="1">
      <alignment horizontal="right"/>
    </xf>
    <xf numFmtId="0" fontId="0" fillId="2" borderId="14" xfId="0" applyFont="1" applyFill="1" applyBorder="1"/>
    <xf numFmtId="0" fontId="0" fillId="2" borderId="42" xfId="0" applyFont="1" applyFill="1" applyBorder="1"/>
    <xf numFmtId="0" fontId="0" fillId="2" borderId="4" xfId="0" applyFont="1" applyFill="1" applyBorder="1"/>
    <xf numFmtId="1" fontId="0" fillId="2" borderId="4" xfId="0" applyNumberFormat="1" applyFont="1" applyFill="1" applyBorder="1"/>
    <xf numFmtId="1" fontId="0" fillId="4" borderId="19" xfId="0" applyNumberFormat="1" applyFont="1" applyFill="1" applyBorder="1" applyAlignment="1">
      <alignment horizontal="right"/>
    </xf>
    <xf numFmtId="165" fontId="4" fillId="3" borderId="19" xfId="2" applyNumberFormat="1" applyFont="1" applyFill="1" applyBorder="1" applyAlignment="1" applyProtection="1"/>
    <xf numFmtId="165" fontId="4" fillId="6" borderId="19" xfId="2" applyNumberFormat="1" applyFont="1" applyFill="1" applyBorder="1" applyAlignment="1" applyProtection="1"/>
    <xf numFmtId="165" fontId="5" fillId="7" borderId="19" xfId="2" applyNumberFormat="1" applyFont="1" applyFill="1" applyBorder="1" applyAlignment="1" applyProtection="1"/>
    <xf numFmtId="165" fontId="6" fillId="8" borderId="47" xfId="2" applyNumberFormat="1" applyFont="1" applyFill="1" applyBorder="1" applyAlignment="1" applyProtection="1"/>
    <xf numFmtId="167" fontId="0" fillId="2" borderId="8" xfId="1" applyNumberFormat="1" applyFont="1" applyFill="1" applyBorder="1" applyAlignment="1" applyProtection="1"/>
    <xf numFmtId="167" fontId="0" fillId="2" borderId="9" xfId="1" applyNumberFormat="1" applyFont="1" applyFill="1" applyBorder="1" applyAlignment="1" applyProtection="1"/>
    <xf numFmtId="9" fontId="0" fillId="3" borderId="8" xfId="14" applyNumberFormat="1" applyFont="1" applyFill="1" applyBorder="1" applyAlignment="1" applyProtection="1"/>
    <xf numFmtId="165" fontId="0" fillId="6" borderId="8" xfId="5" applyNumberFormat="1" applyFont="1" applyFill="1" applyBorder="1" applyAlignment="1" applyProtection="1"/>
    <xf numFmtId="9" fontId="0" fillId="3" borderId="8" xfId="15" applyNumberFormat="1" applyFont="1" applyFill="1" applyBorder="1" applyAlignment="1" applyProtection="1"/>
    <xf numFmtId="9" fontId="0" fillId="3" borderId="8" xfId="16" applyNumberFormat="1" applyFont="1" applyFill="1" applyBorder="1" applyAlignment="1" applyProtection="1"/>
    <xf numFmtId="9" fontId="0" fillId="3" borderId="8" xfId="13" applyNumberFormat="1" applyFont="1" applyFill="1" applyBorder="1" applyAlignment="1" applyProtection="1"/>
    <xf numFmtId="0" fontId="0" fillId="3" borderId="7" xfId="0" applyFill="1" applyBorder="1" applyAlignment="1">
      <alignment horizontal="right"/>
    </xf>
    <xf numFmtId="0" fontId="0" fillId="2" borderId="0" xfId="0" applyNumberFormat="1" applyFont="1" applyFill="1" applyBorder="1"/>
    <xf numFmtId="0" fontId="0" fillId="2" borderId="0" xfId="0" applyNumberFormat="1" applyFill="1" applyBorder="1"/>
    <xf numFmtId="0" fontId="0" fillId="3" borderId="8" xfId="0" applyNumberFormat="1" applyFont="1" applyFill="1" applyBorder="1" applyAlignment="1">
      <alignment horizontal="right"/>
    </xf>
    <xf numFmtId="167" fontId="0" fillId="3" borderId="8" xfId="0" applyNumberFormat="1" applyFont="1" applyFill="1" applyBorder="1" applyAlignment="1">
      <alignment horizontal="right"/>
    </xf>
    <xf numFmtId="167" fontId="5" fillId="4" borderId="8" xfId="0" applyNumberFormat="1" applyFont="1" applyFill="1" applyBorder="1" applyAlignment="1">
      <alignment horizontal="right"/>
    </xf>
    <xf numFmtId="1" fontId="0" fillId="2" borderId="14" xfId="0" applyNumberFormat="1" applyFont="1" applyFill="1" applyBorder="1" applyAlignment="1">
      <alignment horizontal="right"/>
    </xf>
    <xf numFmtId="0" fontId="0" fillId="3" borderId="33" xfId="0" applyFont="1" applyFill="1" applyBorder="1" applyAlignment="1">
      <alignment horizontal="right"/>
    </xf>
    <xf numFmtId="9" fontId="0" fillId="3" borderId="5" xfId="6" applyFont="1" applyFill="1" applyBorder="1" applyAlignment="1" applyProtection="1">
      <alignment horizontal="right"/>
    </xf>
    <xf numFmtId="165" fontId="0" fillId="5" borderId="33" xfId="2" applyNumberFormat="1" applyFont="1" applyFill="1" applyBorder="1" applyAlignment="1" applyProtection="1">
      <alignment horizontal="right"/>
    </xf>
    <xf numFmtId="165" fontId="0" fillId="6" borderId="33" xfId="2" applyNumberFormat="1" applyFont="1" applyFill="1" applyBorder="1" applyAlignment="1" applyProtection="1">
      <alignment horizontal="center"/>
    </xf>
    <xf numFmtId="165" fontId="5" fillId="7" borderId="33" xfId="0" applyNumberFormat="1" applyFont="1" applyFill="1" applyBorder="1"/>
    <xf numFmtId="165" fontId="0" fillId="3" borderId="5" xfId="0" applyNumberFormat="1" applyFill="1" applyBorder="1"/>
    <xf numFmtId="165" fontId="6" fillId="8" borderId="35" xfId="2" applyNumberFormat="1" applyFont="1" applyFill="1" applyBorder="1" applyAlignment="1" applyProtection="1"/>
    <xf numFmtId="0" fontId="7" fillId="9" borderId="48" xfId="0" applyFont="1" applyFill="1" applyBorder="1" applyAlignment="1">
      <alignment horizontal="center" vertical="center"/>
    </xf>
    <xf numFmtId="0" fontId="0" fillId="3" borderId="45" xfId="0" applyFont="1" applyFill="1" applyBorder="1" applyAlignment="1">
      <alignment horizontal="right"/>
    </xf>
    <xf numFmtId="0" fontId="6" fillId="4" borderId="19" xfId="0" applyFont="1" applyFill="1" applyBorder="1"/>
    <xf numFmtId="1" fontId="6" fillId="4" borderId="23" xfId="0" applyNumberFormat="1" applyFont="1" applyFill="1" applyBorder="1"/>
    <xf numFmtId="9" fontId="0" fillId="3" borderId="28" xfId="6" applyFont="1" applyFill="1" applyBorder="1" applyAlignment="1" applyProtection="1">
      <alignment horizontal="right"/>
    </xf>
    <xf numFmtId="9" fontId="0" fillId="3" borderId="6" xfId="6" applyFont="1" applyFill="1" applyBorder="1" applyAlignment="1" applyProtection="1">
      <alignment horizontal="right"/>
    </xf>
    <xf numFmtId="9" fontId="0" fillId="3" borderId="18" xfId="6" applyFont="1" applyFill="1" applyBorder="1" applyAlignment="1" applyProtection="1">
      <alignment horizontal="right"/>
    </xf>
    <xf numFmtId="165" fontId="0" fillId="5" borderId="28" xfId="2" applyNumberFormat="1" applyFont="1" applyFill="1" applyBorder="1" applyAlignment="1" applyProtection="1">
      <alignment horizontal="right"/>
    </xf>
    <xf numFmtId="165" fontId="0" fillId="6" borderId="28" xfId="2" applyNumberFormat="1" applyFont="1" applyFill="1" applyBorder="1" applyAlignment="1" applyProtection="1">
      <alignment horizontal="center"/>
    </xf>
    <xf numFmtId="165" fontId="5" fillId="7" borderId="28" xfId="0" applyNumberFormat="1" applyFont="1" applyFill="1" applyBorder="1"/>
    <xf numFmtId="165" fontId="5" fillId="7" borderId="19" xfId="0" applyNumberFormat="1" applyFont="1" applyFill="1" applyBorder="1"/>
    <xf numFmtId="165" fontId="0" fillId="3" borderId="28" xfId="0" applyNumberFormat="1" applyFill="1" applyBorder="1"/>
    <xf numFmtId="165" fontId="0" fillId="3" borderId="19" xfId="0" applyNumberFormat="1" applyFill="1" applyBorder="1"/>
    <xf numFmtId="165" fontId="0" fillId="3" borderId="23" xfId="0" applyNumberFormat="1" applyFill="1" applyBorder="1"/>
    <xf numFmtId="165" fontId="6" fillId="8" borderId="49" xfId="2" applyNumberFormat="1" applyFont="1" applyFill="1" applyBorder="1" applyAlignment="1" applyProtection="1"/>
    <xf numFmtId="165" fontId="6" fillId="8" borderId="50" xfId="2" applyNumberFormat="1" applyFont="1" applyFill="1" applyBorder="1" applyAlignment="1" applyProtection="1"/>
    <xf numFmtId="165" fontId="6" fillId="8" borderId="51" xfId="2" applyNumberFormat="1" applyFont="1" applyFill="1" applyBorder="1" applyAlignment="1" applyProtection="1"/>
    <xf numFmtId="165" fontId="6" fillId="8" borderId="37" xfId="2" applyNumberFormat="1" applyFont="1" applyFill="1" applyBorder="1" applyAlignment="1" applyProtection="1"/>
    <xf numFmtId="165" fontId="6" fillId="8" borderId="38" xfId="2" applyNumberFormat="1" applyFont="1" applyFill="1" applyBorder="1" applyAlignment="1" applyProtection="1"/>
    <xf numFmtId="0" fontId="3" fillId="3" borderId="0" xfId="0" applyFont="1" applyFill="1" applyBorder="1" applyAlignment="1">
      <alignment horizontal="center" vertical="center"/>
    </xf>
    <xf numFmtId="165" fontId="6" fillId="8" borderId="20" xfId="2" applyNumberFormat="1" applyFont="1" applyFill="1" applyBorder="1" applyAlignment="1" applyProtection="1"/>
    <xf numFmtId="165" fontId="6" fillId="8" borderId="52" xfId="2" applyNumberFormat="1" applyFont="1" applyFill="1" applyBorder="1" applyAlignment="1" applyProtection="1"/>
    <xf numFmtId="165" fontId="6" fillId="3" borderId="0" xfId="2" applyNumberFormat="1" applyFont="1" applyFill="1" applyBorder="1" applyAlignment="1" applyProtection="1"/>
    <xf numFmtId="1" fontId="6" fillId="4" borderId="7" xfId="0" applyNumberFormat="1" applyFont="1" applyFill="1" applyBorder="1"/>
    <xf numFmtId="9" fontId="0" fillId="3" borderId="7" xfId="6" applyFont="1" applyFill="1" applyBorder="1" applyAlignment="1" applyProtection="1">
      <alignment horizontal="right"/>
    </xf>
    <xf numFmtId="165" fontId="5" fillId="3" borderId="7" xfId="0" applyNumberFormat="1" applyFont="1" applyFill="1" applyBorder="1" applyAlignment="1">
      <alignment horizontal="center"/>
    </xf>
    <xf numFmtId="165" fontId="0" fillId="3" borderId="7" xfId="0" applyNumberFormat="1" applyFill="1" applyBorder="1"/>
    <xf numFmtId="0" fontId="7" fillId="9" borderId="53" xfId="0" applyFont="1" applyFill="1" applyBorder="1" applyAlignment="1">
      <alignment horizontal="center" vertical="center"/>
    </xf>
    <xf numFmtId="0" fontId="4" fillId="2" borderId="12" xfId="0" applyFont="1" applyFill="1" applyBorder="1"/>
    <xf numFmtId="0" fontId="0" fillId="2" borderId="52" xfId="0" applyFont="1" applyFill="1" applyBorder="1" applyAlignment="1">
      <alignment horizontal="right"/>
    </xf>
    <xf numFmtId="0" fontId="0" fillId="2" borderId="10" xfId="0" applyFont="1" applyFill="1" applyBorder="1" applyAlignment="1">
      <alignment horizontal="right"/>
    </xf>
    <xf numFmtId="0" fontId="0" fillId="2" borderId="20" xfId="0" applyFont="1" applyFill="1" applyBorder="1" applyAlignment="1">
      <alignment horizontal="right"/>
    </xf>
    <xf numFmtId="0" fontId="0" fillId="2" borderId="52" xfId="0" applyFont="1" applyFill="1" applyBorder="1"/>
    <xf numFmtId="0" fontId="0" fillId="2" borderId="46" xfId="0" applyFont="1" applyFill="1" applyBorder="1"/>
    <xf numFmtId="0" fontId="0" fillId="2" borderId="10" xfId="0" applyFont="1" applyFill="1" applyBorder="1"/>
    <xf numFmtId="1" fontId="0" fillId="2" borderId="26" xfId="0" applyNumberFormat="1" applyFont="1" applyFill="1" applyBorder="1"/>
    <xf numFmtId="165" fontId="6" fillId="8" borderId="18" xfId="2" applyNumberFormat="1" applyFont="1" applyFill="1" applyBorder="1" applyAlignment="1" applyProtection="1"/>
    <xf numFmtId="165" fontId="6" fillId="8" borderId="33" xfId="2" applyNumberFormat="1" applyFont="1" applyFill="1" applyBorder="1" applyAlignment="1" applyProtection="1"/>
    <xf numFmtId="165" fontId="6" fillId="8" borderId="19" xfId="2" applyNumberFormat="1" applyFont="1" applyFill="1" applyBorder="1" applyAlignment="1" applyProtection="1"/>
    <xf numFmtId="165" fontId="6" fillId="8" borderId="23" xfId="2" applyNumberFormat="1" applyFont="1" applyFill="1" applyBorder="1" applyAlignment="1" applyProtection="1"/>
    <xf numFmtId="9" fontId="0" fillId="3" borderId="28" xfId="10" applyFont="1" applyFill="1" applyBorder="1" applyAlignment="1" applyProtection="1">
      <alignment horizontal="right"/>
    </xf>
    <xf numFmtId="9" fontId="0" fillId="3" borderId="9" xfId="10" applyFont="1" applyFill="1" applyBorder="1" applyAlignment="1" applyProtection="1">
      <alignment horizontal="right"/>
    </xf>
    <xf numFmtId="9" fontId="0" fillId="3" borderId="8" xfId="10" applyFont="1" applyFill="1" applyBorder="1" applyAlignment="1" applyProtection="1">
      <alignment horizontal="right"/>
    </xf>
    <xf numFmtId="9" fontId="0" fillId="3" borderId="28" xfId="11" applyFont="1" applyFill="1" applyBorder="1" applyAlignment="1" applyProtection="1">
      <alignment horizontal="right"/>
    </xf>
    <xf numFmtId="0" fontId="0" fillId="3" borderId="33" xfId="0" applyFill="1" applyBorder="1" applyAlignment="1">
      <alignment horizontal="right"/>
    </xf>
    <xf numFmtId="9" fontId="0" fillId="3" borderId="0" xfId="6" applyFont="1" applyFill="1" applyBorder="1" applyAlignment="1" applyProtection="1"/>
    <xf numFmtId="0" fontId="0" fillId="3" borderId="18" xfId="0" applyFont="1" applyFill="1" applyBorder="1" applyAlignment="1">
      <alignment horizontal="right"/>
    </xf>
    <xf numFmtId="9" fontId="0" fillId="3" borderId="18" xfId="11" applyFont="1" applyFill="1" applyBorder="1" applyAlignment="1" applyProtection="1">
      <alignment horizontal="right"/>
    </xf>
    <xf numFmtId="165" fontId="0" fillId="5" borderId="18" xfId="2" applyNumberFormat="1" applyFont="1" applyFill="1" applyBorder="1" applyAlignment="1" applyProtection="1">
      <alignment horizontal="right"/>
    </xf>
    <xf numFmtId="165" fontId="0" fillId="3" borderId="18" xfId="2" applyNumberFormat="1" applyFont="1" applyFill="1" applyBorder="1" applyAlignment="1" applyProtection="1">
      <alignment horizontal="center"/>
    </xf>
    <xf numFmtId="165" fontId="5" fillId="3" borderId="18" xfId="0" applyNumberFormat="1" applyFont="1" applyFill="1" applyBorder="1" applyAlignment="1">
      <alignment horizontal="center"/>
    </xf>
    <xf numFmtId="165" fontId="5" fillId="7" borderId="18" xfId="0" applyNumberFormat="1" applyFont="1" applyFill="1" applyBorder="1"/>
    <xf numFmtId="165" fontId="0" fillId="3" borderId="18" xfId="0" applyNumberFormat="1" applyFill="1" applyBorder="1"/>
    <xf numFmtId="0" fontId="0" fillId="2" borderId="8" xfId="0" applyNumberFormat="1" applyFont="1" applyFill="1" applyBorder="1" applyAlignment="1">
      <alignment horizontal="right"/>
    </xf>
    <xf numFmtId="0" fontId="0" fillId="2" borderId="8" xfId="0" applyNumberFormat="1" applyFont="1" applyFill="1" applyBorder="1"/>
    <xf numFmtId="1" fontId="0" fillId="2" borderId="9" xfId="0" applyNumberFormat="1" applyFont="1" applyFill="1" applyBorder="1" applyAlignment="1">
      <alignment horizontal="right"/>
    </xf>
    <xf numFmtId="0" fontId="4" fillId="2" borderId="9" xfId="0" applyFont="1" applyFill="1" applyBorder="1"/>
    <xf numFmtId="1" fontId="0" fillId="2" borderId="5" xfId="0" applyNumberFormat="1" applyFont="1" applyFill="1" applyBorder="1" applyAlignment="1">
      <alignment horizontal="right"/>
    </xf>
    <xf numFmtId="0" fontId="0" fillId="2" borderId="0" xfId="0" applyNumberFormat="1" applyFont="1" applyFill="1" applyBorder="1" applyAlignment="1">
      <alignment horizontal="right"/>
    </xf>
    <xf numFmtId="0" fontId="5" fillId="4" borderId="33" xfId="0" applyFont="1" applyFill="1" applyBorder="1" applyAlignment="1">
      <alignment horizontal="right"/>
    </xf>
    <xf numFmtId="0" fontId="5" fillId="4" borderId="23" xfId="0" applyNumberFormat="1" applyFont="1" applyFill="1" applyBorder="1" applyAlignment="1">
      <alignment horizontal="right"/>
    </xf>
    <xf numFmtId="0" fontId="5" fillId="7" borderId="54" xfId="0" applyFont="1" applyFill="1" applyBorder="1"/>
    <xf numFmtId="165" fontId="5" fillId="7" borderId="33" xfId="0" applyNumberFormat="1" applyFont="1" applyFill="1" applyBorder="1" applyAlignment="1">
      <alignment horizontal="center"/>
    </xf>
    <xf numFmtId="0" fontId="0" fillId="0" borderId="0" xfId="0" applyFill="1"/>
    <xf numFmtId="0" fontId="7" fillId="0" borderId="0" xfId="0" applyFont="1" applyFill="1" applyBorder="1" applyAlignment="1">
      <alignment horizontal="center" vertical="center"/>
    </xf>
    <xf numFmtId="0" fontId="0" fillId="2" borderId="46" xfId="0" applyNumberFormat="1" applyFont="1" applyFill="1" applyBorder="1"/>
    <xf numFmtId="1" fontId="0" fillId="2" borderId="55" xfId="0" applyNumberFormat="1" applyFont="1" applyFill="1" applyBorder="1"/>
    <xf numFmtId="1" fontId="0" fillId="0" borderId="0" xfId="0" applyNumberFormat="1" applyFont="1" applyFill="1" applyBorder="1"/>
    <xf numFmtId="1" fontId="0" fillId="3" borderId="56" xfId="0" applyNumberFormat="1" applyFont="1" applyFill="1" applyBorder="1" applyAlignment="1">
      <alignment horizontal="right"/>
    </xf>
    <xf numFmtId="1" fontId="0" fillId="0" borderId="0" xfId="0" applyNumberFormat="1" applyFont="1" applyFill="1" applyBorder="1" applyAlignment="1">
      <alignment horizontal="right"/>
    </xf>
    <xf numFmtId="0" fontId="6" fillId="4" borderId="19" xfId="0" applyNumberFormat="1" applyFont="1" applyFill="1" applyBorder="1"/>
    <xf numFmtId="1" fontId="6" fillId="4" borderId="56" xfId="0" applyNumberFormat="1" applyFont="1" applyFill="1" applyBorder="1"/>
    <xf numFmtId="1" fontId="6" fillId="0" borderId="0" xfId="0" applyNumberFormat="1" applyFont="1" applyFill="1" applyBorder="1"/>
    <xf numFmtId="9" fontId="0" fillId="3" borderId="56" xfId="6" applyNumberFormat="1" applyFont="1" applyFill="1" applyBorder="1" applyAlignment="1" applyProtection="1">
      <alignment horizontal="right"/>
    </xf>
    <xf numFmtId="9" fontId="0" fillId="0" borderId="0" xfId="6" applyNumberFormat="1" applyFont="1" applyFill="1" applyBorder="1" applyAlignment="1" applyProtection="1">
      <alignment horizontal="right"/>
    </xf>
    <xf numFmtId="165" fontId="0" fillId="5" borderId="56" xfId="2" applyNumberFormat="1" applyFont="1" applyFill="1" applyBorder="1" applyAlignment="1" applyProtection="1">
      <alignment horizontal="right"/>
    </xf>
    <xf numFmtId="165" fontId="0" fillId="0" borderId="0" xfId="2" applyNumberFormat="1" applyFont="1" applyFill="1" applyBorder="1" applyAlignment="1" applyProtection="1">
      <alignment horizontal="right"/>
    </xf>
    <xf numFmtId="165" fontId="0" fillId="3" borderId="56" xfId="2" applyNumberFormat="1" applyFont="1" applyFill="1" applyBorder="1" applyAlignment="1" applyProtection="1">
      <alignment horizontal="center"/>
    </xf>
    <xf numFmtId="165" fontId="0" fillId="0" borderId="0" xfId="2" applyNumberFormat="1" applyFont="1" applyFill="1" applyBorder="1" applyAlignment="1" applyProtection="1">
      <alignment horizontal="center"/>
    </xf>
    <xf numFmtId="165" fontId="0" fillId="6" borderId="56" xfId="2" applyNumberFormat="1" applyFont="1" applyFill="1" applyBorder="1" applyAlignment="1" applyProtection="1">
      <alignment horizontal="center"/>
    </xf>
    <xf numFmtId="165" fontId="5" fillId="3" borderId="56" xfId="0" applyNumberFormat="1" applyFont="1" applyFill="1" applyBorder="1" applyAlignment="1">
      <alignment horizontal="center"/>
    </xf>
    <xf numFmtId="165" fontId="5" fillId="0" borderId="0" xfId="0" applyNumberFormat="1" applyFont="1" applyFill="1" applyBorder="1" applyAlignment="1">
      <alignment horizontal="center"/>
    </xf>
    <xf numFmtId="165" fontId="5" fillId="7" borderId="56" xfId="0" applyNumberFormat="1" applyFont="1" applyFill="1" applyBorder="1"/>
    <xf numFmtId="165" fontId="5" fillId="0" borderId="0" xfId="0" applyNumberFormat="1" applyFont="1" applyFill="1" applyBorder="1"/>
    <xf numFmtId="165" fontId="0" fillId="3" borderId="56" xfId="0" applyNumberFormat="1" applyFont="1" applyFill="1" applyBorder="1"/>
    <xf numFmtId="165" fontId="0" fillId="0" borderId="0" xfId="0" applyNumberFormat="1" applyFont="1" applyFill="1" applyBorder="1"/>
    <xf numFmtId="165" fontId="6" fillId="8" borderId="56" xfId="2" applyNumberFormat="1" applyFont="1" applyFill="1" applyBorder="1" applyAlignment="1" applyProtection="1"/>
    <xf numFmtId="165" fontId="6" fillId="0" borderId="0" xfId="2" applyNumberFormat="1" applyFont="1" applyFill="1" applyBorder="1" applyAlignment="1" applyProtection="1"/>
    <xf numFmtId="0" fontId="7" fillId="9" borderId="57" xfId="0" applyFont="1" applyFill="1" applyBorder="1" applyAlignment="1">
      <alignment horizontal="center" vertical="center"/>
    </xf>
    <xf numFmtId="0" fontId="8" fillId="9" borderId="58" xfId="0" applyFont="1" applyFill="1" applyBorder="1" applyAlignment="1">
      <alignment horizontal="center"/>
    </xf>
    <xf numFmtId="165" fontId="0" fillId="3" borderId="23" xfId="0" applyNumberFormat="1" applyFont="1" applyFill="1" applyBorder="1"/>
    <xf numFmtId="0" fontId="1" fillId="0" borderId="39" xfId="0" applyFont="1" applyBorder="1" applyAlignment="1"/>
    <xf numFmtId="0" fontId="1" fillId="0" borderId="40" xfId="0" applyFont="1" applyBorder="1" applyAlignment="1"/>
    <xf numFmtId="0" fontId="1" fillId="0" borderId="40" xfId="0" applyFont="1" applyFill="1" applyBorder="1" applyAlignment="1"/>
    <xf numFmtId="0" fontId="1" fillId="0" borderId="41" xfId="0" applyFont="1" applyBorder="1" applyAlignment="1"/>
    <xf numFmtId="165" fontId="0" fillId="5" borderId="8" xfId="0" applyNumberFormat="1" applyFont="1" applyFill="1" applyBorder="1"/>
    <xf numFmtId="165" fontId="0" fillId="3" borderId="8" xfId="3" applyNumberFormat="1" applyFont="1" applyFill="1" applyBorder="1" applyAlignment="1" applyProtection="1"/>
    <xf numFmtId="1" fontId="0" fillId="2" borderId="42" xfId="0" applyNumberFormat="1" applyFont="1" applyFill="1" applyBorder="1" applyAlignment="1">
      <alignment horizontal="right"/>
    </xf>
    <xf numFmtId="0" fontId="5" fillId="4" borderId="33" xfId="0" applyNumberFormat="1" applyFont="1" applyFill="1" applyBorder="1" applyAlignment="1">
      <alignment horizontal="right"/>
    </xf>
    <xf numFmtId="1" fontId="5" fillId="4" borderId="33" xfId="0" applyNumberFormat="1" applyFont="1" applyFill="1" applyBorder="1" applyAlignment="1">
      <alignment horizontal="right"/>
    </xf>
    <xf numFmtId="165" fontId="5" fillId="7" borderId="35" xfId="0" applyNumberFormat="1" applyFont="1" applyFill="1" applyBorder="1" applyAlignment="1">
      <alignment horizontal="center"/>
    </xf>
    <xf numFmtId="0" fontId="4" fillId="2" borderId="10" xfId="0" applyFont="1" applyFill="1" applyBorder="1"/>
    <xf numFmtId="1" fontId="0" fillId="2" borderId="10" xfId="0" applyNumberFormat="1" applyFont="1" applyFill="1" applyBorder="1" applyAlignment="1">
      <alignment horizontal="right"/>
    </xf>
    <xf numFmtId="0" fontId="0" fillId="2" borderId="10" xfId="0" applyFill="1" applyBorder="1" applyAlignment="1">
      <alignment horizontal="right"/>
    </xf>
    <xf numFmtId="0" fontId="1" fillId="0" borderId="15" xfId="0" applyFont="1" applyBorder="1" applyAlignment="1"/>
    <xf numFmtId="0" fontId="1" fillId="0" borderId="14" xfId="0" applyFont="1" applyBorder="1" applyAlignment="1"/>
    <xf numFmtId="0" fontId="1" fillId="0" borderId="4" xfId="0" applyFont="1" applyBorder="1" applyAlignment="1"/>
    <xf numFmtId="0" fontId="7" fillId="9" borderId="34" xfId="0" applyFont="1" applyFill="1" applyBorder="1" applyAlignment="1">
      <alignment horizontal="center" vertical="center" wrapText="1"/>
    </xf>
    <xf numFmtId="0" fontId="7" fillId="9" borderId="16" xfId="0" applyFont="1" applyFill="1" applyBorder="1" applyAlignment="1">
      <alignment horizontal="center" vertical="center"/>
    </xf>
    <xf numFmtId="0" fontId="7" fillId="9" borderId="17" xfId="0" applyFont="1" applyFill="1" applyBorder="1" applyAlignment="1">
      <alignment horizontal="center" vertical="center"/>
    </xf>
    <xf numFmtId="0" fontId="4" fillId="2" borderId="28" xfId="0" applyFont="1" applyFill="1" applyBorder="1"/>
    <xf numFmtId="1" fontId="0" fillId="2" borderId="19" xfId="0" applyNumberFormat="1" applyFont="1" applyFill="1" applyBorder="1" applyAlignment="1">
      <alignment horizontal="right"/>
    </xf>
    <xf numFmtId="0" fontId="4" fillId="3" borderId="28" xfId="0" applyFont="1" applyFill="1" applyBorder="1"/>
    <xf numFmtId="0" fontId="6" fillId="4" borderId="28" xfId="0" applyFont="1" applyFill="1" applyBorder="1"/>
    <xf numFmtId="0" fontId="4" fillId="5" borderId="28" xfId="0" applyFont="1" applyFill="1" applyBorder="1"/>
    <xf numFmtId="165" fontId="0" fillId="5" borderId="19" xfId="0" applyNumberFormat="1" applyFont="1" applyFill="1" applyBorder="1"/>
    <xf numFmtId="0" fontId="4" fillId="6" borderId="28" xfId="0" applyFont="1" applyFill="1" applyBorder="1"/>
    <xf numFmtId="165" fontId="0" fillId="3" borderId="19" xfId="3" applyNumberFormat="1" applyFont="1" applyFill="1" applyBorder="1" applyAlignment="1" applyProtection="1"/>
    <xf numFmtId="0" fontId="5" fillId="7" borderId="28" xfId="0" applyFont="1" applyFill="1" applyBorder="1"/>
    <xf numFmtId="165" fontId="5" fillId="7" borderId="19" xfId="0" applyNumberFormat="1" applyFont="1" applyFill="1" applyBorder="1" applyAlignment="1">
      <alignment horizontal="center"/>
    </xf>
    <xf numFmtId="0" fontId="6" fillId="8" borderId="36" xfId="0" applyFont="1" applyFill="1" applyBorder="1"/>
    <xf numFmtId="165" fontId="5" fillId="8" borderId="38" xfId="0" applyNumberFormat="1" applyFont="1" applyFill="1" applyBorder="1" applyAlignment="1">
      <alignment horizontal="center"/>
    </xf>
    <xf numFmtId="0" fontId="7" fillId="9" borderId="15" xfId="0" applyFont="1" applyFill="1" applyBorder="1" applyAlignment="1">
      <alignment horizontal="center" vertical="center" wrapText="1"/>
    </xf>
    <xf numFmtId="0" fontId="4" fillId="2" borderId="18" xfId="0" applyFont="1" applyFill="1" applyBorder="1"/>
    <xf numFmtId="0" fontId="7" fillId="9" borderId="6" xfId="0" applyFont="1" applyFill="1" applyBorder="1" applyAlignment="1">
      <alignment horizontal="center" vertical="center" wrapText="1"/>
    </xf>
    <xf numFmtId="0" fontId="5" fillId="7" borderId="59" xfId="0" applyFont="1" applyFill="1" applyBorder="1"/>
    <xf numFmtId="0" fontId="0" fillId="3" borderId="9" xfId="0" applyNumberFormat="1" applyFont="1" applyFill="1" applyBorder="1" applyAlignment="1">
      <alignment horizontal="right"/>
    </xf>
    <xf numFmtId="0" fontId="6" fillId="4" borderId="9" xfId="0" applyNumberFormat="1" applyFont="1" applyFill="1" applyBorder="1"/>
    <xf numFmtId="165" fontId="5" fillId="0" borderId="0" xfId="2" applyNumberFormat="1" applyFont="1" applyFill="1" applyBorder="1" applyAlignment="1" applyProtection="1"/>
    <xf numFmtId="0" fontId="5" fillId="0" borderId="0" xfId="0" applyFont="1"/>
    <xf numFmtId="0" fontId="0" fillId="0" borderId="0" xfId="0" applyFont="1" applyAlignment="1">
      <alignment horizontal="center"/>
    </xf>
    <xf numFmtId="0" fontId="0" fillId="0" borderId="0" xfId="0" applyFont="1" applyAlignment="1">
      <alignment horizontal="center" vertical="center" wrapText="1"/>
    </xf>
    <xf numFmtId="165" fontId="0" fillId="0" borderId="0" xfId="0" applyNumberFormat="1" applyFont="1"/>
    <xf numFmtId="0" fontId="8" fillId="9" borderId="60" xfId="0" applyFont="1" applyFill="1" applyBorder="1"/>
    <xf numFmtId="0" fontId="8" fillId="9" borderId="60" xfId="0" applyFont="1" applyFill="1" applyBorder="1" applyAlignment="1">
      <alignment horizontal="center"/>
    </xf>
    <xf numFmtId="0" fontId="8" fillId="9" borderId="61" xfId="0" applyFont="1" applyFill="1" applyBorder="1" applyAlignment="1">
      <alignment horizontal="center" vertical="center" wrapText="1"/>
    </xf>
    <xf numFmtId="0" fontId="0" fillId="11" borderId="62" xfId="0" applyFont="1" applyFill="1" applyBorder="1"/>
    <xf numFmtId="165" fontId="0" fillId="11" borderId="62" xfId="2" applyNumberFormat="1" applyFont="1" applyFill="1" applyBorder="1" applyAlignment="1" applyProtection="1"/>
    <xf numFmtId="165" fontId="5" fillId="11" borderId="62" xfId="2" applyNumberFormat="1" applyFont="1" applyFill="1" applyBorder="1" applyAlignment="1" applyProtection="1"/>
    <xf numFmtId="165" fontId="0" fillId="11" borderId="63" xfId="0" applyNumberFormat="1" applyFont="1" applyFill="1" applyBorder="1"/>
    <xf numFmtId="0" fontId="0" fillId="12" borderId="62" xfId="0" applyFont="1" applyFill="1" applyBorder="1"/>
    <xf numFmtId="165" fontId="0" fillId="12" borderId="62" xfId="2" applyNumberFormat="1" applyFont="1" applyFill="1" applyBorder="1" applyAlignment="1" applyProtection="1"/>
    <xf numFmtId="165" fontId="5" fillId="12" borderId="62" xfId="2" applyNumberFormat="1" applyFont="1" applyFill="1" applyBorder="1" applyAlignment="1" applyProtection="1"/>
    <xf numFmtId="165" fontId="0" fillId="12" borderId="64" xfId="0" applyNumberFormat="1" applyFont="1" applyFill="1" applyBorder="1"/>
    <xf numFmtId="165" fontId="0" fillId="11" borderId="64" xfId="0" applyNumberFormat="1" applyFont="1" applyFill="1" applyBorder="1"/>
    <xf numFmtId="0" fontId="5" fillId="11" borderId="65" xfId="0" applyFont="1" applyFill="1" applyBorder="1"/>
    <xf numFmtId="165" fontId="5" fillId="11" borderId="65" xfId="2" applyNumberFormat="1" applyFont="1" applyFill="1" applyBorder="1" applyAlignment="1" applyProtection="1"/>
    <xf numFmtId="165" fontId="0" fillId="11" borderId="66" xfId="0" applyNumberFormat="1" applyFont="1" applyFill="1" applyBorder="1"/>
    <xf numFmtId="0" fontId="8" fillId="10" borderId="60" xfId="0" applyFont="1" applyFill="1" applyBorder="1" applyAlignment="1">
      <alignment horizontal="center"/>
    </xf>
    <xf numFmtId="0" fontId="8" fillId="9" borderId="67" xfId="0" applyFont="1" applyFill="1" applyBorder="1"/>
    <xf numFmtId="0" fontId="8" fillId="9" borderId="68" xfId="0" applyFont="1" applyFill="1" applyBorder="1" applyAlignment="1">
      <alignment horizontal="center" vertical="center" wrapText="1"/>
    </xf>
    <xf numFmtId="0" fontId="0" fillId="11" borderId="69" xfId="0" applyFont="1" applyFill="1" applyBorder="1"/>
    <xf numFmtId="165" fontId="0" fillId="11" borderId="70" xfId="0" applyNumberFormat="1" applyFont="1" applyFill="1" applyBorder="1"/>
    <xf numFmtId="0" fontId="0" fillId="12" borderId="69" xfId="0" applyFont="1" applyFill="1" applyBorder="1"/>
    <xf numFmtId="0" fontId="5" fillId="11" borderId="71" xfId="0" applyFont="1" applyFill="1" applyBorder="1"/>
    <xf numFmtId="165" fontId="5" fillId="11" borderId="72" xfId="2" applyNumberFormat="1" applyFont="1" applyFill="1" applyBorder="1" applyAlignment="1" applyProtection="1"/>
    <xf numFmtId="165" fontId="0" fillId="11" borderId="73" xfId="0" applyNumberFormat="1" applyFont="1" applyFill="1" applyBorder="1"/>
    <xf numFmtId="0" fontId="8" fillId="9" borderId="74" xfId="0" applyFont="1" applyFill="1" applyBorder="1"/>
    <xf numFmtId="0" fontId="8" fillId="10" borderId="75" xfId="0" applyFont="1" applyFill="1" applyBorder="1" applyAlignment="1">
      <alignment horizontal="center"/>
    </xf>
    <xf numFmtId="0" fontId="8" fillId="9" borderId="75" xfId="0" applyFont="1" applyFill="1" applyBorder="1" applyAlignment="1">
      <alignment horizontal="center"/>
    </xf>
    <xf numFmtId="0" fontId="8" fillId="9" borderId="76" xfId="0" applyFont="1" applyFill="1" applyBorder="1" applyAlignment="1">
      <alignment horizontal="center" vertical="center" wrapText="1"/>
    </xf>
    <xf numFmtId="0" fontId="0" fillId="11" borderId="77" xfId="0" applyFont="1" applyFill="1" applyBorder="1"/>
    <xf numFmtId="165" fontId="0" fillId="11" borderId="78" xfId="0" applyNumberFormat="1" applyFont="1" applyFill="1" applyBorder="1"/>
    <xf numFmtId="0" fontId="0" fillId="12" borderId="77" xfId="0" applyFont="1" applyFill="1" applyBorder="1"/>
    <xf numFmtId="0" fontId="5" fillId="11" borderId="79" xfId="0" applyFont="1" applyFill="1" applyBorder="1"/>
    <xf numFmtId="165" fontId="5" fillId="11" borderId="80" xfId="2" applyNumberFormat="1" applyFont="1" applyFill="1" applyBorder="1" applyAlignment="1" applyProtection="1"/>
    <xf numFmtId="165" fontId="0" fillId="11" borderId="81" xfId="0" applyNumberFormat="1" applyFont="1" applyFill="1" applyBorder="1"/>
    <xf numFmtId="165" fontId="0" fillId="11" borderId="62" xfId="3" applyNumberFormat="1" applyFont="1" applyFill="1" applyBorder="1" applyAlignment="1" applyProtection="1"/>
    <xf numFmtId="165" fontId="0" fillId="12" borderId="62" xfId="3" applyNumberFormat="1" applyFont="1" applyFill="1" applyBorder="1" applyAlignment="1" applyProtection="1"/>
    <xf numFmtId="0" fontId="0" fillId="12" borderId="82" xfId="0" applyFont="1" applyFill="1" applyBorder="1"/>
    <xf numFmtId="165" fontId="0" fillId="12" borderId="65" xfId="3" applyNumberFormat="1" applyFont="1" applyFill="1" applyBorder="1" applyAlignment="1" applyProtection="1"/>
    <xf numFmtId="165" fontId="0" fillId="12" borderId="65" xfId="2" applyNumberFormat="1" applyFont="1" applyFill="1" applyBorder="1" applyAlignment="1" applyProtection="1"/>
    <xf numFmtId="165" fontId="0" fillId="11" borderId="83" xfId="0" applyNumberFormat="1" applyFont="1" applyFill="1" applyBorder="1"/>
    <xf numFmtId="165" fontId="0" fillId="11" borderId="62" xfId="4" applyNumberFormat="1" applyFont="1" applyFill="1" applyBorder="1" applyAlignment="1" applyProtection="1"/>
    <xf numFmtId="165" fontId="0" fillId="12" borderId="62" xfId="4" applyNumberFormat="1" applyFont="1" applyFill="1" applyBorder="1" applyAlignment="1" applyProtection="1"/>
    <xf numFmtId="0" fontId="0" fillId="12" borderId="84" xfId="0" applyFont="1" applyFill="1" applyBorder="1"/>
    <xf numFmtId="165" fontId="0" fillId="12" borderId="65" xfId="4" applyNumberFormat="1" applyFont="1" applyFill="1" applyBorder="1" applyAlignment="1" applyProtection="1"/>
    <xf numFmtId="165" fontId="5" fillId="11" borderId="72" xfId="3" applyNumberFormat="1" applyFont="1" applyFill="1" applyBorder="1" applyAlignment="1" applyProtection="1"/>
    <xf numFmtId="0" fontId="8" fillId="9" borderId="85" xfId="0" applyFont="1" applyFill="1" applyBorder="1" applyAlignment="1">
      <alignment horizontal="center"/>
    </xf>
    <xf numFmtId="165" fontId="5" fillId="11" borderId="86" xfId="3" applyNumberFormat="1" applyFont="1" applyFill="1" applyBorder="1" applyAlignment="1" applyProtection="1"/>
    <xf numFmtId="165" fontId="5" fillId="11" borderId="1" xfId="3" applyNumberFormat="1" applyFont="1" applyFill="1" applyBorder="1" applyAlignment="1" applyProtection="1"/>
    <xf numFmtId="165" fontId="4" fillId="11" borderId="62" xfId="3" applyNumberFormat="1" applyFont="1" applyFill="1" applyBorder="1" applyAlignment="1" applyProtection="1"/>
    <xf numFmtId="165" fontId="4" fillId="11" borderId="62" xfId="4" applyNumberFormat="1" applyFont="1" applyFill="1" applyBorder="1" applyAlignment="1" applyProtection="1"/>
    <xf numFmtId="165" fontId="4" fillId="12" borderId="62" xfId="4" applyNumberFormat="1" applyFont="1" applyFill="1" applyBorder="1" applyAlignment="1" applyProtection="1"/>
    <xf numFmtId="0" fontId="8" fillId="9" borderId="67" xfId="0" applyFont="1" applyFill="1" applyBorder="1" applyProtection="1">
      <protection locked="0"/>
    </xf>
    <xf numFmtId="0" fontId="8" fillId="9" borderId="27" xfId="0" applyFont="1" applyFill="1" applyBorder="1" applyAlignment="1" applyProtection="1">
      <alignment horizontal="center"/>
      <protection locked="0"/>
    </xf>
    <xf numFmtId="0" fontId="0" fillId="11" borderId="69" xfId="0" applyFont="1" applyFill="1" applyBorder="1" applyProtection="1">
      <protection locked="0"/>
    </xf>
    <xf numFmtId="165" fontId="0" fillId="11" borderId="62" xfId="3" applyNumberFormat="1" applyFont="1" applyFill="1" applyBorder="1" applyAlignment="1" applyProtection="1">
      <protection locked="0"/>
    </xf>
    <xf numFmtId="0" fontId="0" fillId="12" borderId="69" xfId="0" applyFont="1" applyFill="1" applyBorder="1" applyProtection="1">
      <protection locked="0"/>
    </xf>
    <xf numFmtId="165" fontId="0" fillId="12" borderId="62" xfId="3" applyNumberFormat="1" applyFont="1" applyFill="1" applyBorder="1" applyAlignment="1" applyProtection="1">
      <protection locked="0"/>
    </xf>
    <xf numFmtId="165" fontId="4" fillId="11" borderId="62" xfId="3" applyNumberFormat="1" applyFont="1" applyFill="1" applyBorder="1" applyAlignment="1" applyProtection="1">
      <protection locked="0"/>
    </xf>
    <xf numFmtId="0" fontId="5" fillId="11" borderId="71" xfId="0" applyFont="1" applyFill="1" applyBorder="1" applyProtection="1">
      <protection locked="0"/>
    </xf>
    <xf numFmtId="165" fontId="5" fillId="11" borderId="72" xfId="3" applyNumberFormat="1" applyFont="1" applyFill="1" applyBorder="1" applyAlignment="1" applyProtection="1">
      <protection locked="0"/>
    </xf>
    <xf numFmtId="0" fontId="8" fillId="9" borderId="27" xfId="0" applyFont="1" applyFill="1" applyBorder="1" applyAlignment="1">
      <alignment horizontal="left"/>
    </xf>
    <xf numFmtId="0" fontId="0" fillId="12" borderId="65" xfId="0" applyFont="1" applyFill="1" applyBorder="1"/>
    <xf numFmtId="165" fontId="0" fillId="11" borderId="65" xfId="2" applyNumberFormat="1" applyFont="1" applyFill="1" applyBorder="1" applyAlignment="1" applyProtection="1"/>
    <xf numFmtId="0" fontId="5" fillId="11" borderId="87" xfId="0" applyFont="1" applyFill="1" applyBorder="1"/>
    <xf numFmtId="165" fontId="5" fillId="11" borderId="88" xfId="2" applyNumberFormat="1" applyFont="1" applyFill="1" applyBorder="1" applyAlignment="1" applyProtection="1"/>
    <xf numFmtId="165" fontId="5" fillId="11" borderId="89" xfId="0" applyNumberFormat="1" applyFont="1" applyFill="1" applyBorder="1"/>
    <xf numFmtId="0" fontId="8" fillId="9" borderId="90" xfId="0" applyFont="1" applyFill="1" applyBorder="1" applyAlignment="1">
      <alignment horizontal="center"/>
    </xf>
    <xf numFmtId="165" fontId="0" fillId="11" borderId="91" xfId="2" applyNumberFormat="1" applyFont="1" applyFill="1" applyBorder="1" applyAlignment="1" applyProtection="1"/>
    <xf numFmtId="165" fontId="5" fillId="11" borderId="86" xfId="2" applyNumberFormat="1" applyFont="1" applyFill="1" applyBorder="1" applyAlignment="1" applyProtection="1"/>
    <xf numFmtId="165" fontId="5" fillId="11" borderId="21" xfId="2" applyNumberFormat="1" applyFont="1" applyFill="1" applyBorder="1" applyAlignment="1" applyProtection="1"/>
    <xf numFmtId="165" fontId="5" fillId="11" borderId="40" xfId="2" applyNumberFormat="1" applyFont="1" applyFill="1" applyBorder="1" applyAlignment="1" applyProtection="1"/>
    <xf numFmtId="165" fontId="5" fillId="11" borderId="92" xfId="2" applyNumberFormat="1" applyFont="1" applyFill="1" applyBorder="1" applyAlignment="1" applyProtection="1"/>
    <xf numFmtId="165" fontId="0" fillId="11" borderId="91" xfId="0" applyNumberFormat="1" applyFont="1" applyFill="1" applyBorder="1"/>
    <xf numFmtId="165" fontId="0" fillId="11" borderId="0" xfId="0" applyNumberFormat="1" applyFont="1" applyFill="1" applyBorder="1"/>
    <xf numFmtId="165" fontId="5" fillId="11" borderId="40" xfId="0" applyNumberFormat="1" applyFont="1" applyFill="1" applyBorder="1"/>
    <xf numFmtId="165" fontId="5" fillId="11" borderId="92" xfId="0" applyNumberFormat="1" applyFont="1" applyFill="1" applyBorder="1"/>
    <xf numFmtId="165" fontId="5" fillId="11" borderId="41" xfId="0" applyNumberFormat="1" applyFont="1" applyFill="1" applyBorder="1"/>
    <xf numFmtId="165" fontId="0" fillId="11" borderId="86" xfId="2" applyNumberFormat="1" applyFont="1" applyFill="1" applyBorder="1" applyAlignment="1" applyProtection="1"/>
    <xf numFmtId="0" fontId="1" fillId="0" borderId="0" xfId="0" applyFont="1" applyBorder="1" applyAlignment="1"/>
    <xf numFmtId="0" fontId="7" fillId="9" borderId="93" xfId="0" applyFont="1" applyFill="1" applyBorder="1" applyAlignment="1">
      <alignment horizontal="center" vertical="center" wrapText="1"/>
    </xf>
    <xf numFmtId="0" fontId="7" fillId="9" borderId="94" xfId="0" applyFont="1" applyFill="1" applyBorder="1" applyAlignment="1">
      <alignment horizontal="center" vertical="center"/>
    </xf>
    <xf numFmtId="0" fontId="7" fillId="9" borderId="95" xfId="0" applyFont="1" applyFill="1" applyBorder="1" applyAlignment="1">
      <alignment horizontal="center" vertical="center"/>
    </xf>
    <xf numFmtId="0" fontId="7" fillId="9" borderId="96" xfId="0" applyFont="1" applyFill="1" applyBorder="1" applyAlignment="1">
      <alignment horizontal="center" vertical="center"/>
    </xf>
    <xf numFmtId="0" fontId="7" fillId="9" borderId="97" xfId="0" applyFont="1" applyFill="1" applyBorder="1" applyAlignment="1">
      <alignment horizontal="center" vertical="center"/>
    </xf>
    <xf numFmtId="0" fontId="7" fillId="9" borderId="98" xfId="0" applyFont="1" applyFill="1" applyBorder="1" applyAlignment="1">
      <alignment horizontal="center" vertical="center"/>
    </xf>
    <xf numFmtId="0" fontId="4" fillId="2" borderId="99" xfId="0" applyFont="1" applyFill="1" applyBorder="1"/>
    <xf numFmtId="1" fontId="0" fillId="2" borderId="100" xfId="0" applyNumberFormat="1" applyFont="1" applyFill="1" applyBorder="1" applyAlignment="1">
      <alignment horizontal="right"/>
    </xf>
    <xf numFmtId="0" fontId="4" fillId="3" borderId="101" xfId="0" applyFont="1" applyFill="1" applyBorder="1"/>
    <xf numFmtId="1" fontId="0" fillId="3" borderId="102" xfId="0" applyNumberFormat="1" applyFont="1" applyFill="1" applyBorder="1" applyAlignment="1">
      <alignment horizontal="right"/>
    </xf>
    <xf numFmtId="0" fontId="6" fillId="4" borderId="101" xfId="0" applyFont="1" applyFill="1" applyBorder="1"/>
    <xf numFmtId="1" fontId="6" fillId="4" borderId="102" xfId="0" applyNumberFormat="1" applyFont="1" applyFill="1" applyBorder="1"/>
    <xf numFmtId="9" fontId="0" fillId="3" borderId="102" xfId="6" applyFont="1" applyFill="1" applyBorder="1" applyAlignment="1" applyProtection="1">
      <alignment horizontal="right"/>
    </xf>
    <xf numFmtId="0" fontId="4" fillId="5" borderId="101" xfId="0" applyFont="1" applyFill="1" applyBorder="1"/>
    <xf numFmtId="165" fontId="0" fillId="5" borderId="102" xfId="2" applyNumberFormat="1" applyFont="1" applyFill="1" applyBorder="1" applyAlignment="1" applyProtection="1">
      <alignment horizontal="right"/>
    </xf>
    <xf numFmtId="165" fontId="0" fillId="3" borderId="102" xfId="2" applyNumberFormat="1" applyFont="1" applyFill="1" applyBorder="1" applyAlignment="1" applyProtection="1">
      <alignment horizontal="center"/>
    </xf>
    <xf numFmtId="0" fontId="4" fillId="6" borderId="101" xfId="0" applyFont="1" applyFill="1" applyBorder="1"/>
    <xf numFmtId="165" fontId="0" fillId="6" borderId="102" xfId="2" applyNumberFormat="1" applyFont="1" applyFill="1" applyBorder="1" applyAlignment="1" applyProtection="1">
      <alignment horizontal="center"/>
    </xf>
    <xf numFmtId="165" fontId="5" fillId="3" borderId="102" xfId="0" applyNumberFormat="1" applyFont="1" applyFill="1" applyBorder="1" applyAlignment="1">
      <alignment horizontal="center"/>
    </xf>
    <xf numFmtId="0" fontId="5" fillId="7" borderId="101" xfId="0" applyFont="1" applyFill="1" applyBorder="1"/>
    <xf numFmtId="165" fontId="5" fillId="7" borderId="102" xfId="0" applyNumberFormat="1" applyFont="1" applyFill="1" applyBorder="1"/>
    <xf numFmtId="165" fontId="0" fillId="3" borderId="102" xfId="0" applyNumberFormat="1" applyFill="1" applyBorder="1"/>
    <xf numFmtId="0" fontId="6" fillId="8" borderId="103" xfId="0" applyFont="1" applyFill="1" applyBorder="1"/>
    <xf numFmtId="165" fontId="6" fillId="8" borderId="104" xfId="2" applyNumberFormat="1" applyFont="1" applyFill="1" applyBorder="1" applyAlignment="1" applyProtection="1"/>
    <xf numFmtId="165" fontId="6" fillId="8" borderId="105" xfId="2" applyNumberFormat="1" applyFont="1" applyFill="1" applyBorder="1" applyAlignment="1" applyProtection="1"/>
    <xf numFmtId="165" fontId="6" fillId="8" borderId="106" xfId="2" applyNumberFormat="1" applyFont="1" applyFill="1" applyBorder="1" applyAlignment="1" applyProtection="1"/>
    <xf numFmtId="0" fontId="7" fillId="9" borderId="107" xfId="0" applyFont="1" applyFill="1" applyBorder="1" applyAlignment="1">
      <alignment horizontal="center" vertical="center" wrapText="1"/>
    </xf>
    <xf numFmtId="0" fontId="7" fillId="9" borderId="108" xfId="0" applyFont="1" applyFill="1" applyBorder="1" applyAlignment="1">
      <alignment horizontal="center" vertical="center"/>
    </xf>
    <xf numFmtId="0" fontId="7" fillId="9" borderId="109" xfId="0" applyFont="1" applyFill="1" applyBorder="1" applyAlignment="1">
      <alignment horizontal="center" vertical="center"/>
    </xf>
    <xf numFmtId="0" fontId="4" fillId="2" borderId="110" xfId="0" applyFont="1" applyFill="1" applyBorder="1"/>
    <xf numFmtId="1" fontId="0" fillId="2" borderId="102" xfId="0" applyNumberFormat="1" applyFont="1" applyFill="1" applyBorder="1" applyAlignment="1">
      <alignment horizontal="right"/>
    </xf>
    <xf numFmtId="0" fontId="4" fillId="3" borderId="110" xfId="0" applyFont="1" applyFill="1" applyBorder="1"/>
    <xf numFmtId="0" fontId="6" fillId="4" borderId="110" xfId="0" applyFont="1" applyFill="1" applyBorder="1"/>
    <xf numFmtId="1" fontId="5" fillId="4" borderId="102" xfId="0" applyNumberFormat="1" applyFont="1" applyFill="1" applyBorder="1" applyAlignment="1">
      <alignment horizontal="right"/>
    </xf>
    <xf numFmtId="9" fontId="0" fillId="3" borderId="102" xfId="6" applyNumberFormat="1" applyFont="1" applyFill="1" applyBorder="1" applyAlignment="1" applyProtection="1"/>
    <xf numFmtId="0" fontId="4" fillId="5" borderId="110" xfId="0" applyFont="1" applyFill="1" applyBorder="1"/>
    <xf numFmtId="165" fontId="0" fillId="5" borderId="102" xfId="0" applyNumberFormat="1" applyFont="1" applyFill="1" applyBorder="1"/>
    <xf numFmtId="0" fontId="4" fillId="6" borderId="110" xfId="0" applyFont="1" applyFill="1" applyBorder="1"/>
    <xf numFmtId="165" fontId="0" fillId="3" borderId="102" xfId="3" applyNumberFormat="1" applyFont="1" applyFill="1" applyBorder="1" applyAlignment="1" applyProtection="1"/>
    <xf numFmtId="0" fontId="5" fillId="7" borderId="110" xfId="0" applyFont="1" applyFill="1" applyBorder="1"/>
    <xf numFmtId="165" fontId="5" fillId="7" borderId="102" xfId="0" applyNumberFormat="1" applyFont="1" applyFill="1" applyBorder="1" applyAlignment="1">
      <alignment horizontal="center"/>
    </xf>
    <xf numFmtId="0" fontId="6" fillId="8" borderId="111" xfId="0" applyFont="1" applyFill="1" applyBorder="1"/>
    <xf numFmtId="165" fontId="5" fillId="8" borderId="112" xfId="0" applyNumberFormat="1" applyFont="1" applyFill="1" applyBorder="1" applyAlignment="1">
      <alignment horizontal="center"/>
    </xf>
    <xf numFmtId="165" fontId="5" fillId="8" borderId="106" xfId="0" applyNumberFormat="1" applyFont="1" applyFill="1" applyBorder="1" applyAlignment="1">
      <alignment horizontal="center"/>
    </xf>
    <xf numFmtId="0" fontId="7" fillId="9" borderId="113" xfId="0" applyFont="1" applyFill="1" applyBorder="1" applyAlignment="1">
      <alignment horizontal="center" vertical="center"/>
    </xf>
    <xf numFmtId="0" fontId="0" fillId="3" borderId="110" xfId="0" applyNumberFormat="1" applyFont="1" applyFill="1" applyBorder="1" applyAlignment="1">
      <alignment horizontal="right"/>
    </xf>
    <xf numFmtId="0" fontId="6" fillId="4" borderId="101" xfId="0" applyNumberFormat="1" applyFont="1" applyFill="1" applyBorder="1"/>
    <xf numFmtId="9" fontId="0" fillId="3" borderId="110" xfId="6" applyFont="1" applyFill="1" applyBorder="1" applyAlignment="1" applyProtection="1">
      <alignment horizontal="right"/>
    </xf>
    <xf numFmtId="165" fontId="0" fillId="5" borderId="101" xfId="2" applyNumberFormat="1" applyFont="1" applyFill="1" applyBorder="1" applyAlignment="1" applyProtection="1">
      <alignment horizontal="right"/>
    </xf>
    <xf numFmtId="165" fontId="0" fillId="3" borderId="101" xfId="2" applyNumberFormat="1" applyFont="1" applyFill="1" applyBorder="1" applyAlignment="1" applyProtection="1">
      <alignment horizontal="center"/>
    </xf>
    <xf numFmtId="165" fontId="0" fillId="6" borderId="101" xfId="2" applyNumberFormat="1" applyFont="1" applyFill="1" applyBorder="1" applyAlignment="1" applyProtection="1">
      <alignment horizontal="center"/>
    </xf>
    <xf numFmtId="165" fontId="5" fillId="3" borderId="101" xfId="0" applyNumberFormat="1" applyFont="1" applyFill="1" applyBorder="1" applyAlignment="1">
      <alignment horizontal="center"/>
    </xf>
    <xf numFmtId="165" fontId="5" fillId="7" borderId="101" xfId="0" applyNumberFormat="1" applyFont="1" applyFill="1" applyBorder="1"/>
    <xf numFmtId="165" fontId="0" fillId="3" borderId="101" xfId="0" applyNumberFormat="1" applyFill="1" applyBorder="1"/>
    <xf numFmtId="165" fontId="6" fillId="8" borderId="103" xfId="2" applyNumberFormat="1" applyFont="1" applyFill="1" applyBorder="1" applyAlignment="1" applyProtection="1"/>
    <xf numFmtId="0" fontId="0" fillId="3" borderId="115" xfId="0" applyNumberFormat="1" applyFont="1" applyFill="1" applyBorder="1" applyAlignment="1">
      <alignment horizontal="right"/>
    </xf>
    <xf numFmtId="0" fontId="0" fillId="3" borderId="25" xfId="0" applyNumberFormat="1" applyFont="1" applyFill="1" applyBorder="1" applyAlignment="1">
      <alignment horizontal="right"/>
    </xf>
    <xf numFmtId="0" fontId="0" fillId="3" borderId="25" xfId="0" applyFont="1" applyFill="1" applyBorder="1" applyAlignment="1">
      <alignment horizontal="right"/>
    </xf>
    <xf numFmtId="0" fontId="0" fillId="2" borderId="114" xfId="0" applyNumberFormat="1" applyFont="1" applyFill="1" applyBorder="1" applyAlignment="1">
      <alignment horizontal="right"/>
    </xf>
    <xf numFmtId="0" fontId="0" fillId="2" borderId="114" xfId="0" applyFont="1" applyFill="1" applyBorder="1" applyAlignment="1">
      <alignment horizontal="right"/>
    </xf>
    <xf numFmtId="0" fontId="0" fillId="2" borderId="116" xfId="0" applyNumberFormat="1" applyFont="1" applyFill="1" applyBorder="1" applyAlignment="1">
      <alignment horizontal="right"/>
    </xf>
    <xf numFmtId="0" fontId="0" fillId="3" borderId="25" xfId="0" applyFill="1" applyBorder="1" applyAlignment="1">
      <alignment horizontal="right"/>
    </xf>
    <xf numFmtId="0" fontId="1" fillId="0" borderId="117" xfId="0" applyFont="1" applyBorder="1" applyAlignment="1"/>
    <xf numFmtId="0" fontId="1" fillId="0" borderId="118" xfId="0" applyFont="1" applyBorder="1" applyAlignment="1"/>
    <xf numFmtId="0" fontId="1" fillId="0" borderId="119" xfId="0" applyFont="1" applyBorder="1" applyAlignment="1"/>
    <xf numFmtId="0" fontId="0" fillId="12" borderId="84" xfId="0" applyFill="1" applyBorder="1"/>
    <xf numFmtId="0" fontId="0" fillId="12" borderId="69" xfId="0" applyFill="1" applyBorder="1" applyProtection="1">
      <protection locked="0"/>
    </xf>
    <xf numFmtId="0" fontId="8" fillId="9" borderId="120" xfId="0" applyFont="1" applyFill="1" applyBorder="1" applyAlignment="1">
      <alignment horizontal="center"/>
    </xf>
    <xf numFmtId="0" fontId="7" fillId="9" borderId="121" xfId="0" applyFont="1" applyFill="1" applyBorder="1" applyAlignment="1">
      <alignment horizontal="center" vertical="center"/>
    </xf>
    <xf numFmtId="1" fontId="0" fillId="2" borderId="122" xfId="0" applyNumberFormat="1" applyFont="1" applyFill="1" applyBorder="1"/>
    <xf numFmtId="1" fontId="0" fillId="3" borderId="123" xfId="0" applyNumberFormat="1" applyFont="1" applyFill="1" applyBorder="1" applyAlignment="1">
      <alignment horizontal="right"/>
    </xf>
    <xf numFmtId="165" fontId="0" fillId="5" borderId="123" xfId="2" applyNumberFormat="1" applyFont="1" applyFill="1" applyBorder="1" applyAlignment="1" applyProtection="1">
      <alignment horizontal="right"/>
    </xf>
    <xf numFmtId="165" fontId="6" fillId="8" borderId="112" xfId="2" applyNumberFormat="1" applyFont="1" applyFill="1" applyBorder="1" applyAlignment="1" applyProtection="1"/>
    <xf numFmtId="165" fontId="6" fillId="8" borderId="124" xfId="2" applyNumberFormat="1" applyFont="1" applyFill="1" applyBorder="1" applyAlignment="1" applyProtection="1"/>
    <xf numFmtId="0" fontId="0" fillId="2" borderId="21" xfId="0" applyFont="1" applyFill="1" applyBorder="1" applyAlignment="1">
      <alignment horizontal="right"/>
    </xf>
    <xf numFmtId="0" fontId="0" fillId="3" borderId="23" xfId="0" applyFill="1" applyBorder="1" applyAlignment="1">
      <alignment horizontal="right"/>
    </xf>
    <xf numFmtId="9" fontId="0" fillId="3" borderId="23" xfId="8" applyFont="1" applyFill="1" applyBorder="1" applyAlignment="1" applyProtection="1">
      <alignment horizontal="right"/>
    </xf>
    <xf numFmtId="165" fontId="0" fillId="6" borderId="23" xfId="3" applyNumberFormat="1" applyFont="1" applyFill="1" applyBorder="1" applyAlignment="1" applyProtection="1"/>
    <xf numFmtId="0" fontId="7" fillId="9" borderId="125" xfId="0" applyFont="1" applyFill="1" applyBorder="1" applyAlignment="1">
      <alignment horizontal="center" vertical="center" wrapText="1"/>
    </xf>
    <xf numFmtId="0" fontId="4" fillId="2" borderId="126" xfId="0" applyFont="1" applyFill="1" applyBorder="1"/>
    <xf numFmtId="0" fontId="4" fillId="3" borderId="127" xfId="0" applyFont="1" applyFill="1" applyBorder="1"/>
    <xf numFmtId="0" fontId="6" fillId="4" borderId="127" xfId="0" applyFont="1" applyFill="1" applyBorder="1"/>
    <xf numFmtId="0" fontId="4" fillId="5" borderId="127" xfId="0" applyFont="1" applyFill="1" applyBorder="1"/>
    <xf numFmtId="0" fontId="4" fillId="6" borderId="127" xfId="0" applyFont="1" applyFill="1" applyBorder="1"/>
    <xf numFmtId="0" fontId="5" fillId="7" borderId="127" xfId="0" applyFont="1" applyFill="1" applyBorder="1"/>
    <xf numFmtId="0" fontId="6" fillId="8" borderId="128" xfId="0" applyFont="1" applyFill="1" applyBorder="1"/>
    <xf numFmtId="167" fontId="0" fillId="2" borderId="102" xfId="1" applyNumberFormat="1" applyFont="1" applyFill="1" applyBorder="1" applyAlignment="1" applyProtection="1"/>
    <xf numFmtId="165" fontId="0" fillId="5" borderId="102" xfId="0" applyNumberFormat="1" applyFill="1" applyBorder="1"/>
    <xf numFmtId="165" fontId="0" fillId="3" borderId="102" xfId="2" applyNumberFormat="1" applyFont="1" applyFill="1" applyBorder="1" applyAlignment="1" applyProtection="1"/>
    <xf numFmtId="165" fontId="0" fillId="6" borderId="102" xfId="2" applyNumberFormat="1" applyFont="1" applyFill="1" applyBorder="1" applyAlignment="1" applyProtection="1"/>
    <xf numFmtId="165" fontId="0" fillId="7" borderId="102" xfId="2" applyNumberFormat="1" applyFont="1" applyFill="1" applyBorder="1" applyAlignment="1" applyProtection="1"/>
    <xf numFmtId="165" fontId="5" fillId="8" borderId="106" xfId="2" applyNumberFormat="1" applyFont="1" applyFill="1" applyBorder="1" applyAlignment="1" applyProtection="1"/>
    <xf numFmtId="0" fontId="7" fillId="9" borderId="129" xfId="0" applyFont="1" applyFill="1" applyBorder="1" applyAlignment="1">
      <alignment horizontal="center" vertical="center"/>
    </xf>
    <xf numFmtId="0" fontId="5" fillId="4" borderId="23" xfId="0" applyFont="1" applyFill="1" applyBorder="1" applyAlignment="1">
      <alignment horizontal="right"/>
    </xf>
    <xf numFmtId="165" fontId="5" fillId="8" borderId="130" xfId="0" applyNumberFormat="1" applyFont="1" applyFill="1" applyBorder="1" applyAlignment="1">
      <alignment horizontal="center"/>
    </xf>
    <xf numFmtId="0" fontId="7" fillId="9" borderId="131" xfId="0" applyFont="1" applyFill="1" applyBorder="1" applyAlignment="1">
      <alignment horizontal="center" vertical="center" wrapText="1"/>
    </xf>
    <xf numFmtId="0" fontId="4" fillId="2" borderId="127" xfId="0" applyFont="1" applyFill="1" applyBorder="1"/>
    <xf numFmtId="0" fontId="7" fillId="9" borderId="132" xfId="0" applyFont="1" applyFill="1" applyBorder="1" applyAlignment="1">
      <alignment horizontal="center" vertical="center"/>
    </xf>
    <xf numFmtId="1" fontId="0" fillId="2" borderId="100" xfId="0" applyNumberFormat="1" applyFont="1" applyFill="1" applyBorder="1"/>
    <xf numFmtId="1" fontId="6" fillId="4" borderId="123" xfId="0" applyNumberFormat="1" applyFont="1" applyFill="1" applyBorder="1"/>
    <xf numFmtId="9" fontId="0" fillId="3" borderId="123" xfId="6" applyFont="1" applyFill="1" applyBorder="1" applyAlignment="1" applyProtection="1">
      <alignment horizontal="right"/>
    </xf>
    <xf numFmtId="165" fontId="0" fillId="3" borderId="123" xfId="2" applyNumberFormat="1" applyFont="1" applyFill="1" applyBorder="1" applyAlignment="1" applyProtection="1">
      <alignment horizontal="center"/>
    </xf>
    <xf numFmtId="165" fontId="0" fillId="6" borderId="123" xfId="2" applyNumberFormat="1" applyFont="1" applyFill="1" applyBorder="1" applyAlignment="1" applyProtection="1">
      <alignment horizontal="center"/>
    </xf>
    <xf numFmtId="165" fontId="5" fillId="3" borderId="123" xfId="0" applyNumberFormat="1" applyFont="1" applyFill="1" applyBorder="1" applyAlignment="1">
      <alignment horizontal="center"/>
    </xf>
    <xf numFmtId="165" fontId="5" fillId="7" borderId="123" xfId="0" applyNumberFormat="1" applyFont="1" applyFill="1" applyBorder="1"/>
    <xf numFmtId="165" fontId="0" fillId="3" borderId="123" xfId="0" applyNumberFormat="1" applyFill="1" applyBorder="1"/>
    <xf numFmtId="165" fontId="6" fillId="8" borderId="133" xfId="2" applyNumberFormat="1" applyFont="1" applyFill="1" applyBorder="1" applyAlignment="1" applyProtection="1"/>
    <xf numFmtId="1" fontId="0" fillId="2" borderId="134" xfId="0" applyNumberFormat="1" applyFont="1" applyFill="1" applyBorder="1"/>
    <xf numFmtId="1" fontId="0" fillId="3" borderId="135" xfId="0" applyNumberFormat="1" applyFont="1" applyFill="1" applyBorder="1" applyAlignment="1">
      <alignment horizontal="right"/>
    </xf>
    <xf numFmtId="1" fontId="6" fillId="4" borderId="135" xfId="0" applyNumberFormat="1" applyFont="1" applyFill="1" applyBorder="1"/>
    <xf numFmtId="9" fontId="0" fillId="3" borderId="135" xfId="6" applyNumberFormat="1" applyFont="1" applyFill="1" applyBorder="1" applyAlignment="1" applyProtection="1">
      <alignment horizontal="right"/>
    </xf>
    <xf numFmtId="165" fontId="0" fillId="3" borderId="123" xfId="0" applyNumberFormat="1" applyFont="1" applyFill="1" applyBorder="1"/>
    <xf numFmtId="165" fontId="0" fillId="6" borderId="18" xfId="2" applyNumberFormat="1" applyFont="1" applyFill="1" applyBorder="1" applyAlignment="1" applyProtection="1">
      <alignment horizontal="center"/>
    </xf>
    <xf numFmtId="165" fontId="0" fillId="3" borderId="12" xfId="2" applyNumberFormat="1" applyFont="1" applyFill="1" applyBorder="1" applyAlignment="1" applyProtection="1">
      <alignment horizontal="center"/>
    </xf>
    <xf numFmtId="165" fontId="5" fillId="3" borderId="25" xfId="0" applyNumberFormat="1" applyFont="1" applyFill="1" applyBorder="1" applyAlignment="1">
      <alignment horizontal="center"/>
    </xf>
    <xf numFmtId="165" fontId="0" fillId="6" borderId="114" xfId="2" applyNumberFormat="1" applyFont="1" applyFill="1" applyBorder="1" applyAlignment="1" applyProtection="1">
      <alignment horizontal="center"/>
    </xf>
    <xf numFmtId="165" fontId="0" fillId="6" borderId="23" xfId="2" applyNumberFormat="1" applyFont="1" applyFill="1" applyBorder="1" applyAlignment="1" applyProtection="1"/>
    <xf numFmtId="165" fontId="0" fillId="3" borderId="11" xfId="2" applyNumberFormat="1" applyFont="1" applyFill="1" applyBorder="1" applyAlignment="1" applyProtection="1">
      <alignment horizontal="center"/>
    </xf>
    <xf numFmtId="165" fontId="0" fillId="3" borderId="22" xfId="2" applyNumberFormat="1" applyFont="1" applyFill="1" applyBorder="1" applyAlignment="1" applyProtection="1">
      <alignment horizontal="center"/>
    </xf>
    <xf numFmtId="165" fontId="0" fillId="6" borderId="114" xfId="3" applyNumberFormat="1" applyFont="1" applyFill="1" applyBorder="1" applyAlignment="1" applyProtection="1"/>
    <xf numFmtId="0" fontId="0" fillId="3" borderId="22" xfId="0" applyFont="1" applyFill="1" applyBorder="1" applyAlignment="1">
      <alignment horizontal="right"/>
    </xf>
    <xf numFmtId="0" fontId="0" fillId="3" borderId="136" xfId="0" applyFont="1" applyFill="1" applyBorder="1" applyAlignment="1">
      <alignment horizontal="right"/>
    </xf>
    <xf numFmtId="0" fontId="0" fillId="3" borderId="22" xfId="0" applyFill="1" applyBorder="1" applyAlignment="1">
      <alignment horizontal="right"/>
    </xf>
    <xf numFmtId="0" fontId="0" fillId="3" borderId="24" xfId="0" applyFont="1" applyFill="1" applyBorder="1" applyAlignment="1">
      <alignment horizontal="right"/>
    </xf>
    <xf numFmtId="0" fontId="0" fillId="2" borderId="114" xfId="0" applyFont="1" applyFill="1" applyBorder="1"/>
    <xf numFmtId="0" fontId="0" fillId="2" borderId="114" xfId="0" applyFill="1" applyBorder="1" applyAlignment="1">
      <alignment horizontal="right"/>
    </xf>
    <xf numFmtId="165" fontId="0" fillId="11" borderId="91" xfId="0" applyNumberFormat="1" applyFill="1" applyBorder="1"/>
    <xf numFmtId="0" fontId="0" fillId="2" borderId="23" xfId="0" applyFont="1" applyFill="1" applyBorder="1"/>
    <xf numFmtId="0" fontId="0" fillId="3" borderId="136" xfId="0" applyFill="1" applyBorder="1" applyAlignment="1">
      <alignment horizontal="right"/>
    </xf>
    <xf numFmtId="0" fontId="0" fillId="2" borderId="114" xfId="0" applyFill="1" applyBorder="1"/>
    <xf numFmtId="165" fontId="5" fillId="11" borderId="91" xfId="3" applyNumberFormat="1" applyFont="1" applyFill="1" applyBorder="1" applyAlignment="1" applyProtection="1"/>
    <xf numFmtId="165" fontId="5" fillId="11" borderId="13" xfId="3" applyNumberFormat="1" applyFont="1" applyFill="1" applyBorder="1" applyAlignment="1" applyProtection="1">
      <protection locked="0"/>
    </xf>
    <xf numFmtId="0" fontId="8" fillId="9" borderId="137" xfId="0" applyFont="1" applyFill="1" applyBorder="1" applyAlignment="1">
      <alignment horizontal="center" vertical="center" wrapText="1"/>
    </xf>
    <xf numFmtId="165" fontId="0" fillId="11" borderId="138" xfId="0" applyNumberFormat="1" applyFont="1" applyFill="1" applyBorder="1"/>
    <xf numFmtId="165" fontId="0" fillId="11" borderId="139" xfId="0" applyNumberFormat="1" applyFont="1" applyFill="1" applyBorder="1"/>
    <xf numFmtId="0" fontId="0" fillId="12" borderId="84" xfId="0" applyFill="1" applyBorder="1" applyProtection="1">
      <protection locked="0"/>
    </xf>
    <xf numFmtId="165" fontId="0" fillId="12" borderId="65" xfId="3" applyNumberFormat="1" applyFont="1" applyFill="1" applyBorder="1" applyAlignment="1" applyProtection="1">
      <protection locked="0"/>
    </xf>
    <xf numFmtId="165" fontId="5" fillId="11" borderId="0" xfId="3" applyNumberFormat="1" applyFont="1" applyFill="1" applyBorder="1" applyAlignment="1" applyProtection="1"/>
    <xf numFmtId="165" fontId="0" fillId="11" borderId="140" xfId="0" applyNumberFormat="1" applyFont="1" applyFill="1" applyBorder="1"/>
    <xf numFmtId="0" fontId="12" fillId="0" borderId="114" xfId="0" applyFont="1" applyFill="1" applyBorder="1" applyAlignment="1">
      <alignment vertical="center" wrapText="1"/>
    </xf>
    <xf numFmtId="0" fontId="13" fillId="13" borderId="114" xfId="0" applyFont="1" applyFill="1" applyBorder="1" applyAlignment="1">
      <alignment horizontal="center" vertical="center" wrapText="1"/>
    </xf>
    <xf numFmtId="0" fontId="14" fillId="0" borderId="0" xfId="0" applyFont="1" applyAlignment="1">
      <alignment vertical="center" wrapText="1"/>
    </xf>
    <xf numFmtId="0" fontId="14" fillId="0" borderId="0" xfId="0" applyFont="1" applyAlignment="1">
      <alignment wrapText="1"/>
    </xf>
    <xf numFmtId="3" fontId="15" fillId="16" borderId="114" xfId="2" applyNumberFormat="1" applyFont="1" applyFill="1" applyBorder="1" applyAlignment="1">
      <alignment horizontal="center" wrapText="1"/>
    </xf>
    <xf numFmtId="3" fontId="16" fillId="16" borderId="114" xfId="0" applyNumberFormat="1" applyFont="1" applyFill="1" applyBorder="1" applyAlignment="1">
      <alignment horizontal="center" wrapText="1"/>
    </xf>
    <xf numFmtId="3" fontId="16" fillId="17" borderId="114" xfId="0" applyNumberFormat="1" applyFont="1" applyFill="1" applyBorder="1" applyAlignment="1">
      <alignment horizontal="center" wrapText="1"/>
    </xf>
    <xf numFmtId="3" fontId="17" fillId="17" borderId="114" xfId="0" applyNumberFormat="1" applyFont="1" applyFill="1" applyBorder="1" applyAlignment="1">
      <alignment horizontal="center" vertical="center" wrapText="1"/>
    </xf>
    <xf numFmtId="3" fontId="14" fillId="17" borderId="0" xfId="0" applyNumberFormat="1" applyFont="1" applyFill="1" applyAlignment="1">
      <alignment wrapText="1"/>
    </xf>
    <xf numFmtId="3" fontId="15" fillId="16" borderId="141" xfId="2" applyNumberFormat="1" applyFont="1" applyFill="1" applyBorder="1" applyAlignment="1">
      <alignment horizontal="center" wrapText="1"/>
    </xf>
    <xf numFmtId="3" fontId="16" fillId="17" borderId="141" xfId="0" applyNumberFormat="1" applyFont="1" applyFill="1" applyBorder="1" applyAlignment="1">
      <alignment horizontal="center" wrapText="1"/>
    </xf>
    <xf numFmtId="3" fontId="16" fillId="16" borderId="141" xfId="0" applyNumberFormat="1" applyFont="1" applyFill="1" applyBorder="1" applyAlignment="1">
      <alignment horizontal="center" wrapText="1"/>
    </xf>
    <xf numFmtId="3" fontId="17" fillId="17" borderId="141" xfId="0" applyNumberFormat="1" applyFont="1" applyFill="1" applyBorder="1" applyAlignment="1">
      <alignment horizontal="center" vertical="center" wrapText="1"/>
    </xf>
    <xf numFmtId="3" fontId="15" fillId="16" borderId="150" xfId="2" applyNumberFormat="1" applyFont="1" applyFill="1" applyBorder="1" applyAlignment="1">
      <alignment horizontal="center" wrapText="1"/>
    </xf>
    <xf numFmtId="3" fontId="17" fillId="17" borderId="0" xfId="0" applyNumberFormat="1" applyFont="1" applyFill="1" applyAlignment="1">
      <alignment horizontal="center" wrapText="1"/>
    </xf>
    <xf numFmtId="0" fontId="18" fillId="0" borderId="114" xfId="0" applyFont="1" applyBorder="1" applyAlignment="1">
      <alignment horizontal="center" wrapText="1"/>
    </xf>
    <xf numFmtId="0" fontId="18" fillId="0" borderId="153" xfId="0" applyFont="1" applyBorder="1" applyAlignment="1">
      <alignment horizontal="center" wrapText="1"/>
    </xf>
    <xf numFmtId="0" fontId="14" fillId="0" borderId="153" xfId="0" applyFont="1" applyBorder="1" applyAlignment="1">
      <alignment horizontal="center" wrapText="1"/>
    </xf>
    <xf numFmtId="0" fontId="14" fillId="0" borderId="114" xfId="0" applyFont="1" applyBorder="1" applyAlignment="1">
      <alignment horizontal="center" wrapText="1"/>
    </xf>
    <xf numFmtId="0" fontId="14" fillId="0" borderId="153" xfId="0" applyFont="1" applyBorder="1" applyAlignment="1">
      <alignment horizontal="center" vertical="center" wrapText="1"/>
    </xf>
    <xf numFmtId="0" fontId="14" fillId="0" borderId="0" xfId="0" applyFont="1" applyBorder="1" applyAlignment="1">
      <alignment wrapText="1"/>
    </xf>
    <xf numFmtId="0" fontId="14" fillId="20" borderId="114" xfId="0" applyFont="1" applyFill="1" applyBorder="1" applyAlignment="1">
      <alignment horizontal="center" wrapText="1"/>
    </xf>
    <xf numFmtId="0" fontId="14" fillId="21" borderId="114" xfId="0" applyFont="1" applyFill="1" applyBorder="1" applyAlignment="1">
      <alignment horizontal="center" wrapText="1"/>
    </xf>
    <xf numFmtId="0" fontId="14" fillId="22" borderId="114" xfId="0" applyFont="1" applyFill="1" applyBorder="1" applyAlignment="1">
      <alignment horizontal="center" wrapText="1"/>
    </xf>
    <xf numFmtId="0" fontId="14" fillId="0" borderId="0" xfId="0" applyFont="1" applyBorder="1" applyAlignment="1">
      <alignment horizontal="center" wrapText="1"/>
    </xf>
    <xf numFmtId="0" fontId="14" fillId="0" borderId="114" xfId="0" applyFont="1" applyBorder="1" applyAlignment="1">
      <alignment horizontal="center" vertical="center" wrapText="1"/>
    </xf>
    <xf numFmtId="0" fontId="14" fillId="23" borderId="114" xfId="0" applyFont="1" applyFill="1" applyBorder="1" applyAlignment="1">
      <alignment horizontal="center" wrapText="1"/>
    </xf>
    <xf numFmtId="0" fontId="14" fillId="24" borderId="114" xfId="0" applyFont="1" applyFill="1" applyBorder="1" applyAlignment="1">
      <alignment horizontal="center" wrapText="1"/>
    </xf>
    <xf numFmtId="0" fontId="14" fillId="23" borderId="114" xfId="0" applyFont="1" applyFill="1" applyBorder="1" applyAlignment="1">
      <alignment horizontal="center" vertical="center" wrapText="1"/>
    </xf>
    <xf numFmtId="0" fontId="14" fillId="0" borderId="114" xfId="0" applyFont="1" applyFill="1" applyBorder="1" applyAlignment="1">
      <alignment horizontal="center" wrapText="1"/>
    </xf>
    <xf numFmtId="0" fontId="14" fillId="0" borderId="141" xfId="0" applyFont="1" applyFill="1" applyBorder="1" applyAlignment="1">
      <alignment horizontal="center" wrapText="1"/>
    </xf>
    <xf numFmtId="0" fontId="17" fillId="0" borderId="141" xfId="0" applyFont="1" applyBorder="1" applyAlignment="1">
      <alignment wrapText="1"/>
    </xf>
    <xf numFmtId="0" fontId="17" fillId="0" borderId="141" xfId="0" applyFont="1" applyBorder="1" applyAlignment="1">
      <alignment horizontal="center" wrapText="1"/>
    </xf>
    <xf numFmtId="0" fontId="17" fillId="0" borderId="160" xfId="0" applyFont="1" applyBorder="1" applyAlignment="1">
      <alignment horizontal="center" wrapText="1"/>
    </xf>
    <xf numFmtId="0" fontId="17" fillId="0" borderId="161" xfId="0" applyFont="1" applyBorder="1" applyAlignment="1">
      <alignment horizontal="center" wrapText="1"/>
    </xf>
    <xf numFmtId="0" fontId="17" fillId="0" borderId="114" xfId="0" applyFont="1" applyBorder="1" applyAlignment="1">
      <alignment wrapText="1"/>
    </xf>
    <xf numFmtId="0" fontId="17" fillId="0" borderId="0" xfId="0" applyFont="1" applyBorder="1" applyAlignment="1">
      <alignment wrapText="1"/>
    </xf>
    <xf numFmtId="0" fontId="17" fillId="0" borderId="114" xfId="0" applyFont="1" applyBorder="1" applyAlignment="1">
      <alignment horizontal="center" wrapText="1"/>
    </xf>
    <xf numFmtId="0" fontId="17" fillId="0" borderId="150" xfId="0" applyFont="1" applyBorder="1" applyAlignment="1">
      <alignment horizontal="center" wrapText="1"/>
    </xf>
    <xf numFmtId="0" fontId="17" fillId="0" borderId="162" xfId="0" applyFont="1" applyBorder="1" applyAlignment="1">
      <alignment horizontal="center" wrapText="1"/>
    </xf>
    <xf numFmtId="0" fontId="17" fillId="0" borderId="163" xfId="0" applyFont="1" applyBorder="1" applyAlignment="1">
      <alignment horizontal="center" wrapText="1"/>
    </xf>
    <xf numFmtId="0" fontId="17" fillId="0" borderId="153" xfId="0" applyFont="1" applyBorder="1" applyAlignment="1">
      <alignment wrapText="1"/>
    </xf>
    <xf numFmtId="0" fontId="17" fillId="0" borderId="153" xfId="0" applyFont="1" applyBorder="1" applyAlignment="1">
      <alignment horizontal="center" wrapText="1"/>
    </xf>
    <xf numFmtId="0" fontId="17" fillId="0" borderId="142" xfId="0" applyFont="1" applyBorder="1" applyAlignment="1">
      <alignment horizontal="center" wrapText="1"/>
    </xf>
    <xf numFmtId="0" fontId="17" fillId="0" borderId="164" xfId="0" applyFont="1" applyBorder="1" applyAlignment="1">
      <alignment horizontal="center" wrapText="1"/>
    </xf>
    <xf numFmtId="0" fontId="17" fillId="0" borderId="114" xfId="0" applyFont="1" applyBorder="1" applyAlignment="1">
      <alignment horizontal="center" vertical="center" wrapText="1"/>
    </xf>
    <xf numFmtId="0" fontId="17" fillId="0" borderId="153" xfId="0" applyFont="1" applyBorder="1" applyAlignment="1">
      <alignment horizontal="center" vertical="center" wrapText="1"/>
    </xf>
    <xf numFmtId="0" fontId="17" fillId="0" borderId="0" xfId="0" applyFont="1" applyAlignment="1">
      <alignment wrapText="1"/>
    </xf>
    <xf numFmtId="0" fontId="19" fillId="0" borderId="114" xfId="0" applyFont="1" applyBorder="1" applyAlignment="1">
      <alignment horizontal="center" wrapText="1"/>
    </xf>
    <xf numFmtId="0" fontId="20" fillId="0" borderId="114" xfId="0" applyFont="1" applyBorder="1" applyAlignment="1">
      <alignment horizontal="center" wrapText="1"/>
    </xf>
    <xf numFmtId="0" fontId="17" fillId="0" borderId="165" xfId="0" applyFont="1" applyBorder="1" applyAlignment="1">
      <alignment horizontal="center" wrapText="1"/>
    </xf>
    <xf numFmtId="0" fontId="12" fillId="0" borderId="0" xfId="0" applyFont="1" applyFill="1" applyAlignment="1">
      <alignment wrapText="1"/>
    </xf>
    <xf numFmtId="0" fontId="18" fillId="0" borderId="0" xfId="0" applyFont="1" applyAlignment="1">
      <alignment wrapText="1"/>
    </xf>
    <xf numFmtId="0" fontId="16" fillId="0" borderId="0" xfId="0" applyFont="1" applyAlignment="1">
      <alignment wrapText="1"/>
    </xf>
    <xf numFmtId="3" fontId="17" fillId="25" borderId="114" xfId="0" applyNumberFormat="1" applyFont="1" applyFill="1" applyBorder="1" applyAlignment="1">
      <alignment horizontal="center" vertical="center" wrapText="1"/>
    </xf>
    <xf numFmtId="0" fontId="17" fillId="25" borderId="114" xfId="0" applyFont="1" applyFill="1" applyBorder="1" applyAlignment="1">
      <alignment horizontal="center" vertical="center" wrapText="1"/>
    </xf>
    <xf numFmtId="0" fontId="24" fillId="26" borderId="114" xfId="0" applyFont="1" applyFill="1" applyBorder="1" applyAlignment="1">
      <alignment horizontal="center" vertical="center" wrapText="1"/>
    </xf>
    <xf numFmtId="0" fontId="17" fillId="25" borderId="114" xfId="0" applyFont="1" applyFill="1" applyBorder="1" applyAlignment="1">
      <alignment wrapText="1"/>
    </xf>
    <xf numFmtId="0" fontId="14" fillId="25" borderId="114" xfId="0" applyFont="1" applyFill="1" applyBorder="1" applyAlignment="1">
      <alignment horizontal="center" vertical="center" wrapText="1"/>
    </xf>
    <xf numFmtId="0" fontId="25" fillId="27" borderId="114" xfId="0" applyFont="1" applyFill="1" applyBorder="1" applyAlignment="1">
      <alignment horizontal="center" vertical="center" wrapText="1"/>
    </xf>
    <xf numFmtId="3" fontId="24" fillId="29" borderId="153" xfId="0" applyNumberFormat="1" applyFont="1" applyFill="1" applyBorder="1" applyAlignment="1">
      <alignment horizontal="center" vertical="center" wrapText="1"/>
    </xf>
    <xf numFmtId="0" fontId="26" fillId="0" borderId="153" xfId="0" applyFont="1" applyBorder="1" applyAlignment="1">
      <alignment horizontal="center" vertical="center" wrapText="1"/>
    </xf>
    <xf numFmtId="0" fontId="26" fillId="30" borderId="153" xfId="0" applyFont="1" applyFill="1" applyBorder="1" applyAlignment="1">
      <alignment horizontal="center" vertical="center" wrapText="1"/>
    </xf>
    <xf numFmtId="0" fontId="26" fillId="0" borderId="153" xfId="0" applyFont="1" applyBorder="1" applyAlignment="1">
      <alignment horizontal="center" wrapText="1"/>
    </xf>
    <xf numFmtId="0" fontId="24" fillId="0" borderId="153" xfId="0" applyFont="1" applyBorder="1" applyAlignment="1">
      <alignment wrapText="1"/>
    </xf>
    <xf numFmtId="0" fontId="24" fillId="0" borderId="153" xfId="0" applyFont="1" applyBorder="1" applyAlignment="1">
      <alignment horizontal="center" vertical="center" wrapText="1"/>
    </xf>
    <xf numFmtId="0" fontId="24" fillId="0" borderId="0" xfId="0" applyFont="1" applyAlignment="1">
      <alignment wrapText="1"/>
    </xf>
    <xf numFmtId="0" fontId="26" fillId="0" borderId="0" xfId="0" applyFont="1" applyAlignment="1">
      <alignment wrapText="1"/>
    </xf>
    <xf numFmtId="0" fontId="14" fillId="25" borderId="153" xfId="0" applyFont="1" applyFill="1" applyBorder="1" applyAlignment="1">
      <alignment horizontal="center" vertical="center" wrapText="1"/>
    </xf>
    <xf numFmtId="0" fontId="26" fillId="25" borderId="153" xfId="0" applyFont="1" applyFill="1" applyBorder="1" applyAlignment="1">
      <alignment horizontal="center" vertical="center" wrapText="1"/>
    </xf>
    <xf numFmtId="0" fontId="24" fillId="0" borderId="153" xfId="0" applyFont="1" applyBorder="1" applyAlignment="1">
      <alignment horizontal="center" wrapText="1"/>
    </xf>
    <xf numFmtId="0" fontId="26" fillId="0" borderId="166" xfId="0" applyFont="1" applyBorder="1" applyAlignment="1">
      <alignment horizontal="center" vertical="center" wrapText="1"/>
    </xf>
    <xf numFmtId="0" fontId="17" fillId="0" borderId="166" xfId="0" applyFont="1" applyBorder="1" applyAlignment="1">
      <alignment wrapText="1"/>
    </xf>
    <xf numFmtId="0" fontId="17" fillId="32" borderId="114" xfId="0" applyFont="1" applyFill="1" applyBorder="1" applyAlignment="1">
      <alignment horizontal="center" wrapText="1"/>
    </xf>
    <xf numFmtId="0" fontId="24" fillId="32" borderId="153" xfId="0" applyFont="1" applyFill="1" applyBorder="1" applyAlignment="1">
      <alignment horizontal="center" vertical="center" wrapText="1"/>
    </xf>
    <xf numFmtId="0" fontId="26" fillId="32" borderId="166" xfId="0" applyFont="1" applyFill="1" applyBorder="1" applyAlignment="1">
      <alignment horizontal="center" vertical="center" wrapText="1"/>
    </xf>
    <xf numFmtId="0" fontId="8" fillId="9" borderId="27" xfId="18" applyFont="1" applyFill="1" applyBorder="1" applyAlignment="1" applyProtection="1">
      <alignment horizontal="center"/>
      <protection locked="0"/>
    </xf>
    <xf numFmtId="0" fontId="8" fillId="9" borderId="27" xfId="18" applyFont="1" applyFill="1" applyBorder="1" applyAlignment="1">
      <alignment horizontal="center"/>
    </xf>
    <xf numFmtId="0" fontId="8" fillId="9" borderId="58" xfId="18" applyFont="1" applyFill="1" applyBorder="1" applyAlignment="1">
      <alignment horizontal="center"/>
    </xf>
    <xf numFmtId="0" fontId="10" fillId="11" borderId="69" xfId="18" applyFont="1" applyFill="1" applyBorder="1" applyProtection="1">
      <protection locked="0"/>
    </xf>
    <xf numFmtId="165" fontId="10" fillId="11" borderId="62" xfId="3" applyNumberFormat="1" applyFont="1" applyFill="1" applyBorder="1" applyAlignment="1" applyProtection="1">
      <protection locked="0"/>
    </xf>
    <xf numFmtId="165" fontId="10" fillId="11" borderId="62" xfId="3" applyNumberFormat="1" applyFont="1" applyFill="1" applyBorder="1" applyAlignment="1" applyProtection="1"/>
    <xf numFmtId="165" fontId="10" fillId="11" borderId="167" xfId="3" applyNumberFormat="1" applyFont="1" applyFill="1" applyBorder="1" applyAlignment="1" applyProtection="1"/>
    <xf numFmtId="0" fontId="10" fillId="12" borderId="69" xfId="18" applyFont="1" applyFill="1" applyBorder="1" applyProtection="1">
      <protection locked="0"/>
    </xf>
    <xf numFmtId="165" fontId="10" fillId="12" borderId="62" xfId="3" applyNumberFormat="1" applyFont="1" applyFill="1" applyBorder="1" applyAlignment="1" applyProtection="1">
      <protection locked="0"/>
    </xf>
    <xf numFmtId="165" fontId="10" fillId="12" borderId="62" xfId="3" applyNumberFormat="1" applyFont="1" applyFill="1" applyBorder="1" applyAlignment="1" applyProtection="1"/>
    <xf numFmtId="165" fontId="10" fillId="12" borderId="167" xfId="3" applyNumberFormat="1" applyFont="1" applyFill="1" applyBorder="1" applyAlignment="1" applyProtection="1"/>
    <xf numFmtId="165" fontId="4" fillId="12" borderId="167" xfId="3" applyNumberFormat="1" applyFont="1" applyFill="1" applyBorder="1" applyAlignment="1" applyProtection="1"/>
    <xf numFmtId="165" fontId="4" fillId="11" borderId="167" xfId="3" applyNumberFormat="1" applyFont="1" applyFill="1" applyBorder="1" applyAlignment="1" applyProtection="1"/>
    <xf numFmtId="0" fontId="10" fillId="12" borderId="168" xfId="18" applyFont="1" applyFill="1" applyBorder="1" applyProtection="1">
      <protection locked="0"/>
    </xf>
    <xf numFmtId="165" fontId="10" fillId="12" borderId="169" xfId="3" applyNumberFormat="1" applyFont="1" applyFill="1" applyBorder="1" applyAlignment="1" applyProtection="1">
      <protection locked="0"/>
    </xf>
    <xf numFmtId="165" fontId="10" fillId="12" borderId="169" xfId="3" applyNumberFormat="1" applyFont="1" applyFill="1" applyBorder="1" applyAlignment="1" applyProtection="1"/>
    <xf numFmtId="165" fontId="10" fillId="12" borderId="170" xfId="3" applyNumberFormat="1" applyFont="1" applyFill="1" applyBorder="1" applyAlignment="1" applyProtection="1"/>
    <xf numFmtId="0" fontId="5" fillId="11" borderId="71" xfId="18" applyFont="1" applyFill="1" applyBorder="1" applyProtection="1">
      <protection locked="0"/>
    </xf>
    <xf numFmtId="0" fontId="17" fillId="0" borderId="172" xfId="0" applyFont="1" applyBorder="1" applyAlignment="1">
      <alignment wrapText="1"/>
    </xf>
    <xf numFmtId="0" fontId="24" fillId="0" borderId="142" xfId="0" applyFont="1" applyBorder="1" applyAlignment="1">
      <alignment wrapText="1"/>
    </xf>
    <xf numFmtId="0" fontId="17" fillId="32" borderId="172" xfId="0" applyFont="1" applyFill="1" applyBorder="1" applyAlignment="1">
      <alignment vertical="center" wrapText="1"/>
    </xf>
    <xf numFmtId="0" fontId="17" fillId="0" borderId="172" xfId="0" applyFont="1" applyBorder="1" applyAlignment="1">
      <alignment vertical="center" wrapText="1"/>
    </xf>
    <xf numFmtId="0" fontId="17" fillId="0" borderId="172" xfId="0" applyFont="1" applyBorder="1" applyAlignment="1">
      <alignment horizontal="center" vertical="center" wrapText="1"/>
    </xf>
    <xf numFmtId="0" fontId="14" fillId="0" borderId="173" xfId="0" applyFont="1" applyBorder="1" applyAlignment="1">
      <alignment wrapText="1"/>
    </xf>
    <xf numFmtId="0" fontId="26" fillId="0" borderId="173" xfId="0" applyFont="1" applyBorder="1" applyAlignment="1">
      <alignment horizontal="center" wrapText="1"/>
    </xf>
    <xf numFmtId="0" fontId="17" fillId="0" borderId="173" xfId="0" applyFont="1" applyBorder="1" applyAlignment="1">
      <alignment wrapText="1"/>
    </xf>
    <xf numFmtId="0" fontId="17" fillId="0" borderId="173" xfId="0" applyFont="1" applyBorder="1" applyAlignment="1">
      <alignment horizontal="center" wrapText="1"/>
    </xf>
    <xf numFmtId="0" fontId="14" fillId="0" borderId="173" xfId="0" applyFont="1" applyBorder="1" applyAlignment="1">
      <alignment horizontal="center" wrapText="1"/>
    </xf>
    <xf numFmtId="0" fontId="30" fillId="33" borderId="173" xfId="0" applyFont="1" applyFill="1" applyBorder="1" applyAlignment="1">
      <alignment vertical="center" wrapText="1"/>
    </xf>
    <xf numFmtId="0" fontId="17" fillId="33" borderId="172" xfId="0" applyFont="1" applyFill="1" applyBorder="1" applyAlignment="1">
      <alignment wrapText="1"/>
    </xf>
    <xf numFmtId="0" fontId="17" fillId="33" borderId="172" xfId="0" applyFont="1" applyFill="1" applyBorder="1" applyAlignment="1">
      <alignment horizontal="center" vertical="center" wrapText="1"/>
    </xf>
    <xf numFmtId="3" fontId="14" fillId="31" borderId="149" xfId="0" applyNumberFormat="1" applyFont="1" applyFill="1" applyBorder="1" applyAlignment="1">
      <alignment wrapText="1"/>
    </xf>
    <xf numFmtId="0" fontId="17" fillId="0" borderId="0" xfId="0" applyFont="1" applyBorder="1" applyAlignment="1">
      <alignment horizontal="center" wrapText="1"/>
    </xf>
    <xf numFmtId="0" fontId="30" fillId="33" borderId="172"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0" borderId="163" xfId="0" applyFont="1" applyBorder="1" applyAlignment="1">
      <alignment horizontal="center" vertical="center" wrapText="1"/>
    </xf>
    <xf numFmtId="0" fontId="17" fillId="0" borderId="173" xfId="0" applyFont="1" applyBorder="1" applyAlignment="1">
      <alignment horizontal="center" vertical="center" wrapText="1"/>
    </xf>
    <xf numFmtId="0" fontId="32" fillId="32" borderId="166" xfId="0" applyFont="1" applyFill="1" applyBorder="1" applyAlignment="1">
      <alignment horizontal="center" vertical="center" wrapText="1"/>
    </xf>
    <xf numFmtId="0" fontId="30" fillId="35" borderId="173" xfId="0" applyFont="1" applyFill="1" applyBorder="1" applyAlignment="1">
      <alignment vertical="center" wrapText="1"/>
    </xf>
    <xf numFmtId="0" fontId="30" fillId="35" borderId="173" xfId="0" applyFont="1" applyFill="1" applyBorder="1" applyAlignment="1">
      <alignment horizontal="center" vertical="center" wrapText="1"/>
    </xf>
    <xf numFmtId="0" fontId="17" fillId="35" borderId="173" xfId="0" applyFont="1" applyFill="1" applyBorder="1" applyAlignment="1">
      <alignment horizontal="center" vertical="center" wrapText="1"/>
    </xf>
    <xf numFmtId="0" fontId="24" fillId="0" borderId="174" xfId="0" applyFont="1" applyBorder="1" applyAlignment="1">
      <alignment horizontal="center" wrapText="1"/>
    </xf>
    <xf numFmtId="0" fontId="17" fillId="0" borderId="174" xfId="0" applyFont="1" applyBorder="1" applyAlignment="1">
      <alignment wrapText="1"/>
    </xf>
    <xf numFmtId="0" fontId="17" fillId="0" borderId="150" xfId="0" applyFont="1" applyBorder="1" applyAlignment="1">
      <alignment wrapText="1"/>
    </xf>
    <xf numFmtId="0" fontId="24" fillId="0" borderId="164" xfId="0" applyFont="1" applyBorder="1" applyAlignment="1">
      <alignment horizontal="center" wrapText="1"/>
    </xf>
    <xf numFmtId="0" fontId="26" fillId="32" borderId="150" xfId="0" applyFont="1" applyFill="1" applyBorder="1" applyAlignment="1">
      <alignment horizontal="center" vertical="center" wrapText="1"/>
    </xf>
    <xf numFmtId="0" fontId="14" fillId="0" borderId="150" xfId="0" applyFont="1" applyBorder="1" applyAlignment="1">
      <alignment wrapText="1"/>
    </xf>
    <xf numFmtId="0" fontId="17" fillId="0" borderId="150" xfId="0" applyFont="1" applyBorder="1" applyAlignment="1">
      <alignment vertical="center" wrapText="1"/>
    </xf>
    <xf numFmtId="0" fontId="17" fillId="33" borderId="150" xfId="0" applyFont="1" applyFill="1" applyBorder="1" applyAlignment="1">
      <alignment horizontal="center" vertical="center" wrapText="1"/>
    </xf>
    <xf numFmtId="0" fontId="17" fillId="35" borderId="150" xfId="0" applyFont="1" applyFill="1" applyBorder="1" applyAlignment="1">
      <alignment horizontal="center" vertical="center" wrapText="1"/>
    </xf>
    <xf numFmtId="0" fontId="14" fillId="0" borderId="174" xfId="0" applyFont="1" applyBorder="1" applyAlignment="1">
      <alignment wrapText="1"/>
    </xf>
    <xf numFmtId="0" fontId="26" fillId="37" borderId="150" xfId="0" applyFont="1" applyFill="1" applyBorder="1" applyAlignment="1">
      <alignment horizontal="center" vertical="center" wrapText="1"/>
    </xf>
    <xf numFmtId="0" fontId="14" fillId="0" borderId="173" xfId="0" applyFont="1" applyBorder="1" applyAlignment="1">
      <alignment horizontal="center" vertical="center" wrapText="1"/>
    </xf>
    <xf numFmtId="0" fontId="14" fillId="0" borderId="174" xfId="0" applyFont="1" applyBorder="1" applyAlignment="1">
      <alignment horizontal="center" vertical="center" wrapText="1"/>
    </xf>
    <xf numFmtId="3" fontId="24" fillId="29" borderId="175" xfId="0" applyNumberFormat="1" applyFont="1" applyFill="1" applyBorder="1" applyAlignment="1">
      <alignment horizontal="center" vertical="center" wrapText="1"/>
    </xf>
    <xf numFmtId="0" fontId="26" fillId="32" borderId="175" xfId="0" applyFont="1" applyFill="1" applyBorder="1" applyAlignment="1">
      <alignment horizontal="center" vertical="center" wrapText="1"/>
    </xf>
    <xf numFmtId="0" fontId="34" fillId="0" borderId="175" xfId="0" applyFont="1" applyBorder="1" applyAlignment="1">
      <alignment horizontal="center" vertical="center" wrapText="1"/>
    </xf>
    <xf numFmtId="0" fontId="34" fillId="33" borderId="174" xfId="0" applyFont="1" applyFill="1" applyBorder="1" applyAlignment="1">
      <alignment horizontal="center" vertical="center" wrapText="1"/>
    </xf>
    <xf numFmtId="0" fontId="17" fillId="0" borderId="176" xfId="0" applyFont="1" applyBorder="1" applyAlignment="1">
      <alignment horizontal="center" vertical="center" wrapText="1"/>
    </xf>
    <xf numFmtId="0" fontId="17" fillId="0" borderId="175" xfId="0" applyFont="1" applyBorder="1" applyAlignment="1">
      <alignment horizontal="center" vertical="center" wrapText="1"/>
    </xf>
    <xf numFmtId="0" fontId="14" fillId="0" borderId="176" xfId="0" applyFont="1" applyBorder="1" applyAlignment="1">
      <alignment wrapText="1"/>
    </xf>
    <xf numFmtId="0" fontId="14" fillId="0" borderId="176" xfId="0" applyFont="1" applyFill="1" applyBorder="1" applyAlignment="1">
      <alignment horizontal="center" wrapText="1"/>
    </xf>
    <xf numFmtId="0" fontId="14" fillId="0" borderId="141" xfId="0" applyFont="1" applyBorder="1" applyAlignment="1">
      <alignment horizontal="center" vertical="center" wrapText="1"/>
    </xf>
    <xf numFmtId="0" fontId="14" fillId="0" borderId="176" xfId="0" applyFont="1" applyBorder="1" applyAlignment="1">
      <alignment horizontal="center" vertical="center" wrapText="1"/>
    </xf>
    <xf numFmtId="41" fontId="12" fillId="0" borderId="114" xfId="192" applyFont="1" applyFill="1" applyBorder="1" applyAlignment="1">
      <alignment vertical="center" wrapText="1"/>
    </xf>
    <xf numFmtId="0" fontId="13" fillId="13" borderId="153" xfId="0" applyFont="1" applyFill="1" applyBorder="1" applyAlignment="1">
      <alignment horizontal="center" vertical="center" wrapText="1"/>
    </xf>
    <xf numFmtId="0" fontId="25" fillId="27" borderId="153" xfId="0" applyFont="1" applyFill="1" applyBorder="1" applyAlignment="1">
      <alignment horizontal="center" vertical="center" wrapText="1"/>
    </xf>
    <xf numFmtId="0" fontId="14" fillId="0" borderId="180" xfId="0" applyFont="1" applyBorder="1" applyAlignment="1">
      <alignment wrapText="1"/>
    </xf>
    <xf numFmtId="0" fontId="17" fillId="0" borderId="180" xfId="0" applyFont="1" applyBorder="1" applyAlignment="1">
      <alignment wrapText="1"/>
    </xf>
    <xf numFmtId="0" fontId="17" fillId="0" borderId="180" xfId="0" applyFont="1" applyBorder="1" applyAlignment="1">
      <alignment horizontal="center" vertical="center" wrapText="1"/>
    </xf>
    <xf numFmtId="0" fontId="14" fillId="0" borderId="150" xfId="0" applyFont="1" applyBorder="1" applyAlignment="1">
      <alignment horizontal="center" vertical="center" wrapText="1"/>
    </xf>
    <xf numFmtId="0" fontId="14" fillId="0" borderId="149" xfId="0" applyFont="1" applyBorder="1" applyAlignment="1">
      <alignment horizontal="center" vertical="center" wrapText="1"/>
    </xf>
    <xf numFmtId="0" fontId="14" fillId="0" borderId="162" xfId="0" applyFont="1" applyBorder="1" applyAlignment="1">
      <alignment horizontal="center" vertical="center" wrapText="1"/>
    </xf>
    <xf numFmtId="0" fontId="17" fillId="0" borderId="150" xfId="0" applyFont="1" applyBorder="1" applyAlignment="1">
      <alignment horizontal="center" wrapText="1"/>
    </xf>
    <xf numFmtId="0" fontId="17" fillId="0" borderId="162" xfId="0" applyFont="1" applyBorder="1" applyAlignment="1">
      <alignment horizontal="center" wrapText="1"/>
    </xf>
    <xf numFmtId="0" fontId="14" fillId="0" borderId="150" xfId="0" applyFont="1" applyBorder="1" applyAlignment="1">
      <alignment horizontal="center" wrapText="1"/>
    </xf>
    <xf numFmtId="0" fontId="12" fillId="0" borderId="150"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162" xfId="0" applyFont="1" applyBorder="1" applyAlignment="1">
      <alignment horizontal="center" vertical="center" wrapText="1"/>
    </xf>
    <xf numFmtId="0" fontId="17" fillId="36" borderId="150" xfId="0" applyFont="1" applyFill="1" applyBorder="1" applyAlignment="1">
      <alignment horizontal="center" vertical="center" wrapText="1"/>
    </xf>
    <xf numFmtId="0" fontId="17" fillId="36" borderId="149" xfId="0" applyFont="1" applyFill="1" applyBorder="1" applyAlignment="1">
      <alignment horizontal="center" vertical="center" wrapText="1"/>
    </xf>
    <xf numFmtId="0" fontId="17" fillId="36" borderId="162" xfId="0" applyFont="1" applyFill="1" applyBorder="1" applyAlignment="1">
      <alignment horizontal="center" vertical="center" wrapText="1"/>
    </xf>
    <xf numFmtId="0" fontId="26" fillId="0" borderId="174" xfId="0" applyFont="1" applyBorder="1" applyAlignment="1">
      <alignment horizontal="center" vertical="center" wrapText="1"/>
    </xf>
    <xf numFmtId="0" fontId="17" fillId="0" borderId="150" xfId="0" applyFont="1" applyBorder="1" applyAlignment="1">
      <alignment horizontal="center" vertical="center" wrapText="1"/>
    </xf>
    <xf numFmtId="0" fontId="17" fillId="0" borderId="162" xfId="0" applyFont="1" applyBorder="1" applyAlignment="1">
      <alignment horizontal="center" vertical="center" wrapText="1"/>
    </xf>
    <xf numFmtId="0" fontId="24" fillId="32" borderId="160" xfId="0" applyFont="1" applyFill="1" applyBorder="1" applyAlignment="1">
      <alignment horizontal="center" vertical="center" wrapText="1"/>
    </xf>
    <xf numFmtId="0" fontId="24" fillId="32" borderId="171" xfId="0" applyFont="1" applyFill="1" applyBorder="1" applyAlignment="1">
      <alignment horizontal="center" vertical="center" wrapText="1"/>
    </xf>
    <xf numFmtId="0" fontId="24" fillId="0" borderId="172" xfId="0" applyFont="1" applyBorder="1" applyAlignment="1">
      <alignment horizontal="center" vertical="center" wrapText="1"/>
    </xf>
    <xf numFmtId="0" fontId="24" fillId="32" borderId="174" xfId="0" applyFont="1" applyFill="1" applyBorder="1" applyAlignment="1">
      <alignment horizontal="center" vertical="center"/>
    </xf>
    <xf numFmtId="0" fontId="24" fillId="32" borderId="150" xfId="0" applyFont="1" applyFill="1" applyBorder="1" applyAlignment="1">
      <alignment horizontal="center" vertical="center" wrapText="1"/>
    </xf>
    <xf numFmtId="0" fontId="24" fillId="32" borderId="149" xfId="0" applyFont="1" applyFill="1" applyBorder="1" applyAlignment="1">
      <alignment horizontal="center" vertical="center" wrapText="1"/>
    </xf>
    <xf numFmtId="0" fontId="17" fillId="0" borderId="117" xfId="0" applyFont="1" applyBorder="1" applyAlignment="1">
      <alignment horizontal="center" wrapText="1"/>
    </xf>
    <xf numFmtId="0" fontId="17" fillId="0" borderId="119" xfId="0" applyFont="1" applyBorder="1" applyAlignment="1">
      <alignment horizontal="center" wrapText="1"/>
    </xf>
    <xf numFmtId="0" fontId="17" fillId="0" borderId="93" xfId="0" applyFont="1" applyBorder="1" applyAlignment="1">
      <alignment horizontal="center" wrapText="1"/>
    </xf>
    <xf numFmtId="0" fontId="17" fillId="0" borderId="95" xfId="0" applyFont="1" applyBorder="1" applyAlignment="1">
      <alignment horizontal="center" wrapText="1"/>
    </xf>
    <xf numFmtId="0" fontId="17" fillId="0" borderId="98" xfId="0" applyFont="1" applyBorder="1" applyAlignment="1">
      <alignment horizontal="center" wrapText="1"/>
    </xf>
    <xf numFmtId="0" fontId="17" fillId="0" borderId="117" xfId="0" applyFont="1" applyFill="1" applyBorder="1" applyAlignment="1">
      <alignment horizontal="center" vertical="center" wrapText="1"/>
    </xf>
    <xf numFmtId="0" fontId="17" fillId="0" borderId="118" xfId="0" applyFont="1" applyFill="1" applyBorder="1" applyAlignment="1">
      <alignment horizontal="center" vertical="center" wrapText="1"/>
    </xf>
    <xf numFmtId="0" fontId="17" fillId="0" borderId="117" xfId="0" applyFont="1" applyBorder="1" applyAlignment="1">
      <alignment horizontal="center" vertical="center" wrapText="1"/>
    </xf>
    <xf numFmtId="0" fontId="17" fillId="0" borderId="118" xfId="0" applyFont="1" applyBorder="1" applyAlignment="1">
      <alignment horizontal="center" vertical="center" wrapText="1"/>
    </xf>
    <xf numFmtId="0" fontId="17" fillId="0" borderId="119" xfId="0" applyFont="1" applyBorder="1" applyAlignment="1">
      <alignment horizontal="center" vertical="center" wrapText="1"/>
    </xf>
    <xf numFmtId="0" fontId="12" fillId="0" borderId="142" xfId="0" applyFont="1" applyFill="1" applyBorder="1" applyAlignment="1">
      <alignment horizontal="center" vertical="center" textRotation="90" wrapText="1"/>
    </xf>
    <xf numFmtId="0" fontId="12" fillId="0" borderId="180" xfId="0" applyFont="1" applyFill="1" applyBorder="1" applyAlignment="1">
      <alignment wrapText="1"/>
    </xf>
    <xf numFmtId="0" fontId="14" fillId="0" borderId="180" xfId="0" applyFont="1" applyFill="1" applyBorder="1" applyAlignment="1">
      <alignment horizontal="center" wrapText="1"/>
    </xf>
    <xf numFmtId="0" fontId="14" fillId="0" borderId="180" xfId="0" applyFont="1" applyBorder="1" applyAlignment="1">
      <alignment horizontal="center" vertical="center" wrapText="1"/>
    </xf>
    <xf numFmtId="0" fontId="17" fillId="0" borderId="180" xfId="0" applyFont="1" applyBorder="1" applyAlignment="1">
      <alignment horizontal="center" wrapText="1"/>
    </xf>
    <xf numFmtId="0" fontId="24" fillId="26"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12" fillId="0" borderId="141" xfId="0" applyFont="1" applyFill="1" applyBorder="1" applyAlignment="1">
      <alignment vertical="center" textRotation="90" wrapText="1"/>
    </xf>
    <xf numFmtId="0" fontId="12" fillId="0" borderId="142" xfId="0" applyFont="1" applyFill="1" applyBorder="1" applyAlignment="1">
      <alignment vertical="center" textRotation="90" wrapText="1"/>
    </xf>
    <xf numFmtId="0" fontId="12" fillId="0" borderId="153" xfId="0" applyFont="1" applyFill="1" applyBorder="1" applyAlignment="1">
      <alignment vertical="center" textRotation="90" wrapText="1"/>
    </xf>
    <xf numFmtId="0" fontId="24" fillId="0" borderId="180" xfId="0" applyFont="1" applyBorder="1" applyAlignment="1">
      <alignment wrapText="1"/>
    </xf>
    <xf numFmtId="0" fontId="26" fillId="0" borderId="180" xfId="0" applyFont="1" applyBorder="1" applyAlignment="1">
      <alignment horizontal="center" vertical="center" wrapText="1"/>
    </xf>
    <xf numFmtId="0" fontId="18" fillId="0" borderId="180" xfId="0" applyFont="1" applyBorder="1" applyAlignment="1">
      <alignment horizontal="center" wrapText="1"/>
    </xf>
    <xf numFmtId="0" fontId="14" fillId="0" borderId="180" xfId="0" applyFont="1" applyBorder="1" applyAlignment="1">
      <alignment horizontal="center" wrapText="1"/>
    </xf>
    <xf numFmtId="0" fontId="26" fillId="0" borderId="180" xfId="0" applyFont="1" applyBorder="1" applyAlignment="1">
      <alignment wrapText="1"/>
    </xf>
    <xf numFmtId="0" fontId="18" fillId="0" borderId="180" xfId="0" applyFont="1" applyBorder="1" applyAlignment="1">
      <alignment wrapText="1"/>
    </xf>
    <xf numFmtId="0" fontId="12" fillId="0" borderId="180" xfId="0" applyFont="1" applyFill="1" applyBorder="1" applyAlignment="1">
      <alignment horizontal="left" wrapText="1"/>
    </xf>
    <xf numFmtId="0" fontId="12" fillId="0" borderId="180" xfId="0" applyFont="1" applyFill="1" applyBorder="1" applyAlignment="1">
      <alignment horizontal="left" vertical="center" wrapText="1"/>
    </xf>
    <xf numFmtId="0" fontId="19" fillId="0" borderId="180" xfId="0" applyFont="1" applyFill="1" applyBorder="1" applyAlignment="1">
      <alignment horizontal="left" vertical="center" wrapText="1"/>
    </xf>
    <xf numFmtId="0" fontId="17" fillId="0" borderId="150" xfId="0" applyFont="1" applyBorder="1" applyAlignment="1">
      <alignment horizontal="center" vertical="center" wrapText="1"/>
    </xf>
    <xf numFmtId="0" fontId="17" fillId="0" borderId="149" xfId="0" applyFont="1" applyBorder="1" applyAlignment="1">
      <alignment horizontal="center" vertical="center" wrapText="1"/>
    </xf>
    <xf numFmtId="0" fontId="17" fillId="0" borderId="162" xfId="0" applyFont="1" applyBorder="1" applyAlignment="1">
      <alignment horizontal="center" vertical="center" wrapText="1"/>
    </xf>
    <xf numFmtId="0" fontId="14" fillId="0" borderId="150" xfId="0" applyFont="1" applyBorder="1" applyAlignment="1">
      <alignment horizontal="center" vertical="center" wrapText="1"/>
    </xf>
    <xf numFmtId="0" fontId="14" fillId="0" borderId="149" xfId="0" applyFont="1" applyBorder="1" applyAlignment="1">
      <alignment horizontal="center" vertical="center" wrapText="1"/>
    </xf>
    <xf numFmtId="0" fontId="17" fillId="0" borderId="180" xfId="0" applyFont="1" applyBorder="1" applyAlignment="1">
      <alignment horizontal="center" vertical="center" wrapText="1"/>
    </xf>
    <xf numFmtId="0" fontId="14" fillId="0" borderId="180" xfId="0" applyFont="1" applyBorder="1" applyAlignment="1">
      <alignment vertical="center" wrapText="1"/>
    </xf>
    <xf numFmtId="3" fontId="14" fillId="17" borderId="180" xfId="0" applyNumberFormat="1" applyFont="1" applyFill="1" applyBorder="1" applyAlignment="1">
      <alignment wrapText="1"/>
    </xf>
    <xf numFmtId="3" fontId="30" fillId="38" borderId="150" xfId="0" applyNumberFormat="1" applyFont="1" applyFill="1" applyBorder="1" applyAlignment="1">
      <alignment horizontal="center" vertical="center" wrapText="1"/>
    </xf>
    <xf numFmtId="3" fontId="14" fillId="17" borderId="180" xfId="0" applyNumberFormat="1" applyFont="1" applyFill="1" applyBorder="1" applyAlignment="1">
      <alignment horizontal="center" vertical="center" wrapText="1"/>
    </xf>
    <xf numFmtId="0" fontId="14" fillId="0" borderId="175" xfId="0" applyFont="1" applyBorder="1" applyAlignment="1">
      <alignment horizontal="center" vertical="center" wrapText="1"/>
    </xf>
    <xf numFmtId="0" fontId="17" fillId="0" borderId="0" xfId="0" applyFont="1" applyAlignment="1">
      <alignment horizontal="center" vertical="center" wrapText="1"/>
    </xf>
    <xf numFmtId="0" fontId="17" fillId="0" borderId="180" xfId="0" applyFont="1" applyBorder="1" applyAlignment="1">
      <alignment horizontal="center" vertical="center" wrapText="1"/>
    </xf>
    <xf numFmtId="0" fontId="12" fillId="0" borderId="114" xfId="0" applyFont="1" applyFill="1" applyBorder="1" applyAlignment="1">
      <alignment horizontal="center" vertical="center" wrapText="1"/>
    </xf>
    <xf numFmtId="3" fontId="12" fillId="0" borderId="114" xfId="0" applyNumberFormat="1" applyFont="1" applyFill="1" applyBorder="1" applyAlignment="1">
      <alignment horizontal="left" vertical="center" wrapText="1"/>
    </xf>
    <xf numFmtId="3" fontId="26" fillId="29" borderId="175" xfId="0" applyNumberFormat="1" applyFont="1" applyFill="1" applyBorder="1" applyAlignment="1">
      <alignment horizontal="center" vertical="center" wrapText="1"/>
    </xf>
    <xf numFmtId="3" fontId="26" fillId="29" borderId="176" xfId="0" applyNumberFormat="1" applyFont="1" applyFill="1" applyBorder="1" applyAlignment="1">
      <alignment horizontal="center" vertical="center" wrapText="1"/>
    </xf>
    <xf numFmtId="3" fontId="38" fillId="29" borderId="176" xfId="0" applyNumberFormat="1" applyFont="1" applyFill="1" applyBorder="1" applyAlignment="1">
      <alignment horizontal="center" vertical="center" wrapText="1"/>
    </xf>
    <xf numFmtId="3" fontId="26" fillId="29" borderId="150" xfId="0" applyNumberFormat="1" applyFont="1" applyFill="1" applyBorder="1" applyAlignment="1">
      <alignment horizontal="center" vertical="center" wrapText="1"/>
    </xf>
    <xf numFmtId="3" fontId="38" fillId="29" borderId="175" xfId="0" applyNumberFormat="1" applyFont="1" applyFill="1" applyBorder="1" applyAlignment="1">
      <alignment horizontal="center" vertical="center" wrapText="1"/>
    </xf>
    <xf numFmtId="3" fontId="39" fillId="29" borderId="176" xfId="0" applyNumberFormat="1" applyFont="1" applyFill="1" applyBorder="1" applyAlignment="1">
      <alignment horizontal="center" vertical="center" wrapText="1"/>
    </xf>
    <xf numFmtId="3" fontId="39" fillId="29" borderId="175" xfId="0" applyNumberFormat="1" applyFont="1" applyFill="1" applyBorder="1" applyAlignment="1">
      <alignment horizontal="center" vertical="center" wrapText="1"/>
    </xf>
    <xf numFmtId="3" fontId="39" fillId="29" borderId="150" xfId="0" applyNumberFormat="1" applyFont="1" applyFill="1" applyBorder="1" applyAlignment="1">
      <alignment horizontal="center" vertical="center" wrapText="1"/>
    </xf>
    <xf numFmtId="3" fontId="30" fillId="39" borderId="150" xfId="0" applyNumberFormat="1" applyFont="1" applyFill="1" applyBorder="1" applyAlignment="1">
      <alignment horizontal="center" vertical="center" wrapText="1"/>
    </xf>
    <xf numFmtId="0" fontId="12" fillId="0" borderId="176" xfId="0" applyFont="1" applyFill="1" applyBorder="1" applyAlignment="1">
      <alignment horizontal="center" vertical="center" wrapText="1"/>
    </xf>
    <xf numFmtId="0" fontId="12" fillId="0" borderId="173" xfId="0" applyFont="1" applyFill="1" applyBorder="1" applyAlignment="1">
      <alignment horizontal="center" vertical="center" wrapText="1"/>
    </xf>
    <xf numFmtId="0" fontId="14" fillId="0" borderId="181" xfId="0" applyFont="1" applyBorder="1" applyAlignment="1">
      <alignment vertical="center" wrapText="1"/>
    </xf>
    <xf numFmtId="0" fontId="14" fillId="0" borderId="181" xfId="0" applyFont="1" applyBorder="1" applyAlignment="1">
      <alignment horizontal="center" vertical="center" wrapText="1"/>
    </xf>
    <xf numFmtId="0" fontId="17" fillId="0" borderId="114" xfId="0" applyFont="1" applyFill="1" applyBorder="1" applyAlignment="1">
      <alignment horizontal="center" vertical="center" wrapText="1"/>
    </xf>
    <xf numFmtId="0" fontId="12" fillId="0" borderId="114" xfId="0" applyFont="1" applyFill="1" applyBorder="1" applyAlignment="1">
      <alignment horizontal="center" wrapText="1"/>
    </xf>
    <xf numFmtId="0" fontId="12" fillId="0" borderId="180" xfId="0" applyFont="1" applyFill="1" applyBorder="1" applyAlignment="1">
      <alignment horizontal="center" wrapText="1"/>
    </xf>
    <xf numFmtId="0" fontId="36" fillId="19" borderId="180" xfId="0" applyFont="1" applyFill="1" applyBorder="1" applyAlignment="1">
      <alignment horizontal="center" vertical="center" wrapText="1"/>
    </xf>
    <xf numFmtId="0" fontId="36" fillId="40" borderId="150" xfId="0" applyFont="1" applyFill="1" applyBorder="1" applyAlignment="1">
      <alignment horizontal="center" vertical="center" wrapText="1"/>
    </xf>
    <xf numFmtId="0" fontId="36" fillId="41" borderId="180" xfId="0" applyFont="1" applyFill="1" applyBorder="1" applyAlignment="1">
      <alignment horizontal="center" vertical="center" wrapText="1"/>
    </xf>
    <xf numFmtId="3" fontId="15" fillId="0" borderId="114" xfId="2" applyNumberFormat="1" applyFont="1" applyFill="1" applyBorder="1" applyAlignment="1">
      <alignment horizontal="center" wrapText="1"/>
    </xf>
    <xf numFmtId="3" fontId="30" fillId="0" borderId="150" xfId="0" applyNumberFormat="1" applyFont="1" applyFill="1" applyBorder="1" applyAlignment="1">
      <alignment horizontal="center" vertical="center" wrapText="1"/>
    </xf>
    <xf numFmtId="3" fontId="14" fillId="0" borderId="180" xfId="0" applyNumberFormat="1" applyFont="1" applyFill="1" applyBorder="1" applyAlignment="1">
      <alignment wrapText="1"/>
    </xf>
    <xf numFmtId="3" fontId="14" fillId="0" borderId="0" xfId="0" applyNumberFormat="1" applyFont="1" applyFill="1" applyAlignment="1">
      <alignment wrapText="1"/>
    </xf>
    <xf numFmtId="0" fontId="17" fillId="0" borderId="180" xfId="0" applyFont="1" applyBorder="1" applyAlignment="1">
      <alignment horizontal="center" vertical="center" wrapText="1"/>
    </xf>
    <xf numFmtId="0" fontId="17" fillId="0" borderId="180" xfId="0" applyFont="1" applyBorder="1" applyAlignment="1">
      <alignment horizontal="center" vertical="center" wrapText="1"/>
    </xf>
    <xf numFmtId="169" fontId="12" fillId="0" borderId="114" xfId="0" applyNumberFormat="1" applyFont="1" applyFill="1" applyBorder="1" applyAlignment="1">
      <alignment horizontal="left" vertical="center" wrapText="1"/>
    </xf>
    <xf numFmtId="169" fontId="15" fillId="14" borderId="114" xfId="2" applyNumberFormat="1" applyFont="1" applyFill="1" applyBorder="1" applyAlignment="1">
      <alignment horizontal="center" wrapText="1"/>
    </xf>
    <xf numFmtId="169" fontId="16" fillId="14" borderId="114" xfId="0" applyNumberFormat="1" applyFont="1" applyFill="1" applyBorder="1" applyAlignment="1">
      <alignment horizontal="center" wrapText="1"/>
    </xf>
    <xf numFmtId="169" fontId="16" fillId="15" borderId="114" xfId="0" applyNumberFormat="1" applyFont="1" applyFill="1" applyBorder="1" applyAlignment="1">
      <alignment horizontal="center" wrapText="1"/>
    </xf>
    <xf numFmtId="169" fontId="17" fillId="15" borderId="114" xfId="0" applyNumberFormat="1" applyFont="1" applyFill="1" applyBorder="1" applyAlignment="1">
      <alignment horizontal="center" vertical="center" wrapText="1"/>
    </xf>
    <xf numFmtId="169" fontId="24" fillId="28" borderId="153" xfId="0" applyNumberFormat="1" applyFont="1" applyFill="1" applyBorder="1" applyAlignment="1">
      <alignment horizontal="center" vertical="center" wrapText="1"/>
    </xf>
    <xf numFmtId="169" fontId="24" fillId="28" borderId="175" xfId="0" applyNumberFormat="1" applyFont="1" applyFill="1" applyBorder="1" applyAlignment="1">
      <alignment horizontal="center" vertical="center" wrapText="1"/>
    </xf>
    <xf numFmtId="169" fontId="24" fillId="28" borderId="176" xfId="0" applyNumberFormat="1" applyFont="1" applyFill="1" applyBorder="1" applyAlignment="1">
      <alignment horizontal="center" vertical="center" wrapText="1"/>
    </xf>
    <xf numFmtId="169" fontId="24" fillId="28" borderId="150" xfId="0" applyNumberFormat="1" applyFont="1" applyFill="1" applyBorder="1" applyAlignment="1">
      <alignment horizontal="center" vertical="center" wrapText="1"/>
    </xf>
    <xf numFmtId="169" fontId="24" fillId="28" borderId="180" xfId="0" applyNumberFormat="1" applyFont="1" applyFill="1" applyBorder="1" applyAlignment="1">
      <alignment horizontal="center" vertical="center" wrapText="1"/>
    </xf>
    <xf numFmtId="169" fontId="14" fillId="0" borderId="180" xfId="0" applyNumberFormat="1" applyFont="1" applyBorder="1" applyAlignment="1">
      <alignment wrapText="1"/>
    </xf>
    <xf numFmtId="169" fontId="14" fillId="0" borderId="180" xfId="0" applyNumberFormat="1" applyFont="1" applyBorder="1" applyAlignment="1">
      <alignment horizontal="center" vertical="center" wrapText="1"/>
    </xf>
    <xf numFmtId="169" fontId="14" fillId="0" borderId="0" xfId="0" applyNumberFormat="1" applyFont="1" applyAlignment="1">
      <alignment wrapText="1"/>
    </xf>
    <xf numFmtId="0" fontId="1" fillId="3" borderId="42" xfId="0" applyFont="1" applyFill="1" applyBorder="1" applyAlignment="1">
      <alignment horizontal="center" vertical="center"/>
    </xf>
    <xf numFmtId="0" fontId="1" fillId="0" borderId="0" xfId="0" applyFont="1" applyBorder="1" applyAlignment="1">
      <alignment horizontal="center"/>
    </xf>
    <xf numFmtId="0" fontId="1" fillId="3" borderId="92"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42" xfId="0" applyFont="1" applyFill="1" applyBorder="1" applyAlignment="1">
      <alignment horizontal="center" vertical="center" wrapText="1"/>
    </xf>
    <xf numFmtId="0" fontId="1" fillId="7" borderId="42" xfId="0" applyFont="1" applyFill="1" applyBorder="1" applyAlignment="1">
      <alignment horizontal="center" vertical="center"/>
    </xf>
    <xf numFmtId="0" fontId="1" fillId="0" borderId="117" xfId="0" applyFont="1" applyBorder="1" applyAlignment="1">
      <alignment horizontal="center"/>
    </xf>
    <xf numFmtId="0" fontId="1" fillId="0" borderId="119" xfId="0" applyFont="1" applyBorder="1" applyAlignment="1">
      <alignment horizontal="center"/>
    </xf>
    <xf numFmtId="0" fontId="9" fillId="0" borderId="0" xfId="0" applyFont="1" applyBorder="1" applyAlignment="1">
      <alignment horizontal="center"/>
    </xf>
    <xf numFmtId="0" fontId="17" fillId="0" borderId="150" xfId="0" applyFont="1" applyBorder="1" applyAlignment="1">
      <alignment horizontal="center" vertical="center" wrapText="1"/>
    </xf>
    <xf numFmtId="0" fontId="17" fillId="0" borderId="149" xfId="0" applyFont="1" applyBorder="1" applyAlignment="1">
      <alignment horizontal="center" vertical="center" wrapText="1"/>
    </xf>
    <xf numFmtId="0" fontId="17" fillId="0" borderId="162" xfId="0" applyFont="1" applyBorder="1" applyAlignment="1">
      <alignment horizontal="center" vertical="center" wrapText="1"/>
    </xf>
    <xf numFmtId="0" fontId="17" fillId="0" borderId="180" xfId="0" applyFont="1" applyBorder="1" applyAlignment="1">
      <alignment horizontal="center" vertical="center" wrapText="1"/>
    </xf>
    <xf numFmtId="3" fontId="17" fillId="0" borderId="150" xfId="0" applyNumberFormat="1" applyFont="1" applyBorder="1" applyAlignment="1">
      <alignment horizontal="center" vertical="center" wrapText="1"/>
    </xf>
    <xf numFmtId="3" fontId="17" fillId="0" borderId="149" xfId="0" applyNumberFormat="1" applyFont="1" applyBorder="1" applyAlignment="1">
      <alignment horizontal="center" vertical="center" wrapText="1"/>
    </xf>
    <xf numFmtId="3" fontId="17" fillId="0" borderId="162" xfId="0" applyNumberFormat="1" applyFont="1" applyBorder="1" applyAlignment="1">
      <alignment horizontal="center" vertical="center" wrapText="1"/>
    </xf>
    <xf numFmtId="0" fontId="17" fillId="0" borderId="117" xfId="0" applyFont="1" applyBorder="1" applyAlignment="1">
      <alignment horizontal="center" wrapText="1"/>
    </xf>
    <xf numFmtId="0" fontId="17" fillId="0" borderId="119" xfId="0" applyFont="1" applyBorder="1" applyAlignment="1">
      <alignment horizontal="center" wrapText="1"/>
    </xf>
    <xf numFmtId="3" fontId="16" fillId="17" borderId="154" xfId="0" applyNumberFormat="1" applyFont="1" applyFill="1" applyBorder="1" applyAlignment="1">
      <alignment horizontal="center" wrapText="1"/>
    </xf>
    <xf numFmtId="3" fontId="16" fillId="17" borderId="155" xfId="0" applyNumberFormat="1" applyFont="1" applyFill="1" applyBorder="1" applyAlignment="1">
      <alignment horizontal="center" wrapText="1"/>
    </xf>
    <xf numFmtId="3" fontId="16" fillId="17" borderId="156" xfId="0" applyNumberFormat="1" applyFont="1" applyFill="1" applyBorder="1" applyAlignment="1">
      <alignment horizontal="center" wrapText="1"/>
    </xf>
    <xf numFmtId="3" fontId="16" fillId="19" borderId="149" xfId="0" applyNumberFormat="1" applyFont="1" applyFill="1" applyBorder="1" applyAlignment="1">
      <alignment horizontal="center" wrapText="1"/>
    </xf>
    <xf numFmtId="3" fontId="27" fillId="21" borderId="172" xfId="0" applyNumberFormat="1" applyFont="1" applyFill="1" applyBorder="1" applyAlignment="1">
      <alignment horizontal="center" wrapText="1"/>
    </xf>
    <xf numFmtId="3" fontId="28" fillId="31" borderId="150" xfId="0" applyNumberFormat="1" applyFont="1" applyFill="1" applyBorder="1" applyAlignment="1">
      <alignment horizontal="center" wrapText="1"/>
    </xf>
    <xf numFmtId="3" fontId="28" fillId="31" borderId="149" xfId="0" applyNumberFormat="1" applyFont="1" applyFill="1" applyBorder="1" applyAlignment="1">
      <alignment horizontal="center" wrapText="1"/>
    </xf>
    <xf numFmtId="3" fontId="28" fillId="31" borderId="166" xfId="0" applyNumberFormat="1" applyFont="1" applyFill="1" applyBorder="1" applyAlignment="1">
      <alignment horizontal="center" wrapText="1"/>
    </xf>
    <xf numFmtId="3" fontId="27" fillId="21" borderId="151" xfId="0" applyNumberFormat="1" applyFont="1" applyFill="1" applyBorder="1" applyAlignment="1">
      <alignment horizontal="center" wrapText="1"/>
    </xf>
    <xf numFmtId="3" fontId="27" fillId="21" borderId="149" xfId="0" applyNumberFormat="1" applyFont="1" applyFill="1" applyBorder="1" applyAlignment="1">
      <alignment horizontal="center" wrapText="1"/>
    </xf>
    <xf numFmtId="3" fontId="27" fillId="21" borderId="161" xfId="0" applyNumberFormat="1" applyFont="1" applyFill="1" applyBorder="1" applyAlignment="1">
      <alignment horizontal="center" wrapText="1"/>
    </xf>
    <xf numFmtId="3" fontId="28" fillId="31" borderId="174" xfId="0" applyNumberFormat="1" applyFont="1" applyFill="1" applyBorder="1" applyAlignment="1">
      <alignment horizontal="center" wrapText="1"/>
    </xf>
    <xf numFmtId="3" fontId="28" fillId="31" borderId="152" xfId="0" applyNumberFormat="1" applyFont="1" applyFill="1" applyBorder="1" applyAlignment="1">
      <alignment horizontal="center" wrapText="1"/>
    </xf>
    <xf numFmtId="3" fontId="28" fillId="34" borderId="173" xfId="0" applyNumberFormat="1" applyFont="1" applyFill="1" applyBorder="1" applyAlignment="1">
      <alignment horizontal="center" wrapText="1"/>
    </xf>
    <xf numFmtId="168" fontId="17" fillId="17" borderId="157" xfId="0" applyNumberFormat="1" applyFont="1" applyFill="1" applyBorder="1" applyAlignment="1">
      <alignment horizontal="center" wrapText="1"/>
    </xf>
    <xf numFmtId="168" fontId="17" fillId="17" borderId="158" xfId="0" applyNumberFormat="1" applyFont="1" applyFill="1" applyBorder="1" applyAlignment="1">
      <alignment horizontal="center" wrapText="1"/>
    </xf>
    <xf numFmtId="168" fontId="17" fillId="17" borderId="159" xfId="0" applyNumberFormat="1" applyFont="1" applyFill="1" applyBorder="1" applyAlignment="1">
      <alignment horizontal="center" wrapText="1"/>
    </xf>
    <xf numFmtId="168" fontId="17" fillId="19" borderId="154" xfId="0" applyNumberFormat="1" applyFont="1" applyFill="1" applyBorder="1" applyAlignment="1">
      <alignment horizontal="center" wrapText="1"/>
    </xf>
    <xf numFmtId="168" fontId="17" fillId="19" borderId="155" xfId="0" applyNumberFormat="1" applyFont="1" applyFill="1" applyBorder="1" applyAlignment="1">
      <alignment horizontal="center" wrapText="1"/>
    </xf>
    <xf numFmtId="0" fontId="17" fillId="0" borderId="118" xfId="0" applyFont="1" applyBorder="1" applyAlignment="1">
      <alignment horizontal="center" wrapText="1"/>
    </xf>
    <xf numFmtId="3" fontId="15" fillId="18" borderId="151" xfId="2" applyNumberFormat="1" applyFont="1" applyFill="1" applyBorder="1" applyAlignment="1">
      <alignment horizontal="center" wrapText="1"/>
    </xf>
    <xf numFmtId="3" fontId="15" fillId="18" borderId="149" xfId="2" applyNumberFormat="1" applyFont="1" applyFill="1" applyBorder="1" applyAlignment="1">
      <alignment horizontal="center" wrapText="1"/>
    </xf>
    <xf numFmtId="3" fontId="15" fillId="18" borderId="152" xfId="2" applyNumberFormat="1" applyFont="1" applyFill="1" applyBorder="1" applyAlignment="1">
      <alignment horizontal="center" wrapText="1"/>
    </xf>
    <xf numFmtId="3" fontId="16" fillId="0" borderId="146" xfId="0" applyNumberFormat="1" applyFont="1" applyFill="1" applyBorder="1" applyAlignment="1">
      <alignment horizontal="center" wrapText="1"/>
    </xf>
    <xf numFmtId="3" fontId="16" fillId="0" borderId="147" xfId="0" applyNumberFormat="1" applyFont="1" applyFill="1" applyBorder="1" applyAlignment="1">
      <alignment horizontal="center" wrapText="1"/>
    </xf>
    <xf numFmtId="3" fontId="16" fillId="0" borderId="148" xfId="0" applyNumberFormat="1" applyFont="1" applyFill="1" applyBorder="1" applyAlignment="1">
      <alignment horizontal="center" wrapText="1"/>
    </xf>
    <xf numFmtId="3" fontId="16" fillId="17" borderId="151" xfId="0" applyNumberFormat="1" applyFont="1" applyFill="1" applyBorder="1" applyAlignment="1">
      <alignment horizontal="center" wrapText="1"/>
    </xf>
    <xf numFmtId="3" fontId="16" fillId="17" borderId="149" xfId="0" applyNumberFormat="1" applyFont="1" applyFill="1" applyBorder="1" applyAlignment="1">
      <alignment horizontal="center" wrapText="1"/>
    </xf>
    <xf numFmtId="3" fontId="16" fillId="17" borderId="152" xfId="0" applyNumberFormat="1" applyFont="1" applyFill="1" applyBorder="1" applyAlignment="1">
      <alignment horizontal="center" wrapText="1"/>
    </xf>
    <xf numFmtId="3" fontId="16" fillId="0" borderId="143" xfId="0" applyNumberFormat="1" applyFont="1" applyFill="1" applyBorder="1" applyAlignment="1">
      <alignment horizontal="center" wrapText="1"/>
    </xf>
    <xf numFmtId="3" fontId="16" fillId="0" borderId="144" xfId="0" applyNumberFormat="1" applyFont="1" applyFill="1" applyBorder="1" applyAlignment="1">
      <alignment horizontal="center" wrapText="1"/>
    </xf>
    <xf numFmtId="3" fontId="16" fillId="0" borderId="145" xfId="0" applyNumberFormat="1" applyFont="1" applyFill="1" applyBorder="1" applyAlignment="1">
      <alignment horizontal="center" wrapText="1"/>
    </xf>
    <xf numFmtId="3" fontId="16" fillId="0" borderId="149" xfId="0" applyNumberFormat="1" applyFont="1" applyFill="1" applyBorder="1" applyAlignment="1">
      <alignment horizontal="center" wrapText="1"/>
    </xf>
    <xf numFmtId="3" fontId="16" fillId="16" borderId="154" xfId="0" applyNumberFormat="1" applyFont="1" applyFill="1" applyBorder="1" applyAlignment="1">
      <alignment horizontal="center" wrapText="1"/>
    </xf>
    <xf numFmtId="3" fontId="16" fillId="16" borderId="155" xfId="0" applyNumberFormat="1" applyFont="1" applyFill="1" applyBorder="1" applyAlignment="1">
      <alignment horizontal="center" wrapText="1"/>
    </xf>
    <xf numFmtId="3" fontId="16" fillId="16" borderId="156" xfId="0" applyNumberFormat="1" applyFont="1" applyFill="1" applyBorder="1" applyAlignment="1">
      <alignment horizontal="center" wrapText="1"/>
    </xf>
    <xf numFmtId="3" fontId="16" fillId="18" borderId="149" xfId="0" applyNumberFormat="1" applyFont="1" applyFill="1" applyBorder="1" applyAlignment="1">
      <alignment horizontal="center" wrapText="1"/>
    </xf>
    <xf numFmtId="3" fontId="30" fillId="38" borderId="150" xfId="0" applyNumberFormat="1" applyFont="1" applyFill="1" applyBorder="1" applyAlignment="1">
      <alignment horizontal="center" vertical="center" wrapText="1"/>
    </xf>
    <xf numFmtId="3" fontId="30" fillId="38" borderId="149" xfId="0" applyNumberFormat="1" applyFont="1" applyFill="1" applyBorder="1" applyAlignment="1">
      <alignment horizontal="center" vertical="center" wrapText="1"/>
    </xf>
    <xf numFmtId="0" fontId="14" fillId="0" borderId="150" xfId="0" applyFont="1" applyBorder="1" applyAlignment="1">
      <alignment horizontal="center" vertical="center" wrapText="1"/>
    </xf>
    <xf numFmtId="0" fontId="14" fillId="0" borderId="149" xfId="0" applyFont="1" applyBorder="1" applyAlignment="1">
      <alignment horizontal="center" vertical="center" wrapText="1"/>
    </xf>
    <xf numFmtId="3" fontId="30" fillId="38" borderId="162" xfId="0" applyNumberFormat="1" applyFont="1" applyFill="1" applyBorder="1" applyAlignment="1">
      <alignment horizontal="center" vertical="center" wrapText="1"/>
    </xf>
    <xf numFmtId="3" fontId="14" fillId="0" borderId="173" xfId="0" applyNumberFormat="1" applyFont="1" applyFill="1" applyBorder="1" applyAlignment="1">
      <alignment horizontal="center" wrapText="1"/>
    </xf>
    <xf numFmtId="3" fontId="14" fillId="31" borderId="150" xfId="0" applyNumberFormat="1" applyFont="1" applyFill="1" applyBorder="1" applyAlignment="1">
      <alignment horizontal="center" wrapText="1"/>
    </xf>
    <xf numFmtId="3" fontId="14" fillId="31" borderId="149" xfId="0" applyNumberFormat="1" applyFont="1" applyFill="1" applyBorder="1" applyAlignment="1">
      <alignment horizontal="center" wrapText="1"/>
    </xf>
    <xf numFmtId="3" fontId="14" fillId="31" borderId="166" xfId="0" applyNumberFormat="1" applyFont="1" applyFill="1" applyBorder="1" applyAlignment="1">
      <alignment horizontal="center" wrapText="1"/>
    </xf>
    <xf numFmtId="3" fontId="14" fillId="0" borderId="172" xfId="0" applyNumberFormat="1" applyFont="1" applyFill="1" applyBorder="1" applyAlignment="1">
      <alignment horizontal="center" wrapText="1"/>
    </xf>
    <xf numFmtId="3" fontId="14" fillId="0" borderId="166" xfId="0" applyNumberFormat="1" applyFont="1" applyFill="1" applyBorder="1" applyAlignment="1">
      <alignment horizontal="center" wrapText="1"/>
    </xf>
    <xf numFmtId="3" fontId="14" fillId="0" borderId="150" xfId="0" applyNumberFormat="1" applyFont="1" applyFill="1" applyBorder="1" applyAlignment="1">
      <alignment horizontal="center" wrapText="1"/>
    </xf>
    <xf numFmtId="0" fontId="12" fillId="0" borderId="180" xfId="0" applyFont="1" applyFill="1" applyBorder="1" applyAlignment="1">
      <alignment horizontal="center" vertical="center" wrapText="1"/>
    </xf>
    <xf numFmtId="0" fontId="12" fillId="0" borderId="141" xfId="0" applyFont="1" applyFill="1" applyBorder="1" applyAlignment="1">
      <alignment horizontal="center" vertical="center" wrapText="1"/>
    </xf>
    <xf numFmtId="0" fontId="12" fillId="0" borderId="153" xfId="0" applyFont="1" applyFill="1" applyBorder="1" applyAlignment="1">
      <alignment horizontal="center" vertical="center" wrapText="1"/>
    </xf>
    <xf numFmtId="3" fontId="17" fillId="19" borderId="154" xfId="0" applyNumberFormat="1" applyFont="1" applyFill="1" applyBorder="1" applyAlignment="1">
      <alignment horizontal="center" wrapText="1"/>
    </xf>
    <xf numFmtId="3" fontId="17" fillId="19" borderId="155" xfId="0" applyNumberFormat="1" applyFont="1" applyFill="1" applyBorder="1" applyAlignment="1">
      <alignment horizontal="center" wrapText="1"/>
    </xf>
    <xf numFmtId="3" fontId="17" fillId="19" borderId="156" xfId="0" applyNumberFormat="1" applyFont="1" applyFill="1" applyBorder="1" applyAlignment="1">
      <alignment horizontal="center" wrapText="1"/>
    </xf>
    <xf numFmtId="3" fontId="17" fillId="17" borderId="154" xfId="0" applyNumberFormat="1" applyFont="1" applyFill="1" applyBorder="1" applyAlignment="1">
      <alignment horizontal="center" wrapText="1"/>
    </xf>
    <xf numFmtId="3" fontId="17" fillId="17" borderId="155" xfId="0" applyNumberFormat="1" applyFont="1" applyFill="1" applyBorder="1" applyAlignment="1">
      <alignment horizontal="center" wrapText="1"/>
    </xf>
    <xf numFmtId="3" fontId="17" fillId="17" borderId="156" xfId="0" applyNumberFormat="1" applyFont="1" applyFill="1" applyBorder="1" applyAlignment="1">
      <alignment horizontal="center" wrapText="1"/>
    </xf>
    <xf numFmtId="3" fontId="16" fillId="19" borderId="154" xfId="0" applyNumberFormat="1" applyFont="1" applyFill="1" applyBorder="1" applyAlignment="1">
      <alignment horizontal="center" wrapText="1"/>
    </xf>
    <xf numFmtId="3" fontId="16" fillId="19" borderId="155" xfId="0" applyNumberFormat="1" applyFont="1" applyFill="1" applyBorder="1" applyAlignment="1">
      <alignment horizontal="center" wrapText="1"/>
    </xf>
    <xf numFmtId="3" fontId="16" fillId="19" borderId="156" xfId="0" applyNumberFormat="1" applyFont="1" applyFill="1" applyBorder="1" applyAlignment="1">
      <alignment horizontal="center" wrapText="1"/>
    </xf>
    <xf numFmtId="0" fontId="12" fillId="0" borderId="141" xfId="0" applyFont="1" applyFill="1" applyBorder="1" applyAlignment="1">
      <alignment horizontal="center" vertical="center" textRotation="90" wrapText="1"/>
    </xf>
    <xf numFmtId="0" fontId="12" fillId="0" borderId="142" xfId="0" applyFont="1" applyFill="1" applyBorder="1" applyAlignment="1">
      <alignment horizontal="center" vertical="center" textRotation="90" wrapText="1"/>
    </xf>
    <xf numFmtId="0" fontId="12" fillId="0" borderId="153" xfId="0" applyFont="1" applyFill="1" applyBorder="1" applyAlignment="1">
      <alignment horizontal="center" vertical="center" textRotation="90" wrapText="1"/>
    </xf>
    <xf numFmtId="3" fontId="15" fillId="18" borderId="154" xfId="2" applyNumberFormat="1" applyFont="1" applyFill="1" applyBorder="1" applyAlignment="1">
      <alignment horizontal="center" wrapText="1"/>
    </xf>
    <xf numFmtId="3" fontId="15" fillId="18" borderId="155" xfId="2" applyNumberFormat="1" applyFont="1" applyFill="1" applyBorder="1" applyAlignment="1">
      <alignment horizontal="center" wrapText="1"/>
    </xf>
    <xf numFmtId="3" fontId="15" fillId="18" borderId="156" xfId="2" applyNumberFormat="1" applyFont="1" applyFill="1" applyBorder="1" applyAlignment="1">
      <alignment horizontal="center" wrapText="1"/>
    </xf>
    <xf numFmtId="3" fontId="15" fillId="16" borderId="154" xfId="2" applyNumberFormat="1" applyFont="1" applyFill="1" applyBorder="1" applyAlignment="1">
      <alignment horizontal="center" wrapText="1"/>
    </xf>
    <xf numFmtId="3" fontId="15" fillId="16" borderId="155" xfId="2" applyNumberFormat="1" applyFont="1" applyFill="1" applyBorder="1" applyAlignment="1">
      <alignment horizontal="center" wrapText="1"/>
    </xf>
    <xf numFmtId="3" fontId="15" fillId="16" borderId="156" xfId="2" applyNumberFormat="1" applyFont="1" applyFill="1" applyBorder="1" applyAlignment="1">
      <alignment horizontal="center" wrapText="1"/>
    </xf>
    <xf numFmtId="3" fontId="12" fillId="0" borderId="141" xfId="0" applyNumberFormat="1" applyFont="1" applyFill="1" applyBorder="1" applyAlignment="1">
      <alignment horizontal="center" vertical="center" textRotation="90" wrapText="1"/>
    </xf>
    <xf numFmtId="3" fontId="12" fillId="0" borderId="142" xfId="0" applyNumberFormat="1" applyFont="1" applyFill="1" applyBorder="1" applyAlignment="1">
      <alignment horizontal="center" vertical="center" textRotation="90" wrapText="1"/>
    </xf>
    <xf numFmtId="3" fontId="12" fillId="0" borderId="153" xfId="0" applyNumberFormat="1" applyFont="1" applyFill="1" applyBorder="1" applyAlignment="1">
      <alignment horizontal="center" vertical="center" textRotation="90" wrapText="1"/>
    </xf>
    <xf numFmtId="3" fontId="15" fillId="0" borderId="143" xfId="2" applyNumberFormat="1" applyFont="1" applyFill="1" applyBorder="1" applyAlignment="1">
      <alignment horizontal="center" wrapText="1"/>
    </xf>
    <xf numFmtId="3" fontId="15" fillId="0" borderId="144" xfId="2" applyNumberFormat="1" applyFont="1" applyFill="1" applyBorder="1" applyAlignment="1">
      <alignment horizontal="center" wrapText="1"/>
    </xf>
    <xf numFmtId="3" fontId="15" fillId="0" borderId="145" xfId="2" applyNumberFormat="1" applyFont="1" applyFill="1" applyBorder="1" applyAlignment="1">
      <alignment horizontal="center" wrapText="1"/>
    </xf>
    <xf numFmtId="3" fontId="30" fillId="0" borderId="150" xfId="0" applyNumberFormat="1" applyFont="1" applyFill="1" applyBorder="1" applyAlignment="1">
      <alignment horizontal="center" vertical="center" wrapText="1"/>
    </xf>
    <xf numFmtId="3" fontId="30" fillId="0" borderId="149" xfId="0" applyNumberFormat="1" applyFont="1" applyFill="1" applyBorder="1" applyAlignment="1">
      <alignment horizontal="center" vertical="center" wrapText="1"/>
    </xf>
    <xf numFmtId="3" fontId="30" fillId="0" borderId="162" xfId="0" applyNumberFormat="1" applyFont="1" applyFill="1" applyBorder="1" applyAlignment="1">
      <alignment horizontal="center" vertical="center" wrapText="1"/>
    </xf>
    <xf numFmtId="3" fontId="14" fillId="0" borderId="149" xfId="0" applyNumberFormat="1" applyFont="1" applyFill="1" applyBorder="1" applyAlignment="1">
      <alignment horizontal="center" wrapText="1"/>
    </xf>
    <xf numFmtId="3" fontId="14" fillId="34" borderId="173" xfId="0" applyNumberFormat="1" applyFont="1" applyFill="1" applyBorder="1" applyAlignment="1">
      <alignment horizontal="center" wrapText="1"/>
    </xf>
    <xf numFmtId="3" fontId="14" fillId="31" borderId="174" xfId="0" applyNumberFormat="1" applyFont="1" applyFill="1" applyBorder="1" applyAlignment="1">
      <alignment horizontal="center" wrapText="1"/>
    </xf>
    <xf numFmtId="168" fontId="17" fillId="19" borderId="151" xfId="0" applyNumberFormat="1" applyFont="1" applyFill="1" applyBorder="1" applyAlignment="1">
      <alignment horizontal="center" wrapText="1"/>
    </xf>
    <xf numFmtId="168" fontId="17" fillId="19" borderId="149" xfId="0" applyNumberFormat="1" applyFont="1" applyFill="1" applyBorder="1" applyAlignment="1">
      <alignment horizontal="center" wrapText="1"/>
    </xf>
    <xf numFmtId="3" fontId="14" fillId="21" borderId="172" xfId="0" applyNumberFormat="1" applyFont="1" applyFill="1" applyBorder="1" applyAlignment="1">
      <alignment horizontal="center" wrapText="1"/>
    </xf>
    <xf numFmtId="3" fontId="14" fillId="0" borderId="162" xfId="0" applyNumberFormat="1" applyFont="1" applyFill="1" applyBorder="1" applyAlignment="1">
      <alignment horizontal="center" wrapText="1"/>
    </xf>
    <xf numFmtId="3" fontId="14" fillId="0" borderId="151" xfId="0" applyNumberFormat="1" applyFont="1" applyFill="1" applyBorder="1" applyAlignment="1">
      <alignment horizontal="center" wrapText="1"/>
    </xf>
    <xf numFmtId="3" fontId="14" fillId="21" borderId="151" xfId="0" applyNumberFormat="1" applyFont="1" applyFill="1" applyBorder="1" applyAlignment="1">
      <alignment horizontal="center" wrapText="1"/>
    </xf>
    <xf numFmtId="3" fontId="14" fillId="21" borderId="149" xfId="0" applyNumberFormat="1" applyFont="1" applyFill="1" applyBorder="1" applyAlignment="1">
      <alignment horizontal="center" wrapText="1"/>
    </xf>
    <xf numFmtId="3" fontId="14" fillId="21" borderId="162" xfId="0" applyNumberFormat="1" applyFont="1" applyFill="1" applyBorder="1" applyAlignment="1">
      <alignment horizontal="center" wrapText="1"/>
    </xf>
    <xf numFmtId="0" fontId="12" fillId="0" borderId="147" xfId="0" applyFont="1" applyFill="1" applyBorder="1" applyAlignment="1">
      <alignment horizontal="center" wrapText="1"/>
    </xf>
    <xf numFmtId="0" fontId="35" fillId="0" borderId="147" xfId="0" applyFont="1" applyBorder="1" applyAlignment="1">
      <alignment horizontal="center" wrapText="1"/>
    </xf>
    <xf numFmtId="168" fontId="16" fillId="0" borderId="143" xfId="0" applyNumberFormat="1" applyFont="1" applyFill="1" applyBorder="1" applyAlignment="1">
      <alignment horizontal="center" wrapText="1"/>
    </xf>
    <xf numFmtId="168" fontId="16" fillId="0" borderId="144" xfId="0" applyNumberFormat="1" applyFont="1" applyFill="1" applyBorder="1" applyAlignment="1">
      <alignment horizontal="center" wrapText="1"/>
    </xf>
    <xf numFmtId="168" fontId="16" fillId="0" borderId="145" xfId="0" applyNumberFormat="1" applyFont="1" applyFill="1" applyBorder="1" applyAlignment="1">
      <alignment horizontal="center" wrapText="1"/>
    </xf>
    <xf numFmtId="168" fontId="17" fillId="0" borderId="143" xfId="0" applyNumberFormat="1" applyFont="1" applyFill="1" applyBorder="1" applyAlignment="1">
      <alignment horizontal="center" wrapText="1"/>
    </xf>
    <xf numFmtId="168" fontId="17" fillId="0" borderId="144" xfId="0" applyNumberFormat="1" applyFont="1" applyFill="1" applyBorder="1" applyAlignment="1">
      <alignment horizontal="center" wrapText="1"/>
    </xf>
    <xf numFmtId="168" fontId="17" fillId="0" borderId="145" xfId="0" applyNumberFormat="1" applyFont="1" applyFill="1" applyBorder="1" applyAlignment="1">
      <alignment horizontal="center" wrapText="1"/>
    </xf>
    <xf numFmtId="168" fontId="16" fillId="17" borderId="151" xfId="0" applyNumberFormat="1" applyFont="1" applyFill="1" applyBorder="1" applyAlignment="1">
      <alignment horizontal="center" wrapText="1"/>
    </xf>
    <xf numFmtId="168" fontId="16" fillId="17" borderId="149" xfId="0" applyNumberFormat="1" applyFont="1" applyFill="1" applyBorder="1" applyAlignment="1">
      <alignment horizontal="center" wrapText="1"/>
    </xf>
    <xf numFmtId="168" fontId="16" fillId="17" borderId="152" xfId="0" applyNumberFormat="1" applyFont="1" applyFill="1" applyBorder="1" applyAlignment="1">
      <alignment horizontal="center" wrapText="1"/>
    </xf>
    <xf numFmtId="3" fontId="16" fillId="19" borderId="151" xfId="0" applyNumberFormat="1" applyFont="1" applyFill="1" applyBorder="1" applyAlignment="1">
      <alignment horizontal="center" wrapText="1"/>
    </xf>
    <xf numFmtId="3" fontId="16" fillId="19" borderId="152" xfId="0" applyNumberFormat="1" applyFont="1" applyFill="1" applyBorder="1" applyAlignment="1">
      <alignment horizontal="center" wrapText="1"/>
    </xf>
    <xf numFmtId="0" fontId="35" fillId="0" borderId="177" xfId="0" applyFont="1" applyBorder="1" applyAlignment="1">
      <alignment horizontal="center" wrapText="1"/>
    </xf>
    <xf numFmtId="0" fontId="35" fillId="0" borderId="178" xfId="0" applyFont="1" applyBorder="1" applyAlignment="1">
      <alignment horizontal="center" wrapText="1"/>
    </xf>
    <xf numFmtId="0" fontId="35" fillId="0" borderId="179" xfId="0" applyFont="1" applyBorder="1" applyAlignment="1">
      <alignment horizontal="center" wrapText="1"/>
    </xf>
    <xf numFmtId="3" fontId="16" fillId="16" borderId="151" xfId="0" applyNumberFormat="1" applyFont="1" applyFill="1" applyBorder="1" applyAlignment="1">
      <alignment horizontal="center" wrapText="1"/>
    </xf>
    <xf numFmtId="3" fontId="16" fillId="16" borderId="149" xfId="0" applyNumberFormat="1" applyFont="1" applyFill="1" applyBorder="1" applyAlignment="1">
      <alignment horizontal="center" wrapText="1"/>
    </xf>
    <xf numFmtId="3" fontId="16" fillId="16" borderId="152" xfId="0" applyNumberFormat="1" applyFont="1" applyFill="1" applyBorder="1" applyAlignment="1">
      <alignment horizontal="center" wrapText="1"/>
    </xf>
    <xf numFmtId="3" fontId="16" fillId="18" borderId="151" xfId="0" applyNumberFormat="1" applyFont="1" applyFill="1" applyBorder="1" applyAlignment="1">
      <alignment horizontal="center" wrapText="1"/>
    </xf>
    <xf numFmtId="3" fontId="16" fillId="18" borderId="152" xfId="0" applyNumberFormat="1" applyFont="1" applyFill="1" applyBorder="1" applyAlignment="1">
      <alignment horizontal="center" wrapText="1"/>
    </xf>
    <xf numFmtId="3" fontId="14" fillId="38" borderId="150" xfId="0" applyNumberFormat="1" applyFont="1" applyFill="1" applyBorder="1" applyAlignment="1">
      <alignment horizontal="center" vertical="center" wrapText="1"/>
    </xf>
    <xf numFmtId="3" fontId="14" fillId="38" borderId="149" xfId="0" applyNumberFormat="1" applyFont="1" applyFill="1" applyBorder="1" applyAlignment="1">
      <alignment horizontal="center" vertical="center" wrapText="1"/>
    </xf>
    <xf numFmtId="3" fontId="14" fillId="38" borderId="162" xfId="0" applyNumberFormat="1" applyFont="1" applyFill="1" applyBorder="1" applyAlignment="1">
      <alignment horizontal="center" vertical="center" wrapText="1"/>
    </xf>
    <xf numFmtId="3" fontId="14" fillId="31" borderId="152" xfId="0" applyNumberFormat="1" applyFont="1" applyFill="1" applyBorder="1" applyAlignment="1">
      <alignment horizontal="center" wrapText="1"/>
    </xf>
    <xf numFmtId="3" fontId="15" fillId="16" borderId="151" xfId="2" applyNumberFormat="1" applyFont="1" applyFill="1" applyBorder="1" applyAlignment="1">
      <alignment horizontal="center" wrapText="1"/>
    </xf>
    <xf numFmtId="3" fontId="15" fillId="16" borderId="149" xfId="2" applyNumberFormat="1" applyFont="1" applyFill="1" applyBorder="1" applyAlignment="1">
      <alignment horizontal="center" wrapText="1"/>
    </xf>
    <xf numFmtId="3" fontId="15" fillId="16" borderId="152" xfId="2" applyNumberFormat="1" applyFont="1" applyFill="1" applyBorder="1" applyAlignment="1">
      <alignment horizontal="center" wrapText="1"/>
    </xf>
    <xf numFmtId="3" fontId="14" fillId="0" borderId="174" xfId="0" applyNumberFormat="1" applyFont="1" applyFill="1" applyBorder="1" applyAlignment="1">
      <alignment horizontal="center" wrapText="1"/>
    </xf>
    <xf numFmtId="3" fontId="14" fillId="0" borderId="152" xfId="0" applyNumberFormat="1" applyFont="1" applyFill="1" applyBorder="1" applyAlignment="1">
      <alignment horizontal="center" wrapText="1"/>
    </xf>
    <xf numFmtId="0" fontId="35" fillId="0" borderId="146" xfId="0" applyFont="1" applyBorder="1" applyAlignment="1">
      <alignment horizontal="center" wrapText="1"/>
    </xf>
    <xf numFmtId="3" fontId="14" fillId="0" borderId="150" xfId="0" applyNumberFormat="1" applyFont="1" applyFill="1" applyBorder="1" applyAlignment="1">
      <alignment horizontal="center" vertical="center" wrapText="1"/>
    </xf>
    <xf numFmtId="3" fontId="14" fillId="0" borderId="149" xfId="0" applyNumberFormat="1" applyFont="1" applyFill="1" applyBorder="1" applyAlignment="1">
      <alignment horizontal="center" vertical="center" wrapText="1"/>
    </xf>
    <xf numFmtId="3" fontId="14" fillId="0" borderId="162" xfId="0" applyNumberFormat="1" applyFont="1" applyFill="1" applyBorder="1" applyAlignment="1">
      <alignment horizontal="center" vertical="center" wrapText="1"/>
    </xf>
    <xf numFmtId="3" fontId="14" fillId="17" borderId="150" xfId="0" applyNumberFormat="1" applyFont="1" applyFill="1" applyBorder="1" applyAlignment="1">
      <alignment horizontal="center" vertical="center" wrapText="1"/>
    </xf>
    <xf numFmtId="3" fontId="14" fillId="17" borderId="149" xfId="0" applyNumberFormat="1" applyFont="1" applyFill="1" applyBorder="1" applyAlignment="1">
      <alignment horizontal="center" vertical="center" wrapText="1"/>
    </xf>
    <xf numFmtId="3" fontId="14" fillId="17" borderId="162" xfId="0" applyNumberFormat="1" applyFont="1" applyFill="1" applyBorder="1" applyAlignment="1">
      <alignment horizontal="center" vertical="center" wrapText="1"/>
    </xf>
    <xf numFmtId="3" fontId="14" fillId="17" borderId="150" xfId="0" applyNumberFormat="1" applyFont="1" applyFill="1" applyBorder="1" applyAlignment="1">
      <alignment horizontal="center" wrapText="1"/>
    </xf>
    <xf numFmtId="3" fontId="14" fillId="17" borderId="149" xfId="0" applyNumberFormat="1" applyFont="1" applyFill="1" applyBorder="1" applyAlignment="1">
      <alignment horizontal="center" wrapText="1"/>
    </xf>
    <xf numFmtId="3" fontId="14" fillId="17" borderId="162" xfId="0" applyNumberFormat="1" applyFont="1" applyFill="1" applyBorder="1" applyAlignment="1">
      <alignment horizontal="center" wrapText="1"/>
    </xf>
    <xf numFmtId="0" fontId="14" fillId="0" borderId="162" xfId="0" applyFont="1" applyBorder="1" applyAlignment="1">
      <alignment horizontal="center" vertical="center" wrapText="1"/>
    </xf>
    <xf numFmtId="3" fontId="30" fillId="39" borderId="150" xfId="0" applyNumberFormat="1" applyFont="1" applyFill="1" applyBorder="1" applyAlignment="1">
      <alignment horizontal="center" vertical="center" wrapText="1"/>
    </xf>
    <xf numFmtId="3" fontId="30" fillId="39" borderId="149" xfId="0" applyNumberFormat="1" applyFont="1" applyFill="1" applyBorder="1" applyAlignment="1">
      <alignment horizontal="center" vertical="center" wrapText="1"/>
    </xf>
    <xf numFmtId="3" fontId="30" fillId="39" borderId="162" xfId="0" applyNumberFormat="1" applyFont="1" applyFill="1" applyBorder="1" applyAlignment="1">
      <alignment horizontal="center" vertical="center" wrapText="1"/>
    </xf>
  </cellXfs>
  <cellStyles count="377">
    <cellStyle name="Énfasis2 2" xfId="45"/>
    <cellStyle name="Excel Built-in Normal" xfId="18"/>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Millares" xfId="1" builtinId="3"/>
    <cellStyle name="Millares [0]" xfId="192" builtinId="6"/>
    <cellStyle name="Moneda" xfId="2" builtinId="4"/>
    <cellStyle name="Moneda 2" xfId="3"/>
    <cellStyle name="Moneda 2 2" xfId="4"/>
    <cellStyle name="Moneda 6" xfId="5"/>
    <cellStyle name="Normal" xfId="0" builtinId="0"/>
    <cellStyle name="Porcentaje" xfId="6" builtinId="5"/>
    <cellStyle name="Porcentual 12" xfId="7"/>
    <cellStyle name="Porcentual 13" xfId="8"/>
    <cellStyle name="Porcentual 14" xfId="9"/>
    <cellStyle name="Porcentual 17" xfId="10"/>
    <cellStyle name="Porcentual 18" xfId="11"/>
    <cellStyle name="Porcentual 22" xfId="12"/>
    <cellStyle name="Porcentual 4" xfId="13"/>
    <cellStyle name="Porcentual 6" xfId="14"/>
    <cellStyle name="Porcentual 7" xfId="15"/>
    <cellStyle name="Porcentual 8" xfId="16"/>
    <cellStyle name="Porcentual 9" xfId="1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9D9D9"/>
      <rgbColor rgb="00808080"/>
      <rgbColor rgb="009999FF"/>
      <rgbColor rgb="0076475E"/>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767676"/>
      <rgbColor rgb="008E6BB2"/>
      <rgbColor rgb="00003366"/>
      <rgbColor rgb="00339966"/>
      <rgbColor rgb="00003300"/>
      <rgbColor rgb="00333300"/>
      <rgbColor rgb="00993300"/>
      <rgbColor rgb="00993366"/>
      <rgbColor rgb="00333399"/>
      <rgbColor rgb="00333333"/>
    </indexedColors>
    <mruColors>
      <color rgb="FF33CC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50" b="1" i="0" u="none" strike="noStrike" baseline="0">
                <a:solidFill>
                  <a:srgbClr val="000000"/>
                </a:solidFill>
                <a:latin typeface="Arial"/>
                <a:ea typeface="Arial"/>
                <a:cs typeface="Arial"/>
              </a:defRPr>
            </a:pPr>
            <a:r>
              <a:rPr lang="es-ES"/>
              <a:t>Evolución Ventas Semanales Pepe Sierra</a:t>
            </a:r>
          </a:p>
        </c:rich>
      </c:tx>
      <c:layout>
        <c:manualLayout>
          <c:xMode val="edge"/>
          <c:yMode val="edge"/>
          <c:x val="0.26492537313433401"/>
          <c:y val="4.2216358839050103E-2"/>
        </c:manualLayout>
      </c:layout>
      <c:overlay val="0"/>
      <c:spPr>
        <a:noFill/>
        <a:ln w="25400">
          <a:noFill/>
        </a:ln>
      </c:spPr>
    </c:title>
    <c:autoTitleDeleted val="0"/>
    <c:plotArea>
      <c:layout>
        <c:manualLayout>
          <c:layoutTarget val="inner"/>
          <c:xMode val="edge"/>
          <c:yMode val="edge"/>
          <c:x val="8.5318691482673903E-2"/>
          <c:y val="0.13544470529574301"/>
          <c:w val="0.78852556268808405"/>
          <c:h val="0.66139017583224102"/>
        </c:manualLayout>
      </c:layout>
      <c:lineChart>
        <c:grouping val="standard"/>
        <c:varyColors val="0"/>
        <c:ser>
          <c:idx val="0"/>
          <c:order val="0"/>
          <c:tx>
            <c:strRef>
              <c:f>'PEPE SIERRA '!$A$2402</c:f>
              <c:strCache>
                <c:ptCount val="1"/>
                <c:pt idx="0">
                  <c:v>Ventas Domicilio</c:v>
                </c:pt>
              </c:strCache>
            </c:strRef>
          </c:tx>
          <c:spPr>
            <a:ln w="25400">
              <a:solidFill>
                <a:srgbClr val="000080"/>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'!$B$2402:$CH$2402</c:f>
              <c:numCache>
                <c:formatCode>_("$ "* #,##0_);_("$ "* \(#,##0\);_("$ "* \-??_);_(@_)</c:formatCode>
                <c:ptCount val="85"/>
                <c:pt idx="0">
                  <c:v>1620622.0034482758</c:v>
                </c:pt>
                <c:pt idx="1">
                  <c:v>16682145.506896552</c:v>
                </c:pt>
                <c:pt idx="2">
                  <c:v>19189038.67586207</c:v>
                </c:pt>
                <c:pt idx="3">
                  <c:v>21157495.529310346</c:v>
                </c:pt>
                <c:pt idx="4">
                  <c:v>20399824.803448278</c:v>
                </c:pt>
                <c:pt idx="5">
                  <c:v>22474597.191379312</c:v>
                </c:pt>
                <c:pt idx="6">
                  <c:v>22942793.881034486</c:v>
                </c:pt>
                <c:pt idx="7">
                  <c:v>22451114.548275866</c:v>
                </c:pt>
                <c:pt idx="8">
                  <c:v>22850518.251724139</c:v>
                </c:pt>
                <c:pt idx="9">
                  <c:v>19559869.83275862</c:v>
                </c:pt>
                <c:pt idx="10">
                  <c:v>29116979.039655175</c:v>
                </c:pt>
                <c:pt idx="11">
                  <c:v>33552386.389655177</c:v>
                </c:pt>
                <c:pt idx="12">
                  <c:v>28757223.515517246</c:v>
                </c:pt>
                <c:pt idx="13">
                  <c:v>35001060.274137929</c:v>
                </c:pt>
                <c:pt idx="14">
                  <c:v>33253734.222413797</c:v>
                </c:pt>
                <c:pt idx="15">
                  <c:v>33128470.318965517</c:v>
                </c:pt>
                <c:pt idx="16">
                  <c:v>36259358.384482764</c:v>
                </c:pt>
                <c:pt idx="17">
                  <c:v>30719973.446551725</c:v>
                </c:pt>
                <c:pt idx="18">
                  <c:v>27093183.160344832</c:v>
                </c:pt>
                <c:pt idx="19">
                  <c:v>20809999.813793108</c:v>
                </c:pt>
                <c:pt idx="20">
                  <c:v>23078703.55689656</c:v>
                </c:pt>
                <c:pt idx="21">
                  <c:v>33377490.772413794</c:v>
                </c:pt>
                <c:pt idx="22">
                  <c:v>28849713.76551725</c:v>
                </c:pt>
                <c:pt idx="23">
                  <c:v>30139873.92586207</c:v>
                </c:pt>
                <c:pt idx="24">
                  <c:v>33944910.094827592</c:v>
                </c:pt>
                <c:pt idx="25">
                  <c:v>34160951.946551725</c:v>
                </c:pt>
                <c:pt idx="26">
                  <c:v>32865766.939655174</c:v>
                </c:pt>
                <c:pt idx="27">
                  <c:v>34953246.082758628</c:v>
                </c:pt>
                <c:pt idx="28">
                  <c:v>39143995.715517245</c:v>
                </c:pt>
                <c:pt idx="29">
                  <c:v>34760263.089655176</c:v>
                </c:pt>
                <c:pt idx="30">
                  <c:v>34543859.62068966</c:v>
                </c:pt>
                <c:pt idx="31">
                  <c:v>40877790.451724134</c:v>
                </c:pt>
                <c:pt idx="32">
                  <c:v>33644091.491379321</c:v>
                </c:pt>
                <c:pt idx="33">
                  <c:v>36606734.755172417</c:v>
                </c:pt>
                <c:pt idx="34">
                  <c:v>37166138.670689657</c:v>
                </c:pt>
                <c:pt idx="35">
                  <c:v>34539261.382758625</c:v>
                </c:pt>
                <c:pt idx="36">
                  <c:v>32476182.360344827</c:v>
                </c:pt>
                <c:pt idx="37">
                  <c:v>31415415.210344829</c:v>
                </c:pt>
                <c:pt idx="38">
                  <c:v>37016712.077586211</c:v>
                </c:pt>
                <c:pt idx="39">
                  <c:v>36531884.470689662</c:v>
                </c:pt>
                <c:pt idx="40">
                  <c:v>38078892.153448284</c:v>
                </c:pt>
                <c:pt idx="41">
                  <c:v>33374444.822413795</c:v>
                </c:pt>
                <c:pt idx="42">
                  <c:v>36424724.555172414</c:v>
                </c:pt>
                <c:pt idx="43">
                  <c:v>32115607.136206903</c:v>
                </c:pt>
                <c:pt idx="44">
                  <c:v>27915658.632758621</c:v>
                </c:pt>
                <c:pt idx="45">
                  <c:v>35676784.017241381</c:v>
                </c:pt>
                <c:pt idx="46">
                  <c:v>37251193.236206897</c:v>
                </c:pt>
                <c:pt idx="47">
                  <c:v>33267497.562068969</c:v>
                </c:pt>
                <c:pt idx="48">
                  <c:v>36345253.077586211</c:v>
                </c:pt>
                <c:pt idx="49">
                  <c:v>32670230.984482765</c:v>
                </c:pt>
                <c:pt idx="50">
                  <c:v>35659299.281034485</c:v>
                </c:pt>
                <c:pt idx="51">
                  <c:v>33840159.160344832</c:v>
                </c:pt>
                <c:pt idx="52">
                  <c:v>36150639.131034486</c:v>
                </c:pt>
                <c:pt idx="53">
                  <c:v>26733125.218965519</c:v>
                </c:pt>
                <c:pt idx="54">
                  <c:v>30428525.684482761</c:v>
                </c:pt>
                <c:pt idx="55">
                  <c:v>29823663.053448278</c:v>
                </c:pt>
                <c:pt idx="56">
                  <c:v>30079438.887931034</c:v>
                </c:pt>
                <c:pt idx="57">
                  <c:v>27238902.505172413</c:v>
                </c:pt>
                <c:pt idx="58">
                  <c:v>29870431.151724141</c:v>
                </c:pt>
                <c:pt idx="59">
                  <c:v>28489942.551724143</c:v>
                </c:pt>
                <c:pt idx="60">
                  <c:v>26731403.494827591</c:v>
                </c:pt>
                <c:pt idx="61">
                  <c:v>32852961.57068966</c:v>
                </c:pt>
                <c:pt idx="62">
                  <c:v>31079547.725862071</c:v>
                </c:pt>
                <c:pt idx="63">
                  <c:v>29244866.294827588</c:v>
                </c:pt>
                <c:pt idx="64">
                  <c:v>33963218.491379313</c:v>
                </c:pt>
                <c:pt idx="65">
                  <c:v>34718486.9362069</c:v>
                </c:pt>
                <c:pt idx="66">
                  <c:v>32426234.430344831</c:v>
                </c:pt>
                <c:pt idx="67">
                  <c:v>32718735.415862072</c:v>
                </c:pt>
                <c:pt idx="68">
                  <c:v>34395152.79724139</c:v>
                </c:pt>
                <c:pt idx="69">
                  <c:v>29624470.617241383</c:v>
                </c:pt>
                <c:pt idx="70">
                  <c:v>26864360.458620694</c:v>
                </c:pt>
                <c:pt idx="71">
                  <c:v>19365834.941379312</c:v>
                </c:pt>
                <c:pt idx="72">
                  <c:v>22867482.691034488</c:v>
                </c:pt>
                <c:pt idx="73">
                  <c:v>26433332.536551725</c:v>
                </c:pt>
                <c:pt idx="74">
                  <c:v>28293527.366206899</c:v>
                </c:pt>
                <c:pt idx="75">
                  <c:v>28903597.34965517</c:v>
                </c:pt>
                <c:pt idx="76">
                  <c:v>29843011.513793107</c:v>
                </c:pt>
                <c:pt idx="77">
                  <c:v>29034101.909655176</c:v>
                </c:pt>
                <c:pt idx="78">
                  <c:v>27740624.831724137</c:v>
                </c:pt>
                <c:pt idx="79">
                  <c:v>30738639.18206897</c:v>
                </c:pt>
                <c:pt idx="80">
                  <c:v>29765048.824827589</c:v>
                </c:pt>
                <c:pt idx="81">
                  <c:v>32613774.1862069</c:v>
                </c:pt>
                <c:pt idx="82">
                  <c:v>28675878.331034485</c:v>
                </c:pt>
                <c:pt idx="83">
                  <c:v>32322016.700689659</c:v>
                </c:pt>
                <c:pt idx="84">
                  <c:v>19372069.068275861</c:v>
                </c:pt>
              </c:numCache>
            </c:numRef>
          </c:val>
          <c:smooth val="0"/>
        </c:ser>
        <c:ser>
          <c:idx val="1"/>
          <c:order val="1"/>
          <c:tx>
            <c:strRef>
              <c:f>'PEPE SIERRA '!$A$2403</c:f>
              <c:strCache>
                <c:ptCount val="1"/>
                <c:pt idx="0">
                  <c:v>Ventas Domicilio Carry Out </c:v>
                </c:pt>
              </c:strCache>
            </c:strRef>
          </c:tx>
          <c:spPr>
            <a:ln w="25400">
              <a:solidFill>
                <a:srgbClr val="FF00FF"/>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'!$B$2403:$CH$2403</c:f>
              <c:numCache>
                <c:formatCode>_("$ "* #,##0_);_("$ "* \(#,##0\);_("$ "* \-??_);_(@_)</c:formatCode>
                <c:ptCount val="85"/>
                <c:pt idx="0">
                  <c:v>1703730.824137931</c:v>
                </c:pt>
                <c:pt idx="1">
                  <c:v>14680225.72758621</c:v>
                </c:pt>
                <c:pt idx="2">
                  <c:v>12468604.932758622</c:v>
                </c:pt>
                <c:pt idx="3">
                  <c:v>15516035.565517243</c:v>
                </c:pt>
                <c:pt idx="4">
                  <c:v>8026067.7448275872</c:v>
                </c:pt>
                <c:pt idx="5">
                  <c:v>12157179.594827589</c:v>
                </c:pt>
                <c:pt idx="6">
                  <c:v>1793929.6724137934</c:v>
                </c:pt>
                <c:pt idx="7">
                  <c:v>505725.6413793104</c:v>
                </c:pt>
                <c:pt idx="8">
                  <c:v>777640.09827586217</c:v>
                </c:pt>
                <c:pt idx="9">
                  <c:v>460746.88103448279</c:v>
                </c:pt>
                <c:pt idx="10">
                  <c:v>1786200.6706896552</c:v>
                </c:pt>
                <c:pt idx="11">
                  <c:v>1415307.2137931036</c:v>
                </c:pt>
                <c:pt idx="12">
                  <c:v>1273146.8500000001</c:v>
                </c:pt>
                <c:pt idx="13">
                  <c:v>1072362.3120689655</c:v>
                </c:pt>
                <c:pt idx="14">
                  <c:v>199199.83448275866</c:v>
                </c:pt>
                <c:pt idx="15">
                  <c:v>356195.23448275868</c:v>
                </c:pt>
                <c:pt idx="16">
                  <c:v>1010328.5568965519</c:v>
                </c:pt>
                <c:pt idx="17">
                  <c:v>812887.39655172417</c:v>
                </c:pt>
                <c:pt idx="18">
                  <c:v>1619274.0258620693</c:v>
                </c:pt>
                <c:pt idx="19">
                  <c:v>1562556.0086206899</c:v>
                </c:pt>
                <c:pt idx="20">
                  <c:v>1472524.4327586209</c:v>
                </c:pt>
                <c:pt idx="21">
                  <c:v>1290947.4637931036</c:v>
                </c:pt>
                <c:pt idx="22">
                  <c:v>2071791.6465517243</c:v>
                </c:pt>
                <c:pt idx="23">
                  <c:v>1462347.1896551724</c:v>
                </c:pt>
                <c:pt idx="24">
                  <c:v>1266045.1172413796</c:v>
                </c:pt>
                <c:pt idx="25">
                  <c:v>1304375.4086206898</c:v>
                </c:pt>
                <c:pt idx="26">
                  <c:v>965884.66551724146</c:v>
                </c:pt>
                <c:pt idx="27">
                  <c:v>969888.96724137943</c:v>
                </c:pt>
                <c:pt idx="28">
                  <c:v>991026.82586206915</c:v>
                </c:pt>
                <c:pt idx="29">
                  <c:v>667255.07586206903</c:v>
                </c:pt>
                <c:pt idx="30">
                  <c:v>1122652.3586206897</c:v>
                </c:pt>
                <c:pt idx="31">
                  <c:v>1287312.7327586208</c:v>
                </c:pt>
                <c:pt idx="32">
                  <c:v>1329605.6879310345</c:v>
                </c:pt>
                <c:pt idx="33">
                  <c:v>1134954.2982758624</c:v>
                </c:pt>
                <c:pt idx="34">
                  <c:v>1023789.1948275863</c:v>
                </c:pt>
                <c:pt idx="35">
                  <c:v>1040561.2913793104</c:v>
                </c:pt>
                <c:pt idx="36">
                  <c:v>963143.91379310342</c:v>
                </c:pt>
                <c:pt idx="37">
                  <c:v>1015620.9344827586</c:v>
                </c:pt>
                <c:pt idx="38">
                  <c:v>893395.34137931047</c:v>
                </c:pt>
                <c:pt idx="39">
                  <c:v>1000575.3931034482</c:v>
                </c:pt>
                <c:pt idx="40">
                  <c:v>742014.87413793104</c:v>
                </c:pt>
                <c:pt idx="41">
                  <c:v>1013376.2689655174</c:v>
                </c:pt>
                <c:pt idx="42">
                  <c:v>955711.23448275868</c:v>
                </c:pt>
                <c:pt idx="43">
                  <c:v>1050381.3706896552</c:v>
                </c:pt>
                <c:pt idx="44">
                  <c:v>820021.95344827592</c:v>
                </c:pt>
                <c:pt idx="45">
                  <c:v>1058335.9172413794</c:v>
                </c:pt>
                <c:pt idx="46">
                  <c:v>1349069.6137931035</c:v>
                </c:pt>
                <c:pt idx="47">
                  <c:v>1036638.5500000002</c:v>
                </c:pt>
                <c:pt idx="48">
                  <c:v>732794.28103448288</c:v>
                </c:pt>
                <c:pt idx="49">
                  <c:v>1088465.3051724138</c:v>
                </c:pt>
                <c:pt idx="50">
                  <c:v>1352053.3120689658</c:v>
                </c:pt>
                <c:pt idx="51">
                  <c:v>938870.93965517252</c:v>
                </c:pt>
                <c:pt idx="52">
                  <c:v>673881.14310344832</c:v>
                </c:pt>
                <c:pt idx="53">
                  <c:v>883117.26551724144</c:v>
                </c:pt>
                <c:pt idx="54">
                  <c:v>909003.43965517241</c:v>
                </c:pt>
                <c:pt idx="55">
                  <c:v>583007.45689655177</c:v>
                </c:pt>
                <c:pt idx="56">
                  <c:v>659019.01034482766</c:v>
                </c:pt>
                <c:pt idx="57">
                  <c:v>689440.57413793111</c:v>
                </c:pt>
                <c:pt idx="58">
                  <c:v>684644.86379310349</c:v>
                </c:pt>
                <c:pt idx="59">
                  <c:v>750429.73448275868</c:v>
                </c:pt>
                <c:pt idx="60">
                  <c:v>664388.71724137943</c:v>
                </c:pt>
                <c:pt idx="61">
                  <c:v>854865.43275862071</c:v>
                </c:pt>
                <c:pt idx="62">
                  <c:v>436645.71206896554</c:v>
                </c:pt>
                <c:pt idx="63">
                  <c:v>245236.3206896552</c:v>
                </c:pt>
                <c:pt idx="64">
                  <c:v>204396.50689655176</c:v>
                </c:pt>
                <c:pt idx="65">
                  <c:v>417305.18275862071</c:v>
                </c:pt>
                <c:pt idx="66">
                  <c:v>318743.2013793104</c:v>
                </c:pt>
                <c:pt idx="67">
                  <c:v>490270.02620689664</c:v>
                </c:pt>
                <c:pt idx="68">
                  <c:v>342249.30620689655</c:v>
                </c:pt>
                <c:pt idx="69">
                  <c:v>293341.70689655177</c:v>
                </c:pt>
                <c:pt idx="70">
                  <c:v>241726.57655172417</c:v>
                </c:pt>
                <c:pt idx="71">
                  <c:v>174244.0827586207</c:v>
                </c:pt>
                <c:pt idx="72">
                  <c:v>216405.915862069</c:v>
                </c:pt>
                <c:pt idx="73">
                  <c:v>138460.56137931038</c:v>
                </c:pt>
                <c:pt idx="74">
                  <c:v>252533.21034482762</c:v>
                </c:pt>
                <c:pt idx="75">
                  <c:v>582919.4862068966</c:v>
                </c:pt>
                <c:pt idx="76">
                  <c:v>348275.50413793104</c:v>
                </c:pt>
                <c:pt idx="77">
                  <c:v>189262.80413793103</c:v>
                </c:pt>
                <c:pt idx="78">
                  <c:v>261872.84275862074</c:v>
                </c:pt>
                <c:pt idx="79">
                  <c:v>227766.2006896552</c:v>
                </c:pt>
                <c:pt idx="80">
                  <c:v>125909.66413793105</c:v>
                </c:pt>
                <c:pt idx="81">
                  <c:v>201817.09793103451</c:v>
                </c:pt>
                <c:pt idx="82">
                  <c:v>313983.69379310345</c:v>
                </c:pt>
                <c:pt idx="83">
                  <c:v>201017.91448275864</c:v>
                </c:pt>
                <c:pt idx="84">
                  <c:v>242531.64758620691</c:v>
                </c:pt>
              </c:numCache>
            </c:numRef>
          </c:val>
          <c:smooth val="0"/>
        </c:ser>
        <c:ser>
          <c:idx val="2"/>
          <c:order val="2"/>
          <c:tx>
            <c:strRef>
              <c:f>'PEPE SIERRA '!$A$2404</c:f>
              <c:strCache>
                <c:ptCount val="1"/>
                <c:pt idx="0">
                  <c:v>Ventas Punto de Venta</c:v>
                </c:pt>
              </c:strCache>
            </c:strRef>
          </c:tx>
          <c:spPr>
            <a:ln w="25400">
              <a:solidFill>
                <a:srgbClr val="0000FF"/>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'!$B$2404:$CH$2404</c:f>
              <c:numCache>
                <c:formatCode>_("$ "* #,##0_);_("$ "* \(#,##0\);_("$ "* \-??_);_(@_)</c:formatCode>
                <c:ptCount val="85"/>
                <c:pt idx="0">
                  <c:v>831088.20689655177</c:v>
                </c:pt>
                <c:pt idx="1">
                  <c:v>9435812.2137931045</c:v>
                </c:pt>
                <c:pt idx="2">
                  <c:v>8960756.2189655174</c:v>
                </c:pt>
                <c:pt idx="3">
                  <c:v>11921680.629310345</c:v>
                </c:pt>
                <c:pt idx="4">
                  <c:v>14515633.831034483</c:v>
                </c:pt>
                <c:pt idx="5">
                  <c:v>13650509.075862071</c:v>
                </c:pt>
                <c:pt idx="6">
                  <c:v>11730888.184482761</c:v>
                </c:pt>
                <c:pt idx="7">
                  <c:v>13370937.806896552</c:v>
                </c:pt>
                <c:pt idx="8">
                  <c:v>12372680.45172414</c:v>
                </c:pt>
                <c:pt idx="9">
                  <c:v>15560883.043103449</c:v>
                </c:pt>
                <c:pt idx="10">
                  <c:v>12554741.829310346</c:v>
                </c:pt>
                <c:pt idx="11">
                  <c:v>11953352.974137932</c:v>
                </c:pt>
                <c:pt idx="12">
                  <c:v>10057644.782758621</c:v>
                </c:pt>
                <c:pt idx="13">
                  <c:v>10723420.620689657</c:v>
                </c:pt>
                <c:pt idx="14">
                  <c:v>8693652.9672413804</c:v>
                </c:pt>
                <c:pt idx="15">
                  <c:v>11740559.837931037</c:v>
                </c:pt>
                <c:pt idx="16">
                  <c:v>13274931.636206897</c:v>
                </c:pt>
                <c:pt idx="17">
                  <c:v>10800059.677586207</c:v>
                </c:pt>
                <c:pt idx="18">
                  <c:v>10971744.256896555</c:v>
                </c:pt>
                <c:pt idx="19">
                  <c:v>10514029.479310345</c:v>
                </c:pt>
                <c:pt idx="20">
                  <c:v>10002289.922413794</c:v>
                </c:pt>
                <c:pt idx="21">
                  <c:v>11602230.589655174</c:v>
                </c:pt>
                <c:pt idx="22">
                  <c:v>10611070.801724138</c:v>
                </c:pt>
                <c:pt idx="23">
                  <c:v>9712234.8189655188</c:v>
                </c:pt>
                <c:pt idx="24">
                  <c:v>9823341.7931034509</c:v>
                </c:pt>
                <c:pt idx="25">
                  <c:v>8579841.9189655185</c:v>
                </c:pt>
                <c:pt idx="26">
                  <c:v>9798924.8551724143</c:v>
                </c:pt>
                <c:pt idx="27">
                  <c:v>10221084.706896551</c:v>
                </c:pt>
                <c:pt idx="28">
                  <c:v>10309990.213793105</c:v>
                </c:pt>
                <c:pt idx="29">
                  <c:v>10052870.846551726</c:v>
                </c:pt>
                <c:pt idx="30">
                  <c:v>10418449.820689656</c:v>
                </c:pt>
                <c:pt idx="31">
                  <c:v>9616919.0706896558</c:v>
                </c:pt>
                <c:pt idx="32">
                  <c:v>13793765.544827588</c:v>
                </c:pt>
                <c:pt idx="33">
                  <c:v>9897753.9586206898</c:v>
                </c:pt>
                <c:pt idx="34">
                  <c:v>11151648.465517242</c:v>
                </c:pt>
                <c:pt idx="35">
                  <c:v>13478070.558620691</c:v>
                </c:pt>
                <c:pt idx="36">
                  <c:v>10605170.081034483</c:v>
                </c:pt>
                <c:pt idx="37">
                  <c:v>9309161.3413793109</c:v>
                </c:pt>
                <c:pt idx="38">
                  <c:v>10172146.96724138</c:v>
                </c:pt>
                <c:pt idx="39">
                  <c:v>9258558.31724138</c:v>
                </c:pt>
                <c:pt idx="40">
                  <c:v>9211894.727586206</c:v>
                </c:pt>
                <c:pt idx="41">
                  <c:v>9404833.1206896547</c:v>
                </c:pt>
                <c:pt idx="42">
                  <c:v>12136706.013793105</c:v>
                </c:pt>
                <c:pt idx="43">
                  <c:v>9769811.0241379328</c:v>
                </c:pt>
                <c:pt idx="44">
                  <c:v>9189940.4775862079</c:v>
                </c:pt>
                <c:pt idx="45">
                  <c:v>10044615.737931034</c:v>
                </c:pt>
                <c:pt idx="46">
                  <c:v>10851911.413793104</c:v>
                </c:pt>
                <c:pt idx="47">
                  <c:v>6786217.4431034494</c:v>
                </c:pt>
                <c:pt idx="48">
                  <c:v>8707956.4793103449</c:v>
                </c:pt>
                <c:pt idx="49">
                  <c:v>8173576.5120689664</c:v>
                </c:pt>
                <c:pt idx="50">
                  <c:v>7246290.3844827581</c:v>
                </c:pt>
                <c:pt idx="51">
                  <c:v>6244378.7758620698</c:v>
                </c:pt>
                <c:pt idx="52">
                  <c:v>7565098.3017241396</c:v>
                </c:pt>
                <c:pt idx="53">
                  <c:v>6236865.90862069</c:v>
                </c:pt>
                <c:pt idx="54">
                  <c:v>7918746.3689655177</c:v>
                </c:pt>
                <c:pt idx="55">
                  <c:v>6962335.7344827596</c:v>
                </c:pt>
                <c:pt idx="56">
                  <c:v>7120194.6413793117</c:v>
                </c:pt>
                <c:pt idx="57">
                  <c:v>6799941.8948275866</c:v>
                </c:pt>
                <c:pt idx="58">
                  <c:v>8170769.2327586208</c:v>
                </c:pt>
                <c:pt idx="59">
                  <c:v>7210082.4258620702</c:v>
                </c:pt>
                <c:pt idx="60">
                  <c:v>8466615.2310344838</c:v>
                </c:pt>
                <c:pt idx="61">
                  <c:v>7633272.7810344826</c:v>
                </c:pt>
                <c:pt idx="62">
                  <c:v>8046985.4655172415</c:v>
                </c:pt>
                <c:pt idx="63">
                  <c:v>7740494.9586206898</c:v>
                </c:pt>
                <c:pt idx="64">
                  <c:v>8832804.6827586219</c:v>
                </c:pt>
                <c:pt idx="65">
                  <c:v>8635168.6913793124</c:v>
                </c:pt>
                <c:pt idx="66">
                  <c:v>7986657.2268965524</c:v>
                </c:pt>
                <c:pt idx="67">
                  <c:v>8420061.0979310349</c:v>
                </c:pt>
                <c:pt idx="68">
                  <c:v>9842722.7779310346</c:v>
                </c:pt>
                <c:pt idx="69">
                  <c:v>7879905.5441379324</c:v>
                </c:pt>
                <c:pt idx="70">
                  <c:v>7400428.8020689655</c:v>
                </c:pt>
                <c:pt idx="71">
                  <c:v>7342859.2551724138</c:v>
                </c:pt>
                <c:pt idx="72">
                  <c:v>7463679.1482758634</c:v>
                </c:pt>
                <c:pt idx="73">
                  <c:v>7929226.193793105</c:v>
                </c:pt>
                <c:pt idx="74">
                  <c:v>7071824.4655172424</c:v>
                </c:pt>
                <c:pt idx="75">
                  <c:v>7164678.0834482769</c:v>
                </c:pt>
                <c:pt idx="76">
                  <c:v>8020352.971034484</c:v>
                </c:pt>
                <c:pt idx="77">
                  <c:v>6694643.783448277</c:v>
                </c:pt>
                <c:pt idx="78">
                  <c:v>7380125.4834482763</c:v>
                </c:pt>
                <c:pt idx="79">
                  <c:v>7951166.51586207</c:v>
                </c:pt>
                <c:pt idx="80">
                  <c:v>7470318.6503448281</c:v>
                </c:pt>
                <c:pt idx="81">
                  <c:v>6953860.2551724147</c:v>
                </c:pt>
                <c:pt idx="82">
                  <c:v>6649153.6689655175</c:v>
                </c:pt>
                <c:pt idx="83">
                  <c:v>8063486.9124137936</c:v>
                </c:pt>
                <c:pt idx="84">
                  <c:v>6765421.8427586211</c:v>
                </c:pt>
              </c:numCache>
            </c:numRef>
          </c:val>
          <c:smooth val="0"/>
        </c:ser>
        <c:ser>
          <c:idx val="3"/>
          <c:order val="3"/>
          <c:tx>
            <c:strRef>
              <c:f>'PEPE SIERRA '!$A$2405</c:f>
              <c:strCache>
                <c:ptCount val="1"/>
                <c:pt idx="0">
                  <c:v>Ventas Punto de Venta Carryout </c:v>
                </c:pt>
              </c:strCache>
            </c:strRef>
          </c:tx>
          <c:spPr>
            <a:ln w="25400">
              <a:solidFill>
                <a:srgbClr val="339966"/>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'!$B$2405:$CH$2405</c:f>
              <c:numCache>
                <c:formatCode>_("$ "* #,##0_);_("$ "* \(#,##0\);_("$ "* \-??_);_(@_)</c:formatCode>
                <c:ptCount val="85"/>
                <c:pt idx="0">
                  <c:v>0</c:v>
                </c:pt>
                <c:pt idx="1">
                  <c:v>0</c:v>
                </c:pt>
                <c:pt idx="2">
                  <c:v>0</c:v>
                </c:pt>
                <c:pt idx="3">
                  <c:v>0</c:v>
                </c:pt>
                <c:pt idx="4">
                  <c:v>0</c:v>
                </c:pt>
                <c:pt idx="5">
                  <c:v>0</c:v>
                </c:pt>
                <c:pt idx="6">
                  <c:v>8215630.9017241383</c:v>
                </c:pt>
                <c:pt idx="7">
                  <c:v>9537197.3689655177</c:v>
                </c:pt>
                <c:pt idx="8">
                  <c:v>10756564.187931037</c:v>
                </c:pt>
                <c:pt idx="9">
                  <c:v>6856948.8051724155</c:v>
                </c:pt>
                <c:pt idx="10">
                  <c:v>7113144.8844827591</c:v>
                </c:pt>
                <c:pt idx="11">
                  <c:v>8231807.2155172434</c:v>
                </c:pt>
                <c:pt idx="12">
                  <c:v>6226501.9206896555</c:v>
                </c:pt>
                <c:pt idx="13">
                  <c:v>7649099.1482758615</c:v>
                </c:pt>
                <c:pt idx="14">
                  <c:v>6408177.2241379321</c:v>
                </c:pt>
                <c:pt idx="15">
                  <c:v>7070810.9879310355</c:v>
                </c:pt>
                <c:pt idx="16">
                  <c:v>6149629.3534482773</c:v>
                </c:pt>
                <c:pt idx="17">
                  <c:v>4516271.2465517242</c:v>
                </c:pt>
                <c:pt idx="18">
                  <c:v>4989635.1672413796</c:v>
                </c:pt>
                <c:pt idx="19">
                  <c:v>5377816.2551724147</c:v>
                </c:pt>
                <c:pt idx="20">
                  <c:v>5333115.8879310349</c:v>
                </c:pt>
                <c:pt idx="21">
                  <c:v>4495221.0741379317</c:v>
                </c:pt>
                <c:pt idx="22">
                  <c:v>4230423.9586206898</c:v>
                </c:pt>
                <c:pt idx="23">
                  <c:v>5503825.4396551736</c:v>
                </c:pt>
                <c:pt idx="24">
                  <c:v>4304030.0086206906</c:v>
                </c:pt>
                <c:pt idx="25">
                  <c:v>4406384.863793104</c:v>
                </c:pt>
                <c:pt idx="26">
                  <c:v>2327927.5810344829</c:v>
                </c:pt>
                <c:pt idx="27">
                  <c:v>3063124.8982758624</c:v>
                </c:pt>
                <c:pt idx="28">
                  <c:v>3615811.5689655179</c:v>
                </c:pt>
                <c:pt idx="29">
                  <c:v>3321076.8672413798</c:v>
                </c:pt>
                <c:pt idx="30">
                  <c:v>2891813.6862068968</c:v>
                </c:pt>
                <c:pt idx="31">
                  <c:v>7591458.6913793106</c:v>
                </c:pt>
                <c:pt idx="32">
                  <c:v>2676205.453448276</c:v>
                </c:pt>
                <c:pt idx="33">
                  <c:v>2572476.9827586208</c:v>
                </c:pt>
                <c:pt idx="34">
                  <c:v>612493.73275862075</c:v>
                </c:pt>
                <c:pt idx="35">
                  <c:v>1546448.232758621</c:v>
                </c:pt>
                <c:pt idx="36">
                  <c:v>1306134.3810344827</c:v>
                </c:pt>
                <c:pt idx="37">
                  <c:v>1190393.0620689658</c:v>
                </c:pt>
                <c:pt idx="38">
                  <c:v>923894.68965517252</c:v>
                </c:pt>
                <c:pt idx="39">
                  <c:v>2816395.6241379315</c:v>
                </c:pt>
                <c:pt idx="40">
                  <c:v>1534597.8965517243</c:v>
                </c:pt>
                <c:pt idx="41">
                  <c:v>1636311.477586207</c:v>
                </c:pt>
                <c:pt idx="42">
                  <c:v>959865.73793103453</c:v>
                </c:pt>
                <c:pt idx="43">
                  <c:v>1705056.9844827587</c:v>
                </c:pt>
                <c:pt idx="44">
                  <c:v>1653180.9051724139</c:v>
                </c:pt>
                <c:pt idx="45">
                  <c:v>1981467.8689655173</c:v>
                </c:pt>
                <c:pt idx="46">
                  <c:v>2285858.1500000004</c:v>
                </c:pt>
                <c:pt idx="47">
                  <c:v>1702041.2844827585</c:v>
                </c:pt>
                <c:pt idx="48">
                  <c:v>2887373.2310344828</c:v>
                </c:pt>
                <c:pt idx="49">
                  <c:v>1840132.0258620691</c:v>
                </c:pt>
                <c:pt idx="50">
                  <c:v>1973826.505172414</c:v>
                </c:pt>
                <c:pt idx="51">
                  <c:v>2226478.5655172416</c:v>
                </c:pt>
                <c:pt idx="52">
                  <c:v>2156476.7965517244</c:v>
                </c:pt>
                <c:pt idx="53">
                  <c:v>1989442.9862068968</c:v>
                </c:pt>
                <c:pt idx="54">
                  <c:v>1775355.005172414</c:v>
                </c:pt>
                <c:pt idx="55">
                  <c:v>1748386.279310345</c:v>
                </c:pt>
                <c:pt idx="56">
                  <c:v>1847238.3224137933</c:v>
                </c:pt>
                <c:pt idx="57">
                  <c:v>1537068.7586206896</c:v>
                </c:pt>
                <c:pt idx="58">
                  <c:v>2095885.3189655177</c:v>
                </c:pt>
                <c:pt idx="59">
                  <c:v>1371421.8396551725</c:v>
                </c:pt>
                <c:pt idx="60">
                  <c:v>1791895.3758620692</c:v>
                </c:pt>
                <c:pt idx="61">
                  <c:v>1886339.3637931035</c:v>
                </c:pt>
                <c:pt idx="62">
                  <c:v>960945.06206896564</c:v>
                </c:pt>
                <c:pt idx="63">
                  <c:v>486451.9086206897</c:v>
                </c:pt>
                <c:pt idx="64">
                  <c:v>478464.80172413797</c:v>
                </c:pt>
                <c:pt idx="65">
                  <c:v>271808.8448275862</c:v>
                </c:pt>
                <c:pt idx="66">
                  <c:v>459798.65862068976</c:v>
                </c:pt>
                <c:pt idx="67">
                  <c:v>45623.904137931037</c:v>
                </c:pt>
                <c:pt idx="68">
                  <c:v>123198.56689655173</c:v>
                </c:pt>
                <c:pt idx="69">
                  <c:v>104776.20068965518</c:v>
                </c:pt>
                <c:pt idx="70">
                  <c:v>63414.369655172413</c:v>
                </c:pt>
                <c:pt idx="71">
                  <c:v>324942.62482758623</c:v>
                </c:pt>
                <c:pt idx="72">
                  <c:v>199080.15103448278</c:v>
                </c:pt>
                <c:pt idx="73">
                  <c:v>1409357.1393103451</c:v>
                </c:pt>
                <c:pt idx="74">
                  <c:v>241124.71379310347</c:v>
                </c:pt>
                <c:pt idx="75">
                  <c:v>369226.66689655173</c:v>
                </c:pt>
                <c:pt idx="76">
                  <c:v>677487.30827586213</c:v>
                </c:pt>
                <c:pt idx="77">
                  <c:v>252146.09793103451</c:v>
                </c:pt>
                <c:pt idx="78">
                  <c:v>349354.29034482763</c:v>
                </c:pt>
                <c:pt idx="79">
                  <c:v>524216.58413793112</c:v>
                </c:pt>
                <c:pt idx="80">
                  <c:v>417350.475862069</c:v>
                </c:pt>
                <c:pt idx="81">
                  <c:v>286467.42620689655</c:v>
                </c:pt>
                <c:pt idx="82">
                  <c:v>154763.82344827586</c:v>
                </c:pt>
                <c:pt idx="83">
                  <c:v>102618.81724137934</c:v>
                </c:pt>
                <c:pt idx="84">
                  <c:v>0</c:v>
                </c:pt>
              </c:numCache>
            </c:numRef>
          </c:val>
          <c:smooth val="0"/>
        </c:ser>
        <c:ser>
          <c:idx val="4"/>
          <c:order val="4"/>
          <c:tx>
            <c:strRef>
              <c:f>'PEPE SIERRA '!$A$2406</c:f>
              <c:strCache>
                <c:ptCount val="1"/>
                <c:pt idx="0">
                  <c:v>Ventas Punto de Venta Domicilio</c:v>
                </c:pt>
              </c:strCache>
            </c:strRef>
          </c:tx>
          <c:spPr>
            <a:ln w="25400">
              <a:solidFill>
                <a:srgbClr val="FF6600"/>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'!$B$2406:$CH$2406</c:f>
              <c:numCache>
                <c:formatCode>_("$ "* #,##0_);_("$ "* \(#,##0\);_("$ "* \-??_);_(@_)</c:formatCode>
                <c:ptCount val="85"/>
                <c:pt idx="0">
                  <c:v>0</c:v>
                </c:pt>
                <c:pt idx="1">
                  <c:v>0</c:v>
                </c:pt>
                <c:pt idx="2">
                  <c:v>0</c:v>
                </c:pt>
                <c:pt idx="3">
                  <c:v>0</c:v>
                </c:pt>
                <c:pt idx="4">
                  <c:v>0</c:v>
                </c:pt>
                <c:pt idx="5">
                  <c:v>0</c:v>
                </c:pt>
                <c:pt idx="6">
                  <c:v>107490.80862068967</c:v>
                </c:pt>
                <c:pt idx="7">
                  <c:v>1356562.2206896553</c:v>
                </c:pt>
                <c:pt idx="8">
                  <c:v>486177.18275862071</c:v>
                </c:pt>
                <c:pt idx="9">
                  <c:v>211749.71379310347</c:v>
                </c:pt>
                <c:pt idx="10">
                  <c:v>141684.95517241381</c:v>
                </c:pt>
                <c:pt idx="11">
                  <c:v>0</c:v>
                </c:pt>
                <c:pt idx="12">
                  <c:v>0</c:v>
                </c:pt>
                <c:pt idx="13">
                  <c:v>119421.09310344828</c:v>
                </c:pt>
                <c:pt idx="14">
                  <c:v>254046.61379310349</c:v>
                </c:pt>
                <c:pt idx="15">
                  <c:v>49578.620689655181</c:v>
                </c:pt>
                <c:pt idx="16">
                  <c:v>0</c:v>
                </c:pt>
                <c:pt idx="17">
                  <c:v>143396.16379310345</c:v>
                </c:pt>
                <c:pt idx="18">
                  <c:v>296904.25172413792</c:v>
                </c:pt>
                <c:pt idx="19">
                  <c:v>189409.99482758623</c:v>
                </c:pt>
                <c:pt idx="20">
                  <c:v>285381.88965517242</c:v>
                </c:pt>
                <c:pt idx="21">
                  <c:v>33514.755172413796</c:v>
                </c:pt>
                <c:pt idx="22">
                  <c:v>0</c:v>
                </c:pt>
                <c:pt idx="23">
                  <c:v>104550.35</c:v>
                </c:pt>
                <c:pt idx="24">
                  <c:v>159006.60689655173</c:v>
                </c:pt>
                <c:pt idx="25">
                  <c:v>0</c:v>
                </c:pt>
                <c:pt idx="26">
                  <c:v>317705.44137931039</c:v>
                </c:pt>
                <c:pt idx="27">
                  <c:v>0</c:v>
                </c:pt>
                <c:pt idx="28">
                  <c:v>48424.296551724139</c:v>
                </c:pt>
                <c:pt idx="29">
                  <c:v>51132.913793103457</c:v>
                </c:pt>
                <c:pt idx="30">
                  <c:v>240041.4103448276</c:v>
                </c:pt>
                <c:pt idx="31">
                  <c:v>0</c:v>
                </c:pt>
                <c:pt idx="32">
                  <c:v>125915.9603448276</c:v>
                </c:pt>
                <c:pt idx="33">
                  <c:v>48354.487931034491</c:v>
                </c:pt>
                <c:pt idx="34">
                  <c:v>250519.07413793105</c:v>
                </c:pt>
                <c:pt idx="35">
                  <c:v>73161.465517241391</c:v>
                </c:pt>
                <c:pt idx="36">
                  <c:v>29452.71206896552</c:v>
                </c:pt>
                <c:pt idx="37">
                  <c:v>361553.07241379312</c:v>
                </c:pt>
                <c:pt idx="38">
                  <c:v>66008.855172413809</c:v>
                </c:pt>
                <c:pt idx="39">
                  <c:v>79135.677586206904</c:v>
                </c:pt>
                <c:pt idx="40">
                  <c:v>186153.27931034483</c:v>
                </c:pt>
                <c:pt idx="41">
                  <c:v>0</c:v>
                </c:pt>
                <c:pt idx="42">
                  <c:v>109043.49310344829</c:v>
                </c:pt>
                <c:pt idx="43">
                  <c:v>243701.76034482761</c:v>
                </c:pt>
                <c:pt idx="44">
                  <c:v>24360.444827586209</c:v>
                </c:pt>
                <c:pt idx="45">
                  <c:v>275791.45862068963</c:v>
                </c:pt>
                <c:pt idx="46">
                  <c:v>0</c:v>
                </c:pt>
                <c:pt idx="47">
                  <c:v>40275.160344827586</c:v>
                </c:pt>
                <c:pt idx="48">
                  <c:v>0</c:v>
                </c:pt>
                <c:pt idx="49">
                  <c:v>0</c:v>
                </c:pt>
                <c:pt idx="50">
                  <c:v>0</c:v>
                </c:pt>
                <c:pt idx="51">
                  <c:v>79767.558620689655</c:v>
                </c:pt>
                <c:pt idx="52">
                  <c:v>39437.213793103452</c:v>
                </c:pt>
                <c:pt idx="53">
                  <c:v>0</c:v>
                </c:pt>
                <c:pt idx="54">
                  <c:v>91374.501724137939</c:v>
                </c:pt>
                <c:pt idx="55">
                  <c:v>98796.958620689664</c:v>
                </c:pt>
                <c:pt idx="56">
                  <c:v>0</c:v>
                </c:pt>
                <c:pt idx="57">
                  <c:v>154614.37068965519</c:v>
                </c:pt>
                <c:pt idx="58">
                  <c:v>34109.605172413794</c:v>
                </c:pt>
                <c:pt idx="59">
                  <c:v>0</c:v>
                </c:pt>
                <c:pt idx="60">
                  <c:v>76441.663793103449</c:v>
                </c:pt>
                <c:pt idx="61">
                  <c:v>126700.50689655173</c:v>
                </c:pt>
                <c:pt idx="62">
                  <c:v>0</c:v>
                </c:pt>
                <c:pt idx="63">
                  <c:v>0</c:v>
                </c:pt>
                <c:pt idx="64">
                  <c:v>0</c:v>
                </c:pt>
                <c:pt idx="65">
                  <c:v>0</c:v>
                </c:pt>
                <c:pt idx="66">
                  <c:v>0</c:v>
                </c:pt>
                <c:pt idx="67">
                  <c:v>47086.866206896557</c:v>
                </c:pt>
                <c:pt idx="68">
                  <c:v>0</c:v>
                </c:pt>
                <c:pt idx="69">
                  <c:v>0</c:v>
                </c:pt>
                <c:pt idx="70">
                  <c:v>0</c:v>
                </c:pt>
                <c:pt idx="71">
                  <c:v>40450.682068965521</c:v>
                </c:pt>
                <c:pt idx="72">
                  <c:v>53207.473103448283</c:v>
                </c:pt>
                <c:pt idx="73">
                  <c:v>37470.534482758623</c:v>
                </c:pt>
                <c:pt idx="74">
                  <c:v>35294.65793103449</c:v>
                </c:pt>
                <c:pt idx="75">
                  <c:v>0</c:v>
                </c:pt>
                <c:pt idx="76">
                  <c:v>89089.185517241378</c:v>
                </c:pt>
                <c:pt idx="77">
                  <c:v>25867.956551724143</c:v>
                </c:pt>
                <c:pt idx="78">
                  <c:v>0</c:v>
                </c:pt>
                <c:pt idx="79">
                  <c:v>0</c:v>
                </c:pt>
                <c:pt idx="80">
                  <c:v>81697.833103448284</c:v>
                </c:pt>
                <c:pt idx="81">
                  <c:v>0</c:v>
                </c:pt>
                <c:pt idx="82">
                  <c:v>0</c:v>
                </c:pt>
                <c:pt idx="83">
                  <c:v>0</c:v>
                </c:pt>
                <c:pt idx="84">
                  <c:v>29767.096551724142</c:v>
                </c:pt>
              </c:numCache>
            </c:numRef>
          </c:val>
          <c:smooth val="0"/>
        </c:ser>
        <c:ser>
          <c:idx val="5"/>
          <c:order val="5"/>
          <c:tx>
            <c:strRef>
              <c:f>'PEPE SIERRA '!$A$2407</c:f>
              <c:strCache>
                <c:ptCount val="1"/>
                <c:pt idx="0">
                  <c:v>Cobro Domicilios </c:v>
                </c:pt>
              </c:strCache>
            </c:strRef>
          </c:tx>
          <c:spPr>
            <a:ln w="25400">
              <a:solidFill>
                <a:srgbClr val="800000"/>
              </a:solidFill>
              <a:prstDash val="solid"/>
            </a:ln>
          </c:spPr>
          <c:marker>
            <c:symbol val="none"/>
          </c:marker>
          <c:cat>
            <c:strRef>
              <c:f>'PEPE SIERRA '!$B$2401:$CH$2401</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'!$B$2407:$CH$2407</c:f>
              <c:numCache>
                <c:formatCode>_("$ "* #,##0_);_("$ "* \(#,##0\);_("$ "* \-??_);_(@_)</c:formatCode>
                <c:ptCount val="85"/>
                <c:pt idx="0">
                  <c:v>124990</c:v>
                </c:pt>
                <c:pt idx="1">
                  <c:v>999920</c:v>
                </c:pt>
                <c:pt idx="2">
                  <c:v>1549445</c:v>
                </c:pt>
                <c:pt idx="3">
                  <c:v>1568840</c:v>
                </c:pt>
                <c:pt idx="4">
                  <c:v>1838215</c:v>
                </c:pt>
                <c:pt idx="5">
                  <c:v>1633490</c:v>
                </c:pt>
                <c:pt idx="6">
                  <c:v>1614095</c:v>
                </c:pt>
                <c:pt idx="7">
                  <c:v>1978290</c:v>
                </c:pt>
                <c:pt idx="8">
                  <c:v>1648575</c:v>
                </c:pt>
                <c:pt idx="9">
                  <c:v>1400750</c:v>
                </c:pt>
                <c:pt idx="10">
                  <c:v>2064490</c:v>
                </c:pt>
                <c:pt idx="11">
                  <c:v>2267060</c:v>
                </c:pt>
                <c:pt idx="12">
                  <c:v>2583845</c:v>
                </c:pt>
                <c:pt idx="13">
                  <c:v>2387740</c:v>
                </c:pt>
                <c:pt idx="14">
                  <c:v>2376965</c:v>
                </c:pt>
                <c:pt idx="15">
                  <c:v>2299385</c:v>
                </c:pt>
                <c:pt idx="16">
                  <c:v>2452390</c:v>
                </c:pt>
                <c:pt idx="17">
                  <c:v>2176550</c:v>
                </c:pt>
                <c:pt idx="18">
                  <c:v>1717535</c:v>
                </c:pt>
                <c:pt idx="19">
                  <c:v>1308085</c:v>
                </c:pt>
                <c:pt idx="20">
                  <c:v>1489105</c:v>
                </c:pt>
                <c:pt idx="21">
                  <c:v>2256285</c:v>
                </c:pt>
                <c:pt idx="22">
                  <c:v>1941655</c:v>
                </c:pt>
                <c:pt idx="23">
                  <c:v>1991220</c:v>
                </c:pt>
                <c:pt idx="24">
                  <c:v>2230425</c:v>
                </c:pt>
                <c:pt idx="25">
                  <c:v>2185170</c:v>
                </c:pt>
                <c:pt idx="26">
                  <c:v>2187325</c:v>
                </c:pt>
                <c:pt idx="27">
                  <c:v>2368345</c:v>
                </c:pt>
                <c:pt idx="28">
                  <c:v>2461010</c:v>
                </c:pt>
                <c:pt idx="29">
                  <c:v>2312315</c:v>
                </c:pt>
                <c:pt idx="30">
                  <c:v>2236890</c:v>
                </c:pt>
                <c:pt idx="31">
                  <c:v>2665735</c:v>
                </c:pt>
                <c:pt idx="32">
                  <c:v>2344640</c:v>
                </c:pt>
                <c:pt idx="33">
                  <c:v>2353260</c:v>
                </c:pt>
                <c:pt idx="34">
                  <c:v>2407135</c:v>
                </c:pt>
                <c:pt idx="35">
                  <c:v>2191635</c:v>
                </c:pt>
                <c:pt idx="36">
                  <c:v>2120520</c:v>
                </c:pt>
                <c:pt idx="37">
                  <c:v>2010615</c:v>
                </c:pt>
                <c:pt idx="38">
                  <c:v>2189480</c:v>
                </c:pt>
                <c:pt idx="39">
                  <c:v>2126985</c:v>
                </c:pt>
                <c:pt idx="40">
                  <c:v>2385585</c:v>
                </c:pt>
                <c:pt idx="41">
                  <c:v>2157155</c:v>
                </c:pt>
                <c:pt idx="42">
                  <c:v>2361880</c:v>
                </c:pt>
                <c:pt idx="43">
                  <c:v>2021390</c:v>
                </c:pt>
                <c:pt idx="44">
                  <c:v>1814510</c:v>
                </c:pt>
                <c:pt idx="45">
                  <c:v>2308005</c:v>
                </c:pt>
                <c:pt idx="46">
                  <c:v>2344640</c:v>
                </c:pt>
                <c:pt idx="47">
                  <c:v>2124830</c:v>
                </c:pt>
                <c:pt idx="48">
                  <c:v>2342485</c:v>
                </c:pt>
                <c:pt idx="49">
                  <c:v>2042940</c:v>
                </c:pt>
                <c:pt idx="50">
                  <c:v>2204565</c:v>
                </c:pt>
                <c:pt idx="51">
                  <c:v>2152845</c:v>
                </c:pt>
                <c:pt idx="52">
                  <c:v>2346795</c:v>
                </c:pt>
                <c:pt idx="53">
                  <c:v>1719690</c:v>
                </c:pt>
                <c:pt idx="54">
                  <c:v>2001995</c:v>
                </c:pt>
                <c:pt idx="55">
                  <c:v>1937345</c:v>
                </c:pt>
                <c:pt idx="56">
                  <c:v>1976135</c:v>
                </c:pt>
                <c:pt idx="57">
                  <c:v>1756325</c:v>
                </c:pt>
                <c:pt idx="58">
                  <c:v>1881315</c:v>
                </c:pt>
                <c:pt idx="59">
                  <c:v>1905020</c:v>
                </c:pt>
                <c:pt idx="60">
                  <c:v>1762790</c:v>
                </c:pt>
                <c:pt idx="61">
                  <c:v>2176550</c:v>
                </c:pt>
                <c:pt idx="62">
                  <c:v>1980445</c:v>
                </c:pt>
                <c:pt idx="63">
                  <c:v>1911485</c:v>
                </c:pt>
                <c:pt idx="64">
                  <c:v>2219650</c:v>
                </c:pt>
                <c:pt idx="65">
                  <c:v>2292920</c:v>
                </c:pt>
                <c:pt idx="66">
                  <c:v>2385032</c:v>
                </c:pt>
                <c:pt idx="67">
                  <c:v>2397102</c:v>
                </c:pt>
                <c:pt idx="68">
                  <c:v>2462280</c:v>
                </c:pt>
                <c:pt idx="69">
                  <c:v>2080868</c:v>
                </c:pt>
                <c:pt idx="70">
                  <c:v>1820156</c:v>
                </c:pt>
                <c:pt idx="71">
                  <c:v>1361496</c:v>
                </c:pt>
                <c:pt idx="72">
                  <c:v>1687386</c:v>
                </c:pt>
                <c:pt idx="73">
                  <c:v>1986722</c:v>
                </c:pt>
                <c:pt idx="74">
                  <c:v>2080868</c:v>
                </c:pt>
                <c:pt idx="75">
                  <c:v>2121906</c:v>
                </c:pt>
                <c:pt idx="76">
                  <c:v>2201568</c:v>
                </c:pt>
                <c:pt idx="77">
                  <c:v>2150874</c:v>
                </c:pt>
                <c:pt idx="78">
                  <c:v>2073626</c:v>
                </c:pt>
                <c:pt idx="79">
                  <c:v>2266746</c:v>
                </c:pt>
                <c:pt idx="80">
                  <c:v>2237778</c:v>
                </c:pt>
                <c:pt idx="81">
                  <c:v>2353650</c:v>
                </c:pt>
                <c:pt idx="82">
                  <c:v>2170186</c:v>
                </c:pt>
                <c:pt idx="83">
                  <c:v>2486420</c:v>
                </c:pt>
                <c:pt idx="84">
                  <c:v>1448400</c:v>
                </c:pt>
              </c:numCache>
            </c:numRef>
          </c:val>
          <c:smooth val="0"/>
        </c:ser>
        <c:dLbls>
          <c:showLegendKey val="0"/>
          <c:showVal val="0"/>
          <c:showCatName val="0"/>
          <c:showSerName val="0"/>
          <c:showPercent val="0"/>
          <c:showBubbleSize val="0"/>
        </c:dLbls>
        <c:marker val="1"/>
        <c:smooth val="0"/>
        <c:axId val="299511808"/>
        <c:axId val="299513728"/>
      </c:lineChart>
      <c:catAx>
        <c:axId val="299511808"/>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9556852499411499"/>
              <c:y val="0.84960532967681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299513728"/>
        <c:crossesAt val="0"/>
        <c:auto val="1"/>
        <c:lblAlgn val="ctr"/>
        <c:lblOffset val="100"/>
        <c:tickLblSkip val="1"/>
        <c:tickMarkSkip val="1"/>
        <c:noMultiLvlLbl val="0"/>
      </c:catAx>
      <c:valAx>
        <c:axId val="299513728"/>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7.2096848341802397E-3"/>
              <c:y val="0.47757311338721897"/>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299511808"/>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87866804580890001"/>
          <c:y val="0.204925518874784"/>
          <c:w val="0.11760810629002"/>
          <c:h val="0.533861037818828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Av Chile</a:t>
            </a:r>
          </a:p>
        </c:rich>
      </c:tx>
      <c:layout>
        <c:manualLayout>
          <c:xMode val="edge"/>
          <c:yMode val="edge"/>
          <c:x val="0.29674428370872202"/>
          <c:y val="4.5454545454545497E-2"/>
        </c:manualLayout>
      </c:layout>
      <c:overlay val="0"/>
      <c:spPr>
        <a:noFill/>
        <a:ln w="25400">
          <a:noFill/>
        </a:ln>
      </c:spPr>
    </c:title>
    <c:autoTitleDeleted val="0"/>
    <c:plotArea>
      <c:layout>
        <c:manualLayout>
          <c:layoutTarget val="inner"/>
          <c:xMode val="edge"/>
          <c:yMode val="edge"/>
          <c:x val="9.8628460940723306E-2"/>
          <c:y val="0.16666726318301101"/>
          <c:w val="0.73672078730320001"/>
          <c:h val="0.65305565497495599"/>
        </c:manualLayout>
      </c:layout>
      <c:lineChart>
        <c:grouping val="standard"/>
        <c:varyColors val="0"/>
        <c:ser>
          <c:idx val="0"/>
          <c:order val="0"/>
          <c:tx>
            <c:strRef>
              <c:f>'AV CHILE '!$A$1661</c:f>
              <c:strCache>
                <c:ptCount val="1"/>
                <c:pt idx="0">
                  <c:v>Ventas Domicilio</c:v>
                </c:pt>
              </c:strCache>
            </c:strRef>
          </c:tx>
          <c:spPr>
            <a:ln w="25400">
              <a:solidFill>
                <a:srgbClr val="000080"/>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'!$B$1661:$BI$1661</c:f>
              <c:numCache>
                <c:formatCode>_("$ "* #,##0_);_("$ "* \(#,##0\);_("$ "* \-??_);_(@_)</c:formatCode>
                <c:ptCount val="60"/>
                <c:pt idx="0">
                  <c:v>4097879.1034482764</c:v>
                </c:pt>
                <c:pt idx="1">
                  <c:v>10656554.644827588</c:v>
                </c:pt>
                <c:pt idx="2">
                  <c:v>14949698.955172414</c:v>
                </c:pt>
                <c:pt idx="3">
                  <c:v>16541312.053448278</c:v>
                </c:pt>
                <c:pt idx="4">
                  <c:v>15395777.439655174</c:v>
                </c:pt>
                <c:pt idx="5">
                  <c:v>13847433.777586209</c:v>
                </c:pt>
                <c:pt idx="6">
                  <c:v>15692556.05172414</c:v>
                </c:pt>
                <c:pt idx="7">
                  <c:v>18581505.946551725</c:v>
                </c:pt>
                <c:pt idx="8">
                  <c:v>16055286.163793102</c:v>
                </c:pt>
                <c:pt idx="9">
                  <c:v>17222644.160344828</c:v>
                </c:pt>
                <c:pt idx="10">
                  <c:v>13082372.284482762</c:v>
                </c:pt>
                <c:pt idx="11">
                  <c:v>16690261.622413794</c:v>
                </c:pt>
                <c:pt idx="12">
                  <c:v>16259673.998275865</c:v>
                </c:pt>
                <c:pt idx="13">
                  <c:v>17719175.293103449</c:v>
                </c:pt>
                <c:pt idx="14">
                  <c:v>16500143.549999999</c:v>
                </c:pt>
                <c:pt idx="15">
                  <c:v>17802282.682758622</c:v>
                </c:pt>
                <c:pt idx="16">
                  <c:v>15743754.744827585</c:v>
                </c:pt>
                <c:pt idx="17">
                  <c:v>15012492.346551726</c:v>
                </c:pt>
                <c:pt idx="18">
                  <c:v>14971192.243103452</c:v>
                </c:pt>
                <c:pt idx="19">
                  <c:v>13144559.92586207</c:v>
                </c:pt>
                <c:pt idx="20">
                  <c:v>17536100.484482761</c:v>
                </c:pt>
                <c:pt idx="21">
                  <c:v>15893134.372413795</c:v>
                </c:pt>
                <c:pt idx="22">
                  <c:v>14811095.70172414</c:v>
                </c:pt>
                <c:pt idx="23">
                  <c:v>15596953.820689656</c:v>
                </c:pt>
                <c:pt idx="24">
                  <c:v>15117721.679310346</c:v>
                </c:pt>
                <c:pt idx="25">
                  <c:v>15583074.512068968</c:v>
                </c:pt>
                <c:pt idx="26">
                  <c:v>14425796.987931035</c:v>
                </c:pt>
                <c:pt idx="27">
                  <c:v>16581212.867241381</c:v>
                </c:pt>
                <c:pt idx="28">
                  <c:v>16051405.972413793</c:v>
                </c:pt>
                <c:pt idx="29">
                  <c:v>14234159.601724137</c:v>
                </c:pt>
                <c:pt idx="30">
                  <c:v>14542837.972413795</c:v>
                </c:pt>
                <c:pt idx="31">
                  <c:v>15195050.386206899</c:v>
                </c:pt>
                <c:pt idx="32">
                  <c:v>13226231.122413795</c:v>
                </c:pt>
                <c:pt idx="33">
                  <c:v>12283941.520689657</c:v>
                </c:pt>
                <c:pt idx="34">
                  <c:v>14898070.325862071</c:v>
                </c:pt>
                <c:pt idx="35">
                  <c:v>14756514.955172416</c:v>
                </c:pt>
                <c:pt idx="36">
                  <c:v>15967019.194827588</c:v>
                </c:pt>
                <c:pt idx="37">
                  <c:v>15455018.651724137</c:v>
                </c:pt>
                <c:pt idx="38">
                  <c:v>15903216.906896554</c:v>
                </c:pt>
                <c:pt idx="39">
                  <c:v>16156501.986206897</c:v>
                </c:pt>
                <c:pt idx="40">
                  <c:v>19772904.813793108</c:v>
                </c:pt>
                <c:pt idx="41">
                  <c:v>16172924.388965519</c:v>
                </c:pt>
                <c:pt idx="42">
                  <c:v>18651357.304137934</c:v>
                </c:pt>
                <c:pt idx="43">
                  <c:v>16437032.934482761</c:v>
                </c:pt>
                <c:pt idx="44">
                  <c:v>18826199.634482756</c:v>
                </c:pt>
                <c:pt idx="45">
                  <c:v>12098541.971034482</c:v>
                </c:pt>
                <c:pt idx="46">
                  <c:v>9082412.8496551719</c:v>
                </c:pt>
                <c:pt idx="47">
                  <c:v>10857808.422068967</c:v>
                </c:pt>
                <c:pt idx="48">
                  <c:v>14474951.895862071</c:v>
                </c:pt>
                <c:pt idx="49">
                  <c:v>14963039.810344828</c:v>
                </c:pt>
                <c:pt idx="50">
                  <c:v>15223618.207586208</c:v>
                </c:pt>
                <c:pt idx="51">
                  <c:v>12221925.575172413</c:v>
                </c:pt>
                <c:pt idx="52">
                  <c:v>10736695.87862069</c:v>
                </c:pt>
                <c:pt idx="53">
                  <c:v>11557426.002068967</c:v>
                </c:pt>
                <c:pt idx="54">
                  <c:v>11651377.874482758</c:v>
                </c:pt>
                <c:pt idx="55">
                  <c:v>12983061.318620689</c:v>
                </c:pt>
                <c:pt idx="56">
                  <c:v>11484595.01586207</c:v>
                </c:pt>
                <c:pt idx="57">
                  <c:v>10655158.671724139</c:v>
                </c:pt>
                <c:pt idx="58">
                  <c:v>11687962.928275863</c:v>
                </c:pt>
                <c:pt idx="59">
                  <c:v>9718038.7786206901</c:v>
                </c:pt>
              </c:numCache>
            </c:numRef>
          </c:val>
          <c:smooth val="0"/>
        </c:ser>
        <c:ser>
          <c:idx val="1"/>
          <c:order val="1"/>
          <c:tx>
            <c:strRef>
              <c:f>'AV CHILE '!$A$1662</c:f>
              <c:strCache>
                <c:ptCount val="1"/>
                <c:pt idx="0">
                  <c:v>Ventas Domicilio Carry Out </c:v>
                </c:pt>
              </c:strCache>
            </c:strRef>
          </c:tx>
          <c:spPr>
            <a:ln w="25400">
              <a:solidFill>
                <a:srgbClr val="FF00FF"/>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'!$B$1662:$BI$1662</c:f>
              <c:numCache>
                <c:formatCode>_("$ "* #,##0_);_("$ "* \(#,##0\);_("$ "* \-??_);_(@_)</c:formatCode>
                <c:ptCount val="60"/>
                <c:pt idx="0">
                  <c:v>50582.931034482768</c:v>
                </c:pt>
                <c:pt idx="1">
                  <c:v>172772.05862068967</c:v>
                </c:pt>
                <c:pt idx="2">
                  <c:v>302790.53448275867</c:v>
                </c:pt>
                <c:pt idx="3">
                  <c:v>545036.0862068967</c:v>
                </c:pt>
                <c:pt idx="4">
                  <c:v>228484.27586206899</c:v>
                </c:pt>
                <c:pt idx="5">
                  <c:v>283424.9086206897</c:v>
                </c:pt>
                <c:pt idx="6">
                  <c:v>415875.51034482761</c:v>
                </c:pt>
                <c:pt idx="7">
                  <c:v>1982504.5931034489</c:v>
                </c:pt>
                <c:pt idx="8">
                  <c:v>257576.68103448278</c:v>
                </c:pt>
                <c:pt idx="9">
                  <c:v>405854.79482758627</c:v>
                </c:pt>
                <c:pt idx="10">
                  <c:v>350586.36379310349</c:v>
                </c:pt>
                <c:pt idx="11">
                  <c:v>469558.54655172426</c:v>
                </c:pt>
                <c:pt idx="12">
                  <c:v>255210.34655172419</c:v>
                </c:pt>
                <c:pt idx="13">
                  <c:v>399229.88620689657</c:v>
                </c:pt>
                <c:pt idx="14">
                  <c:v>389758.96034482762</c:v>
                </c:pt>
                <c:pt idx="15">
                  <c:v>433251.29655172414</c:v>
                </c:pt>
                <c:pt idx="16">
                  <c:v>511441.17758620699</c:v>
                </c:pt>
                <c:pt idx="17">
                  <c:v>244532.62586206902</c:v>
                </c:pt>
                <c:pt idx="18">
                  <c:v>291624.1586206897</c:v>
                </c:pt>
                <c:pt idx="19">
                  <c:v>405577.94137931033</c:v>
                </c:pt>
                <c:pt idx="20">
                  <c:v>405043.57413793111</c:v>
                </c:pt>
                <c:pt idx="21">
                  <c:v>578003.70172413788</c:v>
                </c:pt>
                <c:pt idx="22">
                  <c:v>397270.25000000012</c:v>
                </c:pt>
                <c:pt idx="23">
                  <c:v>420988.38620689657</c:v>
                </c:pt>
                <c:pt idx="24">
                  <c:v>615018.82413793111</c:v>
                </c:pt>
                <c:pt idx="25">
                  <c:v>456386.81034482759</c:v>
                </c:pt>
                <c:pt idx="26">
                  <c:v>500454.23103448283</c:v>
                </c:pt>
                <c:pt idx="27">
                  <c:v>883634.29827586212</c:v>
                </c:pt>
                <c:pt idx="28">
                  <c:v>346439.00517241383</c:v>
                </c:pt>
                <c:pt idx="29">
                  <c:v>638361.35689655179</c:v>
                </c:pt>
                <c:pt idx="30">
                  <c:v>361949.47758620692</c:v>
                </c:pt>
                <c:pt idx="31">
                  <c:v>371060.63965517242</c:v>
                </c:pt>
                <c:pt idx="32">
                  <c:v>417209.87931034487</c:v>
                </c:pt>
                <c:pt idx="33">
                  <c:v>437099.46724137943</c:v>
                </c:pt>
                <c:pt idx="34">
                  <c:v>321368.36724137934</c:v>
                </c:pt>
                <c:pt idx="35">
                  <c:v>313503.72758620692</c:v>
                </c:pt>
                <c:pt idx="36">
                  <c:v>403456.65689655178</c:v>
                </c:pt>
                <c:pt idx="37">
                  <c:v>264115.53103448276</c:v>
                </c:pt>
                <c:pt idx="38">
                  <c:v>315973.36896551726</c:v>
                </c:pt>
                <c:pt idx="39">
                  <c:v>446403.26379310351</c:v>
                </c:pt>
                <c:pt idx="40">
                  <c:v>351632.37758620695</c:v>
                </c:pt>
                <c:pt idx="41">
                  <c:v>489490.18275862077</c:v>
                </c:pt>
                <c:pt idx="42">
                  <c:v>669622.04758620693</c:v>
                </c:pt>
                <c:pt idx="43">
                  <c:v>502117.65724137943</c:v>
                </c:pt>
                <c:pt idx="44">
                  <c:v>245473.97379310348</c:v>
                </c:pt>
                <c:pt idx="45">
                  <c:v>363056.46758620697</c:v>
                </c:pt>
                <c:pt idx="46">
                  <c:v>367120.31862068968</c:v>
                </c:pt>
                <c:pt idx="47">
                  <c:v>245407.74344827587</c:v>
                </c:pt>
                <c:pt idx="48">
                  <c:v>298771.99103448278</c:v>
                </c:pt>
                <c:pt idx="49">
                  <c:v>700420.66689655173</c:v>
                </c:pt>
                <c:pt idx="50">
                  <c:v>524098.74965517246</c:v>
                </c:pt>
                <c:pt idx="51">
                  <c:v>300450.69172413799</c:v>
                </c:pt>
                <c:pt idx="52">
                  <c:v>308793.91724137933</c:v>
                </c:pt>
                <c:pt idx="53">
                  <c:v>438670.29793103458</c:v>
                </c:pt>
                <c:pt idx="54">
                  <c:v>22036.996551724144</c:v>
                </c:pt>
                <c:pt idx="55">
                  <c:v>245744.10758620693</c:v>
                </c:pt>
                <c:pt idx="56">
                  <c:v>221878.6606896552</c:v>
                </c:pt>
                <c:pt idx="57">
                  <c:v>294778.31724137935</c:v>
                </c:pt>
                <c:pt idx="58">
                  <c:v>304286.00965517241</c:v>
                </c:pt>
                <c:pt idx="59">
                  <c:v>343727.44689655176</c:v>
                </c:pt>
              </c:numCache>
            </c:numRef>
          </c:val>
          <c:smooth val="0"/>
        </c:ser>
        <c:ser>
          <c:idx val="2"/>
          <c:order val="2"/>
          <c:tx>
            <c:strRef>
              <c:f>'AV CHILE '!$A$1663</c:f>
              <c:strCache>
                <c:ptCount val="1"/>
                <c:pt idx="0">
                  <c:v>Ventas Punto de Venta</c:v>
                </c:pt>
              </c:strCache>
            </c:strRef>
          </c:tx>
          <c:spPr>
            <a:ln w="25400">
              <a:solidFill>
                <a:srgbClr val="0000FF"/>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'!$B$1663:$BI$1663</c:f>
              <c:numCache>
                <c:formatCode>_("$ "* #,##0_);_("$ "* \(#,##0\);_("$ "* \-??_);_(@_)</c:formatCode>
                <c:ptCount val="60"/>
                <c:pt idx="0">
                  <c:v>1005815.9137931035</c:v>
                </c:pt>
                <c:pt idx="1">
                  <c:v>11796997.725862069</c:v>
                </c:pt>
                <c:pt idx="2">
                  <c:v>13827589.017241381</c:v>
                </c:pt>
                <c:pt idx="3">
                  <c:v>14112177.81034483</c:v>
                </c:pt>
                <c:pt idx="4">
                  <c:v>14373951.722413793</c:v>
                </c:pt>
                <c:pt idx="5">
                  <c:v>12568842.234482758</c:v>
                </c:pt>
                <c:pt idx="6">
                  <c:v>12494934.472413793</c:v>
                </c:pt>
                <c:pt idx="7">
                  <c:v>13620560.463793103</c:v>
                </c:pt>
                <c:pt idx="8">
                  <c:v>12142129.287931034</c:v>
                </c:pt>
                <c:pt idx="9">
                  <c:v>11074209.73448276</c:v>
                </c:pt>
                <c:pt idx="10">
                  <c:v>11236025.575862069</c:v>
                </c:pt>
                <c:pt idx="11">
                  <c:v>11266974.565517243</c:v>
                </c:pt>
                <c:pt idx="12">
                  <c:v>10336077.024137933</c:v>
                </c:pt>
                <c:pt idx="13">
                  <c:v>11438601.48448276</c:v>
                </c:pt>
                <c:pt idx="14">
                  <c:v>12091029.422413792</c:v>
                </c:pt>
                <c:pt idx="15">
                  <c:v>11753664.205172414</c:v>
                </c:pt>
                <c:pt idx="16">
                  <c:v>12101705.098275863</c:v>
                </c:pt>
                <c:pt idx="17">
                  <c:v>12232865.550000001</c:v>
                </c:pt>
                <c:pt idx="18">
                  <c:v>11685051.613793105</c:v>
                </c:pt>
                <c:pt idx="19">
                  <c:v>11448726.787931036</c:v>
                </c:pt>
                <c:pt idx="20">
                  <c:v>12360827.150000002</c:v>
                </c:pt>
                <c:pt idx="21">
                  <c:v>10587567.470689656</c:v>
                </c:pt>
                <c:pt idx="22">
                  <c:v>10095592.151724141</c:v>
                </c:pt>
                <c:pt idx="23">
                  <c:v>10966460.265517244</c:v>
                </c:pt>
                <c:pt idx="24">
                  <c:v>11063722.944827586</c:v>
                </c:pt>
                <c:pt idx="25">
                  <c:v>11202607.815517243</c:v>
                </c:pt>
                <c:pt idx="26">
                  <c:v>11242704.643103449</c:v>
                </c:pt>
                <c:pt idx="27">
                  <c:v>9078091.455172414</c:v>
                </c:pt>
                <c:pt idx="28">
                  <c:v>10910114.251724139</c:v>
                </c:pt>
                <c:pt idx="29">
                  <c:v>11591695.075862069</c:v>
                </c:pt>
                <c:pt idx="30">
                  <c:v>10438334.187931035</c:v>
                </c:pt>
                <c:pt idx="31">
                  <c:v>12366930.027586207</c:v>
                </c:pt>
                <c:pt idx="32">
                  <c:v>11037497.637931038</c:v>
                </c:pt>
                <c:pt idx="33">
                  <c:v>11463594.874137932</c:v>
                </c:pt>
                <c:pt idx="34">
                  <c:v>9157196.3068965524</c:v>
                </c:pt>
                <c:pt idx="35">
                  <c:v>10683426.31724138</c:v>
                </c:pt>
                <c:pt idx="36">
                  <c:v>10814183.458620692</c:v>
                </c:pt>
                <c:pt idx="37">
                  <c:v>10160178.575862069</c:v>
                </c:pt>
                <c:pt idx="38">
                  <c:v>10668996.27586207</c:v>
                </c:pt>
                <c:pt idx="39">
                  <c:v>10332615.094827587</c:v>
                </c:pt>
                <c:pt idx="40">
                  <c:v>9470314.360344829</c:v>
                </c:pt>
                <c:pt idx="41">
                  <c:v>9924827.8379310351</c:v>
                </c:pt>
                <c:pt idx="42">
                  <c:v>11090682.968965519</c:v>
                </c:pt>
                <c:pt idx="43">
                  <c:v>9795114.7110344823</c:v>
                </c:pt>
                <c:pt idx="44">
                  <c:v>9018977.5551724155</c:v>
                </c:pt>
                <c:pt idx="45">
                  <c:v>8586227.5013793111</c:v>
                </c:pt>
                <c:pt idx="46">
                  <c:v>8220594.1496551735</c:v>
                </c:pt>
                <c:pt idx="47">
                  <c:v>8708284.8772413805</c:v>
                </c:pt>
                <c:pt idx="48">
                  <c:v>8255356.0613793116</c:v>
                </c:pt>
                <c:pt idx="49">
                  <c:v>9490621.0475862063</c:v>
                </c:pt>
                <c:pt idx="50">
                  <c:v>9088951.5144827608</c:v>
                </c:pt>
                <c:pt idx="51">
                  <c:v>9975917.5144827589</c:v>
                </c:pt>
                <c:pt idx="52">
                  <c:v>8378685.1558620697</c:v>
                </c:pt>
                <c:pt idx="53">
                  <c:v>9586889.9006896578</c:v>
                </c:pt>
                <c:pt idx="54">
                  <c:v>8729097.8613793105</c:v>
                </c:pt>
                <c:pt idx="55">
                  <c:v>9890206.0634482764</c:v>
                </c:pt>
                <c:pt idx="56">
                  <c:v>10354325.580000002</c:v>
                </c:pt>
                <c:pt idx="57">
                  <c:v>8335883.4220689647</c:v>
                </c:pt>
                <c:pt idx="58">
                  <c:v>8653190.1668965537</c:v>
                </c:pt>
                <c:pt idx="59">
                  <c:v>8307577.8462068969</c:v>
                </c:pt>
              </c:numCache>
            </c:numRef>
          </c:val>
          <c:smooth val="0"/>
        </c:ser>
        <c:ser>
          <c:idx val="3"/>
          <c:order val="3"/>
          <c:tx>
            <c:strRef>
              <c:f>'AV CHILE '!$A$1664</c:f>
              <c:strCache>
                <c:ptCount val="1"/>
                <c:pt idx="0">
                  <c:v>Ventas Punto de Venta Carryout </c:v>
                </c:pt>
              </c:strCache>
            </c:strRef>
          </c:tx>
          <c:spPr>
            <a:ln w="25400">
              <a:solidFill>
                <a:srgbClr val="99CC00"/>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'!$B$1664:$BI$1664</c:f>
              <c:numCache>
                <c:formatCode>_("$ "* #,##0_);_("$ "* \(#,##0\);_("$ "* \-??_);_(@_)</c:formatCode>
                <c:ptCount val="60"/>
                <c:pt idx="0">
                  <c:v>310744.46551724139</c:v>
                </c:pt>
                <c:pt idx="1">
                  <c:v>1026235.3982758621</c:v>
                </c:pt>
                <c:pt idx="2">
                  <c:v>459660.11379310343</c:v>
                </c:pt>
                <c:pt idx="3">
                  <c:v>201106.59827586211</c:v>
                </c:pt>
                <c:pt idx="4">
                  <c:v>126873.63103448278</c:v>
                </c:pt>
                <c:pt idx="5">
                  <c:v>34255.286206896555</c:v>
                </c:pt>
                <c:pt idx="6">
                  <c:v>0</c:v>
                </c:pt>
                <c:pt idx="7">
                  <c:v>262541.48275862075</c:v>
                </c:pt>
                <c:pt idx="8">
                  <c:v>1138975.7775862068</c:v>
                </c:pt>
                <c:pt idx="9">
                  <c:v>479598.18965517241</c:v>
                </c:pt>
                <c:pt idx="10">
                  <c:v>296726.8137931035</c:v>
                </c:pt>
                <c:pt idx="11">
                  <c:v>25713.886206896554</c:v>
                </c:pt>
                <c:pt idx="12">
                  <c:v>490168.10862068972</c:v>
                </c:pt>
                <c:pt idx="13">
                  <c:v>354731.26724137936</c:v>
                </c:pt>
                <c:pt idx="14">
                  <c:v>530797.377586207</c:v>
                </c:pt>
                <c:pt idx="15">
                  <c:v>213315.26379310346</c:v>
                </c:pt>
                <c:pt idx="16">
                  <c:v>312670.87586206896</c:v>
                </c:pt>
                <c:pt idx="17">
                  <c:v>222436.02931034486</c:v>
                </c:pt>
                <c:pt idx="18">
                  <c:v>28163.881034482762</c:v>
                </c:pt>
                <c:pt idx="19">
                  <c:v>0</c:v>
                </c:pt>
                <c:pt idx="20">
                  <c:v>46225.170689655177</c:v>
                </c:pt>
                <c:pt idx="21">
                  <c:v>38967.386206896561</c:v>
                </c:pt>
                <c:pt idx="22">
                  <c:v>0</c:v>
                </c:pt>
                <c:pt idx="23">
                  <c:v>42839.768965517243</c:v>
                </c:pt>
                <c:pt idx="24">
                  <c:v>0</c:v>
                </c:pt>
                <c:pt idx="25">
                  <c:v>0</c:v>
                </c:pt>
                <c:pt idx="26">
                  <c:v>0</c:v>
                </c:pt>
                <c:pt idx="27">
                  <c:v>0</c:v>
                </c:pt>
                <c:pt idx="28">
                  <c:v>30746.632758620693</c:v>
                </c:pt>
                <c:pt idx="29">
                  <c:v>0</c:v>
                </c:pt>
                <c:pt idx="30">
                  <c:v>29458.706896551728</c:v>
                </c:pt>
                <c:pt idx="31">
                  <c:v>0</c:v>
                </c:pt>
                <c:pt idx="32">
                  <c:v>186289.29137931037</c:v>
                </c:pt>
                <c:pt idx="33">
                  <c:v>0</c:v>
                </c:pt>
                <c:pt idx="34">
                  <c:v>0</c:v>
                </c:pt>
                <c:pt idx="35">
                  <c:v>0</c:v>
                </c:pt>
                <c:pt idx="36">
                  <c:v>0</c:v>
                </c:pt>
                <c:pt idx="37">
                  <c:v>0</c:v>
                </c:pt>
                <c:pt idx="38">
                  <c:v>0</c:v>
                </c:pt>
                <c:pt idx="39">
                  <c:v>0</c:v>
                </c:pt>
                <c:pt idx="40">
                  <c:v>0</c:v>
                </c:pt>
                <c:pt idx="41">
                  <c:v>0</c:v>
                </c:pt>
                <c:pt idx="42">
                  <c:v>0</c:v>
                </c:pt>
                <c:pt idx="43">
                  <c:v>728160.12551724154</c:v>
                </c:pt>
                <c:pt idx="44">
                  <c:v>210706.7551724138</c:v>
                </c:pt>
                <c:pt idx="45">
                  <c:v>377047.13793103455</c:v>
                </c:pt>
                <c:pt idx="46">
                  <c:v>1221622.8199999998</c:v>
                </c:pt>
                <c:pt idx="47">
                  <c:v>449204.54068965517</c:v>
                </c:pt>
                <c:pt idx="48">
                  <c:v>404785.54206896556</c:v>
                </c:pt>
                <c:pt idx="49">
                  <c:v>641938.61310344841</c:v>
                </c:pt>
                <c:pt idx="50">
                  <c:v>699964.19586206914</c:v>
                </c:pt>
                <c:pt idx="51">
                  <c:v>1020078.1496551726</c:v>
                </c:pt>
                <c:pt idx="52">
                  <c:v>916101.39310344832</c:v>
                </c:pt>
                <c:pt idx="53">
                  <c:v>1503493.5234482759</c:v>
                </c:pt>
                <c:pt idx="54">
                  <c:v>1109611.8055172414</c:v>
                </c:pt>
                <c:pt idx="55">
                  <c:v>1242029.5448275863</c:v>
                </c:pt>
                <c:pt idx="56">
                  <c:v>869040.46758620697</c:v>
                </c:pt>
                <c:pt idx="57">
                  <c:v>832187.56275862071</c:v>
                </c:pt>
                <c:pt idx="58">
                  <c:v>950015.07655172423</c:v>
                </c:pt>
                <c:pt idx="59">
                  <c:v>1359043.9972413795</c:v>
                </c:pt>
              </c:numCache>
            </c:numRef>
          </c:val>
          <c:smooth val="0"/>
        </c:ser>
        <c:ser>
          <c:idx val="4"/>
          <c:order val="4"/>
          <c:tx>
            <c:strRef>
              <c:f>'AV CHILE '!$A$1665</c:f>
              <c:strCache>
                <c:ptCount val="1"/>
                <c:pt idx="0">
                  <c:v>Ventas Punto de Venta Domicilio</c:v>
                </c:pt>
              </c:strCache>
            </c:strRef>
          </c:tx>
          <c:spPr>
            <a:ln w="25400">
              <a:solidFill>
                <a:srgbClr val="FF6600"/>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'!$B$1665:$BI$1665</c:f>
              <c:numCache>
                <c:formatCode>_("$ "* #,##0_);_("$ "* \(#,##0\);_("$ "* \-??_);_(@_)</c:formatCode>
                <c:ptCount val="60"/>
                <c:pt idx="0">
                  <c:v>0</c:v>
                </c:pt>
                <c:pt idx="1">
                  <c:v>0</c:v>
                </c:pt>
                <c:pt idx="2">
                  <c:v>0</c:v>
                </c:pt>
                <c:pt idx="3">
                  <c:v>82098.486206896574</c:v>
                </c:pt>
                <c:pt idx="4">
                  <c:v>0</c:v>
                </c:pt>
                <c:pt idx="5">
                  <c:v>0</c:v>
                </c:pt>
                <c:pt idx="6">
                  <c:v>0</c:v>
                </c:pt>
                <c:pt idx="7">
                  <c:v>174293.54827586209</c:v>
                </c:pt>
                <c:pt idx="8">
                  <c:v>53451.917241379313</c:v>
                </c:pt>
                <c:pt idx="9">
                  <c:v>54081.224137931036</c:v>
                </c:pt>
                <c:pt idx="10">
                  <c:v>98327.927586206904</c:v>
                </c:pt>
                <c:pt idx="11">
                  <c:v>0</c:v>
                </c:pt>
                <c:pt idx="12">
                  <c:v>44735.522413793107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122993.42931034483</c:v>
                </c:pt>
                <c:pt idx="32">
                  <c:v>0</c:v>
                </c:pt>
                <c:pt idx="33">
                  <c:v>0</c:v>
                </c:pt>
                <c:pt idx="34">
                  <c:v>0</c:v>
                </c:pt>
                <c:pt idx="35">
                  <c:v>0</c:v>
                </c:pt>
                <c:pt idx="36">
                  <c:v>0</c:v>
                </c:pt>
                <c:pt idx="37">
                  <c:v>0</c:v>
                </c:pt>
                <c:pt idx="38">
                  <c:v>0</c:v>
                </c:pt>
                <c:pt idx="39">
                  <c:v>0</c:v>
                </c:pt>
                <c:pt idx="40">
                  <c:v>0</c:v>
                </c:pt>
                <c:pt idx="41">
                  <c:v>56098.073103448281</c:v>
                </c:pt>
                <c:pt idx="42">
                  <c:v>31405.058620689655</c:v>
                </c:pt>
                <c:pt idx="43">
                  <c:v>49190.295862068975</c:v>
                </c:pt>
                <c:pt idx="44">
                  <c:v>98178.908965517243</c:v>
                </c:pt>
                <c:pt idx="45">
                  <c:v>588156.92206896562</c:v>
                </c:pt>
                <c:pt idx="46">
                  <c:v>0</c:v>
                </c:pt>
                <c:pt idx="47">
                  <c:v>56120.416551724142</c:v>
                </c:pt>
                <c:pt idx="48">
                  <c:v>25521.475172413797</c:v>
                </c:pt>
                <c:pt idx="49">
                  <c:v>0</c:v>
                </c:pt>
                <c:pt idx="50">
                  <c:v>31367.125517241384</c:v>
                </c:pt>
                <c:pt idx="51">
                  <c:v>0</c:v>
                </c:pt>
                <c:pt idx="52">
                  <c:v>0</c:v>
                </c:pt>
                <c:pt idx="53">
                  <c:v>0</c:v>
                </c:pt>
                <c:pt idx="54">
                  <c:v>170301.39310344832</c:v>
                </c:pt>
                <c:pt idx="55">
                  <c:v>0</c:v>
                </c:pt>
                <c:pt idx="56">
                  <c:v>0</c:v>
                </c:pt>
                <c:pt idx="57">
                  <c:v>28215.405517241383</c:v>
                </c:pt>
                <c:pt idx="58">
                  <c:v>93871.19793103449</c:v>
                </c:pt>
                <c:pt idx="59">
                  <c:v>0</c:v>
                </c:pt>
              </c:numCache>
            </c:numRef>
          </c:val>
          <c:smooth val="0"/>
        </c:ser>
        <c:ser>
          <c:idx val="5"/>
          <c:order val="5"/>
          <c:tx>
            <c:strRef>
              <c:f>'AV CHILE '!$A$1666</c:f>
              <c:strCache>
                <c:ptCount val="1"/>
                <c:pt idx="0">
                  <c:v>Cobro Domicilios </c:v>
                </c:pt>
              </c:strCache>
            </c:strRef>
          </c:tx>
          <c:spPr>
            <a:ln w="25400">
              <a:solidFill>
                <a:srgbClr val="800000"/>
              </a:solidFill>
              <a:prstDash val="solid"/>
            </a:ln>
          </c:spPr>
          <c:marker>
            <c:symbol val="none"/>
          </c:marker>
          <c:cat>
            <c:strRef>
              <c:f>'AV CHILE '!$B$1660:$BI$1660</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'!$B$1666:$BI$1666</c:f>
              <c:numCache>
                <c:formatCode>_("$ "* #,##0_);_("$ "* \(#,##0\);_("$ "* \-??_);_(@_)</c:formatCode>
                <c:ptCount val="60"/>
                <c:pt idx="0">
                  <c:v>280150</c:v>
                </c:pt>
                <c:pt idx="1">
                  <c:v>747785</c:v>
                </c:pt>
                <c:pt idx="2">
                  <c:v>1043020</c:v>
                </c:pt>
                <c:pt idx="3">
                  <c:v>1163700</c:v>
                </c:pt>
                <c:pt idx="4">
                  <c:v>1088275</c:v>
                </c:pt>
                <c:pt idx="5">
                  <c:v>961130</c:v>
                </c:pt>
                <c:pt idx="6">
                  <c:v>1127065</c:v>
                </c:pt>
                <c:pt idx="7">
                  <c:v>1411525</c:v>
                </c:pt>
                <c:pt idx="8">
                  <c:v>1152925</c:v>
                </c:pt>
                <c:pt idx="9">
                  <c:v>1187405</c:v>
                </c:pt>
                <c:pt idx="10">
                  <c:v>918030</c:v>
                </c:pt>
                <c:pt idx="11">
                  <c:v>1185250</c:v>
                </c:pt>
                <c:pt idx="12">
                  <c:v>1114135</c:v>
                </c:pt>
                <c:pt idx="13">
                  <c:v>1249900</c:v>
                </c:pt>
                <c:pt idx="14">
                  <c:v>1142150</c:v>
                </c:pt>
                <c:pt idx="15">
                  <c:v>1245590</c:v>
                </c:pt>
                <c:pt idx="16">
                  <c:v>1114135</c:v>
                </c:pt>
                <c:pt idx="17">
                  <c:v>1064570</c:v>
                </c:pt>
                <c:pt idx="18">
                  <c:v>1045175</c:v>
                </c:pt>
                <c:pt idx="19">
                  <c:v>894325</c:v>
                </c:pt>
                <c:pt idx="20">
                  <c:v>1161545</c:v>
                </c:pt>
                <c:pt idx="21">
                  <c:v>1083965</c:v>
                </c:pt>
                <c:pt idx="22">
                  <c:v>984835</c:v>
                </c:pt>
                <c:pt idx="23">
                  <c:v>1088275</c:v>
                </c:pt>
                <c:pt idx="24">
                  <c:v>1051640</c:v>
                </c:pt>
                <c:pt idx="25">
                  <c:v>1079655</c:v>
                </c:pt>
                <c:pt idx="26">
                  <c:v>956820</c:v>
                </c:pt>
                <c:pt idx="27">
                  <c:v>1172320</c:v>
                </c:pt>
                <c:pt idx="28">
                  <c:v>1064570</c:v>
                </c:pt>
                <c:pt idx="29">
                  <c:v>976215</c:v>
                </c:pt>
                <c:pt idx="30">
                  <c:v>1004230</c:v>
                </c:pt>
                <c:pt idx="31">
                  <c:v>1077500</c:v>
                </c:pt>
                <c:pt idx="32">
                  <c:v>909410</c:v>
                </c:pt>
                <c:pt idx="33">
                  <c:v>836140</c:v>
                </c:pt>
                <c:pt idx="34">
                  <c:v>1040865</c:v>
                </c:pt>
                <c:pt idx="35">
                  <c:v>1036555</c:v>
                </c:pt>
                <c:pt idx="36">
                  <c:v>1129220</c:v>
                </c:pt>
                <c:pt idx="37">
                  <c:v>1107670</c:v>
                </c:pt>
                <c:pt idx="38">
                  <c:v>1038710</c:v>
                </c:pt>
                <c:pt idx="39">
                  <c:v>1116290</c:v>
                </c:pt>
                <c:pt idx="40">
                  <c:v>1377045</c:v>
                </c:pt>
                <c:pt idx="41">
                  <c:v>1257694</c:v>
                </c:pt>
                <c:pt idx="42">
                  <c:v>1426674</c:v>
                </c:pt>
                <c:pt idx="43">
                  <c:v>1264936</c:v>
                </c:pt>
                <c:pt idx="44">
                  <c:v>1380808</c:v>
                </c:pt>
                <c:pt idx="45">
                  <c:v>856970</c:v>
                </c:pt>
                <c:pt idx="46">
                  <c:v>702474</c:v>
                </c:pt>
                <c:pt idx="47">
                  <c:v>823174</c:v>
                </c:pt>
                <c:pt idx="48">
                  <c:v>1117682</c:v>
                </c:pt>
                <c:pt idx="49">
                  <c:v>1173204</c:v>
                </c:pt>
                <c:pt idx="50">
                  <c:v>1209414</c:v>
                </c:pt>
                <c:pt idx="51">
                  <c:v>890766</c:v>
                </c:pt>
                <c:pt idx="52">
                  <c:v>799034</c:v>
                </c:pt>
                <c:pt idx="53">
                  <c:v>840072</c:v>
                </c:pt>
                <c:pt idx="54">
                  <c:v>864212</c:v>
                </c:pt>
                <c:pt idx="55">
                  <c:v>929390</c:v>
                </c:pt>
                <c:pt idx="56">
                  <c:v>864212</c:v>
                </c:pt>
                <c:pt idx="57">
                  <c:v>813518</c:v>
                </c:pt>
                <c:pt idx="58">
                  <c:v>830416</c:v>
                </c:pt>
                <c:pt idx="59">
                  <c:v>702474</c:v>
                </c:pt>
              </c:numCache>
            </c:numRef>
          </c:val>
          <c:smooth val="0"/>
        </c:ser>
        <c:dLbls>
          <c:showLegendKey val="0"/>
          <c:showVal val="0"/>
          <c:showCatName val="0"/>
          <c:showSerName val="0"/>
          <c:showPercent val="0"/>
          <c:showBubbleSize val="0"/>
        </c:dLbls>
        <c:marker val="1"/>
        <c:smooth val="0"/>
        <c:axId val="315315712"/>
        <c:axId val="315317632"/>
      </c:lineChart>
      <c:catAx>
        <c:axId val="315315712"/>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8399243955060802"/>
              <c:y val="0.815342102123600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700" b="0" i="0" u="none" strike="noStrike" baseline="0">
                <a:solidFill>
                  <a:srgbClr val="000000"/>
                </a:solidFill>
                <a:latin typeface="Arial"/>
                <a:ea typeface="Arial"/>
                <a:cs typeface="Arial"/>
              </a:defRPr>
            </a:pPr>
            <a:endParaRPr lang="es-MX"/>
          </a:p>
        </c:txPr>
        <c:crossAx val="315317632"/>
        <c:crossesAt val="0"/>
        <c:auto val="1"/>
        <c:lblAlgn val="ctr"/>
        <c:lblOffset val="100"/>
        <c:tickLblSkip val="1"/>
        <c:tickMarkSkip val="1"/>
        <c:noMultiLvlLbl val="0"/>
      </c:catAx>
      <c:valAx>
        <c:axId val="315317632"/>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2.4994293751895002E-3"/>
              <c:y val="0.416667263183016"/>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5315712"/>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84862941238871203"/>
          <c:y val="0.29924272250059603"/>
          <c:w val="0.14220877812711899"/>
          <c:h val="0.438446969696978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22252747252747601"/>
          <c:y val="4.2253521126760597E-2"/>
        </c:manualLayout>
      </c:layout>
      <c:overlay val="0"/>
      <c:spPr>
        <a:noFill/>
        <a:ln w="25400">
          <a:noFill/>
        </a:ln>
      </c:spPr>
    </c:title>
    <c:autoTitleDeleted val="0"/>
    <c:plotArea>
      <c:layout>
        <c:manualLayout>
          <c:layoutTarget val="inner"/>
          <c:xMode val="edge"/>
          <c:yMode val="edge"/>
          <c:x val="0.109821180169709"/>
          <c:y val="0.186855051569258"/>
          <c:w val="0.66095183788043099"/>
          <c:h val="0.54272359617020005"/>
        </c:manualLayout>
      </c:layout>
      <c:lineChart>
        <c:grouping val="standard"/>
        <c:varyColors val="0"/>
        <c:ser>
          <c:idx val="0"/>
          <c:order val="0"/>
          <c:tx>
            <c:strRef>
              <c:f>USAQUEN!$A$894</c:f>
              <c:strCache>
                <c:ptCount val="1"/>
                <c:pt idx="0">
                  <c:v>No. Pizzas vendidas</c:v>
                </c:pt>
              </c:strCache>
            </c:strRef>
          </c:tx>
          <c:spPr>
            <a:ln w="25400">
              <a:solidFill>
                <a:srgbClr val="000080"/>
              </a:solidFill>
              <a:prstDash val="solid"/>
            </a:ln>
          </c:spPr>
          <c:marker>
            <c:symbol val="none"/>
          </c:marker>
          <c:cat>
            <c:strRef>
              <c:f>USAQUEN!$B$893:$AG$893</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USAQUEN!$B$894:$AG$894</c:f>
              <c:numCache>
                <c:formatCode>0</c:formatCode>
                <c:ptCount val="32"/>
                <c:pt idx="0">
                  <c:v>338</c:v>
                </c:pt>
                <c:pt idx="1">
                  <c:v>658</c:v>
                </c:pt>
                <c:pt idx="2">
                  <c:v>707</c:v>
                </c:pt>
                <c:pt idx="3">
                  <c:v>610</c:v>
                </c:pt>
                <c:pt idx="4">
                  <c:v>641</c:v>
                </c:pt>
                <c:pt idx="5">
                  <c:v>604</c:v>
                </c:pt>
                <c:pt idx="6">
                  <c:v>580</c:v>
                </c:pt>
                <c:pt idx="7">
                  <c:v>590</c:v>
                </c:pt>
                <c:pt idx="8">
                  <c:v>716</c:v>
                </c:pt>
                <c:pt idx="9">
                  <c:v>706</c:v>
                </c:pt>
                <c:pt idx="10">
                  <c:v>580</c:v>
                </c:pt>
                <c:pt idx="11">
                  <c:v>626</c:v>
                </c:pt>
                <c:pt idx="12">
                  <c:v>702</c:v>
                </c:pt>
                <c:pt idx="13">
                  <c:v>638</c:v>
                </c:pt>
                <c:pt idx="14">
                  <c:v>940</c:v>
                </c:pt>
                <c:pt idx="15">
                  <c:v>810</c:v>
                </c:pt>
                <c:pt idx="16">
                  <c:v>721</c:v>
                </c:pt>
                <c:pt idx="17">
                  <c:v>599</c:v>
                </c:pt>
                <c:pt idx="18">
                  <c:v>543</c:v>
                </c:pt>
                <c:pt idx="19">
                  <c:v>540</c:v>
                </c:pt>
                <c:pt idx="20">
                  <c:v>618</c:v>
                </c:pt>
                <c:pt idx="21">
                  <c:v>655</c:v>
                </c:pt>
                <c:pt idx="22">
                  <c:v>565</c:v>
                </c:pt>
                <c:pt idx="23">
                  <c:v>691</c:v>
                </c:pt>
                <c:pt idx="24">
                  <c:v>628</c:v>
                </c:pt>
                <c:pt idx="25">
                  <c:v>687</c:v>
                </c:pt>
                <c:pt idx="26">
                  <c:v>660</c:v>
                </c:pt>
                <c:pt idx="27">
                  <c:v>638</c:v>
                </c:pt>
                <c:pt idx="28">
                  <c:v>566</c:v>
                </c:pt>
                <c:pt idx="29">
                  <c:v>581</c:v>
                </c:pt>
                <c:pt idx="30">
                  <c:v>682</c:v>
                </c:pt>
                <c:pt idx="31">
                  <c:v>664</c:v>
                </c:pt>
              </c:numCache>
            </c:numRef>
          </c:val>
          <c:smooth val="0"/>
        </c:ser>
        <c:ser>
          <c:idx val="1"/>
          <c:order val="1"/>
          <c:tx>
            <c:strRef>
              <c:f>USAQUEN!$A$895</c:f>
              <c:strCache>
                <c:ptCount val="1"/>
                <c:pt idx="0">
                  <c:v>Total Tiquetes </c:v>
                </c:pt>
              </c:strCache>
            </c:strRef>
          </c:tx>
          <c:spPr>
            <a:ln w="25400">
              <a:solidFill>
                <a:srgbClr val="339966"/>
              </a:solidFill>
              <a:prstDash val="solid"/>
            </a:ln>
          </c:spPr>
          <c:marker>
            <c:symbol val="none"/>
          </c:marker>
          <c:cat>
            <c:strRef>
              <c:f>USAQUEN!$B$893:$AG$893</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USAQUEN!$B$895:$AG$895</c:f>
              <c:numCache>
                <c:formatCode>General</c:formatCode>
                <c:ptCount val="32"/>
                <c:pt idx="0">
                  <c:v>272</c:v>
                </c:pt>
                <c:pt idx="1">
                  <c:v>535</c:v>
                </c:pt>
                <c:pt idx="2">
                  <c:v>554</c:v>
                </c:pt>
                <c:pt idx="3">
                  <c:v>464</c:v>
                </c:pt>
                <c:pt idx="4">
                  <c:v>507</c:v>
                </c:pt>
                <c:pt idx="5">
                  <c:v>484</c:v>
                </c:pt>
                <c:pt idx="6">
                  <c:v>467</c:v>
                </c:pt>
                <c:pt idx="7">
                  <c:v>455</c:v>
                </c:pt>
                <c:pt idx="8">
                  <c:v>556</c:v>
                </c:pt>
                <c:pt idx="9">
                  <c:v>464</c:v>
                </c:pt>
                <c:pt idx="10">
                  <c:v>473</c:v>
                </c:pt>
                <c:pt idx="11">
                  <c:v>476</c:v>
                </c:pt>
                <c:pt idx="12">
                  <c:v>519</c:v>
                </c:pt>
                <c:pt idx="13">
                  <c:v>484</c:v>
                </c:pt>
                <c:pt idx="14">
                  <c:v>585</c:v>
                </c:pt>
                <c:pt idx="15">
                  <c:v>626</c:v>
                </c:pt>
                <c:pt idx="16">
                  <c:v>532</c:v>
                </c:pt>
                <c:pt idx="17">
                  <c:v>477</c:v>
                </c:pt>
                <c:pt idx="18">
                  <c:v>437</c:v>
                </c:pt>
                <c:pt idx="19">
                  <c:v>417</c:v>
                </c:pt>
                <c:pt idx="20">
                  <c:v>484</c:v>
                </c:pt>
                <c:pt idx="21">
                  <c:v>499</c:v>
                </c:pt>
                <c:pt idx="22">
                  <c:v>436</c:v>
                </c:pt>
                <c:pt idx="23">
                  <c:v>554</c:v>
                </c:pt>
                <c:pt idx="24">
                  <c:v>495</c:v>
                </c:pt>
                <c:pt idx="25">
                  <c:v>534</c:v>
                </c:pt>
                <c:pt idx="26">
                  <c:v>526</c:v>
                </c:pt>
                <c:pt idx="27">
                  <c:v>507</c:v>
                </c:pt>
                <c:pt idx="28">
                  <c:v>436</c:v>
                </c:pt>
                <c:pt idx="29">
                  <c:v>460</c:v>
                </c:pt>
                <c:pt idx="30">
                  <c:v>524</c:v>
                </c:pt>
                <c:pt idx="31">
                  <c:v>513</c:v>
                </c:pt>
              </c:numCache>
            </c:numRef>
          </c:val>
          <c:smooth val="0"/>
        </c:ser>
        <c:dLbls>
          <c:showLegendKey val="0"/>
          <c:showVal val="0"/>
          <c:showCatName val="0"/>
          <c:showSerName val="0"/>
          <c:showPercent val="0"/>
          <c:showBubbleSize val="0"/>
        </c:dLbls>
        <c:marker val="1"/>
        <c:smooth val="0"/>
        <c:axId val="315517184"/>
        <c:axId val="316510592"/>
      </c:lineChart>
      <c:catAx>
        <c:axId val="315517184"/>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82953115156105095"/>
              <c:y val="0.808451887176075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16510592"/>
        <c:crossesAt val="0"/>
        <c:auto val="1"/>
        <c:lblAlgn val="ctr"/>
        <c:lblOffset val="100"/>
        <c:tickLblSkip val="1"/>
        <c:tickMarkSkip val="1"/>
        <c:noMultiLvlLbl val="0"/>
      </c:catAx>
      <c:valAx>
        <c:axId val="316510592"/>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1.94840629595102E-2"/>
              <c:y val="0.396244722930766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5517184"/>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79205488928724299"/>
          <c:y val="0.46666725814202797"/>
          <c:w val="0.18683477803742499"/>
          <c:h val="0.220657276995304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Usaquen</a:t>
            </a:r>
          </a:p>
        </c:rich>
      </c:tx>
      <c:layout>
        <c:manualLayout>
          <c:xMode val="edge"/>
          <c:yMode val="edge"/>
          <c:x val="0.295393380705466"/>
          <c:y val="4.5454545454545497E-2"/>
        </c:manualLayout>
      </c:layout>
      <c:overlay val="0"/>
      <c:spPr>
        <a:noFill/>
        <a:ln w="25400">
          <a:noFill/>
        </a:ln>
      </c:spPr>
    </c:title>
    <c:autoTitleDeleted val="0"/>
    <c:plotArea>
      <c:layout>
        <c:manualLayout>
          <c:layoutTarget val="inner"/>
          <c:xMode val="edge"/>
          <c:yMode val="edge"/>
          <c:x val="0.15853679515053001"/>
          <c:y val="0.178977869243617"/>
          <c:w val="0.59543919575523696"/>
          <c:h val="0.64772786924362902"/>
        </c:manualLayout>
      </c:layout>
      <c:lineChart>
        <c:grouping val="standard"/>
        <c:varyColors val="0"/>
        <c:ser>
          <c:idx val="0"/>
          <c:order val="0"/>
          <c:tx>
            <c:strRef>
              <c:f>USAQUEN!$A$897</c:f>
              <c:strCache>
                <c:ptCount val="1"/>
                <c:pt idx="0">
                  <c:v>Ventas Domicilio</c:v>
                </c:pt>
              </c:strCache>
            </c:strRef>
          </c:tx>
          <c:spPr>
            <a:ln w="25400">
              <a:solidFill>
                <a:srgbClr val="000080"/>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USAQUEN!$B$897:$AG$897</c:f>
              <c:numCache>
                <c:formatCode>_("$ "* #,##0_);_("$ "* \(#,##0\);_("$ "* \-??_);_(@_)</c:formatCode>
                <c:ptCount val="32"/>
                <c:pt idx="0">
                  <c:v>5146829.5327586215</c:v>
                </c:pt>
                <c:pt idx="1">
                  <c:v>9426121.9603448287</c:v>
                </c:pt>
                <c:pt idx="2">
                  <c:v>11678983.203448273</c:v>
                </c:pt>
                <c:pt idx="3">
                  <c:v>15145933.988951724</c:v>
                </c:pt>
                <c:pt idx="4">
                  <c:v>10162197.48448276</c:v>
                </c:pt>
                <c:pt idx="5">
                  <c:v>9414301.1879310347</c:v>
                </c:pt>
                <c:pt idx="6">
                  <c:v>9355106.7534482777</c:v>
                </c:pt>
                <c:pt idx="7">
                  <c:v>9212387.6982758641</c:v>
                </c:pt>
                <c:pt idx="8">
                  <c:v>12661998.181034485</c:v>
                </c:pt>
                <c:pt idx="9">
                  <c:v>10071147.091379311</c:v>
                </c:pt>
                <c:pt idx="10">
                  <c:v>9613658.8482758626</c:v>
                </c:pt>
                <c:pt idx="11">
                  <c:v>11520084.206896553</c:v>
                </c:pt>
                <c:pt idx="12">
                  <c:v>13357059.355172414</c:v>
                </c:pt>
                <c:pt idx="13">
                  <c:v>10563660.211724138</c:v>
                </c:pt>
                <c:pt idx="14">
                  <c:v>12960172.513103448</c:v>
                </c:pt>
                <c:pt idx="15">
                  <c:v>11739594.604137933</c:v>
                </c:pt>
                <c:pt idx="16">
                  <c:v>11559754.728275863</c:v>
                </c:pt>
                <c:pt idx="17">
                  <c:v>8340964.9006896559</c:v>
                </c:pt>
                <c:pt idx="18">
                  <c:v>6549236.7137931045</c:v>
                </c:pt>
                <c:pt idx="19">
                  <c:v>7779235.8827586221</c:v>
                </c:pt>
                <c:pt idx="20">
                  <c:v>10250444.842068966</c:v>
                </c:pt>
                <c:pt idx="21">
                  <c:v>10947550.075862069</c:v>
                </c:pt>
                <c:pt idx="22">
                  <c:v>9652790.1958620697</c:v>
                </c:pt>
                <c:pt idx="23">
                  <c:v>11435254.611034485</c:v>
                </c:pt>
                <c:pt idx="24">
                  <c:v>10428015.39724138</c:v>
                </c:pt>
                <c:pt idx="25">
                  <c:v>10840670.365517242</c:v>
                </c:pt>
                <c:pt idx="26">
                  <c:v>11218131.571034484</c:v>
                </c:pt>
                <c:pt idx="27">
                  <c:v>11198294.560689656</c:v>
                </c:pt>
                <c:pt idx="28">
                  <c:v>9952282.0806896575</c:v>
                </c:pt>
                <c:pt idx="29">
                  <c:v>9333509.4331034478</c:v>
                </c:pt>
                <c:pt idx="30">
                  <c:v>11776228.23034483</c:v>
                </c:pt>
                <c:pt idx="31">
                  <c:v>10821639.644827588</c:v>
                </c:pt>
              </c:numCache>
            </c:numRef>
          </c:val>
          <c:smooth val="0"/>
        </c:ser>
        <c:ser>
          <c:idx val="1"/>
          <c:order val="1"/>
          <c:tx>
            <c:strRef>
              <c:f>USAQUEN!$A$898</c:f>
              <c:strCache>
                <c:ptCount val="1"/>
                <c:pt idx="0">
                  <c:v>Ventas Domicilio Carry Out </c:v>
                </c:pt>
              </c:strCache>
            </c:strRef>
          </c:tx>
          <c:spPr>
            <a:ln w="25400">
              <a:solidFill>
                <a:srgbClr val="FF00FF"/>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USAQUEN!$B$898:$AG$898</c:f>
              <c:numCache>
                <c:formatCode>_("$ "* #,##0_);_("$ "* \(#,##0\);_("$ "* \-??_);_(@_)</c:formatCode>
                <c:ptCount val="32"/>
                <c:pt idx="0">
                  <c:v>29581.137931034486</c:v>
                </c:pt>
                <c:pt idx="1">
                  <c:v>144468.56379310347</c:v>
                </c:pt>
                <c:pt idx="2">
                  <c:v>156660.92068965518</c:v>
                </c:pt>
                <c:pt idx="3">
                  <c:v>325331.40987586207</c:v>
                </c:pt>
                <c:pt idx="4">
                  <c:v>172564.36896551726</c:v>
                </c:pt>
                <c:pt idx="5">
                  <c:v>187794.56034482759</c:v>
                </c:pt>
                <c:pt idx="6">
                  <c:v>163460.88620689657</c:v>
                </c:pt>
                <c:pt idx="7">
                  <c:v>159747.90172413795</c:v>
                </c:pt>
                <c:pt idx="8">
                  <c:v>138808.27931034486</c:v>
                </c:pt>
                <c:pt idx="9">
                  <c:v>113045.13793103449</c:v>
                </c:pt>
                <c:pt idx="10">
                  <c:v>96500.343103448278</c:v>
                </c:pt>
                <c:pt idx="11">
                  <c:v>67565.760344827591</c:v>
                </c:pt>
                <c:pt idx="12">
                  <c:v>145617.82068965517</c:v>
                </c:pt>
                <c:pt idx="13">
                  <c:v>98800.427586206904</c:v>
                </c:pt>
                <c:pt idx="14">
                  <c:v>247524.12482758623</c:v>
                </c:pt>
                <c:pt idx="15">
                  <c:v>72596.332413793105</c:v>
                </c:pt>
                <c:pt idx="16">
                  <c:v>132692.56758620692</c:v>
                </c:pt>
                <c:pt idx="17">
                  <c:v>41406.793103448283</c:v>
                </c:pt>
                <c:pt idx="18">
                  <c:v>63518.808275862073</c:v>
                </c:pt>
                <c:pt idx="19">
                  <c:v>124105.57517241381</c:v>
                </c:pt>
                <c:pt idx="20">
                  <c:v>31356.784827586209</c:v>
                </c:pt>
                <c:pt idx="21">
                  <c:v>56195.447586206901</c:v>
                </c:pt>
                <c:pt idx="22">
                  <c:v>54598.90206896553</c:v>
                </c:pt>
                <c:pt idx="23">
                  <c:v>159085.54482758621</c:v>
                </c:pt>
                <c:pt idx="24">
                  <c:v>104448.64758620691</c:v>
                </c:pt>
                <c:pt idx="25">
                  <c:v>9856.8593103448275</c:v>
                </c:pt>
                <c:pt idx="26">
                  <c:v>94488.428965517262</c:v>
                </c:pt>
                <c:pt idx="27">
                  <c:v>82081.517931034497</c:v>
                </c:pt>
                <c:pt idx="28">
                  <c:v>50653.231034482757</c:v>
                </c:pt>
                <c:pt idx="29">
                  <c:v>65363.534482758623</c:v>
                </c:pt>
                <c:pt idx="30">
                  <c:v>0</c:v>
                </c:pt>
                <c:pt idx="31">
                  <c:v>36655.019310344833</c:v>
                </c:pt>
              </c:numCache>
            </c:numRef>
          </c:val>
          <c:smooth val="0"/>
        </c:ser>
        <c:ser>
          <c:idx val="2"/>
          <c:order val="2"/>
          <c:tx>
            <c:strRef>
              <c:f>USAQUEN!$A$899</c:f>
              <c:strCache>
                <c:ptCount val="1"/>
                <c:pt idx="0">
                  <c:v>Ventas Punto de Venta</c:v>
                </c:pt>
              </c:strCache>
            </c:strRef>
          </c:tx>
          <c:spPr>
            <a:ln w="25400">
              <a:solidFill>
                <a:srgbClr val="0000FF"/>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USAQUEN!$B$899:$AG$899</c:f>
              <c:numCache>
                <c:formatCode>_("$ "* #,##0_);_("$ "* \(#,##0\);_("$ "* \-??_);_(@_)</c:formatCode>
                <c:ptCount val="32"/>
                <c:pt idx="0">
                  <c:v>2342019.7327586208</c:v>
                </c:pt>
                <c:pt idx="1">
                  <c:v>5016005.8672413798</c:v>
                </c:pt>
                <c:pt idx="2">
                  <c:v>4473166.9258620692</c:v>
                </c:pt>
                <c:pt idx="3">
                  <c:v>6917913.7232275875</c:v>
                </c:pt>
                <c:pt idx="4">
                  <c:v>4444379.3465517238</c:v>
                </c:pt>
                <c:pt idx="5">
                  <c:v>4177848.6603448284</c:v>
                </c:pt>
                <c:pt idx="6">
                  <c:v>4161521.770689656</c:v>
                </c:pt>
                <c:pt idx="7">
                  <c:v>4996575.998275863</c:v>
                </c:pt>
                <c:pt idx="8">
                  <c:v>3808648.9000000004</c:v>
                </c:pt>
                <c:pt idx="9">
                  <c:v>7311810.9017241374</c:v>
                </c:pt>
                <c:pt idx="10">
                  <c:v>4043700.6500000004</c:v>
                </c:pt>
                <c:pt idx="11">
                  <c:v>3280725.2931034486</c:v>
                </c:pt>
                <c:pt idx="12">
                  <c:v>3079003.4103448279</c:v>
                </c:pt>
                <c:pt idx="13">
                  <c:v>3738097.1675862074</c:v>
                </c:pt>
                <c:pt idx="14">
                  <c:v>6456050.3724137936</c:v>
                </c:pt>
                <c:pt idx="15">
                  <c:v>6696746.0041379323</c:v>
                </c:pt>
                <c:pt idx="16">
                  <c:v>4854334.7496551722</c:v>
                </c:pt>
                <c:pt idx="17">
                  <c:v>5490819.9834482763</c:v>
                </c:pt>
                <c:pt idx="18">
                  <c:v>5979543.6565517243</c:v>
                </c:pt>
                <c:pt idx="19">
                  <c:v>4338876.0062068971</c:v>
                </c:pt>
                <c:pt idx="20">
                  <c:v>3585109.4206896555</c:v>
                </c:pt>
                <c:pt idx="21">
                  <c:v>3802668.9986206898</c:v>
                </c:pt>
                <c:pt idx="22">
                  <c:v>3114807.1627586209</c:v>
                </c:pt>
                <c:pt idx="23">
                  <c:v>3984118.4565517241</c:v>
                </c:pt>
                <c:pt idx="24">
                  <c:v>3594147.4593103449</c:v>
                </c:pt>
                <c:pt idx="25">
                  <c:v>3668914.1172413793</c:v>
                </c:pt>
                <c:pt idx="26">
                  <c:v>3787062.2220689654</c:v>
                </c:pt>
                <c:pt idx="27">
                  <c:v>3281110.3062068969</c:v>
                </c:pt>
                <c:pt idx="28">
                  <c:v>2723009.8703448279</c:v>
                </c:pt>
                <c:pt idx="29">
                  <c:v>3456955.663448276</c:v>
                </c:pt>
                <c:pt idx="30">
                  <c:v>3066293.5779310348</c:v>
                </c:pt>
                <c:pt idx="31">
                  <c:v>3426335.1427586209</c:v>
                </c:pt>
              </c:numCache>
            </c:numRef>
          </c:val>
          <c:smooth val="0"/>
        </c:ser>
        <c:ser>
          <c:idx val="3"/>
          <c:order val="3"/>
          <c:tx>
            <c:strRef>
              <c:f>USAQUEN!$A$900</c:f>
              <c:strCache>
                <c:ptCount val="1"/>
                <c:pt idx="0">
                  <c:v>Ventas Punto de Venta Carryout </c:v>
                </c:pt>
              </c:strCache>
            </c:strRef>
          </c:tx>
          <c:spPr>
            <a:ln w="25400">
              <a:solidFill>
                <a:srgbClr val="99CC00"/>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USAQUEN!$B$900:$AG$900</c:f>
              <c:numCache>
                <c:formatCode>_("$ "* #,##0_);_("$ "* \(#,##0\);_("$ "* \-??_);_(@_)</c:formatCode>
                <c:ptCount val="32"/>
                <c:pt idx="0">
                  <c:v>513317.24482758623</c:v>
                </c:pt>
                <c:pt idx="1">
                  <c:v>877954.2293103449</c:v>
                </c:pt>
                <c:pt idx="2">
                  <c:v>756444.63620689663</c:v>
                </c:pt>
                <c:pt idx="3">
                  <c:v>1197204.0833931034</c:v>
                </c:pt>
                <c:pt idx="4">
                  <c:v>603068.34137931047</c:v>
                </c:pt>
                <c:pt idx="5">
                  <c:v>753208.52241379314</c:v>
                </c:pt>
                <c:pt idx="6">
                  <c:v>684700.58965517255</c:v>
                </c:pt>
                <c:pt idx="7">
                  <c:v>263274.86551724141</c:v>
                </c:pt>
                <c:pt idx="8">
                  <c:v>554049.2827586208</c:v>
                </c:pt>
                <c:pt idx="9">
                  <c:v>931716.52413793118</c:v>
                </c:pt>
                <c:pt idx="10">
                  <c:v>481878.43448275869</c:v>
                </c:pt>
                <c:pt idx="11">
                  <c:v>296682.15344827587</c:v>
                </c:pt>
                <c:pt idx="12">
                  <c:v>360825.58448275866</c:v>
                </c:pt>
                <c:pt idx="13">
                  <c:v>568284.62965517235</c:v>
                </c:pt>
                <c:pt idx="14">
                  <c:v>497623.86965517246</c:v>
                </c:pt>
                <c:pt idx="15">
                  <c:v>870389.26620689675</c:v>
                </c:pt>
                <c:pt idx="16">
                  <c:v>839144.2255172414</c:v>
                </c:pt>
                <c:pt idx="17">
                  <c:v>978714.93793103471</c:v>
                </c:pt>
                <c:pt idx="18">
                  <c:v>909385.23517241376</c:v>
                </c:pt>
                <c:pt idx="19">
                  <c:v>492043.84620689659</c:v>
                </c:pt>
                <c:pt idx="20">
                  <c:v>423973.09034482762</c:v>
                </c:pt>
                <c:pt idx="21">
                  <c:v>831280.37448275881</c:v>
                </c:pt>
                <c:pt idx="22">
                  <c:v>619727.53241379315</c:v>
                </c:pt>
                <c:pt idx="23">
                  <c:v>899921.18068965524</c:v>
                </c:pt>
                <c:pt idx="24">
                  <c:v>515478.70275862073</c:v>
                </c:pt>
                <c:pt idx="25">
                  <c:v>1040575.5544827587</c:v>
                </c:pt>
                <c:pt idx="26">
                  <c:v>1158352.9503448277</c:v>
                </c:pt>
                <c:pt idx="27">
                  <c:v>866028.85655172425</c:v>
                </c:pt>
                <c:pt idx="28">
                  <c:v>832788.5420689655</c:v>
                </c:pt>
                <c:pt idx="29">
                  <c:v>1085751.5758620691</c:v>
                </c:pt>
                <c:pt idx="30">
                  <c:v>906973.5020689657</c:v>
                </c:pt>
                <c:pt idx="31">
                  <c:v>970215.50344827597</c:v>
                </c:pt>
              </c:numCache>
            </c:numRef>
          </c:val>
          <c:smooth val="0"/>
        </c:ser>
        <c:ser>
          <c:idx val="4"/>
          <c:order val="4"/>
          <c:tx>
            <c:strRef>
              <c:f>USAQUEN!$A$901</c:f>
              <c:strCache>
                <c:ptCount val="1"/>
                <c:pt idx="0">
                  <c:v>Ventas Punto de Venta Domicilio</c:v>
                </c:pt>
              </c:strCache>
            </c:strRef>
          </c:tx>
          <c:spPr>
            <a:ln w="25400">
              <a:solidFill>
                <a:srgbClr val="FF6600"/>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USAQUEN!$B$901:$AG$901</c:f>
              <c:numCache>
                <c:formatCode>_("$ "* #,##0_);_("$ "* \(#,##0\);_("$ "* \-??_);_(@_)</c:formatCode>
                <c:ptCount val="32"/>
                <c:pt idx="0">
                  <c:v>30520.799999999999</c:v>
                </c:pt>
                <c:pt idx="1">
                  <c:v>25408.689655172417</c:v>
                </c:pt>
                <c:pt idx="2">
                  <c:v>52215.693103448277</c:v>
                </c:pt>
                <c:pt idx="3">
                  <c:v>544576.05800000008</c:v>
                </c:pt>
                <c:pt idx="4">
                  <c:v>83962.355172413794</c:v>
                </c:pt>
                <c:pt idx="5">
                  <c:v>0</c:v>
                </c:pt>
                <c:pt idx="6">
                  <c:v>0</c:v>
                </c:pt>
                <c:pt idx="7">
                  <c:v>32799.225862068968</c:v>
                </c:pt>
                <c:pt idx="8">
                  <c:v>106471.90862068966</c:v>
                </c:pt>
                <c:pt idx="9">
                  <c:v>0</c:v>
                </c:pt>
                <c:pt idx="10">
                  <c:v>0</c:v>
                </c:pt>
                <c:pt idx="11">
                  <c:v>0</c:v>
                </c:pt>
                <c:pt idx="12">
                  <c:v>13938.829310344829</c:v>
                </c:pt>
                <c:pt idx="13">
                  <c:v>29886.942758620695</c:v>
                </c:pt>
                <c:pt idx="14">
                  <c:v>109327.18896551724</c:v>
                </c:pt>
                <c:pt idx="15">
                  <c:v>0</c:v>
                </c:pt>
                <c:pt idx="16">
                  <c:v>19870.62551724138</c:v>
                </c:pt>
                <c:pt idx="17">
                  <c:v>40977.45379310345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ser>
        <c:ser>
          <c:idx val="5"/>
          <c:order val="5"/>
          <c:tx>
            <c:strRef>
              <c:f>USAQUEN!$A$902</c:f>
              <c:strCache>
                <c:ptCount val="1"/>
                <c:pt idx="0">
                  <c:v>Cobro Domicilios </c:v>
                </c:pt>
              </c:strCache>
            </c:strRef>
          </c:tx>
          <c:spPr>
            <a:ln w="25400">
              <a:solidFill>
                <a:srgbClr val="800000"/>
              </a:solidFill>
              <a:prstDash val="solid"/>
            </a:ln>
          </c:spPr>
          <c:marker>
            <c:symbol val="none"/>
          </c:marker>
          <c:cat>
            <c:strRef>
              <c:f>USAQUEN!$B$896:$AG$896</c:f>
              <c:strCache>
                <c:ptCount val="3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strCache>
            </c:strRef>
          </c:cat>
          <c:val>
            <c:numRef>
              <c:f>USAQUEN!$B$902:$B$902</c:f>
              <c:numCache>
                <c:formatCode>_("$ "* #,##0_);_("$ "* \(#,##0\);_("$ "* \-??_);_(@_)</c:formatCode>
                <c:ptCount val="1"/>
                <c:pt idx="0">
                  <c:v>338335</c:v>
                </c:pt>
              </c:numCache>
            </c:numRef>
          </c:val>
          <c:smooth val="0"/>
        </c:ser>
        <c:dLbls>
          <c:showLegendKey val="0"/>
          <c:showVal val="0"/>
          <c:showCatName val="0"/>
          <c:showSerName val="0"/>
          <c:showPercent val="0"/>
          <c:showBubbleSize val="0"/>
        </c:dLbls>
        <c:marker val="1"/>
        <c:smooth val="0"/>
        <c:axId val="316643584"/>
        <c:axId val="316649856"/>
      </c:lineChart>
      <c:catAx>
        <c:axId val="316643584"/>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0820809898762702"/>
              <c:y val="0.875948162729659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700" b="0" i="0" u="none" strike="noStrike" baseline="0">
                <a:solidFill>
                  <a:srgbClr val="000000"/>
                </a:solidFill>
                <a:latin typeface="Arial"/>
                <a:ea typeface="Arial"/>
                <a:cs typeface="Arial"/>
              </a:defRPr>
            </a:pPr>
            <a:endParaRPr lang="es-MX"/>
          </a:p>
        </c:txPr>
        <c:crossAx val="316649856"/>
        <c:crossesAt val="0"/>
        <c:auto val="1"/>
        <c:lblAlgn val="ctr"/>
        <c:lblOffset val="100"/>
        <c:tickLblSkip val="1"/>
        <c:tickMarkSkip val="1"/>
        <c:noMultiLvlLbl val="0"/>
      </c:catAx>
      <c:valAx>
        <c:axId val="316649856"/>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9.485094850949E-3"/>
              <c:y val="0.53409150560725305"/>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6643584"/>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77242089714686601"/>
          <c:y val="0.284091207349084"/>
          <c:w val="0.22050798976107"/>
          <c:h val="0.47443181818181801"/>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22339027595269401"/>
          <c:y val="4.2253521126760597E-2"/>
        </c:manualLayout>
      </c:layout>
      <c:overlay val="0"/>
      <c:spPr>
        <a:noFill/>
        <a:ln w="25400">
          <a:noFill/>
        </a:ln>
      </c:spPr>
    </c:title>
    <c:autoTitleDeleted val="0"/>
    <c:plotArea>
      <c:layout>
        <c:manualLayout>
          <c:layoutTarget val="inner"/>
          <c:xMode val="edge"/>
          <c:yMode val="edge"/>
          <c:x val="0.122885766775709"/>
          <c:y val="0.28826350227348302"/>
          <c:w val="0.61427188779597697"/>
          <c:h val="0.441315145465972"/>
        </c:manualLayout>
      </c:layout>
      <c:lineChart>
        <c:grouping val="standard"/>
        <c:varyColors val="0"/>
        <c:ser>
          <c:idx val="0"/>
          <c:order val="0"/>
          <c:tx>
            <c:strRef>
              <c:f>NUEVO!$A$57</c:f>
              <c:strCache>
                <c:ptCount val="1"/>
                <c:pt idx="0">
                  <c:v>No. Pizzas vendidas</c:v>
                </c:pt>
              </c:strCache>
            </c:strRef>
          </c:tx>
          <c:spPr>
            <a:ln w="25400">
              <a:solidFill>
                <a:srgbClr val="000080"/>
              </a:solidFill>
              <a:prstDash val="solid"/>
            </a:ln>
          </c:spPr>
          <c:marker>
            <c:symbol val="none"/>
          </c:marker>
          <c:cat>
            <c:strRef>
              <c:f>NUEVO!$B$56:$B$56</c:f>
              <c:strCache>
                <c:ptCount val="1"/>
                <c:pt idx="0">
                  <c:v>SEMANA 1</c:v>
                </c:pt>
              </c:strCache>
            </c:strRef>
          </c:cat>
          <c:val>
            <c:numRef>
              <c:f>NUEVO!$B$57:$B$57</c:f>
              <c:numCache>
                <c:formatCode>0</c:formatCode>
                <c:ptCount val="1"/>
                <c:pt idx="0">
                  <c:v>0</c:v>
                </c:pt>
              </c:numCache>
            </c:numRef>
          </c:val>
          <c:smooth val="0"/>
        </c:ser>
        <c:ser>
          <c:idx val="1"/>
          <c:order val="1"/>
          <c:tx>
            <c:strRef>
              <c:f>NUEVO!$A$58</c:f>
              <c:strCache>
                <c:ptCount val="1"/>
                <c:pt idx="0">
                  <c:v>Total Tiquetes </c:v>
                </c:pt>
              </c:strCache>
            </c:strRef>
          </c:tx>
          <c:spPr>
            <a:ln w="25400">
              <a:solidFill>
                <a:srgbClr val="339966"/>
              </a:solidFill>
              <a:prstDash val="solid"/>
            </a:ln>
          </c:spPr>
          <c:marker>
            <c:symbol val="none"/>
          </c:marker>
          <c:cat>
            <c:strRef>
              <c:f>NUEVO!$B$56:$B$56</c:f>
              <c:strCache>
                <c:ptCount val="1"/>
                <c:pt idx="0">
                  <c:v>SEMANA 1</c:v>
                </c:pt>
              </c:strCache>
            </c:strRef>
          </c:cat>
          <c:val>
            <c:numRef>
              <c:f>NUEVO!$B$58:$B$58</c:f>
              <c:numCache>
                <c:formatCode>General</c:formatCode>
                <c:ptCount val="1"/>
                <c:pt idx="0">
                  <c:v>0</c:v>
                </c:pt>
              </c:numCache>
            </c:numRef>
          </c:val>
          <c:smooth val="0"/>
        </c:ser>
        <c:dLbls>
          <c:showLegendKey val="0"/>
          <c:showVal val="0"/>
          <c:showCatName val="0"/>
          <c:showSerName val="0"/>
          <c:showPercent val="0"/>
          <c:showBubbleSize val="0"/>
        </c:dLbls>
        <c:marker val="1"/>
        <c:smooth val="0"/>
        <c:axId val="316330368"/>
        <c:axId val="316332288"/>
      </c:lineChart>
      <c:catAx>
        <c:axId val="316330368"/>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81617162301431401"/>
              <c:y val="0.759625596096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16332288"/>
        <c:crossesAt val="0"/>
        <c:auto val="1"/>
        <c:lblAlgn val="ctr"/>
        <c:lblOffset val="100"/>
        <c:tickLblSkip val="1"/>
        <c:tickMarkSkip val="1"/>
        <c:noMultiLvlLbl val="0"/>
      </c:catAx>
      <c:valAx>
        <c:axId val="316332288"/>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4.4678055190538801E-2"/>
              <c:y val="0.4338034083767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6330368"/>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77289358995284496"/>
          <c:y val="0.38685505156926497"/>
          <c:w val="0.20324134910206401"/>
          <c:h val="0.228169014084506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999" r="0.75000000000000999" t="1" header="0.51180555555555596" footer="0.51180555555555596"/>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Colina</a:t>
            </a:r>
          </a:p>
        </c:rich>
      </c:tx>
      <c:layout>
        <c:manualLayout>
          <c:xMode val="edge"/>
          <c:yMode val="edge"/>
          <c:x val="0.30090832031210701"/>
          <c:y val="4.5454545454545497E-2"/>
        </c:manualLayout>
      </c:layout>
      <c:overlay val="0"/>
      <c:spPr>
        <a:noFill/>
        <a:ln w="25400">
          <a:noFill/>
        </a:ln>
      </c:spPr>
    </c:title>
    <c:autoTitleDeleted val="0"/>
    <c:plotArea>
      <c:layout>
        <c:manualLayout>
          <c:layoutTarget val="inner"/>
          <c:xMode val="edge"/>
          <c:yMode val="edge"/>
          <c:x val="0.15953327599768499"/>
          <c:y val="0.22064453591028399"/>
          <c:w val="0.57385152107795301"/>
          <c:h val="0.60606120257695095"/>
        </c:manualLayout>
      </c:layout>
      <c:lineChart>
        <c:grouping val="standard"/>
        <c:varyColors val="0"/>
        <c:ser>
          <c:idx val="0"/>
          <c:order val="0"/>
          <c:tx>
            <c:strRef>
              <c:f>NUEVO!$A$60</c:f>
              <c:strCache>
                <c:ptCount val="1"/>
                <c:pt idx="0">
                  <c:v>Ventas Domicilio</c:v>
                </c:pt>
              </c:strCache>
            </c:strRef>
          </c:tx>
          <c:spPr>
            <a:ln w="25400">
              <a:solidFill>
                <a:srgbClr val="000080"/>
              </a:solidFill>
              <a:prstDash val="solid"/>
            </a:ln>
          </c:spPr>
          <c:marker>
            <c:symbol val="none"/>
          </c:marker>
          <c:cat>
            <c:strRef>
              <c:f>NUEVO!$B$29</c:f>
              <c:strCache>
                <c:ptCount val="1"/>
                <c:pt idx="0">
                  <c:v>SEMANA 1</c:v>
                </c:pt>
              </c:strCache>
            </c:strRef>
          </c:cat>
          <c:val>
            <c:numRef>
              <c:f>NUEVO!$B$60</c:f>
              <c:numCache>
                <c:formatCode>_("$ "* #,##0_);_("$ "* \(#,##0\);_("$ "* \-??_);_(@_)</c:formatCode>
                <c:ptCount val="1"/>
                <c:pt idx="0">
                  <c:v>0</c:v>
                </c:pt>
              </c:numCache>
            </c:numRef>
          </c:val>
          <c:smooth val="0"/>
        </c:ser>
        <c:ser>
          <c:idx val="1"/>
          <c:order val="1"/>
          <c:tx>
            <c:strRef>
              <c:f>NUEVO!$A$61</c:f>
              <c:strCache>
                <c:ptCount val="1"/>
                <c:pt idx="0">
                  <c:v>Ventas Domicilio Carry Out </c:v>
                </c:pt>
              </c:strCache>
            </c:strRef>
          </c:tx>
          <c:spPr>
            <a:ln w="25400">
              <a:solidFill>
                <a:srgbClr val="FF00FF"/>
              </a:solidFill>
              <a:prstDash val="solid"/>
            </a:ln>
          </c:spPr>
          <c:marker>
            <c:symbol val="none"/>
          </c:marker>
          <c:cat>
            <c:strRef>
              <c:f>NUEVO!$B$29</c:f>
              <c:strCache>
                <c:ptCount val="1"/>
                <c:pt idx="0">
                  <c:v>SEMANA 1</c:v>
                </c:pt>
              </c:strCache>
            </c:strRef>
          </c:cat>
          <c:val>
            <c:numRef>
              <c:f>NUEVO!$B$61</c:f>
              <c:numCache>
                <c:formatCode>_("$ "* #,##0_);_("$ "* \(#,##0\);_("$ "* \-??_);_(@_)</c:formatCode>
                <c:ptCount val="1"/>
                <c:pt idx="0">
                  <c:v>0</c:v>
                </c:pt>
              </c:numCache>
            </c:numRef>
          </c:val>
          <c:smooth val="0"/>
        </c:ser>
        <c:ser>
          <c:idx val="2"/>
          <c:order val="2"/>
          <c:tx>
            <c:strRef>
              <c:f>NUEVO!$A$62</c:f>
              <c:strCache>
                <c:ptCount val="1"/>
                <c:pt idx="0">
                  <c:v>Ventas Punto de Venta</c:v>
                </c:pt>
              </c:strCache>
            </c:strRef>
          </c:tx>
          <c:spPr>
            <a:ln w="25400">
              <a:solidFill>
                <a:srgbClr val="0000FF"/>
              </a:solidFill>
              <a:prstDash val="solid"/>
            </a:ln>
          </c:spPr>
          <c:marker>
            <c:symbol val="none"/>
          </c:marker>
          <c:cat>
            <c:strRef>
              <c:f>NUEVO!$B$29</c:f>
              <c:strCache>
                <c:ptCount val="1"/>
                <c:pt idx="0">
                  <c:v>SEMANA 1</c:v>
                </c:pt>
              </c:strCache>
            </c:strRef>
          </c:cat>
          <c:val>
            <c:numRef>
              <c:f>NUEVO!$B$62</c:f>
              <c:numCache>
                <c:formatCode>_("$ "* #,##0_);_("$ "* \(#,##0\);_("$ "* \-??_);_(@_)</c:formatCode>
                <c:ptCount val="1"/>
                <c:pt idx="0">
                  <c:v>0</c:v>
                </c:pt>
              </c:numCache>
            </c:numRef>
          </c:val>
          <c:smooth val="0"/>
        </c:ser>
        <c:ser>
          <c:idx val="3"/>
          <c:order val="3"/>
          <c:tx>
            <c:strRef>
              <c:f>NUEVO!$A$63</c:f>
              <c:strCache>
                <c:ptCount val="1"/>
                <c:pt idx="0">
                  <c:v>Ventas Punto de Venta Carryout </c:v>
                </c:pt>
              </c:strCache>
            </c:strRef>
          </c:tx>
          <c:spPr>
            <a:ln w="25400">
              <a:solidFill>
                <a:srgbClr val="99CC00"/>
              </a:solidFill>
              <a:prstDash val="solid"/>
            </a:ln>
          </c:spPr>
          <c:marker>
            <c:symbol val="none"/>
          </c:marker>
          <c:cat>
            <c:strRef>
              <c:f>NUEVO!$B$29</c:f>
              <c:strCache>
                <c:ptCount val="1"/>
                <c:pt idx="0">
                  <c:v>SEMANA 1</c:v>
                </c:pt>
              </c:strCache>
            </c:strRef>
          </c:cat>
          <c:val>
            <c:numRef>
              <c:f>NUEVO!$B$63</c:f>
              <c:numCache>
                <c:formatCode>_("$ "* #,##0_);_("$ "* \(#,##0\);_("$ "* \-??_);_(@_)</c:formatCode>
                <c:ptCount val="1"/>
                <c:pt idx="0">
                  <c:v>0</c:v>
                </c:pt>
              </c:numCache>
            </c:numRef>
          </c:val>
          <c:smooth val="0"/>
        </c:ser>
        <c:ser>
          <c:idx val="4"/>
          <c:order val="4"/>
          <c:tx>
            <c:strRef>
              <c:f>NUEVO!$A$64</c:f>
              <c:strCache>
                <c:ptCount val="1"/>
                <c:pt idx="0">
                  <c:v>Ventas Punto de Venta Domicilio</c:v>
                </c:pt>
              </c:strCache>
            </c:strRef>
          </c:tx>
          <c:spPr>
            <a:ln w="25400">
              <a:solidFill>
                <a:srgbClr val="FF6600"/>
              </a:solidFill>
              <a:prstDash val="solid"/>
            </a:ln>
          </c:spPr>
          <c:marker>
            <c:symbol val="none"/>
          </c:marker>
          <c:cat>
            <c:strRef>
              <c:f>NUEVO!$B$29</c:f>
              <c:strCache>
                <c:ptCount val="1"/>
                <c:pt idx="0">
                  <c:v>SEMANA 1</c:v>
                </c:pt>
              </c:strCache>
            </c:strRef>
          </c:cat>
          <c:val>
            <c:numRef>
              <c:f>NUEVO!$B$64</c:f>
              <c:numCache>
                <c:formatCode>_("$ "* #,##0_);_("$ "* \(#,##0\);_("$ "* \-??_);_(@_)</c:formatCode>
                <c:ptCount val="1"/>
                <c:pt idx="0">
                  <c:v>0</c:v>
                </c:pt>
              </c:numCache>
            </c:numRef>
          </c:val>
          <c:smooth val="0"/>
        </c:ser>
        <c:ser>
          <c:idx val="5"/>
          <c:order val="5"/>
          <c:tx>
            <c:strRef>
              <c:f>NUEVO!$A$65</c:f>
              <c:strCache>
                <c:ptCount val="1"/>
                <c:pt idx="0">
                  <c:v>Cobro Domicilios </c:v>
                </c:pt>
              </c:strCache>
            </c:strRef>
          </c:tx>
          <c:spPr>
            <a:ln w="25400">
              <a:solidFill>
                <a:srgbClr val="800000"/>
              </a:solidFill>
              <a:prstDash val="solid"/>
            </a:ln>
          </c:spPr>
          <c:marker>
            <c:symbol val="none"/>
          </c:marker>
          <c:cat>
            <c:strRef>
              <c:f>NUEVO!$B$29</c:f>
              <c:strCache>
                <c:ptCount val="1"/>
                <c:pt idx="0">
                  <c:v>SEMANA 1</c:v>
                </c:pt>
              </c:strCache>
            </c:strRef>
          </c:cat>
          <c:val>
            <c:numRef>
              <c:f>NUEVO!$B$65</c:f>
              <c:numCache>
                <c:formatCode>_("$ "* #,##0_);_("$ "* \(#,##0\);_("$ "* \-??_);_(@_)</c:formatCode>
                <c:ptCount val="1"/>
                <c:pt idx="0">
                  <c:v>0</c:v>
                </c:pt>
              </c:numCache>
            </c:numRef>
          </c:val>
          <c:smooth val="0"/>
        </c:ser>
        <c:dLbls>
          <c:showLegendKey val="0"/>
          <c:showVal val="0"/>
          <c:showCatName val="0"/>
          <c:showSerName val="0"/>
          <c:showPercent val="0"/>
          <c:showBubbleSize val="0"/>
        </c:dLbls>
        <c:marker val="1"/>
        <c:smooth val="0"/>
        <c:axId val="316189312"/>
        <c:axId val="316199680"/>
      </c:lineChart>
      <c:catAx>
        <c:axId val="316189312"/>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2432900594512604"/>
              <c:y val="0.875948162729659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700" b="0" i="0" u="none" strike="noStrike" baseline="0">
                <a:solidFill>
                  <a:srgbClr val="000000"/>
                </a:solidFill>
                <a:latin typeface="Arial"/>
                <a:ea typeface="Arial"/>
                <a:cs typeface="Arial"/>
              </a:defRPr>
            </a:pPr>
            <a:endParaRPr lang="es-MX"/>
          </a:p>
        </c:txPr>
        <c:crossAx val="316199680"/>
        <c:crossesAt val="0"/>
        <c:auto val="1"/>
        <c:lblAlgn val="ctr"/>
        <c:lblOffset val="100"/>
        <c:tickLblSkip val="1"/>
        <c:tickMarkSkip val="1"/>
        <c:noMultiLvlLbl val="0"/>
      </c:catAx>
      <c:valAx>
        <c:axId val="316199680"/>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1.68612191958495E-2"/>
              <c:y val="0.53409150560725305"/>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6189312"/>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774605776354794"/>
          <c:y val="0.25000029825817199"/>
          <c:w val="0.192969863716799"/>
          <c:h val="0.55397727272727304"/>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999" r="0.75000000000000999" t="1" header="0.51180555555555596" footer="0.51180555555555596"/>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2.0514059372104598E-2"/>
          <c:y val="8.2474226804123696E-3"/>
          <c:w val="0.97934095983415703"/>
          <c:h val="0.77525773195876302"/>
        </c:manualLayout>
      </c:layout>
      <c:lineChart>
        <c:grouping val="standard"/>
        <c:varyColors val="0"/>
        <c:ser>
          <c:idx val="1"/>
          <c:order val="1"/>
          <c:tx>
            <c:strRef>
              <c:f>INFORME!$B$4</c:f>
              <c:strCache>
                <c:ptCount val="1"/>
                <c:pt idx="0">
                  <c:v>Llamadas contestadas</c:v>
                </c:pt>
              </c:strCache>
            </c:strRef>
          </c:tx>
          <c:spPr>
            <a:ln w="38100">
              <a:solidFill>
                <a:srgbClr val="993366"/>
              </a:solidFill>
              <a:prstDash val="solid"/>
            </a:ln>
          </c:spPr>
          <c:marker>
            <c:spPr>
              <a:gradFill rotWithShape="0">
                <a:gsLst>
                  <a:gs pos="0">
                    <a:srgbClr val="FF9A99"/>
                  </a:gs>
                  <a:gs pos="100000">
                    <a:srgbClr val="D1403C"/>
                  </a:gs>
                </a:gsLst>
                <a:lin ang="5400000"/>
              </a:gradFill>
              <a:ln>
                <a:solidFill>
                  <a:srgbClr val="993366"/>
                </a:solidFill>
                <a:prstDash val="solid"/>
              </a:ln>
              <a:effectLst>
                <a:outerShdw dist="35921" dir="2700000" algn="br">
                  <a:srgbClr val="000000"/>
                </a:outerShdw>
              </a:effectLst>
            </c:spPr>
          </c:marker>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INFORME!$C$4:$DT$4</c:f>
              <c:numCache>
                <c:formatCode>#,##0</c:formatCode>
                <c:ptCount val="122"/>
                <c:pt idx="0">
                  <c:v>19084</c:v>
                </c:pt>
                <c:pt idx="1">
                  <c:v>2707</c:v>
                </c:pt>
                <c:pt idx="2">
                  <c:v>5015</c:v>
                </c:pt>
                <c:pt idx="3">
                  <c:v>4516</c:v>
                </c:pt>
                <c:pt idx="4">
                  <c:v>4989</c:v>
                </c:pt>
                <c:pt idx="5">
                  <c:v>4307</c:v>
                </c:pt>
                <c:pt idx="6">
                  <c:v>5289</c:v>
                </c:pt>
                <c:pt idx="7">
                  <c:v>4264</c:v>
                </c:pt>
                <c:pt idx="8">
                  <c:v>4761</c:v>
                </c:pt>
                <c:pt idx="9">
                  <c:v>4655</c:v>
                </c:pt>
                <c:pt idx="10">
                  <c:v>3828</c:v>
                </c:pt>
                <c:pt idx="11">
                  <c:v>3258</c:v>
                </c:pt>
                <c:pt idx="12">
                  <c:v>2742</c:v>
                </c:pt>
                <c:pt idx="13">
                  <c:v>3402</c:v>
                </c:pt>
                <c:pt idx="14">
                  <c:v>4381</c:v>
                </c:pt>
                <c:pt idx="15">
                  <c:v>4100</c:v>
                </c:pt>
                <c:pt idx="16">
                  <c:v>4321</c:v>
                </c:pt>
                <c:pt idx="17">
                  <c:v>4877</c:v>
                </c:pt>
                <c:pt idx="18">
                  <c:v>4952</c:v>
                </c:pt>
                <c:pt idx="19">
                  <c:v>4844</c:v>
                </c:pt>
                <c:pt idx="20">
                  <c:v>5495</c:v>
                </c:pt>
                <c:pt idx="21">
                  <c:v>5596</c:v>
                </c:pt>
                <c:pt idx="22">
                  <c:v>5116</c:v>
                </c:pt>
                <c:pt idx="23">
                  <c:v>4936</c:v>
                </c:pt>
                <c:pt idx="24">
                  <c:v>6103</c:v>
                </c:pt>
                <c:pt idx="25">
                  <c:v>5417</c:v>
                </c:pt>
                <c:pt idx="26">
                  <c:v>5520</c:v>
                </c:pt>
                <c:pt idx="27">
                  <c:v>5404</c:v>
                </c:pt>
                <c:pt idx="28">
                  <c:v>5024</c:v>
                </c:pt>
                <c:pt idx="29">
                  <c:v>5574</c:v>
                </c:pt>
                <c:pt idx="30">
                  <c:v>4770</c:v>
                </c:pt>
                <c:pt idx="31">
                  <c:v>5689</c:v>
                </c:pt>
                <c:pt idx="32">
                  <c:v>5355</c:v>
                </c:pt>
                <c:pt idx="33">
                  <c:v>5448</c:v>
                </c:pt>
                <c:pt idx="34">
                  <c:v>5003</c:v>
                </c:pt>
                <c:pt idx="35">
                  <c:v>5336</c:v>
                </c:pt>
                <c:pt idx="36">
                  <c:v>4654</c:v>
                </c:pt>
                <c:pt idx="37">
                  <c:v>4530</c:v>
                </c:pt>
                <c:pt idx="38">
                  <c:v>5008</c:v>
                </c:pt>
                <c:pt idx="39">
                  <c:v>5557</c:v>
                </c:pt>
                <c:pt idx="40">
                  <c:v>4414</c:v>
                </c:pt>
                <c:pt idx="41">
                  <c:v>4889</c:v>
                </c:pt>
                <c:pt idx="42">
                  <c:v>5337</c:v>
                </c:pt>
                <c:pt idx="43">
                  <c:v>4913</c:v>
                </c:pt>
                <c:pt idx="44">
                  <c:v>4432</c:v>
                </c:pt>
                <c:pt idx="45">
                  <c:v>5152</c:v>
                </c:pt>
                <c:pt idx="46">
                  <c:v>4529</c:v>
                </c:pt>
                <c:pt idx="47">
                  <c:v>4659</c:v>
                </c:pt>
                <c:pt idx="48">
                  <c:v>4725</c:v>
                </c:pt>
                <c:pt idx="49">
                  <c:v>4755</c:v>
                </c:pt>
                <c:pt idx="50">
                  <c:v>4781</c:v>
                </c:pt>
                <c:pt idx="51">
                  <c:v>4928</c:v>
                </c:pt>
                <c:pt idx="52">
                  <c:v>5160</c:v>
                </c:pt>
                <c:pt idx="53">
                  <c:v>5024</c:v>
                </c:pt>
                <c:pt idx="54">
                  <c:v>6754</c:v>
                </c:pt>
                <c:pt idx="55">
                  <c:v>6243</c:v>
                </c:pt>
                <c:pt idx="56">
                  <c:v>6789</c:v>
                </c:pt>
                <c:pt idx="57">
                  <c:v>7680</c:v>
                </c:pt>
                <c:pt idx="58">
                  <c:v>7971</c:v>
                </c:pt>
                <c:pt idx="59">
                  <c:v>6918</c:v>
                </c:pt>
                <c:pt idx="60">
                  <c:v>5769</c:v>
                </c:pt>
                <c:pt idx="61">
                  <c:v>7306</c:v>
                </c:pt>
                <c:pt idx="62">
                  <c:v>6296</c:v>
                </c:pt>
                <c:pt idx="63">
                  <c:v>4778</c:v>
                </c:pt>
                <c:pt idx="64">
                  <c:v>3295</c:v>
                </c:pt>
                <c:pt idx="65">
                  <c:v>4366</c:v>
                </c:pt>
                <c:pt idx="66">
                  <c:v>5398</c:v>
                </c:pt>
                <c:pt idx="67">
                  <c:v>5608</c:v>
                </c:pt>
                <c:pt idx="68">
                  <c:v>5623</c:v>
                </c:pt>
                <c:pt idx="69">
                  <c:v>6268</c:v>
                </c:pt>
                <c:pt idx="70">
                  <c:v>6131</c:v>
                </c:pt>
                <c:pt idx="71">
                  <c:v>6468</c:v>
                </c:pt>
                <c:pt idx="72">
                  <c:v>6400</c:v>
                </c:pt>
                <c:pt idx="73">
                  <c:v>6788</c:v>
                </c:pt>
                <c:pt idx="74">
                  <c:v>7670</c:v>
                </c:pt>
                <c:pt idx="75">
                  <c:v>6638</c:v>
                </c:pt>
                <c:pt idx="76">
                  <c:v>8559</c:v>
                </c:pt>
                <c:pt idx="77">
                  <c:v>6071</c:v>
                </c:pt>
                <c:pt idx="78">
                  <c:v>7485</c:v>
                </c:pt>
                <c:pt idx="79">
                  <c:v>8605</c:v>
                </c:pt>
                <c:pt idx="80">
                  <c:v>7575</c:v>
                </c:pt>
                <c:pt idx="81">
                  <c:v>7417</c:v>
                </c:pt>
                <c:pt idx="82">
                  <c:v>9336</c:v>
                </c:pt>
                <c:pt idx="83">
                  <c:v>6823</c:v>
                </c:pt>
                <c:pt idx="84">
                  <c:v>7204</c:v>
                </c:pt>
                <c:pt idx="85">
                  <c:v>7846</c:v>
                </c:pt>
                <c:pt idx="86">
                  <c:v>8030</c:v>
                </c:pt>
                <c:pt idx="87">
                  <c:v>6983</c:v>
                </c:pt>
                <c:pt idx="88">
                  <c:v>7389</c:v>
                </c:pt>
                <c:pt idx="89">
                  <c:v>7637</c:v>
                </c:pt>
                <c:pt idx="90">
                  <c:v>6988</c:v>
                </c:pt>
                <c:pt idx="91">
                  <c:v>7061</c:v>
                </c:pt>
                <c:pt idx="92">
                  <c:v>7660</c:v>
                </c:pt>
                <c:pt idx="93">
                  <c:v>6539</c:v>
                </c:pt>
                <c:pt idx="94">
                  <c:v>7407</c:v>
                </c:pt>
                <c:pt idx="95">
                  <c:v>7227</c:v>
                </c:pt>
                <c:pt idx="96">
                  <c:v>8366</c:v>
                </c:pt>
                <c:pt idx="97">
                  <c:v>6631</c:v>
                </c:pt>
                <c:pt idx="98">
                  <c:v>8273</c:v>
                </c:pt>
                <c:pt idx="99">
                  <c:v>7794</c:v>
                </c:pt>
                <c:pt idx="100">
                  <c:v>7211</c:v>
                </c:pt>
                <c:pt idx="101">
                  <c:v>7449</c:v>
                </c:pt>
                <c:pt idx="102">
                  <c:v>7013</c:v>
                </c:pt>
                <c:pt idx="103">
                  <c:v>7182</c:v>
                </c:pt>
                <c:pt idx="104">
                  <c:v>8301</c:v>
                </c:pt>
                <c:pt idx="105">
                  <c:v>7748</c:v>
                </c:pt>
                <c:pt idx="106">
                  <c:v>8286</c:v>
                </c:pt>
                <c:pt idx="107">
                  <c:v>7027</c:v>
                </c:pt>
                <c:pt idx="108">
                  <c:v>7069</c:v>
                </c:pt>
                <c:pt idx="109">
                  <c:v>7969</c:v>
                </c:pt>
                <c:pt idx="110">
                  <c:v>8904</c:v>
                </c:pt>
                <c:pt idx="111">
                  <c:v>6970</c:v>
                </c:pt>
                <c:pt idx="112">
                  <c:v>8034</c:v>
                </c:pt>
                <c:pt idx="113">
                  <c:v>8539</c:v>
                </c:pt>
                <c:pt idx="114">
                  <c:v>8158</c:v>
                </c:pt>
                <c:pt idx="115">
                  <c:v>6898</c:v>
                </c:pt>
                <c:pt idx="116">
                  <c:v>6584</c:v>
                </c:pt>
                <c:pt idx="117">
                  <c:v>6021</c:v>
                </c:pt>
                <c:pt idx="118">
                  <c:v>7640</c:v>
                </c:pt>
                <c:pt idx="119">
                  <c:v>7848</c:v>
                </c:pt>
                <c:pt idx="120">
                  <c:v>8211</c:v>
                </c:pt>
                <c:pt idx="121">
                  <c:v>9482</c:v>
                </c:pt>
              </c:numCache>
            </c:numRef>
          </c:val>
          <c:smooth val="0"/>
        </c:ser>
        <c:ser>
          <c:idx val="2"/>
          <c:order val="2"/>
          <c:tx>
            <c:strRef>
              <c:f>INFORME!$B$5</c:f>
              <c:strCache>
                <c:ptCount val="1"/>
                <c:pt idx="0">
                  <c:v>Total Domicilios</c:v>
                </c:pt>
              </c:strCache>
            </c:strRef>
          </c:tx>
          <c:spPr>
            <a:ln w="38100">
              <a:solidFill>
                <a:srgbClr val="90713A"/>
              </a:solidFill>
              <a:prstDash val="solid"/>
            </a:ln>
          </c:spPr>
          <c:marker>
            <c:spPr>
              <a:gradFill rotWithShape="0">
                <a:gsLst>
                  <a:gs pos="0">
                    <a:srgbClr val="DCFFA0"/>
                  </a:gs>
                  <a:gs pos="100000">
                    <a:srgbClr val="A0CA4A"/>
                  </a:gs>
                </a:gsLst>
                <a:lin ang="5400000"/>
              </a:gradFill>
              <a:ln>
                <a:solidFill>
                  <a:srgbClr val="90713A"/>
                </a:solidFill>
                <a:prstDash val="solid"/>
              </a:ln>
              <a:effectLst>
                <a:outerShdw dist="35921" dir="2700000" algn="br">
                  <a:srgbClr val="000000"/>
                </a:outerShdw>
              </a:effectLst>
            </c:spPr>
          </c:marker>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INFORME!$C$5:$DT$5</c:f>
              <c:numCache>
                <c:formatCode>#,##0</c:formatCode>
                <c:ptCount val="122"/>
                <c:pt idx="0">
                  <c:v>7633</c:v>
                </c:pt>
                <c:pt idx="1">
                  <c:v>1338</c:v>
                </c:pt>
                <c:pt idx="2">
                  <c:v>2459</c:v>
                </c:pt>
                <c:pt idx="3">
                  <c:v>2378</c:v>
                </c:pt>
                <c:pt idx="4">
                  <c:v>3057</c:v>
                </c:pt>
                <c:pt idx="5">
                  <c:v>2664</c:v>
                </c:pt>
                <c:pt idx="6">
                  <c:v>3259</c:v>
                </c:pt>
                <c:pt idx="7">
                  <c:v>2858</c:v>
                </c:pt>
                <c:pt idx="8">
                  <c:v>2990</c:v>
                </c:pt>
                <c:pt idx="9">
                  <c:v>3244</c:v>
                </c:pt>
                <c:pt idx="10">
                  <c:v>2702</c:v>
                </c:pt>
                <c:pt idx="11">
                  <c:v>2316</c:v>
                </c:pt>
                <c:pt idx="12">
                  <c:v>1934</c:v>
                </c:pt>
                <c:pt idx="13">
                  <c:v>2308</c:v>
                </c:pt>
                <c:pt idx="14">
                  <c:v>3185</c:v>
                </c:pt>
                <c:pt idx="15">
                  <c:v>2912</c:v>
                </c:pt>
                <c:pt idx="16">
                  <c:v>3062</c:v>
                </c:pt>
                <c:pt idx="17">
                  <c:v>3029</c:v>
                </c:pt>
                <c:pt idx="18">
                  <c:v>3390</c:v>
                </c:pt>
                <c:pt idx="19">
                  <c:v>3539</c:v>
                </c:pt>
                <c:pt idx="20">
                  <c:v>3834</c:v>
                </c:pt>
                <c:pt idx="21">
                  <c:v>4058</c:v>
                </c:pt>
                <c:pt idx="22">
                  <c:v>3788</c:v>
                </c:pt>
                <c:pt idx="23">
                  <c:v>3560</c:v>
                </c:pt>
                <c:pt idx="24">
                  <c:v>4432</c:v>
                </c:pt>
                <c:pt idx="25">
                  <c:v>3866</c:v>
                </c:pt>
                <c:pt idx="26">
                  <c:v>4058</c:v>
                </c:pt>
                <c:pt idx="27">
                  <c:v>4008</c:v>
                </c:pt>
                <c:pt idx="28">
                  <c:v>3687</c:v>
                </c:pt>
                <c:pt idx="29">
                  <c:v>4019</c:v>
                </c:pt>
                <c:pt idx="30">
                  <c:v>3653</c:v>
                </c:pt>
                <c:pt idx="31">
                  <c:v>4215</c:v>
                </c:pt>
                <c:pt idx="32">
                  <c:v>3982</c:v>
                </c:pt>
                <c:pt idx="33">
                  <c:v>4100</c:v>
                </c:pt>
                <c:pt idx="34">
                  <c:v>3891</c:v>
                </c:pt>
                <c:pt idx="35">
                  <c:v>4186</c:v>
                </c:pt>
                <c:pt idx="36">
                  <c:v>3544</c:v>
                </c:pt>
                <c:pt idx="37">
                  <c:v>3315</c:v>
                </c:pt>
                <c:pt idx="38">
                  <c:v>3848</c:v>
                </c:pt>
                <c:pt idx="39">
                  <c:v>4057</c:v>
                </c:pt>
                <c:pt idx="40">
                  <c:v>3510</c:v>
                </c:pt>
                <c:pt idx="41">
                  <c:v>3825</c:v>
                </c:pt>
                <c:pt idx="42">
                  <c:v>3719</c:v>
                </c:pt>
                <c:pt idx="43">
                  <c:v>3722</c:v>
                </c:pt>
                <c:pt idx="44">
                  <c:v>3498</c:v>
                </c:pt>
                <c:pt idx="45">
                  <c:v>3986</c:v>
                </c:pt>
                <c:pt idx="46">
                  <c:v>3525</c:v>
                </c:pt>
                <c:pt idx="47">
                  <c:v>3692</c:v>
                </c:pt>
                <c:pt idx="48">
                  <c:v>3676</c:v>
                </c:pt>
                <c:pt idx="49">
                  <c:v>3738</c:v>
                </c:pt>
                <c:pt idx="50">
                  <c:v>3709</c:v>
                </c:pt>
                <c:pt idx="51">
                  <c:v>3692</c:v>
                </c:pt>
                <c:pt idx="52">
                  <c:v>3934</c:v>
                </c:pt>
                <c:pt idx="53">
                  <c:v>3802</c:v>
                </c:pt>
                <c:pt idx="54">
                  <c:v>4953</c:v>
                </c:pt>
                <c:pt idx="55">
                  <c:v>4810</c:v>
                </c:pt>
                <c:pt idx="56">
                  <c:v>4725</c:v>
                </c:pt>
                <c:pt idx="57">
                  <c:v>5383</c:v>
                </c:pt>
                <c:pt idx="58">
                  <c:v>5608</c:v>
                </c:pt>
                <c:pt idx="59">
                  <c:v>5132</c:v>
                </c:pt>
                <c:pt idx="60">
                  <c:v>4174</c:v>
                </c:pt>
                <c:pt idx="61">
                  <c:v>5555</c:v>
                </c:pt>
                <c:pt idx="62">
                  <c:v>4525</c:v>
                </c:pt>
                <c:pt idx="63">
                  <c:v>3610</c:v>
                </c:pt>
                <c:pt idx="64">
                  <c:v>2448</c:v>
                </c:pt>
                <c:pt idx="65">
                  <c:v>3484</c:v>
                </c:pt>
                <c:pt idx="66">
                  <c:v>4300</c:v>
                </c:pt>
                <c:pt idx="67">
                  <c:v>4405</c:v>
                </c:pt>
                <c:pt idx="68">
                  <c:v>4363</c:v>
                </c:pt>
                <c:pt idx="69">
                  <c:v>3939</c:v>
                </c:pt>
                <c:pt idx="70">
                  <c:v>4775</c:v>
                </c:pt>
                <c:pt idx="71">
                  <c:v>4919</c:v>
                </c:pt>
                <c:pt idx="72">
                  <c:v>4918</c:v>
                </c:pt>
                <c:pt idx="73">
                  <c:v>5315</c:v>
                </c:pt>
                <c:pt idx="74">
                  <c:v>5234</c:v>
                </c:pt>
                <c:pt idx="75">
                  <c:v>4982</c:v>
                </c:pt>
                <c:pt idx="76">
                  <c:v>5607</c:v>
                </c:pt>
                <c:pt idx="77">
                  <c:v>3330</c:v>
                </c:pt>
                <c:pt idx="78">
                  <c:v>5374</c:v>
                </c:pt>
                <c:pt idx="79">
                  <c:v>5967</c:v>
                </c:pt>
                <c:pt idx="80">
                  <c:v>5776</c:v>
                </c:pt>
                <c:pt idx="81">
                  <c:v>5623</c:v>
                </c:pt>
                <c:pt idx="82">
                  <c:v>6704</c:v>
                </c:pt>
                <c:pt idx="83">
                  <c:v>5371</c:v>
                </c:pt>
                <c:pt idx="84">
                  <c:v>5582</c:v>
                </c:pt>
                <c:pt idx="85">
                  <c:v>6225</c:v>
                </c:pt>
                <c:pt idx="86">
                  <c:v>6156</c:v>
                </c:pt>
                <c:pt idx="87">
                  <c:v>5548</c:v>
                </c:pt>
                <c:pt idx="88">
                  <c:v>5527</c:v>
                </c:pt>
                <c:pt idx="89">
                  <c:v>6043</c:v>
                </c:pt>
                <c:pt idx="90">
                  <c:v>5552</c:v>
                </c:pt>
                <c:pt idx="91">
                  <c:v>5752</c:v>
                </c:pt>
                <c:pt idx="92">
                  <c:v>5667</c:v>
                </c:pt>
                <c:pt idx="93">
                  <c:v>5112</c:v>
                </c:pt>
                <c:pt idx="94">
                  <c:v>5870</c:v>
                </c:pt>
                <c:pt idx="95">
                  <c:v>5741</c:v>
                </c:pt>
                <c:pt idx="96">
                  <c:v>6561</c:v>
                </c:pt>
                <c:pt idx="97">
                  <c:v>5307</c:v>
                </c:pt>
                <c:pt idx="98">
                  <c:v>6485</c:v>
                </c:pt>
                <c:pt idx="99">
                  <c:v>6087</c:v>
                </c:pt>
                <c:pt idx="100">
                  <c:v>5673</c:v>
                </c:pt>
                <c:pt idx="101">
                  <c:v>5903</c:v>
                </c:pt>
                <c:pt idx="102">
                  <c:v>5473</c:v>
                </c:pt>
                <c:pt idx="103">
                  <c:v>5818</c:v>
                </c:pt>
                <c:pt idx="104">
                  <c:v>5916</c:v>
                </c:pt>
                <c:pt idx="105">
                  <c:v>5866</c:v>
                </c:pt>
                <c:pt idx="106">
                  <c:v>6553</c:v>
                </c:pt>
                <c:pt idx="107">
                  <c:v>5772</c:v>
                </c:pt>
                <c:pt idx="108">
                  <c:v>5672</c:v>
                </c:pt>
                <c:pt idx="109">
                  <c:v>5494</c:v>
                </c:pt>
                <c:pt idx="110">
                  <c:v>7195</c:v>
                </c:pt>
                <c:pt idx="111">
                  <c:v>5873</c:v>
                </c:pt>
                <c:pt idx="112">
                  <c:v>6360</c:v>
                </c:pt>
                <c:pt idx="113">
                  <c:v>5954</c:v>
                </c:pt>
                <c:pt idx="114">
                  <c:v>6347</c:v>
                </c:pt>
                <c:pt idx="115">
                  <c:v>5473</c:v>
                </c:pt>
                <c:pt idx="116">
                  <c:v>5015</c:v>
                </c:pt>
                <c:pt idx="117">
                  <c:v>4467</c:v>
                </c:pt>
                <c:pt idx="118">
                  <c:v>6019</c:v>
                </c:pt>
                <c:pt idx="119">
                  <c:v>5729</c:v>
                </c:pt>
                <c:pt idx="120">
                  <c:v>5846</c:v>
                </c:pt>
                <c:pt idx="121">
                  <c:v>6682</c:v>
                </c:pt>
              </c:numCache>
            </c:numRef>
          </c:val>
          <c:smooth val="0"/>
        </c:ser>
        <c:ser>
          <c:idx val="3"/>
          <c:order val="3"/>
          <c:tx>
            <c:strRef>
              <c:f>INFORME!$B$6</c:f>
              <c:strCache>
                <c:ptCount val="1"/>
                <c:pt idx="0">
                  <c:v>PQRS</c:v>
                </c:pt>
              </c:strCache>
            </c:strRef>
          </c:tx>
          <c:spPr>
            <a:ln w="38100">
              <a:solidFill>
                <a:srgbClr val="666699"/>
              </a:solidFill>
              <a:prstDash val="solid"/>
            </a:ln>
          </c:spPr>
          <c:marker>
            <c:spPr>
              <a:gradFill rotWithShape="0">
                <a:gsLst>
                  <a:gs pos="0">
                    <a:srgbClr val="C8B0ED"/>
                  </a:gs>
                  <a:gs pos="100000">
                    <a:srgbClr val="7F5BAB"/>
                  </a:gs>
                </a:gsLst>
                <a:lin ang="5400000"/>
              </a:gradFill>
              <a:ln>
                <a:solidFill>
                  <a:srgbClr val="666699"/>
                </a:solidFill>
                <a:prstDash val="solid"/>
              </a:ln>
              <a:effectLst>
                <a:outerShdw dist="35921" dir="2700000" algn="br">
                  <a:srgbClr val="000000"/>
                </a:outerShdw>
              </a:effectLst>
            </c:spPr>
          </c:marker>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INFORME!$C$6:$DT$6</c:f>
              <c:numCache>
                <c:formatCode>#,##0</c:formatCode>
                <c:ptCount val="122"/>
                <c:pt idx="0">
                  <c:v>4067</c:v>
                </c:pt>
                <c:pt idx="1">
                  <c:v>427</c:v>
                </c:pt>
                <c:pt idx="2">
                  <c:v>1187</c:v>
                </c:pt>
                <c:pt idx="3">
                  <c:v>1103</c:v>
                </c:pt>
                <c:pt idx="4">
                  <c:v>982</c:v>
                </c:pt>
                <c:pt idx="5">
                  <c:v>693</c:v>
                </c:pt>
                <c:pt idx="6">
                  <c:v>815</c:v>
                </c:pt>
                <c:pt idx="7">
                  <c:v>574</c:v>
                </c:pt>
                <c:pt idx="8">
                  <c:v>838</c:v>
                </c:pt>
                <c:pt idx="9">
                  <c:v>525</c:v>
                </c:pt>
                <c:pt idx="10">
                  <c:v>413</c:v>
                </c:pt>
                <c:pt idx="11">
                  <c:v>337</c:v>
                </c:pt>
                <c:pt idx="12">
                  <c:v>221</c:v>
                </c:pt>
                <c:pt idx="13">
                  <c:v>371</c:v>
                </c:pt>
                <c:pt idx="14">
                  <c:v>380</c:v>
                </c:pt>
                <c:pt idx="15">
                  <c:v>349</c:v>
                </c:pt>
                <c:pt idx="16">
                  <c:v>389</c:v>
                </c:pt>
                <c:pt idx="17">
                  <c:v>547</c:v>
                </c:pt>
                <c:pt idx="18">
                  <c:v>533</c:v>
                </c:pt>
                <c:pt idx="19">
                  <c:v>446</c:v>
                </c:pt>
                <c:pt idx="20">
                  <c:v>642</c:v>
                </c:pt>
                <c:pt idx="21">
                  <c:v>552</c:v>
                </c:pt>
                <c:pt idx="22">
                  <c:v>431</c:v>
                </c:pt>
                <c:pt idx="23">
                  <c:v>442</c:v>
                </c:pt>
                <c:pt idx="24">
                  <c:v>558</c:v>
                </c:pt>
                <c:pt idx="25">
                  <c:v>487</c:v>
                </c:pt>
                <c:pt idx="26">
                  <c:v>448</c:v>
                </c:pt>
                <c:pt idx="27">
                  <c:v>452</c:v>
                </c:pt>
                <c:pt idx="28">
                  <c:v>340</c:v>
                </c:pt>
                <c:pt idx="29">
                  <c:v>424</c:v>
                </c:pt>
                <c:pt idx="30">
                  <c:v>270</c:v>
                </c:pt>
                <c:pt idx="31">
                  <c:v>422</c:v>
                </c:pt>
                <c:pt idx="32">
                  <c:v>408</c:v>
                </c:pt>
                <c:pt idx="33">
                  <c:v>381</c:v>
                </c:pt>
                <c:pt idx="34">
                  <c:v>274</c:v>
                </c:pt>
                <c:pt idx="35">
                  <c:v>306</c:v>
                </c:pt>
                <c:pt idx="36">
                  <c:v>296</c:v>
                </c:pt>
                <c:pt idx="37">
                  <c:v>314</c:v>
                </c:pt>
                <c:pt idx="38">
                  <c:v>319</c:v>
                </c:pt>
                <c:pt idx="39">
                  <c:v>431</c:v>
                </c:pt>
                <c:pt idx="40">
                  <c:v>222</c:v>
                </c:pt>
                <c:pt idx="41">
                  <c:v>291</c:v>
                </c:pt>
                <c:pt idx="42">
                  <c:v>621</c:v>
                </c:pt>
                <c:pt idx="43">
                  <c:v>414</c:v>
                </c:pt>
                <c:pt idx="44">
                  <c:v>226</c:v>
                </c:pt>
                <c:pt idx="45">
                  <c:v>325</c:v>
                </c:pt>
                <c:pt idx="46">
                  <c:v>277</c:v>
                </c:pt>
                <c:pt idx="47">
                  <c:v>237</c:v>
                </c:pt>
                <c:pt idx="48">
                  <c:v>269</c:v>
                </c:pt>
                <c:pt idx="49">
                  <c:v>256</c:v>
                </c:pt>
                <c:pt idx="50">
                  <c:v>279</c:v>
                </c:pt>
                <c:pt idx="51">
                  <c:v>330</c:v>
                </c:pt>
                <c:pt idx="52">
                  <c:v>333</c:v>
                </c:pt>
                <c:pt idx="53">
                  <c:v>353</c:v>
                </c:pt>
                <c:pt idx="54">
                  <c:v>566</c:v>
                </c:pt>
                <c:pt idx="55">
                  <c:v>400</c:v>
                </c:pt>
                <c:pt idx="56">
                  <c:v>594</c:v>
                </c:pt>
                <c:pt idx="57">
                  <c:v>669</c:v>
                </c:pt>
                <c:pt idx="58">
                  <c:v>637</c:v>
                </c:pt>
                <c:pt idx="59">
                  <c:v>476</c:v>
                </c:pt>
                <c:pt idx="60">
                  <c:v>393</c:v>
                </c:pt>
                <c:pt idx="61">
                  <c:v>404</c:v>
                </c:pt>
                <c:pt idx="62">
                  <c:v>466</c:v>
                </c:pt>
                <c:pt idx="63">
                  <c:v>256</c:v>
                </c:pt>
                <c:pt idx="64">
                  <c:v>178</c:v>
                </c:pt>
                <c:pt idx="65">
                  <c:v>186</c:v>
                </c:pt>
                <c:pt idx="66">
                  <c:v>239</c:v>
                </c:pt>
                <c:pt idx="67">
                  <c:v>265</c:v>
                </c:pt>
                <c:pt idx="68">
                  <c:v>244</c:v>
                </c:pt>
                <c:pt idx="69">
                  <c:v>291</c:v>
                </c:pt>
                <c:pt idx="70">
                  <c:v>226</c:v>
                </c:pt>
                <c:pt idx="71">
                  <c:v>290</c:v>
                </c:pt>
                <c:pt idx="72">
                  <c:v>237</c:v>
                </c:pt>
                <c:pt idx="73">
                  <c:v>265</c:v>
                </c:pt>
                <c:pt idx="74">
                  <c:v>452</c:v>
                </c:pt>
                <c:pt idx="75">
                  <c:v>224</c:v>
                </c:pt>
                <c:pt idx="76">
                  <c:v>450</c:v>
                </c:pt>
                <c:pt idx="77">
                  <c:v>652</c:v>
                </c:pt>
                <c:pt idx="78">
                  <c:v>372</c:v>
                </c:pt>
                <c:pt idx="79">
                  <c:v>571</c:v>
                </c:pt>
                <c:pt idx="80">
                  <c:v>313</c:v>
                </c:pt>
                <c:pt idx="81">
                  <c:v>312</c:v>
                </c:pt>
                <c:pt idx="82">
                  <c:v>493</c:v>
                </c:pt>
                <c:pt idx="83">
                  <c:v>242</c:v>
                </c:pt>
                <c:pt idx="84">
                  <c:v>323</c:v>
                </c:pt>
                <c:pt idx="85">
                  <c:v>299</c:v>
                </c:pt>
                <c:pt idx="86">
                  <c:v>345</c:v>
                </c:pt>
                <c:pt idx="87">
                  <c:v>311</c:v>
                </c:pt>
                <c:pt idx="88">
                  <c:v>410</c:v>
                </c:pt>
                <c:pt idx="89">
                  <c:v>377</c:v>
                </c:pt>
                <c:pt idx="90">
                  <c:v>348</c:v>
                </c:pt>
                <c:pt idx="91">
                  <c:v>255</c:v>
                </c:pt>
                <c:pt idx="92">
                  <c:v>449</c:v>
                </c:pt>
                <c:pt idx="93">
                  <c:v>280</c:v>
                </c:pt>
                <c:pt idx="94">
                  <c:v>320</c:v>
                </c:pt>
                <c:pt idx="95">
                  <c:v>292</c:v>
                </c:pt>
                <c:pt idx="96">
                  <c:v>341</c:v>
                </c:pt>
                <c:pt idx="97">
                  <c:v>273</c:v>
                </c:pt>
                <c:pt idx="98">
                  <c:v>355</c:v>
                </c:pt>
                <c:pt idx="99">
                  <c:v>411</c:v>
                </c:pt>
                <c:pt idx="100">
                  <c:v>346</c:v>
                </c:pt>
                <c:pt idx="101">
                  <c:v>392</c:v>
                </c:pt>
                <c:pt idx="102">
                  <c:v>357</c:v>
                </c:pt>
                <c:pt idx="103">
                  <c:v>276</c:v>
                </c:pt>
                <c:pt idx="104">
                  <c:v>559</c:v>
                </c:pt>
                <c:pt idx="105">
                  <c:v>369</c:v>
                </c:pt>
                <c:pt idx="106">
                  <c:v>388</c:v>
                </c:pt>
                <c:pt idx="107">
                  <c:v>234</c:v>
                </c:pt>
                <c:pt idx="108">
                  <c:v>266</c:v>
                </c:pt>
                <c:pt idx="109">
                  <c:v>244</c:v>
                </c:pt>
                <c:pt idx="110">
                  <c:v>349</c:v>
                </c:pt>
                <c:pt idx="111">
                  <c:v>261</c:v>
                </c:pt>
                <c:pt idx="112">
                  <c:v>280</c:v>
                </c:pt>
                <c:pt idx="113">
                  <c:v>442</c:v>
                </c:pt>
                <c:pt idx="114">
                  <c:v>267</c:v>
                </c:pt>
                <c:pt idx="115">
                  <c:v>267</c:v>
                </c:pt>
                <c:pt idx="116">
                  <c:v>194</c:v>
                </c:pt>
                <c:pt idx="117">
                  <c:v>362</c:v>
                </c:pt>
                <c:pt idx="118">
                  <c:v>308</c:v>
                </c:pt>
                <c:pt idx="119">
                  <c:v>409</c:v>
                </c:pt>
                <c:pt idx="120">
                  <c:v>588</c:v>
                </c:pt>
                <c:pt idx="121">
                  <c:v>569</c:v>
                </c:pt>
              </c:numCache>
            </c:numRef>
          </c:val>
          <c:smooth val="0"/>
        </c:ser>
        <c:dLbls>
          <c:showLegendKey val="0"/>
          <c:showVal val="0"/>
          <c:showCatName val="0"/>
          <c:showSerName val="0"/>
          <c:showPercent val="0"/>
          <c:showBubbleSize val="0"/>
        </c:dLbls>
        <c:marker val="1"/>
        <c:smooth val="0"/>
        <c:axId val="317052032"/>
        <c:axId val="317053568"/>
      </c:lineChart>
      <c:lineChart>
        <c:grouping val="standard"/>
        <c:varyColors val="1"/>
        <c:ser>
          <c:idx val="0"/>
          <c:order val="0"/>
          <c:tx>
            <c:strRef>
              <c:f>INFORME!$B$3</c:f>
              <c:strCache>
                <c:ptCount val="1"/>
                <c:pt idx="0">
                  <c:v>Ventas</c:v>
                </c:pt>
              </c:strCache>
            </c:strRef>
          </c:tx>
          <c:spPr>
            <a:ln w="38100">
              <a:solidFill>
                <a:srgbClr val="666699"/>
              </a:solidFill>
              <a:prstDash val="solid"/>
            </a:ln>
          </c:spPr>
          <c:marker>
            <c:spPr>
              <a:gradFill rotWithShape="0">
                <a:gsLst>
                  <a:gs pos="0">
                    <a:srgbClr val="9BC1FF"/>
                  </a:gs>
                  <a:gs pos="100000">
                    <a:srgbClr val="3F80CD"/>
                  </a:gs>
                </a:gsLst>
                <a:lin ang="5400000"/>
              </a:gradFill>
              <a:ln>
                <a:solidFill>
                  <a:srgbClr val="666699"/>
                </a:solidFill>
                <a:prstDash val="solid"/>
              </a:ln>
              <a:effectLst>
                <a:outerShdw dist="35921" dir="2700000" algn="br">
                  <a:srgbClr val="000000"/>
                </a:outerShdw>
              </a:effectLst>
            </c:spPr>
          </c:marker>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INFORME!$C$3:$DT$3</c:f>
              <c:numCache>
                <c:formatCode>_-[$$-240A]\ * #,##0_ ;_-[$$-240A]\ * \-#,##0\ ;_-[$$-240A]\ * "-"_ ;_-@_ </c:formatCode>
                <c:ptCount val="122"/>
                <c:pt idx="0">
                  <c:v>567000101</c:v>
                </c:pt>
                <c:pt idx="1">
                  <c:v>109682300</c:v>
                </c:pt>
                <c:pt idx="2">
                  <c:v>163144800</c:v>
                </c:pt>
                <c:pt idx="3">
                  <c:v>161960100</c:v>
                </c:pt>
                <c:pt idx="4">
                  <c:v>193075900</c:v>
                </c:pt>
                <c:pt idx="5">
                  <c:v>168673800</c:v>
                </c:pt>
                <c:pt idx="6">
                  <c:v>194310300</c:v>
                </c:pt>
                <c:pt idx="7">
                  <c:v>177625900</c:v>
                </c:pt>
                <c:pt idx="8">
                  <c:v>185789900</c:v>
                </c:pt>
                <c:pt idx="9">
                  <c:v>201609500</c:v>
                </c:pt>
                <c:pt idx="10">
                  <c:v>170675500</c:v>
                </c:pt>
                <c:pt idx="11">
                  <c:v>159663700</c:v>
                </c:pt>
                <c:pt idx="12">
                  <c:v>140970900</c:v>
                </c:pt>
                <c:pt idx="13">
                  <c:v>153448400</c:v>
                </c:pt>
                <c:pt idx="14">
                  <c:v>194807200</c:v>
                </c:pt>
                <c:pt idx="15">
                  <c:v>177833600</c:v>
                </c:pt>
                <c:pt idx="16">
                  <c:v>183584600</c:v>
                </c:pt>
                <c:pt idx="17">
                  <c:v>189681700</c:v>
                </c:pt>
                <c:pt idx="18">
                  <c:v>189337900</c:v>
                </c:pt>
                <c:pt idx="19">
                  <c:v>209664490</c:v>
                </c:pt>
                <c:pt idx="20">
                  <c:v>221659600</c:v>
                </c:pt>
                <c:pt idx="21">
                  <c:v>238370200</c:v>
                </c:pt>
                <c:pt idx="22">
                  <c:v>226186200</c:v>
                </c:pt>
                <c:pt idx="23">
                  <c:v>211018600</c:v>
                </c:pt>
                <c:pt idx="24">
                  <c:v>250536200</c:v>
                </c:pt>
                <c:pt idx="25">
                  <c:v>230047100</c:v>
                </c:pt>
                <c:pt idx="26">
                  <c:v>229930600</c:v>
                </c:pt>
                <c:pt idx="27">
                  <c:v>230682700</c:v>
                </c:pt>
                <c:pt idx="28">
                  <c:v>224829900</c:v>
                </c:pt>
                <c:pt idx="29">
                  <c:v>226824000</c:v>
                </c:pt>
                <c:pt idx="30">
                  <c:v>212766300</c:v>
                </c:pt>
                <c:pt idx="31">
                  <c:v>231780000</c:v>
                </c:pt>
                <c:pt idx="32">
                  <c:v>225364700</c:v>
                </c:pt>
                <c:pt idx="33">
                  <c:v>233579500</c:v>
                </c:pt>
                <c:pt idx="34">
                  <c:v>222319500</c:v>
                </c:pt>
                <c:pt idx="35">
                  <c:v>238063700</c:v>
                </c:pt>
                <c:pt idx="36">
                  <c:v>214766800</c:v>
                </c:pt>
                <c:pt idx="37">
                  <c:v>197285900</c:v>
                </c:pt>
                <c:pt idx="38">
                  <c:v>227063600</c:v>
                </c:pt>
                <c:pt idx="39">
                  <c:v>230884100</c:v>
                </c:pt>
                <c:pt idx="40">
                  <c:v>202300800</c:v>
                </c:pt>
                <c:pt idx="41">
                  <c:v>220927400</c:v>
                </c:pt>
                <c:pt idx="42">
                  <c:v>208457400</c:v>
                </c:pt>
                <c:pt idx="43">
                  <c:v>206454600</c:v>
                </c:pt>
                <c:pt idx="44">
                  <c:v>197227900</c:v>
                </c:pt>
                <c:pt idx="45">
                  <c:v>213921800</c:v>
                </c:pt>
                <c:pt idx="46">
                  <c:v>199494300</c:v>
                </c:pt>
                <c:pt idx="47">
                  <c:v>228890800</c:v>
                </c:pt>
                <c:pt idx="48">
                  <c:v>219871900</c:v>
                </c:pt>
                <c:pt idx="49">
                  <c:v>229742750</c:v>
                </c:pt>
                <c:pt idx="50">
                  <c:v>229884100</c:v>
                </c:pt>
                <c:pt idx="51">
                  <c:v>236228600</c:v>
                </c:pt>
                <c:pt idx="52">
                  <c:v>236086600</c:v>
                </c:pt>
                <c:pt idx="53">
                  <c:v>237225700</c:v>
                </c:pt>
                <c:pt idx="54">
                  <c:v>293544100</c:v>
                </c:pt>
                <c:pt idx="55">
                  <c:v>303516300</c:v>
                </c:pt>
                <c:pt idx="56">
                  <c:v>291918300</c:v>
                </c:pt>
                <c:pt idx="57">
                  <c:v>316900600</c:v>
                </c:pt>
                <c:pt idx="58">
                  <c:v>324190500</c:v>
                </c:pt>
                <c:pt idx="59">
                  <c:v>297408800</c:v>
                </c:pt>
                <c:pt idx="60">
                  <c:v>324852100</c:v>
                </c:pt>
                <c:pt idx="61">
                  <c:v>329391250</c:v>
                </c:pt>
                <c:pt idx="62">
                  <c:v>296531200</c:v>
                </c:pt>
                <c:pt idx="63">
                  <c:v>253533750</c:v>
                </c:pt>
                <c:pt idx="64">
                  <c:v>222198700</c:v>
                </c:pt>
                <c:pt idx="65">
                  <c:v>232689100</c:v>
                </c:pt>
                <c:pt idx="66">
                  <c:v>265214100</c:v>
                </c:pt>
                <c:pt idx="67">
                  <c:v>272971400</c:v>
                </c:pt>
                <c:pt idx="68">
                  <c:v>260372750</c:v>
                </c:pt>
                <c:pt idx="69">
                  <c:v>302929350</c:v>
                </c:pt>
                <c:pt idx="70">
                  <c:v>311403900</c:v>
                </c:pt>
                <c:pt idx="71">
                  <c:v>314922000</c:v>
                </c:pt>
                <c:pt idx="72">
                  <c:v>314944600</c:v>
                </c:pt>
                <c:pt idx="73">
                  <c:v>340098800</c:v>
                </c:pt>
                <c:pt idx="74">
                  <c:v>339950850</c:v>
                </c:pt>
                <c:pt idx="75">
                  <c:v>307745700</c:v>
                </c:pt>
                <c:pt idx="76">
                  <c:v>337461150</c:v>
                </c:pt>
                <c:pt idx="77">
                  <c:v>300578050</c:v>
                </c:pt>
                <c:pt idx="78">
                  <c:v>344229450</c:v>
                </c:pt>
                <c:pt idx="79">
                  <c:v>353776500</c:v>
                </c:pt>
                <c:pt idx="80">
                  <c:v>355590400</c:v>
                </c:pt>
                <c:pt idx="81">
                  <c:v>369320400</c:v>
                </c:pt>
                <c:pt idx="82">
                  <c:v>423231300</c:v>
                </c:pt>
                <c:pt idx="83">
                  <c:v>346219100</c:v>
                </c:pt>
                <c:pt idx="84">
                  <c:v>349202500</c:v>
                </c:pt>
                <c:pt idx="85">
                  <c:v>374213700</c:v>
                </c:pt>
                <c:pt idx="86">
                  <c:v>383739600</c:v>
                </c:pt>
                <c:pt idx="87">
                  <c:v>295820431.03448278</c:v>
                </c:pt>
                <c:pt idx="88">
                  <c:v>301789482.75862068</c:v>
                </c:pt>
                <c:pt idx="89">
                  <c:v>373819600</c:v>
                </c:pt>
                <c:pt idx="90">
                  <c:v>355734900</c:v>
                </c:pt>
                <c:pt idx="91">
                  <c:v>360222900</c:v>
                </c:pt>
                <c:pt idx="92">
                  <c:v>348890300</c:v>
                </c:pt>
                <c:pt idx="93">
                  <c:v>348890300</c:v>
                </c:pt>
                <c:pt idx="94">
                  <c:v>382683300</c:v>
                </c:pt>
                <c:pt idx="95">
                  <c:v>390201800</c:v>
                </c:pt>
                <c:pt idx="96">
                  <c:v>418012500</c:v>
                </c:pt>
                <c:pt idx="97">
                  <c:v>361495100</c:v>
                </c:pt>
                <c:pt idx="98">
                  <c:v>406712500</c:v>
                </c:pt>
                <c:pt idx="99">
                  <c:v>397090300</c:v>
                </c:pt>
                <c:pt idx="100">
                  <c:v>371647600</c:v>
                </c:pt>
                <c:pt idx="101">
                  <c:v>394655700</c:v>
                </c:pt>
                <c:pt idx="102">
                  <c:v>368037700</c:v>
                </c:pt>
                <c:pt idx="103">
                  <c:v>382065900</c:v>
                </c:pt>
                <c:pt idx="104">
                  <c:v>388688900</c:v>
                </c:pt>
                <c:pt idx="105">
                  <c:v>381343700</c:v>
                </c:pt>
                <c:pt idx="106">
                  <c:v>400877200</c:v>
                </c:pt>
                <c:pt idx="107">
                  <c:v>368164600</c:v>
                </c:pt>
                <c:pt idx="108">
                  <c:v>386608299.71999997</c:v>
                </c:pt>
                <c:pt idx="109">
                  <c:v>368139400.31999999</c:v>
                </c:pt>
                <c:pt idx="110">
                  <c:v>425129300</c:v>
                </c:pt>
                <c:pt idx="111">
                  <c:v>408022100</c:v>
                </c:pt>
                <c:pt idx="112">
                  <c:v>425688000.0000006</c:v>
                </c:pt>
                <c:pt idx="113">
                  <c:v>413897000</c:v>
                </c:pt>
                <c:pt idx="114">
                  <c:v>447411800</c:v>
                </c:pt>
                <c:pt idx="115">
                  <c:v>430391499.99999994</c:v>
                </c:pt>
                <c:pt idx="116">
                  <c:v>367363399.99999994</c:v>
                </c:pt>
                <c:pt idx="117">
                  <c:v>327389199.99999994</c:v>
                </c:pt>
                <c:pt idx="118">
                  <c:v>384260700</c:v>
                </c:pt>
                <c:pt idx="119">
                  <c:v>376820200</c:v>
                </c:pt>
                <c:pt idx="120">
                  <c:v>360410300</c:v>
                </c:pt>
                <c:pt idx="121">
                  <c:v>404845200</c:v>
                </c:pt>
              </c:numCache>
            </c:numRef>
          </c:val>
          <c:smooth val="0"/>
        </c:ser>
        <c:ser>
          <c:idx val="4"/>
          <c:order val="4"/>
          <c:tx>
            <c:strRef>
              <c:f>INFORME!$B$7</c:f>
              <c:strCache>
                <c:ptCount val="1"/>
                <c:pt idx="0">
                  <c:v>SAC </c:v>
                </c:pt>
              </c:strCache>
            </c:strRef>
          </c:tx>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INFORME!$C$7:$DT$7</c:f>
              <c:numCache>
                <c:formatCode>#,##0</c:formatCode>
                <c:ptCount val="122"/>
                <c:pt idx="0">
                  <c:v>2659</c:v>
                </c:pt>
                <c:pt idx="1">
                  <c:v>310</c:v>
                </c:pt>
                <c:pt idx="2">
                  <c:v>545</c:v>
                </c:pt>
                <c:pt idx="3">
                  <c:v>373</c:v>
                </c:pt>
                <c:pt idx="4">
                  <c:v>321</c:v>
                </c:pt>
                <c:pt idx="5">
                  <c:v>352</c:v>
                </c:pt>
                <c:pt idx="6">
                  <c:v>517</c:v>
                </c:pt>
                <c:pt idx="7">
                  <c:v>325</c:v>
                </c:pt>
                <c:pt idx="8">
                  <c:v>362</c:v>
                </c:pt>
                <c:pt idx="9">
                  <c:v>292</c:v>
                </c:pt>
                <c:pt idx="10">
                  <c:v>205</c:v>
                </c:pt>
                <c:pt idx="11">
                  <c:v>169</c:v>
                </c:pt>
                <c:pt idx="12">
                  <c:v>229</c:v>
                </c:pt>
                <c:pt idx="13">
                  <c:v>262</c:v>
                </c:pt>
                <c:pt idx="14">
                  <c:v>281</c:v>
                </c:pt>
                <c:pt idx="15">
                  <c:v>309</c:v>
                </c:pt>
                <c:pt idx="16">
                  <c:v>323</c:v>
                </c:pt>
                <c:pt idx="17">
                  <c:v>496</c:v>
                </c:pt>
                <c:pt idx="18">
                  <c:v>484</c:v>
                </c:pt>
                <c:pt idx="19">
                  <c:v>397</c:v>
                </c:pt>
                <c:pt idx="20">
                  <c:v>559</c:v>
                </c:pt>
                <c:pt idx="21">
                  <c:v>463</c:v>
                </c:pt>
                <c:pt idx="22">
                  <c:v>417</c:v>
                </c:pt>
                <c:pt idx="23">
                  <c:v>394</c:v>
                </c:pt>
                <c:pt idx="24">
                  <c:v>512</c:v>
                </c:pt>
                <c:pt idx="25">
                  <c:v>581</c:v>
                </c:pt>
                <c:pt idx="26">
                  <c:v>466</c:v>
                </c:pt>
                <c:pt idx="27">
                  <c:v>450</c:v>
                </c:pt>
                <c:pt idx="28">
                  <c:v>371</c:v>
                </c:pt>
                <c:pt idx="29">
                  <c:v>458</c:v>
                </c:pt>
                <c:pt idx="30">
                  <c:v>290</c:v>
                </c:pt>
                <c:pt idx="31">
                  <c:v>381</c:v>
                </c:pt>
                <c:pt idx="32">
                  <c:v>396</c:v>
                </c:pt>
                <c:pt idx="33">
                  <c:v>393</c:v>
                </c:pt>
                <c:pt idx="34">
                  <c:v>271</c:v>
                </c:pt>
                <c:pt idx="35">
                  <c:v>251</c:v>
                </c:pt>
                <c:pt idx="36">
                  <c:v>316</c:v>
                </c:pt>
                <c:pt idx="37">
                  <c:v>314</c:v>
                </c:pt>
                <c:pt idx="38">
                  <c:v>320</c:v>
                </c:pt>
                <c:pt idx="39">
                  <c:v>462</c:v>
                </c:pt>
                <c:pt idx="40">
                  <c:v>228</c:v>
                </c:pt>
                <c:pt idx="41">
                  <c:v>322</c:v>
                </c:pt>
                <c:pt idx="42">
                  <c:v>552</c:v>
                </c:pt>
                <c:pt idx="43">
                  <c:v>391</c:v>
                </c:pt>
                <c:pt idx="44">
                  <c:v>300</c:v>
                </c:pt>
                <c:pt idx="45">
                  <c:v>441</c:v>
                </c:pt>
                <c:pt idx="46">
                  <c:v>360</c:v>
                </c:pt>
                <c:pt idx="47">
                  <c:v>290</c:v>
                </c:pt>
                <c:pt idx="48">
                  <c:v>320</c:v>
                </c:pt>
                <c:pt idx="49">
                  <c:v>309</c:v>
                </c:pt>
                <c:pt idx="50">
                  <c:v>351</c:v>
                </c:pt>
                <c:pt idx="51">
                  <c:v>373</c:v>
                </c:pt>
                <c:pt idx="52">
                  <c:v>383</c:v>
                </c:pt>
                <c:pt idx="53">
                  <c:v>378</c:v>
                </c:pt>
                <c:pt idx="54">
                  <c:v>734</c:v>
                </c:pt>
                <c:pt idx="55">
                  <c:v>508</c:v>
                </c:pt>
                <c:pt idx="56">
                  <c:v>875</c:v>
                </c:pt>
                <c:pt idx="57">
                  <c:v>876</c:v>
                </c:pt>
                <c:pt idx="58">
                  <c:v>1014</c:v>
                </c:pt>
                <c:pt idx="59">
                  <c:v>684</c:v>
                </c:pt>
                <c:pt idx="60">
                  <c:v>591</c:v>
                </c:pt>
                <c:pt idx="61">
                  <c:v>650</c:v>
                </c:pt>
                <c:pt idx="62">
                  <c:v>700</c:v>
                </c:pt>
                <c:pt idx="63">
                  <c:v>429</c:v>
                </c:pt>
                <c:pt idx="64">
                  <c:v>301</c:v>
                </c:pt>
                <c:pt idx="65">
                  <c:v>287</c:v>
                </c:pt>
                <c:pt idx="66">
                  <c:v>385</c:v>
                </c:pt>
                <c:pt idx="67">
                  <c:v>431</c:v>
                </c:pt>
                <c:pt idx="68">
                  <c:v>402</c:v>
                </c:pt>
                <c:pt idx="69">
                  <c:v>533</c:v>
                </c:pt>
                <c:pt idx="70">
                  <c:v>601</c:v>
                </c:pt>
                <c:pt idx="71">
                  <c:v>694</c:v>
                </c:pt>
                <c:pt idx="72">
                  <c:v>650</c:v>
                </c:pt>
                <c:pt idx="73">
                  <c:v>557</c:v>
                </c:pt>
                <c:pt idx="74">
                  <c:v>893</c:v>
                </c:pt>
                <c:pt idx="75">
                  <c:v>692</c:v>
                </c:pt>
                <c:pt idx="76">
                  <c:v>1125</c:v>
                </c:pt>
                <c:pt idx="77">
                  <c:v>1072</c:v>
                </c:pt>
                <c:pt idx="78">
                  <c:v>681</c:v>
                </c:pt>
                <c:pt idx="79">
                  <c:v>986</c:v>
                </c:pt>
                <c:pt idx="80">
                  <c:v>734</c:v>
                </c:pt>
                <c:pt idx="81">
                  <c:v>644</c:v>
                </c:pt>
                <c:pt idx="82">
                  <c:v>987</c:v>
                </c:pt>
                <c:pt idx="83">
                  <c:v>542</c:v>
                </c:pt>
                <c:pt idx="84">
                  <c:v>585</c:v>
                </c:pt>
                <c:pt idx="85">
                  <c:v>534</c:v>
                </c:pt>
                <c:pt idx="86">
                  <c:v>614</c:v>
                </c:pt>
                <c:pt idx="87">
                  <c:v>468</c:v>
                </c:pt>
                <c:pt idx="88">
                  <c:v>635</c:v>
                </c:pt>
                <c:pt idx="89">
                  <c:v>599</c:v>
                </c:pt>
                <c:pt idx="90">
                  <c:v>474</c:v>
                </c:pt>
                <c:pt idx="91">
                  <c:v>399</c:v>
                </c:pt>
                <c:pt idx="92">
                  <c:v>736</c:v>
                </c:pt>
                <c:pt idx="93">
                  <c:v>535</c:v>
                </c:pt>
                <c:pt idx="94">
                  <c:v>539</c:v>
                </c:pt>
                <c:pt idx="95">
                  <c:v>515</c:v>
                </c:pt>
                <c:pt idx="96">
                  <c:v>659</c:v>
                </c:pt>
                <c:pt idx="97">
                  <c:v>490</c:v>
                </c:pt>
                <c:pt idx="98">
                  <c:v>636</c:v>
                </c:pt>
                <c:pt idx="99">
                  <c:v>610</c:v>
                </c:pt>
                <c:pt idx="100">
                  <c:v>552</c:v>
                </c:pt>
                <c:pt idx="101">
                  <c:v>615</c:v>
                </c:pt>
                <c:pt idx="102">
                  <c:v>503</c:v>
                </c:pt>
                <c:pt idx="103">
                  <c:v>469</c:v>
                </c:pt>
                <c:pt idx="104">
                  <c:v>827</c:v>
                </c:pt>
                <c:pt idx="105">
                  <c:v>728</c:v>
                </c:pt>
                <c:pt idx="106">
                  <c:v>621</c:v>
                </c:pt>
                <c:pt idx="107">
                  <c:v>454</c:v>
                </c:pt>
                <c:pt idx="108">
                  <c:v>500</c:v>
                </c:pt>
                <c:pt idx="109">
                  <c:v>1632</c:v>
                </c:pt>
                <c:pt idx="110">
                  <c:v>558</c:v>
                </c:pt>
                <c:pt idx="111">
                  <c:v>360</c:v>
                </c:pt>
                <c:pt idx="112">
                  <c:v>519</c:v>
                </c:pt>
                <c:pt idx="113">
                  <c:v>811</c:v>
                </c:pt>
                <c:pt idx="114">
                  <c:v>660</c:v>
                </c:pt>
                <c:pt idx="115">
                  <c:v>522</c:v>
                </c:pt>
                <c:pt idx="116">
                  <c:v>617</c:v>
                </c:pt>
                <c:pt idx="117">
                  <c:v>599</c:v>
                </c:pt>
                <c:pt idx="118">
                  <c:v>635</c:v>
                </c:pt>
                <c:pt idx="119">
                  <c:v>907</c:v>
                </c:pt>
                <c:pt idx="120">
                  <c:v>1102</c:v>
                </c:pt>
                <c:pt idx="121">
                  <c:v>1263</c:v>
                </c:pt>
              </c:numCache>
            </c:numRef>
          </c:val>
          <c:smooth val="0"/>
        </c:ser>
        <c:ser>
          <c:idx val="5"/>
          <c:order val="5"/>
          <c:tx>
            <c:strRef>
              <c:f>INFORME!$B$8</c:f>
              <c:strCache>
                <c:ptCount val="1"/>
                <c:pt idx="0">
                  <c:v>Llamadas Ociosas</c:v>
                </c:pt>
              </c:strCache>
            </c:strRef>
          </c:tx>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INFORME!$C$8:$DT$8</c:f>
              <c:numCache>
                <c:formatCode>#,##0</c:formatCode>
                <c:ptCount val="122"/>
                <c:pt idx="0">
                  <c:v>1816</c:v>
                </c:pt>
                <c:pt idx="1">
                  <c:v>170</c:v>
                </c:pt>
                <c:pt idx="2">
                  <c:v>334</c:v>
                </c:pt>
                <c:pt idx="3">
                  <c:v>314</c:v>
                </c:pt>
                <c:pt idx="4">
                  <c:v>195</c:v>
                </c:pt>
                <c:pt idx="5">
                  <c:v>200</c:v>
                </c:pt>
                <c:pt idx="6">
                  <c:v>279</c:v>
                </c:pt>
                <c:pt idx="7">
                  <c:v>172</c:v>
                </c:pt>
                <c:pt idx="8">
                  <c:v>150</c:v>
                </c:pt>
                <c:pt idx="9">
                  <c:v>159</c:v>
                </c:pt>
                <c:pt idx="10">
                  <c:v>183</c:v>
                </c:pt>
                <c:pt idx="11">
                  <c:v>140</c:v>
                </c:pt>
                <c:pt idx="12">
                  <c:v>134</c:v>
                </c:pt>
                <c:pt idx="13">
                  <c:v>169</c:v>
                </c:pt>
                <c:pt idx="14">
                  <c:v>171</c:v>
                </c:pt>
                <c:pt idx="15">
                  <c:v>185</c:v>
                </c:pt>
                <c:pt idx="16">
                  <c:v>201</c:v>
                </c:pt>
                <c:pt idx="17">
                  <c:v>255</c:v>
                </c:pt>
                <c:pt idx="18">
                  <c:v>239</c:v>
                </c:pt>
                <c:pt idx="19">
                  <c:v>250</c:v>
                </c:pt>
                <c:pt idx="20">
                  <c:v>224</c:v>
                </c:pt>
                <c:pt idx="21">
                  <c:v>257</c:v>
                </c:pt>
                <c:pt idx="22">
                  <c:v>224</c:v>
                </c:pt>
                <c:pt idx="23">
                  <c:v>270</c:v>
                </c:pt>
                <c:pt idx="24">
                  <c:v>276</c:v>
                </c:pt>
                <c:pt idx="25">
                  <c:v>194</c:v>
                </c:pt>
                <c:pt idx="26">
                  <c:v>242</c:v>
                </c:pt>
                <c:pt idx="27">
                  <c:v>205</c:v>
                </c:pt>
                <c:pt idx="28">
                  <c:v>302</c:v>
                </c:pt>
                <c:pt idx="29">
                  <c:v>308</c:v>
                </c:pt>
                <c:pt idx="30">
                  <c:v>245</c:v>
                </c:pt>
                <c:pt idx="31">
                  <c:v>321</c:v>
                </c:pt>
                <c:pt idx="32">
                  <c:v>263</c:v>
                </c:pt>
                <c:pt idx="33">
                  <c:v>245</c:v>
                </c:pt>
                <c:pt idx="34">
                  <c:v>256</c:v>
                </c:pt>
                <c:pt idx="35">
                  <c:v>277</c:v>
                </c:pt>
                <c:pt idx="36">
                  <c:v>241</c:v>
                </c:pt>
                <c:pt idx="37">
                  <c:v>288</c:v>
                </c:pt>
                <c:pt idx="38">
                  <c:v>228</c:v>
                </c:pt>
                <c:pt idx="39">
                  <c:v>270</c:v>
                </c:pt>
                <c:pt idx="40">
                  <c:v>180</c:v>
                </c:pt>
                <c:pt idx="41">
                  <c:v>169</c:v>
                </c:pt>
                <c:pt idx="42">
                  <c:v>160</c:v>
                </c:pt>
                <c:pt idx="43">
                  <c:v>129</c:v>
                </c:pt>
                <c:pt idx="44">
                  <c:v>158</c:v>
                </c:pt>
                <c:pt idx="45">
                  <c:v>134</c:v>
                </c:pt>
                <c:pt idx="46">
                  <c:v>160</c:v>
                </c:pt>
                <c:pt idx="47">
                  <c:v>174</c:v>
                </c:pt>
                <c:pt idx="48">
                  <c:v>190</c:v>
                </c:pt>
                <c:pt idx="49">
                  <c:v>177</c:v>
                </c:pt>
                <c:pt idx="50">
                  <c:v>175</c:v>
                </c:pt>
                <c:pt idx="51">
                  <c:v>187</c:v>
                </c:pt>
                <c:pt idx="52">
                  <c:v>190</c:v>
                </c:pt>
                <c:pt idx="53">
                  <c:v>167</c:v>
                </c:pt>
                <c:pt idx="54">
                  <c:v>205</c:v>
                </c:pt>
                <c:pt idx="55">
                  <c:v>198</c:v>
                </c:pt>
                <c:pt idx="56">
                  <c:v>222</c:v>
                </c:pt>
                <c:pt idx="57">
                  <c:v>288</c:v>
                </c:pt>
                <c:pt idx="58">
                  <c:v>289</c:v>
                </c:pt>
                <c:pt idx="59">
                  <c:v>283</c:v>
                </c:pt>
                <c:pt idx="60">
                  <c:v>245</c:v>
                </c:pt>
                <c:pt idx="61">
                  <c:v>275</c:v>
                </c:pt>
                <c:pt idx="62">
                  <c:v>260</c:v>
                </c:pt>
                <c:pt idx="63">
                  <c:v>215</c:v>
                </c:pt>
                <c:pt idx="64">
                  <c:v>139</c:v>
                </c:pt>
                <c:pt idx="65">
                  <c:v>147</c:v>
                </c:pt>
                <c:pt idx="66">
                  <c:v>153</c:v>
                </c:pt>
                <c:pt idx="67">
                  <c:v>202</c:v>
                </c:pt>
                <c:pt idx="68">
                  <c:v>241</c:v>
                </c:pt>
                <c:pt idx="69">
                  <c:v>280</c:v>
                </c:pt>
                <c:pt idx="70">
                  <c:v>147</c:v>
                </c:pt>
                <c:pt idx="71">
                  <c:v>166</c:v>
                </c:pt>
                <c:pt idx="72">
                  <c:v>231</c:v>
                </c:pt>
                <c:pt idx="73">
                  <c:v>236</c:v>
                </c:pt>
                <c:pt idx="74">
                  <c:v>421</c:v>
                </c:pt>
                <c:pt idx="75">
                  <c:v>309</c:v>
                </c:pt>
                <c:pt idx="76">
                  <c:v>570</c:v>
                </c:pt>
                <c:pt idx="77">
                  <c:v>457</c:v>
                </c:pt>
                <c:pt idx="78">
                  <c:v>449</c:v>
                </c:pt>
                <c:pt idx="79">
                  <c:v>480</c:v>
                </c:pt>
                <c:pt idx="80">
                  <c:v>322</c:v>
                </c:pt>
                <c:pt idx="81">
                  <c:v>357</c:v>
                </c:pt>
                <c:pt idx="82">
                  <c:v>504</c:v>
                </c:pt>
                <c:pt idx="83">
                  <c:v>299</c:v>
                </c:pt>
                <c:pt idx="84">
                  <c:v>279</c:v>
                </c:pt>
                <c:pt idx="85">
                  <c:v>335</c:v>
                </c:pt>
                <c:pt idx="86">
                  <c:v>410</c:v>
                </c:pt>
                <c:pt idx="87">
                  <c:v>265</c:v>
                </c:pt>
                <c:pt idx="88">
                  <c:v>325</c:v>
                </c:pt>
                <c:pt idx="89">
                  <c:v>246</c:v>
                </c:pt>
                <c:pt idx="90">
                  <c:v>241</c:v>
                </c:pt>
                <c:pt idx="91">
                  <c:v>265</c:v>
                </c:pt>
                <c:pt idx="92">
                  <c:v>322</c:v>
                </c:pt>
                <c:pt idx="93">
                  <c:v>207</c:v>
                </c:pt>
                <c:pt idx="94">
                  <c:v>260</c:v>
                </c:pt>
                <c:pt idx="95">
                  <c:v>278</c:v>
                </c:pt>
                <c:pt idx="96">
                  <c:v>334</c:v>
                </c:pt>
                <c:pt idx="97">
                  <c:v>217</c:v>
                </c:pt>
                <c:pt idx="98">
                  <c:v>328</c:v>
                </c:pt>
                <c:pt idx="99">
                  <c:v>270</c:v>
                </c:pt>
                <c:pt idx="100">
                  <c:v>279</c:v>
                </c:pt>
                <c:pt idx="101">
                  <c:v>220</c:v>
                </c:pt>
                <c:pt idx="102">
                  <c:v>280</c:v>
                </c:pt>
                <c:pt idx="103">
                  <c:v>249</c:v>
                </c:pt>
                <c:pt idx="104">
                  <c:v>427</c:v>
                </c:pt>
                <c:pt idx="105">
                  <c:v>335</c:v>
                </c:pt>
                <c:pt idx="106">
                  <c:v>328</c:v>
                </c:pt>
                <c:pt idx="107">
                  <c:v>247</c:v>
                </c:pt>
                <c:pt idx="108">
                  <c:v>264</c:v>
                </c:pt>
                <c:pt idx="109">
                  <c:v>300</c:v>
                </c:pt>
                <c:pt idx="110">
                  <c:v>335</c:v>
                </c:pt>
                <c:pt idx="111">
                  <c:v>214</c:v>
                </c:pt>
                <c:pt idx="112">
                  <c:v>396</c:v>
                </c:pt>
                <c:pt idx="113">
                  <c:v>584</c:v>
                </c:pt>
                <c:pt idx="114">
                  <c:v>404</c:v>
                </c:pt>
                <c:pt idx="115">
                  <c:v>237</c:v>
                </c:pt>
                <c:pt idx="116">
                  <c:v>249</c:v>
                </c:pt>
                <c:pt idx="117">
                  <c:v>293</c:v>
                </c:pt>
                <c:pt idx="118">
                  <c:v>355</c:v>
                </c:pt>
                <c:pt idx="119">
                  <c:v>534</c:v>
                </c:pt>
                <c:pt idx="120">
                  <c:v>370</c:v>
                </c:pt>
                <c:pt idx="121">
                  <c:v>635</c:v>
                </c:pt>
              </c:numCache>
            </c:numRef>
          </c:val>
          <c:smooth val="0"/>
        </c:ser>
        <c:ser>
          <c:idx val="6"/>
          <c:order val="6"/>
          <c:tx>
            <c:strRef>
              <c:f>INFORME!$B$9</c:f>
              <c:strCache>
                <c:ptCount val="1"/>
                <c:pt idx="0">
                  <c:v>Llamadas Erradas </c:v>
                </c:pt>
              </c:strCache>
            </c:strRef>
          </c:tx>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INFORME!$C$9:$DT$9</c:f>
              <c:numCache>
                <c:formatCode>#,##0</c:formatCode>
                <c:ptCount val="122"/>
                <c:pt idx="0">
                  <c:v>335</c:v>
                </c:pt>
                <c:pt idx="1">
                  <c:v>19</c:v>
                </c:pt>
                <c:pt idx="2">
                  <c:v>14</c:v>
                </c:pt>
                <c:pt idx="3">
                  <c:v>19</c:v>
                </c:pt>
                <c:pt idx="4">
                  <c:v>33</c:v>
                </c:pt>
                <c:pt idx="5">
                  <c:v>24</c:v>
                </c:pt>
                <c:pt idx="6">
                  <c:v>39</c:v>
                </c:pt>
                <c:pt idx="7">
                  <c:v>29</c:v>
                </c:pt>
                <c:pt idx="8">
                  <c:v>52</c:v>
                </c:pt>
                <c:pt idx="9">
                  <c:v>53</c:v>
                </c:pt>
                <c:pt idx="10">
                  <c:v>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numCache>
            </c:numRef>
          </c:val>
          <c:smooth val="0"/>
        </c:ser>
        <c:ser>
          <c:idx val="7"/>
          <c:order val="7"/>
          <c:tx>
            <c:strRef>
              <c:f>INFORME!$B$10</c:f>
              <c:strCache>
                <c:ptCount val="1"/>
                <c:pt idx="0">
                  <c:v>Fuera de Cobertura</c:v>
                </c:pt>
              </c:strCache>
            </c:strRef>
          </c:tx>
          <c:cat>
            <c:strRef>
              <c:f>INFORME!$C$2:$DT$2</c:f>
              <c:strCache>
                <c:ptCount val="122"/>
                <c:pt idx="0">
                  <c:v>15 DE AGO AL 10 DE OCT</c:v>
                </c:pt>
                <c:pt idx="1">
                  <c:v>11 AL 17 DE OCT</c:v>
                </c:pt>
                <c:pt idx="2">
                  <c:v>18 AL 24 DE OCT</c:v>
                </c:pt>
                <c:pt idx="3">
                  <c:v>25 AL 31 DE OCT</c:v>
                </c:pt>
                <c:pt idx="4">
                  <c:v>1 AL 7 DE NOV</c:v>
                </c:pt>
                <c:pt idx="5">
                  <c:v>8 AL 14 DE NOV</c:v>
                </c:pt>
                <c:pt idx="6">
                  <c:v>15 AL 21 DE NOV</c:v>
                </c:pt>
                <c:pt idx="7">
                  <c:v>22  AL 28 DE NOV</c:v>
                </c:pt>
                <c:pt idx="8">
                  <c:v>29 DE NOV AL 5 DIC </c:v>
                </c:pt>
                <c:pt idx="9">
                  <c:v>6 AL 12 DIC </c:v>
                </c:pt>
                <c:pt idx="10">
                  <c:v>13 AL 19 DIC</c:v>
                </c:pt>
                <c:pt idx="11">
                  <c:v>20  AL 26 DIC </c:v>
                </c:pt>
                <c:pt idx="12">
                  <c:v>27 DIC AL 2 ENERO</c:v>
                </c:pt>
                <c:pt idx="13">
                  <c:v>3 AL 9 DE ENERO</c:v>
                </c:pt>
                <c:pt idx="14">
                  <c:v>10 AL 16 DE ENERO </c:v>
                </c:pt>
                <c:pt idx="15">
                  <c:v>17 AL 23 ENERO</c:v>
                </c:pt>
                <c:pt idx="16">
                  <c:v>24 AL 30 DE ENERO</c:v>
                </c:pt>
                <c:pt idx="17">
                  <c:v>31 ENERO AL 6 FEB</c:v>
                </c:pt>
                <c:pt idx="18">
                  <c:v>7 AL 13 DE FEBRERO </c:v>
                </c:pt>
                <c:pt idx="19">
                  <c:v>14 AL 20 DE FEBRERO</c:v>
                </c:pt>
                <c:pt idx="20">
                  <c:v>21 AL 27 DE FEBRERO</c:v>
                </c:pt>
                <c:pt idx="21">
                  <c:v>28 FEB AL 06 MAR</c:v>
                </c:pt>
                <c:pt idx="22">
                  <c:v>07 AL 13 MAR</c:v>
                </c:pt>
                <c:pt idx="23">
                  <c:v>14 AL 20 MAR</c:v>
                </c:pt>
                <c:pt idx="24">
                  <c:v>21 AL 27 MAR</c:v>
                </c:pt>
                <c:pt idx="25">
                  <c:v>28 MAR AL 03 ABR</c:v>
                </c:pt>
                <c:pt idx="26">
                  <c:v>04 AL 10 ABR</c:v>
                </c:pt>
                <c:pt idx="27">
                  <c:v>11 AL 17 ABR</c:v>
                </c:pt>
                <c:pt idx="28">
                  <c:v>18 AL 24 ABR</c:v>
                </c:pt>
                <c:pt idx="29">
                  <c:v>25 ABR AL 01 MAY</c:v>
                </c:pt>
                <c:pt idx="30">
                  <c:v>02 AL 08 MAY</c:v>
                </c:pt>
                <c:pt idx="31">
                  <c:v>09 AL 15 MAY</c:v>
                </c:pt>
                <c:pt idx="32">
                  <c:v>16 AL 22 MAY</c:v>
                </c:pt>
                <c:pt idx="33">
                  <c:v>23 AL 29 MAY</c:v>
                </c:pt>
                <c:pt idx="34">
                  <c:v>29 MAY AL 05 JUN</c:v>
                </c:pt>
                <c:pt idx="35">
                  <c:v>06 AL 12 JUN</c:v>
                </c:pt>
                <c:pt idx="36">
                  <c:v>13 AL 19 JUN</c:v>
                </c:pt>
                <c:pt idx="37">
                  <c:v>20 AL 26 JUN</c:v>
                </c:pt>
                <c:pt idx="38">
                  <c:v>27 JUN AL 03 JUL</c:v>
                </c:pt>
                <c:pt idx="39">
                  <c:v>03 AL 10 JUL</c:v>
                </c:pt>
                <c:pt idx="40">
                  <c:v>11 AL 17 JUL</c:v>
                </c:pt>
                <c:pt idx="41">
                  <c:v>18 AL 24 JUL</c:v>
                </c:pt>
                <c:pt idx="42">
                  <c:v>25 AL 31 JUL</c:v>
                </c:pt>
                <c:pt idx="43">
                  <c:v>01 AL 07 AGO</c:v>
                </c:pt>
                <c:pt idx="44">
                  <c:v>08 AL 14 AGO</c:v>
                </c:pt>
                <c:pt idx="45">
                  <c:v>15 AL 21 AGO</c:v>
                </c:pt>
                <c:pt idx="46">
                  <c:v>22 AL 28 AGO</c:v>
                </c:pt>
                <c:pt idx="47">
                  <c:v>29 AGO AL 04 SEP</c:v>
                </c:pt>
                <c:pt idx="48">
                  <c:v>05 SEP AL 11 SEP</c:v>
                </c:pt>
                <c:pt idx="49">
                  <c:v>12 SEP AL 18 SEP</c:v>
                </c:pt>
                <c:pt idx="50">
                  <c:v>19 SEP AL 25</c:v>
                </c:pt>
                <c:pt idx="51">
                  <c:v>26 SEP AL 2 OCT</c:v>
                </c:pt>
                <c:pt idx="52">
                  <c:v>3 OCT AL 9  OCT</c:v>
                </c:pt>
                <c:pt idx="53">
                  <c:v>10 OCT AL 16 OCT</c:v>
                </c:pt>
                <c:pt idx="54">
                  <c:v>17 OCT  AL 23 OCT</c:v>
                </c:pt>
                <c:pt idx="55">
                  <c:v>24 OCT AL 30 OCT</c:v>
                </c:pt>
                <c:pt idx="56">
                  <c:v>31 OCT AL 6 NOV</c:v>
                </c:pt>
                <c:pt idx="57">
                  <c:v>7 NOV AL 13 NOV </c:v>
                </c:pt>
                <c:pt idx="58">
                  <c:v>14 NOV AL 20 NOV </c:v>
                </c:pt>
                <c:pt idx="59">
                  <c:v>21 NOV AL 27 NOV</c:v>
                </c:pt>
                <c:pt idx="60">
                  <c:v>28 NOV AL 4 DIC </c:v>
                </c:pt>
                <c:pt idx="61">
                  <c:v>5 DIC AL 11 DIC </c:v>
                </c:pt>
                <c:pt idx="62">
                  <c:v>12 DIC AL 18 DIC</c:v>
                </c:pt>
                <c:pt idx="63">
                  <c:v>19 DIC AL 25 DIC</c:v>
                </c:pt>
                <c:pt idx="64">
                  <c:v>26 DIC AL 1 ENE</c:v>
                </c:pt>
                <c:pt idx="65">
                  <c:v>2 ENE AL 8 ENE</c:v>
                </c:pt>
                <c:pt idx="66">
                  <c:v>9 ENE AL 15 ENE</c:v>
                </c:pt>
                <c:pt idx="67">
                  <c:v>16 ENE AL 22 ENE</c:v>
                </c:pt>
                <c:pt idx="68">
                  <c:v>23 ENE AL 29 ENE</c:v>
                </c:pt>
                <c:pt idx="69">
                  <c:v>30 ENE AL 5 FEB</c:v>
                </c:pt>
                <c:pt idx="70">
                  <c:v>6 FEB AL 12 FEB</c:v>
                </c:pt>
                <c:pt idx="71">
                  <c:v>13 FEB AL 19 FEB</c:v>
                </c:pt>
                <c:pt idx="72">
                  <c:v>20 FEB AL 26 FEB</c:v>
                </c:pt>
                <c:pt idx="73">
                  <c:v>27 FEB AL 4 MAR</c:v>
                </c:pt>
                <c:pt idx="74">
                  <c:v>5 MAR AL 11 MAR</c:v>
                </c:pt>
                <c:pt idx="75">
                  <c:v>12 MAR AL 18 MAR</c:v>
                </c:pt>
                <c:pt idx="76">
                  <c:v>19 MAR AL 25 MAR</c:v>
                </c:pt>
                <c:pt idx="77">
                  <c:v>26 MAR AL 01 ABR</c:v>
                </c:pt>
                <c:pt idx="78">
                  <c:v> 02 ABR AL 08 ABR</c:v>
                </c:pt>
                <c:pt idx="79">
                  <c:v> 09 ABR AL 15 ABR</c:v>
                </c:pt>
                <c:pt idx="80">
                  <c:v>16 ABR AL 22 ABR</c:v>
                </c:pt>
                <c:pt idx="81">
                  <c:v> 23 ABR AL 29 ABR</c:v>
                </c:pt>
                <c:pt idx="82">
                  <c:v>30 ABR AL 6 MAY</c:v>
                </c:pt>
                <c:pt idx="83">
                  <c:v>7 MAY AL 13 MAY</c:v>
                </c:pt>
                <c:pt idx="84">
                  <c:v>14 MAY AL 20 MAY</c:v>
                </c:pt>
                <c:pt idx="85">
                  <c:v>21 MAY AL  27 MAY</c:v>
                </c:pt>
                <c:pt idx="86">
                  <c:v>28 MAY AL 3 JUN</c:v>
                </c:pt>
                <c:pt idx="87">
                  <c:v>4 JUN AL 10 JUN </c:v>
                </c:pt>
                <c:pt idx="88">
                  <c:v>11 JUN AL 17 JUN</c:v>
                </c:pt>
                <c:pt idx="89">
                  <c:v>18  JUN AL 24  JUN</c:v>
                </c:pt>
                <c:pt idx="90">
                  <c:v>25 JUN AL 1 JUL</c:v>
                </c:pt>
                <c:pt idx="91">
                  <c:v>2 JUL AL 8 JUL</c:v>
                </c:pt>
                <c:pt idx="92">
                  <c:v>9 JUL AL 15 JUL</c:v>
                </c:pt>
                <c:pt idx="93">
                  <c:v>16 JUL AL 22 JUL</c:v>
                </c:pt>
                <c:pt idx="94">
                  <c:v>23 JUL AL 29 JUL</c:v>
                </c:pt>
                <c:pt idx="95">
                  <c:v>30 JUL AL 05 AGO</c:v>
                </c:pt>
                <c:pt idx="96">
                  <c:v>6 AGO AL 12 AGO</c:v>
                </c:pt>
                <c:pt idx="97">
                  <c:v>13 AGO AL 19 AGO</c:v>
                </c:pt>
                <c:pt idx="98">
                  <c:v>20 AGO - 26 AGO</c:v>
                </c:pt>
                <c:pt idx="99">
                  <c:v>27 AGO AL 2 SEP</c:v>
                </c:pt>
                <c:pt idx="100">
                  <c:v>3 SEP AL 9 SEP</c:v>
                </c:pt>
                <c:pt idx="101">
                  <c:v>10 SEP AL 16 SEP</c:v>
                </c:pt>
                <c:pt idx="102">
                  <c:v>17 SEP AL 23 SEP</c:v>
                </c:pt>
                <c:pt idx="103">
                  <c:v>24 SEP AL 30 SEP</c:v>
                </c:pt>
                <c:pt idx="104">
                  <c:v>1 OCT AL 7 OCT</c:v>
                </c:pt>
                <c:pt idx="105">
                  <c:v>8 OCT AL 14 OCT</c:v>
                </c:pt>
                <c:pt idx="106">
                  <c:v>15 OCT AL 21 OCT</c:v>
                </c:pt>
                <c:pt idx="107">
                  <c:v>22 OCT AL 28 OCT</c:v>
                </c:pt>
                <c:pt idx="108">
                  <c:v>29 OCT AL 4 NOV</c:v>
                </c:pt>
                <c:pt idx="109">
                  <c:v>5 NOV AL 11 NOV</c:v>
                </c:pt>
                <c:pt idx="110">
                  <c:v>12 NOV AL 18 NOV</c:v>
                </c:pt>
                <c:pt idx="111">
                  <c:v>19 NOV AL 25 NOV</c:v>
                </c:pt>
                <c:pt idx="112">
                  <c:v>26 NOV AL 2 DIC</c:v>
                </c:pt>
                <c:pt idx="113">
                  <c:v>3 DIC AL 9 DIC</c:v>
                </c:pt>
                <c:pt idx="114">
                  <c:v>10 DIC AL 16 DIC</c:v>
                </c:pt>
                <c:pt idx="115">
                  <c:v>17 DIC AL 23 DIC</c:v>
                </c:pt>
                <c:pt idx="116">
                  <c:v>24 DIC AL 30 DIC</c:v>
                </c:pt>
                <c:pt idx="117">
                  <c:v>31 DIC AL 6 ENERO </c:v>
                </c:pt>
                <c:pt idx="118">
                  <c:v>7 DE ENERO AL 13 ENERO </c:v>
                </c:pt>
                <c:pt idx="119">
                  <c:v>14 ENEERO AL 20 ENERO</c:v>
                </c:pt>
                <c:pt idx="120">
                  <c:v>21 AL 27 DE ENERO</c:v>
                </c:pt>
                <c:pt idx="121">
                  <c:v>28 ENERO AL 3 DE FEBRERO</c:v>
                </c:pt>
              </c:strCache>
            </c:strRef>
          </c:cat>
          <c:val>
            <c:numRef>
              <c:f>INFORME!$C$10:$DT$10</c:f>
              <c:numCache>
                <c:formatCode>#,##0</c:formatCode>
                <c:ptCount val="122"/>
                <c:pt idx="0">
                  <c:v>2574</c:v>
                </c:pt>
                <c:pt idx="1">
                  <c:v>443</c:v>
                </c:pt>
                <c:pt idx="2">
                  <c:v>476</c:v>
                </c:pt>
                <c:pt idx="3">
                  <c:v>329</c:v>
                </c:pt>
                <c:pt idx="4">
                  <c:v>401</c:v>
                </c:pt>
                <c:pt idx="5">
                  <c:v>374</c:v>
                </c:pt>
                <c:pt idx="6">
                  <c:v>380</c:v>
                </c:pt>
                <c:pt idx="7">
                  <c:v>306</c:v>
                </c:pt>
                <c:pt idx="8">
                  <c:v>369</c:v>
                </c:pt>
                <c:pt idx="9">
                  <c:v>382</c:v>
                </c:pt>
                <c:pt idx="10">
                  <c:v>316</c:v>
                </c:pt>
                <c:pt idx="11">
                  <c:v>296</c:v>
                </c:pt>
                <c:pt idx="12">
                  <c:v>224</c:v>
                </c:pt>
                <c:pt idx="13">
                  <c:v>292</c:v>
                </c:pt>
                <c:pt idx="14">
                  <c:v>364</c:v>
                </c:pt>
                <c:pt idx="15">
                  <c:v>345</c:v>
                </c:pt>
                <c:pt idx="16">
                  <c:v>346</c:v>
                </c:pt>
                <c:pt idx="17">
                  <c:v>550</c:v>
                </c:pt>
                <c:pt idx="18">
                  <c:v>306</c:v>
                </c:pt>
                <c:pt idx="19">
                  <c:v>212</c:v>
                </c:pt>
                <c:pt idx="20">
                  <c:v>236</c:v>
                </c:pt>
                <c:pt idx="21">
                  <c:v>266</c:v>
                </c:pt>
                <c:pt idx="22">
                  <c:v>256</c:v>
                </c:pt>
                <c:pt idx="23">
                  <c:v>270</c:v>
                </c:pt>
                <c:pt idx="24">
                  <c:v>325</c:v>
                </c:pt>
                <c:pt idx="25">
                  <c:v>289</c:v>
                </c:pt>
                <c:pt idx="26">
                  <c:v>306</c:v>
                </c:pt>
                <c:pt idx="27">
                  <c:v>289</c:v>
                </c:pt>
                <c:pt idx="28">
                  <c:v>324</c:v>
                </c:pt>
                <c:pt idx="29">
                  <c:v>365</c:v>
                </c:pt>
                <c:pt idx="30">
                  <c:v>312</c:v>
                </c:pt>
                <c:pt idx="31">
                  <c:v>350</c:v>
                </c:pt>
                <c:pt idx="32">
                  <c:v>306</c:v>
                </c:pt>
                <c:pt idx="33">
                  <c:v>329</c:v>
                </c:pt>
                <c:pt idx="34">
                  <c:v>311</c:v>
                </c:pt>
                <c:pt idx="35">
                  <c:v>316</c:v>
                </c:pt>
                <c:pt idx="36">
                  <c:v>257</c:v>
                </c:pt>
                <c:pt idx="37">
                  <c:v>299</c:v>
                </c:pt>
                <c:pt idx="38">
                  <c:v>293</c:v>
                </c:pt>
                <c:pt idx="39">
                  <c:v>337</c:v>
                </c:pt>
                <c:pt idx="40">
                  <c:v>274</c:v>
                </c:pt>
                <c:pt idx="41">
                  <c:v>282</c:v>
                </c:pt>
                <c:pt idx="42">
                  <c:v>285</c:v>
                </c:pt>
                <c:pt idx="43">
                  <c:v>257</c:v>
                </c:pt>
                <c:pt idx="44">
                  <c:v>250</c:v>
                </c:pt>
                <c:pt idx="45">
                  <c:v>266</c:v>
                </c:pt>
                <c:pt idx="46">
                  <c:v>207</c:v>
                </c:pt>
                <c:pt idx="47">
                  <c:v>266</c:v>
                </c:pt>
                <c:pt idx="48">
                  <c:v>270</c:v>
                </c:pt>
                <c:pt idx="49">
                  <c:v>275</c:v>
                </c:pt>
                <c:pt idx="50">
                  <c:v>267</c:v>
                </c:pt>
                <c:pt idx="51">
                  <c:v>346</c:v>
                </c:pt>
                <c:pt idx="52">
                  <c:v>320</c:v>
                </c:pt>
                <c:pt idx="53">
                  <c:v>324</c:v>
                </c:pt>
                <c:pt idx="54">
                  <c:v>296</c:v>
                </c:pt>
                <c:pt idx="55">
                  <c:v>327</c:v>
                </c:pt>
                <c:pt idx="56">
                  <c:v>373</c:v>
                </c:pt>
                <c:pt idx="57">
                  <c:v>464</c:v>
                </c:pt>
                <c:pt idx="58">
                  <c:v>423</c:v>
                </c:pt>
                <c:pt idx="59">
                  <c:v>343</c:v>
                </c:pt>
                <c:pt idx="60">
                  <c:v>276</c:v>
                </c:pt>
                <c:pt idx="61">
                  <c:v>422</c:v>
                </c:pt>
                <c:pt idx="62">
                  <c:v>345</c:v>
                </c:pt>
                <c:pt idx="63">
                  <c:v>268</c:v>
                </c:pt>
                <c:pt idx="64">
                  <c:v>229</c:v>
                </c:pt>
                <c:pt idx="65">
                  <c:v>262</c:v>
                </c:pt>
                <c:pt idx="66">
                  <c:v>321</c:v>
                </c:pt>
                <c:pt idx="67">
                  <c:v>305</c:v>
                </c:pt>
                <c:pt idx="68">
                  <c:v>373</c:v>
                </c:pt>
                <c:pt idx="69">
                  <c:v>426</c:v>
                </c:pt>
                <c:pt idx="70">
                  <c:v>382</c:v>
                </c:pt>
                <c:pt idx="71">
                  <c:v>399</c:v>
                </c:pt>
                <c:pt idx="72">
                  <c:v>364</c:v>
                </c:pt>
                <c:pt idx="73">
                  <c:v>415</c:v>
                </c:pt>
                <c:pt idx="74">
                  <c:v>670</c:v>
                </c:pt>
                <c:pt idx="75">
                  <c:v>431</c:v>
                </c:pt>
                <c:pt idx="76">
                  <c:v>807</c:v>
                </c:pt>
                <c:pt idx="77">
                  <c:v>560</c:v>
                </c:pt>
                <c:pt idx="78">
                  <c:v>609</c:v>
                </c:pt>
                <c:pt idx="79">
                  <c:v>601</c:v>
                </c:pt>
                <c:pt idx="80">
                  <c:v>430</c:v>
                </c:pt>
                <c:pt idx="81">
                  <c:v>481</c:v>
                </c:pt>
                <c:pt idx="82">
                  <c:v>648</c:v>
                </c:pt>
                <c:pt idx="83">
                  <c:v>369</c:v>
                </c:pt>
                <c:pt idx="84">
                  <c:v>435</c:v>
                </c:pt>
                <c:pt idx="85">
                  <c:v>453</c:v>
                </c:pt>
                <c:pt idx="86">
                  <c:v>505</c:v>
                </c:pt>
                <c:pt idx="87">
                  <c:v>391</c:v>
                </c:pt>
                <c:pt idx="88">
                  <c:v>492</c:v>
                </c:pt>
                <c:pt idx="89">
                  <c:v>372</c:v>
                </c:pt>
                <c:pt idx="90">
                  <c:v>373</c:v>
                </c:pt>
                <c:pt idx="91">
                  <c:v>390</c:v>
                </c:pt>
                <c:pt idx="92">
                  <c:v>486</c:v>
                </c:pt>
                <c:pt idx="93">
                  <c:v>405</c:v>
                </c:pt>
                <c:pt idx="94">
                  <c:v>418</c:v>
                </c:pt>
                <c:pt idx="95">
                  <c:v>401</c:v>
                </c:pt>
                <c:pt idx="96">
                  <c:v>471</c:v>
                </c:pt>
                <c:pt idx="97">
                  <c:v>344</c:v>
                </c:pt>
                <c:pt idx="98">
                  <c:v>469</c:v>
                </c:pt>
                <c:pt idx="99">
                  <c:v>416</c:v>
                </c:pt>
                <c:pt idx="100">
                  <c:v>361</c:v>
                </c:pt>
                <c:pt idx="101">
                  <c:v>319</c:v>
                </c:pt>
                <c:pt idx="102">
                  <c:v>400</c:v>
                </c:pt>
                <c:pt idx="103">
                  <c:v>370</c:v>
                </c:pt>
                <c:pt idx="104">
                  <c:v>572</c:v>
                </c:pt>
                <c:pt idx="105">
                  <c:v>450</c:v>
                </c:pt>
                <c:pt idx="106">
                  <c:v>396</c:v>
                </c:pt>
                <c:pt idx="107">
                  <c:v>320</c:v>
                </c:pt>
                <c:pt idx="108">
                  <c:v>367</c:v>
                </c:pt>
                <c:pt idx="109">
                  <c:v>299</c:v>
                </c:pt>
                <c:pt idx="110">
                  <c:v>467</c:v>
                </c:pt>
                <c:pt idx="111">
                  <c:v>262</c:v>
                </c:pt>
                <c:pt idx="112">
                  <c:v>479</c:v>
                </c:pt>
                <c:pt idx="113">
                  <c:v>748</c:v>
                </c:pt>
                <c:pt idx="114">
                  <c:v>471</c:v>
                </c:pt>
                <c:pt idx="115">
                  <c:v>239</c:v>
                </c:pt>
                <c:pt idx="116">
                  <c:v>329</c:v>
                </c:pt>
                <c:pt idx="117">
                  <c:v>300</c:v>
                </c:pt>
                <c:pt idx="118">
                  <c:v>323</c:v>
                </c:pt>
                <c:pt idx="119">
                  <c:v>269</c:v>
                </c:pt>
                <c:pt idx="120">
                  <c:v>295</c:v>
                </c:pt>
                <c:pt idx="121">
                  <c:v>333</c:v>
                </c:pt>
              </c:numCache>
            </c:numRef>
          </c:val>
          <c:smooth val="0"/>
        </c:ser>
        <c:dLbls>
          <c:showLegendKey val="0"/>
          <c:showVal val="0"/>
          <c:showCatName val="0"/>
          <c:showSerName val="0"/>
          <c:showPercent val="0"/>
          <c:showBubbleSize val="0"/>
        </c:dLbls>
        <c:marker val="1"/>
        <c:smooth val="0"/>
        <c:axId val="317059456"/>
        <c:axId val="317060992"/>
      </c:lineChart>
      <c:catAx>
        <c:axId val="317052032"/>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lang="es-CO" sz="1000" b="0" i="0" u="none" strike="noStrike" baseline="0">
                <a:solidFill>
                  <a:srgbClr val="000000"/>
                </a:solidFill>
                <a:latin typeface="Calibri"/>
                <a:ea typeface="Calibri"/>
                <a:cs typeface="Calibri"/>
              </a:defRPr>
            </a:pPr>
            <a:endParaRPr lang="es-MX"/>
          </a:p>
        </c:txPr>
        <c:crossAx val="317053568"/>
        <c:crosses val="autoZero"/>
        <c:auto val="1"/>
        <c:lblAlgn val="ctr"/>
        <c:lblOffset val="100"/>
        <c:noMultiLvlLbl val="0"/>
      </c:catAx>
      <c:valAx>
        <c:axId val="317053568"/>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lang="es-CO" sz="1000" b="0" i="0" u="none" strike="noStrike" baseline="0">
                <a:solidFill>
                  <a:srgbClr val="000000"/>
                </a:solidFill>
                <a:latin typeface="Calibri"/>
                <a:ea typeface="Calibri"/>
                <a:cs typeface="Calibri"/>
              </a:defRPr>
            </a:pPr>
            <a:endParaRPr lang="es-MX"/>
          </a:p>
        </c:txPr>
        <c:crossAx val="317052032"/>
        <c:crosses val="autoZero"/>
        <c:crossBetween val="between"/>
      </c:valAx>
      <c:catAx>
        <c:axId val="317059456"/>
        <c:scaling>
          <c:orientation val="minMax"/>
        </c:scaling>
        <c:delete val="1"/>
        <c:axPos val="b"/>
        <c:majorTickMark val="out"/>
        <c:minorTickMark val="none"/>
        <c:tickLblPos val="nextTo"/>
        <c:crossAx val="317060992"/>
        <c:crosses val="autoZero"/>
        <c:auto val="1"/>
        <c:lblAlgn val="ctr"/>
        <c:lblOffset val="100"/>
        <c:noMultiLvlLbl val="0"/>
      </c:catAx>
      <c:valAx>
        <c:axId val="317060992"/>
        <c:scaling>
          <c:orientation val="minMax"/>
        </c:scaling>
        <c:delete val="0"/>
        <c:axPos val="r"/>
        <c:numFmt formatCode="_-[$$-240A]\ * #,##0_ ;_-[$$-240A]\ * \-#,##0\ ;_-[$$-240A]\ * &quot;-&quot;_ ;_-@_ " sourceLinked="1"/>
        <c:majorTickMark val="none"/>
        <c:minorTickMark val="none"/>
        <c:tickLblPos val="none"/>
        <c:spPr>
          <a:ln w="3175">
            <a:solidFill>
              <a:srgbClr val="808080"/>
            </a:solidFill>
            <a:prstDash val="solid"/>
          </a:ln>
        </c:spPr>
        <c:txPr>
          <a:bodyPr/>
          <a:lstStyle/>
          <a:p>
            <a:pPr>
              <a:defRPr lang="es-CO"/>
            </a:pPr>
            <a:endParaRPr lang="es-MX"/>
          </a:p>
        </c:txPr>
        <c:crossAx val="317059456"/>
        <c:crosses val="max"/>
        <c:crossBetween val="between"/>
      </c:valAx>
      <c:dTable>
        <c:showHorzBorder val="1"/>
        <c:showVertBorder val="1"/>
        <c:showOutline val="1"/>
        <c:showKeys val="1"/>
        <c:spPr>
          <a:ln w="3175">
            <a:solidFill>
              <a:srgbClr val="808080"/>
            </a:solidFill>
            <a:prstDash val="solid"/>
          </a:ln>
        </c:spPr>
        <c:txPr>
          <a:bodyPr/>
          <a:lstStyle/>
          <a:p>
            <a:pPr rtl="0">
              <a:defRPr lang="es-CO" sz="1000" b="0" i="0" u="none" strike="noStrike" baseline="0">
                <a:solidFill>
                  <a:srgbClr val="000000"/>
                </a:solidFill>
                <a:latin typeface="Calibri"/>
                <a:ea typeface="Calibri"/>
                <a:cs typeface="Calibri"/>
              </a:defRPr>
            </a:pPr>
            <a:endParaRPr lang="es-MX"/>
          </a:p>
        </c:txPr>
      </c:dTable>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238415750335527"/>
          <c:y val="4.3478249429347603E-2"/>
        </c:manualLayout>
      </c:layout>
      <c:overlay val="0"/>
      <c:spPr>
        <a:noFill/>
        <a:ln w="25400">
          <a:noFill/>
        </a:ln>
      </c:spPr>
    </c:title>
    <c:autoTitleDeleted val="0"/>
    <c:plotArea>
      <c:layout>
        <c:manualLayout>
          <c:layoutTarget val="inner"/>
          <c:xMode val="edge"/>
          <c:yMode val="edge"/>
          <c:x val="5.9087075820086501E-2"/>
          <c:y val="0.16584348009131"/>
          <c:w val="0.82461682106713896"/>
          <c:h val="0.65815720403371802"/>
        </c:manualLayout>
      </c:layout>
      <c:lineChart>
        <c:grouping val="standard"/>
        <c:varyColors val="0"/>
        <c:ser>
          <c:idx val="0"/>
          <c:order val="0"/>
          <c:tx>
            <c:strRef>
              <c:f>'PEPE SIERRA '!$A$2399</c:f>
              <c:strCache>
                <c:ptCount val="1"/>
                <c:pt idx="0">
                  <c:v>No. Pizzas vendidas</c:v>
                </c:pt>
              </c:strCache>
            </c:strRef>
          </c:tx>
          <c:spPr>
            <a:ln w="25400">
              <a:solidFill>
                <a:srgbClr val="000080"/>
              </a:solidFill>
              <a:prstDash val="solid"/>
            </a:ln>
          </c:spPr>
          <c:marker>
            <c:symbol val="none"/>
          </c:marker>
          <c:cat>
            <c:strRef>
              <c:f>'PEPE SIERRA '!$B$2398:$CH$2398</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'!$B$2399:$CH$2399</c:f>
              <c:numCache>
                <c:formatCode>General</c:formatCode>
                <c:ptCount val="85"/>
                <c:pt idx="0">
                  <c:v>210</c:v>
                </c:pt>
                <c:pt idx="1">
                  <c:v>1649</c:v>
                </c:pt>
                <c:pt idx="2">
                  <c:v>1587</c:v>
                </c:pt>
                <c:pt idx="3">
                  <c:v>1995</c:v>
                </c:pt>
                <c:pt idx="4">
                  <c:v>1682</c:v>
                </c:pt>
                <c:pt idx="5">
                  <c:v>1865</c:v>
                </c:pt>
                <c:pt idx="6">
                  <c:v>1331</c:v>
                </c:pt>
                <c:pt idx="7">
                  <c:v>1715</c:v>
                </c:pt>
                <c:pt idx="8">
                  <c:v>1826</c:v>
                </c:pt>
                <c:pt idx="9">
                  <c:v>1644</c:v>
                </c:pt>
                <c:pt idx="10">
                  <c:v>1916</c:v>
                </c:pt>
                <c:pt idx="11">
                  <c:v>2127</c:v>
                </c:pt>
                <c:pt idx="12">
                  <c:v>1787</c:v>
                </c:pt>
                <c:pt idx="13">
                  <c:v>2048</c:v>
                </c:pt>
                <c:pt idx="14">
                  <c:v>1827</c:v>
                </c:pt>
                <c:pt idx="15">
                  <c:v>2018</c:v>
                </c:pt>
                <c:pt idx="16">
                  <c:v>2166</c:v>
                </c:pt>
                <c:pt idx="17">
                  <c:v>1786</c:v>
                </c:pt>
                <c:pt idx="18">
                  <c:v>1703</c:v>
                </c:pt>
                <c:pt idx="19">
                  <c:v>1508</c:v>
                </c:pt>
                <c:pt idx="20">
                  <c:v>1612</c:v>
                </c:pt>
                <c:pt idx="21">
                  <c:v>1920</c:v>
                </c:pt>
                <c:pt idx="22">
                  <c:v>1760</c:v>
                </c:pt>
                <c:pt idx="23">
                  <c:v>1852</c:v>
                </c:pt>
                <c:pt idx="24">
                  <c:v>1913</c:v>
                </c:pt>
                <c:pt idx="25">
                  <c:v>1885</c:v>
                </c:pt>
                <c:pt idx="26">
                  <c:v>1808</c:v>
                </c:pt>
                <c:pt idx="27">
                  <c:v>1947</c:v>
                </c:pt>
                <c:pt idx="28">
                  <c:v>2053</c:v>
                </c:pt>
                <c:pt idx="29">
                  <c:v>1875</c:v>
                </c:pt>
                <c:pt idx="30">
                  <c:v>1892</c:v>
                </c:pt>
                <c:pt idx="31">
                  <c:v>2356</c:v>
                </c:pt>
                <c:pt idx="32">
                  <c:v>2163</c:v>
                </c:pt>
                <c:pt idx="33">
                  <c:v>2051</c:v>
                </c:pt>
                <c:pt idx="34">
                  <c:v>2082</c:v>
                </c:pt>
                <c:pt idx="35">
                  <c:v>2068</c:v>
                </c:pt>
                <c:pt idx="36">
                  <c:v>1842</c:v>
                </c:pt>
                <c:pt idx="37">
                  <c:v>1780</c:v>
                </c:pt>
                <c:pt idx="38">
                  <c:v>1900</c:v>
                </c:pt>
                <c:pt idx="39">
                  <c:v>2012</c:v>
                </c:pt>
                <c:pt idx="40">
                  <c:v>1975</c:v>
                </c:pt>
                <c:pt idx="41">
                  <c:v>1869</c:v>
                </c:pt>
                <c:pt idx="42">
                  <c:v>2011</c:v>
                </c:pt>
                <c:pt idx="43">
                  <c:v>1858</c:v>
                </c:pt>
                <c:pt idx="44">
                  <c:v>1622</c:v>
                </c:pt>
                <c:pt idx="45">
                  <c:v>1982</c:v>
                </c:pt>
                <c:pt idx="46">
                  <c:v>2148</c:v>
                </c:pt>
                <c:pt idx="47">
                  <c:v>1776</c:v>
                </c:pt>
                <c:pt idx="48">
                  <c:v>1996</c:v>
                </c:pt>
                <c:pt idx="49">
                  <c:v>1789</c:v>
                </c:pt>
                <c:pt idx="50">
                  <c:v>1886</c:v>
                </c:pt>
                <c:pt idx="51">
                  <c:v>1750</c:v>
                </c:pt>
                <c:pt idx="52">
                  <c:v>1950</c:v>
                </c:pt>
                <c:pt idx="53">
                  <c:v>1512</c:v>
                </c:pt>
                <c:pt idx="54">
                  <c:v>1705</c:v>
                </c:pt>
                <c:pt idx="55">
                  <c:v>1628</c:v>
                </c:pt>
                <c:pt idx="56">
                  <c:v>1636</c:v>
                </c:pt>
                <c:pt idx="57">
                  <c:v>1550</c:v>
                </c:pt>
                <c:pt idx="58">
                  <c:v>1686</c:v>
                </c:pt>
                <c:pt idx="59">
                  <c:v>1594</c:v>
                </c:pt>
                <c:pt idx="60">
                  <c:v>1554</c:v>
                </c:pt>
                <c:pt idx="61">
                  <c:v>1812</c:v>
                </c:pt>
                <c:pt idx="62">
                  <c:v>1654</c:v>
                </c:pt>
                <c:pt idx="63">
                  <c:v>1586</c:v>
                </c:pt>
                <c:pt idx="64">
                  <c:v>1781</c:v>
                </c:pt>
                <c:pt idx="65">
                  <c:v>1832</c:v>
                </c:pt>
                <c:pt idx="66">
                  <c:v>1746</c:v>
                </c:pt>
                <c:pt idx="67">
                  <c:v>1725</c:v>
                </c:pt>
                <c:pt idx="68">
                  <c:v>1861</c:v>
                </c:pt>
                <c:pt idx="69">
                  <c:v>1560</c:v>
                </c:pt>
                <c:pt idx="70">
                  <c:v>1392</c:v>
                </c:pt>
                <c:pt idx="71">
                  <c:v>1128</c:v>
                </c:pt>
                <c:pt idx="72">
                  <c:v>1307</c:v>
                </c:pt>
                <c:pt idx="73">
                  <c:v>1509</c:v>
                </c:pt>
                <c:pt idx="74">
                  <c:v>1508</c:v>
                </c:pt>
                <c:pt idx="75">
                  <c:v>1554</c:v>
                </c:pt>
                <c:pt idx="76">
                  <c:v>1644</c:v>
                </c:pt>
                <c:pt idx="77">
                  <c:v>1542</c:v>
                </c:pt>
                <c:pt idx="78">
                  <c:v>1512</c:v>
                </c:pt>
                <c:pt idx="79">
                  <c:v>1594</c:v>
                </c:pt>
                <c:pt idx="80">
                  <c:v>1625</c:v>
                </c:pt>
                <c:pt idx="81">
                  <c:v>1704</c:v>
                </c:pt>
                <c:pt idx="82">
                  <c:v>1470</c:v>
                </c:pt>
                <c:pt idx="83">
                  <c:v>1760</c:v>
                </c:pt>
                <c:pt idx="84">
                  <c:v>1137</c:v>
                </c:pt>
              </c:numCache>
            </c:numRef>
          </c:val>
          <c:smooth val="0"/>
        </c:ser>
        <c:ser>
          <c:idx val="1"/>
          <c:order val="1"/>
          <c:tx>
            <c:strRef>
              <c:f>'PEPE SIERRA '!$A$2400</c:f>
              <c:strCache>
                <c:ptCount val="1"/>
                <c:pt idx="0">
                  <c:v>Total Tiquetes </c:v>
                </c:pt>
              </c:strCache>
            </c:strRef>
          </c:tx>
          <c:spPr>
            <a:ln w="25400">
              <a:solidFill>
                <a:srgbClr val="339966"/>
              </a:solidFill>
              <a:prstDash val="solid"/>
            </a:ln>
          </c:spPr>
          <c:marker>
            <c:symbol val="none"/>
          </c:marker>
          <c:cat>
            <c:strRef>
              <c:f>'PEPE SIERRA '!$B$2398:$CH$2398</c:f>
              <c:strCache>
                <c:ptCount val="85"/>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13</c:v>
                </c:pt>
                <c:pt idx="12">
                  <c:v>SEMANA 14</c:v>
                </c:pt>
                <c:pt idx="13">
                  <c:v>SEMANA 15</c:v>
                </c:pt>
                <c:pt idx="14">
                  <c:v>SEMANA 16</c:v>
                </c:pt>
                <c:pt idx="15">
                  <c:v>SEMANA 17</c:v>
                </c:pt>
                <c:pt idx="16">
                  <c:v>SEMANA 18</c:v>
                </c:pt>
                <c:pt idx="17">
                  <c:v>SEMANA 19</c:v>
                </c:pt>
                <c:pt idx="18">
                  <c:v>SEMANA 20</c:v>
                </c:pt>
                <c:pt idx="19">
                  <c:v>SEMANA 21</c:v>
                </c:pt>
                <c:pt idx="20">
                  <c:v>SEMANA 22</c:v>
                </c:pt>
                <c:pt idx="21">
                  <c:v>SEMANA 23</c:v>
                </c:pt>
                <c:pt idx="22">
                  <c:v>SEMANA 24</c:v>
                </c:pt>
                <c:pt idx="23">
                  <c:v>SEMANA 25</c:v>
                </c:pt>
                <c:pt idx="24">
                  <c:v>SEMANA 26</c:v>
                </c:pt>
                <c:pt idx="25">
                  <c:v>SEMANA 27</c:v>
                </c:pt>
                <c:pt idx="26">
                  <c:v>SEMANA 28</c:v>
                </c:pt>
                <c:pt idx="27">
                  <c:v>SEMANA 29</c:v>
                </c:pt>
                <c:pt idx="28">
                  <c:v>SEMANA 30</c:v>
                </c:pt>
                <c:pt idx="29">
                  <c:v>SEMANA 31</c:v>
                </c:pt>
                <c:pt idx="30">
                  <c:v>SEMANA 32</c:v>
                </c:pt>
                <c:pt idx="31">
                  <c:v>SEMANA 33</c:v>
                </c:pt>
                <c:pt idx="32">
                  <c:v>SEMANA 34</c:v>
                </c:pt>
                <c:pt idx="33">
                  <c:v>SEMANA 35</c:v>
                </c:pt>
                <c:pt idx="34">
                  <c:v>SEMANA 36</c:v>
                </c:pt>
                <c:pt idx="35">
                  <c:v>SEMANA 37</c:v>
                </c:pt>
                <c:pt idx="36">
                  <c:v>SEMANA 38</c:v>
                </c:pt>
                <c:pt idx="37">
                  <c:v>SEMANA 39</c:v>
                </c:pt>
                <c:pt idx="38">
                  <c:v>SEMANA 40</c:v>
                </c:pt>
                <c:pt idx="39">
                  <c:v>SEMANA 41</c:v>
                </c:pt>
                <c:pt idx="40">
                  <c:v>SEMANA 42</c:v>
                </c:pt>
                <c:pt idx="41">
                  <c:v>SEMANA 43</c:v>
                </c:pt>
                <c:pt idx="42">
                  <c:v>SEMANA 44</c:v>
                </c:pt>
                <c:pt idx="43">
                  <c:v>SEMANA 45</c:v>
                </c:pt>
                <c:pt idx="44">
                  <c:v>SEMANA 46</c:v>
                </c:pt>
                <c:pt idx="45">
                  <c:v>SEMANA 47</c:v>
                </c:pt>
                <c:pt idx="46">
                  <c:v>SEMANA 48</c:v>
                </c:pt>
                <c:pt idx="47">
                  <c:v>SEMANA 49</c:v>
                </c:pt>
                <c:pt idx="48">
                  <c:v>SEMANA 50</c:v>
                </c:pt>
                <c:pt idx="49">
                  <c:v>SEMANA 51</c:v>
                </c:pt>
                <c:pt idx="50">
                  <c:v>SEMANA 52</c:v>
                </c:pt>
                <c:pt idx="51">
                  <c:v>SEMANA 53</c:v>
                </c:pt>
                <c:pt idx="52">
                  <c:v>SEMANA 54</c:v>
                </c:pt>
                <c:pt idx="53">
                  <c:v>SEMANA 55</c:v>
                </c:pt>
                <c:pt idx="54">
                  <c:v>SEMANA 56</c:v>
                </c:pt>
                <c:pt idx="55">
                  <c:v>SEMANA 57</c:v>
                </c:pt>
                <c:pt idx="56">
                  <c:v>SEMANA 58</c:v>
                </c:pt>
                <c:pt idx="57">
                  <c:v>SEMANA 59</c:v>
                </c:pt>
                <c:pt idx="58">
                  <c:v>SEMANA 60</c:v>
                </c:pt>
                <c:pt idx="59">
                  <c:v>SEMANA 61</c:v>
                </c:pt>
                <c:pt idx="60">
                  <c:v>SEMANA 62</c:v>
                </c:pt>
                <c:pt idx="61">
                  <c:v>SEMANA 63</c:v>
                </c:pt>
                <c:pt idx="62">
                  <c:v>SEMANA 64</c:v>
                </c:pt>
                <c:pt idx="63">
                  <c:v>SEMANA 65</c:v>
                </c:pt>
                <c:pt idx="64">
                  <c:v>SEMANA 66</c:v>
                </c:pt>
                <c:pt idx="65">
                  <c:v>SEMANA 67</c:v>
                </c:pt>
                <c:pt idx="66">
                  <c:v>SEMANA 68</c:v>
                </c:pt>
                <c:pt idx="67">
                  <c:v>SEMANA 69</c:v>
                </c:pt>
                <c:pt idx="68">
                  <c:v>SEMANA 70</c:v>
                </c:pt>
                <c:pt idx="69">
                  <c:v>SEMANA 71</c:v>
                </c:pt>
                <c:pt idx="70">
                  <c:v>SEMANA 72</c:v>
                </c:pt>
                <c:pt idx="71">
                  <c:v>SEMANA 73</c:v>
                </c:pt>
                <c:pt idx="72">
                  <c:v>SEMANA 74</c:v>
                </c:pt>
                <c:pt idx="73">
                  <c:v>SEMANA 75</c:v>
                </c:pt>
                <c:pt idx="74">
                  <c:v>SEMANA 76</c:v>
                </c:pt>
                <c:pt idx="75">
                  <c:v>SEMANA 77</c:v>
                </c:pt>
                <c:pt idx="76">
                  <c:v>SEMANA 78</c:v>
                </c:pt>
                <c:pt idx="77">
                  <c:v>SEMANA 79</c:v>
                </c:pt>
                <c:pt idx="78">
                  <c:v>SEMANA 80</c:v>
                </c:pt>
                <c:pt idx="79">
                  <c:v>SEMANA 81</c:v>
                </c:pt>
                <c:pt idx="80">
                  <c:v>SEMANA 82</c:v>
                </c:pt>
                <c:pt idx="81">
                  <c:v>SEMANA 83</c:v>
                </c:pt>
                <c:pt idx="82">
                  <c:v>SEMANA 84</c:v>
                </c:pt>
                <c:pt idx="83">
                  <c:v>SEMANA 85</c:v>
                </c:pt>
                <c:pt idx="84">
                  <c:v>SEMANA 86</c:v>
                </c:pt>
              </c:strCache>
            </c:strRef>
          </c:cat>
          <c:val>
            <c:numRef>
              <c:f>'PEPE SIERRA '!$B$2400:$CH$2400</c:f>
              <c:numCache>
                <c:formatCode>General</c:formatCode>
                <c:ptCount val="85"/>
                <c:pt idx="0">
                  <c:v>141</c:v>
                </c:pt>
                <c:pt idx="1">
                  <c:v>1425</c:v>
                </c:pt>
                <c:pt idx="2">
                  <c:v>1542</c:v>
                </c:pt>
                <c:pt idx="3">
                  <c:v>1797</c:v>
                </c:pt>
                <c:pt idx="4">
                  <c:v>1919</c:v>
                </c:pt>
                <c:pt idx="5">
                  <c:v>1741</c:v>
                </c:pt>
                <c:pt idx="6">
                  <c:v>1675</c:v>
                </c:pt>
                <c:pt idx="7">
                  <c:v>1883</c:v>
                </c:pt>
                <c:pt idx="8">
                  <c:v>1720</c:v>
                </c:pt>
                <c:pt idx="9">
                  <c:v>1572</c:v>
                </c:pt>
                <c:pt idx="10">
                  <c:v>1834</c:v>
                </c:pt>
                <c:pt idx="11">
                  <c:v>1848</c:v>
                </c:pt>
                <c:pt idx="12">
                  <c:v>1875</c:v>
                </c:pt>
                <c:pt idx="13">
                  <c:v>1850</c:v>
                </c:pt>
                <c:pt idx="14">
                  <c:v>1754</c:v>
                </c:pt>
                <c:pt idx="15">
                  <c:v>1813</c:v>
                </c:pt>
                <c:pt idx="16">
                  <c:v>1900</c:v>
                </c:pt>
                <c:pt idx="17">
                  <c:v>1658</c:v>
                </c:pt>
                <c:pt idx="18">
                  <c:v>1444</c:v>
                </c:pt>
                <c:pt idx="19">
                  <c:v>1244</c:v>
                </c:pt>
                <c:pt idx="20">
                  <c:v>1339</c:v>
                </c:pt>
                <c:pt idx="21">
                  <c:v>1660</c:v>
                </c:pt>
                <c:pt idx="22">
                  <c:v>1545</c:v>
                </c:pt>
                <c:pt idx="23">
                  <c:v>1556</c:v>
                </c:pt>
                <c:pt idx="24">
                  <c:v>1652</c:v>
                </c:pt>
                <c:pt idx="25">
                  <c:v>1564</c:v>
                </c:pt>
                <c:pt idx="26">
                  <c:v>1527</c:v>
                </c:pt>
                <c:pt idx="27">
                  <c:v>1636</c:v>
                </c:pt>
                <c:pt idx="28">
                  <c:v>1696</c:v>
                </c:pt>
                <c:pt idx="29">
                  <c:v>1596</c:v>
                </c:pt>
                <c:pt idx="30">
                  <c:v>1577</c:v>
                </c:pt>
                <c:pt idx="31">
                  <c:v>1784</c:v>
                </c:pt>
                <c:pt idx="32">
                  <c:v>1724</c:v>
                </c:pt>
                <c:pt idx="33">
                  <c:v>1587</c:v>
                </c:pt>
                <c:pt idx="34">
                  <c:v>1599</c:v>
                </c:pt>
                <c:pt idx="35">
                  <c:v>1584</c:v>
                </c:pt>
                <c:pt idx="36">
                  <c:v>1460</c:v>
                </c:pt>
                <c:pt idx="37">
                  <c:v>1383</c:v>
                </c:pt>
                <c:pt idx="38">
                  <c:v>1436</c:v>
                </c:pt>
                <c:pt idx="39">
                  <c:v>1424</c:v>
                </c:pt>
                <c:pt idx="40">
                  <c:v>1567</c:v>
                </c:pt>
                <c:pt idx="41">
                  <c:v>1471</c:v>
                </c:pt>
                <c:pt idx="42">
                  <c:v>1631</c:v>
                </c:pt>
                <c:pt idx="43">
                  <c:v>1445</c:v>
                </c:pt>
                <c:pt idx="44">
                  <c:v>1300</c:v>
                </c:pt>
                <c:pt idx="45">
                  <c:v>1597</c:v>
                </c:pt>
                <c:pt idx="46">
                  <c:v>1653</c:v>
                </c:pt>
                <c:pt idx="47">
                  <c:v>1355</c:v>
                </c:pt>
                <c:pt idx="48">
                  <c:v>1555</c:v>
                </c:pt>
                <c:pt idx="49">
                  <c:v>1354</c:v>
                </c:pt>
                <c:pt idx="50">
                  <c:v>1443</c:v>
                </c:pt>
                <c:pt idx="51">
                  <c:v>1360</c:v>
                </c:pt>
                <c:pt idx="52">
                  <c:v>1517</c:v>
                </c:pt>
                <c:pt idx="53">
                  <c:v>1162</c:v>
                </c:pt>
                <c:pt idx="54">
                  <c:v>1345</c:v>
                </c:pt>
                <c:pt idx="55">
                  <c:v>1256</c:v>
                </c:pt>
                <c:pt idx="56">
                  <c:v>1298</c:v>
                </c:pt>
                <c:pt idx="57">
                  <c:v>1171</c:v>
                </c:pt>
                <c:pt idx="58">
                  <c:v>1309</c:v>
                </c:pt>
                <c:pt idx="59">
                  <c:v>1256</c:v>
                </c:pt>
                <c:pt idx="60">
                  <c:v>1243</c:v>
                </c:pt>
                <c:pt idx="61">
                  <c:v>1408</c:v>
                </c:pt>
                <c:pt idx="62">
                  <c:v>1296</c:v>
                </c:pt>
                <c:pt idx="63">
                  <c:v>1239</c:v>
                </c:pt>
                <c:pt idx="64">
                  <c:v>1402</c:v>
                </c:pt>
                <c:pt idx="65">
                  <c:v>1432</c:v>
                </c:pt>
                <c:pt idx="66">
                  <c:v>1337</c:v>
                </c:pt>
                <c:pt idx="67">
                  <c:v>1350</c:v>
                </c:pt>
                <c:pt idx="68">
                  <c:v>1455</c:v>
                </c:pt>
                <c:pt idx="69">
                  <c:v>1179</c:v>
                </c:pt>
                <c:pt idx="70">
                  <c:v>1069</c:v>
                </c:pt>
                <c:pt idx="71">
                  <c:v>885</c:v>
                </c:pt>
                <c:pt idx="72">
                  <c:v>1015</c:v>
                </c:pt>
                <c:pt idx="73">
                  <c:v>1205</c:v>
                </c:pt>
                <c:pt idx="74">
                  <c:v>1166</c:v>
                </c:pt>
                <c:pt idx="75">
                  <c:v>1220</c:v>
                </c:pt>
                <c:pt idx="76">
                  <c:v>1299</c:v>
                </c:pt>
                <c:pt idx="77">
                  <c:v>1209</c:v>
                </c:pt>
                <c:pt idx="78">
                  <c:v>1194</c:v>
                </c:pt>
                <c:pt idx="79">
                  <c:v>1287</c:v>
                </c:pt>
                <c:pt idx="80">
                  <c:v>1269</c:v>
                </c:pt>
                <c:pt idx="81">
                  <c:v>1292</c:v>
                </c:pt>
                <c:pt idx="82">
                  <c:v>1188</c:v>
                </c:pt>
                <c:pt idx="83">
                  <c:v>1374</c:v>
                </c:pt>
                <c:pt idx="84">
                  <c:v>894</c:v>
                </c:pt>
              </c:numCache>
            </c:numRef>
          </c:val>
          <c:smooth val="0"/>
        </c:ser>
        <c:dLbls>
          <c:showLegendKey val="0"/>
          <c:showVal val="0"/>
          <c:showCatName val="0"/>
          <c:showSerName val="0"/>
          <c:showPercent val="0"/>
          <c:showBubbleSize val="0"/>
        </c:dLbls>
        <c:marker val="1"/>
        <c:smooth val="0"/>
        <c:axId val="299569920"/>
        <c:axId val="299571840"/>
      </c:lineChart>
      <c:catAx>
        <c:axId val="299569920"/>
        <c:scaling>
          <c:orientation val="minMax"/>
        </c:scaling>
        <c:delete val="0"/>
        <c:axPos val="b"/>
        <c:title>
          <c:tx>
            <c:rich>
              <a:bodyPr/>
              <a:lstStyle/>
              <a:p>
                <a:pPr>
                  <a:defRPr lang="es-ES" sz="1425" b="1" i="0" u="none" strike="noStrike" baseline="0">
                    <a:solidFill>
                      <a:srgbClr val="000000"/>
                    </a:solidFill>
                    <a:latin typeface="Arial"/>
                    <a:ea typeface="Arial"/>
                    <a:cs typeface="Arial"/>
                  </a:defRPr>
                </a:pPr>
                <a:r>
                  <a:rPr lang="es-ES"/>
                  <a:t>Semanas</a:t>
                </a:r>
              </a:p>
            </c:rich>
          </c:tx>
          <c:layout>
            <c:manualLayout>
              <c:xMode val="edge"/>
              <c:yMode val="edge"/>
              <c:x val="0.90073454682315801"/>
              <c:y val="0.831070589860477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299571840"/>
        <c:crossesAt val="0"/>
        <c:auto val="1"/>
        <c:lblAlgn val="ctr"/>
        <c:lblOffset val="100"/>
        <c:tickLblSkip val="1"/>
        <c:tickMarkSkip val="1"/>
        <c:noMultiLvlLbl val="0"/>
      </c:catAx>
      <c:valAx>
        <c:axId val="299571840"/>
        <c:scaling>
          <c:orientation val="minMax"/>
        </c:scaling>
        <c:delete val="0"/>
        <c:axPos val="l"/>
        <c:majorGridlines>
          <c:spPr>
            <a:ln w="3175">
              <a:solidFill>
                <a:srgbClr val="000000"/>
              </a:solidFill>
              <a:prstDash val="solid"/>
            </a:ln>
          </c:spPr>
        </c:majorGridlines>
        <c:title>
          <c:tx>
            <c:rich>
              <a:bodyPr/>
              <a:lstStyle/>
              <a:p>
                <a:pPr>
                  <a:defRPr lang="es-ES" sz="1425" b="1" i="0" u="none" strike="noStrike" baseline="0">
                    <a:solidFill>
                      <a:srgbClr val="000000"/>
                    </a:solidFill>
                    <a:latin typeface="Arial"/>
                    <a:ea typeface="Arial"/>
                    <a:cs typeface="Arial"/>
                  </a:defRPr>
                </a:pPr>
                <a:r>
                  <a:rPr lang="es-ES"/>
                  <a:t>Cantidad</a:t>
                </a:r>
              </a:p>
            </c:rich>
          </c:tx>
          <c:layout>
            <c:manualLayout>
              <c:xMode val="edge"/>
              <c:yMode val="edge"/>
              <c:x val="5.0227302901707802E-3"/>
              <c:y val="0.461963307218177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299569920"/>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88782566457516898"/>
          <c:y val="0.45019688328433"/>
          <c:w val="0.102031626422197"/>
          <c:h val="0.197195876831186"/>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Floresta</a:t>
            </a:r>
          </a:p>
        </c:rich>
      </c:tx>
      <c:layout>
        <c:manualLayout>
          <c:xMode val="edge"/>
          <c:yMode val="edge"/>
          <c:x val="0.35625218186198998"/>
          <c:y val="4.7634489597953703E-2"/>
        </c:manualLayout>
      </c:layout>
      <c:overlay val="0"/>
      <c:spPr>
        <a:noFill/>
        <a:ln w="25400">
          <a:noFill/>
        </a:ln>
      </c:spPr>
    </c:title>
    <c:autoTitleDeleted val="0"/>
    <c:plotArea>
      <c:layout>
        <c:manualLayout>
          <c:layoutTarget val="inner"/>
          <c:xMode val="edge"/>
          <c:yMode val="edge"/>
          <c:x val="8.6776525777265301E-2"/>
          <c:y val="0.17590586099132699"/>
          <c:w val="0.78985570741990097"/>
          <c:h val="0.64892877303864105"/>
        </c:manualLayout>
      </c:layout>
      <c:lineChart>
        <c:grouping val="standard"/>
        <c:varyColors val="0"/>
        <c:ser>
          <c:idx val="0"/>
          <c:order val="0"/>
          <c:tx>
            <c:strRef>
              <c:f>FLORESTA!$A$2204</c:f>
              <c:strCache>
                <c:ptCount val="1"/>
                <c:pt idx="0">
                  <c:v>Ventas Domicilio</c:v>
                </c:pt>
              </c:strCache>
            </c:strRef>
          </c:tx>
          <c:spPr>
            <a:ln w="25400">
              <a:solidFill>
                <a:srgbClr val="000080"/>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FLORESTA!$B$2204:$BZ$2204</c:f>
              <c:numCache>
                <c:formatCode>_("$ "* #,##0_);_("$ "* \(#,##0\);_("$ "* \-??_);_(@_)</c:formatCode>
                <c:ptCount val="77"/>
                <c:pt idx="0">
                  <c:v>896262.59827586217</c:v>
                </c:pt>
                <c:pt idx="1">
                  <c:v>2825717.25</c:v>
                </c:pt>
                <c:pt idx="2">
                  <c:v>4540356.1775862072</c:v>
                </c:pt>
                <c:pt idx="3">
                  <c:v>6513896.6724137934</c:v>
                </c:pt>
                <c:pt idx="4">
                  <c:v>10975274.815517241</c:v>
                </c:pt>
                <c:pt idx="5">
                  <c:v>7994795.5948275868</c:v>
                </c:pt>
                <c:pt idx="6">
                  <c:v>6898843.2844827585</c:v>
                </c:pt>
                <c:pt idx="7">
                  <c:v>7958619.3120689671</c:v>
                </c:pt>
                <c:pt idx="8">
                  <c:v>8672529.6741379313</c:v>
                </c:pt>
                <c:pt idx="9">
                  <c:v>7617768.863793103</c:v>
                </c:pt>
                <c:pt idx="10">
                  <c:v>7233738.7775862077</c:v>
                </c:pt>
                <c:pt idx="11">
                  <c:v>5635927.9896551725</c:v>
                </c:pt>
                <c:pt idx="12">
                  <c:v>7907111.4500000011</c:v>
                </c:pt>
                <c:pt idx="13">
                  <c:v>8654397.886206897</c:v>
                </c:pt>
                <c:pt idx="14">
                  <c:v>8156389.703448277</c:v>
                </c:pt>
                <c:pt idx="15">
                  <c:v>10234122.893103449</c:v>
                </c:pt>
                <c:pt idx="16">
                  <c:v>9108062.4362068959</c:v>
                </c:pt>
                <c:pt idx="17">
                  <c:v>9721148.0500000007</c:v>
                </c:pt>
                <c:pt idx="18">
                  <c:v>10948876.168965518</c:v>
                </c:pt>
                <c:pt idx="19">
                  <c:v>11148149.918965518</c:v>
                </c:pt>
                <c:pt idx="20">
                  <c:v>11073351.806896552</c:v>
                </c:pt>
                <c:pt idx="21">
                  <c:v>11209981.674137931</c:v>
                </c:pt>
                <c:pt idx="22">
                  <c:v>12377691.27586207</c:v>
                </c:pt>
                <c:pt idx="23">
                  <c:v>15651980.641379312</c:v>
                </c:pt>
                <c:pt idx="24">
                  <c:v>11723553.78448276</c:v>
                </c:pt>
                <c:pt idx="25">
                  <c:v>13960864.965517242</c:v>
                </c:pt>
                <c:pt idx="26">
                  <c:v>13808757.844827589</c:v>
                </c:pt>
                <c:pt idx="27">
                  <c:v>14376142.344827587</c:v>
                </c:pt>
                <c:pt idx="28">
                  <c:v>14243616.953448279</c:v>
                </c:pt>
                <c:pt idx="29">
                  <c:v>15008647.337931035</c:v>
                </c:pt>
                <c:pt idx="30">
                  <c:v>15602656.924137931</c:v>
                </c:pt>
                <c:pt idx="31">
                  <c:v>14885758.498275863</c:v>
                </c:pt>
                <c:pt idx="32">
                  <c:v>16606135.029310346</c:v>
                </c:pt>
                <c:pt idx="33">
                  <c:v>15667268.462068968</c:v>
                </c:pt>
                <c:pt idx="34">
                  <c:v>14629846.182758622</c:v>
                </c:pt>
                <c:pt idx="35">
                  <c:v>14199745.20172414</c:v>
                </c:pt>
                <c:pt idx="36">
                  <c:v>12236130.229310345</c:v>
                </c:pt>
                <c:pt idx="37">
                  <c:v>13606184.584482759</c:v>
                </c:pt>
                <c:pt idx="38">
                  <c:v>15631793.874137932</c:v>
                </c:pt>
                <c:pt idx="39">
                  <c:v>13828367.200000001</c:v>
                </c:pt>
                <c:pt idx="40">
                  <c:v>13773346.655172415</c:v>
                </c:pt>
                <c:pt idx="41">
                  <c:v>14196578.110344829</c:v>
                </c:pt>
                <c:pt idx="42">
                  <c:v>14172937.725862069</c:v>
                </c:pt>
                <c:pt idx="43">
                  <c:v>13306625.105172414</c:v>
                </c:pt>
                <c:pt idx="44">
                  <c:v>12842739.606896551</c:v>
                </c:pt>
                <c:pt idx="45">
                  <c:v>11021143.13448276</c:v>
                </c:pt>
                <c:pt idx="46">
                  <c:v>11112319.66724138</c:v>
                </c:pt>
                <c:pt idx="47">
                  <c:v>9529409.8310344834</c:v>
                </c:pt>
                <c:pt idx="48">
                  <c:v>10082328.88448276</c:v>
                </c:pt>
                <c:pt idx="49">
                  <c:v>11645375.317241382</c:v>
                </c:pt>
                <c:pt idx="50">
                  <c:v>11107386.732758621</c:v>
                </c:pt>
                <c:pt idx="51">
                  <c:v>10799947.167241381</c:v>
                </c:pt>
                <c:pt idx="52">
                  <c:v>11919082.25</c:v>
                </c:pt>
                <c:pt idx="53">
                  <c:v>11423660.06724138</c:v>
                </c:pt>
                <c:pt idx="54">
                  <c:v>11541613.837931035</c:v>
                </c:pt>
                <c:pt idx="55">
                  <c:v>10845533.312068967</c:v>
                </c:pt>
                <c:pt idx="56">
                  <c:v>11970314.732758619</c:v>
                </c:pt>
                <c:pt idx="57">
                  <c:v>12803681.644827586</c:v>
                </c:pt>
                <c:pt idx="58">
                  <c:v>11483201.495172415</c:v>
                </c:pt>
                <c:pt idx="59">
                  <c:v>12238044.008275865</c:v>
                </c:pt>
                <c:pt idx="60">
                  <c:v>11563062.211034484</c:v>
                </c:pt>
                <c:pt idx="61">
                  <c:v>10399546.64137931</c:v>
                </c:pt>
                <c:pt idx="62">
                  <c:v>9346619.2075862065</c:v>
                </c:pt>
                <c:pt idx="63">
                  <c:v>8452849.6675862074</c:v>
                </c:pt>
                <c:pt idx="64">
                  <c:v>7930831.0800000001</c:v>
                </c:pt>
                <c:pt idx="65">
                  <c:v>10121947.922758622</c:v>
                </c:pt>
                <c:pt idx="66">
                  <c:v>10451420.230344828</c:v>
                </c:pt>
                <c:pt idx="67">
                  <c:v>9720890.0800000001</c:v>
                </c:pt>
                <c:pt idx="68">
                  <c:v>10184579.46137931</c:v>
                </c:pt>
                <c:pt idx="69">
                  <c:v>9612315.2220689654</c:v>
                </c:pt>
                <c:pt idx="70">
                  <c:v>10468781.609655172</c:v>
                </c:pt>
                <c:pt idx="71">
                  <c:v>6997584.9337931033</c:v>
                </c:pt>
                <c:pt idx="72">
                  <c:v>8444253.6834482756</c:v>
                </c:pt>
                <c:pt idx="73">
                  <c:v>9751065.9413793124</c:v>
                </c:pt>
                <c:pt idx="74">
                  <c:v>6939484.4868965512</c:v>
                </c:pt>
                <c:pt idx="75">
                  <c:v>8891868.1372413803</c:v>
                </c:pt>
                <c:pt idx="76">
                  <c:v>8139429.9103448289</c:v>
                </c:pt>
              </c:numCache>
            </c:numRef>
          </c:val>
          <c:smooth val="0"/>
        </c:ser>
        <c:ser>
          <c:idx val="1"/>
          <c:order val="1"/>
          <c:tx>
            <c:strRef>
              <c:f>FLORESTA!$A$2205</c:f>
              <c:strCache>
                <c:ptCount val="1"/>
                <c:pt idx="0">
                  <c:v>Ventas Domicilio Carry Out </c:v>
                </c:pt>
              </c:strCache>
            </c:strRef>
          </c:tx>
          <c:spPr>
            <a:ln w="25400">
              <a:solidFill>
                <a:srgbClr val="FF00FF"/>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FLORESTA!$B$2205:$BZ$2205</c:f>
              <c:numCache>
                <c:formatCode>_("$ "* #,##0_);_("$ "* \(#,##0\);_("$ "* \-??_);_(@_)</c:formatCode>
                <c:ptCount val="77"/>
                <c:pt idx="0">
                  <c:v>58994.001724137939</c:v>
                </c:pt>
                <c:pt idx="1">
                  <c:v>0</c:v>
                </c:pt>
                <c:pt idx="2">
                  <c:v>51479.379310344833</c:v>
                </c:pt>
                <c:pt idx="3">
                  <c:v>52447.47068965518</c:v>
                </c:pt>
                <c:pt idx="4">
                  <c:v>256598.69482758624</c:v>
                </c:pt>
                <c:pt idx="5">
                  <c:v>196720.9827586207</c:v>
                </c:pt>
                <c:pt idx="6">
                  <c:v>72157.008620689652</c:v>
                </c:pt>
                <c:pt idx="7">
                  <c:v>174428.70862068966</c:v>
                </c:pt>
                <c:pt idx="8">
                  <c:v>37353.512068965523</c:v>
                </c:pt>
                <c:pt idx="9">
                  <c:v>311823.73103448277</c:v>
                </c:pt>
                <c:pt idx="10">
                  <c:v>277163.35689655173</c:v>
                </c:pt>
                <c:pt idx="11">
                  <c:v>314363.27931034483</c:v>
                </c:pt>
                <c:pt idx="12">
                  <c:v>2874098.6551724141</c:v>
                </c:pt>
                <c:pt idx="13">
                  <c:v>830695.92586206901</c:v>
                </c:pt>
                <c:pt idx="14">
                  <c:v>264897.81379310344</c:v>
                </c:pt>
                <c:pt idx="15">
                  <c:v>396760.20172413794</c:v>
                </c:pt>
                <c:pt idx="16">
                  <c:v>242345.26724137933</c:v>
                </c:pt>
                <c:pt idx="17">
                  <c:v>410742.27586206899</c:v>
                </c:pt>
                <c:pt idx="18">
                  <c:v>496401.83448275871</c:v>
                </c:pt>
                <c:pt idx="19">
                  <c:v>268719.56551724143</c:v>
                </c:pt>
                <c:pt idx="20">
                  <c:v>438325.82241379318</c:v>
                </c:pt>
                <c:pt idx="21">
                  <c:v>580316.65172413795</c:v>
                </c:pt>
                <c:pt idx="22">
                  <c:v>768503.33620689646</c:v>
                </c:pt>
                <c:pt idx="23">
                  <c:v>648248.10517241387</c:v>
                </c:pt>
                <c:pt idx="24">
                  <c:v>441494.09482758632</c:v>
                </c:pt>
                <c:pt idx="25">
                  <c:v>587427.16206896561</c:v>
                </c:pt>
                <c:pt idx="26">
                  <c:v>444237.12068965519</c:v>
                </c:pt>
                <c:pt idx="27">
                  <c:v>616860.82586206892</c:v>
                </c:pt>
                <c:pt idx="28">
                  <c:v>473400.20172413799</c:v>
                </c:pt>
                <c:pt idx="29">
                  <c:v>340290.44137931033</c:v>
                </c:pt>
                <c:pt idx="30">
                  <c:v>356986.24827586208</c:v>
                </c:pt>
                <c:pt idx="31">
                  <c:v>557333.13448275859</c:v>
                </c:pt>
                <c:pt idx="32">
                  <c:v>409485.48965517245</c:v>
                </c:pt>
                <c:pt idx="33">
                  <c:v>364475.88793103455</c:v>
                </c:pt>
                <c:pt idx="34">
                  <c:v>406865.58965517243</c:v>
                </c:pt>
                <c:pt idx="35">
                  <c:v>417143.02068965521</c:v>
                </c:pt>
                <c:pt idx="36">
                  <c:v>595234.92931034486</c:v>
                </c:pt>
                <c:pt idx="37">
                  <c:v>293158.29655172414</c:v>
                </c:pt>
                <c:pt idx="38">
                  <c:v>670898.21034482762</c:v>
                </c:pt>
                <c:pt idx="39">
                  <c:v>288042.93103448278</c:v>
                </c:pt>
                <c:pt idx="40">
                  <c:v>441921.60344827588</c:v>
                </c:pt>
                <c:pt idx="41">
                  <c:v>719427.3844827587</c:v>
                </c:pt>
                <c:pt idx="42">
                  <c:v>288158.41379310348</c:v>
                </c:pt>
                <c:pt idx="43">
                  <c:v>449738.12931034487</c:v>
                </c:pt>
                <c:pt idx="44">
                  <c:v>156902.10689655173</c:v>
                </c:pt>
                <c:pt idx="45">
                  <c:v>391187.08103448275</c:v>
                </c:pt>
                <c:pt idx="46">
                  <c:v>242483.27068965521</c:v>
                </c:pt>
                <c:pt idx="47">
                  <c:v>299957.54137931037</c:v>
                </c:pt>
                <c:pt idx="48">
                  <c:v>276545.36206896551</c:v>
                </c:pt>
                <c:pt idx="49">
                  <c:v>519265.77931034489</c:v>
                </c:pt>
                <c:pt idx="50">
                  <c:v>364621.43103448272</c:v>
                </c:pt>
                <c:pt idx="51">
                  <c:v>376276.6413793104</c:v>
                </c:pt>
                <c:pt idx="52">
                  <c:v>656127.24655172415</c:v>
                </c:pt>
                <c:pt idx="53">
                  <c:v>411887.95172413799</c:v>
                </c:pt>
                <c:pt idx="54">
                  <c:v>471063.8379310345</c:v>
                </c:pt>
                <c:pt idx="55">
                  <c:v>344636.1241379311</c:v>
                </c:pt>
                <c:pt idx="56">
                  <c:v>409473.25172413798</c:v>
                </c:pt>
                <c:pt idx="57">
                  <c:v>306948.08965517243</c:v>
                </c:pt>
                <c:pt idx="58">
                  <c:v>168590.93862068967</c:v>
                </c:pt>
                <c:pt idx="59">
                  <c:v>248092.32344827586</c:v>
                </c:pt>
                <c:pt idx="60">
                  <c:v>541232.43310344825</c:v>
                </c:pt>
                <c:pt idx="61">
                  <c:v>177539.26</c:v>
                </c:pt>
                <c:pt idx="62">
                  <c:v>297938.08551724139</c:v>
                </c:pt>
                <c:pt idx="63">
                  <c:v>304651.12206896557</c:v>
                </c:pt>
                <c:pt idx="64">
                  <c:v>230697.85379310348</c:v>
                </c:pt>
                <c:pt idx="65">
                  <c:v>282323.52551724139</c:v>
                </c:pt>
                <c:pt idx="66">
                  <c:v>368373.355862069</c:v>
                </c:pt>
                <c:pt idx="67">
                  <c:v>296370.82137931034</c:v>
                </c:pt>
                <c:pt idx="68">
                  <c:v>356045.67862068966</c:v>
                </c:pt>
                <c:pt idx="69">
                  <c:v>234907.98965517245</c:v>
                </c:pt>
                <c:pt idx="70">
                  <c:v>409068.76206896553</c:v>
                </c:pt>
                <c:pt idx="71">
                  <c:v>337260.55517241382</c:v>
                </c:pt>
                <c:pt idx="72">
                  <c:v>187309.99724137931</c:v>
                </c:pt>
                <c:pt idx="73">
                  <c:v>389572.39241379313</c:v>
                </c:pt>
                <c:pt idx="74">
                  <c:v>215155.52344827587</c:v>
                </c:pt>
                <c:pt idx="75">
                  <c:v>204112.49655172415</c:v>
                </c:pt>
                <c:pt idx="76">
                  <c:v>354036.32</c:v>
                </c:pt>
              </c:numCache>
            </c:numRef>
          </c:val>
          <c:smooth val="0"/>
        </c:ser>
        <c:ser>
          <c:idx val="2"/>
          <c:order val="2"/>
          <c:tx>
            <c:strRef>
              <c:f>FLORESTA!$A$2206</c:f>
              <c:strCache>
                <c:ptCount val="1"/>
                <c:pt idx="0">
                  <c:v>Ventas Punto de Venta</c:v>
                </c:pt>
              </c:strCache>
            </c:strRef>
          </c:tx>
          <c:spPr>
            <a:ln w="25400">
              <a:solidFill>
                <a:srgbClr val="0000FF"/>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FLORESTA!$B$2206:$BZ$2206</c:f>
              <c:numCache>
                <c:formatCode>_("$ "* #,##0_);_("$ "* \(#,##0\);_("$ "* \-??_);_(@_)</c:formatCode>
                <c:ptCount val="77"/>
                <c:pt idx="0">
                  <c:v>8759403.1672413815</c:v>
                </c:pt>
                <c:pt idx="1">
                  <c:v>13725038.968965519</c:v>
                </c:pt>
                <c:pt idx="2">
                  <c:v>14921828.650000002</c:v>
                </c:pt>
                <c:pt idx="3">
                  <c:v>19331352.544827588</c:v>
                </c:pt>
                <c:pt idx="4">
                  <c:v>13463344.684482761</c:v>
                </c:pt>
                <c:pt idx="5">
                  <c:v>17872044.218965519</c:v>
                </c:pt>
                <c:pt idx="6">
                  <c:v>16770205.377586208</c:v>
                </c:pt>
                <c:pt idx="7">
                  <c:v>19740773.056896552</c:v>
                </c:pt>
                <c:pt idx="8">
                  <c:v>20289471.577586208</c:v>
                </c:pt>
                <c:pt idx="9">
                  <c:v>20131174.429310348</c:v>
                </c:pt>
                <c:pt idx="10">
                  <c:v>17971139.355172414</c:v>
                </c:pt>
                <c:pt idx="11">
                  <c:v>19741206.489655174</c:v>
                </c:pt>
                <c:pt idx="12">
                  <c:v>18193225.239655174</c:v>
                </c:pt>
                <c:pt idx="13">
                  <c:v>24632163.005172417</c:v>
                </c:pt>
                <c:pt idx="14">
                  <c:v>21165418.298275862</c:v>
                </c:pt>
                <c:pt idx="15">
                  <c:v>19287274.491379313</c:v>
                </c:pt>
                <c:pt idx="16">
                  <c:v>18636671.372413795</c:v>
                </c:pt>
                <c:pt idx="17">
                  <c:v>16953057.891379312</c:v>
                </c:pt>
                <c:pt idx="18">
                  <c:v>16817971.13448276</c:v>
                </c:pt>
                <c:pt idx="19">
                  <c:v>18009919.998275865</c:v>
                </c:pt>
                <c:pt idx="20">
                  <c:v>18398380.30172414</c:v>
                </c:pt>
                <c:pt idx="21">
                  <c:v>18426104.044827588</c:v>
                </c:pt>
                <c:pt idx="22">
                  <c:v>16636025.560344828</c:v>
                </c:pt>
                <c:pt idx="23">
                  <c:v>18802185.391379312</c:v>
                </c:pt>
                <c:pt idx="24">
                  <c:v>17760730.918965518</c:v>
                </c:pt>
                <c:pt idx="25">
                  <c:v>14908778.163793104</c:v>
                </c:pt>
                <c:pt idx="26">
                  <c:v>17258608.841379311</c:v>
                </c:pt>
                <c:pt idx="27">
                  <c:v>20499288.318965521</c:v>
                </c:pt>
                <c:pt idx="28">
                  <c:v>17677353.324137934</c:v>
                </c:pt>
                <c:pt idx="29">
                  <c:v>16461591.477586208</c:v>
                </c:pt>
                <c:pt idx="30">
                  <c:v>16005954.448275864</c:v>
                </c:pt>
                <c:pt idx="31">
                  <c:v>16285077.220689658</c:v>
                </c:pt>
                <c:pt idx="32">
                  <c:v>15574567.294827588</c:v>
                </c:pt>
                <c:pt idx="33">
                  <c:v>16226414.748275865</c:v>
                </c:pt>
                <c:pt idx="34">
                  <c:v>17008710.910344828</c:v>
                </c:pt>
                <c:pt idx="35">
                  <c:v>20654769.967241384</c:v>
                </c:pt>
                <c:pt idx="36">
                  <c:v>14522997.951724138</c:v>
                </c:pt>
                <c:pt idx="37">
                  <c:v>18340803.955172416</c:v>
                </c:pt>
                <c:pt idx="38">
                  <c:v>15871629.501724141</c:v>
                </c:pt>
                <c:pt idx="39">
                  <c:v>15145103.482758621</c:v>
                </c:pt>
                <c:pt idx="40">
                  <c:v>15760419.872413795</c:v>
                </c:pt>
                <c:pt idx="41">
                  <c:v>14724255.718965519</c:v>
                </c:pt>
                <c:pt idx="42">
                  <c:v>13223340.448275864</c:v>
                </c:pt>
                <c:pt idx="43">
                  <c:v>10937787.994827587</c:v>
                </c:pt>
                <c:pt idx="44">
                  <c:v>12664360.955172414</c:v>
                </c:pt>
                <c:pt idx="45">
                  <c:v>12304857.218965517</c:v>
                </c:pt>
                <c:pt idx="46">
                  <c:v>14033724.665517244</c:v>
                </c:pt>
                <c:pt idx="47">
                  <c:v>12443558.996551726</c:v>
                </c:pt>
                <c:pt idx="48">
                  <c:v>14195857.763793105</c:v>
                </c:pt>
                <c:pt idx="49">
                  <c:v>13328658.41896552</c:v>
                </c:pt>
                <c:pt idx="50">
                  <c:v>12840855.922413794</c:v>
                </c:pt>
                <c:pt idx="51">
                  <c:v>12347195.774137931</c:v>
                </c:pt>
                <c:pt idx="52">
                  <c:v>11871803.589655172</c:v>
                </c:pt>
                <c:pt idx="53">
                  <c:v>11853082.720689654</c:v>
                </c:pt>
                <c:pt idx="54">
                  <c:v>12895493.629310345</c:v>
                </c:pt>
                <c:pt idx="55">
                  <c:v>12638066.575862071</c:v>
                </c:pt>
                <c:pt idx="56">
                  <c:v>14114537.725862071</c:v>
                </c:pt>
                <c:pt idx="57">
                  <c:v>14250570.505172415</c:v>
                </c:pt>
                <c:pt idx="58">
                  <c:v>12613007.011034483</c:v>
                </c:pt>
                <c:pt idx="59">
                  <c:v>14442202.155862069</c:v>
                </c:pt>
                <c:pt idx="60">
                  <c:v>17161963.824137934</c:v>
                </c:pt>
                <c:pt idx="61">
                  <c:v>14771607.252413796</c:v>
                </c:pt>
                <c:pt idx="62">
                  <c:v>15220809.694482761</c:v>
                </c:pt>
                <c:pt idx="63">
                  <c:v>15365519.104827587</c:v>
                </c:pt>
                <c:pt idx="64">
                  <c:v>15644494.782758623</c:v>
                </c:pt>
                <c:pt idx="65">
                  <c:v>16250825.132413793</c:v>
                </c:pt>
                <c:pt idx="66">
                  <c:v>14897325.099310348</c:v>
                </c:pt>
                <c:pt idx="67">
                  <c:v>12816394.13862069</c:v>
                </c:pt>
                <c:pt idx="68">
                  <c:v>13098862.382758621</c:v>
                </c:pt>
                <c:pt idx="69">
                  <c:v>11848181.608275862</c:v>
                </c:pt>
                <c:pt idx="70">
                  <c:v>12823998.393793104</c:v>
                </c:pt>
                <c:pt idx="71">
                  <c:v>12411332.322758622</c:v>
                </c:pt>
                <c:pt idx="72">
                  <c:v>12570477.932413794</c:v>
                </c:pt>
                <c:pt idx="73">
                  <c:v>13168772.710344829</c:v>
                </c:pt>
                <c:pt idx="74">
                  <c:v>12010470.135172414</c:v>
                </c:pt>
                <c:pt idx="75">
                  <c:v>13419542.67034483</c:v>
                </c:pt>
                <c:pt idx="76">
                  <c:v>11628242.272413794</c:v>
                </c:pt>
              </c:numCache>
            </c:numRef>
          </c:val>
          <c:smooth val="0"/>
        </c:ser>
        <c:ser>
          <c:idx val="3"/>
          <c:order val="3"/>
          <c:tx>
            <c:strRef>
              <c:f>FLORESTA!$A$2207</c:f>
              <c:strCache>
                <c:ptCount val="1"/>
                <c:pt idx="0">
                  <c:v>Ventas Punto de Venta Carryout </c:v>
                </c:pt>
              </c:strCache>
            </c:strRef>
          </c:tx>
          <c:spPr>
            <a:ln w="25400">
              <a:solidFill>
                <a:srgbClr val="339966"/>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FLORESTA!$B$2207:$BZ$2207</c:f>
              <c:numCache>
                <c:formatCode>_("$ "* #,##0_);_("$ "* \(#,##0\);_("$ "* \-??_);_(@_)</c:formatCode>
                <c:ptCount val="77"/>
                <c:pt idx="0">
                  <c:v>1781958.7862068969</c:v>
                </c:pt>
                <c:pt idx="1">
                  <c:v>2053052.0224137933</c:v>
                </c:pt>
                <c:pt idx="2">
                  <c:v>2882485.6172413798</c:v>
                </c:pt>
                <c:pt idx="3">
                  <c:v>1173029.0017241382</c:v>
                </c:pt>
                <c:pt idx="4">
                  <c:v>504757.83965517243</c:v>
                </c:pt>
                <c:pt idx="5">
                  <c:v>1496571.6172413796</c:v>
                </c:pt>
                <c:pt idx="6">
                  <c:v>1387145.2103448277</c:v>
                </c:pt>
                <c:pt idx="7">
                  <c:v>725121.13103448285</c:v>
                </c:pt>
                <c:pt idx="8">
                  <c:v>819314.20172413811</c:v>
                </c:pt>
                <c:pt idx="9">
                  <c:v>91709.589655172429</c:v>
                </c:pt>
                <c:pt idx="10">
                  <c:v>206272.68103448278</c:v>
                </c:pt>
                <c:pt idx="11">
                  <c:v>0</c:v>
                </c:pt>
                <c:pt idx="12">
                  <c:v>0</c:v>
                </c:pt>
                <c:pt idx="13">
                  <c:v>0</c:v>
                </c:pt>
                <c:pt idx="14">
                  <c:v>29803.494827586208</c:v>
                </c:pt>
                <c:pt idx="15">
                  <c:v>0</c:v>
                </c:pt>
                <c:pt idx="16">
                  <c:v>39779.372413793106</c:v>
                </c:pt>
                <c:pt idx="17">
                  <c:v>0</c:v>
                </c:pt>
                <c:pt idx="18">
                  <c:v>0</c:v>
                </c:pt>
                <c:pt idx="19">
                  <c:v>0</c:v>
                </c:pt>
                <c:pt idx="20">
                  <c:v>0</c:v>
                </c:pt>
                <c:pt idx="21">
                  <c:v>24606.939655172417</c:v>
                </c:pt>
                <c:pt idx="22">
                  <c:v>0</c:v>
                </c:pt>
                <c:pt idx="23">
                  <c:v>0</c:v>
                </c:pt>
                <c:pt idx="24">
                  <c:v>1460327.40862069</c:v>
                </c:pt>
                <c:pt idx="25">
                  <c:v>994982.46724137943</c:v>
                </c:pt>
                <c:pt idx="26">
                  <c:v>1344198.5034482761</c:v>
                </c:pt>
                <c:pt idx="27">
                  <c:v>1112613.3379310346</c:v>
                </c:pt>
                <c:pt idx="28">
                  <c:v>1672257.9689655171</c:v>
                </c:pt>
                <c:pt idx="29">
                  <c:v>2070754.7086206898</c:v>
                </c:pt>
                <c:pt idx="30">
                  <c:v>1693022.379310345</c:v>
                </c:pt>
                <c:pt idx="31">
                  <c:v>1932512.3534482759</c:v>
                </c:pt>
                <c:pt idx="32">
                  <c:v>2119982.5310344826</c:v>
                </c:pt>
                <c:pt idx="33">
                  <c:v>1498648.6603448279</c:v>
                </c:pt>
                <c:pt idx="34">
                  <c:v>2563784.1948275864</c:v>
                </c:pt>
                <c:pt idx="35">
                  <c:v>916944.91379310354</c:v>
                </c:pt>
                <c:pt idx="36">
                  <c:v>2526822.7517241384</c:v>
                </c:pt>
                <c:pt idx="37">
                  <c:v>3396006.7775862077</c:v>
                </c:pt>
                <c:pt idx="38">
                  <c:v>2436866.1379310349</c:v>
                </c:pt>
                <c:pt idx="39">
                  <c:v>1576058.8</c:v>
                </c:pt>
                <c:pt idx="40">
                  <c:v>2952377.8258620696</c:v>
                </c:pt>
                <c:pt idx="41">
                  <c:v>2482828.7862068964</c:v>
                </c:pt>
                <c:pt idx="42">
                  <c:v>1863058.6982758623</c:v>
                </c:pt>
                <c:pt idx="43">
                  <c:v>2034880.8396551725</c:v>
                </c:pt>
                <c:pt idx="44">
                  <c:v>2403001.522413793</c:v>
                </c:pt>
                <c:pt idx="45">
                  <c:v>1963733.7724137933</c:v>
                </c:pt>
                <c:pt idx="46">
                  <c:v>1921444.6379310349</c:v>
                </c:pt>
                <c:pt idx="47">
                  <c:v>1027470.355172414</c:v>
                </c:pt>
                <c:pt idx="48">
                  <c:v>2194115.5758620691</c:v>
                </c:pt>
                <c:pt idx="49">
                  <c:v>1732666.8293103452</c:v>
                </c:pt>
                <c:pt idx="50">
                  <c:v>2674176.6034482759</c:v>
                </c:pt>
                <c:pt idx="51">
                  <c:v>3217327.4862068971</c:v>
                </c:pt>
                <c:pt idx="52">
                  <c:v>2563652.431034483</c:v>
                </c:pt>
                <c:pt idx="53">
                  <c:v>2895997.5362068969</c:v>
                </c:pt>
                <c:pt idx="54">
                  <c:v>2672491.1086206902</c:v>
                </c:pt>
                <c:pt idx="55">
                  <c:v>1926650.0224137935</c:v>
                </c:pt>
                <c:pt idx="56">
                  <c:v>2580896.9724137932</c:v>
                </c:pt>
                <c:pt idx="57">
                  <c:v>2263348.898275862</c:v>
                </c:pt>
                <c:pt idx="58">
                  <c:v>2282108.2103448277</c:v>
                </c:pt>
                <c:pt idx="59">
                  <c:v>1970202.3400000003</c:v>
                </c:pt>
                <c:pt idx="60">
                  <c:v>2400945.3110344829</c:v>
                </c:pt>
                <c:pt idx="61">
                  <c:v>2168398.708275862</c:v>
                </c:pt>
                <c:pt idx="62">
                  <c:v>1786038.7572413795</c:v>
                </c:pt>
                <c:pt idx="63">
                  <c:v>2385461.8296551723</c:v>
                </c:pt>
                <c:pt idx="64">
                  <c:v>2332115.4558620695</c:v>
                </c:pt>
                <c:pt idx="65">
                  <c:v>2181735.6262068967</c:v>
                </c:pt>
                <c:pt idx="66">
                  <c:v>2509283.1075862069</c:v>
                </c:pt>
                <c:pt idx="67">
                  <c:v>1878593.502758621</c:v>
                </c:pt>
                <c:pt idx="68">
                  <c:v>2240032.5662068971</c:v>
                </c:pt>
                <c:pt idx="69">
                  <c:v>2009965.3868965518</c:v>
                </c:pt>
                <c:pt idx="70">
                  <c:v>1782722.2489655174</c:v>
                </c:pt>
                <c:pt idx="71">
                  <c:v>1631536.1193103448</c:v>
                </c:pt>
                <c:pt idx="72">
                  <c:v>2735492.455862069</c:v>
                </c:pt>
                <c:pt idx="73">
                  <c:v>2190314.8331034486</c:v>
                </c:pt>
                <c:pt idx="74">
                  <c:v>2136221.9924137932</c:v>
                </c:pt>
                <c:pt idx="75">
                  <c:v>2397088.6875862074</c:v>
                </c:pt>
                <c:pt idx="76">
                  <c:v>1941168.5317241382</c:v>
                </c:pt>
              </c:numCache>
            </c:numRef>
          </c:val>
          <c:smooth val="0"/>
        </c:ser>
        <c:ser>
          <c:idx val="4"/>
          <c:order val="4"/>
          <c:tx>
            <c:strRef>
              <c:f>FLORESTA!$A$2208</c:f>
              <c:strCache>
                <c:ptCount val="1"/>
                <c:pt idx="0">
                  <c:v>Ventas Punto de Venta Domicilio</c:v>
                </c:pt>
              </c:strCache>
            </c:strRef>
          </c:tx>
          <c:spPr>
            <a:ln w="25400">
              <a:solidFill>
                <a:srgbClr val="FF6600"/>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FLORESTA!$B$2208:$BZ$2208</c:f>
              <c:numCache>
                <c:formatCode>_("$ "* #,##0_);_("$ "* \(#,##0\);_("$ "* \-??_);_(@_)</c:formatCode>
                <c:ptCount val="77"/>
                <c:pt idx="0">
                  <c:v>99853.515517241394</c:v>
                </c:pt>
                <c:pt idx="1">
                  <c:v>22417.275862068967</c:v>
                </c:pt>
                <c:pt idx="2">
                  <c:v>17155.175862068969</c:v>
                </c:pt>
                <c:pt idx="3">
                  <c:v>0</c:v>
                </c:pt>
                <c:pt idx="4">
                  <c:v>0</c:v>
                </c:pt>
                <c:pt idx="5">
                  <c:v>0</c:v>
                </c:pt>
                <c:pt idx="6">
                  <c:v>111000.15344827587</c:v>
                </c:pt>
                <c:pt idx="7">
                  <c:v>119035.55000000002</c:v>
                </c:pt>
                <c:pt idx="8">
                  <c:v>0</c:v>
                </c:pt>
                <c:pt idx="9">
                  <c:v>82305.282758620699</c:v>
                </c:pt>
                <c:pt idx="10">
                  <c:v>96982.89827586207</c:v>
                </c:pt>
                <c:pt idx="11">
                  <c:v>0</c:v>
                </c:pt>
                <c:pt idx="12">
                  <c:v>0</c:v>
                </c:pt>
                <c:pt idx="13">
                  <c:v>73481.113793103461</c:v>
                </c:pt>
                <c:pt idx="14">
                  <c:v>0</c:v>
                </c:pt>
                <c:pt idx="15">
                  <c:v>0</c:v>
                </c:pt>
                <c:pt idx="16">
                  <c:v>0</c:v>
                </c:pt>
                <c:pt idx="17">
                  <c:v>31656.955172413796</c:v>
                </c:pt>
                <c:pt idx="18">
                  <c:v>0</c:v>
                </c:pt>
                <c:pt idx="19">
                  <c:v>0</c:v>
                </c:pt>
                <c:pt idx="20">
                  <c:v>0</c:v>
                </c:pt>
                <c:pt idx="21">
                  <c:v>0</c:v>
                </c:pt>
                <c:pt idx="22">
                  <c:v>0</c:v>
                </c:pt>
                <c:pt idx="23">
                  <c:v>0</c:v>
                </c:pt>
                <c:pt idx="24">
                  <c:v>0</c:v>
                </c:pt>
                <c:pt idx="25">
                  <c:v>0</c:v>
                </c:pt>
                <c:pt idx="26">
                  <c:v>128233.03448275864</c:v>
                </c:pt>
                <c:pt idx="27">
                  <c:v>0</c:v>
                </c:pt>
                <c:pt idx="28">
                  <c:v>0</c:v>
                </c:pt>
                <c:pt idx="29">
                  <c:v>0</c:v>
                </c:pt>
                <c:pt idx="30">
                  <c:v>0</c:v>
                </c:pt>
                <c:pt idx="31">
                  <c:v>0</c:v>
                </c:pt>
                <c:pt idx="32">
                  <c:v>0</c:v>
                </c:pt>
                <c:pt idx="33">
                  <c:v>0</c:v>
                </c:pt>
                <c:pt idx="34">
                  <c:v>79492.432758620693</c:v>
                </c:pt>
                <c:pt idx="35">
                  <c:v>0</c:v>
                </c:pt>
                <c:pt idx="36">
                  <c:v>0</c:v>
                </c:pt>
                <c:pt idx="37">
                  <c:v>101676.90344827587</c:v>
                </c:pt>
                <c:pt idx="38">
                  <c:v>21739.689655172417</c:v>
                </c:pt>
                <c:pt idx="39">
                  <c:v>0</c:v>
                </c:pt>
                <c:pt idx="40">
                  <c:v>37091.456896551725</c:v>
                </c:pt>
                <c:pt idx="41">
                  <c:v>0</c:v>
                </c:pt>
                <c:pt idx="42">
                  <c:v>32234.541379310351</c:v>
                </c:pt>
                <c:pt idx="43">
                  <c:v>0</c:v>
                </c:pt>
                <c:pt idx="44">
                  <c:v>55737.187931034488</c:v>
                </c:pt>
                <c:pt idx="45">
                  <c:v>0</c:v>
                </c:pt>
                <c:pt idx="46">
                  <c:v>0</c:v>
                </c:pt>
                <c:pt idx="47">
                  <c:v>0</c:v>
                </c:pt>
                <c:pt idx="48">
                  <c:v>0</c:v>
                </c:pt>
                <c:pt idx="49">
                  <c:v>19868.137931034486</c:v>
                </c:pt>
                <c:pt idx="50">
                  <c:v>0</c:v>
                </c:pt>
                <c:pt idx="51">
                  <c:v>0</c:v>
                </c:pt>
                <c:pt idx="52">
                  <c:v>0</c:v>
                </c:pt>
                <c:pt idx="53">
                  <c:v>0</c:v>
                </c:pt>
                <c:pt idx="54">
                  <c:v>0</c:v>
                </c:pt>
                <c:pt idx="55">
                  <c:v>0</c:v>
                </c:pt>
                <c:pt idx="56">
                  <c:v>24237.144827586209</c:v>
                </c:pt>
                <c:pt idx="57">
                  <c:v>0</c:v>
                </c:pt>
                <c:pt idx="58">
                  <c:v>0</c:v>
                </c:pt>
                <c:pt idx="59">
                  <c:v>0</c:v>
                </c:pt>
                <c:pt idx="60">
                  <c:v>136172.0827586207</c:v>
                </c:pt>
                <c:pt idx="61">
                  <c:v>0</c:v>
                </c:pt>
                <c:pt idx="62">
                  <c:v>139401.49655172415</c:v>
                </c:pt>
                <c:pt idx="63">
                  <c:v>0</c:v>
                </c:pt>
                <c:pt idx="64">
                  <c:v>0</c:v>
                </c:pt>
                <c:pt idx="65">
                  <c:v>0</c:v>
                </c:pt>
                <c:pt idx="66">
                  <c:v>0</c:v>
                </c:pt>
                <c:pt idx="67">
                  <c:v>106396.28482758622</c:v>
                </c:pt>
                <c:pt idx="68">
                  <c:v>71536.876551724141</c:v>
                </c:pt>
                <c:pt idx="69">
                  <c:v>0</c:v>
                </c:pt>
                <c:pt idx="70">
                  <c:v>50792.985517241388</c:v>
                </c:pt>
                <c:pt idx="71">
                  <c:v>0</c:v>
                </c:pt>
                <c:pt idx="72">
                  <c:v>0</c:v>
                </c:pt>
                <c:pt idx="73">
                  <c:v>78318.812413793115</c:v>
                </c:pt>
                <c:pt idx="74">
                  <c:v>0</c:v>
                </c:pt>
                <c:pt idx="75">
                  <c:v>98022.215172413795</c:v>
                </c:pt>
                <c:pt idx="76">
                  <c:v>0</c:v>
                </c:pt>
              </c:numCache>
            </c:numRef>
          </c:val>
          <c:smooth val="0"/>
        </c:ser>
        <c:ser>
          <c:idx val="5"/>
          <c:order val="5"/>
          <c:tx>
            <c:strRef>
              <c:f>FLORESTA!$A$2209</c:f>
              <c:strCache>
                <c:ptCount val="1"/>
                <c:pt idx="0">
                  <c:v>Cobro Domicilios </c:v>
                </c:pt>
              </c:strCache>
            </c:strRef>
          </c:tx>
          <c:spPr>
            <a:ln w="25400">
              <a:solidFill>
                <a:srgbClr val="800000"/>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FLORESTA!$B$2209:$BZ$2209</c:f>
              <c:numCache>
                <c:formatCode>_("$ "* #,##0_);_("$ "* \(#,##0\);_("$ "* \-??_);_(@_)</c:formatCode>
                <c:ptCount val="77"/>
                <c:pt idx="0">
                  <c:v>81890</c:v>
                </c:pt>
                <c:pt idx="1">
                  <c:v>232740</c:v>
                </c:pt>
                <c:pt idx="2">
                  <c:v>364195</c:v>
                </c:pt>
                <c:pt idx="3">
                  <c:v>450395</c:v>
                </c:pt>
                <c:pt idx="4">
                  <c:v>777955</c:v>
                </c:pt>
                <c:pt idx="5">
                  <c:v>577540</c:v>
                </c:pt>
                <c:pt idx="6">
                  <c:v>508580</c:v>
                </c:pt>
                <c:pt idx="7">
                  <c:v>584005</c:v>
                </c:pt>
                <c:pt idx="8">
                  <c:v>603400</c:v>
                </c:pt>
                <c:pt idx="9">
                  <c:v>506425</c:v>
                </c:pt>
                <c:pt idx="10">
                  <c:v>480565</c:v>
                </c:pt>
                <c:pt idx="11">
                  <c:v>402985</c:v>
                </c:pt>
                <c:pt idx="12">
                  <c:v>484875</c:v>
                </c:pt>
                <c:pt idx="13">
                  <c:v>603400</c:v>
                </c:pt>
                <c:pt idx="14">
                  <c:v>547370</c:v>
                </c:pt>
                <c:pt idx="15">
                  <c:v>676670</c:v>
                </c:pt>
                <c:pt idx="16">
                  <c:v>601245</c:v>
                </c:pt>
                <c:pt idx="17">
                  <c:v>668050</c:v>
                </c:pt>
                <c:pt idx="18">
                  <c:v>743475</c:v>
                </c:pt>
                <c:pt idx="19">
                  <c:v>816745</c:v>
                </c:pt>
                <c:pt idx="20">
                  <c:v>724080</c:v>
                </c:pt>
                <c:pt idx="21">
                  <c:v>762870</c:v>
                </c:pt>
                <c:pt idx="22">
                  <c:v>812435</c:v>
                </c:pt>
                <c:pt idx="23">
                  <c:v>1081810</c:v>
                </c:pt>
                <c:pt idx="24">
                  <c:v>896480</c:v>
                </c:pt>
                <c:pt idx="25">
                  <c:v>874930</c:v>
                </c:pt>
                <c:pt idx="26">
                  <c:v>872775</c:v>
                </c:pt>
                <c:pt idx="27">
                  <c:v>965440</c:v>
                </c:pt>
                <c:pt idx="28">
                  <c:v>958975</c:v>
                </c:pt>
                <c:pt idx="29">
                  <c:v>963285</c:v>
                </c:pt>
                <c:pt idx="30">
                  <c:v>1068880</c:v>
                </c:pt>
                <c:pt idx="31">
                  <c:v>971905</c:v>
                </c:pt>
                <c:pt idx="32">
                  <c:v>1051640</c:v>
                </c:pt>
                <c:pt idx="33">
                  <c:v>1045175</c:v>
                </c:pt>
                <c:pt idx="34">
                  <c:v>982680</c:v>
                </c:pt>
                <c:pt idx="35">
                  <c:v>857690</c:v>
                </c:pt>
                <c:pt idx="36">
                  <c:v>814590</c:v>
                </c:pt>
                <c:pt idx="37">
                  <c:v>898635</c:v>
                </c:pt>
                <c:pt idx="38">
                  <c:v>1032245</c:v>
                </c:pt>
                <c:pt idx="39">
                  <c:v>905100</c:v>
                </c:pt>
                <c:pt idx="40">
                  <c:v>890015</c:v>
                </c:pt>
                <c:pt idx="41">
                  <c:v>909410</c:v>
                </c:pt>
                <c:pt idx="42">
                  <c:v>933115</c:v>
                </c:pt>
                <c:pt idx="43">
                  <c:v>831830</c:v>
                </c:pt>
                <c:pt idx="44">
                  <c:v>862000</c:v>
                </c:pt>
                <c:pt idx="45">
                  <c:v>739165</c:v>
                </c:pt>
                <c:pt idx="46">
                  <c:v>730545</c:v>
                </c:pt>
                <c:pt idx="47">
                  <c:v>648655</c:v>
                </c:pt>
                <c:pt idx="48">
                  <c:v>680980</c:v>
                </c:pt>
                <c:pt idx="49">
                  <c:v>732700</c:v>
                </c:pt>
                <c:pt idx="50">
                  <c:v>724080</c:v>
                </c:pt>
                <c:pt idx="51">
                  <c:v>717615</c:v>
                </c:pt>
                <c:pt idx="52">
                  <c:v>775800</c:v>
                </c:pt>
                <c:pt idx="53">
                  <c:v>741320</c:v>
                </c:pt>
                <c:pt idx="54">
                  <c:v>737010</c:v>
                </c:pt>
                <c:pt idx="55">
                  <c:v>730545</c:v>
                </c:pt>
                <c:pt idx="56">
                  <c:v>790885</c:v>
                </c:pt>
                <c:pt idx="57">
                  <c:v>829675</c:v>
                </c:pt>
                <c:pt idx="58">
                  <c:v>876282</c:v>
                </c:pt>
                <c:pt idx="59">
                  <c:v>931804</c:v>
                </c:pt>
                <c:pt idx="60">
                  <c:v>844900</c:v>
                </c:pt>
                <c:pt idx="61">
                  <c:v>738684</c:v>
                </c:pt>
                <c:pt idx="62">
                  <c:v>639710</c:v>
                </c:pt>
                <c:pt idx="63">
                  <c:v>615570</c:v>
                </c:pt>
                <c:pt idx="64">
                  <c:v>589016</c:v>
                </c:pt>
                <c:pt idx="65">
                  <c:v>750754</c:v>
                </c:pt>
                <c:pt idx="66">
                  <c:v>743512</c:v>
                </c:pt>
                <c:pt idx="67">
                  <c:v>724200</c:v>
                </c:pt>
                <c:pt idx="68">
                  <c:v>743512</c:v>
                </c:pt>
                <c:pt idx="69">
                  <c:v>709716</c:v>
                </c:pt>
                <c:pt idx="70">
                  <c:v>782136</c:v>
                </c:pt>
                <c:pt idx="71">
                  <c:v>521424</c:v>
                </c:pt>
                <c:pt idx="72">
                  <c:v>608328</c:v>
                </c:pt>
                <c:pt idx="73">
                  <c:v>685576</c:v>
                </c:pt>
                <c:pt idx="74">
                  <c:v>550392</c:v>
                </c:pt>
                <c:pt idx="75">
                  <c:v>646952</c:v>
                </c:pt>
                <c:pt idx="76">
                  <c:v>630054</c:v>
                </c:pt>
              </c:numCache>
            </c:numRef>
          </c:val>
          <c:smooth val="0"/>
        </c:ser>
        <c:dLbls>
          <c:showLegendKey val="0"/>
          <c:showVal val="0"/>
          <c:showCatName val="0"/>
          <c:showSerName val="0"/>
          <c:showPercent val="0"/>
          <c:showBubbleSize val="0"/>
        </c:dLbls>
        <c:marker val="1"/>
        <c:smooth val="0"/>
        <c:axId val="304525312"/>
        <c:axId val="304527232"/>
      </c:lineChart>
      <c:catAx>
        <c:axId val="304525312"/>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8251066643718401"/>
              <c:y val="0.864745942233956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04527232"/>
        <c:crossesAt val="0"/>
        <c:auto val="1"/>
        <c:lblAlgn val="ctr"/>
        <c:lblOffset val="100"/>
        <c:tickLblSkip val="1"/>
        <c:tickMarkSkip val="1"/>
        <c:noMultiLvlLbl val="0"/>
      </c:catAx>
      <c:valAx>
        <c:axId val="304527232"/>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6.8801894366060101E-3"/>
              <c:y val="0.50554370282428696"/>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04525312"/>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88609696387811399"/>
          <c:y val="0.27679706932710502"/>
          <c:w val="0.106770182108456"/>
          <c:h val="0.474127165625292"/>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34135455147546301"/>
          <c:y val="4.6316491688540101E-2"/>
        </c:manualLayout>
      </c:layout>
      <c:overlay val="0"/>
      <c:spPr>
        <a:noFill/>
        <a:ln w="25400">
          <a:noFill/>
        </a:ln>
      </c:spPr>
    </c:title>
    <c:autoTitleDeleted val="0"/>
    <c:plotArea>
      <c:layout>
        <c:manualLayout>
          <c:layoutTarget val="inner"/>
          <c:xMode val="edge"/>
          <c:yMode val="edge"/>
          <c:x val="6.92551932460264E-2"/>
          <c:y val="0.173913043478266"/>
          <c:w val="0.80984171020680096"/>
          <c:h val="0.61684782608695699"/>
        </c:manualLayout>
      </c:layout>
      <c:lineChart>
        <c:grouping val="standard"/>
        <c:varyColors val="0"/>
        <c:ser>
          <c:idx val="0"/>
          <c:order val="0"/>
          <c:tx>
            <c:strRef>
              <c:f>FLORESTA!$A$2201</c:f>
              <c:strCache>
                <c:ptCount val="1"/>
                <c:pt idx="0">
                  <c:v>No. Pizzas vendidas</c:v>
                </c:pt>
              </c:strCache>
            </c:strRef>
          </c:tx>
          <c:spPr>
            <a:ln w="25400">
              <a:solidFill>
                <a:srgbClr val="000080"/>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FLORESTA!$B$2201:$BZ$2201</c:f>
              <c:numCache>
                <c:formatCode>General</c:formatCode>
                <c:ptCount val="77"/>
                <c:pt idx="0" formatCode="0">
                  <c:v>630</c:v>
                </c:pt>
                <c:pt idx="1">
                  <c:v>746</c:v>
                </c:pt>
                <c:pt idx="2" formatCode="0">
                  <c:v>884</c:v>
                </c:pt>
                <c:pt idx="3" formatCode="0">
                  <c:v>1089</c:v>
                </c:pt>
                <c:pt idx="4" formatCode="0">
                  <c:v>970</c:v>
                </c:pt>
                <c:pt idx="5" formatCode="0">
                  <c:v>1079</c:v>
                </c:pt>
                <c:pt idx="6" formatCode="0">
                  <c:v>1005</c:v>
                </c:pt>
                <c:pt idx="7" formatCode="0">
                  <c:v>1142</c:v>
                </c:pt>
                <c:pt idx="8" formatCode="0">
                  <c:v>1190</c:v>
                </c:pt>
                <c:pt idx="9" formatCode="0">
                  <c:v>1141</c:v>
                </c:pt>
                <c:pt idx="10" formatCode="0">
                  <c:v>1067</c:v>
                </c:pt>
                <c:pt idx="11" formatCode="0">
                  <c:v>1037</c:v>
                </c:pt>
                <c:pt idx="12" formatCode="0">
                  <c:v>1128</c:v>
                </c:pt>
                <c:pt idx="13" formatCode="0">
                  <c:v>1338</c:v>
                </c:pt>
                <c:pt idx="14" formatCode="0">
                  <c:v>1175</c:v>
                </c:pt>
                <c:pt idx="15" formatCode="0">
                  <c:v>1185</c:v>
                </c:pt>
                <c:pt idx="16" formatCode="0">
                  <c:v>1093</c:v>
                </c:pt>
                <c:pt idx="17" formatCode="0">
                  <c:v>1025</c:v>
                </c:pt>
                <c:pt idx="18" formatCode="0">
                  <c:v>1103</c:v>
                </c:pt>
                <c:pt idx="19" formatCode="0">
                  <c:v>1101</c:v>
                </c:pt>
                <c:pt idx="20" formatCode="0">
                  <c:v>1155</c:v>
                </c:pt>
                <c:pt idx="21" formatCode="0">
                  <c:v>1154</c:v>
                </c:pt>
                <c:pt idx="22" formatCode="0">
                  <c:v>1133</c:v>
                </c:pt>
                <c:pt idx="23" formatCode="0">
                  <c:v>1380</c:v>
                </c:pt>
                <c:pt idx="24" formatCode="0">
                  <c:v>1290</c:v>
                </c:pt>
                <c:pt idx="25" formatCode="0">
                  <c:v>1279</c:v>
                </c:pt>
                <c:pt idx="26" formatCode="0">
                  <c:v>1379</c:v>
                </c:pt>
                <c:pt idx="27" formatCode="0">
                  <c:v>1512</c:v>
                </c:pt>
                <c:pt idx="28" formatCode="0">
                  <c:v>1426</c:v>
                </c:pt>
                <c:pt idx="29" formatCode="0">
                  <c:v>1408</c:v>
                </c:pt>
                <c:pt idx="30" formatCode="0">
                  <c:v>1437</c:v>
                </c:pt>
                <c:pt idx="31" formatCode="0">
                  <c:v>1415</c:v>
                </c:pt>
                <c:pt idx="32" formatCode="0">
                  <c:v>1443</c:v>
                </c:pt>
                <c:pt idx="33" formatCode="0">
                  <c:v>1431</c:v>
                </c:pt>
                <c:pt idx="34" formatCode="0">
                  <c:v>1453</c:v>
                </c:pt>
                <c:pt idx="35" formatCode="0">
                  <c:v>1475</c:v>
                </c:pt>
                <c:pt idx="36" formatCode="0">
                  <c:v>1238</c:v>
                </c:pt>
                <c:pt idx="37" formatCode="0">
                  <c:v>1472</c:v>
                </c:pt>
                <c:pt idx="38" formatCode="0">
                  <c:v>1475</c:v>
                </c:pt>
                <c:pt idx="39" formatCode="0">
                  <c:v>1299</c:v>
                </c:pt>
                <c:pt idx="40" formatCode="0">
                  <c:v>1378</c:v>
                </c:pt>
                <c:pt idx="41" formatCode="0">
                  <c:v>1313</c:v>
                </c:pt>
                <c:pt idx="42" formatCode="0">
                  <c:v>1251</c:v>
                </c:pt>
                <c:pt idx="43" formatCode="0">
                  <c:v>1119</c:v>
                </c:pt>
                <c:pt idx="44" formatCode="0">
                  <c:v>1209</c:v>
                </c:pt>
                <c:pt idx="45" formatCode="0">
                  <c:v>1080</c:v>
                </c:pt>
                <c:pt idx="46" formatCode="0">
                  <c:v>1150</c:v>
                </c:pt>
                <c:pt idx="47" formatCode="0">
                  <c:v>978</c:v>
                </c:pt>
                <c:pt idx="48" formatCode="0">
                  <c:v>1112</c:v>
                </c:pt>
                <c:pt idx="49" formatCode="0">
                  <c:v>1110</c:v>
                </c:pt>
                <c:pt idx="50" formatCode="0">
                  <c:v>1143</c:v>
                </c:pt>
                <c:pt idx="51" formatCode="0">
                  <c:v>1114</c:v>
                </c:pt>
                <c:pt idx="52" formatCode="0">
                  <c:v>1123</c:v>
                </c:pt>
                <c:pt idx="53" formatCode="0">
                  <c:v>1066</c:v>
                </c:pt>
                <c:pt idx="54" formatCode="0">
                  <c:v>1132</c:v>
                </c:pt>
                <c:pt idx="55" formatCode="0">
                  <c:v>1067</c:v>
                </c:pt>
                <c:pt idx="56" formatCode="0">
                  <c:v>1219</c:v>
                </c:pt>
                <c:pt idx="57" formatCode="0">
                  <c:v>1201</c:v>
                </c:pt>
                <c:pt idx="58" formatCode="0">
                  <c:v>1122</c:v>
                </c:pt>
                <c:pt idx="59" formatCode="0">
                  <c:v>1205</c:v>
                </c:pt>
                <c:pt idx="60" formatCode="0">
                  <c:v>1307</c:v>
                </c:pt>
                <c:pt idx="61" formatCode="0">
                  <c:v>1116</c:v>
                </c:pt>
                <c:pt idx="62" formatCode="0">
                  <c:v>1094</c:v>
                </c:pt>
                <c:pt idx="63" formatCode="0">
                  <c:v>1074</c:v>
                </c:pt>
                <c:pt idx="64" formatCode="0">
                  <c:v>1122</c:v>
                </c:pt>
                <c:pt idx="65" formatCode="0">
                  <c:v>1199</c:v>
                </c:pt>
                <c:pt idx="66" formatCode="0">
                  <c:v>1169</c:v>
                </c:pt>
                <c:pt idx="67" formatCode="0">
                  <c:v>1016</c:v>
                </c:pt>
                <c:pt idx="68" formatCode="0">
                  <c:v>1066</c:v>
                </c:pt>
                <c:pt idx="69" formatCode="0">
                  <c:v>1000</c:v>
                </c:pt>
                <c:pt idx="70" formatCode="0">
                  <c:v>1073</c:v>
                </c:pt>
                <c:pt idx="71" formatCode="0">
                  <c:v>893</c:v>
                </c:pt>
                <c:pt idx="72" formatCode="0">
                  <c:v>960</c:v>
                </c:pt>
                <c:pt idx="73" formatCode="0">
                  <c:v>1058</c:v>
                </c:pt>
                <c:pt idx="74" formatCode="0">
                  <c:v>891</c:v>
                </c:pt>
                <c:pt idx="75" formatCode="0">
                  <c:v>1072</c:v>
                </c:pt>
                <c:pt idx="76" formatCode="0">
                  <c:v>924</c:v>
                </c:pt>
              </c:numCache>
            </c:numRef>
          </c:val>
          <c:smooth val="0"/>
        </c:ser>
        <c:ser>
          <c:idx val="1"/>
          <c:order val="1"/>
          <c:tx>
            <c:strRef>
              <c:f>FLORESTA!$A$2202</c:f>
              <c:strCache>
                <c:ptCount val="1"/>
                <c:pt idx="0">
                  <c:v>Total Tiquetes </c:v>
                </c:pt>
              </c:strCache>
            </c:strRef>
          </c:tx>
          <c:spPr>
            <a:ln w="25400">
              <a:solidFill>
                <a:srgbClr val="339966"/>
              </a:solidFill>
              <a:prstDash val="solid"/>
            </a:ln>
          </c:spPr>
          <c:marker>
            <c:symbol val="none"/>
          </c:marker>
          <c:cat>
            <c:strRef>
              <c:f>FLORESTA!$B$2200:$BZ$2200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FLORESTA!$B$2202:$BZ$2202</c:f>
              <c:numCache>
                <c:formatCode>0</c:formatCode>
                <c:ptCount val="77"/>
                <c:pt idx="0">
                  <c:v>463</c:v>
                </c:pt>
                <c:pt idx="1">
                  <c:v>706</c:v>
                </c:pt>
                <c:pt idx="2">
                  <c:v>861</c:v>
                </c:pt>
                <c:pt idx="3">
                  <c:v>1031</c:v>
                </c:pt>
                <c:pt idx="4">
                  <c:v>1023</c:v>
                </c:pt>
                <c:pt idx="5">
                  <c:v>1016</c:v>
                </c:pt>
                <c:pt idx="6">
                  <c:v>980</c:v>
                </c:pt>
                <c:pt idx="7">
                  <c:v>1098</c:v>
                </c:pt>
                <c:pt idx="8">
                  <c:v>1103</c:v>
                </c:pt>
                <c:pt idx="9">
                  <c:v>984</c:v>
                </c:pt>
                <c:pt idx="10">
                  <c:v>919</c:v>
                </c:pt>
                <c:pt idx="11">
                  <c:v>929</c:v>
                </c:pt>
                <c:pt idx="12">
                  <c:v>1000</c:v>
                </c:pt>
                <c:pt idx="13">
                  <c:v>1197</c:v>
                </c:pt>
                <c:pt idx="14">
                  <c:v>1043</c:v>
                </c:pt>
                <c:pt idx="15">
                  <c:v>1035</c:v>
                </c:pt>
                <c:pt idx="16">
                  <c:v>1006</c:v>
                </c:pt>
                <c:pt idx="17">
                  <c:v>958</c:v>
                </c:pt>
                <c:pt idx="18">
                  <c:v>976</c:v>
                </c:pt>
                <c:pt idx="19">
                  <c:v>1037</c:v>
                </c:pt>
                <c:pt idx="20">
                  <c:v>1036</c:v>
                </c:pt>
                <c:pt idx="21">
                  <c:v>1052</c:v>
                </c:pt>
                <c:pt idx="22">
                  <c:v>1012</c:v>
                </c:pt>
                <c:pt idx="23">
                  <c:v>1203</c:v>
                </c:pt>
                <c:pt idx="24">
                  <c:v>1080</c:v>
                </c:pt>
                <c:pt idx="25">
                  <c:v>1055</c:v>
                </c:pt>
                <c:pt idx="26">
                  <c:v>1135</c:v>
                </c:pt>
                <c:pt idx="27">
                  <c:v>1250</c:v>
                </c:pt>
                <c:pt idx="28">
                  <c:v>1194</c:v>
                </c:pt>
                <c:pt idx="29">
                  <c:v>1159</c:v>
                </c:pt>
                <c:pt idx="30">
                  <c:v>1162</c:v>
                </c:pt>
                <c:pt idx="31">
                  <c:v>1139</c:v>
                </c:pt>
                <c:pt idx="32">
                  <c:v>1156</c:v>
                </c:pt>
                <c:pt idx="33">
                  <c:v>1147</c:v>
                </c:pt>
                <c:pt idx="34">
                  <c:v>1173</c:v>
                </c:pt>
                <c:pt idx="35">
                  <c:v>1209</c:v>
                </c:pt>
                <c:pt idx="36">
                  <c:v>1037</c:v>
                </c:pt>
                <c:pt idx="37">
                  <c:v>1201</c:v>
                </c:pt>
                <c:pt idx="38">
                  <c:v>1191</c:v>
                </c:pt>
                <c:pt idx="39">
                  <c:v>1063</c:v>
                </c:pt>
                <c:pt idx="40">
                  <c:v>1117</c:v>
                </c:pt>
                <c:pt idx="41">
                  <c:v>1088</c:v>
                </c:pt>
                <c:pt idx="42">
                  <c:v>1041</c:v>
                </c:pt>
                <c:pt idx="43">
                  <c:v>914</c:v>
                </c:pt>
                <c:pt idx="44">
                  <c:v>992</c:v>
                </c:pt>
                <c:pt idx="45">
                  <c:v>899</c:v>
                </c:pt>
                <c:pt idx="46">
                  <c:v>954</c:v>
                </c:pt>
                <c:pt idx="47">
                  <c:v>824</c:v>
                </c:pt>
                <c:pt idx="48">
                  <c:v>934</c:v>
                </c:pt>
                <c:pt idx="49">
                  <c:v>912</c:v>
                </c:pt>
                <c:pt idx="50">
                  <c:v>953</c:v>
                </c:pt>
                <c:pt idx="51">
                  <c:v>912</c:v>
                </c:pt>
                <c:pt idx="52">
                  <c:v>937</c:v>
                </c:pt>
                <c:pt idx="53">
                  <c:v>904</c:v>
                </c:pt>
                <c:pt idx="54">
                  <c:v>947</c:v>
                </c:pt>
                <c:pt idx="55">
                  <c:v>910</c:v>
                </c:pt>
                <c:pt idx="56">
                  <c:v>1009</c:v>
                </c:pt>
                <c:pt idx="57">
                  <c:v>1006</c:v>
                </c:pt>
                <c:pt idx="58">
                  <c:v>908</c:v>
                </c:pt>
                <c:pt idx="59">
                  <c:v>1036</c:v>
                </c:pt>
                <c:pt idx="60">
                  <c:v>1102</c:v>
                </c:pt>
                <c:pt idx="61">
                  <c:v>957</c:v>
                </c:pt>
                <c:pt idx="62">
                  <c:v>945</c:v>
                </c:pt>
                <c:pt idx="63">
                  <c:v>919</c:v>
                </c:pt>
                <c:pt idx="64">
                  <c:v>941</c:v>
                </c:pt>
                <c:pt idx="65">
                  <c:v>1015</c:v>
                </c:pt>
                <c:pt idx="66">
                  <c:v>965</c:v>
                </c:pt>
                <c:pt idx="67">
                  <c:v>867</c:v>
                </c:pt>
                <c:pt idx="68">
                  <c:v>930</c:v>
                </c:pt>
                <c:pt idx="69">
                  <c:v>848</c:v>
                </c:pt>
                <c:pt idx="70">
                  <c:v>910</c:v>
                </c:pt>
                <c:pt idx="71">
                  <c:v>774</c:v>
                </c:pt>
                <c:pt idx="72">
                  <c:v>814</c:v>
                </c:pt>
                <c:pt idx="73">
                  <c:v>872</c:v>
                </c:pt>
                <c:pt idx="74">
                  <c:v>776</c:v>
                </c:pt>
                <c:pt idx="75">
                  <c:v>872</c:v>
                </c:pt>
                <c:pt idx="76">
                  <c:v>752</c:v>
                </c:pt>
              </c:numCache>
            </c:numRef>
          </c:val>
          <c:smooth val="0"/>
        </c:ser>
        <c:dLbls>
          <c:showLegendKey val="0"/>
          <c:showVal val="0"/>
          <c:showCatName val="0"/>
          <c:showSerName val="0"/>
          <c:showPercent val="0"/>
          <c:showBubbleSize val="0"/>
        </c:dLbls>
        <c:marker val="1"/>
        <c:smooth val="0"/>
        <c:axId val="299668224"/>
        <c:axId val="299670144"/>
      </c:lineChart>
      <c:catAx>
        <c:axId val="299668224"/>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88466371702278002"/>
              <c:y val="0.826086956521739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299670144"/>
        <c:crossesAt val="0"/>
        <c:auto val="1"/>
        <c:lblAlgn val="ctr"/>
        <c:lblOffset val="100"/>
        <c:tickLblSkip val="1"/>
        <c:tickMarkSkip val="1"/>
        <c:noMultiLvlLbl val="0"/>
      </c:catAx>
      <c:valAx>
        <c:axId val="299670144"/>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8.5051355901334096E-3"/>
              <c:y val="0.4646739130434779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299668224"/>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89564169548901396"/>
          <c:y val="0.381340579710155"/>
          <c:w val="9.2125542718375197E-2"/>
          <c:h val="0.179891294838147"/>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Cedritos</a:t>
            </a:r>
          </a:p>
        </c:rich>
      </c:tx>
      <c:layout>
        <c:manualLayout>
          <c:xMode val="edge"/>
          <c:yMode val="edge"/>
          <c:x val="0.28844682478959499"/>
          <c:y val="4.42260442260443E-2"/>
        </c:manualLayout>
      </c:layout>
      <c:overlay val="0"/>
      <c:spPr>
        <a:noFill/>
        <a:ln w="25400">
          <a:noFill/>
        </a:ln>
      </c:spPr>
    </c:title>
    <c:autoTitleDeleted val="0"/>
    <c:plotArea>
      <c:layout>
        <c:manualLayout>
          <c:layoutTarget val="inner"/>
          <c:xMode val="edge"/>
          <c:yMode val="edge"/>
          <c:x val="9.2041014015667499E-2"/>
          <c:y val="0.15233415233415201"/>
          <c:w val="0.76870876592187198"/>
          <c:h val="0.65847665847665904"/>
        </c:manualLayout>
      </c:layout>
      <c:lineChart>
        <c:grouping val="standard"/>
        <c:varyColors val="0"/>
        <c:ser>
          <c:idx val="0"/>
          <c:order val="0"/>
          <c:tx>
            <c:strRef>
              <c:f>CEDRITOS!$A$2299</c:f>
              <c:strCache>
                <c:ptCount val="1"/>
                <c:pt idx="0">
                  <c:v>Ventas Domicilio</c:v>
                </c:pt>
              </c:strCache>
            </c:strRef>
          </c:tx>
          <c:spPr>
            <a:ln w="25400">
              <a:solidFill>
                <a:srgbClr val="000080"/>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CEDRITOS!$B$2299:$CE$2299</c:f>
              <c:numCache>
                <c:formatCode>_("$ "* #,##0_);_("$ "* \(#,##0\);_("$ "* \-??_);_(@_)</c:formatCode>
                <c:ptCount val="82"/>
                <c:pt idx="0">
                  <c:v>5944811.7310344838</c:v>
                </c:pt>
                <c:pt idx="1">
                  <c:v>8870154.612068966</c:v>
                </c:pt>
                <c:pt idx="2">
                  <c:v>10830645.70862069</c:v>
                </c:pt>
                <c:pt idx="3">
                  <c:v>9447773.1275862083</c:v>
                </c:pt>
                <c:pt idx="4">
                  <c:v>10018633.806896552</c:v>
                </c:pt>
                <c:pt idx="5">
                  <c:v>10682123.503448276</c:v>
                </c:pt>
                <c:pt idx="6">
                  <c:v>13597483.232758623</c:v>
                </c:pt>
                <c:pt idx="7">
                  <c:v>15402135.865517242</c:v>
                </c:pt>
                <c:pt idx="8">
                  <c:v>18667741.879310347</c:v>
                </c:pt>
                <c:pt idx="9">
                  <c:v>17203522.08275862</c:v>
                </c:pt>
                <c:pt idx="10">
                  <c:v>19650692.34310345</c:v>
                </c:pt>
                <c:pt idx="11">
                  <c:v>18857104.548275862</c:v>
                </c:pt>
                <c:pt idx="12">
                  <c:v>19014453.687931035</c:v>
                </c:pt>
                <c:pt idx="13">
                  <c:v>21599180.382758621</c:v>
                </c:pt>
                <c:pt idx="14">
                  <c:v>19693989.401724137</c:v>
                </c:pt>
                <c:pt idx="15">
                  <c:v>18806369.656896554</c:v>
                </c:pt>
                <c:pt idx="16">
                  <c:v>16018316.227586208</c:v>
                </c:pt>
                <c:pt idx="17">
                  <c:v>16241503.837931035</c:v>
                </c:pt>
                <c:pt idx="18">
                  <c:v>21845346.146551728</c:v>
                </c:pt>
                <c:pt idx="19">
                  <c:v>21572619.005172413</c:v>
                </c:pt>
                <c:pt idx="20">
                  <c:v>20884874.117241379</c:v>
                </c:pt>
                <c:pt idx="21">
                  <c:v>23005799.084482759</c:v>
                </c:pt>
                <c:pt idx="22">
                  <c:v>23928754.229310349</c:v>
                </c:pt>
                <c:pt idx="23">
                  <c:v>23169801.058620691</c:v>
                </c:pt>
                <c:pt idx="24">
                  <c:v>24236436.443103448</c:v>
                </c:pt>
                <c:pt idx="25">
                  <c:v>28322116.363793109</c:v>
                </c:pt>
                <c:pt idx="26">
                  <c:v>24678016.389655177</c:v>
                </c:pt>
                <c:pt idx="27">
                  <c:v>20766696.874137934</c:v>
                </c:pt>
                <c:pt idx="28">
                  <c:v>27043246.791379314</c:v>
                </c:pt>
                <c:pt idx="29">
                  <c:v>24597279.948275864</c:v>
                </c:pt>
                <c:pt idx="30">
                  <c:v>27261264.044827592</c:v>
                </c:pt>
                <c:pt idx="31">
                  <c:v>28739851.879310347</c:v>
                </c:pt>
                <c:pt idx="32">
                  <c:v>28807747.1862069</c:v>
                </c:pt>
                <c:pt idx="33">
                  <c:v>28735250.929310352</c:v>
                </c:pt>
                <c:pt idx="34">
                  <c:v>24500198.908620693</c:v>
                </c:pt>
                <c:pt idx="35">
                  <c:v>28026245.606896549</c:v>
                </c:pt>
                <c:pt idx="36">
                  <c:v>25990503.913793109</c:v>
                </c:pt>
                <c:pt idx="37">
                  <c:v>26947496.663793102</c:v>
                </c:pt>
                <c:pt idx="38">
                  <c:v>26538398.563793108</c:v>
                </c:pt>
                <c:pt idx="39">
                  <c:v>32025969.422413796</c:v>
                </c:pt>
                <c:pt idx="40">
                  <c:v>25154909.70862069</c:v>
                </c:pt>
                <c:pt idx="41">
                  <c:v>25121007.375862073</c:v>
                </c:pt>
                <c:pt idx="42">
                  <c:v>26534667.641379312</c:v>
                </c:pt>
                <c:pt idx="43">
                  <c:v>30058354.567241382</c:v>
                </c:pt>
                <c:pt idx="44">
                  <c:v>23674510.629310347</c:v>
                </c:pt>
                <c:pt idx="45">
                  <c:v>27791171.315517243</c:v>
                </c:pt>
                <c:pt idx="46">
                  <c:v>26519229.537931036</c:v>
                </c:pt>
                <c:pt idx="47">
                  <c:v>25995642.89827586</c:v>
                </c:pt>
                <c:pt idx="48">
                  <c:v>24821707.496551726</c:v>
                </c:pt>
                <c:pt idx="49">
                  <c:v>27270506.955172416</c:v>
                </c:pt>
                <c:pt idx="50">
                  <c:v>22215468.456896555</c:v>
                </c:pt>
                <c:pt idx="51">
                  <c:v>24486718.282758623</c:v>
                </c:pt>
                <c:pt idx="52">
                  <c:v>21799511.405172415</c:v>
                </c:pt>
                <c:pt idx="53">
                  <c:v>23245388.070689656</c:v>
                </c:pt>
                <c:pt idx="54">
                  <c:v>23083256.346551724</c:v>
                </c:pt>
                <c:pt idx="55">
                  <c:v>21403505.055172417</c:v>
                </c:pt>
                <c:pt idx="56">
                  <c:v>23668890.653448276</c:v>
                </c:pt>
                <c:pt idx="57">
                  <c:v>22527111.413793106</c:v>
                </c:pt>
                <c:pt idx="58">
                  <c:v>27655194.558620691</c:v>
                </c:pt>
                <c:pt idx="59">
                  <c:v>21548147.327586211</c:v>
                </c:pt>
                <c:pt idx="60">
                  <c:v>25429703.932758622</c:v>
                </c:pt>
                <c:pt idx="61">
                  <c:v>27394173.165517248</c:v>
                </c:pt>
                <c:pt idx="62">
                  <c:v>27286704.76896552</c:v>
                </c:pt>
                <c:pt idx="63">
                  <c:v>26609865.352413796</c:v>
                </c:pt>
                <c:pt idx="64">
                  <c:v>27068044.313103452</c:v>
                </c:pt>
                <c:pt idx="65">
                  <c:v>27512525.177931033</c:v>
                </c:pt>
                <c:pt idx="66">
                  <c:v>23191081.085517246</c:v>
                </c:pt>
                <c:pt idx="67">
                  <c:v>18877201.199310347</c:v>
                </c:pt>
                <c:pt idx="68">
                  <c:v>15101981.206896555</c:v>
                </c:pt>
                <c:pt idx="69">
                  <c:v>17489161.960689656</c:v>
                </c:pt>
                <c:pt idx="70">
                  <c:v>21519013.452413794</c:v>
                </c:pt>
                <c:pt idx="71">
                  <c:v>22759709.720000003</c:v>
                </c:pt>
                <c:pt idx="72">
                  <c:v>20822881.906206898</c:v>
                </c:pt>
                <c:pt idx="73">
                  <c:v>23032662.713103451</c:v>
                </c:pt>
                <c:pt idx="74">
                  <c:v>23216786.288965516</c:v>
                </c:pt>
                <c:pt idx="75">
                  <c:v>20953240.157241382</c:v>
                </c:pt>
                <c:pt idx="76">
                  <c:v>22611143.321379311</c:v>
                </c:pt>
                <c:pt idx="77">
                  <c:v>24727616.249655176</c:v>
                </c:pt>
                <c:pt idx="78">
                  <c:v>25340901.72137931</c:v>
                </c:pt>
                <c:pt idx="79">
                  <c:v>22860641.828275863</c:v>
                </c:pt>
                <c:pt idx="80">
                  <c:v>24826405.597931035</c:v>
                </c:pt>
                <c:pt idx="81">
                  <c:v>16776633.633793104</c:v>
                </c:pt>
              </c:numCache>
            </c:numRef>
          </c:val>
          <c:smooth val="0"/>
        </c:ser>
        <c:ser>
          <c:idx val="1"/>
          <c:order val="1"/>
          <c:tx>
            <c:strRef>
              <c:f>CEDRITOS!$A$2300</c:f>
              <c:strCache>
                <c:ptCount val="1"/>
                <c:pt idx="0">
                  <c:v>Ventas Domicilio Carry Out </c:v>
                </c:pt>
              </c:strCache>
            </c:strRef>
          </c:tx>
          <c:spPr>
            <a:ln w="25400">
              <a:solidFill>
                <a:srgbClr val="FF00FF"/>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CEDRITOS!$B$2300:$CE$2300</c:f>
              <c:numCache>
                <c:formatCode>_("$ "* #,##0_);_("$ "* \(#,##0\);_("$ "* \-??_);_(@_)</c:formatCode>
                <c:ptCount val="82"/>
                <c:pt idx="0">
                  <c:v>4992220.4879310355</c:v>
                </c:pt>
                <c:pt idx="1">
                  <c:v>6444517.2603448275</c:v>
                </c:pt>
                <c:pt idx="2">
                  <c:v>6531938.5775862075</c:v>
                </c:pt>
                <c:pt idx="3">
                  <c:v>4722784.3379310351</c:v>
                </c:pt>
                <c:pt idx="4">
                  <c:v>2043811.4051724139</c:v>
                </c:pt>
                <c:pt idx="5">
                  <c:v>1399394.9448275864</c:v>
                </c:pt>
                <c:pt idx="6">
                  <c:v>448871.30172413797</c:v>
                </c:pt>
                <c:pt idx="7">
                  <c:v>0</c:v>
                </c:pt>
                <c:pt idx="8">
                  <c:v>80065.089655172429</c:v>
                </c:pt>
                <c:pt idx="9">
                  <c:v>56718.284482758623</c:v>
                </c:pt>
                <c:pt idx="10">
                  <c:v>0</c:v>
                </c:pt>
                <c:pt idx="11">
                  <c:v>0</c:v>
                </c:pt>
                <c:pt idx="12">
                  <c:v>0</c:v>
                </c:pt>
                <c:pt idx="13">
                  <c:v>49793.265517241387</c:v>
                </c:pt>
                <c:pt idx="14">
                  <c:v>0</c:v>
                </c:pt>
                <c:pt idx="15">
                  <c:v>690561.6086206896</c:v>
                </c:pt>
                <c:pt idx="16">
                  <c:v>306860.44137931033</c:v>
                </c:pt>
                <c:pt idx="17">
                  <c:v>599284.65862068976</c:v>
                </c:pt>
                <c:pt idx="18">
                  <c:v>783743.20000000007</c:v>
                </c:pt>
                <c:pt idx="19">
                  <c:v>1415199.4724137932</c:v>
                </c:pt>
                <c:pt idx="20">
                  <c:v>905236.57758620696</c:v>
                </c:pt>
                <c:pt idx="21">
                  <c:v>1110304.0741379312</c:v>
                </c:pt>
                <c:pt idx="22">
                  <c:v>941668.36034482764</c:v>
                </c:pt>
                <c:pt idx="23">
                  <c:v>1032368.0982758622</c:v>
                </c:pt>
                <c:pt idx="24">
                  <c:v>475956.02413793106</c:v>
                </c:pt>
                <c:pt idx="25">
                  <c:v>967634.66724137939</c:v>
                </c:pt>
                <c:pt idx="26">
                  <c:v>1273943.9931034483</c:v>
                </c:pt>
                <c:pt idx="27">
                  <c:v>789220.05517241382</c:v>
                </c:pt>
                <c:pt idx="28">
                  <c:v>1163774.0741379312</c:v>
                </c:pt>
                <c:pt idx="29">
                  <c:v>1476599.7931034486</c:v>
                </c:pt>
                <c:pt idx="30">
                  <c:v>985113.97586206917</c:v>
                </c:pt>
                <c:pt idx="31">
                  <c:v>994107.82758620696</c:v>
                </c:pt>
                <c:pt idx="32">
                  <c:v>1335797.6051724139</c:v>
                </c:pt>
                <c:pt idx="33">
                  <c:v>968055.33620689658</c:v>
                </c:pt>
                <c:pt idx="34">
                  <c:v>1593445.0982758622</c:v>
                </c:pt>
                <c:pt idx="35">
                  <c:v>1164188.0655172416</c:v>
                </c:pt>
                <c:pt idx="36">
                  <c:v>1250560.5206896553</c:v>
                </c:pt>
                <c:pt idx="37">
                  <c:v>1077912.5241379312</c:v>
                </c:pt>
                <c:pt idx="38">
                  <c:v>1041423.6275862069</c:v>
                </c:pt>
                <c:pt idx="39">
                  <c:v>1551593.6741379313</c:v>
                </c:pt>
                <c:pt idx="40">
                  <c:v>785538.23793103453</c:v>
                </c:pt>
                <c:pt idx="41">
                  <c:v>994786.31206896552</c:v>
                </c:pt>
                <c:pt idx="42">
                  <c:v>1203947.4655172415</c:v>
                </c:pt>
                <c:pt idx="43">
                  <c:v>1562285.801724138</c:v>
                </c:pt>
                <c:pt idx="44">
                  <c:v>842580.60344827594</c:v>
                </c:pt>
                <c:pt idx="45">
                  <c:v>959574.07413793099</c:v>
                </c:pt>
                <c:pt idx="46">
                  <c:v>1035665.1293103449</c:v>
                </c:pt>
                <c:pt idx="47">
                  <c:v>1141192.2293103449</c:v>
                </c:pt>
                <c:pt idx="48">
                  <c:v>866120.30172413809</c:v>
                </c:pt>
                <c:pt idx="49">
                  <c:v>1059439.1689655173</c:v>
                </c:pt>
                <c:pt idx="50">
                  <c:v>1100890.25</c:v>
                </c:pt>
                <c:pt idx="51">
                  <c:v>1145000.6275862069</c:v>
                </c:pt>
                <c:pt idx="52">
                  <c:v>1374663.5775862071</c:v>
                </c:pt>
                <c:pt idx="53">
                  <c:v>1023713.5568965517</c:v>
                </c:pt>
                <c:pt idx="54">
                  <c:v>1079981.6982758623</c:v>
                </c:pt>
                <c:pt idx="55">
                  <c:v>819008.95000000019</c:v>
                </c:pt>
                <c:pt idx="56">
                  <c:v>996186.42241379316</c:v>
                </c:pt>
                <c:pt idx="57">
                  <c:v>1042137.5</c:v>
                </c:pt>
                <c:pt idx="58">
                  <c:v>725447.5396551725</c:v>
                </c:pt>
                <c:pt idx="59">
                  <c:v>1153052.4706896553</c:v>
                </c:pt>
                <c:pt idx="60">
                  <c:v>719082.71551724151</c:v>
                </c:pt>
                <c:pt idx="61">
                  <c:v>475580.35344827588</c:v>
                </c:pt>
                <c:pt idx="62">
                  <c:v>653479.28965517238</c:v>
                </c:pt>
                <c:pt idx="63">
                  <c:v>584266.02965517249</c:v>
                </c:pt>
                <c:pt idx="64">
                  <c:v>396599.80413793109</c:v>
                </c:pt>
                <c:pt idx="65">
                  <c:v>404665.87862068973</c:v>
                </c:pt>
                <c:pt idx="66">
                  <c:v>346114.82551724138</c:v>
                </c:pt>
                <c:pt idx="67">
                  <c:v>538136.61655172426</c:v>
                </c:pt>
                <c:pt idx="68">
                  <c:v>493574.03517241392</c:v>
                </c:pt>
                <c:pt idx="69">
                  <c:v>409118.11448275862</c:v>
                </c:pt>
                <c:pt idx="70">
                  <c:v>308805.48551724141</c:v>
                </c:pt>
                <c:pt idx="71">
                  <c:v>481784.05103448278</c:v>
                </c:pt>
                <c:pt idx="72">
                  <c:v>383287.89862068964</c:v>
                </c:pt>
                <c:pt idx="73">
                  <c:v>279368.53862068971</c:v>
                </c:pt>
                <c:pt idx="74">
                  <c:v>258762.61379310349</c:v>
                </c:pt>
                <c:pt idx="75">
                  <c:v>470078.89931034495</c:v>
                </c:pt>
                <c:pt idx="76">
                  <c:v>636626.37655172416</c:v>
                </c:pt>
                <c:pt idx="77">
                  <c:v>872475.35655172425</c:v>
                </c:pt>
                <c:pt idx="78">
                  <c:v>793233.48965517245</c:v>
                </c:pt>
                <c:pt idx="79">
                  <c:v>468096.09310344834</c:v>
                </c:pt>
                <c:pt idx="80">
                  <c:v>581222.27103448287</c:v>
                </c:pt>
                <c:pt idx="81">
                  <c:v>373341.49172413797</c:v>
                </c:pt>
              </c:numCache>
            </c:numRef>
          </c:val>
          <c:smooth val="0"/>
        </c:ser>
        <c:ser>
          <c:idx val="2"/>
          <c:order val="2"/>
          <c:tx>
            <c:strRef>
              <c:f>CEDRITOS!$A$2301</c:f>
              <c:strCache>
                <c:ptCount val="1"/>
                <c:pt idx="0">
                  <c:v>Ventas Punto de Venta</c:v>
                </c:pt>
              </c:strCache>
            </c:strRef>
          </c:tx>
          <c:spPr>
            <a:ln w="25400">
              <a:solidFill>
                <a:srgbClr val="0000FF"/>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CEDRITOS!$B$2301:$CE$2301</c:f>
              <c:numCache>
                <c:formatCode>_("$ "* #,##0_);_("$ "* \(#,##0\);_("$ "* \-??_);_(@_)</c:formatCode>
                <c:ptCount val="82"/>
                <c:pt idx="0">
                  <c:v>5198087.2637931043</c:v>
                </c:pt>
                <c:pt idx="1">
                  <c:v>7745817.955172414</c:v>
                </c:pt>
                <c:pt idx="2">
                  <c:v>8013592.7137931054</c:v>
                </c:pt>
                <c:pt idx="3">
                  <c:v>6592316.1310344841</c:v>
                </c:pt>
                <c:pt idx="4">
                  <c:v>9648140.6327586211</c:v>
                </c:pt>
                <c:pt idx="5">
                  <c:v>10214136.839655172</c:v>
                </c:pt>
                <c:pt idx="6">
                  <c:v>10016554.232758623</c:v>
                </c:pt>
                <c:pt idx="7">
                  <c:v>9262818.1603448279</c:v>
                </c:pt>
                <c:pt idx="8">
                  <c:v>8725256.5448275879</c:v>
                </c:pt>
                <c:pt idx="9">
                  <c:v>9046580.0620689653</c:v>
                </c:pt>
                <c:pt idx="10">
                  <c:v>9762649.2258620709</c:v>
                </c:pt>
                <c:pt idx="11">
                  <c:v>8870186.0931034498</c:v>
                </c:pt>
                <c:pt idx="12">
                  <c:v>8804821.9465517253</c:v>
                </c:pt>
                <c:pt idx="13">
                  <c:v>11878442.674137933</c:v>
                </c:pt>
                <c:pt idx="14">
                  <c:v>9356284.0344827585</c:v>
                </c:pt>
                <c:pt idx="15">
                  <c:v>7687008.1017241385</c:v>
                </c:pt>
                <c:pt idx="16">
                  <c:v>7229665.2586206906</c:v>
                </c:pt>
                <c:pt idx="17">
                  <c:v>8881947.9672413785</c:v>
                </c:pt>
                <c:pt idx="18">
                  <c:v>9774972.4086206909</c:v>
                </c:pt>
                <c:pt idx="19">
                  <c:v>8925442.6706896555</c:v>
                </c:pt>
                <c:pt idx="20">
                  <c:v>10343756.086206896</c:v>
                </c:pt>
                <c:pt idx="21">
                  <c:v>9499792.5551724155</c:v>
                </c:pt>
                <c:pt idx="22">
                  <c:v>8316509.179310346</c:v>
                </c:pt>
                <c:pt idx="23">
                  <c:v>9372754.794827586</c:v>
                </c:pt>
                <c:pt idx="24">
                  <c:v>10474864.856896553</c:v>
                </c:pt>
                <c:pt idx="25">
                  <c:v>8546749.1741379313</c:v>
                </c:pt>
                <c:pt idx="26">
                  <c:v>9842215.1775862072</c:v>
                </c:pt>
                <c:pt idx="27">
                  <c:v>7198639.8586206902</c:v>
                </c:pt>
                <c:pt idx="28">
                  <c:v>8667036.860344829</c:v>
                </c:pt>
                <c:pt idx="29">
                  <c:v>11296799.872413795</c:v>
                </c:pt>
                <c:pt idx="30">
                  <c:v>10916641.896551725</c:v>
                </c:pt>
                <c:pt idx="31">
                  <c:v>9373980.70172414</c:v>
                </c:pt>
                <c:pt idx="32">
                  <c:v>10857527.232758623</c:v>
                </c:pt>
                <c:pt idx="33">
                  <c:v>10187179.881034484</c:v>
                </c:pt>
                <c:pt idx="34">
                  <c:v>8777131.2172413804</c:v>
                </c:pt>
                <c:pt idx="35">
                  <c:v>9738177.429310346</c:v>
                </c:pt>
                <c:pt idx="36">
                  <c:v>10683325.150000002</c:v>
                </c:pt>
                <c:pt idx="37">
                  <c:v>8956122.93275862</c:v>
                </c:pt>
                <c:pt idx="38">
                  <c:v>11106648.598275863</c:v>
                </c:pt>
                <c:pt idx="39">
                  <c:v>10873925.679310348</c:v>
                </c:pt>
                <c:pt idx="40">
                  <c:v>10388980.181034485</c:v>
                </c:pt>
                <c:pt idx="41">
                  <c:v>10558370.268965518</c:v>
                </c:pt>
                <c:pt idx="42">
                  <c:v>10555998.815517241</c:v>
                </c:pt>
                <c:pt idx="43">
                  <c:v>9877781.9896551743</c:v>
                </c:pt>
                <c:pt idx="44">
                  <c:v>10024462.143103449</c:v>
                </c:pt>
                <c:pt idx="45">
                  <c:v>10790813.529310346</c:v>
                </c:pt>
                <c:pt idx="46">
                  <c:v>8765884.1224137936</c:v>
                </c:pt>
                <c:pt idx="47">
                  <c:v>7679359.9741379321</c:v>
                </c:pt>
                <c:pt idx="48">
                  <c:v>7095018.5603448283</c:v>
                </c:pt>
                <c:pt idx="49">
                  <c:v>8967273.9017241392</c:v>
                </c:pt>
                <c:pt idx="50">
                  <c:v>8548436.1534482762</c:v>
                </c:pt>
                <c:pt idx="51">
                  <c:v>9391893.4844827596</c:v>
                </c:pt>
                <c:pt idx="52">
                  <c:v>9951063.0465517249</c:v>
                </c:pt>
                <c:pt idx="53">
                  <c:v>9933579.751724137</c:v>
                </c:pt>
                <c:pt idx="54">
                  <c:v>8268910.6672413796</c:v>
                </c:pt>
                <c:pt idx="55">
                  <c:v>8595383.13448276</c:v>
                </c:pt>
                <c:pt idx="56">
                  <c:v>9789350.56724138</c:v>
                </c:pt>
                <c:pt idx="57">
                  <c:v>9241563.362068966</c:v>
                </c:pt>
                <c:pt idx="58">
                  <c:v>9728194.0189655181</c:v>
                </c:pt>
                <c:pt idx="59">
                  <c:v>8989966.4810344838</c:v>
                </c:pt>
                <c:pt idx="60">
                  <c:v>10003388.018965518</c:v>
                </c:pt>
                <c:pt idx="61">
                  <c:v>7489829.1051724143</c:v>
                </c:pt>
                <c:pt idx="62">
                  <c:v>9785224.044827586</c:v>
                </c:pt>
                <c:pt idx="63">
                  <c:v>8932618.6868965533</c:v>
                </c:pt>
                <c:pt idx="64">
                  <c:v>8784109.5875862073</c:v>
                </c:pt>
                <c:pt idx="65">
                  <c:v>10264554.580689656</c:v>
                </c:pt>
                <c:pt idx="66">
                  <c:v>9282530.040000001</c:v>
                </c:pt>
                <c:pt idx="67">
                  <c:v>8296954.264137933</c:v>
                </c:pt>
                <c:pt idx="68">
                  <c:v>8295106.3151724152</c:v>
                </c:pt>
                <c:pt idx="69">
                  <c:v>7506179.3034482766</c:v>
                </c:pt>
                <c:pt idx="70">
                  <c:v>8144770.1144827586</c:v>
                </c:pt>
                <c:pt idx="71">
                  <c:v>8102936.3248275872</c:v>
                </c:pt>
                <c:pt idx="72">
                  <c:v>7647315.0227586217</c:v>
                </c:pt>
                <c:pt idx="73">
                  <c:v>6697955.6827586219</c:v>
                </c:pt>
                <c:pt idx="74">
                  <c:v>7070260.8331034482</c:v>
                </c:pt>
                <c:pt idx="75">
                  <c:v>7374269.1972413808</c:v>
                </c:pt>
                <c:pt idx="76">
                  <c:v>6629421.0724137938</c:v>
                </c:pt>
                <c:pt idx="77">
                  <c:v>6983497.7848275872</c:v>
                </c:pt>
                <c:pt idx="78">
                  <c:v>7878280.9606896564</c:v>
                </c:pt>
                <c:pt idx="79">
                  <c:v>7313774.2289655181</c:v>
                </c:pt>
                <c:pt idx="80">
                  <c:v>7275665.1593103446</c:v>
                </c:pt>
                <c:pt idx="81">
                  <c:v>7982791.2765517253</c:v>
                </c:pt>
              </c:numCache>
            </c:numRef>
          </c:val>
          <c:smooth val="0"/>
        </c:ser>
        <c:ser>
          <c:idx val="3"/>
          <c:order val="3"/>
          <c:tx>
            <c:strRef>
              <c:f>CEDRITOS!$A$2302</c:f>
              <c:strCache>
                <c:ptCount val="1"/>
                <c:pt idx="0">
                  <c:v>Ventas Punto de Venta Carryout </c:v>
                </c:pt>
              </c:strCache>
            </c:strRef>
          </c:tx>
          <c:spPr>
            <a:ln w="25400">
              <a:solidFill>
                <a:srgbClr val="333333"/>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CEDRITOS!$B$2302:$CE$2302</c:f>
              <c:numCache>
                <c:formatCode>_("$ "* #,##0_);_("$ "* \(#,##0\);_("$ "* \-??_);_(@_)</c:formatCode>
                <c:ptCount val="82"/>
                <c:pt idx="0">
                  <c:v>0</c:v>
                </c:pt>
                <c:pt idx="1">
                  <c:v>0</c:v>
                </c:pt>
                <c:pt idx="2">
                  <c:v>148855.52931034483</c:v>
                </c:pt>
                <c:pt idx="3">
                  <c:v>160855.63620689657</c:v>
                </c:pt>
                <c:pt idx="4">
                  <c:v>389699.28620689653</c:v>
                </c:pt>
                <c:pt idx="5">
                  <c:v>2306883.7534482758</c:v>
                </c:pt>
                <c:pt idx="6">
                  <c:v>3992775.2396551729</c:v>
                </c:pt>
                <c:pt idx="7">
                  <c:v>3916886.3482758617</c:v>
                </c:pt>
                <c:pt idx="8">
                  <c:v>4350809.9965517242</c:v>
                </c:pt>
                <c:pt idx="9">
                  <c:v>1804637.5948275861</c:v>
                </c:pt>
                <c:pt idx="10">
                  <c:v>3278531.9620689657</c:v>
                </c:pt>
                <c:pt idx="11">
                  <c:v>3992131.3327586204</c:v>
                </c:pt>
                <c:pt idx="12">
                  <c:v>3848878.9396551726</c:v>
                </c:pt>
                <c:pt idx="13">
                  <c:v>2698413.5758620687</c:v>
                </c:pt>
                <c:pt idx="14">
                  <c:v>2534436.2534482758</c:v>
                </c:pt>
                <c:pt idx="15">
                  <c:v>4509349.5982758617</c:v>
                </c:pt>
                <c:pt idx="16">
                  <c:v>4860827.3534482773</c:v>
                </c:pt>
                <c:pt idx="17">
                  <c:v>4901983.8241379317</c:v>
                </c:pt>
                <c:pt idx="18">
                  <c:v>4788663.1017241385</c:v>
                </c:pt>
                <c:pt idx="19">
                  <c:v>3758487.2327586203</c:v>
                </c:pt>
                <c:pt idx="20">
                  <c:v>4478382.7741379319</c:v>
                </c:pt>
                <c:pt idx="21">
                  <c:v>4146288.3551724143</c:v>
                </c:pt>
                <c:pt idx="22">
                  <c:v>3848410.6206896552</c:v>
                </c:pt>
                <c:pt idx="23">
                  <c:v>4714290.2137931036</c:v>
                </c:pt>
                <c:pt idx="24">
                  <c:v>3818593.260344828</c:v>
                </c:pt>
                <c:pt idx="25">
                  <c:v>5059695.4844827596</c:v>
                </c:pt>
                <c:pt idx="26">
                  <c:v>4725358.1482758624</c:v>
                </c:pt>
                <c:pt idx="27">
                  <c:v>4276192.0293103456</c:v>
                </c:pt>
                <c:pt idx="28">
                  <c:v>4606282.1258620694</c:v>
                </c:pt>
                <c:pt idx="29">
                  <c:v>4374333.7155172415</c:v>
                </c:pt>
                <c:pt idx="30">
                  <c:v>2986897.1568965525</c:v>
                </c:pt>
                <c:pt idx="31">
                  <c:v>4406736.2620689664</c:v>
                </c:pt>
                <c:pt idx="32">
                  <c:v>3774135.22586207</c:v>
                </c:pt>
                <c:pt idx="33">
                  <c:v>1620516.3827586209</c:v>
                </c:pt>
                <c:pt idx="34">
                  <c:v>2699353.453448276</c:v>
                </c:pt>
                <c:pt idx="35">
                  <c:v>1262409.7741379309</c:v>
                </c:pt>
                <c:pt idx="36">
                  <c:v>581421.97758620698</c:v>
                </c:pt>
                <c:pt idx="37">
                  <c:v>1874565.4103448279</c:v>
                </c:pt>
                <c:pt idx="38">
                  <c:v>1091646.9206896552</c:v>
                </c:pt>
                <c:pt idx="39">
                  <c:v>2085047.3517241383</c:v>
                </c:pt>
                <c:pt idx="40">
                  <c:v>550799.42413793108</c:v>
                </c:pt>
                <c:pt idx="41">
                  <c:v>1986073.4068965516</c:v>
                </c:pt>
                <c:pt idx="42">
                  <c:v>1378845.2568965519</c:v>
                </c:pt>
                <c:pt idx="43">
                  <c:v>1760791.8844827591</c:v>
                </c:pt>
                <c:pt idx="44">
                  <c:v>1452671.527586207</c:v>
                </c:pt>
                <c:pt idx="45">
                  <c:v>1771090.0465517244</c:v>
                </c:pt>
                <c:pt idx="46">
                  <c:v>1526132.529310345</c:v>
                </c:pt>
                <c:pt idx="47">
                  <c:v>1878487.3948275864</c:v>
                </c:pt>
                <c:pt idx="48">
                  <c:v>2488476.2362068971</c:v>
                </c:pt>
                <c:pt idx="49">
                  <c:v>1406235.2758620689</c:v>
                </c:pt>
                <c:pt idx="50">
                  <c:v>579068.52931034483</c:v>
                </c:pt>
                <c:pt idx="51">
                  <c:v>318140.82241379312</c:v>
                </c:pt>
                <c:pt idx="52">
                  <c:v>306977.84655172413</c:v>
                </c:pt>
                <c:pt idx="53">
                  <c:v>191814.45689655174</c:v>
                </c:pt>
                <c:pt idx="54">
                  <c:v>1223230.4586206898</c:v>
                </c:pt>
                <c:pt idx="55">
                  <c:v>829132.32413793122</c:v>
                </c:pt>
                <c:pt idx="56">
                  <c:v>140325.51206896553</c:v>
                </c:pt>
                <c:pt idx="57">
                  <c:v>281525.13965517242</c:v>
                </c:pt>
                <c:pt idx="58">
                  <c:v>834933.36551724141</c:v>
                </c:pt>
                <c:pt idx="59">
                  <c:v>1365991.881034483</c:v>
                </c:pt>
                <c:pt idx="60">
                  <c:v>124756.5051724138</c:v>
                </c:pt>
                <c:pt idx="61">
                  <c:v>774801.17758620693</c:v>
                </c:pt>
                <c:pt idx="62">
                  <c:v>0</c:v>
                </c:pt>
                <c:pt idx="63">
                  <c:v>92037.517241379319</c:v>
                </c:pt>
                <c:pt idx="64">
                  <c:v>177437.09931034484</c:v>
                </c:pt>
                <c:pt idx="65">
                  <c:v>133694.18206896554</c:v>
                </c:pt>
                <c:pt idx="66">
                  <c:v>200455.92206896553</c:v>
                </c:pt>
                <c:pt idx="67">
                  <c:v>32489.493793103455</c:v>
                </c:pt>
                <c:pt idx="68">
                  <c:v>1717333.4855172418</c:v>
                </c:pt>
                <c:pt idx="69">
                  <c:v>1604311.9868965517</c:v>
                </c:pt>
                <c:pt idx="70">
                  <c:v>1434839.9641379311</c:v>
                </c:pt>
                <c:pt idx="71">
                  <c:v>1790310.1358620692</c:v>
                </c:pt>
                <c:pt idx="72">
                  <c:v>1174460.9668965517</c:v>
                </c:pt>
                <c:pt idx="73">
                  <c:v>1378406.4303448275</c:v>
                </c:pt>
                <c:pt idx="74">
                  <c:v>1230333.7813793104</c:v>
                </c:pt>
                <c:pt idx="75">
                  <c:v>1638722.0462068967</c:v>
                </c:pt>
                <c:pt idx="76">
                  <c:v>1885283.8062068967</c:v>
                </c:pt>
                <c:pt idx="77">
                  <c:v>2380452.9289655173</c:v>
                </c:pt>
                <c:pt idx="78">
                  <c:v>1761414.5931034484</c:v>
                </c:pt>
                <c:pt idx="79">
                  <c:v>2186215.7365517244</c:v>
                </c:pt>
                <c:pt idx="80">
                  <c:v>2201752.6482758624</c:v>
                </c:pt>
                <c:pt idx="81">
                  <c:v>1655969.1917241381</c:v>
                </c:pt>
              </c:numCache>
            </c:numRef>
          </c:val>
          <c:smooth val="0"/>
        </c:ser>
        <c:ser>
          <c:idx val="4"/>
          <c:order val="4"/>
          <c:tx>
            <c:strRef>
              <c:f>CEDRITOS!$A$2303</c:f>
              <c:strCache>
                <c:ptCount val="1"/>
                <c:pt idx="0">
                  <c:v>Ventas Punto de Venta Domicilio</c:v>
                </c:pt>
              </c:strCache>
            </c:strRef>
          </c:tx>
          <c:spPr>
            <a:ln w="25400">
              <a:solidFill>
                <a:srgbClr val="FF6600"/>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CEDRITOS!$B$2303:$CE$2303</c:f>
              <c:numCache>
                <c:formatCode>_("$ "* #,##0_);_("$ "* \(#,##0\);_("$ "* \-??_);_(@_)</c:formatCode>
                <c:ptCount val="82"/>
                <c:pt idx="0">
                  <c:v>0</c:v>
                </c:pt>
                <c:pt idx="1">
                  <c:v>0</c:v>
                </c:pt>
                <c:pt idx="2">
                  <c:v>22958.677586206897</c:v>
                </c:pt>
                <c:pt idx="3">
                  <c:v>19343.181034482761</c:v>
                </c:pt>
                <c:pt idx="4">
                  <c:v>78307.972413793104</c:v>
                </c:pt>
                <c:pt idx="5">
                  <c:v>314855.09655172413</c:v>
                </c:pt>
                <c:pt idx="6">
                  <c:v>436733.23448275868</c:v>
                </c:pt>
                <c:pt idx="7">
                  <c:v>907502.38448275882</c:v>
                </c:pt>
                <c:pt idx="8">
                  <c:v>134659.42068965518</c:v>
                </c:pt>
                <c:pt idx="9">
                  <c:v>181803.18275862071</c:v>
                </c:pt>
                <c:pt idx="10">
                  <c:v>61803.710344827588</c:v>
                </c:pt>
                <c:pt idx="11">
                  <c:v>399573.02586206899</c:v>
                </c:pt>
                <c:pt idx="12">
                  <c:v>74814.046551724139</c:v>
                </c:pt>
                <c:pt idx="13">
                  <c:v>75333.89482758622</c:v>
                </c:pt>
                <c:pt idx="14">
                  <c:v>42911.34482758621</c:v>
                </c:pt>
                <c:pt idx="15">
                  <c:v>0</c:v>
                </c:pt>
                <c:pt idx="16">
                  <c:v>134243.47758620692</c:v>
                </c:pt>
                <c:pt idx="17">
                  <c:v>82871.781034482759</c:v>
                </c:pt>
                <c:pt idx="18">
                  <c:v>441111.86724137934</c:v>
                </c:pt>
                <c:pt idx="19">
                  <c:v>68541.618965517249</c:v>
                </c:pt>
                <c:pt idx="20">
                  <c:v>242440.44482758624</c:v>
                </c:pt>
                <c:pt idx="21">
                  <c:v>23811.275862068967</c:v>
                </c:pt>
                <c:pt idx="22">
                  <c:v>56612.26551724138</c:v>
                </c:pt>
                <c:pt idx="23">
                  <c:v>65049.282758620699</c:v>
                </c:pt>
                <c:pt idx="24">
                  <c:v>30836.312068965519</c:v>
                </c:pt>
                <c:pt idx="25">
                  <c:v>0</c:v>
                </c:pt>
                <c:pt idx="26">
                  <c:v>187672.15344827587</c:v>
                </c:pt>
                <c:pt idx="27">
                  <c:v>138595.3206896552</c:v>
                </c:pt>
                <c:pt idx="28">
                  <c:v>46708.768965517243</c:v>
                </c:pt>
                <c:pt idx="29">
                  <c:v>33836.325862068967</c:v>
                </c:pt>
                <c:pt idx="30">
                  <c:v>135238.44310344831</c:v>
                </c:pt>
                <c:pt idx="31">
                  <c:v>158926.43275862071</c:v>
                </c:pt>
                <c:pt idx="32">
                  <c:v>254514.64655172417</c:v>
                </c:pt>
                <c:pt idx="33">
                  <c:v>249413.85000000003</c:v>
                </c:pt>
                <c:pt idx="34">
                  <c:v>365865.97758620692</c:v>
                </c:pt>
                <c:pt idx="35">
                  <c:v>89735.67586206898</c:v>
                </c:pt>
                <c:pt idx="36">
                  <c:v>239068.95517241381</c:v>
                </c:pt>
                <c:pt idx="37">
                  <c:v>260769.02068965521</c:v>
                </c:pt>
                <c:pt idx="38">
                  <c:v>158494.53103448276</c:v>
                </c:pt>
                <c:pt idx="39">
                  <c:v>264066.45862068969</c:v>
                </c:pt>
                <c:pt idx="40">
                  <c:v>150250.55172413794</c:v>
                </c:pt>
                <c:pt idx="41">
                  <c:v>307142.46379310347</c:v>
                </c:pt>
                <c:pt idx="42">
                  <c:v>85479.613793103461</c:v>
                </c:pt>
                <c:pt idx="43">
                  <c:v>159305.75689655173</c:v>
                </c:pt>
                <c:pt idx="44">
                  <c:v>136417.68275862071</c:v>
                </c:pt>
                <c:pt idx="45">
                  <c:v>0</c:v>
                </c:pt>
                <c:pt idx="46">
                  <c:v>195647.30172413794</c:v>
                </c:pt>
                <c:pt idx="47">
                  <c:v>118819.40000000001</c:v>
                </c:pt>
                <c:pt idx="48">
                  <c:v>134668.61206896551</c:v>
                </c:pt>
                <c:pt idx="49">
                  <c:v>200392.97413793104</c:v>
                </c:pt>
                <c:pt idx="50">
                  <c:v>64707.127586206909</c:v>
                </c:pt>
                <c:pt idx="51">
                  <c:v>207602.47241379312</c:v>
                </c:pt>
                <c:pt idx="52">
                  <c:v>135749.64137931034</c:v>
                </c:pt>
                <c:pt idx="53">
                  <c:v>246450.02586206899</c:v>
                </c:pt>
                <c:pt idx="54">
                  <c:v>269488.93275862071</c:v>
                </c:pt>
                <c:pt idx="55">
                  <c:v>311708.81206896552</c:v>
                </c:pt>
                <c:pt idx="56">
                  <c:v>128736.67241379312</c:v>
                </c:pt>
                <c:pt idx="57">
                  <c:v>272700.17068965518</c:v>
                </c:pt>
                <c:pt idx="58">
                  <c:v>0</c:v>
                </c:pt>
                <c:pt idx="59">
                  <c:v>80199.42586206898</c:v>
                </c:pt>
                <c:pt idx="60">
                  <c:v>116134.00000000001</c:v>
                </c:pt>
                <c:pt idx="61">
                  <c:v>80589.991379310362</c:v>
                </c:pt>
                <c:pt idx="62">
                  <c:v>0</c:v>
                </c:pt>
                <c:pt idx="63">
                  <c:v>0</c:v>
                </c:pt>
                <c:pt idx="64">
                  <c:v>236045.47172413795</c:v>
                </c:pt>
                <c:pt idx="65">
                  <c:v>137360.11172413797</c:v>
                </c:pt>
                <c:pt idx="66">
                  <c:v>194065.50620689656</c:v>
                </c:pt>
                <c:pt idx="67">
                  <c:v>46049.805517241388</c:v>
                </c:pt>
                <c:pt idx="68">
                  <c:v>153802.81931034484</c:v>
                </c:pt>
                <c:pt idx="69">
                  <c:v>78870.358620689658</c:v>
                </c:pt>
                <c:pt idx="70">
                  <c:v>48031.673103448287</c:v>
                </c:pt>
                <c:pt idx="71">
                  <c:v>335972.66482758627</c:v>
                </c:pt>
                <c:pt idx="72">
                  <c:v>100970.20551724138</c:v>
                </c:pt>
                <c:pt idx="73">
                  <c:v>21285.255862068967</c:v>
                </c:pt>
                <c:pt idx="74">
                  <c:v>0</c:v>
                </c:pt>
                <c:pt idx="75">
                  <c:v>92084.941379310359</c:v>
                </c:pt>
                <c:pt idx="76">
                  <c:v>72205.699310344833</c:v>
                </c:pt>
                <c:pt idx="77">
                  <c:v>70018.576551724138</c:v>
                </c:pt>
                <c:pt idx="78">
                  <c:v>125403.78689655174</c:v>
                </c:pt>
                <c:pt idx="79">
                  <c:v>49827.354482758623</c:v>
                </c:pt>
                <c:pt idx="80">
                  <c:v>149962.25448275864</c:v>
                </c:pt>
                <c:pt idx="81">
                  <c:v>178564.82</c:v>
                </c:pt>
              </c:numCache>
            </c:numRef>
          </c:val>
          <c:smooth val="0"/>
        </c:ser>
        <c:ser>
          <c:idx val="5"/>
          <c:order val="5"/>
          <c:tx>
            <c:strRef>
              <c:f>CEDRITOS!$A$2304</c:f>
              <c:strCache>
                <c:ptCount val="1"/>
                <c:pt idx="0">
                  <c:v>Cobro Domicilios </c:v>
                </c:pt>
              </c:strCache>
            </c:strRef>
          </c:tx>
          <c:spPr>
            <a:ln w="25400">
              <a:solidFill>
                <a:srgbClr val="800000"/>
              </a:solidFill>
              <a:prstDash val="solid"/>
            </a:ln>
          </c:spPr>
          <c:marker>
            <c:symbol val="none"/>
          </c:marker>
          <c:cat>
            <c:strRef>
              <c:f>CEDRITOS!$B$2298:$CE$2298</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CEDRITOS!$B$2304:$CE$2304</c:f>
              <c:numCache>
                <c:formatCode>_("$ "* #,##0_);_("$ "* \(#,##0\);_("$ "* \-??_);_(@_)</c:formatCode>
                <c:ptCount val="82"/>
                <c:pt idx="0">
                  <c:v>415915</c:v>
                </c:pt>
                <c:pt idx="1">
                  <c:v>734855</c:v>
                </c:pt>
                <c:pt idx="2">
                  <c:v>752095</c:v>
                </c:pt>
                <c:pt idx="3">
                  <c:v>689600</c:v>
                </c:pt>
                <c:pt idx="4">
                  <c:v>732700</c:v>
                </c:pt>
                <c:pt idx="5">
                  <c:v>831830</c:v>
                </c:pt>
                <c:pt idx="6">
                  <c:v>1120600</c:v>
                </c:pt>
                <c:pt idx="7">
                  <c:v>1482640</c:v>
                </c:pt>
                <c:pt idx="8">
                  <c:v>2135605</c:v>
                </c:pt>
                <c:pt idx="9">
                  <c:v>1971825</c:v>
                </c:pt>
                <c:pt idx="10">
                  <c:v>1784340</c:v>
                </c:pt>
                <c:pt idx="11">
                  <c:v>1446005</c:v>
                </c:pt>
                <c:pt idx="12">
                  <c:v>1547290</c:v>
                </c:pt>
                <c:pt idx="13">
                  <c:v>1616250</c:v>
                </c:pt>
                <c:pt idx="14">
                  <c:v>1512810</c:v>
                </c:pt>
                <c:pt idx="15">
                  <c:v>1241280</c:v>
                </c:pt>
                <c:pt idx="16">
                  <c:v>1064570</c:v>
                </c:pt>
                <c:pt idx="17">
                  <c:v>1150770</c:v>
                </c:pt>
                <c:pt idx="18">
                  <c:v>1622715</c:v>
                </c:pt>
                <c:pt idx="19">
                  <c:v>1469710</c:v>
                </c:pt>
                <c:pt idx="20">
                  <c:v>1512810</c:v>
                </c:pt>
                <c:pt idx="21">
                  <c:v>1665815</c:v>
                </c:pt>
                <c:pt idx="22">
                  <c:v>1803735</c:v>
                </c:pt>
                <c:pt idx="23">
                  <c:v>1676590</c:v>
                </c:pt>
                <c:pt idx="24">
                  <c:v>1689520</c:v>
                </c:pt>
                <c:pt idx="25">
                  <c:v>2014925</c:v>
                </c:pt>
                <c:pt idx="26">
                  <c:v>1711070</c:v>
                </c:pt>
                <c:pt idx="27">
                  <c:v>1499880</c:v>
                </c:pt>
                <c:pt idx="28">
                  <c:v>1900710</c:v>
                </c:pt>
                <c:pt idx="29">
                  <c:v>1784340</c:v>
                </c:pt>
                <c:pt idx="30">
                  <c:v>1943810</c:v>
                </c:pt>
                <c:pt idx="31">
                  <c:v>1935190</c:v>
                </c:pt>
                <c:pt idx="32">
                  <c:v>1911485</c:v>
                </c:pt>
                <c:pt idx="33">
                  <c:v>1971825</c:v>
                </c:pt>
                <c:pt idx="34">
                  <c:v>1657195</c:v>
                </c:pt>
                <c:pt idx="35">
                  <c:v>1913640</c:v>
                </c:pt>
                <c:pt idx="36">
                  <c:v>1739085</c:v>
                </c:pt>
                <c:pt idx="37">
                  <c:v>1780030</c:v>
                </c:pt>
                <c:pt idx="38">
                  <c:v>1833905</c:v>
                </c:pt>
                <c:pt idx="39">
                  <c:v>2144225</c:v>
                </c:pt>
                <c:pt idx="40">
                  <c:v>1665815</c:v>
                </c:pt>
                <c:pt idx="41">
                  <c:v>1730465</c:v>
                </c:pt>
                <c:pt idx="42">
                  <c:v>1820975</c:v>
                </c:pt>
                <c:pt idx="43">
                  <c:v>1973980</c:v>
                </c:pt>
                <c:pt idx="44">
                  <c:v>1566685</c:v>
                </c:pt>
                <c:pt idx="45">
                  <c:v>1861920</c:v>
                </c:pt>
                <c:pt idx="46">
                  <c:v>1810200</c:v>
                </c:pt>
                <c:pt idx="47">
                  <c:v>1747705</c:v>
                </c:pt>
                <c:pt idx="48">
                  <c:v>1614095</c:v>
                </c:pt>
                <c:pt idx="49">
                  <c:v>1767100</c:v>
                </c:pt>
                <c:pt idx="50">
                  <c:v>1527895</c:v>
                </c:pt>
                <c:pt idx="51">
                  <c:v>1644265</c:v>
                </c:pt>
                <c:pt idx="52">
                  <c:v>1508500</c:v>
                </c:pt>
                <c:pt idx="53">
                  <c:v>1586080</c:v>
                </c:pt>
                <c:pt idx="54">
                  <c:v>1583925</c:v>
                </c:pt>
                <c:pt idx="55">
                  <c:v>1469710</c:v>
                </c:pt>
                <c:pt idx="56">
                  <c:v>1596855</c:v>
                </c:pt>
                <c:pt idx="57">
                  <c:v>1547290</c:v>
                </c:pt>
                <c:pt idx="58">
                  <c:v>1859765</c:v>
                </c:pt>
                <c:pt idx="59">
                  <c:v>1452470</c:v>
                </c:pt>
                <c:pt idx="60">
                  <c:v>1676590</c:v>
                </c:pt>
                <c:pt idx="61">
                  <c:v>1827440</c:v>
                </c:pt>
                <c:pt idx="62">
                  <c:v>1868385</c:v>
                </c:pt>
                <c:pt idx="63">
                  <c:v>2076040</c:v>
                </c:pt>
                <c:pt idx="64">
                  <c:v>2071212</c:v>
                </c:pt>
                <c:pt idx="65">
                  <c:v>2032588</c:v>
                </c:pt>
                <c:pt idx="66">
                  <c:v>1740494</c:v>
                </c:pt>
                <c:pt idx="67">
                  <c:v>1363910</c:v>
                </c:pt>
                <c:pt idx="68">
                  <c:v>1151478</c:v>
                </c:pt>
                <c:pt idx="69">
                  <c:v>1363910</c:v>
                </c:pt>
                <c:pt idx="70">
                  <c:v>1665660</c:v>
                </c:pt>
                <c:pt idx="71">
                  <c:v>1740494</c:v>
                </c:pt>
                <c:pt idx="72">
                  <c:v>1583584</c:v>
                </c:pt>
                <c:pt idx="73">
                  <c:v>1738080</c:v>
                </c:pt>
                <c:pt idx="74">
                  <c:v>1745322</c:v>
                </c:pt>
                <c:pt idx="75">
                  <c:v>1624622</c:v>
                </c:pt>
                <c:pt idx="76">
                  <c:v>1718768</c:v>
                </c:pt>
                <c:pt idx="77">
                  <c:v>1904646</c:v>
                </c:pt>
                <c:pt idx="78">
                  <c:v>1890162</c:v>
                </c:pt>
                <c:pt idx="79">
                  <c:v>1769462</c:v>
                </c:pt>
                <c:pt idx="80">
                  <c:v>1919130</c:v>
                </c:pt>
                <c:pt idx="81">
                  <c:v>1322872</c:v>
                </c:pt>
              </c:numCache>
            </c:numRef>
          </c:val>
          <c:smooth val="0"/>
        </c:ser>
        <c:dLbls>
          <c:showLegendKey val="0"/>
          <c:showVal val="0"/>
          <c:showCatName val="0"/>
          <c:showSerName val="0"/>
          <c:showPercent val="0"/>
          <c:showBubbleSize val="0"/>
        </c:dLbls>
        <c:marker val="1"/>
        <c:smooth val="0"/>
        <c:axId val="312836096"/>
        <c:axId val="312838016"/>
      </c:lineChart>
      <c:catAx>
        <c:axId val="312836096"/>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9601950215641102"/>
              <c:y val="0.84029484029485202"/>
            </c:manualLayout>
          </c:layout>
          <c:overlay val="0"/>
          <c:spPr>
            <a:noFill/>
            <a:ln w="25400">
              <a:noFill/>
            </a:ln>
          </c:spPr>
        </c:title>
        <c:numFmt formatCode="General" sourceLinked="1"/>
        <c:majorTickMark val="out"/>
        <c:minorTickMark val="none"/>
        <c:tickLblPos val="nextTo"/>
        <c:txPr>
          <a:bodyPr rot="-2700000" vert="horz"/>
          <a:lstStyle/>
          <a:p>
            <a:pPr>
              <a:defRPr lang="es-ES" sz="900" baseline="0"/>
            </a:pPr>
            <a:endParaRPr lang="es-MX"/>
          </a:p>
        </c:txPr>
        <c:crossAx val="312838016"/>
        <c:crossesAt val="0"/>
        <c:auto val="1"/>
        <c:lblAlgn val="ctr"/>
        <c:lblOffset val="100"/>
        <c:tickLblSkip val="1"/>
        <c:tickMarkSkip val="1"/>
        <c:noMultiLvlLbl val="0"/>
      </c:catAx>
      <c:valAx>
        <c:axId val="312838016"/>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6.8579099894289699E-3"/>
              <c:y val="0.47583947583948499"/>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2836096"/>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86715148738109105"/>
          <c:y val="0.238329238329238"/>
          <c:w val="0.12738453252302101"/>
          <c:h val="0.506961506961506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30698396391933302"/>
          <c:y val="2.9972752043596701E-2"/>
        </c:manualLayout>
      </c:layout>
      <c:overlay val="0"/>
      <c:spPr>
        <a:noFill/>
        <a:ln w="25400">
          <a:noFill/>
        </a:ln>
      </c:spPr>
    </c:title>
    <c:autoTitleDeleted val="0"/>
    <c:plotArea>
      <c:layout>
        <c:manualLayout>
          <c:layoutTarget val="inner"/>
          <c:xMode val="edge"/>
          <c:yMode val="edge"/>
          <c:x val="8.2885679563716994E-2"/>
          <c:y val="0.148956067140111"/>
          <c:w val="0.78050681589165105"/>
          <c:h val="0.63306142590486802"/>
        </c:manualLayout>
      </c:layout>
      <c:lineChart>
        <c:grouping val="standard"/>
        <c:varyColors val="0"/>
        <c:ser>
          <c:idx val="0"/>
          <c:order val="0"/>
          <c:tx>
            <c:strRef>
              <c:f>CEDRITOS!$A$2296</c:f>
              <c:strCache>
                <c:ptCount val="1"/>
                <c:pt idx="0">
                  <c:v>No. Pizzas vendidas</c:v>
                </c:pt>
              </c:strCache>
            </c:strRef>
          </c:tx>
          <c:spPr>
            <a:ln w="25400">
              <a:solidFill>
                <a:srgbClr val="000080"/>
              </a:solidFill>
              <a:prstDash val="solid"/>
            </a:ln>
          </c:spPr>
          <c:marker>
            <c:symbol val="none"/>
          </c:marker>
          <c:cat>
            <c:strRef>
              <c:f>CEDRITOS!$B$2295:$CE$2295</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CEDRITOS!$B$2296:$CE$2296</c:f>
              <c:numCache>
                <c:formatCode>General</c:formatCode>
                <c:ptCount val="82"/>
                <c:pt idx="0">
                  <c:v>669</c:v>
                </c:pt>
                <c:pt idx="1">
                  <c:v>967</c:v>
                </c:pt>
                <c:pt idx="2">
                  <c:v>1005</c:v>
                </c:pt>
                <c:pt idx="3">
                  <c:v>824</c:v>
                </c:pt>
                <c:pt idx="4">
                  <c:v>834</c:v>
                </c:pt>
                <c:pt idx="5">
                  <c:v>947</c:v>
                </c:pt>
                <c:pt idx="6">
                  <c:v>1109</c:v>
                </c:pt>
                <c:pt idx="7">
                  <c:v>1168</c:v>
                </c:pt>
                <c:pt idx="8">
                  <c:v>1315</c:v>
                </c:pt>
                <c:pt idx="9">
                  <c:v>1137</c:v>
                </c:pt>
                <c:pt idx="10">
                  <c:v>1122</c:v>
                </c:pt>
                <c:pt idx="11">
                  <c:v>940</c:v>
                </c:pt>
                <c:pt idx="12">
                  <c:v>972</c:v>
                </c:pt>
                <c:pt idx="13">
                  <c:v>1423</c:v>
                </c:pt>
                <c:pt idx="14">
                  <c:v>1312</c:v>
                </c:pt>
                <c:pt idx="15">
                  <c:v>1256</c:v>
                </c:pt>
                <c:pt idx="16">
                  <c:v>1103</c:v>
                </c:pt>
                <c:pt idx="17">
                  <c:v>1206</c:v>
                </c:pt>
                <c:pt idx="18">
                  <c:v>1540</c:v>
                </c:pt>
                <c:pt idx="19">
                  <c:v>1414</c:v>
                </c:pt>
                <c:pt idx="20">
                  <c:v>1458</c:v>
                </c:pt>
                <c:pt idx="21">
                  <c:v>1494</c:v>
                </c:pt>
                <c:pt idx="22">
                  <c:v>1516</c:v>
                </c:pt>
                <c:pt idx="23">
                  <c:v>1529</c:v>
                </c:pt>
                <c:pt idx="24">
                  <c:v>1468</c:v>
                </c:pt>
                <c:pt idx="25">
                  <c:v>1692</c:v>
                </c:pt>
                <c:pt idx="26">
                  <c:v>1595</c:v>
                </c:pt>
                <c:pt idx="27">
                  <c:v>1305</c:v>
                </c:pt>
                <c:pt idx="28">
                  <c:v>1654</c:v>
                </c:pt>
                <c:pt idx="29">
                  <c:v>1770</c:v>
                </c:pt>
                <c:pt idx="30">
                  <c:v>1787</c:v>
                </c:pt>
                <c:pt idx="31">
                  <c:v>1838</c:v>
                </c:pt>
                <c:pt idx="32">
                  <c:v>1914</c:v>
                </c:pt>
                <c:pt idx="33">
                  <c:v>1743</c:v>
                </c:pt>
                <c:pt idx="34">
                  <c:v>1618</c:v>
                </c:pt>
                <c:pt idx="35">
                  <c:v>1615</c:v>
                </c:pt>
                <c:pt idx="36">
                  <c:v>1584</c:v>
                </c:pt>
                <c:pt idx="37">
                  <c:v>1554</c:v>
                </c:pt>
                <c:pt idx="38">
                  <c:v>1595</c:v>
                </c:pt>
                <c:pt idx="39">
                  <c:v>1823</c:v>
                </c:pt>
                <c:pt idx="40">
                  <c:v>1542</c:v>
                </c:pt>
                <c:pt idx="41">
                  <c:v>1562</c:v>
                </c:pt>
                <c:pt idx="42">
                  <c:v>1669</c:v>
                </c:pt>
                <c:pt idx="43">
                  <c:v>1833</c:v>
                </c:pt>
                <c:pt idx="44">
                  <c:v>1524</c:v>
                </c:pt>
                <c:pt idx="45">
                  <c:v>1789</c:v>
                </c:pt>
                <c:pt idx="46">
                  <c:v>1604</c:v>
                </c:pt>
                <c:pt idx="47">
                  <c:v>1547</c:v>
                </c:pt>
                <c:pt idx="48">
                  <c:v>1480</c:v>
                </c:pt>
                <c:pt idx="49">
                  <c:v>1594</c:v>
                </c:pt>
                <c:pt idx="50">
                  <c:v>1385</c:v>
                </c:pt>
                <c:pt idx="51">
                  <c:v>1491</c:v>
                </c:pt>
                <c:pt idx="52">
                  <c:v>1417</c:v>
                </c:pt>
                <c:pt idx="53">
                  <c:v>1474</c:v>
                </c:pt>
                <c:pt idx="54">
                  <c:v>1436</c:v>
                </c:pt>
                <c:pt idx="55">
                  <c:v>1364</c:v>
                </c:pt>
                <c:pt idx="56">
                  <c:v>1485</c:v>
                </c:pt>
                <c:pt idx="57">
                  <c:v>1400</c:v>
                </c:pt>
                <c:pt idx="58">
                  <c:v>1646</c:v>
                </c:pt>
                <c:pt idx="59">
                  <c:v>1409</c:v>
                </c:pt>
                <c:pt idx="60">
                  <c:v>1502</c:v>
                </c:pt>
                <c:pt idx="61">
                  <c:v>1540</c:v>
                </c:pt>
                <c:pt idx="62">
                  <c:v>1573</c:v>
                </c:pt>
                <c:pt idx="63">
                  <c:v>1562</c:v>
                </c:pt>
                <c:pt idx="64">
                  <c:v>1513</c:v>
                </c:pt>
                <c:pt idx="65">
                  <c:v>1617</c:v>
                </c:pt>
                <c:pt idx="66">
                  <c:v>1385</c:v>
                </c:pt>
                <c:pt idx="67">
                  <c:v>1138</c:v>
                </c:pt>
                <c:pt idx="68">
                  <c:v>1078</c:v>
                </c:pt>
                <c:pt idx="69">
                  <c:v>1172</c:v>
                </c:pt>
                <c:pt idx="70">
                  <c:v>1350</c:v>
                </c:pt>
                <c:pt idx="71">
                  <c:v>1419</c:v>
                </c:pt>
                <c:pt idx="72">
                  <c:v>1283</c:v>
                </c:pt>
                <c:pt idx="73">
                  <c:v>1332</c:v>
                </c:pt>
                <c:pt idx="74">
                  <c:v>1348</c:v>
                </c:pt>
                <c:pt idx="75">
                  <c:v>1308</c:v>
                </c:pt>
                <c:pt idx="76">
                  <c:v>1334</c:v>
                </c:pt>
                <c:pt idx="77">
                  <c:v>1462</c:v>
                </c:pt>
                <c:pt idx="78">
                  <c:v>1498</c:v>
                </c:pt>
                <c:pt idx="79">
                  <c:v>1395</c:v>
                </c:pt>
                <c:pt idx="80">
                  <c:v>1498</c:v>
                </c:pt>
                <c:pt idx="81">
                  <c:v>1146</c:v>
                </c:pt>
              </c:numCache>
            </c:numRef>
          </c:val>
          <c:smooth val="0"/>
        </c:ser>
        <c:ser>
          <c:idx val="1"/>
          <c:order val="1"/>
          <c:tx>
            <c:strRef>
              <c:f>CEDRITOS!$A$2297</c:f>
              <c:strCache>
                <c:ptCount val="1"/>
                <c:pt idx="0">
                  <c:v>Total Tiquetes </c:v>
                </c:pt>
              </c:strCache>
            </c:strRef>
          </c:tx>
          <c:spPr>
            <a:ln w="25400">
              <a:solidFill>
                <a:srgbClr val="339966"/>
              </a:solidFill>
              <a:prstDash val="solid"/>
            </a:ln>
          </c:spPr>
          <c:marker>
            <c:symbol val="none"/>
          </c:marker>
          <c:cat>
            <c:strRef>
              <c:f>CEDRITOS!$B$2295:$CE$2295</c:f>
              <c:strCache>
                <c:ptCount val="82"/>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pt idx="77">
                  <c:v>SEMANA 78</c:v>
                </c:pt>
                <c:pt idx="78">
                  <c:v>SEMANA 79</c:v>
                </c:pt>
                <c:pt idx="79">
                  <c:v>SEMANA 80</c:v>
                </c:pt>
                <c:pt idx="80">
                  <c:v>SEMANA 81</c:v>
                </c:pt>
                <c:pt idx="81">
                  <c:v>SEMANA 82</c:v>
                </c:pt>
              </c:strCache>
            </c:strRef>
          </c:cat>
          <c:val>
            <c:numRef>
              <c:f>CEDRITOS!$B$2297:$CE$2297</c:f>
              <c:numCache>
                <c:formatCode>General</c:formatCode>
                <c:ptCount val="82"/>
                <c:pt idx="0">
                  <c:v>632</c:v>
                </c:pt>
                <c:pt idx="1">
                  <c:v>934</c:v>
                </c:pt>
                <c:pt idx="2">
                  <c:v>969</c:v>
                </c:pt>
                <c:pt idx="3">
                  <c:v>808</c:v>
                </c:pt>
                <c:pt idx="4">
                  <c:v>854</c:v>
                </c:pt>
                <c:pt idx="5">
                  <c:v>928</c:v>
                </c:pt>
                <c:pt idx="6">
                  <c:v>1101</c:v>
                </c:pt>
                <c:pt idx="7">
                  <c:v>1086</c:v>
                </c:pt>
                <c:pt idx="8">
                  <c:v>1303</c:v>
                </c:pt>
                <c:pt idx="9">
                  <c:v>1399</c:v>
                </c:pt>
                <c:pt idx="10">
                  <c:v>1404</c:v>
                </c:pt>
                <c:pt idx="11">
                  <c:v>1202</c:v>
                </c:pt>
                <c:pt idx="12">
                  <c:v>1246</c:v>
                </c:pt>
                <c:pt idx="13">
                  <c:v>1320</c:v>
                </c:pt>
                <c:pt idx="14">
                  <c:v>1179</c:v>
                </c:pt>
                <c:pt idx="15">
                  <c:v>1055</c:v>
                </c:pt>
                <c:pt idx="16">
                  <c:v>938</c:v>
                </c:pt>
                <c:pt idx="17">
                  <c:v>1038</c:v>
                </c:pt>
                <c:pt idx="18">
                  <c:v>1356</c:v>
                </c:pt>
                <c:pt idx="19">
                  <c:v>1201</c:v>
                </c:pt>
                <c:pt idx="20">
                  <c:v>1291</c:v>
                </c:pt>
                <c:pt idx="21">
                  <c:v>1322</c:v>
                </c:pt>
                <c:pt idx="22">
                  <c:v>1336</c:v>
                </c:pt>
                <c:pt idx="23">
                  <c:v>1362</c:v>
                </c:pt>
                <c:pt idx="24">
                  <c:v>1313</c:v>
                </c:pt>
                <c:pt idx="25">
                  <c:v>1496</c:v>
                </c:pt>
                <c:pt idx="26">
                  <c:v>1393</c:v>
                </c:pt>
                <c:pt idx="27">
                  <c:v>1170</c:v>
                </c:pt>
                <c:pt idx="28">
                  <c:v>1440</c:v>
                </c:pt>
                <c:pt idx="29">
                  <c:v>1420</c:v>
                </c:pt>
                <c:pt idx="30">
                  <c:v>1451</c:v>
                </c:pt>
                <c:pt idx="31">
                  <c:v>1440</c:v>
                </c:pt>
                <c:pt idx="32">
                  <c:v>1520</c:v>
                </c:pt>
                <c:pt idx="33">
                  <c:v>1438</c:v>
                </c:pt>
                <c:pt idx="34">
                  <c:v>1263</c:v>
                </c:pt>
                <c:pt idx="35">
                  <c:v>1355</c:v>
                </c:pt>
                <c:pt idx="36">
                  <c:v>1303</c:v>
                </c:pt>
                <c:pt idx="37">
                  <c:v>1279</c:v>
                </c:pt>
                <c:pt idx="38">
                  <c:v>1363</c:v>
                </c:pt>
                <c:pt idx="39">
                  <c:v>1531</c:v>
                </c:pt>
                <c:pt idx="40">
                  <c:v>1231</c:v>
                </c:pt>
                <c:pt idx="41">
                  <c:v>1331</c:v>
                </c:pt>
                <c:pt idx="42">
                  <c:v>1349</c:v>
                </c:pt>
                <c:pt idx="43">
                  <c:v>1418</c:v>
                </c:pt>
                <c:pt idx="44">
                  <c:v>1163</c:v>
                </c:pt>
                <c:pt idx="45">
                  <c:v>1366</c:v>
                </c:pt>
                <c:pt idx="46">
                  <c:v>1274</c:v>
                </c:pt>
                <c:pt idx="47">
                  <c:v>1228</c:v>
                </c:pt>
                <c:pt idx="48">
                  <c:v>1179</c:v>
                </c:pt>
                <c:pt idx="49">
                  <c:v>1279</c:v>
                </c:pt>
                <c:pt idx="50">
                  <c:v>1121</c:v>
                </c:pt>
                <c:pt idx="51">
                  <c:v>1192</c:v>
                </c:pt>
                <c:pt idx="52">
                  <c:v>1155</c:v>
                </c:pt>
                <c:pt idx="53">
                  <c:v>1188</c:v>
                </c:pt>
                <c:pt idx="54">
                  <c:v>1162</c:v>
                </c:pt>
                <c:pt idx="55">
                  <c:v>1087</c:v>
                </c:pt>
                <c:pt idx="56">
                  <c:v>1175</c:v>
                </c:pt>
                <c:pt idx="57">
                  <c:v>1150</c:v>
                </c:pt>
                <c:pt idx="58">
                  <c:v>1288</c:v>
                </c:pt>
                <c:pt idx="59">
                  <c:v>1122</c:v>
                </c:pt>
                <c:pt idx="60">
                  <c:v>1197</c:v>
                </c:pt>
                <c:pt idx="61">
                  <c:v>1217</c:v>
                </c:pt>
                <c:pt idx="62">
                  <c:v>1266</c:v>
                </c:pt>
                <c:pt idx="63">
                  <c:v>1243</c:v>
                </c:pt>
                <c:pt idx="64">
                  <c:v>1233</c:v>
                </c:pt>
                <c:pt idx="65">
                  <c:v>1273</c:v>
                </c:pt>
                <c:pt idx="66">
                  <c:v>1111</c:v>
                </c:pt>
                <c:pt idx="67">
                  <c:v>901</c:v>
                </c:pt>
                <c:pt idx="68">
                  <c:v>872</c:v>
                </c:pt>
                <c:pt idx="69">
                  <c:v>937</c:v>
                </c:pt>
                <c:pt idx="70">
                  <c:v>1089</c:v>
                </c:pt>
                <c:pt idx="71">
                  <c:v>1141</c:v>
                </c:pt>
                <c:pt idx="72">
                  <c:v>1022</c:v>
                </c:pt>
                <c:pt idx="73">
                  <c:v>1072</c:v>
                </c:pt>
                <c:pt idx="74">
                  <c:v>1060</c:v>
                </c:pt>
                <c:pt idx="75">
                  <c:v>1052</c:v>
                </c:pt>
                <c:pt idx="76">
                  <c:v>1069</c:v>
                </c:pt>
                <c:pt idx="77">
                  <c:v>1206</c:v>
                </c:pt>
                <c:pt idx="78">
                  <c:v>1202</c:v>
                </c:pt>
                <c:pt idx="79">
                  <c:v>1122</c:v>
                </c:pt>
                <c:pt idx="80">
                  <c:v>1192</c:v>
                </c:pt>
                <c:pt idx="81">
                  <c:v>941</c:v>
                </c:pt>
              </c:numCache>
            </c:numRef>
          </c:val>
          <c:smooth val="0"/>
        </c:ser>
        <c:dLbls>
          <c:showLegendKey val="0"/>
          <c:showVal val="0"/>
          <c:showCatName val="0"/>
          <c:showSerName val="0"/>
          <c:showPercent val="0"/>
          <c:showBubbleSize val="0"/>
        </c:dLbls>
        <c:marker val="1"/>
        <c:smooth val="0"/>
        <c:axId val="314012416"/>
        <c:axId val="314014336"/>
      </c:lineChart>
      <c:catAx>
        <c:axId val="314012416"/>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90545012518594603"/>
              <c:y val="0.756586067068599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14014336"/>
        <c:crossesAt val="0"/>
        <c:auto val="1"/>
        <c:lblAlgn val="ctr"/>
        <c:lblOffset val="100"/>
        <c:tickLblSkip val="1"/>
        <c:tickMarkSkip val="1"/>
        <c:noMultiLvlLbl val="0"/>
      </c:catAx>
      <c:valAx>
        <c:axId val="314014336"/>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1.53491941673062E-2"/>
              <c:y val="0.449591852789518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4012416"/>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88681664791901005"/>
          <c:y val="0.398729000836753"/>
          <c:w val="0.108423705101379"/>
          <c:h val="0.224341507720253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75" b="1" i="0" u="none" strike="noStrike" baseline="0">
                <a:solidFill>
                  <a:srgbClr val="000000"/>
                </a:solidFill>
                <a:latin typeface="Arial"/>
                <a:ea typeface="Arial"/>
                <a:cs typeface="Arial"/>
              </a:defRPr>
            </a:pPr>
            <a:r>
              <a:rPr lang="es-ES"/>
              <a:t>Evolución Ventas Semanales Nogal</a:t>
            </a:r>
          </a:p>
        </c:rich>
      </c:tx>
      <c:layout>
        <c:manualLayout>
          <c:xMode val="edge"/>
          <c:yMode val="edge"/>
          <c:x val="0.30015321974492898"/>
          <c:y val="4.0094339622642E-2"/>
        </c:manualLayout>
      </c:layout>
      <c:overlay val="0"/>
      <c:spPr>
        <a:noFill/>
        <a:ln w="25400">
          <a:noFill/>
        </a:ln>
      </c:spPr>
    </c:title>
    <c:autoTitleDeleted val="0"/>
    <c:plotArea>
      <c:layout>
        <c:manualLayout>
          <c:layoutTarget val="inner"/>
          <c:xMode val="edge"/>
          <c:yMode val="edge"/>
          <c:x val="8.7110085051636102E-2"/>
          <c:y val="0.201258356856341"/>
          <c:w val="0.762047992173842"/>
          <c:h val="0.62657282226514899"/>
        </c:manualLayout>
      </c:layout>
      <c:lineChart>
        <c:grouping val="standard"/>
        <c:varyColors val="0"/>
        <c:ser>
          <c:idx val="0"/>
          <c:order val="0"/>
          <c:tx>
            <c:strRef>
              <c:f>'NOGAL '!$A$2134</c:f>
              <c:strCache>
                <c:ptCount val="1"/>
                <c:pt idx="0">
                  <c:v>Ventas Domicilio</c:v>
                </c:pt>
              </c:strCache>
            </c:strRef>
          </c:tx>
          <c:spPr>
            <a:ln w="25400">
              <a:solidFill>
                <a:srgbClr val="000080"/>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'!$B$2134:$BZ$2134</c:f>
              <c:numCache>
                <c:formatCode>_("$ "* #,##0_);_("$ "* \(#,##0\);_("$ "* \-??_);_(@_)</c:formatCode>
                <c:ptCount val="77"/>
                <c:pt idx="0">
                  <c:v>7408902.81724138</c:v>
                </c:pt>
                <c:pt idx="1">
                  <c:v>24501813.224137928</c:v>
                </c:pt>
                <c:pt idx="2">
                  <c:v>24392867.760344826</c:v>
                </c:pt>
                <c:pt idx="3">
                  <c:v>33723001.203448281</c:v>
                </c:pt>
                <c:pt idx="4">
                  <c:v>28007099.822413795</c:v>
                </c:pt>
                <c:pt idx="5">
                  <c:v>34461115.872413792</c:v>
                </c:pt>
                <c:pt idx="6">
                  <c:v>29994672.805172417</c:v>
                </c:pt>
                <c:pt idx="7">
                  <c:v>30902388.541379314</c:v>
                </c:pt>
                <c:pt idx="8">
                  <c:v>33982398.006896555</c:v>
                </c:pt>
                <c:pt idx="9">
                  <c:v>26757906.201724138</c:v>
                </c:pt>
                <c:pt idx="10">
                  <c:v>22166406.258620691</c:v>
                </c:pt>
                <c:pt idx="11">
                  <c:v>17623771.151724141</c:v>
                </c:pt>
                <c:pt idx="12">
                  <c:v>20129937.415517248</c:v>
                </c:pt>
                <c:pt idx="13">
                  <c:v>29529051.974137932</c:v>
                </c:pt>
                <c:pt idx="14">
                  <c:v>27202621.391379312</c:v>
                </c:pt>
                <c:pt idx="15">
                  <c:v>28601652.631034486</c:v>
                </c:pt>
                <c:pt idx="16">
                  <c:v>31425388.646551725</c:v>
                </c:pt>
                <c:pt idx="17">
                  <c:v>30849885.429310348</c:v>
                </c:pt>
                <c:pt idx="18">
                  <c:v>28665461.420689657</c:v>
                </c:pt>
                <c:pt idx="19">
                  <c:v>28857789.793103449</c:v>
                </c:pt>
                <c:pt idx="20">
                  <c:v>31936592.775862075</c:v>
                </c:pt>
                <c:pt idx="21">
                  <c:v>30467946.463793106</c:v>
                </c:pt>
                <c:pt idx="22">
                  <c:v>29302269.77241379</c:v>
                </c:pt>
                <c:pt idx="23">
                  <c:v>35611068.713793106</c:v>
                </c:pt>
                <c:pt idx="24">
                  <c:v>23938707.09310345</c:v>
                </c:pt>
                <c:pt idx="25">
                  <c:v>31598052.806896556</c:v>
                </c:pt>
                <c:pt idx="26">
                  <c:v>29494238.413793106</c:v>
                </c:pt>
                <c:pt idx="27">
                  <c:v>23495248.45862069</c:v>
                </c:pt>
                <c:pt idx="28">
                  <c:v>32038332.770689659</c:v>
                </c:pt>
                <c:pt idx="29">
                  <c:v>28151507.45862069</c:v>
                </c:pt>
                <c:pt idx="30">
                  <c:v>32773376.715517245</c:v>
                </c:pt>
                <c:pt idx="31">
                  <c:v>28835462.951724142</c:v>
                </c:pt>
                <c:pt idx="32">
                  <c:v>33951200.158620693</c:v>
                </c:pt>
                <c:pt idx="33">
                  <c:v>30115885.029310346</c:v>
                </c:pt>
                <c:pt idx="34">
                  <c:v>31495204.934482761</c:v>
                </c:pt>
                <c:pt idx="35">
                  <c:v>28046281.903448276</c:v>
                </c:pt>
                <c:pt idx="36">
                  <c:v>24710712.841379311</c:v>
                </c:pt>
                <c:pt idx="37">
                  <c:v>27645710.668965518</c:v>
                </c:pt>
                <c:pt idx="38">
                  <c:v>29205671.198275868</c:v>
                </c:pt>
                <c:pt idx="39">
                  <c:v>27615040.222413797</c:v>
                </c:pt>
                <c:pt idx="40">
                  <c:v>28189463.777586211</c:v>
                </c:pt>
                <c:pt idx="41">
                  <c:v>27568311.891379315</c:v>
                </c:pt>
                <c:pt idx="42">
                  <c:v>25955688.653448276</c:v>
                </c:pt>
                <c:pt idx="43">
                  <c:v>26822910.306896556</c:v>
                </c:pt>
                <c:pt idx="44">
                  <c:v>31896970.951724142</c:v>
                </c:pt>
                <c:pt idx="45">
                  <c:v>30422924.086206902</c:v>
                </c:pt>
                <c:pt idx="46">
                  <c:v>28624844.389655173</c:v>
                </c:pt>
                <c:pt idx="47">
                  <c:v>28554201.874137931</c:v>
                </c:pt>
                <c:pt idx="48">
                  <c:v>30080708.175862074</c:v>
                </c:pt>
                <c:pt idx="49">
                  <c:v>22079335.118965514</c:v>
                </c:pt>
                <c:pt idx="50">
                  <c:v>19573698.912068967</c:v>
                </c:pt>
                <c:pt idx="51">
                  <c:v>19144407.172413792</c:v>
                </c:pt>
                <c:pt idx="52">
                  <c:v>19409347.351724137</c:v>
                </c:pt>
                <c:pt idx="53">
                  <c:v>25276378.129310347</c:v>
                </c:pt>
                <c:pt idx="54">
                  <c:v>22350510.424137931</c:v>
                </c:pt>
                <c:pt idx="55">
                  <c:v>19096892.394827589</c:v>
                </c:pt>
                <c:pt idx="56">
                  <c:v>23294281.53793104</c:v>
                </c:pt>
                <c:pt idx="57">
                  <c:v>23420034.594827585</c:v>
                </c:pt>
                <c:pt idx="58">
                  <c:v>21273727.874482758</c:v>
                </c:pt>
                <c:pt idx="59">
                  <c:v>23224885.857931037</c:v>
                </c:pt>
                <c:pt idx="60">
                  <c:v>24920488.517241381</c:v>
                </c:pt>
                <c:pt idx="61">
                  <c:v>20031750.44896552</c:v>
                </c:pt>
                <c:pt idx="62">
                  <c:v>17063995.611724138</c:v>
                </c:pt>
                <c:pt idx="63">
                  <c:v>12649940.07310345</c:v>
                </c:pt>
                <c:pt idx="64">
                  <c:v>14258024.898620693</c:v>
                </c:pt>
                <c:pt idx="65">
                  <c:v>18476063.744137932</c:v>
                </c:pt>
                <c:pt idx="66">
                  <c:v>18466037.652413793</c:v>
                </c:pt>
                <c:pt idx="67">
                  <c:v>22502195.679310344</c:v>
                </c:pt>
                <c:pt idx="68">
                  <c:v>18270697.112413794</c:v>
                </c:pt>
                <c:pt idx="69">
                  <c:v>18379137.369655173</c:v>
                </c:pt>
                <c:pt idx="70">
                  <c:v>18408811.842068966</c:v>
                </c:pt>
                <c:pt idx="71">
                  <c:v>17413365.34551724</c:v>
                </c:pt>
                <c:pt idx="72">
                  <c:v>20557530.400000002</c:v>
                </c:pt>
                <c:pt idx="73">
                  <c:v>18289944.089655172</c:v>
                </c:pt>
                <c:pt idx="74">
                  <c:v>16941449.713793106</c:v>
                </c:pt>
                <c:pt idx="75">
                  <c:v>20561876.145517245</c:v>
                </c:pt>
                <c:pt idx="76">
                  <c:v>14518306.441379312</c:v>
                </c:pt>
              </c:numCache>
            </c:numRef>
          </c:val>
          <c:smooth val="0"/>
        </c:ser>
        <c:ser>
          <c:idx val="1"/>
          <c:order val="1"/>
          <c:tx>
            <c:strRef>
              <c:f>'NOGAL '!$A$2135</c:f>
              <c:strCache>
                <c:ptCount val="1"/>
                <c:pt idx="0">
                  <c:v>Ventas Domicilio Carry Out </c:v>
                </c:pt>
              </c:strCache>
            </c:strRef>
          </c:tx>
          <c:spPr>
            <a:ln w="25400">
              <a:solidFill>
                <a:srgbClr val="FF00FF"/>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'!$B$2135:$BZ$2135</c:f>
              <c:numCache>
                <c:formatCode>_("$ "* #,##0_);_("$ "* \(#,##0\);_("$ "* \-??_);_(@_)</c:formatCode>
                <c:ptCount val="77"/>
                <c:pt idx="0">
                  <c:v>0</c:v>
                </c:pt>
                <c:pt idx="1">
                  <c:v>239793.8206896552</c:v>
                </c:pt>
                <c:pt idx="2">
                  <c:v>27882.87931034483</c:v>
                </c:pt>
                <c:pt idx="3">
                  <c:v>90139.987931034499</c:v>
                </c:pt>
                <c:pt idx="4">
                  <c:v>37276.891379310349</c:v>
                </c:pt>
                <c:pt idx="5">
                  <c:v>369486.05172413797</c:v>
                </c:pt>
                <c:pt idx="6">
                  <c:v>416837.92241379316</c:v>
                </c:pt>
                <c:pt idx="7">
                  <c:v>95653.831034482777</c:v>
                </c:pt>
                <c:pt idx="8">
                  <c:v>0</c:v>
                </c:pt>
                <c:pt idx="9">
                  <c:v>0</c:v>
                </c:pt>
                <c:pt idx="10">
                  <c:v>1344928.0827586208</c:v>
                </c:pt>
                <c:pt idx="11">
                  <c:v>873096.21551724151</c:v>
                </c:pt>
                <c:pt idx="12">
                  <c:v>1173994.1275862069</c:v>
                </c:pt>
                <c:pt idx="13">
                  <c:v>1340154.9741379311</c:v>
                </c:pt>
                <c:pt idx="14">
                  <c:v>1701102.9586206898</c:v>
                </c:pt>
                <c:pt idx="15">
                  <c:v>1634677.1672413794</c:v>
                </c:pt>
                <c:pt idx="16">
                  <c:v>1291033.4741379311</c:v>
                </c:pt>
                <c:pt idx="17">
                  <c:v>1582090.3224137931</c:v>
                </c:pt>
                <c:pt idx="18">
                  <c:v>605545.53275862068</c:v>
                </c:pt>
                <c:pt idx="19">
                  <c:v>1015141.2586206897</c:v>
                </c:pt>
                <c:pt idx="20">
                  <c:v>529360.05172413797</c:v>
                </c:pt>
                <c:pt idx="21">
                  <c:v>278974.45344827586</c:v>
                </c:pt>
                <c:pt idx="22">
                  <c:v>769844.7827586208</c:v>
                </c:pt>
                <c:pt idx="23">
                  <c:v>624557.96896551736</c:v>
                </c:pt>
                <c:pt idx="24">
                  <c:v>284070.1482758621</c:v>
                </c:pt>
                <c:pt idx="25">
                  <c:v>243582.97931034485</c:v>
                </c:pt>
                <c:pt idx="26">
                  <c:v>1003593.8896551725</c:v>
                </c:pt>
                <c:pt idx="27">
                  <c:v>610258.61896551726</c:v>
                </c:pt>
                <c:pt idx="28">
                  <c:v>477294.31034482759</c:v>
                </c:pt>
                <c:pt idx="29">
                  <c:v>571762.82586206903</c:v>
                </c:pt>
                <c:pt idx="30">
                  <c:v>402143.09310344834</c:v>
                </c:pt>
                <c:pt idx="31">
                  <c:v>573162.92413793108</c:v>
                </c:pt>
                <c:pt idx="32">
                  <c:v>434690.66724137939</c:v>
                </c:pt>
                <c:pt idx="33">
                  <c:v>509793.52241379314</c:v>
                </c:pt>
                <c:pt idx="34">
                  <c:v>607944.98793103453</c:v>
                </c:pt>
                <c:pt idx="35">
                  <c:v>410772.40172413801</c:v>
                </c:pt>
                <c:pt idx="36">
                  <c:v>323651.35344827583</c:v>
                </c:pt>
                <c:pt idx="37">
                  <c:v>449384.70689655177</c:v>
                </c:pt>
                <c:pt idx="38">
                  <c:v>280700.38275862072</c:v>
                </c:pt>
                <c:pt idx="39">
                  <c:v>305108.28448275867</c:v>
                </c:pt>
                <c:pt idx="40">
                  <c:v>502332.33620689658</c:v>
                </c:pt>
                <c:pt idx="41">
                  <c:v>506472.85000000003</c:v>
                </c:pt>
                <c:pt idx="42">
                  <c:v>569285.20862068981</c:v>
                </c:pt>
                <c:pt idx="43">
                  <c:v>596588.75172413804</c:v>
                </c:pt>
                <c:pt idx="44">
                  <c:v>516043.58793103456</c:v>
                </c:pt>
                <c:pt idx="45">
                  <c:v>602344.73103448283</c:v>
                </c:pt>
                <c:pt idx="46">
                  <c:v>183887.72931034482</c:v>
                </c:pt>
                <c:pt idx="47">
                  <c:v>441693.30689655175</c:v>
                </c:pt>
                <c:pt idx="48">
                  <c:v>682308.83965517255</c:v>
                </c:pt>
                <c:pt idx="49">
                  <c:v>543675.71724137932</c:v>
                </c:pt>
                <c:pt idx="50">
                  <c:v>749591.82068965526</c:v>
                </c:pt>
                <c:pt idx="51">
                  <c:v>449974.35344827594</c:v>
                </c:pt>
                <c:pt idx="52">
                  <c:v>396133.54310344829</c:v>
                </c:pt>
                <c:pt idx="53">
                  <c:v>583073.88275862078</c:v>
                </c:pt>
                <c:pt idx="54">
                  <c:v>386502.42413793108</c:v>
                </c:pt>
                <c:pt idx="55">
                  <c:v>328735.01206896559</c:v>
                </c:pt>
                <c:pt idx="56">
                  <c:v>650908.8844827587</c:v>
                </c:pt>
                <c:pt idx="57">
                  <c:v>453313.22068965522</c:v>
                </c:pt>
                <c:pt idx="58">
                  <c:v>507900.86413793103</c:v>
                </c:pt>
                <c:pt idx="59">
                  <c:v>441646.04137931042</c:v>
                </c:pt>
                <c:pt idx="60">
                  <c:v>526278.53310344822</c:v>
                </c:pt>
                <c:pt idx="61">
                  <c:v>212019.64068965521</c:v>
                </c:pt>
                <c:pt idx="62">
                  <c:v>417409.2537931035</c:v>
                </c:pt>
                <c:pt idx="63">
                  <c:v>323634.69862068974</c:v>
                </c:pt>
                <c:pt idx="64">
                  <c:v>260412.58482758619</c:v>
                </c:pt>
                <c:pt idx="65">
                  <c:v>434219.53034482762</c:v>
                </c:pt>
                <c:pt idx="66">
                  <c:v>334279.38758620695</c:v>
                </c:pt>
                <c:pt idx="67">
                  <c:v>641996.90896551718</c:v>
                </c:pt>
                <c:pt idx="68">
                  <c:v>306683.16275862069</c:v>
                </c:pt>
                <c:pt idx="69">
                  <c:v>290678.64344827586</c:v>
                </c:pt>
                <c:pt idx="70">
                  <c:v>311364.86068965518</c:v>
                </c:pt>
                <c:pt idx="71">
                  <c:v>355366.18137931038</c:v>
                </c:pt>
                <c:pt idx="72">
                  <c:v>596284.84206896555</c:v>
                </c:pt>
                <c:pt idx="73">
                  <c:v>339624.15724137932</c:v>
                </c:pt>
                <c:pt idx="74">
                  <c:v>226416.92413793108</c:v>
                </c:pt>
                <c:pt idx="75">
                  <c:v>332447.24896551727</c:v>
                </c:pt>
                <c:pt idx="76">
                  <c:v>280859.06</c:v>
                </c:pt>
              </c:numCache>
            </c:numRef>
          </c:val>
          <c:smooth val="0"/>
        </c:ser>
        <c:ser>
          <c:idx val="2"/>
          <c:order val="2"/>
          <c:tx>
            <c:strRef>
              <c:f>'NOGAL '!$A$2136</c:f>
              <c:strCache>
                <c:ptCount val="1"/>
                <c:pt idx="0">
                  <c:v>Ventas Punto de Venta</c:v>
                </c:pt>
              </c:strCache>
            </c:strRef>
          </c:tx>
          <c:spPr>
            <a:ln w="25400">
              <a:solidFill>
                <a:srgbClr val="0000FF"/>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'!$B$2136:$BZ$2136</c:f>
              <c:numCache>
                <c:formatCode>_("$ "* #,##0_);_("$ "* \(#,##0\);_("$ "* \-??_);_(@_)</c:formatCode>
                <c:ptCount val="77"/>
                <c:pt idx="0">
                  <c:v>2730280.227586207</c:v>
                </c:pt>
                <c:pt idx="1">
                  <c:v>7139868.9517241381</c:v>
                </c:pt>
                <c:pt idx="2">
                  <c:v>5602179.2206896562</c:v>
                </c:pt>
                <c:pt idx="3">
                  <c:v>6139996.7448275872</c:v>
                </c:pt>
                <c:pt idx="4">
                  <c:v>5227510.6517241383</c:v>
                </c:pt>
                <c:pt idx="5">
                  <c:v>6238829.2568965517</c:v>
                </c:pt>
                <c:pt idx="6">
                  <c:v>6013668.9344827589</c:v>
                </c:pt>
                <c:pt idx="7">
                  <c:v>5833966.8637931049</c:v>
                </c:pt>
                <c:pt idx="8">
                  <c:v>6371022.0051724147</c:v>
                </c:pt>
                <c:pt idx="9">
                  <c:v>5797334.7672413802</c:v>
                </c:pt>
                <c:pt idx="10">
                  <c:v>4435372.6775862072</c:v>
                </c:pt>
                <c:pt idx="11">
                  <c:v>3682960.7465517246</c:v>
                </c:pt>
                <c:pt idx="12">
                  <c:v>3887583.7448275872</c:v>
                </c:pt>
                <c:pt idx="13">
                  <c:v>5558787.181034483</c:v>
                </c:pt>
                <c:pt idx="14">
                  <c:v>4855531.9051724141</c:v>
                </c:pt>
                <c:pt idx="15">
                  <c:v>5207424.7534482758</c:v>
                </c:pt>
                <c:pt idx="16">
                  <c:v>5935063.8482758626</c:v>
                </c:pt>
                <c:pt idx="17">
                  <c:v>4070177.2224137937</c:v>
                </c:pt>
                <c:pt idx="18">
                  <c:v>4968521.4448275864</c:v>
                </c:pt>
                <c:pt idx="19">
                  <c:v>4345404.7206896553</c:v>
                </c:pt>
                <c:pt idx="20">
                  <c:v>3956881.3224137938</c:v>
                </c:pt>
                <c:pt idx="21">
                  <c:v>4616307.3775862074</c:v>
                </c:pt>
                <c:pt idx="22">
                  <c:v>3630450.2017241381</c:v>
                </c:pt>
                <c:pt idx="23">
                  <c:v>3933073.8017241382</c:v>
                </c:pt>
                <c:pt idx="24">
                  <c:v>5164261.4034482753</c:v>
                </c:pt>
                <c:pt idx="25">
                  <c:v>3525903.0017241384</c:v>
                </c:pt>
                <c:pt idx="26">
                  <c:v>2689683.9051724141</c:v>
                </c:pt>
                <c:pt idx="27">
                  <c:v>3075584.3672413798</c:v>
                </c:pt>
                <c:pt idx="28">
                  <c:v>3670618.0982758626</c:v>
                </c:pt>
                <c:pt idx="29">
                  <c:v>3606786.4327586209</c:v>
                </c:pt>
                <c:pt idx="30">
                  <c:v>4113370.2534482758</c:v>
                </c:pt>
                <c:pt idx="31">
                  <c:v>3964268.1500000004</c:v>
                </c:pt>
                <c:pt idx="32">
                  <c:v>3351310.284482759</c:v>
                </c:pt>
                <c:pt idx="33">
                  <c:v>3804984.6620689658</c:v>
                </c:pt>
                <c:pt idx="34">
                  <c:v>3449669.0258620689</c:v>
                </c:pt>
                <c:pt idx="35">
                  <c:v>2912173.9689655178</c:v>
                </c:pt>
                <c:pt idx="36">
                  <c:v>3540937.6000000006</c:v>
                </c:pt>
                <c:pt idx="37">
                  <c:v>3320657.4637931036</c:v>
                </c:pt>
                <c:pt idx="38">
                  <c:v>3194233.6862068968</c:v>
                </c:pt>
                <c:pt idx="39">
                  <c:v>3210019.4689655174</c:v>
                </c:pt>
                <c:pt idx="40">
                  <c:v>3150717.6500000004</c:v>
                </c:pt>
                <c:pt idx="41">
                  <c:v>2772645.6965517248</c:v>
                </c:pt>
                <c:pt idx="42">
                  <c:v>2868702.7206896557</c:v>
                </c:pt>
                <c:pt idx="43">
                  <c:v>2938547.8000000003</c:v>
                </c:pt>
                <c:pt idx="44">
                  <c:v>3347355.6568965521</c:v>
                </c:pt>
                <c:pt idx="45">
                  <c:v>3688111.0413793107</c:v>
                </c:pt>
                <c:pt idx="46">
                  <c:v>4102976.6948275864</c:v>
                </c:pt>
                <c:pt idx="47">
                  <c:v>3199663.6344827586</c:v>
                </c:pt>
                <c:pt idx="48">
                  <c:v>3250197.032758621</c:v>
                </c:pt>
                <c:pt idx="49">
                  <c:v>3105119.4913793104</c:v>
                </c:pt>
                <c:pt idx="50">
                  <c:v>3968323.3275862075</c:v>
                </c:pt>
                <c:pt idx="51">
                  <c:v>3074620.3551724143</c:v>
                </c:pt>
                <c:pt idx="52">
                  <c:v>3394513.0827586204</c:v>
                </c:pt>
                <c:pt idx="53">
                  <c:v>3073142.0620689653</c:v>
                </c:pt>
                <c:pt idx="54">
                  <c:v>3542077.7068965519</c:v>
                </c:pt>
                <c:pt idx="55">
                  <c:v>3161051.7896551732</c:v>
                </c:pt>
                <c:pt idx="56">
                  <c:v>2555132.4482758623</c:v>
                </c:pt>
                <c:pt idx="57">
                  <c:v>3323529.3879310344</c:v>
                </c:pt>
                <c:pt idx="58">
                  <c:v>3376286.1351724146</c:v>
                </c:pt>
                <c:pt idx="59">
                  <c:v>3444975.9579310347</c:v>
                </c:pt>
                <c:pt idx="60">
                  <c:v>4164638.2462068973</c:v>
                </c:pt>
                <c:pt idx="61">
                  <c:v>3481678.3068965524</c:v>
                </c:pt>
                <c:pt idx="62">
                  <c:v>2798113.168275862</c:v>
                </c:pt>
                <c:pt idx="63">
                  <c:v>2373081.1248275866</c:v>
                </c:pt>
                <c:pt idx="64">
                  <c:v>2034483.2096551722</c:v>
                </c:pt>
                <c:pt idx="65">
                  <c:v>2463098.2434482761</c:v>
                </c:pt>
                <c:pt idx="66">
                  <c:v>2547505.747586207</c:v>
                </c:pt>
                <c:pt idx="67">
                  <c:v>2178084.5965517247</c:v>
                </c:pt>
                <c:pt idx="68">
                  <c:v>3172869.7420689655</c:v>
                </c:pt>
                <c:pt idx="69">
                  <c:v>2622771.0517241382</c:v>
                </c:pt>
                <c:pt idx="70">
                  <c:v>2542169.5675862068</c:v>
                </c:pt>
                <c:pt idx="71">
                  <c:v>1893522.8482758622</c:v>
                </c:pt>
                <c:pt idx="72">
                  <c:v>2502925.490344828</c:v>
                </c:pt>
                <c:pt idx="73">
                  <c:v>2343804.7496551727</c:v>
                </c:pt>
                <c:pt idx="74">
                  <c:v>2223155.3289655177</c:v>
                </c:pt>
                <c:pt idx="75">
                  <c:v>1662178.4682758623</c:v>
                </c:pt>
                <c:pt idx="76">
                  <c:v>3369221.3800000008</c:v>
                </c:pt>
              </c:numCache>
            </c:numRef>
          </c:val>
          <c:smooth val="0"/>
        </c:ser>
        <c:ser>
          <c:idx val="3"/>
          <c:order val="3"/>
          <c:tx>
            <c:strRef>
              <c:f>'NOGAL '!$A$2137</c:f>
              <c:strCache>
                <c:ptCount val="1"/>
                <c:pt idx="0">
                  <c:v>Ventas Punto de Venta Carryout </c:v>
                </c:pt>
              </c:strCache>
            </c:strRef>
          </c:tx>
          <c:spPr>
            <a:ln w="25400">
              <a:solidFill>
                <a:srgbClr val="99CC00"/>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'!$B$2137:$BZ$2137</c:f>
              <c:numCache>
                <c:formatCode>_("$ "* #,##0_);_("$ "* \(#,##0\);_("$ "* \-??_);_(@_)</c:formatCode>
                <c:ptCount val="77"/>
                <c:pt idx="0">
                  <c:v>1992127.7879310343</c:v>
                </c:pt>
                <c:pt idx="1">
                  <c:v>5377467.9379310356</c:v>
                </c:pt>
                <c:pt idx="2">
                  <c:v>4559595.4172413796</c:v>
                </c:pt>
                <c:pt idx="3">
                  <c:v>5097995.4068965521</c:v>
                </c:pt>
                <c:pt idx="4">
                  <c:v>4507949.9517241381</c:v>
                </c:pt>
                <c:pt idx="5">
                  <c:v>4257075.1931034494</c:v>
                </c:pt>
                <c:pt idx="6">
                  <c:v>3783351.2689655172</c:v>
                </c:pt>
                <c:pt idx="7">
                  <c:v>3950231.2810344831</c:v>
                </c:pt>
                <c:pt idx="8">
                  <c:v>3356357.4017241383</c:v>
                </c:pt>
                <c:pt idx="9">
                  <c:v>1771709.8931034484</c:v>
                </c:pt>
                <c:pt idx="10">
                  <c:v>2184874.1396551728</c:v>
                </c:pt>
                <c:pt idx="11">
                  <c:v>2607806.9137931042</c:v>
                </c:pt>
                <c:pt idx="12">
                  <c:v>2360099.6224137936</c:v>
                </c:pt>
                <c:pt idx="13">
                  <c:v>2383189.3706896557</c:v>
                </c:pt>
                <c:pt idx="14">
                  <c:v>2608601.3879310344</c:v>
                </c:pt>
                <c:pt idx="15">
                  <c:v>2725740.0965517242</c:v>
                </c:pt>
                <c:pt idx="16">
                  <c:v>2713394.237931035</c:v>
                </c:pt>
                <c:pt idx="17">
                  <c:v>1514680.4758620693</c:v>
                </c:pt>
                <c:pt idx="18">
                  <c:v>2692257.5155172418</c:v>
                </c:pt>
                <c:pt idx="19">
                  <c:v>1881726.6413793107</c:v>
                </c:pt>
                <c:pt idx="20">
                  <c:v>2249959.4896551729</c:v>
                </c:pt>
                <c:pt idx="21">
                  <c:v>1750819.4534482763</c:v>
                </c:pt>
                <c:pt idx="22">
                  <c:v>1877286.1637931035</c:v>
                </c:pt>
                <c:pt idx="23">
                  <c:v>1916918.8706896557</c:v>
                </c:pt>
                <c:pt idx="24">
                  <c:v>1540049.1775862072</c:v>
                </c:pt>
                <c:pt idx="25">
                  <c:v>1769270.3431034484</c:v>
                </c:pt>
                <c:pt idx="26">
                  <c:v>1328924.6534482758</c:v>
                </c:pt>
                <c:pt idx="27">
                  <c:v>1749289.2448275867</c:v>
                </c:pt>
                <c:pt idx="28">
                  <c:v>1347691.1672413794</c:v>
                </c:pt>
                <c:pt idx="29">
                  <c:v>1079395.1793103446</c:v>
                </c:pt>
                <c:pt idx="30">
                  <c:v>1063729.6327586207</c:v>
                </c:pt>
                <c:pt idx="31">
                  <c:v>1329675.7103448277</c:v>
                </c:pt>
                <c:pt idx="32">
                  <c:v>1322618.5448275863</c:v>
                </c:pt>
                <c:pt idx="33">
                  <c:v>1288666.6879310347</c:v>
                </c:pt>
                <c:pt idx="34">
                  <c:v>1200250.0241379312</c:v>
                </c:pt>
                <c:pt idx="35">
                  <c:v>1374358.4500000002</c:v>
                </c:pt>
                <c:pt idx="36">
                  <c:v>1102158.1775862072</c:v>
                </c:pt>
                <c:pt idx="37">
                  <c:v>1443240.829310345</c:v>
                </c:pt>
                <c:pt idx="38">
                  <c:v>1117592.1172413793</c:v>
                </c:pt>
                <c:pt idx="39">
                  <c:v>748126.50000000023</c:v>
                </c:pt>
                <c:pt idx="40">
                  <c:v>640880.34827586217</c:v>
                </c:pt>
                <c:pt idx="41">
                  <c:v>510846.16551724146</c:v>
                </c:pt>
                <c:pt idx="42">
                  <c:v>1069786.4706896553</c:v>
                </c:pt>
                <c:pt idx="43">
                  <c:v>723698.74482758623</c:v>
                </c:pt>
                <c:pt idx="44">
                  <c:v>375563.76896551729</c:v>
                </c:pt>
                <c:pt idx="45">
                  <c:v>584182.55517241382</c:v>
                </c:pt>
                <c:pt idx="46">
                  <c:v>537307.39310344821</c:v>
                </c:pt>
                <c:pt idx="47">
                  <c:v>554617.11551724141</c:v>
                </c:pt>
                <c:pt idx="48">
                  <c:v>661933.02068965521</c:v>
                </c:pt>
                <c:pt idx="49">
                  <c:v>526005.81034482759</c:v>
                </c:pt>
                <c:pt idx="50">
                  <c:v>505207.30862068967</c:v>
                </c:pt>
                <c:pt idx="51">
                  <c:v>495802.9</c:v>
                </c:pt>
                <c:pt idx="52">
                  <c:v>428552.74655172415</c:v>
                </c:pt>
                <c:pt idx="53">
                  <c:v>861710.30689655175</c:v>
                </c:pt>
                <c:pt idx="54">
                  <c:v>629573.1948275863</c:v>
                </c:pt>
                <c:pt idx="55">
                  <c:v>667211.49310344842</c:v>
                </c:pt>
                <c:pt idx="56">
                  <c:v>892483.97931034502</c:v>
                </c:pt>
                <c:pt idx="57">
                  <c:v>501616.83793103462</c:v>
                </c:pt>
                <c:pt idx="58">
                  <c:v>484105.19517241383</c:v>
                </c:pt>
                <c:pt idx="59">
                  <c:v>902596.98206896556</c:v>
                </c:pt>
                <c:pt idx="60">
                  <c:v>1481581.8579310346</c:v>
                </c:pt>
                <c:pt idx="61">
                  <c:v>416158.43103448284</c:v>
                </c:pt>
                <c:pt idx="62">
                  <c:v>320564.90620689659</c:v>
                </c:pt>
                <c:pt idx="63">
                  <c:v>610190.2544827587</c:v>
                </c:pt>
                <c:pt idx="64">
                  <c:v>994783.00482758624</c:v>
                </c:pt>
                <c:pt idx="65">
                  <c:v>645767.46206896554</c:v>
                </c:pt>
                <c:pt idx="66">
                  <c:v>1251391.2048275864</c:v>
                </c:pt>
                <c:pt idx="67">
                  <c:v>1258442.8648275863</c:v>
                </c:pt>
                <c:pt idx="68">
                  <c:v>1502264.7386206898</c:v>
                </c:pt>
                <c:pt idx="69">
                  <c:v>1026957.2110344828</c:v>
                </c:pt>
                <c:pt idx="70">
                  <c:v>1245118.7765517242</c:v>
                </c:pt>
                <c:pt idx="71">
                  <c:v>949704.5213793104</c:v>
                </c:pt>
                <c:pt idx="72">
                  <c:v>600290.09517241386</c:v>
                </c:pt>
                <c:pt idx="73">
                  <c:v>1276490.9937931036</c:v>
                </c:pt>
                <c:pt idx="74">
                  <c:v>1179541.5648275863</c:v>
                </c:pt>
                <c:pt idx="75">
                  <c:v>1083974.3441379312</c:v>
                </c:pt>
                <c:pt idx="76">
                  <c:v>875934.71724137932</c:v>
                </c:pt>
              </c:numCache>
            </c:numRef>
          </c:val>
          <c:smooth val="0"/>
        </c:ser>
        <c:ser>
          <c:idx val="4"/>
          <c:order val="4"/>
          <c:tx>
            <c:strRef>
              <c:f>'NOGAL '!$A$2138</c:f>
              <c:strCache>
                <c:ptCount val="1"/>
                <c:pt idx="0">
                  <c:v>Ventas Punto de Venta Domicilio</c:v>
                </c:pt>
              </c:strCache>
            </c:strRef>
          </c:tx>
          <c:spPr>
            <a:ln w="25400">
              <a:solidFill>
                <a:srgbClr val="FF6600"/>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'!$B$2138:$BZ$2138</c:f>
              <c:numCache>
                <c:formatCode>_("$ "* #,##0_);_("$ "* \(#,##0\);_("$ "* \-??_);_(@_)</c:formatCode>
                <c:ptCount val="77"/>
                <c:pt idx="0">
                  <c:v>446056.58103448281</c:v>
                </c:pt>
                <c:pt idx="1">
                  <c:v>280600.89310344827</c:v>
                </c:pt>
                <c:pt idx="2">
                  <c:v>292439.03275862068</c:v>
                </c:pt>
                <c:pt idx="3">
                  <c:v>104305.62241379311</c:v>
                </c:pt>
                <c:pt idx="4">
                  <c:v>67166.64827586207</c:v>
                </c:pt>
                <c:pt idx="5">
                  <c:v>118429.83275862069</c:v>
                </c:pt>
                <c:pt idx="6">
                  <c:v>293708.03448275867</c:v>
                </c:pt>
                <c:pt idx="7">
                  <c:v>0</c:v>
                </c:pt>
                <c:pt idx="8">
                  <c:v>0</c:v>
                </c:pt>
                <c:pt idx="9">
                  <c:v>0</c:v>
                </c:pt>
                <c:pt idx="10">
                  <c:v>250252.63448275864</c:v>
                </c:pt>
                <c:pt idx="11">
                  <c:v>134610.83448275863</c:v>
                </c:pt>
                <c:pt idx="12">
                  <c:v>440300.43448275869</c:v>
                </c:pt>
                <c:pt idx="13">
                  <c:v>140518.57586206897</c:v>
                </c:pt>
                <c:pt idx="14">
                  <c:v>130125.46034482759</c:v>
                </c:pt>
                <c:pt idx="15">
                  <c:v>307382.24827586208</c:v>
                </c:pt>
                <c:pt idx="16">
                  <c:v>316144.27586206899</c:v>
                </c:pt>
                <c:pt idx="17">
                  <c:v>124017.75689655174</c:v>
                </c:pt>
                <c:pt idx="18">
                  <c:v>0</c:v>
                </c:pt>
                <c:pt idx="19">
                  <c:v>0</c:v>
                </c:pt>
                <c:pt idx="20">
                  <c:v>37048.432758620693</c:v>
                </c:pt>
                <c:pt idx="21">
                  <c:v>82404.665517241374</c:v>
                </c:pt>
                <c:pt idx="22">
                  <c:v>73227.872413793113</c:v>
                </c:pt>
                <c:pt idx="23">
                  <c:v>72757.196551724148</c:v>
                </c:pt>
                <c:pt idx="24">
                  <c:v>23296.660344827589</c:v>
                </c:pt>
                <c:pt idx="25">
                  <c:v>135417.76551724141</c:v>
                </c:pt>
                <c:pt idx="26">
                  <c:v>0</c:v>
                </c:pt>
                <c:pt idx="27">
                  <c:v>0</c:v>
                </c:pt>
                <c:pt idx="28">
                  <c:v>86397.791379310336</c:v>
                </c:pt>
                <c:pt idx="29">
                  <c:v>0</c:v>
                </c:pt>
                <c:pt idx="30">
                  <c:v>32977.718965517248</c:v>
                </c:pt>
                <c:pt idx="31">
                  <c:v>62498.539655172419</c:v>
                </c:pt>
                <c:pt idx="32">
                  <c:v>0</c:v>
                </c:pt>
                <c:pt idx="33">
                  <c:v>64358.891379310349</c:v>
                </c:pt>
                <c:pt idx="34">
                  <c:v>111834.13103448277</c:v>
                </c:pt>
                <c:pt idx="35">
                  <c:v>0</c:v>
                </c:pt>
                <c:pt idx="36">
                  <c:v>86633.993103448287</c:v>
                </c:pt>
                <c:pt idx="37">
                  <c:v>27873.4</c:v>
                </c:pt>
                <c:pt idx="38">
                  <c:v>51607.098275862074</c:v>
                </c:pt>
                <c:pt idx="39">
                  <c:v>128048.80000000002</c:v>
                </c:pt>
                <c:pt idx="40">
                  <c:v>49505.370689655181</c:v>
                </c:pt>
                <c:pt idx="41">
                  <c:v>71516.672413793116</c:v>
                </c:pt>
                <c:pt idx="42">
                  <c:v>51495.05</c:v>
                </c:pt>
                <c:pt idx="43">
                  <c:v>100196.9827586207</c:v>
                </c:pt>
                <c:pt idx="44">
                  <c:v>0</c:v>
                </c:pt>
                <c:pt idx="45">
                  <c:v>0</c:v>
                </c:pt>
                <c:pt idx="46">
                  <c:v>0</c:v>
                </c:pt>
                <c:pt idx="47">
                  <c:v>30743.206896551728</c:v>
                </c:pt>
                <c:pt idx="48">
                  <c:v>0</c:v>
                </c:pt>
                <c:pt idx="49">
                  <c:v>54944.206896551725</c:v>
                </c:pt>
                <c:pt idx="50">
                  <c:v>43104.493103448287</c:v>
                </c:pt>
                <c:pt idx="51">
                  <c:v>48482.115517241386</c:v>
                </c:pt>
                <c:pt idx="52">
                  <c:v>0</c:v>
                </c:pt>
                <c:pt idx="53">
                  <c:v>132112.68793103448</c:v>
                </c:pt>
                <c:pt idx="54">
                  <c:v>55759.69827586208</c:v>
                </c:pt>
                <c:pt idx="55">
                  <c:v>0</c:v>
                </c:pt>
                <c:pt idx="56">
                  <c:v>55241.598275862074</c:v>
                </c:pt>
                <c:pt idx="57">
                  <c:v>97746.993103448287</c:v>
                </c:pt>
                <c:pt idx="58">
                  <c:v>0</c:v>
                </c:pt>
                <c:pt idx="59">
                  <c:v>113769.22965517243</c:v>
                </c:pt>
                <c:pt idx="60">
                  <c:v>106173.60413793103</c:v>
                </c:pt>
                <c:pt idx="61">
                  <c:v>0</c:v>
                </c:pt>
                <c:pt idx="62">
                  <c:v>30421.404827586208</c:v>
                </c:pt>
                <c:pt idx="63">
                  <c:v>31699.848965517245</c:v>
                </c:pt>
                <c:pt idx="64">
                  <c:v>24451.612413793104</c:v>
                </c:pt>
                <c:pt idx="65">
                  <c:v>21083.502758620692</c:v>
                </c:pt>
                <c:pt idx="66">
                  <c:v>247913.38689655176</c:v>
                </c:pt>
                <c:pt idx="67">
                  <c:v>28804.157241379311</c:v>
                </c:pt>
                <c:pt idx="68">
                  <c:v>95478.830344827584</c:v>
                </c:pt>
                <c:pt idx="69">
                  <c:v>0</c:v>
                </c:pt>
                <c:pt idx="70">
                  <c:v>43887.711724137938</c:v>
                </c:pt>
                <c:pt idx="71">
                  <c:v>0</c:v>
                </c:pt>
                <c:pt idx="72">
                  <c:v>0</c:v>
                </c:pt>
                <c:pt idx="73">
                  <c:v>48126.492413793101</c:v>
                </c:pt>
                <c:pt idx="74">
                  <c:v>61572.951034482772</c:v>
                </c:pt>
                <c:pt idx="75">
                  <c:v>0</c:v>
                </c:pt>
                <c:pt idx="76">
                  <c:v>48261.849655172417</c:v>
                </c:pt>
              </c:numCache>
            </c:numRef>
          </c:val>
          <c:smooth val="0"/>
        </c:ser>
        <c:ser>
          <c:idx val="5"/>
          <c:order val="5"/>
          <c:tx>
            <c:strRef>
              <c:f>'NOGAL '!$A$2139</c:f>
              <c:strCache>
                <c:ptCount val="1"/>
                <c:pt idx="0">
                  <c:v>Cobro Domicilios </c:v>
                </c:pt>
              </c:strCache>
            </c:strRef>
          </c:tx>
          <c:spPr>
            <a:ln w="25400">
              <a:solidFill>
                <a:srgbClr val="800000"/>
              </a:solidFill>
              <a:prstDash val="solid"/>
            </a:ln>
          </c:spPr>
          <c:marker>
            <c:symbol val="none"/>
          </c:marker>
          <c:cat>
            <c:strRef>
              <c:f>'NOGAL '!$B$2133:$BZ$2133</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'!$B$2139:$BZ$2139</c:f>
              <c:numCache>
                <c:formatCode>_("$ "* #,##0_);_("$ "* \(#,##0\);_("$ "* \-??_);_(@_)</c:formatCode>
                <c:ptCount val="77"/>
                <c:pt idx="0">
                  <c:v>497805</c:v>
                </c:pt>
                <c:pt idx="1">
                  <c:v>1853300</c:v>
                </c:pt>
                <c:pt idx="2">
                  <c:v>1708915</c:v>
                </c:pt>
                <c:pt idx="3">
                  <c:v>2254130</c:v>
                </c:pt>
                <c:pt idx="4">
                  <c:v>2420065</c:v>
                </c:pt>
                <c:pt idx="5">
                  <c:v>2435150</c:v>
                </c:pt>
                <c:pt idx="6">
                  <c:v>2124830</c:v>
                </c:pt>
                <c:pt idx="7">
                  <c:v>2144225</c:v>
                </c:pt>
                <c:pt idx="8">
                  <c:v>2605395</c:v>
                </c:pt>
                <c:pt idx="9">
                  <c:v>1756325</c:v>
                </c:pt>
                <c:pt idx="10">
                  <c:v>1370580</c:v>
                </c:pt>
                <c:pt idx="11">
                  <c:v>1133530</c:v>
                </c:pt>
                <c:pt idx="12">
                  <c:v>1312395</c:v>
                </c:pt>
                <c:pt idx="13">
                  <c:v>1879160</c:v>
                </c:pt>
                <c:pt idx="14">
                  <c:v>1728310</c:v>
                </c:pt>
                <c:pt idx="15">
                  <c:v>1909330</c:v>
                </c:pt>
                <c:pt idx="16">
                  <c:v>2030010</c:v>
                </c:pt>
                <c:pt idx="17">
                  <c:v>2019235</c:v>
                </c:pt>
                <c:pt idx="18">
                  <c:v>1883470</c:v>
                </c:pt>
                <c:pt idx="19">
                  <c:v>1857610</c:v>
                </c:pt>
                <c:pt idx="20">
                  <c:v>2064490</c:v>
                </c:pt>
                <c:pt idx="21">
                  <c:v>1991220</c:v>
                </c:pt>
                <c:pt idx="22">
                  <c:v>1846835</c:v>
                </c:pt>
                <c:pt idx="23">
                  <c:v>2336020</c:v>
                </c:pt>
                <c:pt idx="24">
                  <c:v>1573150</c:v>
                </c:pt>
                <c:pt idx="25">
                  <c:v>1973980</c:v>
                </c:pt>
                <c:pt idx="26">
                  <c:v>1846835</c:v>
                </c:pt>
                <c:pt idx="27">
                  <c:v>1525740</c:v>
                </c:pt>
                <c:pt idx="28">
                  <c:v>2021390</c:v>
                </c:pt>
                <c:pt idx="29">
                  <c:v>1769255</c:v>
                </c:pt>
                <c:pt idx="30">
                  <c:v>2079575</c:v>
                </c:pt>
                <c:pt idx="31">
                  <c:v>1930880</c:v>
                </c:pt>
                <c:pt idx="32">
                  <c:v>2055870</c:v>
                </c:pt>
                <c:pt idx="33">
                  <c:v>1928725</c:v>
                </c:pt>
                <c:pt idx="34">
                  <c:v>2021390</c:v>
                </c:pt>
                <c:pt idx="35">
                  <c:v>1730465</c:v>
                </c:pt>
                <c:pt idx="36">
                  <c:v>1605475</c:v>
                </c:pt>
                <c:pt idx="37">
                  <c:v>1786495</c:v>
                </c:pt>
                <c:pt idx="38">
                  <c:v>1866230</c:v>
                </c:pt>
                <c:pt idx="39">
                  <c:v>1704605</c:v>
                </c:pt>
                <c:pt idx="40">
                  <c:v>1760635</c:v>
                </c:pt>
                <c:pt idx="41">
                  <c:v>1726155</c:v>
                </c:pt>
                <c:pt idx="42">
                  <c:v>1631335</c:v>
                </c:pt>
                <c:pt idx="43">
                  <c:v>1652885</c:v>
                </c:pt>
                <c:pt idx="44">
                  <c:v>1976135</c:v>
                </c:pt>
                <c:pt idx="45">
                  <c:v>1857610</c:v>
                </c:pt>
                <c:pt idx="46">
                  <c:v>1711070</c:v>
                </c:pt>
                <c:pt idx="47">
                  <c:v>1790805</c:v>
                </c:pt>
                <c:pt idx="48">
                  <c:v>1838215</c:v>
                </c:pt>
                <c:pt idx="49">
                  <c:v>1435230</c:v>
                </c:pt>
                <c:pt idx="50">
                  <c:v>1228350</c:v>
                </c:pt>
                <c:pt idx="51">
                  <c:v>1215420</c:v>
                </c:pt>
                <c:pt idx="52">
                  <c:v>1230505</c:v>
                </c:pt>
                <c:pt idx="53">
                  <c:v>1549445</c:v>
                </c:pt>
                <c:pt idx="54">
                  <c:v>1413680</c:v>
                </c:pt>
                <c:pt idx="55">
                  <c:v>1219730</c:v>
                </c:pt>
                <c:pt idx="56">
                  <c:v>1467555</c:v>
                </c:pt>
                <c:pt idx="57">
                  <c:v>1504190</c:v>
                </c:pt>
                <c:pt idx="58">
                  <c:v>1576342</c:v>
                </c:pt>
                <c:pt idx="59">
                  <c:v>1670488</c:v>
                </c:pt>
                <c:pt idx="60">
                  <c:v>1745322</c:v>
                </c:pt>
                <c:pt idx="61">
                  <c:v>1368738</c:v>
                </c:pt>
                <c:pt idx="62">
                  <c:v>1156306</c:v>
                </c:pt>
                <c:pt idx="63">
                  <c:v>871454</c:v>
                </c:pt>
                <c:pt idx="64">
                  <c:v>1004224</c:v>
                </c:pt>
                <c:pt idx="65">
                  <c:v>1310802</c:v>
                </c:pt>
                <c:pt idx="66">
                  <c:v>1330114</c:v>
                </c:pt>
                <c:pt idx="67">
                  <c:v>1528062</c:v>
                </c:pt>
                <c:pt idx="68">
                  <c:v>1281834</c:v>
                </c:pt>
                <c:pt idx="69">
                  <c:v>1293904</c:v>
                </c:pt>
                <c:pt idx="70">
                  <c:v>1315630</c:v>
                </c:pt>
                <c:pt idx="71">
                  <c:v>1284248</c:v>
                </c:pt>
                <c:pt idx="72">
                  <c:v>1450814</c:v>
                </c:pt>
                <c:pt idx="73">
                  <c:v>1318044</c:v>
                </c:pt>
                <c:pt idx="74">
                  <c:v>1223898</c:v>
                </c:pt>
                <c:pt idx="75">
                  <c:v>1484610</c:v>
                </c:pt>
                <c:pt idx="76">
                  <c:v>1038020</c:v>
                </c:pt>
              </c:numCache>
            </c:numRef>
          </c:val>
          <c:smooth val="0"/>
        </c:ser>
        <c:dLbls>
          <c:showLegendKey val="0"/>
          <c:showVal val="0"/>
          <c:showCatName val="0"/>
          <c:showSerName val="0"/>
          <c:showPercent val="0"/>
          <c:showBubbleSize val="0"/>
        </c:dLbls>
        <c:marker val="1"/>
        <c:smooth val="0"/>
        <c:axId val="313044992"/>
        <c:axId val="313046912"/>
      </c:lineChart>
      <c:catAx>
        <c:axId val="313044992"/>
        <c:scaling>
          <c:orientation val="minMax"/>
        </c:scaling>
        <c:delete val="0"/>
        <c:axPos val="b"/>
        <c:title>
          <c:tx>
            <c:rich>
              <a:bodyPr/>
              <a:lstStyle/>
              <a:p>
                <a:pPr>
                  <a:defRPr lang="es-ES" sz="1200" b="1" i="0" u="none" strike="noStrike" baseline="0">
                    <a:solidFill>
                      <a:srgbClr val="000000"/>
                    </a:solidFill>
                    <a:latin typeface="Arial"/>
                    <a:ea typeface="Arial"/>
                    <a:cs typeface="Arial"/>
                  </a:defRPr>
                </a:pPr>
                <a:r>
                  <a:rPr lang="es-ES"/>
                  <a:t>Semanas</a:t>
                </a:r>
              </a:p>
            </c:rich>
          </c:tx>
          <c:layout>
            <c:manualLayout>
              <c:xMode val="edge"/>
              <c:yMode val="edge"/>
              <c:x val="0.895564810489344"/>
              <c:y val="0.85927772000198099"/>
            </c:manualLayout>
          </c:layout>
          <c:overlay val="0"/>
          <c:spPr>
            <a:noFill/>
            <a:ln w="25400">
              <a:noFill/>
            </a:ln>
          </c:spPr>
        </c:title>
        <c:numFmt formatCode="General" sourceLinked="1"/>
        <c:majorTickMark val="out"/>
        <c:minorTickMark val="none"/>
        <c:tickLblPos val="nextTo"/>
        <c:txPr>
          <a:bodyPr rot="-2700000" vert="horz"/>
          <a:lstStyle/>
          <a:p>
            <a:pPr>
              <a:defRPr lang="es-ES" sz="900"/>
            </a:pPr>
            <a:endParaRPr lang="es-MX"/>
          </a:p>
        </c:txPr>
        <c:crossAx val="313046912"/>
        <c:crossesAt val="0"/>
        <c:auto val="1"/>
        <c:lblAlgn val="ctr"/>
        <c:lblOffset val="100"/>
        <c:tickLblSkip val="1"/>
        <c:tickMarkSkip val="1"/>
        <c:noMultiLvlLbl val="0"/>
      </c:catAx>
      <c:valAx>
        <c:axId val="313046912"/>
        <c:scaling>
          <c:orientation val="minMax"/>
        </c:scaling>
        <c:delete val="0"/>
        <c:axPos val="l"/>
        <c:majorGridlines>
          <c:spPr>
            <a:ln w="3175">
              <a:solidFill>
                <a:srgbClr val="000000"/>
              </a:solidFill>
              <a:prstDash val="solid"/>
            </a:ln>
          </c:spPr>
        </c:majorGridlines>
        <c:title>
          <c:tx>
            <c:rich>
              <a:bodyPr/>
              <a:lstStyle/>
              <a:p>
                <a:pPr>
                  <a:defRPr lang="es-ES" sz="1200" b="1" i="0" u="none" strike="noStrike" baseline="0">
                    <a:solidFill>
                      <a:srgbClr val="000000"/>
                    </a:solidFill>
                    <a:latin typeface="Arial"/>
                    <a:ea typeface="Arial"/>
                    <a:cs typeface="Arial"/>
                  </a:defRPr>
                </a:pPr>
                <a:r>
                  <a:rPr lang="es-ES"/>
                  <a:t>Pesos</a:t>
                </a:r>
              </a:p>
            </c:rich>
          </c:tx>
          <c:layout>
            <c:manualLayout>
              <c:xMode val="edge"/>
              <c:yMode val="edge"/>
              <c:x val="6.9595215578672504E-3"/>
              <c:y val="0.51100678452929205"/>
            </c:manualLayout>
          </c:layout>
          <c:overlay val="0"/>
          <c:spPr>
            <a:noFill/>
            <a:ln w="25400">
              <a:noFill/>
            </a:ln>
          </c:spPr>
        </c:title>
        <c:numFmt formatCode="_(&quot;$ &quot;* #,##0_);_(&quot;$ &quot;* \(#,##0\);_(&quot;$ &quot;* \-??_);_(@_)"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3044992"/>
        <c:crosses val="autoZero"/>
        <c:crossBetween val="midCat"/>
      </c:valAx>
      <c:spPr>
        <a:gradFill rotWithShape="0">
          <a:gsLst>
            <a:gs pos="0">
              <a:srgbClr val="8E6BB2"/>
            </a:gs>
            <a:gs pos="50000">
              <a:srgbClr val="CC99FF"/>
            </a:gs>
            <a:gs pos="100000">
              <a:srgbClr val="8E6BB2"/>
            </a:gs>
          </a:gsLst>
          <a:lin ang="5400000" scaled="1"/>
        </a:gradFill>
        <a:ln w="12700">
          <a:solidFill>
            <a:srgbClr val="808080"/>
          </a:solidFill>
          <a:prstDash val="solid"/>
        </a:ln>
      </c:spPr>
    </c:plotArea>
    <c:legend>
      <c:legendPos val="r"/>
      <c:layout>
        <c:manualLayout>
          <c:xMode val="edge"/>
          <c:yMode val="edge"/>
          <c:x val="0.85833379738167603"/>
          <c:y val="0.37264175704452002"/>
          <c:w val="0.13696757272974799"/>
          <c:h val="0.43317610062893103"/>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23684210526315799"/>
          <c:y val="3.9627039627039597E-2"/>
        </c:manualLayout>
      </c:layout>
      <c:overlay val="0"/>
      <c:spPr>
        <a:noFill/>
        <a:ln w="25400">
          <a:noFill/>
        </a:ln>
      </c:spPr>
    </c:title>
    <c:autoTitleDeleted val="0"/>
    <c:plotArea>
      <c:layout>
        <c:manualLayout>
          <c:layoutTarget val="inner"/>
          <c:xMode val="edge"/>
          <c:yMode val="edge"/>
          <c:x val="5.8637169984797302E-2"/>
          <c:y val="0.174825908999137"/>
          <c:w val="0.80513992858714001"/>
          <c:h val="0.63869561759329596"/>
        </c:manualLayout>
      </c:layout>
      <c:lineChart>
        <c:grouping val="standard"/>
        <c:varyColors val="0"/>
        <c:ser>
          <c:idx val="0"/>
          <c:order val="0"/>
          <c:tx>
            <c:strRef>
              <c:f>'NOGAL '!$A$2131</c:f>
              <c:strCache>
                <c:ptCount val="1"/>
                <c:pt idx="0">
                  <c:v>No. Pizzas vendidas</c:v>
                </c:pt>
              </c:strCache>
            </c:strRef>
          </c:tx>
          <c:spPr>
            <a:ln w="25400">
              <a:solidFill>
                <a:srgbClr val="000080"/>
              </a:solidFill>
              <a:prstDash val="solid"/>
            </a:ln>
          </c:spPr>
          <c:marker>
            <c:symbol val="none"/>
          </c:marker>
          <c:cat>
            <c:strRef>
              <c:f>'NOGAL '!$B$2130:$BZ$2130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'!$B$2131:$BZ$2131</c:f>
              <c:numCache>
                <c:formatCode>General</c:formatCode>
                <c:ptCount val="77"/>
                <c:pt idx="0" formatCode="0">
                  <c:v>480</c:v>
                </c:pt>
                <c:pt idx="1">
                  <c:v>1454</c:v>
                </c:pt>
                <c:pt idx="2">
                  <c:v>1284</c:v>
                </c:pt>
                <c:pt idx="3">
                  <c:v>1718</c:v>
                </c:pt>
                <c:pt idx="4">
                  <c:v>1448</c:v>
                </c:pt>
                <c:pt idx="5">
                  <c:v>1654</c:v>
                </c:pt>
                <c:pt idx="6">
                  <c:v>1491</c:v>
                </c:pt>
                <c:pt idx="7">
                  <c:v>1604</c:v>
                </c:pt>
                <c:pt idx="8">
                  <c:v>1627</c:v>
                </c:pt>
                <c:pt idx="9">
                  <c:v>1333</c:v>
                </c:pt>
                <c:pt idx="10">
                  <c:v>1134</c:v>
                </c:pt>
                <c:pt idx="11">
                  <c:v>984</c:v>
                </c:pt>
                <c:pt idx="12">
                  <c:v>1093</c:v>
                </c:pt>
                <c:pt idx="13">
                  <c:v>1501</c:v>
                </c:pt>
                <c:pt idx="14">
                  <c:v>1478</c:v>
                </c:pt>
                <c:pt idx="15">
                  <c:v>1555</c:v>
                </c:pt>
                <c:pt idx="16">
                  <c:v>1575</c:v>
                </c:pt>
                <c:pt idx="17" formatCode="0">
                  <c:v>1528</c:v>
                </c:pt>
                <c:pt idx="18" formatCode="0">
                  <c:v>1425</c:v>
                </c:pt>
                <c:pt idx="19" formatCode="0">
                  <c:v>1412</c:v>
                </c:pt>
                <c:pt idx="20" formatCode="0">
                  <c:v>1515</c:v>
                </c:pt>
                <c:pt idx="21" formatCode="0">
                  <c:v>1433</c:v>
                </c:pt>
                <c:pt idx="22" formatCode="0">
                  <c:v>1383</c:v>
                </c:pt>
                <c:pt idx="23" formatCode="0">
                  <c:v>1652</c:v>
                </c:pt>
                <c:pt idx="24" formatCode="0">
                  <c:v>1241</c:v>
                </c:pt>
                <c:pt idx="25" formatCode="0">
                  <c:v>1554</c:v>
                </c:pt>
                <c:pt idx="26" formatCode="0">
                  <c:v>1413</c:v>
                </c:pt>
                <c:pt idx="27" formatCode="0">
                  <c:v>1251</c:v>
                </c:pt>
                <c:pt idx="28" formatCode="0">
                  <c:v>1571</c:v>
                </c:pt>
                <c:pt idx="29" formatCode="0">
                  <c:v>1391</c:v>
                </c:pt>
                <c:pt idx="30" formatCode="0">
                  <c:v>1606</c:v>
                </c:pt>
                <c:pt idx="31" formatCode="0">
                  <c:v>1478</c:v>
                </c:pt>
                <c:pt idx="32" formatCode="0">
                  <c:v>1610</c:v>
                </c:pt>
                <c:pt idx="33" formatCode="0">
                  <c:v>1484</c:v>
                </c:pt>
                <c:pt idx="34" formatCode="0">
                  <c:v>1551</c:v>
                </c:pt>
                <c:pt idx="35" formatCode="0">
                  <c:v>1351</c:v>
                </c:pt>
                <c:pt idx="36" formatCode="0">
                  <c:v>1260</c:v>
                </c:pt>
                <c:pt idx="37" formatCode="0">
                  <c:v>1390</c:v>
                </c:pt>
                <c:pt idx="38" formatCode="0">
                  <c:v>1427</c:v>
                </c:pt>
                <c:pt idx="39" formatCode="0">
                  <c:v>1326</c:v>
                </c:pt>
                <c:pt idx="40" formatCode="0">
                  <c:v>1337</c:v>
                </c:pt>
                <c:pt idx="41" formatCode="0">
                  <c:v>1296</c:v>
                </c:pt>
                <c:pt idx="42" formatCode="0">
                  <c:v>1259</c:v>
                </c:pt>
                <c:pt idx="43" formatCode="0">
                  <c:v>1269</c:v>
                </c:pt>
                <c:pt idx="44" formatCode="0">
                  <c:v>1491</c:v>
                </c:pt>
                <c:pt idx="45" formatCode="0">
                  <c:v>1443</c:v>
                </c:pt>
                <c:pt idx="46" formatCode="0">
                  <c:v>1388</c:v>
                </c:pt>
                <c:pt idx="47" formatCode="0">
                  <c:v>1346</c:v>
                </c:pt>
                <c:pt idx="48" formatCode="0">
                  <c:v>1433</c:v>
                </c:pt>
                <c:pt idx="49" formatCode="0">
                  <c:v>1126</c:v>
                </c:pt>
                <c:pt idx="50" formatCode="0">
                  <c:v>1053</c:v>
                </c:pt>
                <c:pt idx="51" formatCode="0">
                  <c:v>959</c:v>
                </c:pt>
                <c:pt idx="52" formatCode="0">
                  <c:v>1011</c:v>
                </c:pt>
                <c:pt idx="53" formatCode="0">
                  <c:v>1214</c:v>
                </c:pt>
                <c:pt idx="54" formatCode="0">
                  <c:v>1081</c:v>
                </c:pt>
                <c:pt idx="55" formatCode="0">
                  <c:v>867</c:v>
                </c:pt>
                <c:pt idx="56" formatCode="0">
                  <c:v>1153</c:v>
                </c:pt>
                <c:pt idx="57" formatCode="0">
                  <c:v>1168</c:v>
                </c:pt>
                <c:pt idx="58" formatCode="0">
                  <c:v>1071</c:v>
                </c:pt>
                <c:pt idx="59" formatCode="0">
                  <c:v>1183</c:v>
                </c:pt>
                <c:pt idx="60" formatCode="0">
                  <c:v>1285</c:v>
                </c:pt>
                <c:pt idx="61" formatCode="0">
                  <c:v>1001</c:v>
                </c:pt>
                <c:pt idx="62" formatCode="0">
                  <c:v>845</c:v>
                </c:pt>
                <c:pt idx="63" formatCode="0">
                  <c:v>654</c:v>
                </c:pt>
                <c:pt idx="64" formatCode="0">
                  <c:v>746</c:v>
                </c:pt>
                <c:pt idx="65" formatCode="0">
                  <c:v>916</c:v>
                </c:pt>
                <c:pt idx="66" formatCode="0">
                  <c:v>983</c:v>
                </c:pt>
                <c:pt idx="67" formatCode="0">
                  <c:v>1101</c:v>
                </c:pt>
                <c:pt idx="68" formatCode="0">
                  <c:v>972</c:v>
                </c:pt>
                <c:pt idx="69" formatCode="0">
                  <c:v>935</c:v>
                </c:pt>
                <c:pt idx="70" formatCode="0">
                  <c:v>972</c:v>
                </c:pt>
                <c:pt idx="71" formatCode="0">
                  <c:v>880</c:v>
                </c:pt>
                <c:pt idx="72" formatCode="0">
                  <c:v>1011</c:v>
                </c:pt>
                <c:pt idx="73" formatCode="0">
                  <c:v>952</c:v>
                </c:pt>
                <c:pt idx="74" formatCode="0">
                  <c:v>855</c:v>
                </c:pt>
                <c:pt idx="75" formatCode="0">
                  <c:v>1015</c:v>
                </c:pt>
                <c:pt idx="76" formatCode="0">
                  <c:v>820</c:v>
                </c:pt>
              </c:numCache>
            </c:numRef>
          </c:val>
          <c:smooth val="0"/>
        </c:ser>
        <c:ser>
          <c:idx val="1"/>
          <c:order val="1"/>
          <c:tx>
            <c:strRef>
              <c:f>'NOGAL '!$A$2132</c:f>
              <c:strCache>
                <c:ptCount val="1"/>
                <c:pt idx="0">
                  <c:v>Total Tiquetes </c:v>
                </c:pt>
              </c:strCache>
            </c:strRef>
          </c:tx>
          <c:spPr>
            <a:ln w="25400">
              <a:solidFill>
                <a:srgbClr val="339966"/>
              </a:solidFill>
              <a:prstDash val="solid"/>
            </a:ln>
          </c:spPr>
          <c:marker>
            <c:symbol val="none"/>
          </c:marker>
          <c:cat>
            <c:strRef>
              <c:f>'NOGAL '!$B$2130:$BZ$2130</c:f>
              <c:strCache>
                <c:ptCount val="77"/>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pt idx="60">
                  <c:v>SEMANA 61</c:v>
                </c:pt>
                <c:pt idx="61">
                  <c:v>SEMANA 62</c:v>
                </c:pt>
                <c:pt idx="62">
                  <c:v>SEMANA 63</c:v>
                </c:pt>
                <c:pt idx="63">
                  <c:v>SEMANA 64</c:v>
                </c:pt>
                <c:pt idx="64">
                  <c:v>SEMANA 65</c:v>
                </c:pt>
                <c:pt idx="65">
                  <c:v>SEMANA 66</c:v>
                </c:pt>
                <c:pt idx="66">
                  <c:v>SEMANA 67</c:v>
                </c:pt>
                <c:pt idx="67">
                  <c:v>SEMANA 68</c:v>
                </c:pt>
                <c:pt idx="68">
                  <c:v>SEMANA 69</c:v>
                </c:pt>
                <c:pt idx="69">
                  <c:v>SEMANA 70</c:v>
                </c:pt>
                <c:pt idx="70">
                  <c:v>SEMANA 71</c:v>
                </c:pt>
                <c:pt idx="71">
                  <c:v>SEMANA 72</c:v>
                </c:pt>
                <c:pt idx="72">
                  <c:v>SEMANA 73</c:v>
                </c:pt>
                <c:pt idx="73">
                  <c:v>SEMANA 74</c:v>
                </c:pt>
                <c:pt idx="74">
                  <c:v>SEMANA 75</c:v>
                </c:pt>
                <c:pt idx="75">
                  <c:v>SEMANA 76</c:v>
                </c:pt>
                <c:pt idx="76">
                  <c:v>SEMANA 77</c:v>
                </c:pt>
              </c:strCache>
            </c:strRef>
          </c:cat>
          <c:val>
            <c:numRef>
              <c:f>'NOGAL '!$B$2132:$BZ$2132</c:f>
              <c:numCache>
                <c:formatCode>General</c:formatCode>
                <c:ptCount val="77"/>
                <c:pt idx="0">
                  <c:v>482</c:v>
                </c:pt>
                <c:pt idx="1">
                  <c:v>1368</c:v>
                </c:pt>
                <c:pt idx="2">
                  <c:v>1236</c:v>
                </c:pt>
                <c:pt idx="3">
                  <c:v>1541</c:v>
                </c:pt>
                <c:pt idx="4">
                  <c:v>1563</c:v>
                </c:pt>
                <c:pt idx="5">
                  <c:v>1559</c:v>
                </c:pt>
                <c:pt idx="6">
                  <c:v>1365</c:v>
                </c:pt>
                <c:pt idx="7">
                  <c:v>1450</c:v>
                </c:pt>
                <c:pt idx="8">
                  <c:v>1626</c:v>
                </c:pt>
                <c:pt idx="9">
                  <c:v>1167</c:v>
                </c:pt>
                <c:pt idx="10">
                  <c:v>971</c:v>
                </c:pt>
                <c:pt idx="11">
                  <c:v>829</c:v>
                </c:pt>
                <c:pt idx="12">
                  <c:v>930</c:v>
                </c:pt>
                <c:pt idx="13">
                  <c:v>1236</c:v>
                </c:pt>
                <c:pt idx="14">
                  <c:v>1196</c:v>
                </c:pt>
                <c:pt idx="15">
                  <c:v>1296</c:v>
                </c:pt>
                <c:pt idx="16">
                  <c:v>1368</c:v>
                </c:pt>
                <c:pt idx="17">
                  <c:v>1255</c:v>
                </c:pt>
                <c:pt idx="18">
                  <c:v>1212</c:v>
                </c:pt>
                <c:pt idx="19">
                  <c:v>1171</c:v>
                </c:pt>
                <c:pt idx="20">
                  <c:v>1262</c:v>
                </c:pt>
                <c:pt idx="21">
                  <c:v>1221</c:v>
                </c:pt>
                <c:pt idx="22">
                  <c:v>1124</c:v>
                </c:pt>
                <c:pt idx="23">
                  <c:v>1363</c:v>
                </c:pt>
                <c:pt idx="24">
                  <c:v>998</c:v>
                </c:pt>
                <c:pt idx="25">
                  <c:v>1177</c:v>
                </c:pt>
                <c:pt idx="26">
                  <c:v>1094</c:v>
                </c:pt>
                <c:pt idx="27">
                  <c:v>953</c:v>
                </c:pt>
                <c:pt idx="28">
                  <c:v>1186</c:v>
                </c:pt>
                <c:pt idx="29">
                  <c:v>1074</c:v>
                </c:pt>
                <c:pt idx="30">
                  <c:v>1235</c:v>
                </c:pt>
                <c:pt idx="31">
                  <c:v>1169</c:v>
                </c:pt>
                <c:pt idx="32">
                  <c:v>1168</c:v>
                </c:pt>
                <c:pt idx="33">
                  <c:v>1142</c:v>
                </c:pt>
                <c:pt idx="34">
                  <c:v>1173</c:v>
                </c:pt>
                <c:pt idx="35">
                  <c:v>1037</c:v>
                </c:pt>
                <c:pt idx="36">
                  <c:v>967</c:v>
                </c:pt>
                <c:pt idx="37">
                  <c:v>1057</c:v>
                </c:pt>
                <c:pt idx="38">
                  <c:v>1083</c:v>
                </c:pt>
                <c:pt idx="39">
                  <c:v>977</c:v>
                </c:pt>
                <c:pt idx="40">
                  <c:v>1018</c:v>
                </c:pt>
                <c:pt idx="41">
                  <c:v>978</c:v>
                </c:pt>
                <c:pt idx="42">
                  <c:v>953</c:v>
                </c:pt>
                <c:pt idx="43">
                  <c:v>977</c:v>
                </c:pt>
                <c:pt idx="44">
                  <c:v>1109</c:v>
                </c:pt>
                <c:pt idx="45">
                  <c:v>1076</c:v>
                </c:pt>
                <c:pt idx="46">
                  <c:v>1012</c:v>
                </c:pt>
                <c:pt idx="47">
                  <c:v>1027</c:v>
                </c:pt>
                <c:pt idx="48">
                  <c:v>1086</c:v>
                </c:pt>
                <c:pt idx="49">
                  <c:v>858</c:v>
                </c:pt>
                <c:pt idx="50">
                  <c:v>797</c:v>
                </c:pt>
                <c:pt idx="51">
                  <c:v>742</c:v>
                </c:pt>
                <c:pt idx="52">
                  <c:v>763</c:v>
                </c:pt>
                <c:pt idx="53">
                  <c:v>907</c:v>
                </c:pt>
                <c:pt idx="54">
                  <c:v>859</c:v>
                </c:pt>
                <c:pt idx="55">
                  <c:v>744</c:v>
                </c:pt>
                <c:pt idx="56">
                  <c:v>852</c:v>
                </c:pt>
                <c:pt idx="57">
                  <c:v>883</c:v>
                </c:pt>
                <c:pt idx="58">
                  <c:v>838</c:v>
                </c:pt>
                <c:pt idx="59">
                  <c:v>904</c:v>
                </c:pt>
                <c:pt idx="60">
                  <c:v>985</c:v>
                </c:pt>
                <c:pt idx="61">
                  <c:v>751</c:v>
                </c:pt>
                <c:pt idx="62">
                  <c:v>639</c:v>
                </c:pt>
                <c:pt idx="63">
                  <c:v>508</c:v>
                </c:pt>
                <c:pt idx="64">
                  <c:v>573</c:v>
                </c:pt>
                <c:pt idx="65">
                  <c:v>698</c:v>
                </c:pt>
                <c:pt idx="66">
                  <c:v>758</c:v>
                </c:pt>
                <c:pt idx="67">
                  <c:v>826</c:v>
                </c:pt>
                <c:pt idx="68">
                  <c:v>760</c:v>
                </c:pt>
                <c:pt idx="69">
                  <c:v>709</c:v>
                </c:pt>
                <c:pt idx="70">
                  <c:v>759</c:v>
                </c:pt>
                <c:pt idx="71">
                  <c:v>680</c:v>
                </c:pt>
                <c:pt idx="72">
                  <c:v>768</c:v>
                </c:pt>
                <c:pt idx="73">
                  <c:v>729</c:v>
                </c:pt>
                <c:pt idx="74">
                  <c:v>691</c:v>
                </c:pt>
                <c:pt idx="75">
                  <c:v>765</c:v>
                </c:pt>
                <c:pt idx="76">
                  <c:v>625</c:v>
                </c:pt>
              </c:numCache>
            </c:numRef>
          </c:val>
          <c:smooth val="0"/>
        </c:ser>
        <c:dLbls>
          <c:showLegendKey val="0"/>
          <c:showVal val="0"/>
          <c:showCatName val="0"/>
          <c:showSerName val="0"/>
          <c:showPercent val="0"/>
          <c:showBubbleSize val="0"/>
        </c:dLbls>
        <c:marker val="1"/>
        <c:smooth val="0"/>
        <c:axId val="315239424"/>
        <c:axId val="315262080"/>
      </c:lineChart>
      <c:catAx>
        <c:axId val="315239424"/>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89337667785507102"/>
              <c:y val="0.832170034689736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15262080"/>
        <c:crossesAt val="0"/>
        <c:auto val="1"/>
        <c:lblAlgn val="ctr"/>
        <c:lblOffset val="100"/>
        <c:tickLblSkip val="1"/>
        <c:tickMarkSkip val="1"/>
        <c:noMultiLvlLbl val="0"/>
      </c:catAx>
      <c:valAx>
        <c:axId val="315262080"/>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7.0065676991448002E-3"/>
              <c:y val="0.439783418681056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5239424"/>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87376401443313001"/>
          <c:y val="0.48795771157976597"/>
          <c:w val="0.117739973747372"/>
          <c:h val="0.126651126651126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725" b="1" i="0" u="none" strike="noStrike" baseline="0">
                <a:solidFill>
                  <a:srgbClr val="000000"/>
                </a:solidFill>
                <a:latin typeface="Arial"/>
                <a:ea typeface="Arial"/>
                <a:cs typeface="Arial"/>
              </a:defRPr>
            </a:pPr>
            <a:r>
              <a:rPr lang="es-ES"/>
              <a:t>Evolución Semanal de Tiquetes y Pizzas </a:t>
            </a:r>
          </a:p>
        </c:rich>
      </c:tx>
      <c:layout>
        <c:manualLayout>
          <c:xMode val="edge"/>
          <c:yMode val="edge"/>
          <c:x val="0.23374175789002"/>
          <c:y val="4.2253597610643498E-2"/>
        </c:manualLayout>
      </c:layout>
      <c:overlay val="0"/>
      <c:spPr>
        <a:noFill/>
        <a:ln w="25400">
          <a:noFill/>
        </a:ln>
      </c:spPr>
    </c:title>
    <c:autoTitleDeleted val="0"/>
    <c:plotArea>
      <c:layout>
        <c:manualLayout>
          <c:layoutTarget val="inner"/>
          <c:xMode val="edge"/>
          <c:yMode val="edge"/>
          <c:x val="7.0869655404599302E-2"/>
          <c:y val="0.144536760491146"/>
          <c:w val="0.75477869727872704"/>
          <c:h val="0.63586478414336101"/>
        </c:manualLayout>
      </c:layout>
      <c:lineChart>
        <c:grouping val="standard"/>
        <c:varyColors val="0"/>
        <c:ser>
          <c:idx val="0"/>
          <c:order val="0"/>
          <c:tx>
            <c:strRef>
              <c:f>'AV CHILE '!$A$1658</c:f>
              <c:strCache>
                <c:ptCount val="1"/>
                <c:pt idx="0">
                  <c:v>No. Pizzas vendidas</c:v>
                </c:pt>
              </c:strCache>
            </c:strRef>
          </c:tx>
          <c:spPr>
            <a:ln w="25400">
              <a:solidFill>
                <a:srgbClr val="000080"/>
              </a:solidFill>
              <a:prstDash val="solid"/>
            </a:ln>
          </c:spPr>
          <c:marker>
            <c:symbol val="none"/>
          </c:marker>
          <c:cat>
            <c:strRef>
              <c:f>'AV CHILE '!$B$1657:$BI$1657</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'!$B$1658:$BI$1658</c:f>
              <c:numCache>
                <c:formatCode>0</c:formatCode>
                <c:ptCount val="60"/>
                <c:pt idx="0">
                  <c:v>222</c:v>
                </c:pt>
                <c:pt idx="1">
                  <c:v>926</c:v>
                </c:pt>
                <c:pt idx="2">
                  <c:v>1133</c:v>
                </c:pt>
                <c:pt idx="3">
                  <c:v>1249</c:v>
                </c:pt>
                <c:pt idx="4">
                  <c:v>1164</c:v>
                </c:pt>
                <c:pt idx="5">
                  <c:v>1084</c:v>
                </c:pt>
                <c:pt idx="6">
                  <c:v>1148</c:v>
                </c:pt>
                <c:pt idx="7">
                  <c:v>1485</c:v>
                </c:pt>
                <c:pt idx="8">
                  <c:v>1306</c:v>
                </c:pt>
                <c:pt idx="9">
                  <c:v>1258</c:v>
                </c:pt>
                <c:pt idx="10">
                  <c:v>1085</c:v>
                </c:pt>
                <c:pt idx="11">
                  <c:v>1250</c:v>
                </c:pt>
                <c:pt idx="12">
                  <c:v>1155</c:v>
                </c:pt>
                <c:pt idx="13">
                  <c:v>1311</c:v>
                </c:pt>
                <c:pt idx="14">
                  <c:v>1260</c:v>
                </c:pt>
                <c:pt idx="15">
                  <c:v>1309</c:v>
                </c:pt>
                <c:pt idx="16">
                  <c:v>1243</c:v>
                </c:pt>
                <c:pt idx="17">
                  <c:v>1192</c:v>
                </c:pt>
                <c:pt idx="18">
                  <c:v>1154</c:v>
                </c:pt>
                <c:pt idx="19">
                  <c:v>1073</c:v>
                </c:pt>
                <c:pt idx="20">
                  <c:v>1286</c:v>
                </c:pt>
                <c:pt idx="21">
                  <c:v>1152</c:v>
                </c:pt>
                <c:pt idx="22">
                  <c:v>1081</c:v>
                </c:pt>
                <c:pt idx="23">
                  <c:v>1180</c:v>
                </c:pt>
                <c:pt idx="24">
                  <c:v>1157</c:v>
                </c:pt>
                <c:pt idx="25">
                  <c:v>1184</c:v>
                </c:pt>
                <c:pt idx="26">
                  <c:v>1115</c:v>
                </c:pt>
                <c:pt idx="27">
                  <c:v>1157</c:v>
                </c:pt>
                <c:pt idx="28">
                  <c:v>1153</c:v>
                </c:pt>
                <c:pt idx="29">
                  <c:v>1136</c:v>
                </c:pt>
                <c:pt idx="30">
                  <c:v>1057</c:v>
                </c:pt>
                <c:pt idx="31">
                  <c:v>1204</c:v>
                </c:pt>
                <c:pt idx="32">
                  <c:v>1078</c:v>
                </c:pt>
                <c:pt idx="33">
                  <c:v>1036</c:v>
                </c:pt>
                <c:pt idx="34">
                  <c:v>1051</c:v>
                </c:pt>
                <c:pt idx="35">
                  <c:v>1102</c:v>
                </c:pt>
                <c:pt idx="36">
                  <c:v>1155</c:v>
                </c:pt>
                <c:pt idx="37">
                  <c:v>1145</c:v>
                </c:pt>
                <c:pt idx="38">
                  <c:v>1147</c:v>
                </c:pt>
                <c:pt idx="39">
                  <c:v>1125</c:v>
                </c:pt>
                <c:pt idx="40">
                  <c:v>1264</c:v>
                </c:pt>
                <c:pt idx="41">
                  <c:v>1167</c:v>
                </c:pt>
                <c:pt idx="42">
                  <c:v>1310</c:v>
                </c:pt>
                <c:pt idx="43">
                  <c:v>1197</c:v>
                </c:pt>
                <c:pt idx="44">
                  <c:v>1212</c:v>
                </c:pt>
                <c:pt idx="45">
                  <c:v>946</c:v>
                </c:pt>
                <c:pt idx="46">
                  <c:v>805</c:v>
                </c:pt>
                <c:pt idx="47">
                  <c:v>884</c:v>
                </c:pt>
                <c:pt idx="48">
                  <c:v>1017</c:v>
                </c:pt>
                <c:pt idx="49">
                  <c:v>1101</c:v>
                </c:pt>
                <c:pt idx="50">
                  <c:v>1111</c:v>
                </c:pt>
                <c:pt idx="51">
                  <c:v>997</c:v>
                </c:pt>
                <c:pt idx="52">
                  <c:v>875</c:v>
                </c:pt>
                <c:pt idx="53">
                  <c:v>1007</c:v>
                </c:pt>
                <c:pt idx="54">
                  <c:v>920</c:v>
                </c:pt>
                <c:pt idx="55">
                  <c:v>1031</c:v>
                </c:pt>
                <c:pt idx="56">
                  <c:v>996</c:v>
                </c:pt>
                <c:pt idx="57">
                  <c:v>883</c:v>
                </c:pt>
                <c:pt idx="58">
                  <c:v>962</c:v>
                </c:pt>
                <c:pt idx="59">
                  <c:v>888</c:v>
                </c:pt>
              </c:numCache>
            </c:numRef>
          </c:val>
          <c:smooth val="0"/>
        </c:ser>
        <c:ser>
          <c:idx val="1"/>
          <c:order val="1"/>
          <c:tx>
            <c:strRef>
              <c:f>'AV CHILE '!$A$1659</c:f>
              <c:strCache>
                <c:ptCount val="1"/>
                <c:pt idx="0">
                  <c:v>Total Tiquetes </c:v>
                </c:pt>
              </c:strCache>
            </c:strRef>
          </c:tx>
          <c:spPr>
            <a:ln w="25400">
              <a:solidFill>
                <a:srgbClr val="339966"/>
              </a:solidFill>
              <a:prstDash val="solid"/>
            </a:ln>
          </c:spPr>
          <c:marker>
            <c:symbol val="none"/>
          </c:marker>
          <c:cat>
            <c:strRef>
              <c:f>'AV CHILE '!$B$1657:$BI$1657</c:f>
              <c:strCache>
                <c:ptCount val="60"/>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pt idx="19">
                  <c:v>SEMANA 20</c:v>
                </c:pt>
                <c:pt idx="20">
                  <c:v>SEMANA 21</c:v>
                </c:pt>
                <c:pt idx="21">
                  <c:v>SEMANA 22</c:v>
                </c:pt>
                <c:pt idx="22">
                  <c:v>SEMANA 23</c:v>
                </c:pt>
                <c:pt idx="23">
                  <c:v>SEMANA 24</c:v>
                </c:pt>
                <c:pt idx="24">
                  <c:v>SEMANA 25</c:v>
                </c:pt>
                <c:pt idx="25">
                  <c:v>SEMANA 26</c:v>
                </c:pt>
                <c:pt idx="26">
                  <c:v>SEMANA 27</c:v>
                </c:pt>
                <c:pt idx="27">
                  <c:v>SEMANA 28</c:v>
                </c:pt>
                <c:pt idx="28">
                  <c:v>SEMANA 29</c:v>
                </c:pt>
                <c:pt idx="29">
                  <c:v>SEMANA 30</c:v>
                </c:pt>
                <c:pt idx="30">
                  <c:v>SEMANA 31</c:v>
                </c:pt>
                <c:pt idx="31">
                  <c:v>SEMANA 32</c:v>
                </c:pt>
                <c:pt idx="32">
                  <c:v>SEMANA 33</c:v>
                </c:pt>
                <c:pt idx="33">
                  <c:v>SEMANA 34</c:v>
                </c:pt>
                <c:pt idx="34">
                  <c:v>SEMANA 35</c:v>
                </c:pt>
                <c:pt idx="35">
                  <c:v>SEMANA 36</c:v>
                </c:pt>
                <c:pt idx="36">
                  <c:v>SEMANA 37</c:v>
                </c:pt>
                <c:pt idx="37">
                  <c:v>SEMANA 38</c:v>
                </c:pt>
                <c:pt idx="38">
                  <c:v>SEMANA 39</c:v>
                </c:pt>
                <c:pt idx="39">
                  <c:v>SEMANA 40</c:v>
                </c:pt>
                <c:pt idx="40">
                  <c:v>SEMANA 41</c:v>
                </c:pt>
                <c:pt idx="41">
                  <c:v>SEMANA 42</c:v>
                </c:pt>
                <c:pt idx="42">
                  <c:v>SEMANA 43</c:v>
                </c:pt>
                <c:pt idx="43">
                  <c:v>SEMANA 44</c:v>
                </c:pt>
                <c:pt idx="44">
                  <c:v>SEMANA 45</c:v>
                </c:pt>
                <c:pt idx="45">
                  <c:v>SEMANA 46</c:v>
                </c:pt>
                <c:pt idx="46">
                  <c:v>SEMANA 47</c:v>
                </c:pt>
                <c:pt idx="47">
                  <c:v>SEMANA 48</c:v>
                </c:pt>
                <c:pt idx="48">
                  <c:v>SEMANA 49</c:v>
                </c:pt>
                <c:pt idx="49">
                  <c:v>SEMANA 50</c:v>
                </c:pt>
                <c:pt idx="50">
                  <c:v>SEMANA 51</c:v>
                </c:pt>
                <c:pt idx="51">
                  <c:v>SEMANA 52</c:v>
                </c:pt>
                <c:pt idx="52">
                  <c:v>SEMANA 53</c:v>
                </c:pt>
                <c:pt idx="53">
                  <c:v>SEMANA 54</c:v>
                </c:pt>
                <c:pt idx="54">
                  <c:v>SEMANA 55</c:v>
                </c:pt>
                <c:pt idx="55">
                  <c:v>SEMANA 56</c:v>
                </c:pt>
                <c:pt idx="56">
                  <c:v>SEMANA 57</c:v>
                </c:pt>
                <c:pt idx="57">
                  <c:v>SEMANA 58</c:v>
                </c:pt>
                <c:pt idx="58">
                  <c:v>SEMANA 59</c:v>
                </c:pt>
                <c:pt idx="59">
                  <c:v>SEMANA 60</c:v>
                </c:pt>
              </c:strCache>
            </c:strRef>
          </c:cat>
          <c:val>
            <c:numRef>
              <c:f>'AV CHILE '!$B$1659:$BI$1659</c:f>
              <c:numCache>
                <c:formatCode>General</c:formatCode>
                <c:ptCount val="60"/>
                <c:pt idx="0">
                  <c:v>195</c:v>
                </c:pt>
                <c:pt idx="1">
                  <c:v>850</c:v>
                </c:pt>
                <c:pt idx="2">
                  <c:v>1066</c:v>
                </c:pt>
                <c:pt idx="3">
                  <c:v>1143</c:v>
                </c:pt>
                <c:pt idx="4">
                  <c:v>1073</c:v>
                </c:pt>
                <c:pt idx="5">
                  <c:v>990</c:v>
                </c:pt>
                <c:pt idx="6">
                  <c:v>1036</c:v>
                </c:pt>
                <c:pt idx="7">
                  <c:v>1214</c:v>
                </c:pt>
                <c:pt idx="8">
                  <c:v>1083</c:v>
                </c:pt>
                <c:pt idx="9">
                  <c:v>1018</c:v>
                </c:pt>
                <c:pt idx="10">
                  <c:v>889</c:v>
                </c:pt>
                <c:pt idx="11">
                  <c:v>1019</c:v>
                </c:pt>
                <c:pt idx="12">
                  <c:v>971</c:v>
                </c:pt>
                <c:pt idx="13">
                  <c:v>1072</c:v>
                </c:pt>
                <c:pt idx="14">
                  <c:v>1043</c:v>
                </c:pt>
                <c:pt idx="15">
                  <c:v>1088</c:v>
                </c:pt>
                <c:pt idx="16">
                  <c:v>1027</c:v>
                </c:pt>
                <c:pt idx="17">
                  <c:v>999</c:v>
                </c:pt>
                <c:pt idx="18">
                  <c:v>972</c:v>
                </c:pt>
                <c:pt idx="19">
                  <c:v>885</c:v>
                </c:pt>
                <c:pt idx="20">
                  <c:v>1030</c:v>
                </c:pt>
                <c:pt idx="21">
                  <c:v>954</c:v>
                </c:pt>
                <c:pt idx="22">
                  <c:v>858</c:v>
                </c:pt>
                <c:pt idx="23">
                  <c:v>974</c:v>
                </c:pt>
                <c:pt idx="24">
                  <c:v>950</c:v>
                </c:pt>
                <c:pt idx="25">
                  <c:v>982</c:v>
                </c:pt>
                <c:pt idx="26">
                  <c:v>908</c:v>
                </c:pt>
                <c:pt idx="27">
                  <c:v>949</c:v>
                </c:pt>
                <c:pt idx="28">
                  <c:v>953</c:v>
                </c:pt>
                <c:pt idx="29">
                  <c:v>946</c:v>
                </c:pt>
                <c:pt idx="30">
                  <c:v>897</c:v>
                </c:pt>
                <c:pt idx="31">
                  <c:v>960</c:v>
                </c:pt>
                <c:pt idx="32">
                  <c:v>885</c:v>
                </c:pt>
                <c:pt idx="33">
                  <c:v>841</c:v>
                </c:pt>
                <c:pt idx="34">
                  <c:v>873</c:v>
                </c:pt>
                <c:pt idx="35">
                  <c:v>908</c:v>
                </c:pt>
                <c:pt idx="36">
                  <c:v>953</c:v>
                </c:pt>
                <c:pt idx="37">
                  <c:v>959</c:v>
                </c:pt>
                <c:pt idx="38">
                  <c:v>932</c:v>
                </c:pt>
                <c:pt idx="39">
                  <c:v>945</c:v>
                </c:pt>
                <c:pt idx="40">
                  <c:v>1033</c:v>
                </c:pt>
                <c:pt idx="41">
                  <c:v>956</c:v>
                </c:pt>
                <c:pt idx="42">
                  <c:v>1073</c:v>
                </c:pt>
                <c:pt idx="43">
                  <c:v>972</c:v>
                </c:pt>
                <c:pt idx="44">
                  <c:v>968</c:v>
                </c:pt>
                <c:pt idx="45">
                  <c:v>719</c:v>
                </c:pt>
                <c:pt idx="46">
                  <c:v>685</c:v>
                </c:pt>
                <c:pt idx="47">
                  <c:v>687</c:v>
                </c:pt>
                <c:pt idx="48">
                  <c:v>822</c:v>
                </c:pt>
                <c:pt idx="49">
                  <c:v>914</c:v>
                </c:pt>
                <c:pt idx="50">
                  <c:v>923</c:v>
                </c:pt>
                <c:pt idx="51">
                  <c:v>795</c:v>
                </c:pt>
                <c:pt idx="52">
                  <c:v>722</c:v>
                </c:pt>
                <c:pt idx="53">
                  <c:v>813</c:v>
                </c:pt>
                <c:pt idx="54">
                  <c:v>764</c:v>
                </c:pt>
                <c:pt idx="55">
                  <c:v>866</c:v>
                </c:pt>
                <c:pt idx="56">
                  <c:v>841</c:v>
                </c:pt>
                <c:pt idx="57">
                  <c:v>748</c:v>
                </c:pt>
                <c:pt idx="58">
                  <c:v>755</c:v>
                </c:pt>
                <c:pt idx="59">
                  <c:v>721</c:v>
                </c:pt>
              </c:numCache>
            </c:numRef>
          </c:val>
          <c:smooth val="0"/>
        </c:ser>
        <c:dLbls>
          <c:showLegendKey val="0"/>
          <c:showVal val="0"/>
          <c:showCatName val="0"/>
          <c:showSerName val="0"/>
          <c:showPercent val="0"/>
          <c:showBubbleSize val="0"/>
        </c:dLbls>
        <c:marker val="1"/>
        <c:smooth val="0"/>
        <c:axId val="316013568"/>
        <c:axId val="315163776"/>
      </c:lineChart>
      <c:catAx>
        <c:axId val="316013568"/>
        <c:scaling>
          <c:orientation val="minMax"/>
        </c:scaling>
        <c:delete val="0"/>
        <c:axPos val="b"/>
        <c:title>
          <c:tx>
            <c:rich>
              <a:bodyPr/>
              <a:lstStyle/>
              <a:p>
                <a:pPr>
                  <a:defRPr lang="es-ES" sz="1450" b="1" i="0" u="none" strike="noStrike" baseline="0">
                    <a:solidFill>
                      <a:srgbClr val="000000"/>
                    </a:solidFill>
                    <a:latin typeface="Arial"/>
                    <a:ea typeface="Arial"/>
                    <a:cs typeface="Arial"/>
                  </a:defRPr>
                </a:pPr>
                <a:r>
                  <a:rPr lang="es-ES"/>
                  <a:t>Semanas</a:t>
                </a:r>
              </a:p>
            </c:rich>
          </c:tx>
          <c:layout>
            <c:manualLayout>
              <c:xMode val="edge"/>
              <c:yMode val="edge"/>
              <c:x val="0.873296131413966"/>
              <c:y val="0.783650405768243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lang="es-ES" sz="800" b="0" i="0" u="none" strike="noStrike" baseline="0">
                <a:solidFill>
                  <a:srgbClr val="000000"/>
                </a:solidFill>
                <a:latin typeface="Arial"/>
                <a:ea typeface="Arial"/>
                <a:cs typeface="Arial"/>
              </a:defRPr>
            </a:pPr>
            <a:endParaRPr lang="es-MX"/>
          </a:p>
        </c:txPr>
        <c:crossAx val="315163776"/>
        <c:crossesAt val="0"/>
        <c:auto val="1"/>
        <c:lblAlgn val="ctr"/>
        <c:lblOffset val="100"/>
        <c:tickLblSkip val="1"/>
        <c:tickMarkSkip val="1"/>
        <c:noMultiLvlLbl val="0"/>
      </c:catAx>
      <c:valAx>
        <c:axId val="315163776"/>
        <c:scaling>
          <c:orientation val="minMax"/>
        </c:scaling>
        <c:delete val="0"/>
        <c:axPos val="l"/>
        <c:majorGridlines>
          <c:spPr>
            <a:ln w="3175">
              <a:solidFill>
                <a:srgbClr val="000000"/>
              </a:solidFill>
              <a:prstDash val="solid"/>
            </a:ln>
          </c:spPr>
        </c:majorGridlines>
        <c:title>
          <c:tx>
            <c:rich>
              <a:bodyPr/>
              <a:lstStyle/>
              <a:p>
                <a:pPr>
                  <a:defRPr lang="es-ES" sz="1450" b="1" i="0" u="none" strike="noStrike" baseline="0">
                    <a:solidFill>
                      <a:srgbClr val="000000"/>
                    </a:solidFill>
                    <a:latin typeface="Arial"/>
                    <a:ea typeface="Arial"/>
                    <a:cs typeface="Arial"/>
                  </a:defRPr>
                </a:pPr>
                <a:r>
                  <a:rPr lang="es-ES"/>
                  <a:t>Cantidad</a:t>
                </a:r>
              </a:p>
            </c:rich>
          </c:tx>
          <c:layout>
            <c:manualLayout>
              <c:xMode val="edge"/>
              <c:yMode val="edge"/>
              <c:x val="9.1674262356218096E-3"/>
              <c:y val="0.4079980088695809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MX"/>
          </a:p>
        </c:txPr>
        <c:crossAx val="316013568"/>
        <c:crosses val="autoZero"/>
        <c:crossBetween val="midCat"/>
      </c:valAx>
      <c:spPr>
        <a:gradFill rotWithShape="0">
          <a:gsLst>
            <a:gs pos="0">
              <a:srgbClr val="76475E"/>
            </a:gs>
            <a:gs pos="50000">
              <a:srgbClr val="FF99CC"/>
            </a:gs>
            <a:gs pos="100000">
              <a:srgbClr val="76475E"/>
            </a:gs>
          </a:gsLst>
          <a:lin ang="5400000" scaled="1"/>
        </a:gradFill>
        <a:ln w="12700">
          <a:solidFill>
            <a:srgbClr val="808080"/>
          </a:solidFill>
          <a:prstDash val="solid"/>
        </a:ln>
      </c:spPr>
    </c:plotArea>
    <c:legend>
      <c:legendPos val="r"/>
      <c:layout>
        <c:manualLayout>
          <c:xMode val="edge"/>
          <c:yMode val="edge"/>
          <c:x val="0.85028421528375098"/>
          <c:y val="0.42733852233989"/>
          <c:w val="0.139895642058533"/>
          <c:h val="0.15899840106194299"/>
        </c:manualLayout>
      </c:layout>
      <c:overlay val="0"/>
      <c:spPr>
        <a:solidFill>
          <a:srgbClr val="FFFFFF"/>
        </a:solidFill>
        <a:ln w="3175">
          <a:solidFill>
            <a:srgbClr val="000000"/>
          </a:solidFill>
          <a:prstDash val="solid"/>
        </a:ln>
      </c:spPr>
      <c:txPr>
        <a:bodyPr/>
        <a:lstStyle/>
        <a:p>
          <a:pPr>
            <a:defRPr lang="es-ES" sz="620" b="0" i="0" u="none" strike="noStrike" baseline="0">
              <a:solidFill>
                <a:srgbClr val="000000"/>
              </a:solidFill>
              <a:latin typeface="Arial"/>
              <a:ea typeface="Arial"/>
              <a:cs typeface="Arial"/>
            </a:defRPr>
          </a:pPr>
          <a:endParaRPr lang="es-MX"/>
        </a:p>
      </c:txPr>
    </c:legend>
    <c:plotVisOnly val="1"/>
    <c:dispBlanksAs val="gap"/>
    <c:showDLblsOverMax val="0"/>
  </c:chart>
  <c:spPr>
    <a:gradFill rotWithShape="0">
      <a:gsLst>
        <a:gs pos="0">
          <a:srgbClr val="FFFFFF"/>
        </a:gs>
        <a:gs pos="100000">
          <a:srgbClr val="767676"/>
        </a:gs>
      </a:gsLst>
      <a:lin ang="5400000" scaled="1"/>
    </a:gradFill>
    <a:ln w="3175">
      <a:solidFill>
        <a:srgbClr val="000000"/>
      </a:solidFill>
      <a:prstDash val="solid"/>
    </a:ln>
  </c:spPr>
  <c:txPr>
    <a:bodyPr/>
    <a:lstStyle/>
    <a:p>
      <a:pPr>
        <a:defRPr sz="1100" b="0" i="0" u="none" strike="noStrike" baseline="0">
          <a:solidFill>
            <a:srgbClr val="000000"/>
          </a:solidFill>
          <a:latin typeface="Calibri"/>
          <a:ea typeface="Calibri"/>
          <a:cs typeface="Calibri"/>
        </a:defRPr>
      </a:pPr>
      <a:endParaRPr lang="es-MX"/>
    </a:p>
  </c:txPr>
  <c:printSettings>
    <c:headerFooter alignWithMargins="0"/>
    <c:pageMargins b="1" l="0.75000000000000899" r="0.75000000000000899" t="1" header="0.51180555555555596" footer="0.51180555555555596"/>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314325</xdr:colOff>
      <xdr:row>0</xdr:row>
      <xdr:rowOff>0</xdr:rowOff>
    </xdr:from>
    <xdr:to>
      <xdr:col>0</xdr:col>
      <xdr:colOff>1676400</xdr:colOff>
      <xdr:row>2</xdr:row>
      <xdr:rowOff>161925</xdr:rowOff>
    </xdr:to>
    <xdr:pic>
      <xdr:nvPicPr>
        <xdr:cNvPr id="1028" name="1 Imagen"/>
        <xdr:cNvPicPr>
          <a:picLocks noChangeAspect="1" noChangeArrowheads="1"/>
        </xdr:cNvPicPr>
      </xdr:nvPicPr>
      <xdr:blipFill>
        <a:blip xmlns:r="http://schemas.openxmlformats.org/officeDocument/2006/relationships" r:embed="rId1"/>
        <a:srcRect/>
        <a:stretch>
          <a:fillRect/>
        </a:stretch>
      </xdr:blipFill>
      <xdr:spPr bwMode="auto">
        <a:xfrm>
          <a:off x="314325" y="0"/>
          <a:ext cx="1362075" cy="542925"/>
        </a:xfrm>
        <a:prstGeom prst="rect">
          <a:avLst/>
        </a:prstGeom>
        <a:noFill/>
        <a:ln w="9525">
          <a:noFill/>
          <a:round/>
          <a:headEnd/>
          <a:tailEnd/>
        </a:ln>
      </xdr:spPr>
    </xdr:pic>
    <xdr:clientData/>
  </xdr:twoCellAnchor>
  <xdr:twoCellAnchor>
    <xdr:from>
      <xdr:col>0</xdr:col>
      <xdr:colOff>76200</xdr:colOff>
      <xdr:row>2409</xdr:row>
      <xdr:rowOff>38100</xdr:rowOff>
    </xdr:from>
    <xdr:to>
      <xdr:col>9</xdr:col>
      <xdr:colOff>1190625</xdr:colOff>
      <xdr:row>2428</xdr:row>
      <xdr:rowOff>28575</xdr:rowOff>
    </xdr:to>
    <xdr:graphicFrame macro="">
      <xdr:nvGraphicFramePr>
        <xdr:cNvPr id="10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2428</xdr:row>
      <xdr:rowOff>114300</xdr:rowOff>
    </xdr:from>
    <xdr:to>
      <xdr:col>9</xdr:col>
      <xdr:colOff>1170215</xdr:colOff>
      <xdr:row>2448</xdr:row>
      <xdr:rowOff>104775</xdr:rowOff>
    </xdr:to>
    <xdr:graphicFrame macro="">
      <xdr:nvGraphicFramePr>
        <xdr:cNvPr id="103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0</xdr:col>
      <xdr:colOff>1638300</xdr:colOff>
      <xdr:row>2</xdr:row>
      <xdr:rowOff>171450</xdr:rowOff>
    </xdr:to>
    <xdr:pic>
      <xdr:nvPicPr>
        <xdr:cNvPr id="2052" name="1 Imagen"/>
        <xdr:cNvPicPr>
          <a:picLocks noChangeAspect="1" noChangeArrowheads="1"/>
        </xdr:cNvPicPr>
      </xdr:nvPicPr>
      <xdr:blipFill>
        <a:blip xmlns:r="http://schemas.openxmlformats.org/officeDocument/2006/relationships" r:embed="rId1"/>
        <a:srcRect/>
        <a:stretch>
          <a:fillRect/>
        </a:stretch>
      </xdr:blipFill>
      <xdr:spPr bwMode="auto">
        <a:xfrm>
          <a:off x="152400" y="0"/>
          <a:ext cx="1485900" cy="695325"/>
        </a:xfrm>
        <a:prstGeom prst="rect">
          <a:avLst/>
        </a:prstGeom>
        <a:noFill/>
        <a:ln w="9525">
          <a:noFill/>
          <a:round/>
          <a:headEnd/>
          <a:tailEnd/>
        </a:ln>
      </xdr:spPr>
    </xdr:pic>
    <xdr:clientData/>
  </xdr:twoCellAnchor>
  <xdr:twoCellAnchor>
    <xdr:from>
      <xdr:col>0</xdr:col>
      <xdr:colOff>9525</xdr:colOff>
      <xdr:row>2212</xdr:row>
      <xdr:rowOff>111125</xdr:rowOff>
    </xdr:from>
    <xdr:to>
      <xdr:col>10</xdr:col>
      <xdr:colOff>1229591</xdr:colOff>
      <xdr:row>2236</xdr:row>
      <xdr:rowOff>152400</xdr:rowOff>
    </xdr:to>
    <xdr:graphicFrame macro="">
      <xdr:nvGraphicFramePr>
        <xdr:cNvPr id="20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2237</xdr:row>
      <xdr:rowOff>165100</xdr:rowOff>
    </xdr:from>
    <xdr:to>
      <xdr:col>10</xdr:col>
      <xdr:colOff>1212273</xdr:colOff>
      <xdr:row>2261</xdr:row>
      <xdr:rowOff>165100</xdr:rowOff>
    </xdr:to>
    <xdr:graphicFrame macro="">
      <xdr:nvGraphicFramePr>
        <xdr:cNvPr id="205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0</xdr:row>
      <xdr:rowOff>133350</xdr:rowOff>
    </xdr:from>
    <xdr:to>
      <xdr:col>0</xdr:col>
      <xdr:colOff>1333500</xdr:colOff>
      <xdr:row>2</xdr:row>
      <xdr:rowOff>180975</xdr:rowOff>
    </xdr:to>
    <xdr:pic>
      <xdr:nvPicPr>
        <xdr:cNvPr id="3076" name="1 Imagen"/>
        <xdr:cNvPicPr>
          <a:picLocks noChangeAspect="1" noChangeArrowheads="1"/>
        </xdr:cNvPicPr>
      </xdr:nvPicPr>
      <xdr:blipFill>
        <a:blip xmlns:r="http://schemas.openxmlformats.org/officeDocument/2006/relationships" r:embed="rId1"/>
        <a:srcRect/>
        <a:stretch>
          <a:fillRect/>
        </a:stretch>
      </xdr:blipFill>
      <xdr:spPr bwMode="auto">
        <a:xfrm>
          <a:off x="238125" y="133350"/>
          <a:ext cx="1095375" cy="571500"/>
        </a:xfrm>
        <a:prstGeom prst="rect">
          <a:avLst/>
        </a:prstGeom>
        <a:noFill/>
        <a:ln w="9525">
          <a:noFill/>
          <a:round/>
          <a:headEnd/>
          <a:tailEnd/>
        </a:ln>
      </xdr:spPr>
    </xdr:pic>
    <xdr:clientData/>
  </xdr:twoCellAnchor>
  <xdr:twoCellAnchor>
    <xdr:from>
      <xdr:col>0</xdr:col>
      <xdr:colOff>0</xdr:colOff>
      <xdr:row>2307</xdr:row>
      <xdr:rowOff>0</xdr:rowOff>
    </xdr:from>
    <xdr:to>
      <xdr:col>12</xdr:col>
      <xdr:colOff>25400</xdr:colOff>
      <xdr:row>2327</xdr:row>
      <xdr:rowOff>66675</xdr:rowOff>
    </xdr:to>
    <xdr:graphicFrame macro="">
      <xdr:nvGraphicFramePr>
        <xdr:cNvPr id="307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2327</xdr:row>
      <xdr:rowOff>171450</xdr:rowOff>
    </xdr:from>
    <xdr:to>
      <xdr:col>12</xdr:col>
      <xdr:colOff>25399</xdr:colOff>
      <xdr:row>2346</xdr:row>
      <xdr:rowOff>47625</xdr:rowOff>
    </xdr:to>
    <xdr:graphicFrame macro="">
      <xdr:nvGraphicFramePr>
        <xdr:cNvPr id="307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0</xdr:row>
      <xdr:rowOff>0</xdr:rowOff>
    </xdr:from>
    <xdr:to>
      <xdr:col>0</xdr:col>
      <xdr:colOff>762000</xdr:colOff>
      <xdr:row>2</xdr:row>
      <xdr:rowOff>19050</xdr:rowOff>
    </xdr:to>
    <xdr:pic>
      <xdr:nvPicPr>
        <xdr:cNvPr id="4101" name="1 Imagen"/>
        <xdr:cNvPicPr>
          <a:picLocks noChangeAspect="1" noChangeArrowheads="1"/>
        </xdr:cNvPicPr>
      </xdr:nvPicPr>
      <xdr:blipFill>
        <a:blip xmlns:r="http://schemas.openxmlformats.org/officeDocument/2006/relationships" r:embed="rId1"/>
        <a:srcRect/>
        <a:stretch>
          <a:fillRect/>
        </a:stretch>
      </xdr:blipFill>
      <xdr:spPr bwMode="auto">
        <a:xfrm>
          <a:off x="495300" y="0"/>
          <a:ext cx="266700" cy="542925"/>
        </a:xfrm>
        <a:prstGeom prst="rect">
          <a:avLst/>
        </a:prstGeom>
        <a:noFill/>
        <a:ln w="9525">
          <a:noFill/>
          <a:round/>
          <a:headEnd/>
          <a:tailEnd/>
        </a:ln>
      </xdr:spPr>
    </xdr:pic>
    <xdr:clientData/>
  </xdr:twoCellAnchor>
  <xdr:twoCellAnchor>
    <xdr:from>
      <xdr:col>0</xdr:col>
      <xdr:colOff>152400</xdr:colOff>
      <xdr:row>0</xdr:row>
      <xdr:rowOff>0</xdr:rowOff>
    </xdr:from>
    <xdr:to>
      <xdr:col>0</xdr:col>
      <xdr:colOff>1638300</xdr:colOff>
      <xdr:row>2</xdr:row>
      <xdr:rowOff>171450</xdr:rowOff>
    </xdr:to>
    <xdr:pic>
      <xdr:nvPicPr>
        <xdr:cNvPr id="4102" name="1 Imagen"/>
        <xdr:cNvPicPr>
          <a:picLocks noChangeAspect="1" noChangeArrowheads="1"/>
        </xdr:cNvPicPr>
      </xdr:nvPicPr>
      <xdr:blipFill>
        <a:blip xmlns:r="http://schemas.openxmlformats.org/officeDocument/2006/relationships" r:embed="rId1"/>
        <a:srcRect/>
        <a:stretch>
          <a:fillRect/>
        </a:stretch>
      </xdr:blipFill>
      <xdr:spPr bwMode="auto">
        <a:xfrm>
          <a:off x="152400" y="0"/>
          <a:ext cx="1485900" cy="695325"/>
        </a:xfrm>
        <a:prstGeom prst="rect">
          <a:avLst/>
        </a:prstGeom>
        <a:noFill/>
        <a:ln w="9525">
          <a:noFill/>
          <a:round/>
          <a:headEnd/>
          <a:tailEnd/>
        </a:ln>
      </xdr:spPr>
    </xdr:pic>
    <xdr:clientData/>
  </xdr:twoCellAnchor>
  <xdr:twoCellAnchor>
    <xdr:from>
      <xdr:col>0</xdr:col>
      <xdr:colOff>0</xdr:colOff>
      <xdr:row>2143</xdr:row>
      <xdr:rowOff>0</xdr:rowOff>
    </xdr:from>
    <xdr:to>
      <xdr:col>11</xdr:col>
      <xdr:colOff>0</xdr:colOff>
      <xdr:row>2164</xdr:row>
      <xdr:rowOff>38100</xdr:rowOff>
    </xdr:to>
    <xdr:graphicFrame macro="">
      <xdr:nvGraphicFramePr>
        <xdr:cNvPr id="41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xdr:colOff>
      <xdr:row>2164</xdr:row>
      <xdr:rowOff>171450</xdr:rowOff>
    </xdr:from>
    <xdr:to>
      <xdr:col>11</xdr:col>
      <xdr:colOff>0</xdr:colOff>
      <xdr:row>2186</xdr:row>
      <xdr:rowOff>66675</xdr:rowOff>
    </xdr:to>
    <xdr:graphicFrame macro="">
      <xdr:nvGraphicFramePr>
        <xdr:cNvPr id="410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107950</xdr:colOff>
      <xdr:row>1689</xdr:row>
      <xdr:rowOff>98425</xdr:rowOff>
    </xdr:from>
    <xdr:to>
      <xdr:col>9</xdr:col>
      <xdr:colOff>1168400</xdr:colOff>
      <xdr:row>1706</xdr:row>
      <xdr:rowOff>174625</xdr:rowOff>
    </xdr:to>
    <xdr:graphicFrame macro="">
      <xdr:nvGraphicFramePr>
        <xdr:cNvPr id="51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1669</xdr:row>
      <xdr:rowOff>0</xdr:rowOff>
    </xdr:from>
    <xdr:to>
      <xdr:col>10</xdr:col>
      <xdr:colOff>0</xdr:colOff>
      <xdr:row>1688</xdr:row>
      <xdr:rowOff>127000</xdr:rowOff>
    </xdr:to>
    <xdr:graphicFrame macro="">
      <xdr:nvGraphicFramePr>
        <xdr:cNvPr id="51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24492</xdr:colOff>
      <xdr:row>923</xdr:row>
      <xdr:rowOff>114300</xdr:rowOff>
    </xdr:from>
    <xdr:to>
      <xdr:col>6</xdr:col>
      <xdr:colOff>408214</xdr:colOff>
      <xdr:row>941</xdr:row>
      <xdr:rowOff>66675</xdr:rowOff>
    </xdr:to>
    <xdr:graphicFrame macro="">
      <xdr:nvGraphicFramePr>
        <xdr:cNvPr id="61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904</xdr:row>
      <xdr:rowOff>25400</xdr:rowOff>
    </xdr:from>
    <xdr:to>
      <xdr:col>6</xdr:col>
      <xdr:colOff>367391</xdr:colOff>
      <xdr:row>922</xdr:row>
      <xdr:rowOff>114300</xdr:rowOff>
    </xdr:to>
    <xdr:graphicFrame macro="">
      <xdr:nvGraphicFramePr>
        <xdr:cNvPr id="61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xdr:colOff>
      <xdr:row>86</xdr:row>
      <xdr:rowOff>57150</xdr:rowOff>
    </xdr:from>
    <xdr:to>
      <xdr:col>6</xdr:col>
      <xdr:colOff>381000</xdr:colOff>
      <xdr:row>104</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6</xdr:col>
      <xdr:colOff>340178</xdr:colOff>
      <xdr:row>85</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257175</xdr:colOff>
      <xdr:row>0</xdr:row>
      <xdr:rowOff>0</xdr:rowOff>
    </xdr:from>
    <xdr:to>
      <xdr:col>0</xdr:col>
      <xdr:colOff>1162050</xdr:colOff>
      <xdr:row>3</xdr:row>
      <xdr:rowOff>57150</xdr:rowOff>
    </xdr:to>
    <xdr:pic>
      <xdr:nvPicPr>
        <xdr:cNvPr id="9218" name="Picture 1"/>
        <xdr:cNvPicPr>
          <a:picLocks noChangeAspect="1" noChangeArrowheads="1"/>
        </xdr:cNvPicPr>
      </xdr:nvPicPr>
      <xdr:blipFill>
        <a:blip xmlns:r="http://schemas.openxmlformats.org/officeDocument/2006/relationships" r:embed="rId1"/>
        <a:srcRect/>
        <a:stretch>
          <a:fillRect/>
        </a:stretch>
      </xdr:blipFill>
      <xdr:spPr bwMode="auto">
        <a:xfrm>
          <a:off x="257175" y="0"/>
          <a:ext cx="904875" cy="628650"/>
        </a:xfrm>
        <a:prstGeom prst="rect">
          <a:avLst/>
        </a:prstGeom>
        <a:noFill/>
        <a:ln w="9525">
          <a:noFill/>
          <a:round/>
          <a:headEnd/>
          <a:tailEnd/>
        </a:ln>
      </xdr:spPr>
    </xdr:pic>
    <xdr:clientData/>
  </xdr:twoCellAnchor>
  <xdr:twoCellAnchor>
    <xdr:from>
      <xdr:col>0</xdr:col>
      <xdr:colOff>257175</xdr:colOff>
      <xdr:row>0</xdr:row>
      <xdr:rowOff>0</xdr:rowOff>
    </xdr:from>
    <xdr:to>
      <xdr:col>0</xdr:col>
      <xdr:colOff>1162050</xdr:colOff>
      <xdr:row>3</xdr:row>
      <xdr:rowOff>57150</xdr:rowOff>
    </xdr:to>
    <xdr:pic>
      <xdr:nvPicPr>
        <xdr:cNvPr id="3" name="Picture 1"/>
        <xdr:cNvPicPr>
          <a:picLocks noChangeAspect="1" noChangeArrowheads="1"/>
        </xdr:cNvPicPr>
      </xdr:nvPicPr>
      <xdr:blipFill>
        <a:blip xmlns:r="http://schemas.openxmlformats.org/officeDocument/2006/relationships" r:embed="rId1"/>
        <a:srcRect/>
        <a:stretch>
          <a:fillRect/>
        </a:stretch>
      </xdr:blipFill>
      <xdr:spPr bwMode="auto">
        <a:xfrm>
          <a:off x="257175" y="0"/>
          <a:ext cx="904875" cy="615950"/>
        </a:xfrm>
        <a:prstGeom prst="rect">
          <a:avLst/>
        </a:prstGeom>
        <a:noFill/>
        <a:ln w="9525">
          <a:noFill/>
          <a:round/>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727071</xdr:colOff>
      <xdr:row>59</xdr:row>
      <xdr:rowOff>136524</xdr:rowOff>
    </xdr:from>
    <xdr:to>
      <xdr:col>108</xdr:col>
      <xdr:colOff>1285874</xdr:colOff>
      <xdr:row>98</xdr:row>
      <xdr:rowOff>0</xdr:rowOff>
    </xdr:to>
    <xdr:graphicFrame macro="">
      <xdr:nvGraphicFramePr>
        <xdr:cNvPr id="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marcela\Documents\PAPA%20JOHNS\INFORMES%20VENTAS\CONSOLIDADo-2012\VENTAS_PJ_COL_SAS_27-05-2012_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E SIERRA "/>
      <sheetName val="FLORESTA"/>
      <sheetName val="CEDRITOS"/>
      <sheetName val="NOGAL "/>
      <sheetName val="AV CHILE "/>
      <sheetName val="USAQUEN"/>
      <sheetName val="CENTRO M"/>
      <sheetName val="CHICO"/>
      <sheetName val="COLINA"/>
      <sheetName val="CHAPINERO"/>
      <sheetName val="ANDES"/>
      <sheetName val="NIZA"/>
      <sheetName val="GALERIAS"/>
      <sheetName val="SALITRE"/>
      <sheetName val="NUEVO"/>
      <sheetName val="CONSOLIDADO "/>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B6">
            <v>3682800</v>
          </cell>
          <cell r="C6">
            <v>4583200</v>
          </cell>
          <cell r="D6">
            <v>4814700</v>
          </cell>
          <cell r="E6">
            <v>5650600</v>
          </cell>
          <cell r="F6">
            <v>9561600</v>
          </cell>
          <cell r="G6">
            <v>11253100</v>
          </cell>
          <cell r="H6">
            <v>11553100</v>
          </cell>
        </row>
        <row r="7">
          <cell r="B7">
            <v>2660400</v>
          </cell>
          <cell r="C7">
            <v>2645800</v>
          </cell>
          <cell r="D7">
            <v>2735300</v>
          </cell>
          <cell r="E7">
            <v>3816400</v>
          </cell>
          <cell r="F7">
            <v>5269500</v>
          </cell>
          <cell r="G7">
            <v>6317500</v>
          </cell>
          <cell r="H7">
            <v>6424200</v>
          </cell>
        </row>
        <row r="8">
          <cell r="B8">
            <v>0</v>
          </cell>
          <cell r="C8">
            <v>357700</v>
          </cell>
          <cell r="D8">
            <v>1234200</v>
          </cell>
          <cell r="E8">
            <v>1471000</v>
          </cell>
          <cell r="F8">
            <v>3588200</v>
          </cell>
          <cell r="G8">
            <v>3893500</v>
          </cell>
          <cell r="H8">
            <v>3002300</v>
          </cell>
        </row>
        <row r="9">
          <cell r="B9">
            <v>0</v>
          </cell>
          <cell r="C9">
            <v>0</v>
          </cell>
          <cell r="D9">
            <v>0</v>
          </cell>
          <cell r="E9">
            <v>1181800</v>
          </cell>
          <cell r="F9">
            <v>3542900</v>
          </cell>
          <cell r="G9">
            <v>4929100</v>
          </cell>
          <cell r="H9">
            <v>5513400</v>
          </cell>
        </row>
        <row r="10">
          <cell r="B10">
            <v>6343200</v>
          </cell>
          <cell r="C10">
            <v>7586700</v>
          </cell>
          <cell r="D10">
            <v>8784200</v>
          </cell>
          <cell r="E10">
            <v>12119800</v>
          </cell>
          <cell r="F10">
            <v>21962200</v>
          </cell>
          <cell r="G10">
            <v>26393200</v>
          </cell>
          <cell r="H10">
            <v>26493000</v>
          </cell>
        </row>
        <row r="13">
          <cell r="B13">
            <v>11807300</v>
          </cell>
          <cell r="C13">
            <v>3737700</v>
          </cell>
          <cell r="D13">
            <v>3760100</v>
          </cell>
          <cell r="E13">
            <v>5313100</v>
          </cell>
          <cell r="F13">
            <v>9864800</v>
          </cell>
          <cell r="G13">
            <v>13514800</v>
          </cell>
          <cell r="H13">
            <v>13223800</v>
          </cell>
          <cell r="I13">
            <v>61221600</v>
          </cell>
        </row>
        <row r="14">
          <cell r="B14">
            <v>6043300</v>
          </cell>
          <cell r="C14">
            <v>1937500</v>
          </cell>
          <cell r="D14">
            <v>1877600</v>
          </cell>
          <cell r="E14">
            <v>2543100</v>
          </cell>
          <cell r="F14">
            <v>5860000</v>
          </cell>
          <cell r="G14">
            <v>8861800</v>
          </cell>
          <cell r="H14">
            <v>7227800</v>
          </cell>
          <cell r="I14">
            <v>34351100</v>
          </cell>
        </row>
        <row r="15">
          <cell r="B15">
            <v>2974300</v>
          </cell>
          <cell r="C15">
            <v>1325200</v>
          </cell>
          <cell r="D15">
            <v>1336800</v>
          </cell>
          <cell r="E15">
            <v>1815500</v>
          </cell>
          <cell r="F15">
            <v>3575700</v>
          </cell>
          <cell r="G15">
            <v>5158100</v>
          </cell>
          <cell r="H15">
            <v>5690800</v>
          </cell>
          <cell r="I15">
            <v>21876400</v>
          </cell>
        </row>
        <row r="16">
          <cell r="B16">
            <v>8010700</v>
          </cell>
          <cell r="C16">
            <v>2462400</v>
          </cell>
          <cell r="D16">
            <v>3346600</v>
          </cell>
          <cell r="E16">
            <v>3607000</v>
          </cell>
          <cell r="F16">
            <v>7766700</v>
          </cell>
          <cell r="G16">
            <v>10244000</v>
          </cell>
          <cell r="H16">
            <v>10258300</v>
          </cell>
          <cell r="I16">
            <v>45695700</v>
          </cell>
        </row>
        <row r="17">
          <cell r="B17">
            <v>28835600</v>
          </cell>
          <cell r="C17">
            <v>9462800</v>
          </cell>
          <cell r="D17">
            <v>10321100</v>
          </cell>
          <cell r="E17">
            <v>13278700</v>
          </cell>
          <cell r="F17">
            <v>27067200</v>
          </cell>
          <cell r="G17">
            <v>37778700</v>
          </cell>
          <cell r="H17">
            <v>36400700</v>
          </cell>
          <cell r="I17">
            <v>163144800</v>
          </cell>
        </row>
        <row r="20">
          <cell r="B20">
            <v>3728700</v>
          </cell>
          <cell r="C20">
            <v>3875700</v>
          </cell>
          <cell r="D20">
            <v>4532300</v>
          </cell>
          <cell r="E20">
            <v>5097600</v>
          </cell>
          <cell r="F20">
            <v>11128600</v>
          </cell>
          <cell r="G20">
            <v>14110700</v>
          </cell>
          <cell r="H20">
            <v>14699800</v>
          </cell>
        </row>
        <row r="21">
          <cell r="B21">
            <v>1399900</v>
          </cell>
          <cell r="C21">
            <v>2203400</v>
          </cell>
          <cell r="D21">
            <v>2640700</v>
          </cell>
          <cell r="E21">
            <v>2544500</v>
          </cell>
          <cell r="F21">
            <v>7239600</v>
          </cell>
          <cell r="G21">
            <v>9464100</v>
          </cell>
          <cell r="H21">
            <v>10435300</v>
          </cell>
        </row>
        <row r="22">
          <cell r="B22">
            <v>1837800</v>
          </cell>
          <cell r="C22">
            <v>997500</v>
          </cell>
          <cell r="D22">
            <v>1964800</v>
          </cell>
          <cell r="E22">
            <v>1861200</v>
          </cell>
          <cell r="F22">
            <v>6071600</v>
          </cell>
          <cell r="G22">
            <v>6633100</v>
          </cell>
          <cell r="H22">
            <v>7055900</v>
          </cell>
        </row>
        <row r="23">
          <cell r="B23">
            <v>3492300</v>
          </cell>
          <cell r="C23">
            <v>3409400</v>
          </cell>
          <cell r="D23">
            <v>3808700</v>
          </cell>
          <cell r="E23">
            <v>3946700</v>
          </cell>
          <cell r="F23">
            <v>8080400</v>
          </cell>
          <cell r="G23">
            <v>8565100</v>
          </cell>
          <cell r="H23">
            <v>11134700</v>
          </cell>
        </row>
        <row r="24">
          <cell r="B24">
            <v>10458700</v>
          </cell>
          <cell r="C24">
            <v>10486000</v>
          </cell>
          <cell r="D24">
            <v>12946500</v>
          </cell>
          <cell r="E24">
            <v>13450000</v>
          </cell>
          <cell r="F24">
            <v>32520200</v>
          </cell>
          <cell r="G24">
            <v>38773000</v>
          </cell>
          <cell r="H24">
            <v>43325700</v>
          </cell>
        </row>
        <row r="27">
          <cell r="B27">
            <v>14880900</v>
          </cell>
          <cell r="C27">
            <v>3040100</v>
          </cell>
          <cell r="D27">
            <v>2642500</v>
          </cell>
          <cell r="E27">
            <v>5472300</v>
          </cell>
          <cell r="F27">
            <v>11753300</v>
          </cell>
          <cell r="G27">
            <v>14756000</v>
          </cell>
          <cell r="H27">
            <v>14062000</v>
          </cell>
        </row>
        <row r="28">
          <cell r="B28">
            <v>8600300</v>
          </cell>
          <cell r="C28">
            <v>2378900</v>
          </cell>
          <cell r="D28">
            <v>2422000</v>
          </cell>
          <cell r="E28">
            <v>2112700</v>
          </cell>
          <cell r="F28">
            <v>7538600</v>
          </cell>
          <cell r="G28">
            <v>8390200</v>
          </cell>
          <cell r="H28">
            <v>8106500</v>
          </cell>
        </row>
        <row r="29">
          <cell r="B29">
            <v>6166400</v>
          </cell>
          <cell r="C29">
            <v>1322700</v>
          </cell>
          <cell r="D29">
            <v>1925000</v>
          </cell>
          <cell r="E29">
            <v>2544700</v>
          </cell>
          <cell r="F29">
            <v>5134500</v>
          </cell>
          <cell r="G29">
            <v>6347700</v>
          </cell>
          <cell r="H29">
            <v>8483500</v>
          </cell>
        </row>
        <row r="30">
          <cell r="B30">
            <v>12202800</v>
          </cell>
          <cell r="C30">
            <v>3312500</v>
          </cell>
          <cell r="D30">
            <v>3996000</v>
          </cell>
          <cell r="E30">
            <v>3813100</v>
          </cell>
          <cell r="F30">
            <v>8771100</v>
          </cell>
          <cell r="G30">
            <v>10147700</v>
          </cell>
          <cell r="H30">
            <v>12751900</v>
          </cell>
        </row>
        <row r="31">
          <cell r="B31">
            <v>41850400</v>
          </cell>
          <cell r="C31">
            <v>10054200</v>
          </cell>
          <cell r="D31">
            <v>10985500</v>
          </cell>
          <cell r="E31">
            <v>13942800</v>
          </cell>
          <cell r="F31">
            <v>33197500</v>
          </cell>
          <cell r="G31">
            <v>39641600</v>
          </cell>
          <cell r="H31">
            <v>43403900</v>
          </cell>
        </row>
        <row r="34">
          <cell r="B34">
            <v>3892000</v>
          </cell>
          <cell r="C34">
            <v>4203400</v>
          </cell>
          <cell r="D34">
            <v>4858100</v>
          </cell>
          <cell r="E34">
            <v>4783500</v>
          </cell>
          <cell r="F34">
            <v>11408400</v>
          </cell>
          <cell r="G34">
            <v>14050400</v>
          </cell>
          <cell r="H34">
            <v>13526300</v>
          </cell>
        </row>
        <row r="35">
          <cell r="B35">
            <v>1916900</v>
          </cell>
          <cell r="C35">
            <v>2374000</v>
          </cell>
          <cell r="D35">
            <v>2545700</v>
          </cell>
          <cell r="E35">
            <v>3261600</v>
          </cell>
          <cell r="F35">
            <v>6841800</v>
          </cell>
          <cell r="G35">
            <v>9123800</v>
          </cell>
          <cell r="H35">
            <v>9043700</v>
          </cell>
        </row>
        <row r="36">
          <cell r="B36">
            <v>1599100</v>
          </cell>
          <cell r="C36">
            <v>1751900</v>
          </cell>
          <cell r="D36">
            <v>1802100</v>
          </cell>
          <cell r="E36">
            <v>2538700</v>
          </cell>
          <cell r="F36">
            <v>6116800</v>
          </cell>
          <cell r="G36">
            <v>8395500</v>
          </cell>
          <cell r="H36">
            <v>7930300</v>
          </cell>
        </row>
        <row r="37">
          <cell r="B37">
            <v>3119700</v>
          </cell>
          <cell r="C37">
            <v>4566600</v>
          </cell>
          <cell r="D37">
            <v>4536100</v>
          </cell>
          <cell r="E37">
            <v>4404300</v>
          </cell>
          <cell r="F37">
            <v>8181300</v>
          </cell>
          <cell r="G37">
            <v>10469200</v>
          </cell>
          <cell r="H37">
            <v>11432600</v>
          </cell>
        </row>
        <row r="38">
          <cell r="B38">
            <v>10527700</v>
          </cell>
          <cell r="C38">
            <v>12895900</v>
          </cell>
          <cell r="D38">
            <v>13742000</v>
          </cell>
          <cell r="E38">
            <v>14988100</v>
          </cell>
          <cell r="F38">
            <v>32548300</v>
          </cell>
          <cell r="G38">
            <v>42038900</v>
          </cell>
          <cell r="H38">
            <v>41932900</v>
          </cell>
        </row>
        <row r="41">
          <cell r="B41">
            <v>15071400</v>
          </cell>
          <cell r="C41">
            <v>3135300</v>
          </cell>
          <cell r="D41">
            <v>4854200</v>
          </cell>
          <cell r="E41">
            <v>4562200</v>
          </cell>
          <cell r="F41">
            <v>9841200</v>
          </cell>
          <cell r="G41">
            <v>14163500</v>
          </cell>
          <cell r="H41">
            <v>14437800</v>
          </cell>
        </row>
        <row r="42">
          <cell r="B42">
            <v>7661000</v>
          </cell>
          <cell r="C42">
            <v>1830700</v>
          </cell>
          <cell r="D42">
            <v>2057100</v>
          </cell>
          <cell r="E42">
            <v>2273300</v>
          </cell>
          <cell r="F42">
            <v>7450400</v>
          </cell>
          <cell r="G42">
            <v>10100900</v>
          </cell>
          <cell r="H42">
            <v>8690700</v>
          </cell>
        </row>
        <row r="43">
          <cell r="B43">
            <v>6767100</v>
          </cell>
          <cell r="C43">
            <v>1722600</v>
          </cell>
          <cell r="D43">
            <v>2201900</v>
          </cell>
          <cell r="E43">
            <v>2004700</v>
          </cell>
          <cell r="F43">
            <v>4956800</v>
          </cell>
          <cell r="G43">
            <v>8258000</v>
          </cell>
          <cell r="H43">
            <v>6728600</v>
          </cell>
        </row>
        <row r="44">
          <cell r="B44">
            <v>10536900</v>
          </cell>
          <cell r="C44">
            <v>3961000</v>
          </cell>
          <cell r="D44">
            <v>3705000</v>
          </cell>
          <cell r="E44">
            <v>1979200</v>
          </cell>
          <cell r="F44">
            <v>12125900</v>
          </cell>
          <cell r="G44">
            <v>11365400</v>
          </cell>
          <cell r="H44">
            <v>11867500</v>
          </cell>
        </row>
        <row r="45">
          <cell r="B45">
            <v>40036400</v>
          </cell>
          <cell r="C45">
            <v>10649600</v>
          </cell>
          <cell r="D45">
            <v>12818200</v>
          </cell>
          <cell r="E45">
            <v>10819400</v>
          </cell>
          <cell r="F45">
            <v>34374300</v>
          </cell>
          <cell r="G45">
            <v>43887800</v>
          </cell>
          <cell r="H45">
            <v>41724600</v>
          </cell>
        </row>
        <row r="48">
          <cell r="B48">
            <v>4410500</v>
          </cell>
          <cell r="C48">
            <v>4543500</v>
          </cell>
          <cell r="D48">
            <v>4787500</v>
          </cell>
          <cell r="E48">
            <v>4971400</v>
          </cell>
          <cell r="F48">
            <v>9853300</v>
          </cell>
          <cell r="G48">
            <v>14662200</v>
          </cell>
          <cell r="H48">
            <v>16147100</v>
          </cell>
        </row>
        <row r="49">
          <cell r="B49">
            <v>1450800</v>
          </cell>
          <cell r="C49">
            <v>3036500</v>
          </cell>
          <cell r="D49">
            <v>2502200</v>
          </cell>
          <cell r="E49">
            <v>3823700</v>
          </cell>
          <cell r="F49">
            <v>7656000</v>
          </cell>
          <cell r="G49">
            <v>11136600</v>
          </cell>
          <cell r="H49">
            <v>9329600</v>
          </cell>
        </row>
        <row r="50">
          <cell r="B50">
            <v>2083600</v>
          </cell>
          <cell r="C50">
            <v>1917500</v>
          </cell>
          <cell r="D50">
            <v>2339600</v>
          </cell>
          <cell r="E50">
            <v>2780200</v>
          </cell>
          <cell r="F50">
            <v>6226100</v>
          </cell>
          <cell r="G50">
            <v>7538100</v>
          </cell>
          <cell r="H50">
            <v>6982500</v>
          </cell>
        </row>
        <row r="51">
          <cell r="B51">
            <v>2894000</v>
          </cell>
          <cell r="C51">
            <v>4260100</v>
          </cell>
          <cell r="D51">
            <v>4807800</v>
          </cell>
          <cell r="E51">
            <v>5265400</v>
          </cell>
          <cell r="F51">
            <v>8930000</v>
          </cell>
          <cell r="G51">
            <v>11142500</v>
          </cell>
          <cell r="H51">
            <v>12147600</v>
          </cell>
        </row>
        <row r="52">
          <cell r="B52">
            <v>10838900</v>
          </cell>
          <cell r="C52">
            <v>13757600</v>
          </cell>
          <cell r="D52">
            <v>14437100</v>
          </cell>
          <cell r="E52">
            <v>16840700</v>
          </cell>
          <cell r="F52">
            <v>32665400</v>
          </cell>
          <cell r="G52">
            <v>44479400</v>
          </cell>
          <cell r="H52">
            <v>44606800</v>
          </cell>
        </row>
        <row r="55">
          <cell r="B55">
            <v>5159400</v>
          </cell>
          <cell r="C55">
            <v>4991200</v>
          </cell>
          <cell r="D55">
            <v>5983000</v>
          </cell>
          <cell r="E55">
            <v>6001100</v>
          </cell>
          <cell r="F55">
            <v>10764300</v>
          </cell>
          <cell r="G55">
            <v>16410700</v>
          </cell>
          <cell r="H55">
            <v>14078500</v>
          </cell>
        </row>
        <row r="56">
          <cell r="B56">
            <v>2556300</v>
          </cell>
          <cell r="C56">
            <v>2388300</v>
          </cell>
          <cell r="D56">
            <v>3015300</v>
          </cell>
          <cell r="E56">
            <v>3784100</v>
          </cell>
          <cell r="F56">
            <v>6968900</v>
          </cell>
          <cell r="G56">
            <v>10762500</v>
          </cell>
          <cell r="H56">
            <v>9141300</v>
          </cell>
        </row>
        <row r="57">
          <cell r="B57">
            <v>2870800</v>
          </cell>
          <cell r="C57">
            <v>3692200</v>
          </cell>
          <cell r="D57">
            <v>3672900</v>
          </cell>
          <cell r="E57">
            <v>3516100</v>
          </cell>
          <cell r="F57">
            <v>6132700</v>
          </cell>
          <cell r="G57">
            <v>6992200</v>
          </cell>
          <cell r="H57">
            <v>7113400</v>
          </cell>
        </row>
        <row r="58">
          <cell r="B58">
            <v>4310200</v>
          </cell>
          <cell r="C58">
            <v>4001900</v>
          </cell>
          <cell r="D58">
            <v>3637900</v>
          </cell>
          <cell r="E58">
            <v>5354500</v>
          </cell>
          <cell r="F58">
            <v>7340600</v>
          </cell>
          <cell r="G58">
            <v>12632700</v>
          </cell>
          <cell r="H58">
            <v>12516900</v>
          </cell>
        </row>
        <row r="59">
          <cell r="B59">
            <v>14896700</v>
          </cell>
          <cell r="C59">
            <v>15073600</v>
          </cell>
          <cell r="D59">
            <v>16309100</v>
          </cell>
          <cell r="E59">
            <v>18655800</v>
          </cell>
          <cell r="F59">
            <v>31206500</v>
          </cell>
          <cell r="G59">
            <v>46798100</v>
          </cell>
          <cell r="H59">
            <v>42850100</v>
          </cell>
        </row>
        <row r="62">
          <cell r="B62">
            <v>5292000</v>
          </cell>
          <cell r="C62">
            <v>9754800</v>
          </cell>
          <cell r="D62">
            <v>13578800</v>
          </cell>
          <cell r="E62">
            <v>4800800</v>
          </cell>
          <cell r="F62">
            <v>8252600</v>
          </cell>
          <cell r="G62">
            <v>13706700</v>
          </cell>
          <cell r="H62">
            <v>13224400</v>
          </cell>
        </row>
        <row r="63">
          <cell r="B63">
            <v>2779800</v>
          </cell>
          <cell r="C63">
            <v>7121200</v>
          </cell>
          <cell r="D63">
            <v>9126000</v>
          </cell>
          <cell r="E63">
            <v>3005500</v>
          </cell>
          <cell r="F63">
            <v>6356400</v>
          </cell>
          <cell r="G63">
            <v>8099200</v>
          </cell>
          <cell r="H63">
            <v>7496100</v>
          </cell>
        </row>
        <row r="64">
          <cell r="B64">
            <v>2648900</v>
          </cell>
          <cell r="C64">
            <v>4425500</v>
          </cell>
          <cell r="D64">
            <v>6924500</v>
          </cell>
          <cell r="E64">
            <v>2478500</v>
          </cell>
          <cell r="F64">
            <v>4695400</v>
          </cell>
          <cell r="G64">
            <v>6902100</v>
          </cell>
          <cell r="H64">
            <v>7214700</v>
          </cell>
        </row>
        <row r="65">
          <cell r="B65">
            <v>3548900</v>
          </cell>
          <cell r="C65">
            <v>5866000</v>
          </cell>
          <cell r="D65">
            <v>11535700</v>
          </cell>
          <cell r="E65">
            <v>4333200</v>
          </cell>
          <cell r="F65">
            <v>8102900</v>
          </cell>
          <cell r="G65">
            <v>9714000</v>
          </cell>
          <cell r="H65">
            <v>10624900</v>
          </cell>
        </row>
        <row r="66">
          <cell r="B66">
            <v>14269600</v>
          </cell>
          <cell r="C66">
            <v>27167500</v>
          </cell>
          <cell r="D66">
            <v>41165000</v>
          </cell>
          <cell r="E66">
            <v>14618000</v>
          </cell>
          <cell r="F66">
            <v>27407300</v>
          </cell>
          <cell r="G66">
            <v>38422000</v>
          </cell>
          <cell r="H66">
            <v>38560100</v>
          </cell>
        </row>
        <row r="73">
          <cell r="B73">
            <v>14723300</v>
          </cell>
          <cell r="C73">
            <v>16549200</v>
          </cell>
          <cell r="D73">
            <v>21436300</v>
          </cell>
          <cell r="E73">
            <v>15936500</v>
          </cell>
          <cell r="F73">
            <v>29506000</v>
          </cell>
          <cell r="G73">
            <v>35666300</v>
          </cell>
          <cell r="H73">
            <v>36857900</v>
          </cell>
        </row>
        <row r="80">
          <cell r="B80">
            <v>18670700</v>
          </cell>
          <cell r="C80">
            <v>20624800</v>
          </cell>
          <cell r="D80">
            <v>21600100</v>
          </cell>
          <cell r="E80">
            <v>23101400</v>
          </cell>
          <cell r="F80">
            <v>14443500</v>
          </cell>
          <cell r="G80">
            <v>30141000</v>
          </cell>
          <cell r="H80">
            <v>31082200</v>
          </cell>
        </row>
        <row r="87">
          <cell r="B87">
            <v>21368800</v>
          </cell>
          <cell r="C87">
            <v>19093500</v>
          </cell>
          <cell r="D87">
            <v>20960400</v>
          </cell>
          <cell r="E87">
            <v>20060000</v>
          </cell>
          <cell r="F87">
            <v>10484900</v>
          </cell>
          <cell r="G87">
            <v>23368000</v>
          </cell>
          <cell r="H87">
            <v>25635300</v>
          </cell>
        </row>
        <row r="94">
          <cell r="B94">
            <v>16896400</v>
          </cell>
          <cell r="C94">
            <v>17724800</v>
          </cell>
          <cell r="D94">
            <v>11097500</v>
          </cell>
          <cell r="E94">
            <v>19653300</v>
          </cell>
          <cell r="F94">
            <v>26817800</v>
          </cell>
          <cell r="G94">
            <v>28739800</v>
          </cell>
          <cell r="H94">
            <v>32518800</v>
          </cell>
        </row>
        <row r="101">
          <cell r="B101">
            <v>36262400</v>
          </cell>
          <cell r="C101">
            <v>15200500</v>
          </cell>
          <cell r="D101">
            <v>14940600</v>
          </cell>
          <cell r="E101">
            <v>16951200</v>
          </cell>
          <cell r="F101">
            <v>32439500</v>
          </cell>
          <cell r="G101">
            <v>40478500</v>
          </cell>
          <cell r="H101">
            <v>38534500</v>
          </cell>
        </row>
        <row r="108">
          <cell r="B108">
            <v>13347900</v>
          </cell>
          <cell r="C108">
            <v>15517500</v>
          </cell>
          <cell r="D108">
            <v>15401800</v>
          </cell>
          <cell r="E108">
            <v>18493400</v>
          </cell>
          <cell r="F108">
            <v>33861800</v>
          </cell>
          <cell r="G108">
            <v>42812700</v>
          </cell>
          <cell r="H108">
            <v>38398500</v>
          </cell>
        </row>
        <row r="115">
          <cell r="B115">
            <v>12126000</v>
          </cell>
          <cell r="C115">
            <v>14645000</v>
          </cell>
          <cell r="D115">
            <v>15736500</v>
          </cell>
          <cell r="E115">
            <v>18187400</v>
          </cell>
          <cell r="F115">
            <v>33756300</v>
          </cell>
          <cell r="G115">
            <v>47870400</v>
          </cell>
          <cell r="H115">
            <v>41263000</v>
          </cell>
        </row>
        <row r="122">
          <cell r="B122">
            <v>12854000</v>
          </cell>
          <cell r="C122">
            <v>14595800</v>
          </cell>
          <cell r="D122">
            <v>14104200</v>
          </cell>
          <cell r="E122">
            <v>16860100</v>
          </cell>
          <cell r="F122">
            <v>35580100</v>
          </cell>
          <cell r="G122">
            <v>48719600</v>
          </cell>
          <cell r="H122">
            <v>46967900</v>
          </cell>
        </row>
      </sheetData>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enableFormatConditionsCalculation="0"/>
  <dimension ref="A1:CJ2409"/>
  <sheetViews>
    <sheetView zoomScale="150" zoomScaleNormal="150" zoomScalePageLayoutView="150" workbookViewId="0">
      <selection activeCell="B13" sqref="B13"/>
    </sheetView>
  </sheetViews>
  <sheetFormatPr baseColWidth="10" defaultRowHeight="15" x14ac:dyDescent="0.25"/>
  <cols>
    <col min="1" max="1" width="35.140625" customWidth="1"/>
    <col min="2" max="2" width="15.85546875" customWidth="1"/>
    <col min="3" max="3" width="16.42578125" customWidth="1"/>
    <col min="4" max="4" width="19.42578125" customWidth="1"/>
    <col min="5" max="5" width="17.7109375" customWidth="1"/>
    <col min="6" max="6" width="16.7109375" customWidth="1"/>
    <col min="7" max="7" width="17.28515625" customWidth="1"/>
    <col min="8" max="8" width="18.42578125" customWidth="1"/>
    <col min="9" max="9" width="17.42578125" customWidth="1"/>
    <col min="10" max="86" width="18.42578125" customWidth="1"/>
    <col min="87" max="87" width="19.42578125" customWidth="1"/>
    <col min="88" max="88" width="21.42578125" bestFit="1" customWidth="1"/>
  </cols>
  <sheetData>
    <row r="1" spans="1:11" x14ac:dyDescent="0.25">
      <c r="C1" s="1003" t="s">
        <v>0</v>
      </c>
      <c r="D1" s="1003"/>
      <c r="E1" s="1003"/>
      <c r="F1" s="1003"/>
      <c r="G1" s="1003"/>
      <c r="H1" s="1003"/>
    </row>
    <row r="2" spans="1:11" ht="15.75" thickBot="1" x14ac:dyDescent="0.3">
      <c r="C2" s="1003"/>
      <c r="D2" s="1003"/>
      <c r="E2" s="1003"/>
      <c r="F2" s="1003"/>
      <c r="G2" s="1003"/>
      <c r="H2" s="1003"/>
    </row>
    <row r="3" spans="1:11" ht="26.25" x14ac:dyDescent="0.25">
      <c r="A3" s="1"/>
      <c r="B3" s="1002" t="s">
        <v>1</v>
      </c>
      <c r="C3" s="1002"/>
      <c r="D3" s="1002"/>
      <c r="E3" s="1002"/>
      <c r="F3" s="1002"/>
      <c r="G3" s="1002"/>
      <c r="H3" s="1002"/>
      <c r="I3" s="1002"/>
    </row>
    <row r="4" spans="1:11" ht="16.5" thickBot="1" x14ac:dyDescent="0.3">
      <c r="A4" s="2" t="s">
        <v>2</v>
      </c>
      <c r="B4" s="3" t="s">
        <v>3</v>
      </c>
      <c r="C4" s="3" t="s">
        <v>4</v>
      </c>
      <c r="D4" s="3" t="s">
        <v>5</v>
      </c>
      <c r="E4" s="3" t="s">
        <v>6</v>
      </c>
      <c r="F4" s="3" t="s">
        <v>7</v>
      </c>
      <c r="G4" s="3" t="s">
        <v>8</v>
      </c>
      <c r="H4" s="3" t="s">
        <v>9</v>
      </c>
      <c r="I4" s="4" t="s">
        <v>10</v>
      </c>
    </row>
    <row r="5" spans="1:11" x14ac:dyDescent="0.25">
      <c r="A5" s="5" t="s">
        <v>11</v>
      </c>
      <c r="B5" s="6"/>
      <c r="C5" s="6"/>
      <c r="D5" s="6"/>
      <c r="E5" s="7"/>
      <c r="F5" s="8"/>
      <c r="G5" s="8"/>
      <c r="H5" s="8">
        <v>210</v>
      </c>
      <c r="I5" s="9">
        <f>SUM(H5)</f>
        <v>210</v>
      </c>
    </row>
    <row r="6" spans="1:11" x14ac:dyDescent="0.25">
      <c r="A6" s="10" t="s">
        <v>12</v>
      </c>
      <c r="B6" s="11"/>
      <c r="C6" s="12"/>
      <c r="D6" s="11"/>
      <c r="E6" s="12"/>
      <c r="F6" s="11"/>
      <c r="G6" s="12"/>
      <c r="H6" s="11">
        <v>58</v>
      </c>
      <c r="I6" s="13">
        <v>58</v>
      </c>
    </row>
    <row r="7" spans="1:11" x14ac:dyDescent="0.25">
      <c r="A7" s="10" t="s">
        <v>13</v>
      </c>
      <c r="B7" s="11"/>
      <c r="C7" s="12"/>
      <c r="D7" s="11"/>
      <c r="E7" s="12"/>
      <c r="F7" s="11"/>
      <c r="G7" s="12"/>
      <c r="H7" s="11">
        <v>58</v>
      </c>
      <c r="I7" s="13">
        <v>58</v>
      </c>
    </row>
    <row r="8" spans="1:11" x14ac:dyDescent="0.25">
      <c r="A8" s="10" t="s">
        <v>14</v>
      </c>
      <c r="B8" s="11"/>
      <c r="C8" s="12"/>
      <c r="D8" s="11"/>
      <c r="E8" s="12"/>
      <c r="F8" s="11"/>
      <c r="G8" s="12"/>
      <c r="H8" s="11">
        <v>25</v>
      </c>
      <c r="I8" s="13">
        <v>25</v>
      </c>
    </row>
    <row r="9" spans="1:11" x14ac:dyDescent="0.25">
      <c r="A9" s="10" t="s">
        <v>15</v>
      </c>
      <c r="B9" s="11"/>
      <c r="C9" s="12"/>
      <c r="D9" s="11"/>
      <c r="E9" s="12"/>
      <c r="F9" s="11"/>
      <c r="G9" s="12"/>
      <c r="H9" s="11">
        <v>0</v>
      </c>
      <c r="I9" s="13">
        <v>0</v>
      </c>
    </row>
    <row r="10" spans="1:11" x14ac:dyDescent="0.25">
      <c r="A10" s="10" t="s">
        <v>16</v>
      </c>
      <c r="B10" s="11"/>
      <c r="C10" s="12"/>
      <c r="D10" s="11"/>
      <c r="E10" s="12"/>
      <c r="F10" s="11"/>
      <c r="G10" s="12"/>
      <c r="H10" s="11">
        <v>0</v>
      </c>
      <c r="I10" s="13">
        <v>0</v>
      </c>
      <c r="K10" s="14">
        <f>I5+I33+I62+B90+C90</f>
        <v>3797</v>
      </c>
    </row>
    <row r="11" spans="1:11" x14ac:dyDescent="0.25">
      <c r="A11" s="15" t="s">
        <v>17</v>
      </c>
      <c r="B11" s="16">
        <v>0</v>
      </c>
      <c r="C11" s="16">
        <v>0</v>
      </c>
      <c r="D11" s="16">
        <v>0</v>
      </c>
      <c r="E11" s="16">
        <v>0</v>
      </c>
      <c r="F11" s="16">
        <v>0</v>
      </c>
      <c r="G11" s="16">
        <v>0</v>
      </c>
      <c r="H11" s="16">
        <f>SUM(H6:H10)</f>
        <v>141</v>
      </c>
      <c r="I11" s="17">
        <f>SUM(B11:H11)</f>
        <v>141</v>
      </c>
    </row>
    <row r="12" spans="1:11" x14ac:dyDescent="0.25">
      <c r="A12" s="10" t="s">
        <v>18</v>
      </c>
      <c r="B12" s="11"/>
      <c r="C12" s="12"/>
      <c r="D12" s="11"/>
      <c r="E12" s="12"/>
      <c r="F12" s="11"/>
      <c r="G12" s="12"/>
      <c r="H12" s="18">
        <v>0.39</v>
      </c>
      <c r="I12" s="19">
        <v>0.39</v>
      </c>
      <c r="K12" s="14">
        <f>I11+I39+I68+B96+C96</f>
        <v>3416</v>
      </c>
    </row>
    <row r="13" spans="1:11" x14ac:dyDescent="0.25">
      <c r="A13" s="10" t="s">
        <v>19</v>
      </c>
      <c r="B13" s="20"/>
      <c r="C13" s="21"/>
      <c r="D13" s="20"/>
      <c r="E13" s="21"/>
      <c r="F13" s="20"/>
      <c r="G13" s="21"/>
      <c r="H13" s="22">
        <v>0.41</v>
      </c>
      <c r="I13" s="23">
        <v>0.41</v>
      </c>
    </row>
    <row r="14" spans="1:11" x14ac:dyDescent="0.25">
      <c r="A14" s="10" t="s">
        <v>20</v>
      </c>
      <c r="B14" s="11"/>
      <c r="C14" s="12"/>
      <c r="D14" s="11"/>
      <c r="E14" s="12"/>
      <c r="F14" s="11"/>
      <c r="G14" s="12"/>
      <c r="H14" s="18">
        <v>0.2</v>
      </c>
      <c r="I14" s="19">
        <v>0.2</v>
      </c>
    </row>
    <row r="15" spans="1:11" x14ac:dyDescent="0.25">
      <c r="A15" s="10" t="s">
        <v>21</v>
      </c>
      <c r="B15" s="11"/>
      <c r="C15" s="12"/>
      <c r="D15" s="11"/>
      <c r="E15" s="12"/>
      <c r="F15" s="11"/>
      <c r="G15" s="12"/>
      <c r="H15" s="18">
        <v>0</v>
      </c>
      <c r="I15" s="19">
        <v>0</v>
      </c>
    </row>
    <row r="16" spans="1:11" x14ac:dyDescent="0.25">
      <c r="A16" s="10" t="s">
        <v>22</v>
      </c>
      <c r="B16" s="11"/>
      <c r="C16" s="12"/>
      <c r="D16" s="11"/>
      <c r="E16" s="12"/>
      <c r="F16" s="11"/>
      <c r="G16" s="12"/>
      <c r="H16" s="18">
        <v>0</v>
      </c>
      <c r="I16" s="19">
        <v>0</v>
      </c>
    </row>
    <row r="17" spans="1:10" x14ac:dyDescent="0.25">
      <c r="A17" s="24" t="s">
        <v>23</v>
      </c>
      <c r="B17" s="25"/>
      <c r="C17" s="26"/>
      <c r="D17" s="25"/>
      <c r="E17" s="26"/>
      <c r="F17" s="25"/>
      <c r="G17" s="26"/>
      <c r="H17" s="25"/>
      <c r="I17" s="27"/>
    </row>
    <row r="18" spans="1:10" x14ac:dyDescent="0.25">
      <c r="A18" s="24" t="s">
        <v>24</v>
      </c>
      <c r="B18" s="28"/>
      <c r="C18" s="28"/>
      <c r="D18" s="28"/>
      <c r="E18" s="28"/>
      <c r="F18" s="28"/>
      <c r="G18" s="28"/>
      <c r="H18" s="28"/>
      <c r="I18" s="29"/>
    </row>
    <row r="19" spans="1:10" x14ac:dyDescent="0.25">
      <c r="A19" s="10" t="s">
        <v>25</v>
      </c>
      <c r="B19" s="30"/>
      <c r="C19" s="30"/>
      <c r="D19" s="30"/>
      <c r="E19" s="30"/>
      <c r="F19" s="30"/>
      <c r="G19" s="30"/>
      <c r="H19" s="31">
        <f>H24*H12</f>
        <v>1620622.0034482758</v>
      </c>
      <c r="I19" s="32">
        <f>I24*I12</f>
        <v>1620622.0034482758</v>
      </c>
    </row>
    <row r="20" spans="1:10" x14ac:dyDescent="0.25">
      <c r="A20" s="10" t="s">
        <v>26</v>
      </c>
      <c r="B20" s="30"/>
      <c r="C20" s="30"/>
      <c r="D20" s="30"/>
      <c r="E20" s="30"/>
      <c r="F20" s="30"/>
      <c r="G20" s="30"/>
      <c r="H20" s="31">
        <f>H24*H13</f>
        <v>1703730.824137931</v>
      </c>
      <c r="I20" s="32">
        <f>I24*I13</f>
        <v>1703730.824137931</v>
      </c>
    </row>
    <row r="21" spans="1:10" x14ac:dyDescent="0.25">
      <c r="A21" s="10" t="s">
        <v>27</v>
      </c>
      <c r="B21" s="31"/>
      <c r="C21" s="31"/>
      <c r="D21" s="31"/>
      <c r="E21" s="31"/>
      <c r="F21" s="31"/>
      <c r="G21" s="31"/>
      <c r="H21" s="31">
        <f>H24*H14</f>
        <v>831088.20689655177</v>
      </c>
      <c r="I21" s="32">
        <f>I24*I14</f>
        <v>831088.20689655177</v>
      </c>
    </row>
    <row r="22" spans="1:10" x14ac:dyDescent="0.25">
      <c r="A22" s="10" t="s">
        <v>28</v>
      </c>
      <c r="B22" s="31"/>
      <c r="C22" s="31"/>
      <c r="D22" s="31"/>
      <c r="E22" s="31"/>
      <c r="F22" s="31"/>
      <c r="G22" s="31"/>
      <c r="H22" s="31">
        <f>H24*H15</f>
        <v>0</v>
      </c>
      <c r="I22" s="32">
        <f>I24*I15</f>
        <v>0</v>
      </c>
    </row>
    <row r="23" spans="1:10" x14ac:dyDescent="0.25">
      <c r="A23" s="10" t="s">
        <v>29</v>
      </c>
      <c r="B23" s="31"/>
      <c r="C23" s="31"/>
      <c r="D23" s="31"/>
      <c r="E23" s="31"/>
      <c r="F23" s="31"/>
      <c r="G23" s="31"/>
      <c r="H23" s="31">
        <f>H24*H16</f>
        <v>0</v>
      </c>
      <c r="I23" s="32">
        <f>I24*I16</f>
        <v>0</v>
      </c>
    </row>
    <row r="24" spans="1:10" x14ac:dyDescent="0.25">
      <c r="A24" s="33" t="s">
        <v>30</v>
      </c>
      <c r="B24" s="34"/>
      <c r="C24" s="35"/>
      <c r="D24" s="34"/>
      <c r="E24" s="35"/>
      <c r="F24" s="35"/>
      <c r="G24" s="35"/>
      <c r="H24" s="35">
        <f>(4965300/1.16)-H25</f>
        <v>4155441.0344827585</v>
      </c>
      <c r="I24" s="36">
        <f>(4965300/1.16)-I25</f>
        <v>4155441.0344827585</v>
      </c>
    </row>
    <row r="25" spans="1:10" x14ac:dyDescent="0.25">
      <c r="A25" s="10" t="s">
        <v>31</v>
      </c>
      <c r="B25" s="31"/>
      <c r="C25" s="31"/>
      <c r="D25" s="31"/>
      <c r="E25" s="31"/>
      <c r="F25" s="31"/>
      <c r="G25" s="31"/>
      <c r="H25" s="31">
        <f>2155*H6</f>
        <v>124990</v>
      </c>
      <c r="I25" s="32">
        <f>2155*I6</f>
        <v>124990</v>
      </c>
    </row>
    <row r="26" spans="1:10" x14ac:dyDescent="0.25">
      <c r="A26" s="37" t="s">
        <v>32</v>
      </c>
      <c r="B26" s="38"/>
      <c r="C26" s="38"/>
      <c r="D26" s="39"/>
      <c r="E26" s="38"/>
      <c r="F26" s="39"/>
      <c r="G26" s="39"/>
      <c r="H26" s="39">
        <f>H24+H25</f>
        <v>4280431.0344827585</v>
      </c>
      <c r="I26" s="40">
        <f>I24+I25</f>
        <v>4280431.0344827585</v>
      </c>
    </row>
    <row r="27" spans="1:10" x14ac:dyDescent="0.25">
      <c r="A27" s="10" t="s">
        <v>33</v>
      </c>
      <c r="B27" s="41"/>
      <c r="C27" s="41"/>
      <c r="D27" s="41"/>
      <c r="E27" s="41"/>
      <c r="F27" s="41"/>
      <c r="G27" s="41"/>
      <c r="H27" s="41">
        <f>H26*16%</f>
        <v>684868.96551724139</v>
      </c>
      <c r="I27" s="42">
        <f>I26*16%</f>
        <v>684868.96551724139</v>
      </c>
    </row>
    <row r="28" spans="1:10" x14ac:dyDescent="0.25">
      <c r="A28" s="43" t="s">
        <v>34</v>
      </c>
      <c r="B28" s="44">
        <f t="shared" ref="B28:I28" si="0">B26+B27</f>
        <v>0</v>
      </c>
      <c r="C28" s="45">
        <f t="shared" si="0"/>
        <v>0</v>
      </c>
      <c r="D28" s="46">
        <f t="shared" si="0"/>
        <v>0</v>
      </c>
      <c r="E28" s="45">
        <f t="shared" si="0"/>
        <v>0</v>
      </c>
      <c r="F28" s="46">
        <f t="shared" si="0"/>
        <v>0</v>
      </c>
      <c r="G28" s="45">
        <f t="shared" si="0"/>
        <v>0</v>
      </c>
      <c r="H28" s="46">
        <f t="shared" si="0"/>
        <v>4965300</v>
      </c>
      <c r="I28" s="47">
        <f t="shared" si="0"/>
        <v>4965300</v>
      </c>
    </row>
    <row r="31" spans="1:10" ht="26.25" x14ac:dyDescent="0.25">
      <c r="B31" s="1002" t="s">
        <v>35</v>
      </c>
      <c r="C31" s="1002"/>
      <c r="D31" s="1002"/>
      <c r="E31" s="1002"/>
      <c r="F31" s="1002"/>
      <c r="G31" s="1002"/>
      <c r="H31" s="1002"/>
      <c r="I31" s="1002"/>
    </row>
    <row r="32" spans="1:10" ht="16.5" thickBot="1" x14ac:dyDescent="0.3">
      <c r="A32" s="48" t="s">
        <v>2</v>
      </c>
      <c r="B32" s="49" t="s">
        <v>36</v>
      </c>
      <c r="C32" s="50" t="s">
        <v>37</v>
      </c>
      <c r="D32" s="51" t="s">
        <v>38</v>
      </c>
      <c r="E32" s="50" t="s">
        <v>39</v>
      </c>
      <c r="F32" s="51" t="s">
        <v>40</v>
      </c>
      <c r="G32" s="50" t="s">
        <v>41</v>
      </c>
      <c r="H32" s="51" t="s">
        <v>42</v>
      </c>
      <c r="I32" s="50" t="s">
        <v>10</v>
      </c>
      <c r="J32" s="52" t="s">
        <v>43</v>
      </c>
    </row>
    <row r="33" spans="1:10" x14ac:dyDescent="0.25">
      <c r="A33" s="53" t="s">
        <v>11</v>
      </c>
      <c r="B33" s="54">
        <v>290</v>
      </c>
      <c r="C33" s="55">
        <v>132</v>
      </c>
      <c r="D33" s="56">
        <v>160</v>
      </c>
      <c r="E33" s="57">
        <v>170</v>
      </c>
      <c r="F33" s="58">
        <v>257</v>
      </c>
      <c r="G33" s="57">
        <v>330</v>
      </c>
      <c r="H33" s="58">
        <v>310</v>
      </c>
      <c r="I33" s="57">
        <f>SUM(B33:H33)</f>
        <v>1649</v>
      </c>
      <c r="J33" s="59">
        <f>'PEPE SIERRA '!$I33/7</f>
        <v>235.57142857142858</v>
      </c>
    </row>
    <row r="34" spans="1:10" x14ac:dyDescent="0.25">
      <c r="A34" s="10" t="s">
        <v>12</v>
      </c>
      <c r="B34" s="11">
        <v>10</v>
      </c>
      <c r="C34" s="11">
        <v>16</v>
      </c>
      <c r="D34" s="11">
        <v>40</v>
      </c>
      <c r="E34" s="11">
        <v>64</v>
      </c>
      <c r="F34" s="11">
        <v>72</v>
      </c>
      <c r="G34" s="11">
        <v>112</v>
      </c>
      <c r="H34" s="11">
        <v>150</v>
      </c>
      <c r="I34" s="11">
        <f>'PEPE SIERRA '!$B34+'PEPE SIERRA '!$C34+'PEPE SIERRA '!$D34+'PEPE SIERRA '!$E34+'PEPE SIERRA '!$F34+'PEPE SIERRA '!$G34+'PEPE SIERRA '!$H34</f>
        <v>464</v>
      </c>
      <c r="J34" s="60">
        <f>'PEPE SIERRA '!$I34/7</f>
        <v>66.285714285714292</v>
      </c>
    </row>
    <row r="35" spans="1:10" x14ac:dyDescent="0.25">
      <c r="A35" s="10" t="s">
        <v>13</v>
      </c>
      <c r="B35" s="11">
        <v>137</v>
      </c>
      <c r="C35" s="11">
        <v>56</v>
      </c>
      <c r="D35" s="11">
        <v>46</v>
      </c>
      <c r="E35" s="11">
        <v>42</v>
      </c>
      <c r="F35" s="11">
        <v>88</v>
      </c>
      <c r="G35" s="11">
        <v>106</v>
      </c>
      <c r="H35" s="11">
        <v>101</v>
      </c>
      <c r="I35" s="11">
        <f>'PEPE SIERRA '!$B35+'PEPE SIERRA '!$C35+'PEPE SIERRA '!$D35+'PEPE SIERRA '!$E35+'PEPE SIERRA '!$F35+'PEPE SIERRA '!$G35+'PEPE SIERRA '!$H35</f>
        <v>576</v>
      </c>
      <c r="J35" s="60">
        <f>'PEPE SIERRA '!$I35/7</f>
        <v>82.285714285714292</v>
      </c>
    </row>
    <row r="36" spans="1:10" x14ac:dyDescent="0.25">
      <c r="A36" s="10" t="s">
        <v>14</v>
      </c>
      <c r="B36" s="11">
        <v>36</v>
      </c>
      <c r="C36" s="11">
        <v>54</v>
      </c>
      <c r="D36" s="11">
        <v>51</v>
      </c>
      <c r="E36" s="11">
        <v>63</v>
      </c>
      <c r="F36" s="11">
        <v>49</v>
      </c>
      <c r="G36" s="11">
        <v>80</v>
      </c>
      <c r="H36" s="11">
        <v>52</v>
      </c>
      <c r="I36" s="11">
        <f>'PEPE SIERRA '!$B36+'PEPE SIERRA '!$C36+'PEPE SIERRA '!$D36+'PEPE SIERRA '!$E36+'PEPE SIERRA '!$F36+'PEPE SIERRA '!$G36+'PEPE SIERRA '!$H36</f>
        <v>385</v>
      </c>
      <c r="J36" s="60">
        <f>'PEPE SIERRA '!$I36/7</f>
        <v>55</v>
      </c>
    </row>
    <row r="37" spans="1:10" x14ac:dyDescent="0.25">
      <c r="A37" s="10" t="s">
        <v>15</v>
      </c>
      <c r="B37" s="11">
        <v>0</v>
      </c>
      <c r="C37" s="11">
        <v>0</v>
      </c>
      <c r="D37" s="11">
        <v>0</v>
      </c>
      <c r="E37" s="11">
        <v>0</v>
      </c>
      <c r="F37" s="11">
        <v>0</v>
      </c>
      <c r="G37" s="11">
        <v>0</v>
      </c>
      <c r="H37" s="11">
        <v>0</v>
      </c>
      <c r="I37" s="11">
        <f>'PEPE SIERRA '!$B37+'PEPE SIERRA '!$C37+'PEPE SIERRA '!$D37+'PEPE SIERRA '!$E37+'PEPE SIERRA '!$F37+'PEPE SIERRA '!$G37+'PEPE SIERRA '!$H37</f>
        <v>0</v>
      </c>
      <c r="J37" s="60">
        <f>'PEPE SIERRA '!$I37/7</f>
        <v>0</v>
      </c>
    </row>
    <row r="38" spans="1:10" x14ac:dyDescent="0.25">
      <c r="A38" s="10" t="s">
        <v>16</v>
      </c>
      <c r="B38" s="11">
        <v>0</v>
      </c>
      <c r="C38" s="11">
        <v>0</v>
      </c>
      <c r="D38" s="11">
        <v>0</v>
      </c>
      <c r="E38" s="11">
        <v>0</v>
      </c>
      <c r="F38" s="11">
        <v>0</v>
      </c>
      <c r="G38" s="11">
        <v>0</v>
      </c>
      <c r="H38" s="11">
        <v>0</v>
      </c>
      <c r="I38" s="11">
        <v>0</v>
      </c>
      <c r="J38" s="60">
        <f>'PEPE SIERRA '!$I38/7</f>
        <v>0</v>
      </c>
    </row>
    <row r="39" spans="1:10" x14ac:dyDescent="0.25">
      <c r="A39" s="15" t="s">
        <v>17</v>
      </c>
      <c r="B39" s="16">
        <f>SUM(B34:B38)</f>
        <v>183</v>
      </c>
      <c r="C39" s="16">
        <f t="shared" ref="C39:I39" si="1">SUM(C34:C38)</f>
        <v>126</v>
      </c>
      <c r="D39" s="16">
        <f t="shared" si="1"/>
        <v>137</v>
      </c>
      <c r="E39" s="16">
        <f t="shared" si="1"/>
        <v>169</v>
      </c>
      <c r="F39" s="16">
        <f t="shared" si="1"/>
        <v>209</v>
      </c>
      <c r="G39" s="16">
        <f t="shared" si="1"/>
        <v>298</v>
      </c>
      <c r="H39" s="16">
        <f t="shared" si="1"/>
        <v>303</v>
      </c>
      <c r="I39" s="16">
        <f t="shared" si="1"/>
        <v>1425</v>
      </c>
      <c r="J39" s="61">
        <f>'PEPE SIERRA '!$I39/7</f>
        <v>203.57142857142858</v>
      </c>
    </row>
    <row r="40" spans="1:10" x14ac:dyDescent="0.25">
      <c r="A40" s="10" t="s">
        <v>18</v>
      </c>
      <c r="B40" s="18">
        <v>0.39</v>
      </c>
      <c r="C40" s="62">
        <v>0.13</v>
      </c>
      <c r="D40" s="18">
        <v>0.28999999999999998</v>
      </c>
      <c r="E40" s="62">
        <v>0.45</v>
      </c>
      <c r="F40" s="18">
        <v>0.41</v>
      </c>
      <c r="G40" s="62">
        <v>0.42</v>
      </c>
      <c r="H40" s="18">
        <v>0.54</v>
      </c>
      <c r="I40" s="62">
        <f>I47/I52</f>
        <v>0.40889432070048554</v>
      </c>
      <c r="J40" s="63">
        <f>J47/J52</f>
        <v>0.40889432070048554</v>
      </c>
    </row>
    <row r="41" spans="1:10" x14ac:dyDescent="0.25">
      <c r="A41" s="10" t="s">
        <v>19</v>
      </c>
      <c r="B41" s="22">
        <v>0.41</v>
      </c>
      <c r="C41" s="64">
        <v>0.44</v>
      </c>
      <c r="D41" s="22">
        <v>0.34</v>
      </c>
      <c r="E41" s="64">
        <v>0.26</v>
      </c>
      <c r="F41" s="22">
        <v>0.41</v>
      </c>
      <c r="G41" s="64">
        <v>0.36</v>
      </c>
      <c r="H41" s="22">
        <v>0.32</v>
      </c>
      <c r="I41" s="64">
        <f>I48/I52</f>
        <v>0.35982547473462567</v>
      </c>
      <c r="J41" s="65">
        <f>J48/J52</f>
        <v>0.35982547473462562</v>
      </c>
    </row>
    <row r="42" spans="1:10" x14ac:dyDescent="0.25">
      <c r="A42" s="10" t="s">
        <v>20</v>
      </c>
      <c r="B42" s="18">
        <v>0.2</v>
      </c>
      <c r="C42" s="62">
        <v>0.43</v>
      </c>
      <c r="D42" s="18">
        <v>0.37</v>
      </c>
      <c r="E42" s="62">
        <v>0.28999999999999998</v>
      </c>
      <c r="F42" s="18">
        <v>0.18</v>
      </c>
      <c r="G42" s="62">
        <v>0.22</v>
      </c>
      <c r="H42" s="18">
        <v>0.14000000000000001</v>
      </c>
      <c r="I42" s="62">
        <f>I49/I52</f>
        <v>0.23128020456488885</v>
      </c>
      <c r="J42" s="63">
        <f>J49/J52</f>
        <v>0.23128020456488885</v>
      </c>
    </row>
    <row r="43" spans="1:10" x14ac:dyDescent="0.25">
      <c r="A43" s="10" t="s">
        <v>21</v>
      </c>
      <c r="B43" s="18">
        <v>0</v>
      </c>
      <c r="C43" s="62">
        <v>0</v>
      </c>
      <c r="D43" s="18">
        <v>0</v>
      </c>
      <c r="E43" s="62">
        <v>0</v>
      </c>
      <c r="F43" s="18">
        <v>0</v>
      </c>
      <c r="G43" s="62">
        <v>0</v>
      </c>
      <c r="H43" s="18">
        <v>0</v>
      </c>
      <c r="I43" s="62">
        <v>0</v>
      </c>
      <c r="J43" s="63">
        <v>0</v>
      </c>
    </row>
    <row r="44" spans="1:10" x14ac:dyDescent="0.25">
      <c r="A44" s="10" t="s">
        <v>22</v>
      </c>
      <c r="B44" s="18">
        <v>0</v>
      </c>
      <c r="C44" s="62">
        <v>0</v>
      </c>
      <c r="D44" s="18">
        <v>0</v>
      </c>
      <c r="E44" s="62">
        <v>0</v>
      </c>
      <c r="F44" s="18">
        <v>0</v>
      </c>
      <c r="G44" s="62">
        <v>0</v>
      </c>
      <c r="H44" s="18">
        <v>0</v>
      </c>
      <c r="I44" s="62">
        <v>0</v>
      </c>
      <c r="J44" s="63">
        <v>0</v>
      </c>
    </row>
    <row r="45" spans="1:10" x14ac:dyDescent="0.25">
      <c r="A45" s="24" t="s">
        <v>23</v>
      </c>
      <c r="B45" s="66">
        <f>B56/B39</f>
        <v>35111.475409836065</v>
      </c>
      <c r="C45" s="66">
        <f t="shared" ref="C45:H45" si="2">C56/C39</f>
        <v>30793.650793650795</v>
      </c>
      <c r="D45" s="66">
        <f t="shared" si="2"/>
        <v>32339.416058394159</v>
      </c>
      <c r="E45" s="66">
        <f t="shared" si="2"/>
        <v>28890.532544378697</v>
      </c>
      <c r="F45" s="66">
        <f t="shared" si="2"/>
        <v>34062.200956937799</v>
      </c>
      <c r="G45" s="66">
        <f t="shared" si="2"/>
        <v>36188.590604026853</v>
      </c>
      <c r="H45" s="66">
        <f t="shared" si="2"/>
        <v>36185.478547854786</v>
      </c>
      <c r="I45" s="66">
        <f>I56/I39</f>
        <v>34025.122807017542</v>
      </c>
      <c r="J45" s="67">
        <f>J56/J39</f>
        <v>34025.122807017542</v>
      </c>
    </row>
    <row r="46" spans="1:10" x14ac:dyDescent="0.25">
      <c r="A46" s="24" t="s">
        <v>24</v>
      </c>
      <c r="B46" s="66">
        <f>B56/B33</f>
        <v>22156.551724137931</v>
      </c>
      <c r="C46" s="66">
        <f t="shared" ref="C46:H46" si="3">C56/C33</f>
        <v>29393.939393939392</v>
      </c>
      <c r="D46" s="66">
        <f t="shared" si="3"/>
        <v>27690.625</v>
      </c>
      <c r="E46" s="66">
        <f t="shared" si="3"/>
        <v>28720.588235294119</v>
      </c>
      <c r="F46" s="66">
        <f t="shared" si="3"/>
        <v>27700.389105058366</v>
      </c>
      <c r="G46" s="66">
        <f t="shared" si="3"/>
        <v>32679.393939393944</v>
      </c>
      <c r="H46" s="66">
        <f t="shared" si="3"/>
        <v>35368.387096774197</v>
      </c>
      <c r="I46" s="66">
        <f>I56/I33</f>
        <v>29403.153426318982</v>
      </c>
      <c r="J46" s="67">
        <f>J56/J33</f>
        <v>29403.153426318979</v>
      </c>
    </row>
    <row r="47" spans="1:10" x14ac:dyDescent="0.25">
      <c r="A47" s="10" t="s">
        <v>25</v>
      </c>
      <c r="B47" s="31">
        <f>B52*B40</f>
        <v>2151859.2931034486</v>
      </c>
      <c r="C47" s="31">
        <f t="shared" ref="C47:H47" si="4">C52*C40</f>
        <v>430345.18620689656</v>
      </c>
      <c r="D47" s="31">
        <f t="shared" si="4"/>
        <v>1082627</v>
      </c>
      <c r="E47" s="31">
        <f t="shared" si="4"/>
        <v>1832009.2758620691</v>
      </c>
      <c r="F47" s="31">
        <f t="shared" si="4"/>
        <v>2452582.6758620688</v>
      </c>
      <c r="G47" s="31">
        <f t="shared" si="4"/>
        <v>3803252.9379310347</v>
      </c>
      <c r="H47" s="31">
        <f t="shared" si="4"/>
        <v>4929469.1379310349</v>
      </c>
      <c r="I47" s="31">
        <f>'PEPE SIERRA '!$B47+'PEPE SIERRA '!$C47+'PEPE SIERRA '!$D47+'PEPE SIERRA '!$E47+'PEPE SIERRA '!$F47+'PEPE SIERRA '!$G47+'PEPE SIERRA '!$H47</f>
        <v>16682145.506896552</v>
      </c>
      <c r="J47" s="32">
        <f>'PEPE SIERRA '!$I47/7</f>
        <v>2383163.6438423647</v>
      </c>
    </row>
    <row r="48" spans="1:10" x14ac:dyDescent="0.25">
      <c r="A48" s="10" t="s">
        <v>26</v>
      </c>
      <c r="B48" s="31">
        <f>B52*B41</f>
        <v>2262211.0517241377</v>
      </c>
      <c r="C48" s="31">
        <f t="shared" ref="C48:H48" si="5">C52*C41</f>
        <v>1456552.9379310345</v>
      </c>
      <c r="D48" s="31">
        <f t="shared" si="5"/>
        <v>1269286.8275862071</v>
      </c>
      <c r="E48" s="31">
        <f t="shared" si="5"/>
        <v>1058494.2482758621</v>
      </c>
      <c r="F48" s="31">
        <f t="shared" si="5"/>
        <v>2452582.6758620688</v>
      </c>
      <c r="G48" s="31">
        <f t="shared" si="5"/>
        <v>3259931.089655173</v>
      </c>
      <c r="H48" s="31">
        <f t="shared" si="5"/>
        <v>2921166.8965517241</v>
      </c>
      <c r="I48" s="31">
        <f>'PEPE SIERRA '!$B48+'PEPE SIERRA '!$C48+'PEPE SIERRA '!$D48+'PEPE SIERRA '!$E48+'PEPE SIERRA '!$F48+'PEPE SIERRA '!$G48+'PEPE SIERRA '!$H48</f>
        <v>14680225.72758621</v>
      </c>
      <c r="J48" s="32">
        <f>'PEPE SIERRA '!$I48/7</f>
        <v>2097175.1039408869</v>
      </c>
    </row>
    <row r="49" spans="1:10" x14ac:dyDescent="0.25">
      <c r="A49" s="10" t="s">
        <v>27</v>
      </c>
      <c r="B49" s="31">
        <f>B52*B42</f>
        <v>1103517.5862068967</v>
      </c>
      <c r="C49" s="31">
        <f t="shared" ref="C49:H49" si="6">C52*C42</f>
        <v>1423449.4620689657</v>
      </c>
      <c r="D49" s="31">
        <f t="shared" si="6"/>
        <v>1381282.7241379311</v>
      </c>
      <c r="E49" s="31">
        <f t="shared" si="6"/>
        <v>1180628.2</v>
      </c>
      <c r="F49" s="31">
        <f t="shared" si="6"/>
        <v>1076743.6137931035</v>
      </c>
      <c r="G49" s="31">
        <f t="shared" si="6"/>
        <v>1992180.1103448279</v>
      </c>
      <c r="H49" s="31">
        <f t="shared" si="6"/>
        <v>1278010.5172413795</v>
      </c>
      <c r="I49" s="31">
        <f>'PEPE SIERRA '!$B49+'PEPE SIERRA '!$C49+'PEPE SIERRA '!$D49+'PEPE SIERRA '!$E49+'PEPE SIERRA '!$F49+'PEPE SIERRA '!$G49+'PEPE SIERRA '!$H49</f>
        <v>9435812.2137931045</v>
      </c>
      <c r="J49" s="32">
        <f>'PEPE SIERRA '!$I49/7</f>
        <v>1347973.1733990149</v>
      </c>
    </row>
    <row r="50" spans="1:10" x14ac:dyDescent="0.25">
      <c r="A50" s="10" t="s">
        <v>28</v>
      </c>
      <c r="B50" s="31">
        <f>B52*B43</f>
        <v>0</v>
      </c>
      <c r="C50" s="31">
        <f t="shared" ref="C50:I50" si="7">C52*C43</f>
        <v>0</v>
      </c>
      <c r="D50" s="31">
        <f t="shared" si="7"/>
        <v>0</v>
      </c>
      <c r="E50" s="31">
        <f t="shared" si="7"/>
        <v>0</v>
      </c>
      <c r="F50" s="31">
        <f t="shared" si="7"/>
        <v>0</v>
      </c>
      <c r="G50" s="31">
        <f t="shared" si="7"/>
        <v>0</v>
      </c>
      <c r="H50" s="31">
        <f t="shared" si="7"/>
        <v>0</v>
      </c>
      <c r="I50" s="31">
        <f t="shared" si="7"/>
        <v>0</v>
      </c>
      <c r="J50" s="32">
        <f>'PEPE SIERRA '!$I50/7</f>
        <v>0</v>
      </c>
    </row>
    <row r="51" spans="1:10" x14ac:dyDescent="0.25">
      <c r="A51" s="10" t="s">
        <v>29</v>
      </c>
      <c r="B51" s="31">
        <f>B52*B44</f>
        <v>0</v>
      </c>
      <c r="C51" s="31">
        <f t="shared" ref="C51:I51" si="8">C52*C44</f>
        <v>0</v>
      </c>
      <c r="D51" s="31">
        <f t="shared" si="8"/>
        <v>0</v>
      </c>
      <c r="E51" s="31">
        <f t="shared" si="8"/>
        <v>0</v>
      </c>
      <c r="F51" s="31">
        <f t="shared" si="8"/>
        <v>0</v>
      </c>
      <c r="G51" s="31">
        <f t="shared" si="8"/>
        <v>0</v>
      </c>
      <c r="H51" s="31">
        <f t="shared" si="8"/>
        <v>0</v>
      </c>
      <c r="I51" s="31">
        <f t="shared" si="8"/>
        <v>0</v>
      </c>
      <c r="J51" s="32">
        <f>'PEPE SIERRA '!$I51/7</f>
        <v>0</v>
      </c>
    </row>
    <row r="52" spans="1:10" x14ac:dyDescent="0.25">
      <c r="A52" s="33" t="s">
        <v>30</v>
      </c>
      <c r="B52" s="34">
        <f>(6425400/1.16)-B53</f>
        <v>5517587.931034483</v>
      </c>
      <c r="C52" s="35">
        <f>(3880000/1.16)-C53</f>
        <v>3310347.5862068967</v>
      </c>
      <c r="D52" s="34">
        <f>(4430500/1.16)-D53</f>
        <v>3733196.5517241382</v>
      </c>
      <c r="E52" s="35">
        <f>(4882500/1.16)-E53</f>
        <v>4071131.7241379311</v>
      </c>
      <c r="F52" s="35">
        <f>(7119000/1.16)-F53</f>
        <v>5981908.9655172415</v>
      </c>
      <c r="G52" s="35">
        <f>(10784200/1.16)-G53</f>
        <v>9055364.1379310358</v>
      </c>
      <c r="H52" s="35">
        <f>(10964200/1.16)-H53</f>
        <v>9128646.5517241377</v>
      </c>
      <c r="I52" s="35">
        <f>I47+I48+I49</f>
        <v>40798183.448275864</v>
      </c>
      <c r="J52" s="36">
        <f>'PEPE SIERRA '!$I52/7</f>
        <v>5828311.9211822664</v>
      </c>
    </row>
    <row r="53" spans="1:10" x14ac:dyDescent="0.25">
      <c r="A53" s="10" t="s">
        <v>31</v>
      </c>
      <c r="B53" s="31">
        <f t="shared" ref="B53:I53" si="9">2155*B34</f>
        <v>21550</v>
      </c>
      <c r="C53" s="31">
        <f t="shared" si="9"/>
        <v>34480</v>
      </c>
      <c r="D53" s="31">
        <f t="shared" si="9"/>
        <v>86200</v>
      </c>
      <c r="E53" s="31">
        <f t="shared" si="9"/>
        <v>137920</v>
      </c>
      <c r="F53" s="31">
        <f t="shared" si="9"/>
        <v>155160</v>
      </c>
      <c r="G53" s="31">
        <f t="shared" si="9"/>
        <v>241360</v>
      </c>
      <c r="H53" s="31">
        <f t="shared" si="9"/>
        <v>323250</v>
      </c>
      <c r="I53" s="31">
        <f t="shared" si="9"/>
        <v>999920</v>
      </c>
      <c r="J53" s="32">
        <f>'PEPE SIERRA '!$I53/7</f>
        <v>142845.71428571429</v>
      </c>
    </row>
    <row r="54" spans="1:10" x14ac:dyDescent="0.25">
      <c r="A54" s="37" t="s">
        <v>32</v>
      </c>
      <c r="B54" s="38">
        <f>B52+B53</f>
        <v>5539137.931034483</v>
      </c>
      <c r="C54" s="38">
        <f t="shared" ref="C54:I54" si="10">C52+C53</f>
        <v>3344827.5862068967</v>
      </c>
      <c r="D54" s="38">
        <f t="shared" si="10"/>
        <v>3819396.5517241382</v>
      </c>
      <c r="E54" s="38">
        <f t="shared" si="10"/>
        <v>4209051.7241379311</v>
      </c>
      <c r="F54" s="38">
        <f t="shared" si="10"/>
        <v>6137068.9655172415</v>
      </c>
      <c r="G54" s="38">
        <f t="shared" si="10"/>
        <v>9296724.1379310358</v>
      </c>
      <c r="H54" s="38">
        <f t="shared" si="10"/>
        <v>9451896.5517241377</v>
      </c>
      <c r="I54" s="38">
        <f t="shared" si="10"/>
        <v>41798103.448275864</v>
      </c>
      <c r="J54" s="68">
        <f>'PEPE SIERRA '!$I54/7</f>
        <v>5971157.635467981</v>
      </c>
    </row>
    <row r="55" spans="1:10" x14ac:dyDescent="0.25">
      <c r="A55" s="10" t="s">
        <v>33</v>
      </c>
      <c r="B55" s="41">
        <f>B54*16%</f>
        <v>886262.06896551733</v>
      </c>
      <c r="C55" s="41">
        <f t="shared" ref="C55:I55" si="11">C54*16%</f>
        <v>535172.41379310354</v>
      </c>
      <c r="D55" s="41">
        <f t="shared" si="11"/>
        <v>611103.44827586215</v>
      </c>
      <c r="E55" s="41">
        <f t="shared" si="11"/>
        <v>673448.27586206899</v>
      </c>
      <c r="F55" s="41">
        <f t="shared" si="11"/>
        <v>981931.03448275861</v>
      </c>
      <c r="G55" s="41">
        <f t="shared" si="11"/>
        <v>1487475.8620689658</v>
      </c>
      <c r="H55" s="41">
        <f t="shared" si="11"/>
        <v>1512303.448275862</v>
      </c>
      <c r="I55" s="41">
        <f t="shared" si="11"/>
        <v>6687696.5517241387</v>
      </c>
      <c r="J55" s="42">
        <f>'PEPE SIERRA '!$I55/7</f>
        <v>955385.22167487699</v>
      </c>
    </row>
    <row r="56" spans="1:10" x14ac:dyDescent="0.25">
      <c r="A56" s="43" t="s">
        <v>34</v>
      </c>
      <c r="B56" s="44">
        <f>B54+B55</f>
        <v>6425400</v>
      </c>
      <c r="C56" s="44">
        <f t="shared" ref="C56:I56" si="12">C54+C55</f>
        <v>3880000</v>
      </c>
      <c r="D56" s="44">
        <f t="shared" si="12"/>
        <v>4430500</v>
      </c>
      <c r="E56" s="44">
        <f t="shared" si="12"/>
        <v>4882500</v>
      </c>
      <c r="F56" s="44">
        <f t="shared" si="12"/>
        <v>7119000</v>
      </c>
      <c r="G56" s="44">
        <f t="shared" si="12"/>
        <v>10784200.000000002</v>
      </c>
      <c r="H56" s="44">
        <f t="shared" si="12"/>
        <v>10964200</v>
      </c>
      <c r="I56" s="44">
        <f t="shared" si="12"/>
        <v>48485800</v>
      </c>
      <c r="J56" s="44">
        <f>'PEPE SIERRA '!$I56/7</f>
        <v>6926542.8571428573</v>
      </c>
    </row>
    <row r="57" spans="1:10" s="71" customFormat="1" x14ac:dyDescent="0.25">
      <c r="A57" s="69"/>
      <c r="B57" s="70"/>
      <c r="C57" s="70"/>
      <c r="D57" s="70"/>
      <c r="E57" s="70"/>
      <c r="F57" s="70"/>
      <c r="G57" s="70"/>
      <c r="H57" s="70"/>
      <c r="I57" s="70"/>
    </row>
    <row r="58" spans="1:10" s="71" customFormat="1" x14ac:dyDescent="0.25">
      <c r="A58" s="69"/>
      <c r="B58" s="70"/>
      <c r="C58" s="70"/>
      <c r="D58" s="70"/>
      <c r="E58" s="70"/>
      <c r="F58" s="70"/>
      <c r="G58" s="70"/>
      <c r="H58" s="70"/>
      <c r="I58" s="70"/>
    </row>
    <row r="59" spans="1:10" s="71" customFormat="1" ht="15.75" thickBot="1" x14ac:dyDescent="0.3">
      <c r="A59" s="69"/>
      <c r="B59" s="70"/>
      <c r="C59" s="70"/>
      <c r="D59" s="70"/>
      <c r="E59" s="70"/>
      <c r="F59" s="70"/>
      <c r="G59" s="70"/>
      <c r="H59" s="70"/>
      <c r="I59" s="70"/>
    </row>
    <row r="60" spans="1:10" ht="27" thickBot="1" x14ac:dyDescent="0.3">
      <c r="B60" s="1004" t="s">
        <v>44</v>
      </c>
      <c r="C60" s="1004"/>
      <c r="D60" s="1004"/>
      <c r="E60" s="1004"/>
      <c r="F60" s="1004"/>
      <c r="G60" s="1004"/>
      <c r="H60" s="1004"/>
      <c r="I60" s="1004"/>
    </row>
    <row r="61" spans="1:10" ht="15.75" x14ac:dyDescent="0.25">
      <c r="A61" s="72" t="s">
        <v>2</v>
      </c>
      <c r="B61" s="50" t="s">
        <v>45</v>
      </c>
      <c r="C61" s="51" t="s">
        <v>46</v>
      </c>
      <c r="D61" s="50" t="s">
        <v>47</v>
      </c>
      <c r="E61" s="51" t="s">
        <v>48</v>
      </c>
      <c r="F61" s="50" t="s">
        <v>49</v>
      </c>
      <c r="G61" s="51" t="s">
        <v>50</v>
      </c>
      <c r="H61" s="50" t="s">
        <v>51</v>
      </c>
      <c r="I61" s="51" t="s">
        <v>10</v>
      </c>
      <c r="J61" s="73" t="s">
        <v>43</v>
      </c>
    </row>
    <row r="62" spans="1:10" x14ac:dyDescent="0.25">
      <c r="A62" s="74" t="s">
        <v>11</v>
      </c>
      <c r="B62" s="75">
        <v>131</v>
      </c>
      <c r="C62" s="75">
        <v>162</v>
      </c>
      <c r="D62" s="75">
        <v>107</v>
      </c>
      <c r="E62" s="75">
        <v>199</v>
      </c>
      <c r="F62" s="75">
        <v>275</v>
      </c>
      <c r="G62" s="75">
        <v>356</v>
      </c>
      <c r="H62" s="76">
        <v>357</v>
      </c>
      <c r="I62" s="76">
        <f>SUM(B62:H62)</f>
        <v>1587</v>
      </c>
      <c r="J62" s="76">
        <f>'PEPE SIERRA '!$I62/7</f>
        <v>226.71428571428572</v>
      </c>
    </row>
    <row r="63" spans="1:10" x14ac:dyDescent="0.25">
      <c r="A63" s="77" t="s">
        <v>12</v>
      </c>
      <c r="B63" s="11">
        <v>72</v>
      </c>
      <c r="C63" s="11">
        <v>52</v>
      </c>
      <c r="D63" s="11">
        <v>69</v>
      </c>
      <c r="E63" s="11">
        <v>70</v>
      </c>
      <c r="F63" s="11">
        <v>111</v>
      </c>
      <c r="G63" s="11">
        <v>178</v>
      </c>
      <c r="H63" s="11">
        <v>167</v>
      </c>
      <c r="I63" s="11">
        <f>'PEPE SIERRA '!$B63+'PEPE SIERRA '!$C63+'PEPE SIERRA '!$D63+'PEPE SIERRA '!$E63+'PEPE SIERRA '!$F63+'PEPE SIERRA '!$G63+'PEPE SIERRA '!$H63</f>
        <v>719</v>
      </c>
      <c r="J63" s="78">
        <f>'PEPE SIERRA '!$I63/7</f>
        <v>102.71428571428571</v>
      </c>
    </row>
    <row r="64" spans="1:10" x14ac:dyDescent="0.25">
      <c r="A64" s="77" t="s">
        <v>13</v>
      </c>
      <c r="B64" s="11">
        <v>23</v>
      </c>
      <c r="C64" s="11">
        <v>50</v>
      </c>
      <c r="D64" s="11">
        <v>21</v>
      </c>
      <c r="E64" s="11">
        <v>58</v>
      </c>
      <c r="F64" s="11">
        <v>79</v>
      </c>
      <c r="G64" s="11">
        <v>102</v>
      </c>
      <c r="H64" s="11">
        <v>116</v>
      </c>
      <c r="I64" s="11">
        <f>'PEPE SIERRA '!$B64+'PEPE SIERRA '!$C64+'PEPE SIERRA '!$D64+'PEPE SIERRA '!$E64+'PEPE SIERRA '!$F64+'PEPE SIERRA '!$G64+'PEPE SIERRA '!$H64</f>
        <v>449</v>
      </c>
      <c r="J64" s="78">
        <f>'PEPE SIERRA '!$I64/7</f>
        <v>64.142857142857139</v>
      </c>
    </row>
    <row r="65" spans="1:10" x14ac:dyDescent="0.25">
      <c r="A65" s="77" t="s">
        <v>14</v>
      </c>
      <c r="B65" s="11">
        <v>39</v>
      </c>
      <c r="C65" s="11">
        <v>50</v>
      </c>
      <c r="D65" s="11">
        <v>32</v>
      </c>
      <c r="E65" s="11">
        <v>62</v>
      </c>
      <c r="F65" s="11">
        <v>59</v>
      </c>
      <c r="G65" s="11">
        <v>73</v>
      </c>
      <c r="H65" s="11">
        <v>59</v>
      </c>
      <c r="I65" s="11">
        <f>'PEPE SIERRA '!$B65+'PEPE SIERRA '!$C65+'PEPE SIERRA '!$D65+'PEPE SIERRA '!$E65+'PEPE SIERRA '!$F65+'PEPE SIERRA '!$G65+'PEPE SIERRA '!$H65</f>
        <v>374</v>
      </c>
      <c r="J65" s="78">
        <f>'PEPE SIERRA '!$I65/7</f>
        <v>53.428571428571431</v>
      </c>
    </row>
    <row r="66" spans="1:10" x14ac:dyDescent="0.25">
      <c r="A66" s="77" t="s">
        <v>15</v>
      </c>
      <c r="B66" s="11">
        <v>0</v>
      </c>
      <c r="C66" s="11">
        <v>0</v>
      </c>
      <c r="D66" s="11">
        <v>0</v>
      </c>
      <c r="E66" s="11">
        <v>0</v>
      </c>
      <c r="F66" s="11">
        <v>0</v>
      </c>
      <c r="G66" s="11">
        <v>0</v>
      </c>
      <c r="H66" s="11">
        <v>0</v>
      </c>
      <c r="I66" s="11">
        <v>0</v>
      </c>
      <c r="J66" s="78">
        <f>'PEPE SIERRA '!$I66/7</f>
        <v>0</v>
      </c>
    </row>
    <row r="67" spans="1:10" x14ac:dyDescent="0.25">
      <c r="A67" s="77" t="s">
        <v>16</v>
      </c>
      <c r="B67" s="11">
        <v>0</v>
      </c>
      <c r="C67" s="11">
        <v>0</v>
      </c>
      <c r="D67" s="11">
        <v>0</v>
      </c>
      <c r="E67" s="11">
        <v>0</v>
      </c>
      <c r="F67" s="11">
        <v>0</v>
      </c>
      <c r="G67" s="11">
        <v>0</v>
      </c>
      <c r="H67" s="11">
        <v>0</v>
      </c>
      <c r="I67" s="11">
        <v>0</v>
      </c>
      <c r="J67" s="78">
        <f>'PEPE SIERRA '!$I67/7</f>
        <v>0</v>
      </c>
    </row>
    <row r="68" spans="1:10" x14ac:dyDescent="0.25">
      <c r="A68" s="79" t="s">
        <v>17</v>
      </c>
      <c r="B68" s="16">
        <f>SUM(B63:B67)</f>
        <v>134</v>
      </c>
      <c r="C68" s="16">
        <f t="shared" ref="C68:I68" si="13">SUM(C63:C67)</f>
        <v>152</v>
      </c>
      <c r="D68" s="16">
        <f t="shared" si="13"/>
        <v>122</v>
      </c>
      <c r="E68" s="16">
        <f t="shared" si="13"/>
        <v>190</v>
      </c>
      <c r="F68" s="16">
        <f t="shared" si="13"/>
        <v>249</v>
      </c>
      <c r="G68" s="16">
        <f t="shared" si="13"/>
        <v>353</v>
      </c>
      <c r="H68" s="16">
        <f t="shared" si="13"/>
        <v>342</v>
      </c>
      <c r="I68" s="16">
        <f t="shared" si="13"/>
        <v>1542</v>
      </c>
      <c r="J68" s="80">
        <f>'PEPE SIERRA '!$I68/7</f>
        <v>220.28571428571428</v>
      </c>
    </row>
    <row r="69" spans="1:10" x14ac:dyDescent="0.25">
      <c r="A69" s="77" t="s">
        <v>18</v>
      </c>
      <c r="B69" s="18">
        <v>0.56000000000000005</v>
      </c>
      <c r="C69" s="62">
        <v>0.4</v>
      </c>
      <c r="D69" s="18">
        <v>0.49</v>
      </c>
      <c r="E69" s="62">
        <v>0.42</v>
      </c>
      <c r="F69" s="18">
        <v>0.47</v>
      </c>
      <c r="G69" s="62">
        <v>0.53</v>
      </c>
      <c r="H69" s="18">
        <v>0.44</v>
      </c>
      <c r="I69" s="62">
        <f>I76/I81</f>
        <v>0.47242231986770017</v>
      </c>
      <c r="J69" s="62">
        <f>J76/J81</f>
        <v>0.47242231986770017</v>
      </c>
    </row>
    <row r="70" spans="1:10" x14ac:dyDescent="0.25">
      <c r="A70" s="77" t="s">
        <v>19</v>
      </c>
      <c r="B70" s="22">
        <v>0.22</v>
      </c>
      <c r="C70" s="64">
        <v>0.31</v>
      </c>
      <c r="D70" s="22">
        <v>0.19</v>
      </c>
      <c r="E70" s="64">
        <v>0.28000000000000003</v>
      </c>
      <c r="F70" s="22">
        <v>0.32</v>
      </c>
      <c r="G70" s="64">
        <v>0.28999999999999998</v>
      </c>
      <c r="H70" s="22">
        <v>0.4</v>
      </c>
      <c r="I70" s="64">
        <f>I77/I81</f>
        <v>0.30696937805734287</v>
      </c>
      <c r="J70" s="64">
        <f>J77/J81</f>
        <v>0.30696937805734287</v>
      </c>
    </row>
    <row r="71" spans="1:10" x14ac:dyDescent="0.25">
      <c r="A71" s="77" t="s">
        <v>20</v>
      </c>
      <c r="B71" s="18">
        <v>0.22</v>
      </c>
      <c r="C71" s="62">
        <v>0.28999999999999998</v>
      </c>
      <c r="D71" s="18">
        <v>0.32</v>
      </c>
      <c r="E71" s="62">
        <v>0.3</v>
      </c>
      <c r="F71" s="18">
        <v>0.21</v>
      </c>
      <c r="G71" s="62">
        <v>0.18</v>
      </c>
      <c r="H71" s="18">
        <v>0.16</v>
      </c>
      <c r="I71" s="62">
        <f>I78/I81</f>
        <v>0.22060830207495694</v>
      </c>
      <c r="J71" s="62">
        <f>J78/J81</f>
        <v>0.22060830207495694</v>
      </c>
    </row>
    <row r="72" spans="1:10" x14ac:dyDescent="0.25">
      <c r="A72" s="77" t="s">
        <v>21</v>
      </c>
      <c r="B72" s="18">
        <v>0</v>
      </c>
      <c r="C72" s="62">
        <v>0</v>
      </c>
      <c r="D72" s="18">
        <v>0</v>
      </c>
      <c r="E72" s="62">
        <v>0</v>
      </c>
      <c r="F72" s="18">
        <v>0</v>
      </c>
      <c r="G72" s="62">
        <v>0</v>
      </c>
      <c r="H72" s="18">
        <v>0</v>
      </c>
      <c r="I72" s="62">
        <v>0</v>
      </c>
      <c r="J72" s="62">
        <v>0</v>
      </c>
    </row>
    <row r="73" spans="1:10" x14ac:dyDescent="0.25">
      <c r="A73" s="77" t="s">
        <v>22</v>
      </c>
      <c r="B73" s="18">
        <v>0</v>
      </c>
      <c r="C73" s="62">
        <v>0</v>
      </c>
      <c r="D73" s="18">
        <v>0</v>
      </c>
      <c r="E73" s="62">
        <v>0</v>
      </c>
      <c r="F73" s="18">
        <v>0</v>
      </c>
      <c r="G73" s="62">
        <v>0</v>
      </c>
      <c r="H73" s="18">
        <v>0</v>
      </c>
      <c r="I73" s="62">
        <v>0</v>
      </c>
      <c r="J73" s="62">
        <v>0</v>
      </c>
    </row>
    <row r="74" spans="1:10" x14ac:dyDescent="0.25">
      <c r="A74" s="81" t="s">
        <v>23</v>
      </c>
      <c r="B74" s="66">
        <f>B85/B68</f>
        <v>29729.104477611945</v>
      </c>
      <c r="C74" s="66">
        <f t="shared" ref="C74:H74" si="14">C85/C68</f>
        <v>31321.71052631579</v>
      </c>
      <c r="D74" s="66">
        <f t="shared" si="14"/>
        <v>28065.573770491806</v>
      </c>
      <c r="E74" s="66">
        <f t="shared" si="14"/>
        <v>33694.73684210526</v>
      </c>
      <c r="F74" s="66">
        <f t="shared" si="14"/>
        <v>34726.907630522088</v>
      </c>
      <c r="G74" s="66">
        <f t="shared" si="14"/>
        <v>31708.215297450424</v>
      </c>
      <c r="H74" s="66">
        <f t="shared" si="14"/>
        <v>30713.742690058483</v>
      </c>
      <c r="I74" s="66">
        <f>I85/I68</f>
        <v>31721.595330739303</v>
      </c>
      <c r="J74" s="66">
        <f>J85/J68</f>
        <v>31721.595330739303</v>
      </c>
    </row>
    <row r="75" spans="1:10" x14ac:dyDescent="0.25">
      <c r="A75" s="81" t="s">
        <v>24</v>
      </c>
      <c r="B75" s="66">
        <f>B85/B62</f>
        <v>30409.92366412214</v>
      </c>
      <c r="C75" s="66">
        <f t="shared" ref="C75:H75" si="15">C85/C62</f>
        <v>29388.271604938273</v>
      </c>
      <c r="D75" s="66">
        <f t="shared" si="15"/>
        <v>32000.000000000004</v>
      </c>
      <c r="E75" s="66">
        <f t="shared" si="15"/>
        <v>32170.854271356784</v>
      </c>
      <c r="F75" s="66">
        <f t="shared" si="15"/>
        <v>31443.636363636364</v>
      </c>
      <c r="G75" s="66">
        <f t="shared" si="15"/>
        <v>31441.011235955055</v>
      </c>
      <c r="H75" s="66">
        <f t="shared" si="15"/>
        <v>29423.249299719893</v>
      </c>
      <c r="I75" s="66">
        <f>I85/I62</f>
        <v>30822.117202268437</v>
      </c>
      <c r="J75" s="66">
        <f>J85/J62</f>
        <v>30822.117202268433</v>
      </c>
    </row>
    <row r="76" spans="1:10" x14ac:dyDescent="0.25">
      <c r="A76" s="77" t="s">
        <v>25</v>
      </c>
      <c r="B76" s="31">
        <f>B81*B69</f>
        <v>1836275.9172413796</v>
      </c>
      <c r="C76" s="31">
        <f t="shared" ref="C76:H76" si="16">C81*C69</f>
        <v>1596865.6551724141</v>
      </c>
      <c r="D76" s="31">
        <f t="shared" si="16"/>
        <v>1373484.277586207</v>
      </c>
      <c r="E76" s="31">
        <f t="shared" si="16"/>
        <v>2254608.5172413792</v>
      </c>
      <c r="F76" s="31">
        <f t="shared" si="16"/>
        <v>3391099.5120689655</v>
      </c>
      <c r="G76" s="31">
        <f t="shared" si="16"/>
        <v>4910740.4034482762</v>
      </c>
      <c r="H76" s="31">
        <f t="shared" si="16"/>
        <v>3825964.3931034491</v>
      </c>
      <c r="I76" s="31">
        <f>'PEPE SIERRA '!$B76+'PEPE SIERRA '!$C76+'PEPE SIERRA '!$D76+'PEPE SIERRA '!$E76+'PEPE SIERRA '!$F76+'PEPE SIERRA '!$G76+'PEPE SIERRA '!$H76</f>
        <v>19189038.67586207</v>
      </c>
      <c r="J76" s="31">
        <f>'PEPE SIERRA '!$I76/7</f>
        <v>2741291.239408867</v>
      </c>
    </row>
    <row r="77" spans="1:10" x14ac:dyDescent="0.25">
      <c r="A77" s="77" t="s">
        <v>26</v>
      </c>
      <c r="B77" s="31">
        <f>B81*B70</f>
        <v>721394.11034482764</v>
      </c>
      <c r="C77" s="31">
        <f t="shared" ref="C77:H77" si="17">C81*C70</f>
        <v>1237570.8827586209</v>
      </c>
      <c r="D77" s="31">
        <f t="shared" si="17"/>
        <v>532575.53620689665</v>
      </c>
      <c r="E77" s="31">
        <f t="shared" si="17"/>
        <v>1503072.3448275863</v>
      </c>
      <c r="F77" s="31">
        <f t="shared" si="17"/>
        <v>2308833.7103448277</v>
      </c>
      <c r="G77" s="31">
        <f t="shared" si="17"/>
        <v>2687008.9</v>
      </c>
      <c r="H77" s="31">
        <f t="shared" si="17"/>
        <v>3478149.4482758627</v>
      </c>
      <c r="I77" s="31">
        <f>'PEPE SIERRA '!$B77+'PEPE SIERRA '!$C77+'PEPE SIERRA '!$D77+'PEPE SIERRA '!$E77+'PEPE SIERRA '!$F77+'PEPE SIERRA '!$G77+'PEPE SIERRA '!$H77</f>
        <v>12468604.932758622</v>
      </c>
      <c r="J77" s="31">
        <f>'PEPE SIERRA '!$I77/7</f>
        <v>1781229.2761083746</v>
      </c>
    </row>
    <row r="78" spans="1:10" x14ac:dyDescent="0.25">
      <c r="A78" s="77" t="s">
        <v>27</v>
      </c>
      <c r="B78" s="31">
        <f>B81*B71</f>
        <v>721394.11034482764</v>
      </c>
      <c r="C78" s="31">
        <f t="shared" ref="C78:H78" si="18">C81*C71</f>
        <v>1157727.6000000001</v>
      </c>
      <c r="D78" s="31">
        <f t="shared" si="18"/>
        <v>896969.32413793122</v>
      </c>
      <c r="E78" s="31">
        <f t="shared" si="18"/>
        <v>1610434.6551724137</v>
      </c>
      <c r="F78" s="31">
        <f t="shared" si="18"/>
        <v>1515172.1224137931</v>
      </c>
      <c r="G78" s="31">
        <f t="shared" si="18"/>
        <v>1667798.6275862069</v>
      </c>
      <c r="H78" s="31">
        <f t="shared" si="18"/>
        <v>1391259.7793103452</v>
      </c>
      <c r="I78" s="31">
        <f>'PEPE SIERRA '!$B78+'PEPE SIERRA '!$C78+'PEPE SIERRA '!$D78+'PEPE SIERRA '!$E78+'PEPE SIERRA '!$F78+'PEPE SIERRA '!$G78+'PEPE SIERRA '!$H78</f>
        <v>8960756.2189655174</v>
      </c>
      <c r="J78" s="31">
        <f>'PEPE SIERRA '!$I78/7</f>
        <v>1280108.0312807881</v>
      </c>
    </row>
    <row r="79" spans="1:10" x14ac:dyDescent="0.25">
      <c r="A79" s="77" t="s">
        <v>28</v>
      </c>
      <c r="B79" s="31">
        <f>B81*B72</f>
        <v>0</v>
      </c>
      <c r="C79" s="31">
        <f t="shared" ref="C79:I79" si="19">C81*C72</f>
        <v>0</v>
      </c>
      <c r="D79" s="31">
        <f t="shared" si="19"/>
        <v>0</v>
      </c>
      <c r="E79" s="31">
        <f t="shared" si="19"/>
        <v>0</v>
      </c>
      <c r="F79" s="31">
        <f t="shared" si="19"/>
        <v>0</v>
      </c>
      <c r="G79" s="31">
        <f t="shared" si="19"/>
        <v>0</v>
      </c>
      <c r="H79" s="31">
        <f t="shared" si="19"/>
        <v>0</v>
      </c>
      <c r="I79" s="31">
        <f t="shared" si="19"/>
        <v>0</v>
      </c>
      <c r="J79" s="31">
        <f>'PEPE SIERRA '!$I79/7</f>
        <v>0</v>
      </c>
    </row>
    <row r="80" spans="1:10" x14ac:dyDescent="0.25">
      <c r="A80" s="77" t="s">
        <v>29</v>
      </c>
      <c r="B80" s="31">
        <f>B81*B73</f>
        <v>0</v>
      </c>
      <c r="C80" s="31">
        <f t="shared" ref="C80:I80" si="20">C81*C73</f>
        <v>0</v>
      </c>
      <c r="D80" s="31">
        <f t="shared" si="20"/>
        <v>0</v>
      </c>
      <c r="E80" s="31">
        <f t="shared" si="20"/>
        <v>0</v>
      </c>
      <c r="F80" s="31">
        <f t="shared" si="20"/>
        <v>0</v>
      </c>
      <c r="G80" s="31">
        <f t="shared" si="20"/>
        <v>0</v>
      </c>
      <c r="H80" s="31">
        <f t="shared" si="20"/>
        <v>0</v>
      </c>
      <c r="I80" s="31">
        <f t="shared" si="20"/>
        <v>0</v>
      </c>
      <c r="J80" s="31">
        <f>'PEPE SIERRA '!$I80/7</f>
        <v>0</v>
      </c>
    </row>
    <row r="81" spans="1:12" x14ac:dyDescent="0.25">
      <c r="A81" s="82" t="s">
        <v>30</v>
      </c>
      <c r="B81" s="34">
        <f>(3983700/1.16)-B82</f>
        <v>3279064.1379310349</v>
      </c>
      <c r="C81" s="35">
        <f>(4760900/1.16)-C82</f>
        <v>3992164.1379310349</v>
      </c>
      <c r="D81" s="34">
        <f>(3424000/1.16)-D82</f>
        <v>2803029.1379310349</v>
      </c>
      <c r="E81" s="35">
        <f>(6402000/1.16)-E82</f>
        <v>5368115.5172413792</v>
      </c>
      <c r="F81" s="35">
        <f>(8647000/1.16)-F82</f>
        <v>7215105.3448275868</v>
      </c>
      <c r="G81" s="35">
        <f>(11193000/1.16)-G82</f>
        <v>9265547.931034483</v>
      </c>
      <c r="H81" s="35">
        <f>(10504100/1.16)-H82</f>
        <v>8695373.6206896566</v>
      </c>
      <c r="I81" s="35">
        <f>I76+I77+I78</f>
        <v>40618399.827586211</v>
      </c>
      <c r="J81" s="35">
        <f>'PEPE SIERRA '!$I81/7</f>
        <v>5802628.5467980299</v>
      </c>
    </row>
    <row r="82" spans="1:12" x14ac:dyDescent="0.25">
      <c r="A82" s="77" t="s">
        <v>31</v>
      </c>
      <c r="B82" s="31">
        <f t="shared" ref="B82:I82" si="21">2155*B63</f>
        <v>155160</v>
      </c>
      <c r="C82" s="31">
        <f t="shared" si="21"/>
        <v>112060</v>
      </c>
      <c r="D82" s="31">
        <f t="shared" si="21"/>
        <v>148695</v>
      </c>
      <c r="E82" s="31">
        <f t="shared" si="21"/>
        <v>150850</v>
      </c>
      <c r="F82" s="31">
        <f t="shared" si="21"/>
        <v>239205</v>
      </c>
      <c r="G82" s="31">
        <f t="shared" si="21"/>
        <v>383590</v>
      </c>
      <c r="H82" s="31">
        <f t="shared" si="21"/>
        <v>359885</v>
      </c>
      <c r="I82" s="31">
        <f t="shared" si="21"/>
        <v>1549445</v>
      </c>
      <c r="J82" s="31">
        <f>'PEPE SIERRA '!$I82/7</f>
        <v>221349.28571428571</v>
      </c>
    </row>
    <row r="83" spans="1:12" x14ac:dyDescent="0.25">
      <c r="A83" s="83" t="s">
        <v>32</v>
      </c>
      <c r="B83" s="38">
        <f>B81+B82</f>
        <v>3434224.1379310349</v>
      </c>
      <c r="C83" s="38">
        <f t="shared" ref="C83:I83" si="22">C81+C82</f>
        <v>4104224.1379310349</v>
      </c>
      <c r="D83" s="38">
        <f t="shared" si="22"/>
        <v>2951724.1379310349</v>
      </c>
      <c r="E83" s="38">
        <f t="shared" si="22"/>
        <v>5518965.5172413792</v>
      </c>
      <c r="F83" s="38">
        <f t="shared" si="22"/>
        <v>7454310.3448275868</v>
      </c>
      <c r="G83" s="38">
        <f t="shared" si="22"/>
        <v>9649137.931034483</v>
      </c>
      <c r="H83" s="38">
        <f t="shared" si="22"/>
        <v>9055258.6206896566</v>
      </c>
      <c r="I83" s="38">
        <f t="shared" si="22"/>
        <v>42167844.827586211</v>
      </c>
      <c r="J83" s="38">
        <f>'PEPE SIERRA '!$I83/7</f>
        <v>6023977.8325123163</v>
      </c>
    </row>
    <row r="84" spans="1:12" x14ac:dyDescent="0.25">
      <c r="A84" s="77" t="s">
        <v>33</v>
      </c>
      <c r="B84" s="41">
        <f>B83*16%</f>
        <v>549475.86206896557</v>
      </c>
      <c r="C84" s="41">
        <f t="shared" ref="C84:I84" si="23">C83*16%</f>
        <v>656675.86206896557</v>
      </c>
      <c r="D84" s="41">
        <f t="shared" si="23"/>
        <v>472275.86206896557</v>
      </c>
      <c r="E84" s="41">
        <f t="shared" si="23"/>
        <v>883034.48275862075</v>
      </c>
      <c r="F84" s="41">
        <f t="shared" si="23"/>
        <v>1192689.6551724139</v>
      </c>
      <c r="G84" s="41">
        <f t="shared" si="23"/>
        <v>1543862.0689655172</v>
      </c>
      <c r="H84" s="41">
        <f t="shared" si="23"/>
        <v>1448841.379310345</v>
      </c>
      <c r="I84" s="41">
        <f t="shared" si="23"/>
        <v>6746855.1724137943</v>
      </c>
      <c r="J84" s="41">
        <f>'PEPE SIERRA '!$I84/7</f>
        <v>963836.45320197067</v>
      </c>
    </row>
    <row r="85" spans="1:12" x14ac:dyDescent="0.25">
      <c r="A85" s="84" t="s">
        <v>34</v>
      </c>
      <c r="B85" s="46">
        <f>B83+B84</f>
        <v>3983700.0000000005</v>
      </c>
      <c r="C85" s="46">
        <f t="shared" ref="C85:I85" si="24">C83+C84</f>
        <v>4760900</v>
      </c>
      <c r="D85" s="46">
        <f t="shared" si="24"/>
        <v>3424000.0000000005</v>
      </c>
      <c r="E85" s="46">
        <f t="shared" si="24"/>
        <v>6402000</v>
      </c>
      <c r="F85" s="46">
        <f t="shared" si="24"/>
        <v>8647000</v>
      </c>
      <c r="G85" s="46">
        <f t="shared" si="24"/>
        <v>11193000</v>
      </c>
      <c r="H85" s="46">
        <f t="shared" si="24"/>
        <v>10504100.000000002</v>
      </c>
      <c r="I85" s="46">
        <f t="shared" si="24"/>
        <v>48914700.000000007</v>
      </c>
      <c r="J85" s="46">
        <f>'PEPE SIERRA '!$I85/7</f>
        <v>6987814.2857142864</v>
      </c>
    </row>
    <row r="88" spans="1:12" ht="27" thickBot="1" x14ac:dyDescent="0.3">
      <c r="A88" s="85"/>
      <c r="B88" s="1004" t="s">
        <v>52</v>
      </c>
      <c r="C88" s="1004"/>
      <c r="D88" s="1004"/>
      <c r="E88" s="1004"/>
      <c r="F88" s="1004"/>
      <c r="G88" s="1004"/>
      <c r="H88" s="1004"/>
      <c r="I88" s="1004"/>
    </row>
    <row r="89" spans="1:12" ht="15.75" x14ac:dyDescent="0.25">
      <c r="A89" s="72" t="s">
        <v>2</v>
      </c>
      <c r="B89" s="51" t="s">
        <v>53</v>
      </c>
      <c r="C89" s="50" t="s">
        <v>54</v>
      </c>
      <c r="D89" s="51" t="s">
        <v>55</v>
      </c>
      <c r="E89" s="50" t="s">
        <v>56</v>
      </c>
      <c r="F89" s="51" t="s">
        <v>57</v>
      </c>
      <c r="G89" s="50" t="s">
        <v>58</v>
      </c>
      <c r="H89" s="51" t="s">
        <v>59</v>
      </c>
      <c r="I89" s="52" t="s">
        <v>10</v>
      </c>
      <c r="J89" s="50" t="s">
        <v>43</v>
      </c>
    </row>
    <row r="90" spans="1:12" x14ac:dyDescent="0.25">
      <c r="A90" s="74" t="s">
        <v>11</v>
      </c>
      <c r="B90" s="75">
        <v>176</v>
      </c>
      <c r="C90" s="75">
        <v>175</v>
      </c>
      <c r="D90" s="75">
        <v>188</v>
      </c>
      <c r="E90" s="75">
        <v>216</v>
      </c>
      <c r="F90" s="75">
        <v>348</v>
      </c>
      <c r="G90" s="75">
        <v>448</v>
      </c>
      <c r="H90" s="76">
        <v>443.5</v>
      </c>
      <c r="I90" s="76">
        <f>SUM(B90:H90)</f>
        <v>1994.5</v>
      </c>
      <c r="J90" s="76">
        <f>'PEPE SIERRA '!$I90/7</f>
        <v>284.92857142857144</v>
      </c>
      <c r="L90" s="14">
        <f>'PEPE SIERRA '!$D90+'PEPE SIERRA '!$E90+'PEPE SIERRA '!$F90+'PEPE SIERRA '!$G90+'PEPE SIERRA '!$H90+I118+I145+I175+B203+C203+D203+E203</f>
        <v>7106.5</v>
      </c>
    </row>
    <row r="91" spans="1:12" x14ac:dyDescent="0.25">
      <c r="A91" s="77" t="s">
        <v>12</v>
      </c>
      <c r="B91" s="11">
        <v>53</v>
      </c>
      <c r="C91" s="11">
        <v>54</v>
      </c>
      <c r="D91" s="11">
        <v>61</v>
      </c>
      <c r="E91" s="11">
        <v>74</v>
      </c>
      <c r="F91" s="11">
        <v>107</v>
      </c>
      <c r="G91" s="11">
        <v>177</v>
      </c>
      <c r="H91" s="11">
        <v>202</v>
      </c>
      <c r="I91" s="11">
        <f>B91+C91+D91+E91+F91+G91+H91</f>
        <v>728</v>
      </c>
      <c r="J91" s="78">
        <f>'PEPE SIERRA '!$I91/7</f>
        <v>104</v>
      </c>
      <c r="L91" s="14">
        <f>D96+E96+F96+G96+H96+I124+I151+I181+B209+C209+D209+E209</f>
        <v>7474</v>
      </c>
    </row>
    <row r="92" spans="1:12" x14ac:dyDescent="0.25">
      <c r="A92" s="77" t="s">
        <v>13</v>
      </c>
      <c r="B92" s="11">
        <v>39</v>
      </c>
      <c r="C92" s="11">
        <v>41</v>
      </c>
      <c r="D92" s="11">
        <v>44</v>
      </c>
      <c r="E92" s="11">
        <v>41</v>
      </c>
      <c r="F92" s="11">
        <v>101</v>
      </c>
      <c r="G92" s="11">
        <v>161</v>
      </c>
      <c r="H92" s="11">
        <v>149</v>
      </c>
      <c r="I92" s="11">
        <f>B92+C92+D92+E92+F92+G92+H92</f>
        <v>576</v>
      </c>
      <c r="J92" s="78">
        <f>'PEPE SIERRA '!$I92/7</f>
        <v>82.285714285714292</v>
      </c>
    </row>
    <row r="93" spans="1:12" x14ac:dyDescent="0.25">
      <c r="A93" s="77" t="s">
        <v>14</v>
      </c>
      <c r="B93" s="11">
        <v>56</v>
      </c>
      <c r="C93" s="11">
        <v>65</v>
      </c>
      <c r="D93" s="11">
        <v>62</v>
      </c>
      <c r="E93" s="11">
        <v>75</v>
      </c>
      <c r="F93" s="11">
        <v>78</v>
      </c>
      <c r="G93" s="11">
        <v>84</v>
      </c>
      <c r="H93" s="11">
        <v>73</v>
      </c>
      <c r="I93" s="11">
        <f>B93+C93+D93+E93+F93+G93+H93</f>
        <v>493</v>
      </c>
      <c r="J93" s="78">
        <f>'PEPE SIERRA '!$I93/7</f>
        <v>70.428571428571431</v>
      </c>
    </row>
    <row r="94" spans="1:12" x14ac:dyDescent="0.25">
      <c r="A94" s="77" t="s">
        <v>15</v>
      </c>
      <c r="B94" s="11">
        <v>0</v>
      </c>
      <c r="C94" s="11">
        <v>0</v>
      </c>
      <c r="D94" s="11">
        <v>0</v>
      </c>
      <c r="E94" s="11">
        <v>0</v>
      </c>
      <c r="F94" s="11">
        <v>0</v>
      </c>
      <c r="G94" s="11">
        <v>0</v>
      </c>
      <c r="H94" s="11">
        <v>0</v>
      </c>
      <c r="I94" s="86">
        <v>0</v>
      </c>
      <c r="J94" s="87">
        <f>'PEPE SIERRA '!$I94/7</f>
        <v>0</v>
      </c>
    </row>
    <row r="95" spans="1:12" x14ac:dyDescent="0.25">
      <c r="A95" s="77" t="s">
        <v>16</v>
      </c>
      <c r="B95" s="11">
        <v>0</v>
      </c>
      <c r="C95" s="11">
        <v>0</v>
      </c>
      <c r="D95" s="11">
        <v>0</v>
      </c>
      <c r="E95" s="11">
        <v>0</v>
      </c>
      <c r="F95" s="11">
        <v>0</v>
      </c>
      <c r="G95" s="11">
        <v>0</v>
      </c>
      <c r="H95" s="11">
        <v>0</v>
      </c>
      <c r="I95" s="86">
        <f>B94+C94+D94+E94+F94+G94+H94</f>
        <v>0</v>
      </c>
      <c r="J95" s="87">
        <f>'PEPE SIERRA '!$I95/7</f>
        <v>0</v>
      </c>
    </row>
    <row r="96" spans="1:12" x14ac:dyDescent="0.25">
      <c r="A96" s="79" t="s">
        <v>17</v>
      </c>
      <c r="B96" s="88">
        <f>SUM(B91:B95)</f>
        <v>148</v>
      </c>
      <c r="C96" s="88">
        <f t="shared" ref="C96:I96" si="25">SUM(C91:C95)</f>
        <v>160</v>
      </c>
      <c r="D96" s="88">
        <f t="shared" si="25"/>
        <v>167</v>
      </c>
      <c r="E96" s="88">
        <f t="shared" si="25"/>
        <v>190</v>
      </c>
      <c r="F96" s="88">
        <f t="shared" si="25"/>
        <v>286</v>
      </c>
      <c r="G96" s="88">
        <f t="shared" si="25"/>
        <v>422</v>
      </c>
      <c r="H96" s="88">
        <f t="shared" si="25"/>
        <v>424</v>
      </c>
      <c r="I96" s="88">
        <f t="shared" si="25"/>
        <v>1797</v>
      </c>
      <c r="J96" s="88">
        <f>'PEPE SIERRA '!$I96/7</f>
        <v>256.71428571428572</v>
      </c>
      <c r="L96" s="89">
        <f>I141+I168+I198</f>
        <v>163676401</v>
      </c>
    </row>
    <row r="97" spans="1:12" x14ac:dyDescent="0.25">
      <c r="A97" s="77" t="s">
        <v>18</v>
      </c>
      <c r="B97" s="62">
        <v>0.42</v>
      </c>
      <c r="C97" s="62">
        <v>0.38</v>
      </c>
      <c r="D97" s="62">
        <v>0.45</v>
      </c>
      <c r="E97" s="62">
        <v>0.42</v>
      </c>
      <c r="F97" s="62">
        <v>0.42</v>
      </c>
      <c r="G97" s="62">
        <v>0.44</v>
      </c>
      <c r="H97" s="62">
        <v>0.47</v>
      </c>
      <c r="I97" s="62">
        <f>I104/I109</f>
        <v>0.43538230987480425</v>
      </c>
      <c r="J97" s="62">
        <f>J104/J109</f>
        <v>0.43538230987480425</v>
      </c>
      <c r="L97" s="89">
        <f>D113+E113+F113+G113+H113</f>
        <v>48145300</v>
      </c>
    </row>
    <row r="98" spans="1:12" x14ac:dyDescent="0.25">
      <c r="A98" s="77" t="s">
        <v>19</v>
      </c>
      <c r="B98" s="62">
        <v>0.23</v>
      </c>
      <c r="C98" s="62">
        <v>0.27</v>
      </c>
      <c r="D98" s="62">
        <v>0.23</v>
      </c>
      <c r="E98" s="62">
        <v>0.22</v>
      </c>
      <c r="F98" s="62">
        <v>0.35</v>
      </c>
      <c r="G98" s="62">
        <v>0.39</v>
      </c>
      <c r="H98" s="62">
        <v>0.36</v>
      </c>
      <c r="I98" s="62">
        <f>I105/I109</f>
        <v>0.31929144899290984</v>
      </c>
      <c r="J98" s="62">
        <f>J105/J109</f>
        <v>0.31929144899290979</v>
      </c>
      <c r="L98" s="89">
        <f>B226+C226+D226+E226</f>
        <v>19435000</v>
      </c>
    </row>
    <row r="99" spans="1:12" x14ac:dyDescent="0.25">
      <c r="A99" s="77" t="s">
        <v>20</v>
      </c>
      <c r="B99" s="62">
        <v>0.35</v>
      </c>
      <c r="C99" s="62">
        <v>0.35</v>
      </c>
      <c r="D99" s="62">
        <v>0.32</v>
      </c>
      <c r="E99" s="62">
        <v>0.36</v>
      </c>
      <c r="F99" s="62">
        <v>0.23</v>
      </c>
      <c r="G99" s="62">
        <v>0.17</v>
      </c>
      <c r="H99" s="62">
        <v>0.17</v>
      </c>
      <c r="I99" s="62">
        <f>I106/I109</f>
        <v>0.24532624113228579</v>
      </c>
      <c r="J99" s="62">
        <f>J106/J109</f>
        <v>0.24532624113228577</v>
      </c>
      <c r="L99" s="89">
        <f>SUM(L96:L98)</f>
        <v>231256701</v>
      </c>
    </row>
    <row r="100" spans="1:12" x14ac:dyDescent="0.25">
      <c r="A100" s="77" t="s">
        <v>21</v>
      </c>
      <c r="B100" s="62">
        <v>0</v>
      </c>
      <c r="C100" s="62">
        <v>0</v>
      </c>
      <c r="D100" s="62">
        <v>0</v>
      </c>
      <c r="E100" s="62">
        <v>0</v>
      </c>
      <c r="F100" s="62">
        <v>0</v>
      </c>
      <c r="G100" s="62">
        <v>0</v>
      </c>
      <c r="H100" s="62">
        <v>0</v>
      </c>
      <c r="I100" s="62">
        <v>0</v>
      </c>
      <c r="J100" s="62">
        <v>0</v>
      </c>
    </row>
    <row r="101" spans="1:12" x14ac:dyDescent="0.25">
      <c r="A101" s="77" t="s">
        <v>22</v>
      </c>
      <c r="B101" s="62">
        <v>0</v>
      </c>
      <c r="C101" s="62">
        <v>0</v>
      </c>
      <c r="D101" s="62">
        <v>0</v>
      </c>
      <c r="E101" s="62">
        <v>0</v>
      </c>
      <c r="F101" s="62">
        <v>0</v>
      </c>
      <c r="G101" s="62">
        <v>0</v>
      </c>
      <c r="H101" s="62">
        <v>0</v>
      </c>
      <c r="I101" s="62">
        <v>0</v>
      </c>
      <c r="J101" s="62">
        <v>0</v>
      </c>
    </row>
    <row r="102" spans="1:12" x14ac:dyDescent="0.25">
      <c r="A102" s="81" t="s">
        <v>23</v>
      </c>
      <c r="B102" s="90">
        <f>B109/B96</f>
        <v>28694.726234855545</v>
      </c>
      <c r="C102" s="90">
        <f t="shared" ref="C102:H102" si="26">C109/C96</f>
        <v>26137.989224137931</v>
      </c>
      <c r="D102" s="90">
        <f t="shared" si="26"/>
        <v>26791.824282469544</v>
      </c>
      <c r="E102" s="90">
        <f t="shared" si="26"/>
        <v>27322.662431941928</v>
      </c>
      <c r="F102" s="90">
        <f t="shared" si="26"/>
        <v>28310.590185676396</v>
      </c>
      <c r="G102" s="90">
        <f t="shared" si="26"/>
        <v>26827.372528190885</v>
      </c>
      <c r="H102" s="90">
        <f t="shared" si="26"/>
        <v>26138.663793103449</v>
      </c>
      <c r="I102" s="90">
        <f>I113/I96</f>
        <v>32381.914301613804</v>
      </c>
      <c r="J102" s="90">
        <f>J113/J96</f>
        <v>32381.914301613804</v>
      </c>
      <c r="L102" s="89">
        <f>D113+E113+F113+G113+H113</f>
        <v>48145300</v>
      </c>
    </row>
    <row r="103" spans="1:12" x14ac:dyDescent="0.25">
      <c r="A103" s="81" t="s">
        <v>24</v>
      </c>
      <c r="B103" s="90">
        <f>B109/B90</f>
        <v>24129.656152037616</v>
      </c>
      <c r="C103" s="90">
        <f t="shared" ref="C103:H103" si="27">C109/C90</f>
        <v>23897.590147783252</v>
      </c>
      <c r="D103" s="90">
        <f t="shared" si="27"/>
        <v>23799.120506236246</v>
      </c>
      <c r="E103" s="90">
        <f t="shared" si="27"/>
        <v>24033.823435504473</v>
      </c>
      <c r="F103" s="90">
        <f t="shared" si="27"/>
        <v>23266.74940546968</v>
      </c>
      <c r="G103" s="90">
        <f t="shared" si="27"/>
        <v>25270.426801108377</v>
      </c>
      <c r="H103" s="90">
        <f t="shared" si="27"/>
        <v>24989.387707499125</v>
      </c>
      <c r="I103" s="90">
        <f>I113/I90</f>
        <v>29175.382301328656</v>
      </c>
      <c r="J103" s="90">
        <f>J113/J90</f>
        <v>29175.382301328656</v>
      </c>
      <c r="L103" s="89">
        <f>I141+I168+I198+B226+C226+D226+E226</f>
        <v>183111401</v>
      </c>
    </row>
    <row r="104" spans="1:12" x14ac:dyDescent="0.25">
      <c r="A104" s="77" t="s">
        <v>25</v>
      </c>
      <c r="B104" s="12">
        <f>B109*B97</f>
        <v>1783664.1827586207</v>
      </c>
      <c r="C104" s="12">
        <f t="shared" ref="C104:H104" si="28">C109*C97</f>
        <v>1589189.7448275862</v>
      </c>
      <c r="D104" s="12">
        <f t="shared" si="28"/>
        <v>2013405.5948275863</v>
      </c>
      <c r="E104" s="12">
        <f t="shared" si="28"/>
        <v>2180348.4620689657</v>
      </c>
      <c r="F104" s="12">
        <f t="shared" si="28"/>
        <v>3400668.0931034484</v>
      </c>
      <c r="G104" s="12">
        <f t="shared" si="28"/>
        <v>4981306.5310344836</v>
      </c>
      <c r="H104" s="12">
        <f t="shared" si="28"/>
        <v>5208912.9206896545</v>
      </c>
      <c r="I104" s="12">
        <f>'PEPE SIERRA '!$B104+'PEPE SIERRA '!$C104+'PEPE SIERRA '!$D104+'PEPE SIERRA '!$E104+'PEPE SIERRA '!$F104+'PEPE SIERRA '!$G104+'PEPE SIERRA '!$H104</f>
        <v>21157495.529310346</v>
      </c>
      <c r="J104" s="12">
        <f>'PEPE SIERRA '!$I104/7</f>
        <v>3022499.3613300496</v>
      </c>
      <c r="L104" s="89"/>
    </row>
    <row r="105" spans="1:12" x14ac:dyDescent="0.25">
      <c r="A105" s="77" t="s">
        <v>26</v>
      </c>
      <c r="B105" s="12">
        <f>B109*B98</f>
        <v>976768.48103448283</v>
      </c>
      <c r="C105" s="12">
        <f t="shared" ref="C105:H105" si="29">C109*C98</f>
        <v>1129161.1344827586</v>
      </c>
      <c r="D105" s="12">
        <f t="shared" si="29"/>
        <v>1029073.9706896553</v>
      </c>
      <c r="E105" s="12">
        <f t="shared" si="29"/>
        <v>1142087.2896551725</v>
      </c>
      <c r="F105" s="12">
        <f t="shared" si="29"/>
        <v>2833890.0775862071</v>
      </c>
      <c r="G105" s="12">
        <f t="shared" si="29"/>
        <v>4415248.9706896562</v>
      </c>
      <c r="H105" s="12">
        <f t="shared" si="29"/>
        <v>3989805.6413793103</v>
      </c>
      <c r="I105" s="12">
        <f>'PEPE SIERRA '!$B105+'PEPE SIERRA '!$C105+'PEPE SIERRA '!$D105+'PEPE SIERRA '!$E105+'PEPE SIERRA '!$F105+'PEPE SIERRA '!$G105+'PEPE SIERRA '!$H105</f>
        <v>15516035.565517243</v>
      </c>
      <c r="J105" s="12">
        <f>'PEPE SIERRA '!$I105/7</f>
        <v>2216576.5093596061</v>
      </c>
    </row>
    <row r="106" spans="1:12" x14ac:dyDescent="0.25">
      <c r="A106" s="77" t="s">
        <v>27</v>
      </c>
      <c r="B106" s="12">
        <f>B109*B99</f>
        <v>1486386.8189655172</v>
      </c>
      <c r="C106" s="12">
        <f t="shared" ref="C106:H106" si="30">C109*C99</f>
        <v>1463727.3965517241</v>
      </c>
      <c r="D106" s="12">
        <f t="shared" si="30"/>
        <v>1431755.0896551725</v>
      </c>
      <c r="E106" s="12">
        <f t="shared" si="30"/>
        <v>1868870.1103448276</v>
      </c>
      <c r="F106" s="12">
        <f t="shared" si="30"/>
        <v>1862270.6224137933</v>
      </c>
      <c r="G106" s="12">
        <f t="shared" si="30"/>
        <v>1924595.7051724142</v>
      </c>
      <c r="H106" s="12">
        <f t="shared" si="30"/>
        <v>1884074.8862068967</v>
      </c>
      <c r="I106" s="12">
        <f>'PEPE SIERRA '!$B106+'PEPE SIERRA '!$C106+'PEPE SIERRA '!$D106+'PEPE SIERRA '!$E106+'PEPE SIERRA '!$F106+'PEPE SIERRA '!$G106+'PEPE SIERRA '!$H106</f>
        <v>11921680.629310345</v>
      </c>
      <c r="J106" s="12">
        <f>'PEPE SIERRA '!$I106/7</f>
        <v>1703097.2327586208</v>
      </c>
    </row>
    <row r="107" spans="1:12" x14ac:dyDescent="0.25">
      <c r="A107" s="77" t="s">
        <v>28</v>
      </c>
      <c r="B107" s="12">
        <f>B109*B100</f>
        <v>0</v>
      </c>
      <c r="C107" s="12">
        <f t="shared" ref="C107:I107" si="31">C109*C100</f>
        <v>0</v>
      </c>
      <c r="D107" s="12">
        <f t="shared" si="31"/>
        <v>0</v>
      </c>
      <c r="E107" s="12">
        <f t="shared" si="31"/>
        <v>0</v>
      </c>
      <c r="F107" s="12">
        <f t="shared" si="31"/>
        <v>0</v>
      </c>
      <c r="G107" s="12">
        <f t="shared" si="31"/>
        <v>0</v>
      </c>
      <c r="H107" s="12">
        <f t="shared" si="31"/>
        <v>0</v>
      </c>
      <c r="I107" s="12">
        <f t="shared" si="31"/>
        <v>0</v>
      </c>
      <c r="J107" s="12">
        <f>'PEPE SIERRA '!$I107/7</f>
        <v>0</v>
      </c>
    </row>
    <row r="108" spans="1:12" x14ac:dyDescent="0.25">
      <c r="A108" s="77" t="s">
        <v>29</v>
      </c>
      <c r="B108" s="12">
        <f>B109*B101</f>
        <v>0</v>
      </c>
      <c r="C108" s="12">
        <f t="shared" ref="C108:I108" si="32">C109*C101</f>
        <v>0</v>
      </c>
      <c r="D108" s="12">
        <f t="shared" si="32"/>
        <v>0</v>
      </c>
      <c r="E108" s="12">
        <f t="shared" si="32"/>
        <v>0</v>
      </c>
      <c r="F108" s="12">
        <f t="shared" si="32"/>
        <v>0</v>
      </c>
      <c r="G108" s="12">
        <f t="shared" si="32"/>
        <v>0</v>
      </c>
      <c r="H108" s="12">
        <f t="shared" si="32"/>
        <v>0</v>
      </c>
      <c r="I108" s="12">
        <f t="shared" si="32"/>
        <v>0</v>
      </c>
      <c r="J108" s="12">
        <f>'PEPE SIERRA '!$I108/7</f>
        <v>0</v>
      </c>
    </row>
    <row r="109" spans="1:12" x14ac:dyDescent="0.25">
      <c r="A109" s="82" t="s">
        <v>30</v>
      </c>
      <c r="B109" s="91">
        <f>(5058800/1.16)-B110</f>
        <v>4246819.4827586208</v>
      </c>
      <c r="C109" s="91">
        <f>(4986200/1.16)-C110</f>
        <v>4182078.2758620689</v>
      </c>
      <c r="D109" s="91">
        <f>(5342600/1.16)-D110</f>
        <v>4474234.6551724141</v>
      </c>
      <c r="E109" s="91">
        <f>(6206900/1.16)-E110</f>
        <v>5191305.862068966</v>
      </c>
      <c r="F109" s="91">
        <f>(9659800/1.16)-F110</f>
        <v>8096828.793103449</v>
      </c>
      <c r="G109" s="91">
        <f>(13575000/1.16)-G110</f>
        <v>11321151.206896553</v>
      </c>
      <c r="H109" s="91">
        <f>(13361000/1.16)-H110</f>
        <v>11082793.448275862</v>
      </c>
      <c r="I109" s="91">
        <f>I104+I105+I106</f>
        <v>48595211.72413794</v>
      </c>
      <c r="J109" s="91">
        <f>'PEPE SIERRA '!$I109/7</f>
        <v>6942173.1034482773</v>
      </c>
    </row>
    <row r="110" spans="1:12" x14ac:dyDescent="0.25">
      <c r="A110" s="77" t="s">
        <v>31</v>
      </c>
      <c r="B110" s="92">
        <f t="shared" ref="B110:I110" si="33">2155*B91</f>
        <v>114215</v>
      </c>
      <c r="C110" s="92">
        <f t="shared" si="33"/>
        <v>116370</v>
      </c>
      <c r="D110" s="92">
        <f t="shared" si="33"/>
        <v>131455</v>
      </c>
      <c r="E110" s="92">
        <f t="shared" si="33"/>
        <v>159470</v>
      </c>
      <c r="F110" s="92">
        <f t="shared" si="33"/>
        <v>230585</v>
      </c>
      <c r="G110" s="92">
        <f t="shared" si="33"/>
        <v>381435</v>
      </c>
      <c r="H110" s="92">
        <f t="shared" si="33"/>
        <v>435310</v>
      </c>
      <c r="I110" s="92">
        <f t="shared" si="33"/>
        <v>1568840</v>
      </c>
      <c r="J110" s="92">
        <f>'PEPE SIERRA '!$I110/7</f>
        <v>224120</v>
      </c>
    </row>
    <row r="111" spans="1:12" x14ac:dyDescent="0.25">
      <c r="A111" s="83" t="s">
        <v>32</v>
      </c>
      <c r="B111" s="93">
        <f t="shared" ref="B111:I111" si="34">B109+B110</f>
        <v>4361034.4827586208</v>
      </c>
      <c r="C111" s="93">
        <f t="shared" si="34"/>
        <v>4298448.2758620689</v>
      </c>
      <c r="D111" s="93">
        <f t="shared" si="34"/>
        <v>4605689.6551724141</v>
      </c>
      <c r="E111" s="93">
        <f t="shared" si="34"/>
        <v>5350775.862068966</v>
      </c>
      <c r="F111" s="93">
        <f t="shared" si="34"/>
        <v>8327413.793103449</v>
      </c>
      <c r="G111" s="93">
        <f t="shared" si="34"/>
        <v>11702586.206896553</v>
      </c>
      <c r="H111" s="93">
        <f t="shared" si="34"/>
        <v>11518103.448275862</v>
      </c>
      <c r="I111" s="93">
        <f t="shared" si="34"/>
        <v>50164051.72413794</v>
      </c>
      <c r="J111" s="93">
        <f>'PEPE SIERRA '!$I111/7</f>
        <v>7166293.1034482773</v>
      </c>
    </row>
    <row r="112" spans="1:12" x14ac:dyDescent="0.25">
      <c r="A112" s="77" t="s">
        <v>33</v>
      </c>
      <c r="B112" s="94">
        <f t="shared" ref="B112:I112" si="35">B111*16%</f>
        <v>697765.51724137936</v>
      </c>
      <c r="C112" s="94">
        <f t="shared" si="35"/>
        <v>687751.72413793101</v>
      </c>
      <c r="D112" s="95">
        <f t="shared" si="35"/>
        <v>736910.34482758632</v>
      </c>
      <c r="E112" s="94">
        <f t="shared" si="35"/>
        <v>856124.13793103455</v>
      </c>
      <c r="F112" s="94">
        <f t="shared" si="35"/>
        <v>1332386.2068965519</v>
      </c>
      <c r="G112" s="94">
        <f t="shared" si="35"/>
        <v>1872413.7931034486</v>
      </c>
      <c r="H112" s="21">
        <f t="shared" si="35"/>
        <v>1842896.551724138</v>
      </c>
      <c r="I112" s="21">
        <f t="shared" si="35"/>
        <v>8026248.2758620707</v>
      </c>
      <c r="J112" s="21">
        <f>'PEPE SIERRA '!$I112/7</f>
        <v>1146606.8965517243</v>
      </c>
    </row>
    <row r="113" spans="1:10" x14ac:dyDescent="0.25">
      <c r="A113" s="84" t="s">
        <v>34</v>
      </c>
      <c r="B113" s="46">
        <f t="shared" ref="B113:I113" si="36">B111+B112</f>
        <v>5058800</v>
      </c>
      <c r="C113" s="46">
        <f t="shared" si="36"/>
        <v>4986200</v>
      </c>
      <c r="D113" s="46">
        <f t="shared" si="36"/>
        <v>5342600</v>
      </c>
      <c r="E113" s="46">
        <f t="shared" si="36"/>
        <v>6206900.0000000009</v>
      </c>
      <c r="F113" s="46">
        <f t="shared" si="36"/>
        <v>9659800</v>
      </c>
      <c r="G113" s="46">
        <f t="shared" si="36"/>
        <v>13575000.000000002</v>
      </c>
      <c r="H113" s="46">
        <f t="shared" si="36"/>
        <v>13361000</v>
      </c>
      <c r="I113" s="46">
        <f t="shared" si="36"/>
        <v>58190300.000000007</v>
      </c>
      <c r="J113" s="46">
        <f>'PEPE SIERRA '!$I113/7</f>
        <v>8312900.0000000009</v>
      </c>
    </row>
    <row r="116" spans="1:10" ht="27" thickBot="1" x14ac:dyDescent="0.3">
      <c r="B116" s="1004" t="s">
        <v>60</v>
      </c>
      <c r="C116" s="1004"/>
      <c r="D116" s="1004"/>
      <c r="E116" s="1004"/>
      <c r="F116" s="1004"/>
      <c r="G116" s="1004"/>
      <c r="H116" s="1004"/>
      <c r="I116" s="1004"/>
    </row>
    <row r="117" spans="1:10" ht="16.5" thickBot="1" x14ac:dyDescent="0.3">
      <c r="A117" s="72" t="s">
        <v>2</v>
      </c>
      <c r="B117" s="51" t="s">
        <v>61</v>
      </c>
      <c r="C117" s="51" t="s">
        <v>62</v>
      </c>
      <c r="D117" s="50" t="s">
        <v>63</v>
      </c>
      <c r="E117" s="51" t="s">
        <v>64</v>
      </c>
      <c r="F117" s="51" t="s">
        <v>65</v>
      </c>
      <c r="G117" s="51" t="s">
        <v>66</v>
      </c>
      <c r="H117" s="50" t="s">
        <v>67</v>
      </c>
      <c r="I117" s="51" t="s">
        <v>10</v>
      </c>
      <c r="J117" s="73" t="s">
        <v>68</v>
      </c>
    </row>
    <row r="118" spans="1:10" x14ac:dyDescent="0.25">
      <c r="A118" s="96" t="s">
        <v>11</v>
      </c>
      <c r="B118" s="97">
        <v>144</v>
      </c>
      <c r="C118" s="97">
        <v>145</v>
      </c>
      <c r="D118" s="97">
        <v>150</v>
      </c>
      <c r="E118" s="97">
        <v>131</v>
      </c>
      <c r="F118" s="97">
        <v>327</v>
      </c>
      <c r="G118" s="97">
        <v>393</v>
      </c>
      <c r="H118" s="98">
        <v>392</v>
      </c>
      <c r="I118" s="98">
        <f>SUM(B118:H118)</f>
        <v>1682</v>
      </c>
      <c r="J118" s="99">
        <f>'PEPE SIERRA '!$I118/7</f>
        <v>240.28571428571428</v>
      </c>
    </row>
    <row r="119" spans="1:10" x14ac:dyDescent="0.25">
      <c r="A119" s="100" t="s">
        <v>12</v>
      </c>
      <c r="B119" s="78">
        <v>59</v>
      </c>
      <c r="C119" s="12">
        <v>64</v>
      </c>
      <c r="D119" s="78">
        <v>65</v>
      </c>
      <c r="E119" s="12">
        <v>62</v>
      </c>
      <c r="F119" s="78">
        <v>146</v>
      </c>
      <c r="G119" s="78">
        <v>246</v>
      </c>
      <c r="H119" s="78">
        <v>211</v>
      </c>
      <c r="I119" s="78">
        <f t="shared" ref="I119:I124" si="37">B119+C119+D119+E119+F119+G119+H119</f>
        <v>853</v>
      </c>
      <c r="J119" s="101">
        <f>'PEPE SIERRA '!$I119/7</f>
        <v>121.85714285714286</v>
      </c>
    </row>
    <row r="120" spans="1:10" x14ac:dyDescent="0.25">
      <c r="A120" s="100" t="s">
        <v>13</v>
      </c>
      <c r="B120" s="78">
        <v>47</v>
      </c>
      <c r="C120" s="12">
        <v>29</v>
      </c>
      <c r="D120" s="78">
        <v>37</v>
      </c>
      <c r="E120" s="12">
        <v>26</v>
      </c>
      <c r="F120" s="78">
        <v>89</v>
      </c>
      <c r="G120" s="78">
        <v>85</v>
      </c>
      <c r="H120" s="78">
        <v>65</v>
      </c>
      <c r="I120" s="78">
        <f t="shared" si="37"/>
        <v>378</v>
      </c>
      <c r="J120" s="101">
        <f>'PEPE SIERRA '!$I120/7</f>
        <v>54</v>
      </c>
    </row>
    <row r="121" spans="1:10" x14ac:dyDescent="0.25">
      <c r="A121" s="100" t="s">
        <v>14</v>
      </c>
      <c r="B121" s="78">
        <v>55</v>
      </c>
      <c r="C121" s="12">
        <v>47</v>
      </c>
      <c r="D121" s="78">
        <v>55</v>
      </c>
      <c r="E121" s="12">
        <v>185</v>
      </c>
      <c r="F121" s="78">
        <v>85</v>
      </c>
      <c r="G121" s="78">
        <v>127</v>
      </c>
      <c r="H121" s="78">
        <v>134</v>
      </c>
      <c r="I121" s="78">
        <f t="shared" si="37"/>
        <v>688</v>
      </c>
      <c r="J121" s="101">
        <f>'PEPE SIERRA '!$I121/7</f>
        <v>98.285714285714292</v>
      </c>
    </row>
    <row r="122" spans="1:10" x14ac:dyDescent="0.25">
      <c r="A122" s="100" t="s">
        <v>15</v>
      </c>
      <c r="B122" s="78">
        <v>0</v>
      </c>
      <c r="C122" s="78">
        <v>0</v>
      </c>
      <c r="D122" s="78">
        <v>0</v>
      </c>
      <c r="E122" s="78">
        <v>0</v>
      </c>
      <c r="F122" s="78">
        <v>0</v>
      </c>
      <c r="G122" s="78">
        <v>0</v>
      </c>
      <c r="H122" s="78">
        <v>0</v>
      </c>
      <c r="I122" s="78">
        <f t="shared" si="37"/>
        <v>0</v>
      </c>
      <c r="J122" s="101">
        <v>0</v>
      </c>
    </row>
    <row r="123" spans="1:10" x14ac:dyDescent="0.25">
      <c r="A123" s="100" t="s">
        <v>16</v>
      </c>
      <c r="B123" s="78">
        <v>0</v>
      </c>
      <c r="C123" s="78">
        <v>0</v>
      </c>
      <c r="D123" s="78">
        <v>0</v>
      </c>
      <c r="E123" s="78">
        <v>0</v>
      </c>
      <c r="F123" s="78">
        <v>0</v>
      </c>
      <c r="G123" s="78">
        <v>0</v>
      </c>
      <c r="H123" s="78">
        <v>0</v>
      </c>
      <c r="I123" s="78">
        <f t="shared" si="37"/>
        <v>0</v>
      </c>
      <c r="J123" s="101">
        <v>0</v>
      </c>
    </row>
    <row r="124" spans="1:10" x14ac:dyDescent="0.25">
      <c r="A124" s="102" t="s">
        <v>17</v>
      </c>
      <c r="B124" s="103">
        <f>B119+B120+B121+B122+B123</f>
        <v>161</v>
      </c>
      <c r="C124" s="103">
        <f>SUM(C119:C123)</f>
        <v>140</v>
      </c>
      <c r="D124" s="103">
        <f>SUM(D119:D123)</f>
        <v>157</v>
      </c>
      <c r="E124" s="103">
        <f t="shared" ref="E124:J124" si="38">SUM(E119:E123)</f>
        <v>273</v>
      </c>
      <c r="F124" s="103">
        <f t="shared" si="38"/>
        <v>320</v>
      </c>
      <c r="G124" s="103">
        <f t="shared" si="38"/>
        <v>458</v>
      </c>
      <c r="H124" s="103">
        <f t="shared" si="38"/>
        <v>410</v>
      </c>
      <c r="I124" s="103">
        <f t="shared" si="37"/>
        <v>1919</v>
      </c>
      <c r="J124" s="104">
        <f t="shared" si="38"/>
        <v>274.14285714285717</v>
      </c>
    </row>
    <row r="125" spans="1:10" x14ac:dyDescent="0.25">
      <c r="A125" s="100" t="s">
        <v>18</v>
      </c>
      <c r="B125" s="18">
        <v>0.37</v>
      </c>
      <c r="C125" s="18">
        <v>0.46</v>
      </c>
      <c r="D125" s="18">
        <v>0.44</v>
      </c>
      <c r="E125" s="18">
        <v>0.33</v>
      </c>
      <c r="F125" s="18">
        <v>0.5</v>
      </c>
      <c r="G125" s="18">
        <v>0.52</v>
      </c>
      <c r="H125" s="18">
        <v>0.51</v>
      </c>
      <c r="I125" s="18">
        <f>I132/I137</f>
        <v>0.47506054217199684</v>
      </c>
      <c r="J125" s="105">
        <f>J132/J137</f>
        <v>0.47506054217199678</v>
      </c>
    </row>
    <row r="126" spans="1:10" x14ac:dyDescent="0.25">
      <c r="A126" s="100" t="s">
        <v>19</v>
      </c>
      <c r="B126" s="18">
        <v>0.28999999999999998</v>
      </c>
      <c r="C126" s="18">
        <v>0.21</v>
      </c>
      <c r="D126" s="18">
        <v>0.19</v>
      </c>
      <c r="E126" s="18">
        <v>0.17</v>
      </c>
      <c r="F126" s="18">
        <v>0.21</v>
      </c>
      <c r="G126" s="18">
        <v>0.18</v>
      </c>
      <c r="H126" s="18">
        <v>0.14000000000000001</v>
      </c>
      <c r="I126" s="18">
        <f>I133/I137</f>
        <v>0.18690690391235432</v>
      </c>
      <c r="J126" s="105">
        <f>J133/J137</f>
        <v>0.18690690391235432</v>
      </c>
    </row>
    <row r="127" spans="1:10" x14ac:dyDescent="0.25">
      <c r="A127" s="100" t="s">
        <v>20</v>
      </c>
      <c r="B127" s="18">
        <v>0.34</v>
      </c>
      <c r="C127" s="18">
        <v>0.33</v>
      </c>
      <c r="D127" s="18">
        <v>0.37</v>
      </c>
      <c r="E127" s="18">
        <v>0.5</v>
      </c>
      <c r="F127" s="18">
        <v>0.28999999999999998</v>
      </c>
      <c r="G127" s="18">
        <v>0.3</v>
      </c>
      <c r="H127" s="18">
        <v>0.35</v>
      </c>
      <c r="I127" s="18">
        <f>I134/I137</f>
        <v>0.3380325539156489</v>
      </c>
      <c r="J127" s="105">
        <f>J134/J137</f>
        <v>0.33803255391564885</v>
      </c>
    </row>
    <row r="128" spans="1:10" x14ac:dyDescent="0.25">
      <c r="A128" s="100" t="s">
        <v>21</v>
      </c>
      <c r="B128" s="18">
        <v>0</v>
      </c>
      <c r="C128" s="18">
        <v>0</v>
      </c>
      <c r="D128" s="18">
        <v>0</v>
      </c>
      <c r="E128" s="18">
        <v>0</v>
      </c>
      <c r="F128" s="18">
        <v>0</v>
      </c>
      <c r="G128" s="18">
        <v>0</v>
      </c>
      <c r="H128" s="18">
        <v>0</v>
      </c>
      <c r="I128" s="18">
        <v>0</v>
      </c>
      <c r="J128" s="105">
        <v>0</v>
      </c>
    </row>
    <row r="129" spans="1:10" x14ac:dyDescent="0.25">
      <c r="A129" s="100" t="s">
        <v>22</v>
      </c>
      <c r="B129" s="18">
        <v>0</v>
      </c>
      <c r="C129" s="18">
        <v>0</v>
      </c>
      <c r="D129" s="18">
        <v>0</v>
      </c>
      <c r="E129" s="18">
        <v>0</v>
      </c>
      <c r="F129" s="18">
        <v>0</v>
      </c>
      <c r="G129" s="18">
        <v>0</v>
      </c>
      <c r="H129" s="18">
        <v>0</v>
      </c>
      <c r="I129" s="18">
        <v>0</v>
      </c>
      <c r="J129" s="105">
        <v>0</v>
      </c>
    </row>
    <row r="130" spans="1:10" x14ac:dyDescent="0.25">
      <c r="A130" s="106" t="s">
        <v>23</v>
      </c>
      <c r="B130" s="107">
        <f>B141/B124</f>
        <v>26701.863354037268</v>
      </c>
      <c r="C130" s="107">
        <f t="shared" ref="C130:I130" si="39">C141/C124</f>
        <v>29052.142857142859</v>
      </c>
      <c r="D130" s="107">
        <f t="shared" si="39"/>
        <v>27529.299363057326</v>
      </c>
      <c r="E130" s="107">
        <f t="shared" si="39"/>
        <v>14673.992673992676</v>
      </c>
      <c r="F130" s="107">
        <f t="shared" si="39"/>
        <v>30535.3125</v>
      </c>
      <c r="G130" s="107">
        <f t="shared" si="39"/>
        <v>26361.353711790398</v>
      </c>
      <c r="H130" s="107">
        <f t="shared" si="39"/>
        <v>32695.853658536591</v>
      </c>
      <c r="I130" s="107">
        <f t="shared" si="39"/>
        <v>27068.525273579991</v>
      </c>
      <c r="J130" s="107"/>
    </row>
    <row r="131" spans="1:10" x14ac:dyDescent="0.25">
      <c r="A131" s="106" t="s">
        <v>24</v>
      </c>
      <c r="B131" s="107">
        <f>B141/B118</f>
        <v>29854.166666666668</v>
      </c>
      <c r="C131" s="107">
        <f t="shared" ref="C131:I131" si="40">C141/C118</f>
        <v>28050.344827586207</v>
      </c>
      <c r="D131" s="107">
        <f t="shared" si="40"/>
        <v>28814</v>
      </c>
      <c r="E131" s="107">
        <f t="shared" si="40"/>
        <v>30580.152671755728</v>
      </c>
      <c r="F131" s="107">
        <f t="shared" si="40"/>
        <v>29881.65137614679</v>
      </c>
      <c r="G131" s="107">
        <f t="shared" si="40"/>
        <v>30721.374045801531</v>
      </c>
      <c r="H131" s="107">
        <f t="shared" si="40"/>
        <v>34197.193877551028</v>
      </c>
      <c r="I131" s="107">
        <f t="shared" si="40"/>
        <v>30882.580261593343</v>
      </c>
      <c r="J131" s="107"/>
    </row>
    <row r="132" spans="1:10" x14ac:dyDescent="0.25">
      <c r="A132" s="100" t="s">
        <v>25</v>
      </c>
      <c r="B132" s="92">
        <f>B137*B125</f>
        <v>1324189.1086206897</v>
      </c>
      <c r="C132" s="92">
        <f t="shared" ref="C132:H132" si="41">C137*C125</f>
        <v>1549451.6275862069</v>
      </c>
      <c r="D132" s="92">
        <f t="shared" si="41"/>
        <v>1577784.2413793106</v>
      </c>
      <c r="E132" s="92">
        <f t="shared" si="41"/>
        <v>1095546.631034483</v>
      </c>
      <c r="F132" s="92">
        <f t="shared" si="41"/>
        <v>4054452.2413793104</v>
      </c>
      <c r="G132" s="92">
        <f t="shared" si="41"/>
        <v>5136591.020689656</v>
      </c>
      <c r="H132" s="92">
        <f t="shared" si="41"/>
        <v>5661809.9327586219</v>
      </c>
      <c r="I132" s="92">
        <f>'PEPE SIERRA '!$B132+'PEPE SIERRA '!$C132+'PEPE SIERRA '!$D132+'PEPE SIERRA '!$E132+'PEPE SIERRA '!$F132+'PEPE SIERRA '!$G132+'PEPE SIERRA '!$H132</f>
        <v>20399824.803448278</v>
      </c>
      <c r="J132" s="108">
        <f>'PEPE SIERRA '!$I132/7</f>
        <v>2914260.6862068968</v>
      </c>
    </row>
    <row r="133" spans="1:10" x14ac:dyDescent="0.25">
      <c r="A133" s="100" t="s">
        <v>26</v>
      </c>
      <c r="B133" s="92">
        <f>B137*B126</f>
        <v>1037877.95</v>
      </c>
      <c r="C133" s="92">
        <f t="shared" ref="C133:H133" si="42">C137*C126</f>
        <v>707358.3517241379</v>
      </c>
      <c r="D133" s="92">
        <f t="shared" si="42"/>
        <v>681315.92241379316</v>
      </c>
      <c r="E133" s="92">
        <f t="shared" si="42"/>
        <v>564372.50689655181</v>
      </c>
      <c r="F133" s="92">
        <f t="shared" si="42"/>
        <v>1702869.9413793103</v>
      </c>
      <c r="G133" s="92">
        <f t="shared" si="42"/>
        <v>1778050.7379310348</v>
      </c>
      <c r="H133" s="92">
        <f t="shared" si="42"/>
        <v>1554222.334482759</v>
      </c>
      <c r="I133" s="92">
        <f>'PEPE SIERRA '!$B133+'PEPE SIERRA '!$C133+'PEPE SIERRA '!$D133+'PEPE SIERRA '!$E133+'PEPE SIERRA '!$F133+'PEPE SIERRA '!$G133+'PEPE SIERRA '!$H133</f>
        <v>8026067.7448275872</v>
      </c>
      <c r="J133" s="108">
        <f>'PEPE SIERRA '!$I133/7</f>
        <v>1146581.1064039411</v>
      </c>
    </row>
    <row r="134" spans="1:10" x14ac:dyDescent="0.25">
      <c r="A134" s="100" t="s">
        <v>27</v>
      </c>
      <c r="B134" s="92">
        <f>B137*B127</f>
        <v>1216822.4241379311</v>
      </c>
      <c r="C134" s="92">
        <f t="shared" ref="C134:H134" si="43">C137*C127</f>
        <v>1111563.124137931</v>
      </c>
      <c r="D134" s="92">
        <f t="shared" si="43"/>
        <v>1326773.1120689656</v>
      </c>
      <c r="E134" s="92">
        <f t="shared" si="43"/>
        <v>1659919.1379310347</v>
      </c>
      <c r="F134" s="92">
        <f t="shared" si="43"/>
        <v>2351582.2999999998</v>
      </c>
      <c r="G134" s="92">
        <f t="shared" si="43"/>
        <v>2963417.8965517245</v>
      </c>
      <c r="H134" s="92">
        <f t="shared" si="43"/>
        <v>3885555.8362068967</v>
      </c>
      <c r="I134" s="92">
        <f>'PEPE SIERRA '!$B134+'PEPE SIERRA '!$C134+'PEPE SIERRA '!$D134+'PEPE SIERRA '!$E134+'PEPE SIERRA '!$F134+'PEPE SIERRA '!$G134+'PEPE SIERRA '!$H134</f>
        <v>14515633.831034483</v>
      </c>
      <c r="J134" s="108">
        <f>'PEPE SIERRA '!$I134/7</f>
        <v>2073661.9758620691</v>
      </c>
    </row>
    <row r="135" spans="1:10" x14ac:dyDescent="0.25">
      <c r="A135" s="100" t="s">
        <v>28</v>
      </c>
      <c r="B135" s="92">
        <f>B137*B128</f>
        <v>0</v>
      </c>
      <c r="C135" s="92">
        <f t="shared" ref="C135:I135" si="44">C137*C128</f>
        <v>0</v>
      </c>
      <c r="D135" s="92">
        <f t="shared" si="44"/>
        <v>0</v>
      </c>
      <c r="E135" s="92">
        <f t="shared" si="44"/>
        <v>0</v>
      </c>
      <c r="F135" s="92">
        <f t="shared" si="44"/>
        <v>0</v>
      </c>
      <c r="G135" s="92">
        <f t="shared" si="44"/>
        <v>0</v>
      </c>
      <c r="H135" s="92">
        <f t="shared" si="44"/>
        <v>0</v>
      </c>
      <c r="I135" s="92">
        <f t="shared" si="44"/>
        <v>0</v>
      </c>
      <c r="J135" s="108">
        <v>0</v>
      </c>
    </row>
    <row r="136" spans="1:10" x14ac:dyDescent="0.25">
      <c r="A136" s="100" t="s">
        <v>29</v>
      </c>
      <c r="B136" s="94">
        <f>B129*B137</f>
        <v>0</v>
      </c>
      <c r="C136" s="94">
        <f t="shared" ref="C136:I136" si="45">C129*C137</f>
        <v>0</v>
      </c>
      <c r="D136" s="94">
        <f t="shared" si="45"/>
        <v>0</v>
      </c>
      <c r="E136" s="94">
        <f t="shared" si="45"/>
        <v>0</v>
      </c>
      <c r="F136" s="94">
        <f t="shared" si="45"/>
        <v>0</v>
      </c>
      <c r="G136" s="94">
        <f t="shared" si="45"/>
        <v>0</v>
      </c>
      <c r="H136" s="94">
        <f t="shared" si="45"/>
        <v>0</v>
      </c>
      <c r="I136" s="94">
        <f t="shared" si="45"/>
        <v>0</v>
      </c>
      <c r="J136" s="109">
        <v>0</v>
      </c>
    </row>
    <row r="137" spans="1:10" x14ac:dyDescent="0.25">
      <c r="A137" s="110" t="s">
        <v>30</v>
      </c>
      <c r="B137" s="91">
        <f>(4299000/1.16)-B138</f>
        <v>3578889.4827586208</v>
      </c>
      <c r="C137" s="91">
        <f>(4067300/1.16)-C138</f>
        <v>3368373.1034482759</v>
      </c>
      <c r="D137" s="91">
        <f>(4322100/1.16)-D138</f>
        <v>3585873.2758620693</v>
      </c>
      <c r="E137" s="91">
        <f>(4006000/1.16)-E138</f>
        <v>3319838.2758620693</v>
      </c>
      <c r="F137" s="91">
        <f>(9771300/1.16)-F138</f>
        <v>8108904.4827586208</v>
      </c>
      <c r="G137" s="91">
        <f>(12073500/1.16)-G138</f>
        <v>9878059.6551724151</v>
      </c>
      <c r="H137" s="91">
        <f>(13405300/1.16)-H138</f>
        <v>11101588.103448277</v>
      </c>
      <c r="I137" s="91">
        <f>'PEPE SIERRA '!$B137+'PEPE SIERRA '!$C137+'PEPE SIERRA '!$D137+'PEPE SIERRA '!$E137+'PEPE SIERRA '!$F137+'PEPE SIERRA '!$G137+'PEPE SIERRA '!$H137</f>
        <v>42941526.379310347</v>
      </c>
      <c r="J137" s="111">
        <f>'PEPE SIERRA '!$I137/7</f>
        <v>6134503.7684729071</v>
      </c>
    </row>
    <row r="138" spans="1:10" x14ac:dyDescent="0.25">
      <c r="A138" s="100" t="s">
        <v>31</v>
      </c>
      <c r="B138" s="94">
        <f t="shared" ref="B138:J138" si="46">2155*B119</f>
        <v>127145</v>
      </c>
      <c r="C138" s="112">
        <f t="shared" si="46"/>
        <v>137920</v>
      </c>
      <c r="D138" s="113">
        <f t="shared" si="46"/>
        <v>140075</v>
      </c>
      <c r="E138" s="112">
        <f t="shared" si="46"/>
        <v>133610</v>
      </c>
      <c r="F138" s="113">
        <f t="shared" si="46"/>
        <v>314630</v>
      </c>
      <c r="G138" s="113">
        <f t="shared" si="46"/>
        <v>530130</v>
      </c>
      <c r="H138" s="113">
        <f t="shared" si="46"/>
        <v>454705</v>
      </c>
      <c r="I138" s="113">
        <f t="shared" si="46"/>
        <v>1838215</v>
      </c>
      <c r="J138" s="113">
        <f t="shared" si="46"/>
        <v>262602.14285714284</v>
      </c>
    </row>
    <row r="139" spans="1:10" x14ac:dyDescent="0.25">
      <c r="A139" s="114" t="s">
        <v>32</v>
      </c>
      <c r="B139" s="115">
        <f t="shared" ref="B139:J139" si="47">B137+B138</f>
        <v>3706034.4827586208</v>
      </c>
      <c r="C139" s="115">
        <f t="shared" si="47"/>
        <v>3506293.1034482759</v>
      </c>
      <c r="D139" s="115">
        <f t="shared" si="47"/>
        <v>3725948.2758620693</v>
      </c>
      <c r="E139" s="115">
        <f t="shared" si="47"/>
        <v>3453448.2758620693</v>
      </c>
      <c r="F139" s="115">
        <f t="shared" si="47"/>
        <v>8423534.4827586208</v>
      </c>
      <c r="G139" s="115">
        <f t="shared" si="47"/>
        <v>10408189.655172415</v>
      </c>
      <c r="H139" s="115">
        <f t="shared" si="47"/>
        <v>11556293.103448277</v>
      </c>
      <c r="I139" s="115">
        <f t="shared" si="47"/>
        <v>44779741.379310347</v>
      </c>
      <c r="J139" s="116">
        <f t="shared" si="47"/>
        <v>6397105.9113300499</v>
      </c>
    </row>
    <row r="140" spans="1:10" x14ac:dyDescent="0.25">
      <c r="A140" s="100" t="s">
        <v>33</v>
      </c>
      <c r="B140" s="21">
        <f t="shared" ref="B140:J140" si="48">B139*16%</f>
        <v>592965.51724137936</v>
      </c>
      <c r="C140" s="70">
        <f t="shared" si="48"/>
        <v>561006.89655172417</v>
      </c>
      <c r="D140" s="117">
        <f t="shared" si="48"/>
        <v>596151.72413793113</v>
      </c>
      <c r="E140" s="70">
        <f t="shared" si="48"/>
        <v>552551.72413793113</v>
      </c>
      <c r="F140" s="117">
        <f t="shared" si="48"/>
        <v>1347765.5172413792</v>
      </c>
      <c r="G140" s="117">
        <f t="shared" si="48"/>
        <v>1665310.3448275866</v>
      </c>
      <c r="H140" s="117">
        <f t="shared" si="48"/>
        <v>1849006.8965517245</v>
      </c>
      <c r="I140" s="117">
        <f t="shared" si="48"/>
        <v>7164758.6206896557</v>
      </c>
      <c r="J140" s="117">
        <f t="shared" si="48"/>
        <v>1023536.945812808</v>
      </c>
    </row>
    <row r="141" spans="1:10" x14ac:dyDescent="0.25">
      <c r="A141" s="118" t="s">
        <v>34</v>
      </c>
      <c r="B141" s="46">
        <f t="shared" ref="B141:J141" si="49">B139+B140</f>
        <v>4299000</v>
      </c>
      <c r="C141" s="119">
        <f t="shared" si="49"/>
        <v>4067300</v>
      </c>
      <c r="D141" s="119">
        <f t="shared" si="49"/>
        <v>4322100</v>
      </c>
      <c r="E141" s="119">
        <f t="shared" si="49"/>
        <v>4006000.0000000005</v>
      </c>
      <c r="F141" s="119">
        <f t="shared" si="49"/>
        <v>9771300</v>
      </c>
      <c r="G141" s="119">
        <f t="shared" si="49"/>
        <v>12073500.000000002</v>
      </c>
      <c r="H141" s="119">
        <f t="shared" si="49"/>
        <v>13405300.000000002</v>
      </c>
      <c r="I141" s="119">
        <f t="shared" si="49"/>
        <v>51944500</v>
      </c>
      <c r="J141" s="120">
        <f t="shared" si="49"/>
        <v>7420642.8571428582</v>
      </c>
    </row>
    <row r="142" spans="1:10" ht="27" thickBot="1" x14ac:dyDescent="0.3">
      <c r="B142" s="1005"/>
      <c r="C142" s="1005"/>
      <c r="D142" s="1005"/>
      <c r="E142" s="1005"/>
      <c r="F142" s="1005"/>
      <c r="G142" s="1005"/>
      <c r="H142" s="1005"/>
      <c r="I142" s="1005"/>
    </row>
    <row r="143" spans="1:10" ht="27" thickBot="1" x14ac:dyDescent="0.3">
      <c r="B143" s="1004" t="s">
        <v>69</v>
      </c>
      <c r="C143" s="1004"/>
      <c r="D143" s="1004"/>
      <c r="E143" s="1004"/>
      <c r="F143" s="1004"/>
      <c r="G143" s="1004"/>
      <c r="H143" s="1004"/>
      <c r="I143" s="1004"/>
    </row>
    <row r="144" spans="1:10" ht="15.75" x14ac:dyDescent="0.25">
      <c r="A144" s="72" t="s">
        <v>2</v>
      </c>
      <c r="B144" s="121" t="s">
        <v>70</v>
      </c>
      <c r="C144" s="51" t="s">
        <v>71</v>
      </c>
      <c r="D144" s="121" t="s">
        <v>72</v>
      </c>
      <c r="E144" s="51" t="s">
        <v>73</v>
      </c>
      <c r="F144" s="51" t="s">
        <v>74</v>
      </c>
      <c r="G144" s="121" t="s">
        <v>75</v>
      </c>
      <c r="H144" s="121" t="s">
        <v>76</v>
      </c>
      <c r="I144" s="51" t="s">
        <v>10</v>
      </c>
      <c r="J144" s="73" t="s">
        <v>77</v>
      </c>
    </row>
    <row r="145" spans="1:10" x14ac:dyDescent="0.25">
      <c r="A145" s="74" t="s">
        <v>11</v>
      </c>
      <c r="B145" s="75">
        <v>139</v>
      </c>
      <c r="C145" s="122">
        <v>141</v>
      </c>
      <c r="D145" s="75">
        <v>150</v>
      </c>
      <c r="E145" s="75">
        <v>179</v>
      </c>
      <c r="F145" s="56">
        <v>332</v>
      </c>
      <c r="G145" s="75">
        <v>470</v>
      </c>
      <c r="H145" s="75">
        <v>454</v>
      </c>
      <c r="I145" s="123">
        <f>SUM(B145:H145)</f>
        <v>1865</v>
      </c>
      <c r="J145" s="124">
        <f>'PEPE SIERRA '!$I145/7</f>
        <v>266.42857142857144</v>
      </c>
    </row>
    <row r="146" spans="1:10" x14ac:dyDescent="0.25">
      <c r="A146" s="77" t="s">
        <v>12</v>
      </c>
      <c r="B146" s="11">
        <v>59</v>
      </c>
      <c r="C146" s="13">
        <v>40</v>
      </c>
      <c r="D146" s="11">
        <v>66</v>
      </c>
      <c r="E146" s="11">
        <v>82</v>
      </c>
      <c r="F146" s="125">
        <v>142</v>
      </c>
      <c r="G146" s="11">
        <v>181</v>
      </c>
      <c r="H146" s="11">
        <v>188</v>
      </c>
      <c r="I146" s="125">
        <f>B146+C146+D146+E146+F146+G146+H146</f>
        <v>758</v>
      </c>
      <c r="J146" s="126">
        <f>'PEPE SIERRA '!$I146/7</f>
        <v>108.28571428571429</v>
      </c>
    </row>
    <row r="147" spans="1:10" x14ac:dyDescent="0.25">
      <c r="A147" s="77" t="s">
        <v>13</v>
      </c>
      <c r="B147" s="11">
        <v>46</v>
      </c>
      <c r="C147" s="13">
        <v>14</v>
      </c>
      <c r="D147" s="11">
        <v>6</v>
      </c>
      <c r="E147" s="11">
        <v>37</v>
      </c>
      <c r="F147" s="125">
        <v>66</v>
      </c>
      <c r="G147" s="11">
        <v>125</v>
      </c>
      <c r="H147" s="11">
        <v>149</v>
      </c>
      <c r="I147" s="125">
        <f>B147+C147+D147+E147+F147+G147+H147</f>
        <v>443</v>
      </c>
      <c r="J147" s="127">
        <f>'PEPE SIERRA '!$I147/7</f>
        <v>63.285714285714285</v>
      </c>
    </row>
    <row r="148" spans="1:10" x14ac:dyDescent="0.25">
      <c r="A148" s="77" t="s">
        <v>14</v>
      </c>
      <c r="B148" s="11">
        <v>33</v>
      </c>
      <c r="C148" s="13">
        <v>80</v>
      </c>
      <c r="D148" s="11">
        <v>95</v>
      </c>
      <c r="E148" s="11">
        <v>61</v>
      </c>
      <c r="F148" s="125">
        <v>106</v>
      </c>
      <c r="G148" s="11">
        <v>88</v>
      </c>
      <c r="H148" s="11">
        <v>77</v>
      </c>
      <c r="I148" s="125">
        <f>B148+C148+D148+E148+F148+G148+H148</f>
        <v>540</v>
      </c>
      <c r="J148" s="127">
        <f>'PEPE SIERRA '!$I148/7</f>
        <v>77.142857142857139</v>
      </c>
    </row>
    <row r="149" spans="1:10" x14ac:dyDescent="0.25">
      <c r="A149" s="77" t="s">
        <v>15</v>
      </c>
      <c r="B149" s="11">
        <v>0</v>
      </c>
      <c r="C149" s="13">
        <v>0</v>
      </c>
      <c r="D149" s="11">
        <v>0</v>
      </c>
      <c r="E149" s="11">
        <v>0</v>
      </c>
      <c r="F149" s="125">
        <v>0</v>
      </c>
      <c r="G149" s="11">
        <v>0</v>
      </c>
      <c r="H149" s="11">
        <v>0</v>
      </c>
      <c r="I149" s="125">
        <f>B149+C149+D149+E149+F149+G149+H149</f>
        <v>0</v>
      </c>
      <c r="J149" s="127">
        <f>'PEPE SIERRA '!$I149/7</f>
        <v>0</v>
      </c>
    </row>
    <row r="150" spans="1:10" x14ac:dyDescent="0.25">
      <c r="A150" s="77" t="s">
        <v>16</v>
      </c>
      <c r="B150" s="11">
        <v>0</v>
      </c>
      <c r="C150" s="13">
        <v>0</v>
      </c>
      <c r="D150" s="11">
        <v>0</v>
      </c>
      <c r="E150" s="11">
        <v>0</v>
      </c>
      <c r="F150" s="125">
        <v>0</v>
      </c>
      <c r="G150" s="11">
        <v>0</v>
      </c>
      <c r="H150" s="11">
        <v>0</v>
      </c>
      <c r="I150" s="125">
        <f>B150+C150+D150+E150+F150+G150+H150</f>
        <v>0</v>
      </c>
      <c r="J150" s="127">
        <f>'PEPE SIERRA '!$I150/7</f>
        <v>0</v>
      </c>
    </row>
    <row r="151" spans="1:10" x14ac:dyDescent="0.25">
      <c r="A151" s="79" t="s">
        <v>17</v>
      </c>
      <c r="B151" s="79">
        <f>B146+B147+B148+B149+B150</f>
        <v>138</v>
      </c>
      <c r="C151" s="79">
        <f>SUM(C146:C150)</f>
        <v>134</v>
      </c>
      <c r="D151" s="103">
        <v>167</v>
      </c>
      <c r="E151" s="103">
        <v>180</v>
      </c>
      <c r="F151" s="79">
        <v>314</v>
      </c>
      <c r="G151" s="103">
        <v>394</v>
      </c>
      <c r="H151" s="103">
        <v>414</v>
      </c>
      <c r="I151" s="15">
        <f>SUM(B151:H151)</f>
        <v>1741</v>
      </c>
      <c r="J151" s="128">
        <f>'PEPE SIERRA '!$I151/7</f>
        <v>248.71428571428572</v>
      </c>
    </row>
    <row r="152" spans="1:10" x14ac:dyDescent="0.25">
      <c r="A152" s="77" t="s">
        <v>18</v>
      </c>
      <c r="B152" s="18">
        <v>0.43</v>
      </c>
      <c r="C152" s="19">
        <v>0.42</v>
      </c>
      <c r="D152" s="18">
        <v>0.4</v>
      </c>
      <c r="E152" s="18">
        <v>0.49</v>
      </c>
      <c r="F152" s="129">
        <v>0.49</v>
      </c>
      <c r="G152" s="18">
        <v>0.46</v>
      </c>
      <c r="H152" s="18">
        <v>0.49</v>
      </c>
      <c r="I152" s="19">
        <f>I159/I164</f>
        <v>0.46548328833444008</v>
      </c>
      <c r="J152" s="30">
        <f>J159/J164</f>
        <v>0.46548328833444008</v>
      </c>
    </row>
    <row r="153" spans="1:10" x14ac:dyDescent="0.25">
      <c r="A153" s="77" t="s">
        <v>19</v>
      </c>
      <c r="B153" s="18">
        <v>0.27</v>
      </c>
      <c r="C153" s="19">
        <v>0.11</v>
      </c>
      <c r="D153" s="18">
        <v>0.03</v>
      </c>
      <c r="E153" s="18">
        <v>0.21</v>
      </c>
      <c r="F153" s="129">
        <v>0.2</v>
      </c>
      <c r="G153" s="18">
        <v>0.32</v>
      </c>
      <c r="H153" s="18">
        <v>0.35</v>
      </c>
      <c r="I153" s="19">
        <f>I160/I164</f>
        <v>0.2517937868467488</v>
      </c>
      <c r="J153" s="30">
        <f>J160/J164</f>
        <v>0.2517937868467488</v>
      </c>
    </row>
    <row r="154" spans="1:10" x14ac:dyDescent="0.25">
      <c r="A154" s="77" t="s">
        <v>20</v>
      </c>
      <c r="B154" s="18">
        <v>0.3</v>
      </c>
      <c r="C154" s="19">
        <v>0.47</v>
      </c>
      <c r="D154" s="18">
        <v>0.56999999999999995</v>
      </c>
      <c r="E154" s="18">
        <v>0.3</v>
      </c>
      <c r="F154" s="18">
        <v>0.31</v>
      </c>
      <c r="G154" s="18">
        <v>0.22</v>
      </c>
      <c r="H154" s="18">
        <v>0.16</v>
      </c>
      <c r="I154" s="19">
        <f>I161/I164</f>
        <v>0.28272292481881106</v>
      </c>
      <c r="J154" s="30">
        <f>J161/J164</f>
        <v>0.28272292481881106</v>
      </c>
    </row>
    <row r="155" spans="1:10" x14ac:dyDescent="0.25">
      <c r="A155" s="77" t="s">
        <v>21</v>
      </c>
      <c r="B155" s="18">
        <v>0</v>
      </c>
      <c r="C155" s="19">
        <v>0</v>
      </c>
      <c r="D155" s="18">
        <v>0</v>
      </c>
      <c r="E155" s="18">
        <v>0</v>
      </c>
      <c r="F155" s="18">
        <v>0</v>
      </c>
      <c r="G155" s="18">
        <v>0</v>
      </c>
      <c r="H155" s="18">
        <v>0</v>
      </c>
      <c r="I155" s="19">
        <v>0</v>
      </c>
      <c r="J155" s="30">
        <v>0</v>
      </c>
    </row>
    <row r="156" spans="1:10" x14ac:dyDescent="0.25">
      <c r="A156" s="77" t="s">
        <v>22</v>
      </c>
      <c r="B156" s="18">
        <v>0</v>
      </c>
      <c r="C156" s="19">
        <v>0</v>
      </c>
      <c r="D156" s="18">
        <v>0</v>
      </c>
      <c r="E156" s="18">
        <v>0</v>
      </c>
      <c r="F156" s="18">
        <v>0</v>
      </c>
      <c r="G156" s="18">
        <v>0</v>
      </c>
      <c r="H156" s="18">
        <v>0</v>
      </c>
      <c r="I156" s="19">
        <v>0</v>
      </c>
      <c r="J156" s="30">
        <v>0</v>
      </c>
    </row>
    <row r="157" spans="1:10" x14ac:dyDescent="0.25">
      <c r="A157" s="81" t="s">
        <v>23</v>
      </c>
      <c r="B157" s="130">
        <f>B168/B151</f>
        <v>28338.405797101448</v>
      </c>
      <c r="C157" s="131">
        <f t="shared" ref="C157:I157" si="50">C168/C151</f>
        <v>31836.567164179105</v>
      </c>
      <c r="D157" s="130">
        <f t="shared" si="50"/>
        <v>28992.814371257486</v>
      </c>
      <c r="E157" s="130">
        <f t="shared" si="50"/>
        <v>31172.222222222223</v>
      </c>
      <c r="F157" s="132">
        <f t="shared" si="50"/>
        <v>33214.331210191085</v>
      </c>
      <c r="G157" s="130">
        <f t="shared" si="50"/>
        <v>37932.233502538074</v>
      </c>
      <c r="H157" s="130">
        <f t="shared" si="50"/>
        <v>33570.289855072471</v>
      </c>
      <c r="I157" s="132">
        <f t="shared" si="50"/>
        <v>33258.070074669733</v>
      </c>
      <c r="J157" s="66">
        <f>J168/J151</f>
        <v>33258.070074669733</v>
      </c>
    </row>
    <row r="158" spans="1:10" x14ac:dyDescent="0.25">
      <c r="A158" s="81" t="s">
        <v>24</v>
      </c>
      <c r="B158" s="130">
        <f>B168/B145</f>
        <v>28134.53237410072</v>
      </c>
      <c r="C158" s="131">
        <f t="shared" ref="C158:I158" si="51">C168/C145</f>
        <v>30256.028368794327</v>
      </c>
      <c r="D158" s="130">
        <f t="shared" si="51"/>
        <v>32278.666666666668</v>
      </c>
      <c r="E158" s="130">
        <f t="shared" si="51"/>
        <v>31346.368715083798</v>
      </c>
      <c r="F158" s="132">
        <f t="shared" si="51"/>
        <v>31413.554216867469</v>
      </c>
      <c r="G158" s="130">
        <f t="shared" si="51"/>
        <v>31798.510638297874</v>
      </c>
      <c r="H158" s="130">
        <f t="shared" si="51"/>
        <v>30612.555066079298</v>
      </c>
      <c r="I158" s="132">
        <f t="shared" si="51"/>
        <v>31046.809651474534</v>
      </c>
      <c r="J158" s="66">
        <f>J168/J145</f>
        <v>31046.80965147453</v>
      </c>
    </row>
    <row r="159" spans="1:10" x14ac:dyDescent="0.25">
      <c r="A159" s="77" t="s">
        <v>25</v>
      </c>
      <c r="B159" s="92">
        <f>B164*B152</f>
        <v>1394983.6844827586</v>
      </c>
      <c r="C159" s="133">
        <f t="shared" ref="C159:H159" si="52">C164*C152</f>
        <v>1508418.4137931035</v>
      </c>
      <c r="D159" s="92">
        <f t="shared" si="52"/>
        <v>1612694.2068965519</v>
      </c>
      <c r="E159" s="92">
        <f t="shared" si="52"/>
        <v>2283575.8931034482</v>
      </c>
      <c r="F159" s="134">
        <f t="shared" si="52"/>
        <v>4255535.272413793</v>
      </c>
      <c r="G159" s="92">
        <f t="shared" si="52"/>
        <v>5747159.1827586209</v>
      </c>
      <c r="H159" s="92">
        <f t="shared" si="52"/>
        <v>5672230.5379310353</v>
      </c>
      <c r="I159" s="134">
        <f>'PEPE SIERRA '!$B159+'PEPE SIERRA '!$C159+'PEPE SIERRA '!$D159+'PEPE SIERRA '!$E159+'PEPE SIERRA '!$F159+'PEPE SIERRA '!$G159+'PEPE SIERRA '!$H159</f>
        <v>22474597.191379312</v>
      </c>
      <c r="J159" s="135">
        <f>'PEPE SIERRA '!$I159/7</f>
        <v>3210656.7416256159</v>
      </c>
    </row>
    <row r="160" spans="1:10" x14ac:dyDescent="0.25">
      <c r="A160" s="77" t="s">
        <v>26</v>
      </c>
      <c r="B160" s="92">
        <f>B164*B153</f>
        <v>875919.98793103453</v>
      </c>
      <c r="C160" s="133">
        <f t="shared" ref="C160:H160" si="53">C164*C153</f>
        <v>395061.96551724139</v>
      </c>
      <c r="D160" s="92">
        <f t="shared" si="53"/>
        <v>120952.06551724138</v>
      </c>
      <c r="E160" s="92">
        <f t="shared" si="53"/>
        <v>978675.38275862066</v>
      </c>
      <c r="F160" s="134">
        <f t="shared" si="53"/>
        <v>1736953.1724137934</v>
      </c>
      <c r="G160" s="92">
        <f t="shared" si="53"/>
        <v>3998023.7793103452</v>
      </c>
      <c r="H160" s="92">
        <f t="shared" si="53"/>
        <v>4051593.2413793104</v>
      </c>
      <c r="I160" s="134">
        <f>'PEPE SIERRA '!$B160+'PEPE SIERRA '!$C160+'PEPE SIERRA '!$D160+'PEPE SIERRA '!$E160+'PEPE SIERRA '!$F160+'PEPE SIERRA '!$G160+'PEPE SIERRA '!$H160</f>
        <v>12157179.594827589</v>
      </c>
      <c r="J160" s="135">
        <f>'PEPE SIERRA '!$I160/7</f>
        <v>1736739.942118227</v>
      </c>
    </row>
    <row r="161" spans="1:11" x14ac:dyDescent="0.25">
      <c r="A161" s="77" t="s">
        <v>27</v>
      </c>
      <c r="B161" s="92">
        <f>B164*B154</f>
        <v>973244.43103448278</v>
      </c>
      <c r="C161" s="133">
        <f t="shared" ref="C161:H161" si="54">C164*C154</f>
        <v>1687992.0344827587</v>
      </c>
      <c r="D161" s="92">
        <f t="shared" si="54"/>
        <v>2298089.2448275862</v>
      </c>
      <c r="E161" s="92">
        <f t="shared" si="54"/>
        <v>1398107.6896551724</v>
      </c>
      <c r="F161" s="134">
        <f t="shared" si="54"/>
        <v>2692277.4172413796</v>
      </c>
      <c r="G161" s="92">
        <f t="shared" si="54"/>
        <v>2748641.3482758622</v>
      </c>
      <c r="H161" s="92">
        <f t="shared" si="54"/>
        <v>1852156.9103448279</v>
      </c>
      <c r="I161" s="134">
        <f>'PEPE SIERRA '!$B161+'PEPE SIERRA '!$C161+'PEPE SIERRA '!$D161+'PEPE SIERRA '!$E161+'PEPE SIERRA '!$F161+'PEPE SIERRA '!$G161+'PEPE SIERRA '!$H161</f>
        <v>13650509.075862071</v>
      </c>
      <c r="J161" s="135">
        <f>'PEPE SIERRA '!$I161/7</f>
        <v>1950072.7251231528</v>
      </c>
    </row>
    <row r="162" spans="1:11" x14ac:dyDescent="0.25">
      <c r="A162" s="77" t="s">
        <v>28</v>
      </c>
      <c r="B162" s="92">
        <f>B164*B155</f>
        <v>0</v>
      </c>
      <c r="C162" s="133">
        <f t="shared" ref="C162:I162" si="55">C164*C155</f>
        <v>0</v>
      </c>
      <c r="D162" s="92">
        <f t="shared" si="55"/>
        <v>0</v>
      </c>
      <c r="E162" s="92">
        <f t="shared" si="55"/>
        <v>0</v>
      </c>
      <c r="F162" s="134">
        <f t="shared" si="55"/>
        <v>0</v>
      </c>
      <c r="G162" s="92">
        <f t="shared" si="55"/>
        <v>0</v>
      </c>
      <c r="H162" s="92">
        <f t="shared" si="55"/>
        <v>0</v>
      </c>
      <c r="I162" s="134">
        <f t="shared" si="55"/>
        <v>0</v>
      </c>
      <c r="J162" s="135">
        <f>'PEPE SIERRA '!$I162/7</f>
        <v>0</v>
      </c>
    </row>
    <row r="163" spans="1:11" x14ac:dyDescent="0.25">
      <c r="A163" s="77" t="s">
        <v>29</v>
      </c>
      <c r="B163" s="92">
        <f>B164*B156</f>
        <v>0</v>
      </c>
      <c r="C163" s="133">
        <f t="shared" ref="C163:I163" si="56">C164*C156</f>
        <v>0</v>
      </c>
      <c r="D163" s="92">
        <f t="shared" si="56"/>
        <v>0</v>
      </c>
      <c r="E163" s="92">
        <f t="shared" si="56"/>
        <v>0</v>
      </c>
      <c r="F163" s="134">
        <f t="shared" si="56"/>
        <v>0</v>
      </c>
      <c r="G163" s="92">
        <f t="shared" si="56"/>
        <v>0</v>
      </c>
      <c r="H163" s="92">
        <f t="shared" si="56"/>
        <v>0</v>
      </c>
      <c r="I163" s="134">
        <f t="shared" si="56"/>
        <v>0</v>
      </c>
      <c r="J163" s="135">
        <f>'PEPE SIERRA '!$I163/7</f>
        <v>0</v>
      </c>
      <c r="K163" s="89"/>
    </row>
    <row r="164" spans="1:11" x14ac:dyDescent="0.25">
      <c r="A164" s="82" t="s">
        <v>30</v>
      </c>
      <c r="B164" s="91">
        <f>(3910700/1.16)-B165</f>
        <v>3244148.1034482759</v>
      </c>
      <c r="C164" s="136">
        <f>(4266100/1.16)-C165</f>
        <v>3591472.4137931038</v>
      </c>
      <c r="D164" s="91">
        <f>(4841800/1.16)-D165</f>
        <v>4031735.5172413797</v>
      </c>
      <c r="E164" s="91">
        <f>(5611000/1.16)-E165</f>
        <v>4660358.9655172415</v>
      </c>
      <c r="F164" s="136">
        <f>(10429300/1.16)-F165</f>
        <v>8684765.862068966</v>
      </c>
      <c r="G164" s="91">
        <f>(14945300/1.16)-G165</f>
        <v>12493824.310344828</v>
      </c>
      <c r="H164" s="91">
        <f>(13898100/1.16)-H165</f>
        <v>11575980.689655174</v>
      </c>
      <c r="I164" s="137">
        <f>I159+I160+I161</f>
        <v>48282285.862068973</v>
      </c>
      <c r="J164" s="138">
        <f>'PEPE SIERRA '!$I164/7</f>
        <v>6897469.4088669959</v>
      </c>
    </row>
    <row r="165" spans="1:11" x14ac:dyDescent="0.25">
      <c r="A165" s="77" t="s">
        <v>31</v>
      </c>
      <c r="B165" s="94">
        <f t="shared" ref="B165:H165" si="57">2155*B146</f>
        <v>127145</v>
      </c>
      <c r="C165" s="139">
        <f t="shared" si="57"/>
        <v>86200</v>
      </c>
      <c r="D165" s="94">
        <f t="shared" si="57"/>
        <v>142230</v>
      </c>
      <c r="E165" s="94">
        <f t="shared" si="57"/>
        <v>176710</v>
      </c>
      <c r="F165" s="112">
        <f t="shared" si="57"/>
        <v>306010</v>
      </c>
      <c r="G165" s="94">
        <f t="shared" si="57"/>
        <v>390055</v>
      </c>
      <c r="H165" s="94">
        <f t="shared" si="57"/>
        <v>405140</v>
      </c>
      <c r="I165" s="70">
        <f>2155*758</f>
        <v>1633490</v>
      </c>
      <c r="J165" s="135">
        <f>'PEPE SIERRA '!$I165/7</f>
        <v>233355.71428571429</v>
      </c>
      <c r="K165" s="89"/>
    </row>
    <row r="166" spans="1:11" x14ac:dyDescent="0.25">
      <c r="A166" s="83" t="s">
        <v>32</v>
      </c>
      <c r="B166" s="39">
        <f t="shared" ref="B166:I166" si="58">B164+B165</f>
        <v>3371293.1034482759</v>
      </c>
      <c r="C166" s="40">
        <f t="shared" si="58"/>
        <v>3677672.4137931038</v>
      </c>
      <c r="D166" s="39">
        <f t="shared" si="58"/>
        <v>4173965.5172413797</v>
      </c>
      <c r="E166" s="39">
        <f t="shared" si="58"/>
        <v>4837068.9655172415</v>
      </c>
      <c r="F166" s="40">
        <f t="shared" si="58"/>
        <v>8990775.862068966</v>
      </c>
      <c r="G166" s="39">
        <f t="shared" si="58"/>
        <v>12883879.310344828</v>
      </c>
      <c r="H166" s="39">
        <f t="shared" si="58"/>
        <v>11981120.689655174</v>
      </c>
      <c r="I166" s="140">
        <f t="shared" si="58"/>
        <v>49915775.862068973</v>
      </c>
      <c r="J166" s="38">
        <f>'PEPE SIERRA '!$I166/7</f>
        <v>7130825.1231527105</v>
      </c>
    </row>
    <row r="167" spans="1:11" x14ac:dyDescent="0.25">
      <c r="A167" s="77" t="s">
        <v>33</v>
      </c>
      <c r="B167" s="41">
        <f t="shared" ref="B167:I167" si="59">B166*16%</f>
        <v>539406.89655172417</v>
      </c>
      <c r="C167" s="42">
        <f t="shared" si="59"/>
        <v>588427.58620689658</v>
      </c>
      <c r="D167" s="41">
        <f t="shared" si="59"/>
        <v>667834.48275862075</v>
      </c>
      <c r="E167" s="41">
        <f t="shared" si="59"/>
        <v>773931.03448275861</v>
      </c>
      <c r="F167" s="141">
        <f t="shared" si="59"/>
        <v>1438524.1379310347</v>
      </c>
      <c r="G167" s="41">
        <f t="shared" si="59"/>
        <v>2061420.6896551726</v>
      </c>
      <c r="H167" s="41">
        <f t="shared" si="59"/>
        <v>1916979.3103448278</v>
      </c>
      <c r="I167" s="141">
        <f t="shared" si="59"/>
        <v>7986524.1379310358</v>
      </c>
      <c r="J167" s="135">
        <f>'PEPE SIERRA '!$I167/7</f>
        <v>1140932.0197044336</v>
      </c>
    </row>
    <row r="168" spans="1:11" x14ac:dyDescent="0.25">
      <c r="A168" s="142" t="s">
        <v>34</v>
      </c>
      <c r="B168" s="143">
        <f t="shared" ref="B168:I168" si="60">B166+B167</f>
        <v>3910700</v>
      </c>
      <c r="C168" s="143">
        <f t="shared" si="60"/>
        <v>4266100</v>
      </c>
      <c r="D168" s="144">
        <f t="shared" si="60"/>
        <v>4841800</v>
      </c>
      <c r="E168" s="144">
        <f t="shared" si="60"/>
        <v>5611000</v>
      </c>
      <c r="F168" s="143">
        <f t="shared" si="60"/>
        <v>10429300</v>
      </c>
      <c r="G168" s="144">
        <f t="shared" si="60"/>
        <v>14945300</v>
      </c>
      <c r="H168" s="144">
        <f t="shared" si="60"/>
        <v>13898100.000000002</v>
      </c>
      <c r="I168" s="145">
        <f t="shared" si="60"/>
        <v>57902300.000000007</v>
      </c>
      <c r="J168" s="144">
        <f>'PEPE SIERRA '!$I168/7</f>
        <v>8271757.1428571437</v>
      </c>
    </row>
    <row r="169" spans="1:11" x14ac:dyDescent="0.25">
      <c r="A169" s="146" t="s">
        <v>78</v>
      </c>
      <c r="B169" s="41"/>
      <c r="C169" s="41"/>
      <c r="D169" s="41"/>
      <c r="E169" s="41"/>
      <c r="F169" s="41"/>
      <c r="G169" s="41"/>
      <c r="H169" s="41"/>
      <c r="I169" s="42"/>
      <c r="J169" s="147"/>
    </row>
    <row r="170" spans="1:11" x14ac:dyDescent="0.25">
      <c r="A170" s="148" t="s">
        <v>79</v>
      </c>
      <c r="B170" s="41"/>
      <c r="C170" s="41"/>
      <c r="D170" s="41"/>
      <c r="E170" s="41"/>
      <c r="F170" s="41"/>
      <c r="G170" s="41"/>
      <c r="H170" s="41"/>
      <c r="I170" s="42"/>
      <c r="J170" s="147"/>
    </row>
    <row r="171" spans="1:11" x14ac:dyDescent="0.25">
      <c r="A171" s="149"/>
      <c r="B171" s="150"/>
      <c r="C171" s="150"/>
      <c r="D171" s="150"/>
      <c r="E171" s="150"/>
      <c r="F171" s="150"/>
      <c r="G171" s="150"/>
      <c r="H171" s="150"/>
      <c r="I171" s="150"/>
    </row>
    <row r="172" spans="1:11" ht="15.75" thickBot="1" x14ac:dyDescent="0.3">
      <c r="A172" s="149"/>
      <c r="B172" s="150"/>
      <c r="C172" s="150"/>
      <c r="D172" s="150"/>
      <c r="E172" s="150"/>
      <c r="F172" s="150"/>
      <c r="G172" s="150"/>
      <c r="H172" s="150"/>
      <c r="I172" s="150"/>
    </row>
    <row r="173" spans="1:11" ht="27" thickBot="1" x14ac:dyDescent="0.3">
      <c r="A173" s="151"/>
      <c r="B173" s="1004" t="s">
        <v>80</v>
      </c>
      <c r="C173" s="1004"/>
      <c r="D173" s="1004"/>
      <c r="E173" s="1004"/>
      <c r="F173" s="1004"/>
      <c r="G173" s="1004"/>
      <c r="H173" s="1004"/>
      <c r="I173" s="1004"/>
      <c r="J173" s="152"/>
      <c r="K173" s="152"/>
    </row>
    <row r="174" spans="1:11" ht="15.75" x14ac:dyDescent="0.25">
      <c r="A174" s="72" t="s">
        <v>2</v>
      </c>
      <c r="B174" s="121" t="s">
        <v>81</v>
      </c>
      <c r="C174" s="153" t="s">
        <v>82</v>
      </c>
      <c r="D174" s="51" t="s">
        <v>83</v>
      </c>
      <c r="E174" s="52" t="s">
        <v>84</v>
      </c>
      <c r="F174" s="50" t="s">
        <v>85</v>
      </c>
      <c r="G174" s="153" t="s">
        <v>86</v>
      </c>
      <c r="H174" s="51" t="s">
        <v>87</v>
      </c>
      <c r="I174" s="121" t="s">
        <v>10</v>
      </c>
      <c r="J174" s="73" t="s">
        <v>77</v>
      </c>
      <c r="K174" s="152"/>
    </row>
    <row r="175" spans="1:11" x14ac:dyDescent="0.25">
      <c r="A175" s="58" t="s">
        <v>11</v>
      </c>
      <c r="B175" s="75">
        <v>114</v>
      </c>
      <c r="C175" s="56">
        <f>73+40+13</f>
        <v>126</v>
      </c>
      <c r="D175" s="75">
        <v>152</v>
      </c>
      <c r="E175" s="122">
        <v>139</v>
      </c>
      <c r="F175" s="75"/>
      <c r="G175" s="75">
        <v>398</v>
      </c>
      <c r="H175" s="56">
        <v>402</v>
      </c>
      <c r="I175" s="76">
        <f>SUM(B175:H175)</f>
        <v>1331</v>
      </c>
      <c r="J175" s="154">
        <f>'PEPE SIERRA '!$I175/7</f>
        <v>190.14285714285714</v>
      </c>
      <c r="K175" s="152"/>
    </row>
    <row r="176" spans="1:11" x14ac:dyDescent="0.25">
      <c r="A176" s="77" t="s">
        <v>12</v>
      </c>
      <c r="B176" s="11">
        <v>61</v>
      </c>
      <c r="C176" s="13">
        <v>50</v>
      </c>
      <c r="D176" s="155">
        <v>73</v>
      </c>
      <c r="E176" s="156">
        <v>60</v>
      </c>
      <c r="F176" s="155">
        <v>145</v>
      </c>
      <c r="G176" s="155">
        <v>169</v>
      </c>
      <c r="H176" s="156">
        <v>191</v>
      </c>
      <c r="I176" s="127">
        <f>SUM('PEPE SIERRA '!$B176:$H176)</f>
        <v>749</v>
      </c>
      <c r="J176" s="157">
        <f>'PEPE SIERRA '!$I176/7</f>
        <v>107</v>
      </c>
      <c r="K176" s="152"/>
    </row>
    <row r="177" spans="1:11" x14ac:dyDescent="0.25">
      <c r="A177" s="77" t="s">
        <v>13</v>
      </c>
      <c r="B177" s="11">
        <v>34</v>
      </c>
      <c r="C177" s="13">
        <v>26</v>
      </c>
      <c r="D177" s="155">
        <v>11</v>
      </c>
      <c r="E177" s="156">
        <v>1</v>
      </c>
      <c r="F177" s="155">
        <v>10</v>
      </c>
      <c r="G177" s="155">
        <v>9</v>
      </c>
      <c r="H177" s="156">
        <v>0</v>
      </c>
      <c r="I177" s="127">
        <f>SUM('PEPE SIERRA '!$B177:$H177)</f>
        <v>91</v>
      </c>
      <c r="J177" s="127">
        <f>'PEPE SIERRA '!$I177/7</f>
        <v>13</v>
      </c>
      <c r="K177" s="152"/>
    </row>
    <row r="178" spans="1:11" x14ac:dyDescent="0.25">
      <c r="A178" s="77" t="s">
        <v>14</v>
      </c>
      <c r="B178" s="11">
        <v>42</v>
      </c>
      <c r="C178" s="13">
        <v>88</v>
      </c>
      <c r="D178" s="78">
        <v>64</v>
      </c>
      <c r="E178" s="60">
        <v>57</v>
      </c>
      <c r="F178" s="78">
        <v>99</v>
      </c>
      <c r="G178" s="78">
        <v>99</v>
      </c>
      <c r="H178" s="156">
        <v>100</v>
      </c>
      <c r="I178" s="127">
        <f>SUM('PEPE SIERRA '!$B178:$H178)</f>
        <v>549</v>
      </c>
      <c r="J178" s="127">
        <f>'PEPE SIERRA '!$I178/7</f>
        <v>78.428571428571431</v>
      </c>
      <c r="K178" s="152"/>
    </row>
    <row r="179" spans="1:11" x14ac:dyDescent="0.25">
      <c r="A179" s="77" t="s">
        <v>15</v>
      </c>
      <c r="B179" s="11">
        <v>0</v>
      </c>
      <c r="C179" s="13">
        <v>5</v>
      </c>
      <c r="D179" s="78">
        <v>20</v>
      </c>
      <c r="E179" s="60">
        <v>25</v>
      </c>
      <c r="F179" s="78">
        <v>41</v>
      </c>
      <c r="G179" s="78">
        <v>85</v>
      </c>
      <c r="H179" s="156">
        <v>99</v>
      </c>
      <c r="I179" s="127">
        <f>SUM('PEPE SIERRA '!$B179:$H179)</f>
        <v>275</v>
      </c>
      <c r="J179" s="127">
        <f>'PEPE SIERRA '!$I179/7</f>
        <v>39.285714285714285</v>
      </c>
      <c r="K179" s="152"/>
    </row>
    <row r="180" spans="1:11" x14ac:dyDescent="0.25">
      <c r="A180" s="77" t="s">
        <v>16</v>
      </c>
      <c r="B180" s="11">
        <v>0</v>
      </c>
      <c r="C180" s="13">
        <v>0</v>
      </c>
      <c r="D180" s="78">
        <v>0</v>
      </c>
      <c r="E180" s="60">
        <v>0</v>
      </c>
      <c r="F180" s="78">
        <v>1</v>
      </c>
      <c r="G180" s="78">
        <v>3</v>
      </c>
      <c r="H180" s="156">
        <v>7</v>
      </c>
      <c r="I180" s="127">
        <f>SUM('PEPE SIERRA '!$B180:$H180)</f>
        <v>11</v>
      </c>
      <c r="J180" s="127">
        <f>'PEPE SIERRA '!$I180/7</f>
        <v>1.5714285714285714</v>
      </c>
      <c r="K180" s="152"/>
    </row>
    <row r="181" spans="1:11" x14ac:dyDescent="0.25">
      <c r="A181" s="79" t="s">
        <v>17</v>
      </c>
      <c r="B181" s="16">
        <f t="shared" ref="B181:H181" si="61">SUM(B176:B180)</f>
        <v>137</v>
      </c>
      <c r="C181" s="17">
        <f t="shared" si="61"/>
        <v>169</v>
      </c>
      <c r="D181" s="80">
        <f t="shared" si="61"/>
        <v>168</v>
      </c>
      <c r="E181" s="61">
        <f t="shared" si="61"/>
        <v>143</v>
      </c>
      <c r="F181" s="80">
        <f t="shared" si="61"/>
        <v>296</v>
      </c>
      <c r="G181" s="80">
        <f t="shared" si="61"/>
        <v>365</v>
      </c>
      <c r="H181" s="61">
        <f t="shared" si="61"/>
        <v>397</v>
      </c>
      <c r="I181" s="80">
        <f>B181+C181+D181+E181+F181+G181+H181</f>
        <v>1675</v>
      </c>
      <c r="J181" s="158">
        <f>'PEPE SIERRA '!$I181/7</f>
        <v>239.28571428571428</v>
      </c>
      <c r="K181" s="152"/>
    </row>
    <row r="182" spans="1:11" x14ac:dyDescent="0.25">
      <c r="A182" s="77" t="s">
        <v>18</v>
      </c>
      <c r="B182" s="30">
        <v>0.92</v>
      </c>
      <c r="C182" s="159">
        <v>0.35</v>
      </c>
      <c r="D182" s="30">
        <v>0.43</v>
      </c>
      <c r="E182" s="160">
        <v>0.5</v>
      </c>
      <c r="F182" s="30">
        <v>0.53</v>
      </c>
      <c r="G182" s="30">
        <v>0.5</v>
      </c>
      <c r="H182" s="160">
        <v>0.5</v>
      </c>
      <c r="I182" s="30">
        <f>I189/I194</f>
        <v>0.51222188418791403</v>
      </c>
      <c r="J182" s="161">
        <f>J189/J194</f>
        <v>0.51222188418791403</v>
      </c>
      <c r="K182" s="152"/>
    </row>
    <row r="183" spans="1:11" x14ac:dyDescent="0.25">
      <c r="A183" s="77" t="s">
        <v>19</v>
      </c>
      <c r="B183" s="30">
        <v>0.01</v>
      </c>
      <c r="C183" s="159">
        <v>0.21</v>
      </c>
      <c r="D183" s="30">
        <v>7.0000000000000007E-2</v>
      </c>
      <c r="E183" s="160">
        <v>0</v>
      </c>
      <c r="F183" s="30">
        <v>0.05</v>
      </c>
      <c r="G183" s="30">
        <v>0.02</v>
      </c>
      <c r="H183" s="160">
        <v>0</v>
      </c>
      <c r="I183" s="30">
        <f>I190/I194</f>
        <v>4.0051357374743933E-2</v>
      </c>
      <c r="J183" s="161">
        <f>J190/J194</f>
        <v>4.005135737474394E-2</v>
      </c>
      <c r="K183" s="152"/>
    </row>
    <row r="184" spans="1:11" x14ac:dyDescent="0.25">
      <c r="A184" s="77" t="s">
        <v>20</v>
      </c>
      <c r="B184" s="162">
        <v>7.0000000000000007E-2</v>
      </c>
      <c r="C184" s="159">
        <v>0.42</v>
      </c>
      <c r="D184" s="30">
        <v>0.38</v>
      </c>
      <c r="E184" s="160">
        <v>0.32</v>
      </c>
      <c r="F184" s="30">
        <v>0.27</v>
      </c>
      <c r="G184" s="30">
        <v>0.24</v>
      </c>
      <c r="H184" s="160">
        <v>0.2</v>
      </c>
      <c r="I184" s="30">
        <f>I191/I194</f>
        <v>0.26190435568619425</v>
      </c>
      <c r="J184" s="161">
        <f>J191/J194</f>
        <v>0.2619043556861943</v>
      </c>
      <c r="K184" s="152"/>
    </row>
    <row r="185" spans="1:11" x14ac:dyDescent="0.25">
      <c r="A185" s="77" t="s">
        <v>21</v>
      </c>
      <c r="B185" s="30">
        <v>0</v>
      </c>
      <c r="C185" s="160">
        <v>0.02</v>
      </c>
      <c r="D185" s="30">
        <v>0.12</v>
      </c>
      <c r="E185" s="160">
        <v>0.18</v>
      </c>
      <c r="F185" s="30">
        <v>0.15</v>
      </c>
      <c r="G185" s="30">
        <v>0.23</v>
      </c>
      <c r="H185" s="160">
        <v>0.3</v>
      </c>
      <c r="I185" s="30">
        <f>I192/I194</f>
        <v>0.18342255795412485</v>
      </c>
      <c r="J185" s="161">
        <f>J192/J194</f>
        <v>0.18342255795412488</v>
      </c>
      <c r="K185" s="152"/>
    </row>
    <row r="186" spans="1:11" x14ac:dyDescent="0.25">
      <c r="A186" s="77" t="s">
        <v>22</v>
      </c>
      <c r="B186" s="30">
        <v>0</v>
      </c>
      <c r="C186" s="160">
        <v>0</v>
      </c>
      <c r="D186" s="30">
        <v>0</v>
      </c>
      <c r="E186" s="160">
        <v>0</v>
      </c>
      <c r="F186" s="30">
        <v>0</v>
      </c>
      <c r="G186" s="30">
        <v>0.01</v>
      </c>
      <c r="H186" s="160">
        <v>0</v>
      </c>
      <c r="I186" s="30">
        <f>I193/I194</f>
        <v>2.3998447970230174E-3</v>
      </c>
      <c r="J186" s="161">
        <f>J193/J194</f>
        <v>2.3998447970230174E-3</v>
      </c>
      <c r="K186" s="152"/>
    </row>
    <row r="187" spans="1:11" x14ac:dyDescent="0.25">
      <c r="A187" s="81" t="s">
        <v>23</v>
      </c>
      <c r="B187" s="66">
        <f>B198/B181</f>
        <v>24197.080291970804</v>
      </c>
      <c r="C187" s="163">
        <f t="shared" ref="C187:H187" si="62">C198/C181</f>
        <v>26931.360946745561</v>
      </c>
      <c r="D187" s="66">
        <f t="shared" si="62"/>
        <v>30397.619047619046</v>
      </c>
      <c r="E187" s="67">
        <f>E198/E181</f>
        <v>32084.61538461539</v>
      </c>
      <c r="F187" s="66">
        <f t="shared" si="62"/>
        <v>36745.273648648654</v>
      </c>
      <c r="G187" s="66">
        <f t="shared" si="62"/>
        <v>35318.904109589042</v>
      </c>
      <c r="H187" s="163">
        <f t="shared" si="62"/>
        <v>31486.901763224185</v>
      </c>
      <c r="I187" s="66">
        <f>I198/I181</f>
        <v>32137.075223880598</v>
      </c>
      <c r="J187" s="164">
        <f>J198/J181</f>
        <v>32137.075223880598</v>
      </c>
      <c r="K187" s="152"/>
    </row>
    <row r="188" spans="1:11" x14ac:dyDescent="0.25">
      <c r="A188" s="81" t="s">
        <v>24</v>
      </c>
      <c r="B188" s="66">
        <f t="shared" ref="B188:I188" si="63">+B198/B175</f>
        <v>29078.947368421053</v>
      </c>
      <c r="C188" s="163">
        <f t="shared" si="63"/>
        <v>36122.222222222219</v>
      </c>
      <c r="D188" s="66">
        <f t="shared" si="63"/>
        <v>33597.368421052633</v>
      </c>
      <c r="E188" s="67">
        <f>+E198/E175</f>
        <v>33007.913669064757</v>
      </c>
      <c r="F188" s="66" t="e">
        <f t="shared" si="63"/>
        <v>#DIV/0!</v>
      </c>
      <c r="G188" s="66">
        <f t="shared" si="63"/>
        <v>32390.452261306531</v>
      </c>
      <c r="H188" s="163">
        <f t="shared" si="63"/>
        <v>31095.273631840802</v>
      </c>
      <c r="I188" s="66">
        <f t="shared" si="63"/>
        <v>40442.97595792637</v>
      </c>
      <c r="J188" s="164">
        <f>J198/J175</f>
        <v>40442.97595792637</v>
      </c>
      <c r="K188" s="152"/>
    </row>
    <row r="189" spans="1:11" x14ac:dyDescent="0.25">
      <c r="A189" s="77" t="s">
        <v>25</v>
      </c>
      <c r="B189" s="135">
        <f>B194*B182</f>
        <v>2508199.3310344829</v>
      </c>
      <c r="C189" s="165">
        <f t="shared" ref="C189:H189" si="64">C194*C182</f>
        <v>1335554.7413793104</v>
      </c>
      <c r="D189" s="135">
        <f t="shared" si="64"/>
        <v>1825392.4810344826</v>
      </c>
      <c r="E189" s="165">
        <f t="shared" si="64"/>
        <v>1912979.3103448278</v>
      </c>
      <c r="F189" s="135">
        <f t="shared" si="64"/>
        <v>4803869.7413793113</v>
      </c>
      <c r="G189" s="135">
        <f t="shared" si="64"/>
        <v>5374540.431034483</v>
      </c>
      <c r="H189" s="166">
        <f t="shared" si="64"/>
        <v>5182257.8448275868</v>
      </c>
      <c r="I189" s="135">
        <f>SUM('PEPE SIERRA '!$B189:$H189)</f>
        <v>22942793.881034486</v>
      </c>
      <c r="J189" s="167">
        <f>'PEPE SIERRA '!$I189/7</f>
        <v>3277541.9830049267</v>
      </c>
      <c r="K189" s="152"/>
    </row>
    <row r="190" spans="1:11" x14ac:dyDescent="0.25">
      <c r="A190" s="77" t="s">
        <v>26</v>
      </c>
      <c r="B190" s="135">
        <f>B194*B183</f>
        <v>27263.036206896551</v>
      </c>
      <c r="C190" s="165">
        <f t="shared" ref="C190:H190" si="65">C194*C183</f>
        <v>801332.8448275862</v>
      </c>
      <c r="D190" s="135">
        <f t="shared" si="65"/>
        <v>297156.9155172414</v>
      </c>
      <c r="E190" s="165">
        <f t="shared" si="65"/>
        <v>0</v>
      </c>
      <c r="F190" s="135">
        <f t="shared" si="65"/>
        <v>453195.25862068974</v>
      </c>
      <c r="G190" s="135">
        <f t="shared" si="65"/>
        <v>214981.61724137934</v>
      </c>
      <c r="H190" s="166">
        <f t="shared" si="65"/>
        <v>0</v>
      </c>
      <c r="I190" s="135">
        <f>'PEPE SIERRA '!$B190+'PEPE SIERRA '!$C190+'PEPE SIERRA '!$D190+'PEPE SIERRA '!$E190+'PEPE SIERRA '!$F190+'PEPE SIERRA '!$G190+'PEPE SIERRA '!$H190</f>
        <v>1793929.6724137934</v>
      </c>
      <c r="J190" s="167">
        <f>'PEPE SIERRA '!$I190/7</f>
        <v>256275.66748768478</v>
      </c>
      <c r="K190" s="152"/>
    </row>
    <row r="191" spans="1:11" x14ac:dyDescent="0.25">
      <c r="A191" s="77" t="s">
        <v>27</v>
      </c>
      <c r="B191" s="135">
        <f>B194*B184</f>
        <v>190841.25344827588</v>
      </c>
      <c r="C191" s="165">
        <f t="shared" ref="C191:H191" si="66">C194*C184</f>
        <v>1602665.6896551724</v>
      </c>
      <c r="D191" s="135">
        <f t="shared" si="66"/>
        <v>1613137.5413793102</v>
      </c>
      <c r="E191" s="165">
        <f t="shared" si="66"/>
        <v>1224306.7586206899</v>
      </c>
      <c r="F191" s="135">
        <f t="shared" si="66"/>
        <v>2447254.3965517245</v>
      </c>
      <c r="G191" s="135">
        <f t="shared" si="66"/>
        <v>2579779.4068965516</v>
      </c>
      <c r="H191" s="166">
        <f t="shared" si="66"/>
        <v>2072903.1379310349</v>
      </c>
      <c r="I191" s="135">
        <f>'PEPE SIERRA '!$B191+'PEPE SIERRA '!$C191+'PEPE SIERRA '!$D191+'PEPE SIERRA '!$E191+'PEPE SIERRA '!$F191+'PEPE SIERRA '!$G191+'PEPE SIERRA '!$H191</f>
        <v>11730888.184482761</v>
      </c>
      <c r="J191" s="167">
        <f>'PEPE SIERRA '!$I191/7</f>
        <v>1675841.169211823</v>
      </c>
      <c r="K191" s="152"/>
    </row>
    <row r="192" spans="1:11" x14ac:dyDescent="0.25">
      <c r="A192" s="77" t="s">
        <v>28</v>
      </c>
      <c r="B192" s="135">
        <f>B194*B185</f>
        <v>0</v>
      </c>
      <c r="C192" s="166">
        <f t="shared" ref="C192:H192" si="67">C194*C185</f>
        <v>76317.413793103449</v>
      </c>
      <c r="D192" s="135">
        <f t="shared" si="67"/>
        <v>509411.85517241375</v>
      </c>
      <c r="E192" s="165">
        <f t="shared" si="67"/>
        <v>688672.55172413797</v>
      </c>
      <c r="F192" s="135">
        <f t="shared" si="67"/>
        <v>1359585.7758620691</v>
      </c>
      <c r="G192" s="135">
        <f t="shared" si="67"/>
        <v>2472288.5982758622</v>
      </c>
      <c r="H192" s="166">
        <f t="shared" si="67"/>
        <v>3109354.7068965519</v>
      </c>
      <c r="I192" s="135">
        <f>'PEPE SIERRA '!$B192+'PEPE SIERRA '!$C192+'PEPE SIERRA '!$D192+'PEPE SIERRA '!$E192+'PEPE SIERRA '!$F192+'PEPE SIERRA '!$G192+'PEPE SIERRA '!$H192</f>
        <v>8215630.9017241383</v>
      </c>
      <c r="J192" s="167">
        <f>'PEPE SIERRA '!$I192/7</f>
        <v>1173661.5573891627</v>
      </c>
      <c r="K192" s="152"/>
    </row>
    <row r="193" spans="1:12" x14ac:dyDescent="0.25">
      <c r="A193" s="77" t="s">
        <v>29</v>
      </c>
      <c r="B193" s="135">
        <f>B194*B186</f>
        <v>0</v>
      </c>
      <c r="C193" s="166">
        <f t="shared" ref="C193:H193" si="68">C194*C186</f>
        <v>0</v>
      </c>
      <c r="D193" s="135">
        <f t="shared" si="68"/>
        <v>0</v>
      </c>
      <c r="E193" s="165">
        <f t="shared" si="68"/>
        <v>0</v>
      </c>
      <c r="F193" s="135">
        <f t="shared" si="68"/>
        <v>0</v>
      </c>
      <c r="G193" s="135">
        <f t="shared" si="68"/>
        <v>107490.80862068967</v>
      </c>
      <c r="H193" s="166">
        <f t="shared" si="68"/>
        <v>0</v>
      </c>
      <c r="I193" s="135">
        <f>'PEPE SIERRA '!$B193+'PEPE SIERRA '!$C193+'PEPE SIERRA '!$D193+'PEPE SIERRA '!$E193+'PEPE SIERRA '!$F193+'PEPE SIERRA '!$G193+'PEPE SIERRA '!$H193</f>
        <v>107490.80862068967</v>
      </c>
      <c r="J193" s="167">
        <f>'PEPE SIERRA '!$I193/7</f>
        <v>15355.829802955666</v>
      </c>
      <c r="K193" s="152"/>
    </row>
    <row r="194" spans="1:12" x14ac:dyDescent="0.25">
      <c r="A194" s="82" t="s">
        <v>30</v>
      </c>
      <c r="B194" s="168">
        <f>(3315000/1.16)-B195</f>
        <v>2726303.6206896552</v>
      </c>
      <c r="C194" s="169">
        <f>(4551400/1.16)-C195</f>
        <v>3815870.6896551726</v>
      </c>
      <c r="D194" s="35">
        <f>(5106800/1.16)-D195</f>
        <v>4245098.7931034481</v>
      </c>
      <c r="E194" s="170">
        <f>(4588100/1.16)-E195</f>
        <v>3825958.6206896557</v>
      </c>
      <c r="F194" s="138">
        <f>(10876601/1.16)-F195</f>
        <v>9063905.1724137943</v>
      </c>
      <c r="G194" s="138">
        <f>(12891400/1.16)-G195</f>
        <v>10749080.862068966</v>
      </c>
      <c r="H194" s="171">
        <f>(12500300/1.16)-H195</f>
        <v>10364515.689655174</v>
      </c>
      <c r="I194" s="138">
        <f>'PEPE SIERRA '!$B194+'PEPE SIERRA '!$C194+'PEPE SIERRA '!$D194+'PEPE SIERRA '!$E194+'PEPE SIERRA '!$F194+'PEPE SIERRA '!$G194+'PEPE SIERRA '!$H194</f>
        <v>44790733.448275864</v>
      </c>
      <c r="J194" s="172">
        <f>'PEPE SIERRA '!$I194/7</f>
        <v>6398676.2068965519</v>
      </c>
      <c r="K194" s="152"/>
      <c r="L194" s="173"/>
    </row>
    <row r="195" spans="1:12" x14ac:dyDescent="0.25">
      <c r="A195" s="77" t="s">
        <v>31</v>
      </c>
      <c r="B195" s="135">
        <f t="shared" ref="B195:H195" si="69">2155*B176</f>
        <v>131455</v>
      </c>
      <c r="C195" s="174">
        <f t="shared" si="69"/>
        <v>107750</v>
      </c>
      <c r="D195" s="175">
        <f t="shared" si="69"/>
        <v>157315</v>
      </c>
      <c r="E195" s="165">
        <f t="shared" si="69"/>
        <v>129300</v>
      </c>
      <c r="F195" s="135">
        <f t="shared" si="69"/>
        <v>312475</v>
      </c>
      <c r="G195" s="135">
        <f t="shared" si="69"/>
        <v>364195</v>
      </c>
      <c r="H195" s="166">
        <f t="shared" si="69"/>
        <v>411605</v>
      </c>
      <c r="I195" s="135">
        <f>'PEPE SIERRA '!$B195+'PEPE SIERRA '!$C195+'PEPE SIERRA '!$D195+'PEPE SIERRA '!$E195+'PEPE SIERRA '!$F195+'PEPE SIERRA '!$G195+'PEPE SIERRA '!$H195</f>
        <v>1614095</v>
      </c>
      <c r="J195" s="167">
        <f>'PEPE SIERRA '!$I195/7</f>
        <v>230585</v>
      </c>
      <c r="K195" s="152"/>
      <c r="L195" s="89"/>
    </row>
    <row r="196" spans="1:12" x14ac:dyDescent="0.25">
      <c r="A196" s="83" t="s">
        <v>32</v>
      </c>
      <c r="B196" s="38">
        <f t="shared" ref="B196:H196" si="70">B194+B195</f>
        <v>2857758.6206896552</v>
      </c>
      <c r="C196" s="140">
        <f t="shared" si="70"/>
        <v>3923620.6896551726</v>
      </c>
      <c r="D196" s="39">
        <f t="shared" si="70"/>
        <v>4402413.7931034481</v>
      </c>
      <c r="E196" s="68">
        <f t="shared" si="70"/>
        <v>3955258.6206896557</v>
      </c>
      <c r="F196" s="38">
        <f t="shared" si="70"/>
        <v>9376380.1724137943</v>
      </c>
      <c r="G196" s="38">
        <f t="shared" si="70"/>
        <v>11113275.862068966</v>
      </c>
      <c r="H196" s="176">
        <f t="shared" si="70"/>
        <v>10776120.689655174</v>
      </c>
      <c r="I196" s="38">
        <f>'PEPE SIERRA '!$B196+'PEPE SIERRA '!$C196+'PEPE SIERRA '!$D196+'PEPE SIERRA '!$E196+'PEPE SIERRA '!$F196+'PEPE SIERRA '!$G196+'PEPE SIERRA '!$H196</f>
        <v>46404828.448275864</v>
      </c>
      <c r="J196" s="38">
        <f>'PEPE SIERRA '!$I196/7</f>
        <v>6629261.2068965519</v>
      </c>
      <c r="K196" s="152"/>
      <c r="L196" s="89"/>
    </row>
    <row r="197" spans="1:12" x14ac:dyDescent="0.25">
      <c r="A197" s="77" t="s">
        <v>33</v>
      </c>
      <c r="B197" s="135">
        <f t="shared" ref="B197:H197" si="71">B196*16%</f>
        <v>457241.37931034481</v>
      </c>
      <c r="C197" s="174">
        <f t="shared" si="71"/>
        <v>627779.31034482759</v>
      </c>
      <c r="D197" s="175">
        <f t="shared" si="71"/>
        <v>704386.20689655177</v>
      </c>
      <c r="E197" s="177">
        <f t="shared" si="71"/>
        <v>632841.37931034493</v>
      </c>
      <c r="F197" s="135">
        <f t="shared" si="71"/>
        <v>1500220.8275862071</v>
      </c>
      <c r="G197" s="135">
        <f t="shared" si="71"/>
        <v>1778124.1379310347</v>
      </c>
      <c r="H197" s="166">
        <f t="shared" si="71"/>
        <v>1724179.3103448278</v>
      </c>
      <c r="I197" s="135">
        <f>'PEPE SIERRA '!$B197+'PEPE SIERRA '!$C197+'PEPE SIERRA '!$D197+'PEPE SIERRA '!$E197+'PEPE SIERRA '!$F197+'PEPE SIERRA '!$G197+'PEPE SIERRA '!$H197</f>
        <v>7424772.5517241377</v>
      </c>
      <c r="J197" s="167">
        <f>'PEPE SIERRA '!$I197/7</f>
        <v>1060681.7931034483</v>
      </c>
      <c r="K197" s="152"/>
      <c r="L197" s="89"/>
    </row>
    <row r="198" spans="1:12" x14ac:dyDescent="0.25">
      <c r="A198" s="84" t="s">
        <v>34</v>
      </c>
      <c r="B198" s="178">
        <f t="shared" ref="B198:H198" si="72">B196+B197</f>
        <v>3315000</v>
      </c>
      <c r="C198" s="179">
        <f t="shared" si="72"/>
        <v>4551400</v>
      </c>
      <c r="D198" s="180">
        <f t="shared" si="72"/>
        <v>5106800</v>
      </c>
      <c r="E198" s="181">
        <f t="shared" si="72"/>
        <v>4588100.0000000009</v>
      </c>
      <c r="F198" s="178">
        <f t="shared" si="72"/>
        <v>10876601.000000002</v>
      </c>
      <c r="G198" s="178">
        <f t="shared" si="72"/>
        <v>12891400</v>
      </c>
      <c r="H198" s="182">
        <f t="shared" si="72"/>
        <v>12500300.000000002</v>
      </c>
      <c r="I198" s="178">
        <f>'PEPE SIERRA '!$B198+'PEPE SIERRA '!$C198+'PEPE SIERRA '!$D198+'PEPE SIERRA '!$E198+'PEPE SIERRA '!$F198+'PEPE SIERRA '!$G198+'PEPE SIERRA '!$H198</f>
        <v>53829601</v>
      </c>
      <c r="J198" s="178">
        <f>'PEPE SIERRA '!$I198/7</f>
        <v>7689943</v>
      </c>
      <c r="K198" s="152"/>
      <c r="L198" s="89"/>
    </row>
    <row r="199" spans="1:12" x14ac:dyDescent="0.25">
      <c r="A199" s="149"/>
      <c r="B199" s="70"/>
      <c r="C199" s="70"/>
      <c r="D199" s="183"/>
      <c r="E199" s="183"/>
      <c r="F199" s="183"/>
      <c r="G199" s="183"/>
      <c r="H199" s="70"/>
      <c r="I199" s="70"/>
      <c r="J199" s="184"/>
    </row>
    <row r="200" spans="1:12" ht="15.75" thickBot="1" x14ac:dyDescent="0.3">
      <c r="A200" s="149"/>
      <c r="B200" s="185"/>
      <c r="C200" s="185"/>
      <c r="D200" s="150"/>
      <c r="E200" s="150"/>
      <c r="F200" s="150"/>
      <c r="G200" s="150"/>
      <c r="H200" s="185"/>
      <c r="I200" s="185"/>
    </row>
    <row r="201" spans="1:12" s="186" customFormat="1" ht="27" thickBot="1" x14ac:dyDescent="0.3">
      <c r="A201"/>
      <c r="B201" s="1004" t="s">
        <v>88</v>
      </c>
      <c r="C201" s="1004"/>
      <c r="D201" s="1004"/>
      <c r="E201" s="1004"/>
      <c r="F201" s="1004"/>
      <c r="G201" s="1004"/>
      <c r="H201" s="1004"/>
      <c r="I201"/>
      <c r="J201"/>
    </row>
    <row r="202" spans="1:12" s="186" customFormat="1" ht="15.75" x14ac:dyDescent="0.25">
      <c r="A202" s="187" t="s">
        <v>2</v>
      </c>
      <c r="B202" s="50" t="s">
        <v>89</v>
      </c>
      <c r="C202" s="50" t="s">
        <v>90</v>
      </c>
      <c r="D202" s="51" t="s">
        <v>91</v>
      </c>
      <c r="E202" s="52" t="s">
        <v>92</v>
      </c>
      <c r="F202" s="50" t="s">
        <v>93</v>
      </c>
      <c r="G202" s="51" t="s">
        <v>94</v>
      </c>
      <c r="H202" s="50" t="s">
        <v>95</v>
      </c>
      <c r="I202" s="50" t="s">
        <v>96</v>
      </c>
      <c r="J202" s="52" t="s">
        <v>97</v>
      </c>
    </row>
    <row r="203" spans="1:12" s="186" customFormat="1" x14ac:dyDescent="0.25">
      <c r="A203" s="188" t="s">
        <v>11</v>
      </c>
      <c r="B203" s="189">
        <v>96</v>
      </c>
      <c r="C203" s="189">
        <v>170</v>
      </c>
      <c r="D203" s="189">
        <f>92+50+11</f>
        <v>153</v>
      </c>
      <c r="E203" s="190">
        <v>166</v>
      </c>
      <c r="F203" s="190">
        <v>238</v>
      </c>
      <c r="G203" s="190">
        <v>421</v>
      </c>
      <c r="H203" s="190">
        <v>471</v>
      </c>
      <c r="I203" s="190">
        <f>SUM(B203:H203)</f>
        <v>1715</v>
      </c>
      <c r="J203" s="191">
        <f>+I203/7</f>
        <v>245</v>
      </c>
      <c r="L203" s="186">
        <f>'PEPE SIERRA '!$F203+'PEPE SIERRA '!$G203+'PEPE SIERRA '!$H203+I234+I262+I290+I318</f>
        <v>8312</v>
      </c>
    </row>
    <row r="204" spans="1:12" s="186" customFormat="1" x14ac:dyDescent="0.25">
      <c r="A204" s="146" t="s">
        <v>12</v>
      </c>
      <c r="B204" s="11">
        <v>72</v>
      </c>
      <c r="C204" s="11">
        <v>69</v>
      </c>
      <c r="D204" s="11">
        <v>59</v>
      </c>
      <c r="E204" s="11">
        <v>64</v>
      </c>
      <c r="F204" s="11">
        <v>203</v>
      </c>
      <c r="G204" s="11">
        <v>202</v>
      </c>
      <c r="H204" s="11">
        <v>249</v>
      </c>
      <c r="I204" s="11">
        <f>SUM('PEPE SIERRA '!$B204:$H204)</f>
        <v>918</v>
      </c>
      <c r="J204" s="78">
        <f t="shared" ref="J204:J209" si="73">I204/7</f>
        <v>131.14285714285714</v>
      </c>
      <c r="L204" s="186">
        <f>F209+G209+H209+I240+I268+I296+I324</f>
        <v>7975</v>
      </c>
    </row>
    <row r="205" spans="1:12" s="186" customFormat="1" x14ac:dyDescent="0.25">
      <c r="A205" s="146" t="s">
        <v>13</v>
      </c>
      <c r="B205" s="11">
        <v>0</v>
      </c>
      <c r="C205" s="11">
        <v>5</v>
      </c>
      <c r="D205" s="11">
        <v>0</v>
      </c>
      <c r="E205" s="11">
        <v>2</v>
      </c>
      <c r="F205" s="11">
        <v>1</v>
      </c>
      <c r="G205" s="11">
        <v>10</v>
      </c>
      <c r="H205" s="11">
        <v>1</v>
      </c>
      <c r="I205" s="11">
        <f>SUM('PEPE SIERRA '!$B205:$H205)</f>
        <v>19</v>
      </c>
      <c r="J205" s="78">
        <f t="shared" si="73"/>
        <v>2.7142857142857144</v>
      </c>
    </row>
    <row r="206" spans="1:12" s="186" customFormat="1" x14ac:dyDescent="0.25">
      <c r="A206" s="146" t="s">
        <v>14</v>
      </c>
      <c r="B206" s="11">
        <v>58</v>
      </c>
      <c r="C206" s="11">
        <v>61</v>
      </c>
      <c r="D206" s="11">
        <v>72</v>
      </c>
      <c r="E206" s="11">
        <v>65</v>
      </c>
      <c r="F206" s="11">
        <v>92</v>
      </c>
      <c r="G206" s="11">
        <v>99</v>
      </c>
      <c r="H206" s="11">
        <v>111</v>
      </c>
      <c r="I206" s="11">
        <f>SUM('PEPE SIERRA '!$B206:$H206)</f>
        <v>558</v>
      </c>
      <c r="J206" s="78">
        <f t="shared" si="73"/>
        <v>79.714285714285708</v>
      </c>
    </row>
    <row r="207" spans="1:12" s="186" customFormat="1" x14ac:dyDescent="0.25">
      <c r="A207" s="146" t="s">
        <v>15</v>
      </c>
      <c r="B207" s="11">
        <v>23</v>
      </c>
      <c r="C207" s="11">
        <v>33</v>
      </c>
      <c r="D207" s="11">
        <v>27</v>
      </c>
      <c r="E207" s="11">
        <v>32</v>
      </c>
      <c r="F207" s="11">
        <v>56</v>
      </c>
      <c r="G207" s="11">
        <v>63</v>
      </c>
      <c r="H207" s="11">
        <v>84</v>
      </c>
      <c r="I207" s="11">
        <f>SUM('PEPE SIERRA '!$B207:$H207)</f>
        <v>318</v>
      </c>
      <c r="J207" s="78">
        <f t="shared" si="73"/>
        <v>45.428571428571431</v>
      </c>
    </row>
    <row r="208" spans="1:12" s="186" customFormat="1" x14ac:dyDescent="0.25">
      <c r="A208" s="146" t="s">
        <v>16</v>
      </c>
      <c r="B208" s="11">
        <v>0</v>
      </c>
      <c r="C208" s="11">
        <v>6</v>
      </c>
      <c r="D208" s="11">
        <v>1</v>
      </c>
      <c r="E208" s="11">
        <v>1</v>
      </c>
      <c r="F208" s="11">
        <v>56</v>
      </c>
      <c r="G208" s="11">
        <v>4</v>
      </c>
      <c r="H208" s="11">
        <v>2</v>
      </c>
      <c r="I208" s="11">
        <f>SUM('PEPE SIERRA '!$B208:$H208)</f>
        <v>70</v>
      </c>
      <c r="J208" s="78">
        <f t="shared" si="73"/>
        <v>10</v>
      </c>
    </row>
    <row r="209" spans="1:12" s="186" customFormat="1" x14ac:dyDescent="0.25">
      <c r="A209" s="103" t="s">
        <v>17</v>
      </c>
      <c r="B209" s="192">
        <f>SUM(B204:B208)</f>
        <v>153</v>
      </c>
      <c r="C209" s="192">
        <f t="shared" ref="C209:I209" si="74">SUM(C204:C208)</f>
        <v>174</v>
      </c>
      <c r="D209" s="192">
        <f t="shared" si="74"/>
        <v>159</v>
      </c>
      <c r="E209" s="192">
        <f t="shared" si="74"/>
        <v>164</v>
      </c>
      <c r="F209" s="192">
        <f t="shared" si="74"/>
        <v>408</v>
      </c>
      <c r="G209" s="192">
        <f t="shared" si="74"/>
        <v>378</v>
      </c>
      <c r="H209" s="192">
        <f t="shared" si="74"/>
        <v>447</v>
      </c>
      <c r="I209" s="192">
        <f t="shared" si="74"/>
        <v>1883</v>
      </c>
      <c r="J209" s="193">
        <f t="shared" si="73"/>
        <v>269</v>
      </c>
    </row>
    <row r="210" spans="1:12" s="186" customFormat="1" x14ac:dyDescent="0.25">
      <c r="A210" s="146" t="s">
        <v>18</v>
      </c>
      <c r="B210" s="30">
        <v>0.52</v>
      </c>
      <c r="C210" s="30">
        <v>0.41</v>
      </c>
      <c r="D210" s="30">
        <v>0.42</v>
      </c>
      <c r="E210" s="30">
        <v>0.47</v>
      </c>
      <c r="F210" s="30">
        <v>0.26</v>
      </c>
      <c r="G210" s="30">
        <v>0.54</v>
      </c>
      <c r="H210" s="30">
        <v>0.56999999999999995</v>
      </c>
      <c r="I210" s="30">
        <f>I217/I222</f>
        <v>0.4754422599494873</v>
      </c>
      <c r="J210" s="30">
        <f>J217/J222</f>
        <v>0.4754422599494873</v>
      </c>
    </row>
    <row r="211" spans="1:12" s="186" customFormat="1" x14ac:dyDescent="0.25">
      <c r="A211" s="146" t="s">
        <v>19</v>
      </c>
      <c r="B211" s="30">
        <v>0</v>
      </c>
      <c r="C211" s="30">
        <v>0.02</v>
      </c>
      <c r="D211" s="30">
        <v>0</v>
      </c>
      <c r="E211" s="30">
        <v>0.02</v>
      </c>
      <c r="F211" s="30">
        <v>0</v>
      </c>
      <c r="G211" s="30">
        <v>0.03</v>
      </c>
      <c r="H211" s="30">
        <v>0</v>
      </c>
      <c r="I211" s="30">
        <f>I218/I222</f>
        <v>1.070963944060622E-2</v>
      </c>
      <c r="J211" s="30">
        <f>J218/J222</f>
        <v>1.070963944060622E-2</v>
      </c>
    </row>
    <row r="212" spans="1:12" s="186" customFormat="1" x14ac:dyDescent="0.25">
      <c r="A212" s="146" t="s">
        <v>20</v>
      </c>
      <c r="B212" s="30">
        <v>0.33</v>
      </c>
      <c r="C212" s="30">
        <v>0.36</v>
      </c>
      <c r="D212" s="30">
        <v>0.38</v>
      </c>
      <c r="E212" s="30">
        <v>0.33</v>
      </c>
      <c r="F212" s="30">
        <v>0.32</v>
      </c>
      <c r="G212" s="30">
        <v>0.21</v>
      </c>
      <c r="H212" s="30">
        <v>0.24</v>
      </c>
      <c r="I212" s="30">
        <f>I219/I222</f>
        <v>0.28315337641191329</v>
      </c>
      <c r="J212" s="30">
        <f>J219/J222</f>
        <v>0.28315337641191329</v>
      </c>
    </row>
    <row r="213" spans="1:12" s="186" customFormat="1" x14ac:dyDescent="0.25">
      <c r="A213" s="146" t="s">
        <v>21</v>
      </c>
      <c r="B213" s="30">
        <v>0.15</v>
      </c>
      <c r="C213" s="30">
        <v>0.17</v>
      </c>
      <c r="D213" s="30">
        <v>0.2</v>
      </c>
      <c r="E213" s="30">
        <v>0.17</v>
      </c>
      <c r="F213" s="30">
        <v>0.26</v>
      </c>
      <c r="G213" s="30">
        <v>0.22</v>
      </c>
      <c r="H213" s="30">
        <v>0.19</v>
      </c>
      <c r="I213" s="30">
        <f>I220/I222</f>
        <v>0.2019671077324528</v>
      </c>
      <c r="J213" s="30">
        <f>J220/J222</f>
        <v>0.2019671077324528</v>
      </c>
      <c r="L213" s="194">
        <f>F226+G226+H226</f>
        <v>37636800</v>
      </c>
    </row>
    <row r="214" spans="1:12" s="186" customFormat="1" x14ac:dyDescent="0.25">
      <c r="A214" s="146" t="s">
        <v>22</v>
      </c>
      <c r="B214" s="30">
        <v>0</v>
      </c>
      <c r="C214" s="30">
        <v>0.04</v>
      </c>
      <c r="D214" s="30">
        <v>0</v>
      </c>
      <c r="E214" s="30">
        <v>0.01</v>
      </c>
      <c r="F214" s="30">
        <v>0.16</v>
      </c>
      <c r="G214" s="30">
        <v>0</v>
      </c>
      <c r="H214" s="30">
        <v>0</v>
      </c>
      <c r="I214" s="30">
        <f>I221/I222</f>
        <v>2.8727616465540465E-2</v>
      </c>
      <c r="J214" s="30">
        <f>J221/J222</f>
        <v>2.8727616465540465E-2</v>
      </c>
      <c r="L214" s="194">
        <f>I257+I285+I313+I341</f>
        <v>226209000</v>
      </c>
    </row>
    <row r="215" spans="1:12" s="186" customFormat="1" x14ac:dyDescent="0.25">
      <c r="A215" s="195" t="s">
        <v>23</v>
      </c>
      <c r="B215" s="66">
        <f>B226/B209</f>
        <v>25349.67320261438</v>
      </c>
      <c r="C215" s="66">
        <f t="shared" ref="C215:H215" si="75">C226/C209</f>
        <v>30572.413793103453</v>
      </c>
      <c r="D215" s="66">
        <f t="shared" si="75"/>
        <v>31572.327044025158</v>
      </c>
      <c r="E215" s="66">
        <f t="shared" si="75"/>
        <v>31810.365853658543</v>
      </c>
      <c r="F215" s="66">
        <f t="shared" si="75"/>
        <v>21420.833333333332</v>
      </c>
      <c r="G215" s="66">
        <f t="shared" si="75"/>
        <v>35071.428571428572</v>
      </c>
      <c r="H215" s="66">
        <f t="shared" si="75"/>
        <v>34989.038031319913</v>
      </c>
      <c r="I215" s="66">
        <f>I226/I209</f>
        <v>30308.975039830057</v>
      </c>
      <c r="J215" s="66">
        <f>J226/J209</f>
        <v>30308.975039830057</v>
      </c>
      <c r="L215" s="194">
        <f>SUM(L213:L214)</f>
        <v>263845800</v>
      </c>
    </row>
    <row r="216" spans="1:12" s="186" customFormat="1" x14ac:dyDescent="0.25">
      <c r="A216" s="195" t="s">
        <v>24</v>
      </c>
      <c r="B216" s="66">
        <f t="shared" ref="B216:I216" si="76">+B226/B203</f>
        <v>40401.041666666664</v>
      </c>
      <c r="C216" s="66">
        <f t="shared" si="76"/>
        <v>31291.764705882357</v>
      </c>
      <c r="D216" s="66">
        <f t="shared" si="76"/>
        <v>32810.457516339869</v>
      </c>
      <c r="E216" s="66">
        <f t="shared" si="76"/>
        <v>31427.108433734946</v>
      </c>
      <c r="F216" s="66">
        <f t="shared" si="76"/>
        <v>36721.428571428572</v>
      </c>
      <c r="G216" s="66">
        <f t="shared" si="76"/>
        <v>31489.311163895487</v>
      </c>
      <c r="H216" s="66">
        <f t="shared" si="76"/>
        <v>33206.15711252654</v>
      </c>
      <c r="I216" s="66">
        <f t="shared" si="76"/>
        <v>33278.017492711369</v>
      </c>
      <c r="J216" s="66">
        <f>J226/J203</f>
        <v>33278.017492711369</v>
      </c>
    </row>
    <row r="217" spans="1:12" s="186" customFormat="1" x14ac:dyDescent="0.25">
      <c r="A217" s="146" t="s">
        <v>25</v>
      </c>
      <c r="B217" s="92">
        <f t="shared" ref="B217:H217" si="77">B222*B210</f>
        <v>1657954.7310344828</v>
      </c>
      <c r="C217" s="92">
        <f t="shared" si="77"/>
        <v>1819238.4982758623</v>
      </c>
      <c r="D217" s="92">
        <f t="shared" si="77"/>
        <v>1764185.3068965517</v>
      </c>
      <c r="E217" s="92">
        <f t="shared" si="77"/>
        <v>2048921.5655172416</v>
      </c>
      <c r="F217" s="92">
        <f t="shared" si="77"/>
        <v>1845157.3758620692</v>
      </c>
      <c r="G217" s="31">
        <f t="shared" si="77"/>
        <v>5936294.6689655185</v>
      </c>
      <c r="H217" s="31">
        <f t="shared" si="77"/>
        <v>7379362.4017241374</v>
      </c>
      <c r="I217" s="31">
        <f t="shared" ref="I217:I222" si="78">SUM(B217:H217)</f>
        <v>22451114.548275866</v>
      </c>
      <c r="J217" s="31">
        <f t="shared" ref="J217:J226" si="79">I217/7</f>
        <v>3207302.0783251235</v>
      </c>
      <c r="K217" s="194"/>
    </row>
    <row r="218" spans="1:12" s="186" customFormat="1" x14ac:dyDescent="0.25">
      <c r="A218" s="146" t="s">
        <v>26</v>
      </c>
      <c r="B218" s="92">
        <f t="shared" ref="B218:H218" si="80">B222*B211</f>
        <v>0</v>
      </c>
      <c r="C218" s="92">
        <f t="shared" si="80"/>
        <v>88743.341379310354</v>
      </c>
      <c r="D218" s="92">
        <f t="shared" si="80"/>
        <v>0</v>
      </c>
      <c r="E218" s="92">
        <f t="shared" si="80"/>
        <v>87188.151724137948</v>
      </c>
      <c r="F218" s="92">
        <f t="shared" si="80"/>
        <v>0</v>
      </c>
      <c r="G218" s="31">
        <f t="shared" si="80"/>
        <v>329794.1482758621</v>
      </c>
      <c r="H218" s="31">
        <f t="shared" si="80"/>
        <v>0</v>
      </c>
      <c r="I218" s="31">
        <f t="shared" si="78"/>
        <v>505725.6413793104</v>
      </c>
      <c r="J218" s="31">
        <f t="shared" si="79"/>
        <v>72246.520197044345</v>
      </c>
      <c r="K218" s="194"/>
    </row>
    <row r="219" spans="1:12" s="186" customFormat="1" x14ac:dyDescent="0.25">
      <c r="A219" s="146" t="s">
        <v>27</v>
      </c>
      <c r="B219" s="92">
        <f t="shared" ref="B219:H219" si="81">B222*B212</f>
        <v>1052163.579310345</v>
      </c>
      <c r="C219" s="92">
        <f t="shared" si="81"/>
        <v>1597380.1448275864</v>
      </c>
      <c r="D219" s="92">
        <f t="shared" si="81"/>
        <v>1596167.6586206898</v>
      </c>
      <c r="E219" s="92">
        <f t="shared" si="81"/>
        <v>1438604.5034482761</v>
      </c>
      <c r="F219" s="92">
        <f t="shared" si="81"/>
        <v>2270962.9241379313</v>
      </c>
      <c r="G219" s="31">
        <f t="shared" si="81"/>
        <v>2308559.0379310343</v>
      </c>
      <c r="H219" s="31">
        <f t="shared" si="81"/>
        <v>3107099.9586206898</v>
      </c>
      <c r="I219" s="31">
        <f t="shared" si="78"/>
        <v>13370937.806896552</v>
      </c>
      <c r="J219" s="31">
        <f t="shared" si="79"/>
        <v>1910133.9724137932</v>
      </c>
      <c r="K219" s="194"/>
    </row>
    <row r="220" spans="1:12" s="186" customFormat="1" x14ac:dyDescent="0.25">
      <c r="A220" s="146" t="s">
        <v>28</v>
      </c>
      <c r="B220" s="92">
        <f t="shared" ref="B220:H220" si="82">B222*B213</f>
        <v>478256.1724137931</v>
      </c>
      <c r="C220" s="92">
        <f t="shared" si="82"/>
        <v>754318.40172413806</v>
      </c>
      <c r="D220" s="92">
        <f t="shared" si="82"/>
        <v>840088.24137931038</v>
      </c>
      <c r="E220" s="92">
        <f t="shared" si="82"/>
        <v>741099.28965517262</v>
      </c>
      <c r="F220" s="92">
        <f t="shared" si="82"/>
        <v>1845157.3758620692</v>
      </c>
      <c r="G220" s="31">
        <f t="shared" si="82"/>
        <v>2418490.4206896555</v>
      </c>
      <c r="H220" s="31">
        <f t="shared" si="82"/>
        <v>2459787.4672413794</v>
      </c>
      <c r="I220" s="31">
        <f t="shared" si="78"/>
        <v>9537197.3689655177</v>
      </c>
      <c r="J220" s="31">
        <f t="shared" si="79"/>
        <v>1362456.766995074</v>
      </c>
      <c r="K220" s="194"/>
    </row>
    <row r="221" spans="1:12" s="186" customFormat="1" x14ac:dyDescent="0.25">
      <c r="A221" s="146" t="s">
        <v>29</v>
      </c>
      <c r="B221" s="92">
        <f>B225*B214</f>
        <v>0</v>
      </c>
      <c r="C221" s="92">
        <f t="shared" ref="C221:H221" si="83">C222*C214</f>
        <v>177486.68275862071</v>
      </c>
      <c r="D221" s="92">
        <f t="shared" si="83"/>
        <v>0</v>
      </c>
      <c r="E221" s="92">
        <f t="shared" si="83"/>
        <v>43594.075862068974</v>
      </c>
      <c r="F221" s="92">
        <f t="shared" si="83"/>
        <v>1135481.4620689657</v>
      </c>
      <c r="G221" s="31">
        <f t="shared" si="83"/>
        <v>0</v>
      </c>
      <c r="H221" s="31">
        <f t="shared" si="83"/>
        <v>0</v>
      </c>
      <c r="I221" s="31">
        <f t="shared" si="78"/>
        <v>1356562.2206896553</v>
      </c>
      <c r="J221" s="31">
        <f t="shared" si="79"/>
        <v>193794.60295566503</v>
      </c>
      <c r="K221" s="194"/>
    </row>
    <row r="222" spans="1:12" s="186" customFormat="1" x14ac:dyDescent="0.25">
      <c r="A222" s="196" t="s">
        <v>30</v>
      </c>
      <c r="B222" s="91">
        <f>(3878500/1.16)-B223</f>
        <v>3188374.4827586208</v>
      </c>
      <c r="C222" s="91">
        <f>(5319600/1.16)-C223</f>
        <v>4437167.0689655179</v>
      </c>
      <c r="D222" s="91">
        <f>(5020000/1.16)-D223</f>
        <v>4200441.2068965519</v>
      </c>
      <c r="E222" s="91">
        <f>(5216900/1.16)-E223</f>
        <v>4359407.5862068972</v>
      </c>
      <c r="F222" s="91">
        <f>(8739700/1.16)-F223</f>
        <v>7096759.1379310349</v>
      </c>
      <c r="G222" s="197">
        <f>(13257000/1.16)-G223</f>
        <v>10993138.27586207</v>
      </c>
      <c r="H222" s="197">
        <f>(15640100/1.16)-H223</f>
        <v>12946249.827586208</v>
      </c>
      <c r="I222" s="197">
        <f t="shared" si="78"/>
        <v>47221537.586206898</v>
      </c>
      <c r="J222" s="197">
        <f t="shared" si="79"/>
        <v>6745933.9408866996</v>
      </c>
      <c r="K222" s="194"/>
    </row>
    <row r="223" spans="1:12" s="186" customFormat="1" x14ac:dyDescent="0.25">
      <c r="A223" s="146" t="s">
        <v>31</v>
      </c>
      <c r="B223" s="92">
        <f t="shared" ref="B223:I223" si="84">2155*B204</f>
        <v>155160</v>
      </c>
      <c r="C223" s="92">
        <f t="shared" si="84"/>
        <v>148695</v>
      </c>
      <c r="D223" s="92">
        <f t="shared" si="84"/>
        <v>127145</v>
      </c>
      <c r="E223" s="92">
        <f t="shared" si="84"/>
        <v>137920</v>
      </c>
      <c r="F223" s="92">
        <f t="shared" si="84"/>
        <v>437465</v>
      </c>
      <c r="G223" s="92">
        <f t="shared" si="84"/>
        <v>435310</v>
      </c>
      <c r="H223" s="92">
        <f t="shared" si="84"/>
        <v>536595</v>
      </c>
      <c r="I223" s="31">
        <f t="shared" si="84"/>
        <v>1978290</v>
      </c>
      <c r="J223" s="31">
        <f t="shared" si="79"/>
        <v>282612.85714285716</v>
      </c>
    </row>
    <row r="224" spans="1:12" s="186" customFormat="1" x14ac:dyDescent="0.25">
      <c r="A224" s="198" t="s">
        <v>32</v>
      </c>
      <c r="B224" s="199">
        <f>B223+B222</f>
        <v>3343534.4827586208</v>
      </c>
      <c r="C224" s="199">
        <f t="shared" ref="C224:I224" si="85">C223+C222</f>
        <v>4585862.0689655179</v>
      </c>
      <c r="D224" s="199">
        <f t="shared" si="85"/>
        <v>4327586.2068965519</v>
      </c>
      <c r="E224" s="199">
        <f t="shared" si="85"/>
        <v>4497327.5862068972</v>
      </c>
      <c r="F224" s="199">
        <f>F222+F223</f>
        <v>7534224.1379310349</v>
      </c>
      <c r="G224" s="199">
        <f t="shared" si="85"/>
        <v>11428448.27586207</v>
      </c>
      <c r="H224" s="199">
        <f t="shared" si="85"/>
        <v>13482844.827586208</v>
      </c>
      <c r="I224" s="199">
        <f t="shared" si="85"/>
        <v>49199827.586206898</v>
      </c>
      <c r="J224" s="200">
        <f t="shared" si="79"/>
        <v>7028546.7980295569</v>
      </c>
    </row>
    <row r="225" spans="1:12" s="186" customFormat="1" x14ac:dyDescent="0.25">
      <c r="A225" s="146" t="s">
        <v>33</v>
      </c>
      <c r="B225" s="94">
        <f>B224*16%</f>
        <v>534965.51724137936</v>
      </c>
      <c r="C225" s="94">
        <f t="shared" ref="C225:H225" si="86">C224*16%</f>
        <v>733737.9310344829</v>
      </c>
      <c r="D225" s="94">
        <f t="shared" si="86"/>
        <v>692413.79310344835</v>
      </c>
      <c r="E225" s="94">
        <f t="shared" si="86"/>
        <v>719572.41379310354</v>
      </c>
      <c r="F225" s="94">
        <f t="shared" si="86"/>
        <v>1205475.8620689656</v>
      </c>
      <c r="G225" s="94">
        <f t="shared" si="86"/>
        <v>1828551.7241379311</v>
      </c>
      <c r="H225" s="94">
        <f t="shared" si="86"/>
        <v>2157255.1724137934</v>
      </c>
      <c r="I225" s="94">
        <f>I224*16%</f>
        <v>7871972.4137931038</v>
      </c>
      <c r="J225" s="31">
        <f t="shared" si="79"/>
        <v>1124567.487684729</v>
      </c>
    </row>
    <row r="226" spans="1:12" s="186" customFormat="1" x14ac:dyDescent="0.25">
      <c r="A226" s="201" t="s">
        <v>34</v>
      </c>
      <c r="B226" s="202">
        <f>B224+B225</f>
        <v>3878500</v>
      </c>
      <c r="C226" s="202">
        <f t="shared" ref="C226:H226" si="87">C224+C225</f>
        <v>5319600.0000000009</v>
      </c>
      <c r="D226" s="202">
        <f t="shared" si="87"/>
        <v>5020000</v>
      </c>
      <c r="E226" s="202">
        <f t="shared" si="87"/>
        <v>5216900.0000000009</v>
      </c>
      <c r="F226" s="202">
        <f t="shared" si="87"/>
        <v>8739700</v>
      </c>
      <c r="G226" s="202">
        <f t="shared" si="87"/>
        <v>13257000</v>
      </c>
      <c r="H226" s="202">
        <f t="shared" si="87"/>
        <v>15640100</v>
      </c>
      <c r="I226" s="202">
        <f>I224+I225</f>
        <v>57071800</v>
      </c>
      <c r="J226" s="203">
        <f t="shared" si="79"/>
        <v>8153114.2857142854</v>
      </c>
      <c r="L226" s="186">
        <f>'PEPE SIERRA '!$B226+'PEPE SIERRA '!$C226+'PEPE SIERRA '!$D226+'PEPE SIERRA '!$E226</f>
        <v>19435000</v>
      </c>
    </row>
    <row r="227" spans="1:12" s="186" customFormat="1" x14ac:dyDescent="0.25">
      <c r="A227" s="204"/>
      <c r="B227" s="112"/>
      <c r="C227" s="112"/>
      <c r="D227" s="112"/>
      <c r="E227" s="112"/>
      <c r="F227" s="112"/>
      <c r="G227" s="112"/>
      <c r="H227" s="112"/>
      <c r="I227" s="112"/>
      <c r="J227" s="205"/>
    </row>
    <row r="228" spans="1:12" s="186" customFormat="1" x14ac:dyDescent="0.25">
      <c r="A228" s="204"/>
      <c r="B228" s="112"/>
      <c r="C228" s="112"/>
      <c r="D228" s="112"/>
      <c r="E228" s="112"/>
      <c r="F228" s="112"/>
      <c r="G228" s="112"/>
      <c r="H228" s="112"/>
      <c r="I228" s="112"/>
      <c r="J228" s="205"/>
    </row>
    <row r="229" spans="1:12" s="186" customFormat="1" x14ac:dyDescent="0.25">
      <c r="A229" s="204"/>
      <c r="B229" s="112"/>
      <c r="C229" s="112"/>
      <c r="D229" s="112"/>
      <c r="E229" s="112"/>
      <c r="F229" s="112"/>
      <c r="G229" s="112"/>
      <c r="H229" s="112"/>
      <c r="I229" s="112"/>
      <c r="J229" s="205"/>
    </row>
    <row r="230" spans="1:12" s="186" customFormat="1" x14ac:dyDescent="0.25">
      <c r="A230"/>
      <c r="B230" s="89"/>
      <c r="C230"/>
      <c r="D230"/>
      <c r="E230"/>
      <c r="F230"/>
    </row>
    <row r="231" spans="1:12" s="186" customFormat="1" ht="15.75" thickBot="1" x14ac:dyDescent="0.3">
      <c r="A231"/>
      <c r="B231" s="89"/>
      <c r="C231"/>
      <c r="D231"/>
      <c r="E231"/>
      <c r="F231"/>
    </row>
    <row r="232" spans="1:12" s="186" customFormat="1" ht="27" thickBot="1" x14ac:dyDescent="0.3">
      <c r="A232"/>
      <c r="B232" s="1004" t="s">
        <v>98</v>
      </c>
      <c r="C232" s="1004"/>
      <c r="D232" s="1004"/>
      <c r="E232" s="1004"/>
      <c r="F232" s="1004"/>
      <c r="G232" s="1004"/>
      <c r="H232" s="1004"/>
      <c r="I232"/>
      <c r="J232"/>
    </row>
    <row r="233" spans="1:12" s="186" customFormat="1" ht="15.75" x14ac:dyDescent="0.25">
      <c r="A233" s="187" t="s">
        <v>2</v>
      </c>
      <c r="B233" s="50" t="s">
        <v>99</v>
      </c>
      <c r="C233" s="50" t="s">
        <v>100</v>
      </c>
      <c r="D233" s="51" t="s">
        <v>101</v>
      </c>
      <c r="E233" s="52" t="s">
        <v>102</v>
      </c>
      <c r="F233" s="50" t="s">
        <v>103</v>
      </c>
      <c r="G233" s="51" t="s">
        <v>104</v>
      </c>
      <c r="H233" s="50" t="s">
        <v>105</v>
      </c>
      <c r="I233" s="50" t="s">
        <v>96</v>
      </c>
      <c r="J233" s="52" t="s">
        <v>97</v>
      </c>
    </row>
    <row r="234" spans="1:12" s="186" customFormat="1" x14ac:dyDescent="0.25">
      <c r="A234" s="188" t="s">
        <v>11</v>
      </c>
      <c r="B234" s="189">
        <v>118</v>
      </c>
      <c r="C234" s="189">
        <v>145</v>
      </c>
      <c r="D234" s="189">
        <v>179</v>
      </c>
      <c r="E234" s="190">
        <v>181</v>
      </c>
      <c r="F234" s="190">
        <v>290</v>
      </c>
      <c r="G234" s="190">
        <v>419</v>
      </c>
      <c r="H234" s="190">
        <v>494</v>
      </c>
      <c r="I234" s="190">
        <f>SUM(B234:H234)</f>
        <v>1826</v>
      </c>
      <c r="J234" s="191">
        <f>+I234/7</f>
        <v>260.85714285714283</v>
      </c>
    </row>
    <row r="235" spans="1:12" s="186" customFormat="1" x14ac:dyDescent="0.25">
      <c r="A235" s="146" t="s">
        <v>12</v>
      </c>
      <c r="B235" s="11">
        <v>56</v>
      </c>
      <c r="C235" s="11">
        <v>63</v>
      </c>
      <c r="D235" s="11">
        <v>77</v>
      </c>
      <c r="E235" s="11">
        <v>76</v>
      </c>
      <c r="F235" s="11">
        <v>146</v>
      </c>
      <c r="G235" s="11">
        <v>167</v>
      </c>
      <c r="H235" s="11">
        <v>180</v>
      </c>
      <c r="I235" s="11">
        <f>SUM('PEPE SIERRA '!$B235:$H235)</f>
        <v>765</v>
      </c>
      <c r="J235" s="78">
        <f t="shared" ref="J235:J240" si="88">I235/7</f>
        <v>109.28571428571429</v>
      </c>
    </row>
    <row r="236" spans="1:12" s="186" customFormat="1" x14ac:dyDescent="0.25">
      <c r="A236" s="146" t="s">
        <v>13</v>
      </c>
      <c r="B236" s="11">
        <v>3</v>
      </c>
      <c r="C236" s="11">
        <v>0</v>
      </c>
      <c r="D236" s="11">
        <v>0</v>
      </c>
      <c r="E236" s="11">
        <v>0</v>
      </c>
      <c r="F236" s="11">
        <v>8</v>
      </c>
      <c r="G236" s="11">
        <v>2</v>
      </c>
      <c r="H236" s="11">
        <v>10</v>
      </c>
      <c r="I236" s="11">
        <f>SUM('PEPE SIERRA '!$B236:$H236)</f>
        <v>23</v>
      </c>
      <c r="J236" s="78">
        <f t="shared" si="88"/>
        <v>3.2857142857142856</v>
      </c>
    </row>
    <row r="237" spans="1:12" s="186" customFormat="1" x14ac:dyDescent="0.25">
      <c r="A237" s="146" t="s">
        <v>14</v>
      </c>
      <c r="B237" s="11">
        <v>30</v>
      </c>
      <c r="C237" s="11">
        <v>58</v>
      </c>
      <c r="D237" s="11">
        <v>61</v>
      </c>
      <c r="E237" s="11">
        <v>70</v>
      </c>
      <c r="F237" s="11">
        <v>99</v>
      </c>
      <c r="G237" s="11">
        <v>106</v>
      </c>
      <c r="H237" s="11">
        <v>110</v>
      </c>
      <c r="I237" s="11">
        <f>SUM('PEPE SIERRA '!$B237:$H237)</f>
        <v>534</v>
      </c>
      <c r="J237" s="78">
        <f t="shared" si="88"/>
        <v>76.285714285714292</v>
      </c>
    </row>
    <row r="238" spans="1:12" s="186" customFormat="1" x14ac:dyDescent="0.25">
      <c r="A238" s="146" t="s">
        <v>15</v>
      </c>
      <c r="B238" s="11">
        <v>23</v>
      </c>
      <c r="C238" s="11">
        <v>27</v>
      </c>
      <c r="D238" s="11">
        <v>10</v>
      </c>
      <c r="E238" s="11">
        <v>26</v>
      </c>
      <c r="F238" s="11">
        <v>75</v>
      </c>
      <c r="G238" s="11">
        <v>110</v>
      </c>
      <c r="H238" s="11">
        <v>109</v>
      </c>
      <c r="I238" s="11">
        <f>SUM('PEPE SIERRA '!$B238:$H238)</f>
        <v>380</v>
      </c>
      <c r="J238" s="78">
        <f t="shared" si="88"/>
        <v>54.285714285714285</v>
      </c>
    </row>
    <row r="239" spans="1:12" s="186" customFormat="1" x14ac:dyDescent="0.25">
      <c r="A239" s="146" t="s">
        <v>16</v>
      </c>
      <c r="B239" s="11">
        <v>1</v>
      </c>
      <c r="C239" s="11">
        <v>2</v>
      </c>
      <c r="D239" s="11">
        <v>1</v>
      </c>
      <c r="E239" s="11">
        <v>0</v>
      </c>
      <c r="F239" s="11">
        <v>2</v>
      </c>
      <c r="G239" s="11">
        <v>8</v>
      </c>
      <c r="H239" s="11">
        <v>4</v>
      </c>
      <c r="I239" s="11">
        <f>SUM('PEPE SIERRA '!$B239:$H239)</f>
        <v>18</v>
      </c>
      <c r="J239" s="78">
        <f t="shared" si="88"/>
        <v>2.5714285714285716</v>
      </c>
    </row>
    <row r="240" spans="1:12" s="186" customFormat="1" x14ac:dyDescent="0.25">
      <c r="A240" s="103" t="s">
        <v>17</v>
      </c>
      <c r="B240" s="192">
        <f>SUM(B235:B239)</f>
        <v>113</v>
      </c>
      <c r="C240" s="192">
        <f t="shared" ref="C240:I240" si="89">SUM(C235:C239)</f>
        <v>150</v>
      </c>
      <c r="D240" s="192">
        <f t="shared" si="89"/>
        <v>149</v>
      </c>
      <c r="E240" s="192">
        <f t="shared" si="89"/>
        <v>172</v>
      </c>
      <c r="F240" s="192">
        <f t="shared" si="89"/>
        <v>330</v>
      </c>
      <c r="G240" s="192">
        <f t="shared" si="89"/>
        <v>393</v>
      </c>
      <c r="H240" s="192">
        <f t="shared" si="89"/>
        <v>413</v>
      </c>
      <c r="I240" s="192">
        <f t="shared" si="89"/>
        <v>1720</v>
      </c>
      <c r="J240" s="193">
        <f t="shared" si="88"/>
        <v>245.71428571428572</v>
      </c>
    </row>
    <row r="241" spans="1:10" s="186" customFormat="1" x14ac:dyDescent="0.25">
      <c r="A241" s="146" t="s">
        <v>18</v>
      </c>
      <c r="B241" s="30">
        <v>0.51</v>
      </c>
      <c r="C241" s="30">
        <v>0.5</v>
      </c>
      <c r="D241" s="30">
        <v>0.65</v>
      </c>
      <c r="E241" s="30">
        <v>0.53</v>
      </c>
      <c r="F241" s="30">
        <v>0.43</v>
      </c>
      <c r="G241" s="30">
        <v>0.47</v>
      </c>
      <c r="H241" s="30">
        <v>0.44</v>
      </c>
      <c r="I241" s="30">
        <f>I248/I253</f>
        <v>0.48367456844574375</v>
      </c>
      <c r="J241" s="30">
        <f>J248/J253</f>
        <v>0.48367456844574375</v>
      </c>
    </row>
    <row r="242" spans="1:10" s="186" customFormat="1" x14ac:dyDescent="0.25">
      <c r="A242" s="146" t="s">
        <v>19</v>
      </c>
      <c r="B242" s="30">
        <v>0.02</v>
      </c>
      <c r="C242" s="30">
        <v>0</v>
      </c>
      <c r="D242" s="30">
        <v>0</v>
      </c>
      <c r="E242" s="30">
        <v>0</v>
      </c>
      <c r="F242" s="30">
        <v>0.03</v>
      </c>
      <c r="G242" s="30">
        <v>0.01</v>
      </c>
      <c r="H242" s="30">
        <v>0.03</v>
      </c>
      <c r="I242" s="30">
        <f>I249/I253</f>
        <v>1.646022793865096E-2</v>
      </c>
      <c r="J242" s="30">
        <f>J249/J253</f>
        <v>1.646022793865096E-2</v>
      </c>
    </row>
    <row r="243" spans="1:10" s="186" customFormat="1" x14ac:dyDescent="0.25">
      <c r="A243" s="146" t="s">
        <v>20</v>
      </c>
      <c r="B243" s="30">
        <v>0.25</v>
      </c>
      <c r="C243" s="30">
        <v>0.32</v>
      </c>
      <c r="D243" s="30">
        <v>0.28000000000000003</v>
      </c>
      <c r="E243" s="30">
        <v>0.33</v>
      </c>
      <c r="F243" s="30">
        <v>0.28000000000000003</v>
      </c>
      <c r="G243" s="30">
        <v>0.22</v>
      </c>
      <c r="H243" s="30">
        <v>0.24</v>
      </c>
      <c r="I243" s="30">
        <f>I250/I253</f>
        <v>0.26189125393483037</v>
      </c>
      <c r="J243" s="30">
        <f>J250/J253</f>
        <v>0.26189125393483043</v>
      </c>
    </row>
    <row r="244" spans="1:10" s="186" customFormat="1" x14ac:dyDescent="0.25">
      <c r="A244" s="146" t="s">
        <v>21</v>
      </c>
      <c r="B244" s="30">
        <v>0.2</v>
      </c>
      <c r="C244" s="30">
        <v>0.17</v>
      </c>
      <c r="D244" s="30">
        <v>0.06</v>
      </c>
      <c r="E244" s="30">
        <v>0.14000000000000001</v>
      </c>
      <c r="F244" s="30">
        <v>0.26</v>
      </c>
      <c r="G244" s="30">
        <v>0.28000000000000003</v>
      </c>
      <c r="H244" s="30">
        <v>0.28000000000000003</v>
      </c>
      <c r="I244" s="30">
        <f>I251/I253</f>
        <v>0.22768308728244835</v>
      </c>
      <c r="J244" s="30">
        <f>J251/J253</f>
        <v>0.22768308728244838</v>
      </c>
    </row>
    <row r="245" spans="1:10" s="186" customFormat="1" x14ac:dyDescent="0.25">
      <c r="A245" s="146" t="s">
        <v>22</v>
      </c>
      <c r="B245" s="30">
        <v>0.02</v>
      </c>
      <c r="C245" s="30">
        <v>0.01</v>
      </c>
      <c r="D245" s="30">
        <v>0.01</v>
      </c>
      <c r="E245" s="30">
        <v>0</v>
      </c>
      <c r="F245" s="30">
        <v>0</v>
      </c>
      <c r="G245" s="30">
        <v>0.02</v>
      </c>
      <c r="H245" s="30">
        <v>0.01</v>
      </c>
      <c r="I245" s="30">
        <f>I252/I253</f>
        <v>1.0290862398326588E-2</v>
      </c>
      <c r="J245" s="30">
        <f>J252/J253</f>
        <v>1.0290862398326588E-2</v>
      </c>
    </row>
    <row r="246" spans="1:10" s="186" customFormat="1" x14ac:dyDescent="0.25">
      <c r="A246" s="195" t="s">
        <v>23</v>
      </c>
      <c r="B246" s="66">
        <f>B257/B240</f>
        <v>32978.761061946905</v>
      </c>
      <c r="C246" s="66">
        <f t="shared" ref="C246:H246" si="90">C257/C240</f>
        <v>29854</v>
      </c>
      <c r="D246" s="66">
        <f t="shared" si="90"/>
        <v>36457.718120805366</v>
      </c>
      <c r="E246" s="66">
        <f t="shared" si="90"/>
        <v>32950.58139534884</v>
      </c>
      <c r="F246" s="66">
        <f t="shared" si="90"/>
        <v>29183.939393939392</v>
      </c>
      <c r="G246" s="66">
        <f t="shared" si="90"/>
        <v>33506.615776081424</v>
      </c>
      <c r="H246" s="66">
        <f t="shared" si="90"/>
        <v>35379.418886198553</v>
      </c>
      <c r="I246" s="66">
        <f>I257/I240</f>
        <v>32973.779069767443</v>
      </c>
      <c r="J246" s="66">
        <f>J257/J240</f>
        <v>32973.779069767443</v>
      </c>
    </row>
    <row r="247" spans="1:10" s="186" customFormat="1" x14ac:dyDescent="0.25">
      <c r="A247" s="195" t="s">
        <v>24</v>
      </c>
      <c r="B247" s="66">
        <f t="shared" ref="B247:I247" si="91">+B257/B234</f>
        <v>31581.355932203391</v>
      </c>
      <c r="C247" s="66">
        <f t="shared" si="91"/>
        <v>30883.448275862069</v>
      </c>
      <c r="D247" s="66">
        <f t="shared" si="91"/>
        <v>30347.486033519552</v>
      </c>
      <c r="E247" s="66">
        <f t="shared" si="91"/>
        <v>31312.154696132602</v>
      </c>
      <c r="F247" s="66">
        <f t="shared" si="91"/>
        <v>33209.310344827587</v>
      </c>
      <c r="G247" s="66">
        <f t="shared" si="91"/>
        <v>31427.44630071599</v>
      </c>
      <c r="H247" s="66">
        <f t="shared" si="91"/>
        <v>29578.340080971662</v>
      </c>
      <c r="I247" s="66">
        <f t="shared" si="91"/>
        <v>31059.638554216868</v>
      </c>
      <c r="J247" s="66">
        <f>J257/J234</f>
        <v>31059.638554216872</v>
      </c>
    </row>
    <row r="248" spans="1:10" s="186" customFormat="1" x14ac:dyDescent="0.25">
      <c r="A248" s="146" t="s">
        <v>25</v>
      </c>
      <c r="B248" s="92">
        <f t="shared" ref="B248:H248" si="92">B253*B241</f>
        <v>1576872.1655172415</v>
      </c>
      <c r="C248" s="92">
        <f t="shared" si="92"/>
        <v>1862333.0172413795</v>
      </c>
      <c r="D248" s="92">
        <f t="shared" si="92"/>
        <v>2936047.4224137929</v>
      </c>
      <c r="E248" s="92">
        <f t="shared" si="92"/>
        <v>2502657.806896552</v>
      </c>
      <c r="F248" s="92">
        <f t="shared" si="92"/>
        <v>3434709.9620689657</v>
      </c>
      <c r="G248" s="31">
        <f t="shared" si="92"/>
        <v>5166204.9120689658</v>
      </c>
      <c r="H248" s="31">
        <f t="shared" si="92"/>
        <v>5371692.9655172424</v>
      </c>
      <c r="I248" s="31">
        <f t="shared" ref="I248:I254" si="93">SUM(B248:H248)</f>
        <v>22850518.251724139</v>
      </c>
      <c r="J248" s="31">
        <f t="shared" ref="J248:J257" si="94">I248/7</f>
        <v>3264359.7502463055</v>
      </c>
    </row>
    <row r="249" spans="1:10" s="186" customFormat="1" x14ac:dyDescent="0.25">
      <c r="A249" s="146" t="s">
        <v>26</v>
      </c>
      <c r="B249" s="92">
        <f t="shared" ref="B249:H249" si="95">B253*B242</f>
        <v>61838.124137931038</v>
      </c>
      <c r="C249" s="92">
        <f t="shared" si="95"/>
        <v>0</v>
      </c>
      <c r="D249" s="92">
        <f t="shared" si="95"/>
        <v>0</v>
      </c>
      <c r="E249" s="92">
        <f t="shared" si="95"/>
        <v>0</v>
      </c>
      <c r="F249" s="92">
        <f t="shared" si="95"/>
        <v>239630.9275862069</v>
      </c>
      <c r="G249" s="31">
        <f t="shared" si="95"/>
        <v>109919.25344827586</v>
      </c>
      <c r="H249" s="31">
        <f t="shared" si="95"/>
        <v>366251.79310344829</v>
      </c>
      <c r="I249" s="31">
        <f t="shared" si="93"/>
        <v>777640.09827586217</v>
      </c>
      <c r="J249" s="31">
        <f t="shared" si="94"/>
        <v>111091.44261083745</v>
      </c>
    </row>
    <row r="250" spans="1:10" s="186" customFormat="1" x14ac:dyDescent="0.25">
      <c r="A250" s="146" t="s">
        <v>27</v>
      </c>
      <c r="B250" s="92">
        <f t="shared" ref="B250:H250" si="96">B253*B243</f>
        <v>772976.55172413797</v>
      </c>
      <c r="C250" s="92">
        <f t="shared" si="96"/>
        <v>1191893.131034483</v>
      </c>
      <c r="D250" s="92">
        <f t="shared" si="96"/>
        <v>1264758.8896551726</v>
      </c>
      <c r="E250" s="92">
        <f t="shared" si="96"/>
        <v>1558258.6344827588</v>
      </c>
      <c r="F250" s="92">
        <f t="shared" si="96"/>
        <v>2236555.3241379312</v>
      </c>
      <c r="G250" s="31">
        <f t="shared" si="96"/>
        <v>2418223.5758620691</v>
      </c>
      <c r="H250" s="31">
        <f t="shared" si="96"/>
        <v>2930014.3448275863</v>
      </c>
      <c r="I250" s="31">
        <f t="shared" si="93"/>
        <v>12372680.45172414</v>
      </c>
      <c r="J250" s="31">
        <f t="shared" si="94"/>
        <v>1767525.7788177342</v>
      </c>
    </row>
    <row r="251" spans="1:10" s="186" customFormat="1" x14ac:dyDescent="0.25">
      <c r="A251" s="146" t="s">
        <v>28</v>
      </c>
      <c r="B251" s="92">
        <f t="shared" ref="B251:H251" si="97">B253*B244</f>
        <v>618381.24137931038</v>
      </c>
      <c r="C251" s="92">
        <f t="shared" si="97"/>
        <v>633193.22586206906</v>
      </c>
      <c r="D251" s="92">
        <f t="shared" si="97"/>
        <v>271019.76206896547</v>
      </c>
      <c r="E251" s="92">
        <f t="shared" si="97"/>
        <v>661079.42068965535</v>
      </c>
      <c r="F251" s="92">
        <f t="shared" si="97"/>
        <v>2076801.3724137933</v>
      </c>
      <c r="G251" s="31">
        <f t="shared" si="97"/>
        <v>3077739.0965517247</v>
      </c>
      <c r="H251" s="31">
        <f t="shared" si="97"/>
        <v>3418350.0689655179</v>
      </c>
      <c r="I251" s="31">
        <f t="shared" si="93"/>
        <v>10756564.187931037</v>
      </c>
      <c r="J251" s="31">
        <f t="shared" si="94"/>
        <v>1536652.026847291</v>
      </c>
    </row>
    <row r="252" spans="1:10" s="186" customFormat="1" x14ac:dyDescent="0.25">
      <c r="A252" s="146" t="s">
        <v>29</v>
      </c>
      <c r="B252" s="92">
        <f>B253*B245</f>
        <v>61838.124137931038</v>
      </c>
      <c r="C252" s="92">
        <f t="shared" ref="C252:H252" si="98">C253*C245</f>
        <v>37246.660344827593</v>
      </c>
      <c r="D252" s="92">
        <f t="shared" si="98"/>
        <v>45169.960344827588</v>
      </c>
      <c r="E252" s="92">
        <f t="shared" si="98"/>
        <v>0</v>
      </c>
      <c r="F252" s="92">
        <f t="shared" si="98"/>
        <v>0</v>
      </c>
      <c r="G252" s="31">
        <f t="shared" si="98"/>
        <v>219838.50689655173</v>
      </c>
      <c r="H252" s="31">
        <f t="shared" si="98"/>
        <v>122083.93103448278</v>
      </c>
      <c r="I252" s="31">
        <f t="shared" si="93"/>
        <v>486177.18275862071</v>
      </c>
      <c r="J252" s="31">
        <f t="shared" si="94"/>
        <v>69453.883251231528</v>
      </c>
    </row>
    <row r="253" spans="1:10" s="186" customFormat="1" x14ac:dyDescent="0.25">
      <c r="A253" s="196" t="s">
        <v>30</v>
      </c>
      <c r="B253" s="91">
        <f>(3726600/1.16)-B254</f>
        <v>3091906.2068965519</v>
      </c>
      <c r="C253" s="91">
        <f>(4478100/1.16)-C254</f>
        <v>3724666.034482759</v>
      </c>
      <c r="D253" s="91">
        <f>(5432200/1.16)-D254</f>
        <v>4516996.0344827585</v>
      </c>
      <c r="E253" s="91">
        <f>(5667500/1.16)-E254</f>
        <v>4721995.862068966</v>
      </c>
      <c r="F253" s="91">
        <f>(9630700/1.16)-F254</f>
        <v>7987697.5862068972</v>
      </c>
      <c r="G253" s="197">
        <f>(13168100/1.16)-G254</f>
        <v>10991925.344827587</v>
      </c>
      <c r="H253" s="197">
        <f>(14611700/1.16)-H254</f>
        <v>12208393.103448277</v>
      </c>
      <c r="I253" s="197">
        <f t="shared" si="93"/>
        <v>47243580.172413796</v>
      </c>
      <c r="J253" s="197">
        <f t="shared" si="94"/>
        <v>6749082.8817733992</v>
      </c>
    </row>
    <row r="254" spans="1:10" s="186" customFormat="1" x14ac:dyDescent="0.25">
      <c r="A254" s="146" t="s">
        <v>31</v>
      </c>
      <c r="B254" s="92">
        <f t="shared" ref="B254:H254" si="99">2155*B235</f>
        <v>120680</v>
      </c>
      <c r="C254" s="92">
        <f t="shared" si="99"/>
        <v>135765</v>
      </c>
      <c r="D254" s="92">
        <f t="shared" si="99"/>
        <v>165935</v>
      </c>
      <c r="E254" s="92">
        <f t="shared" si="99"/>
        <v>163780</v>
      </c>
      <c r="F254" s="92">
        <f t="shared" si="99"/>
        <v>314630</v>
      </c>
      <c r="G254" s="31">
        <f t="shared" si="99"/>
        <v>359885</v>
      </c>
      <c r="H254" s="31">
        <f t="shared" si="99"/>
        <v>387900</v>
      </c>
      <c r="I254" s="31">
        <f t="shared" si="93"/>
        <v>1648575</v>
      </c>
      <c r="J254" s="31">
        <f t="shared" si="94"/>
        <v>235510.71428571429</v>
      </c>
    </row>
    <row r="255" spans="1:10" s="186" customFormat="1" x14ac:dyDescent="0.25">
      <c r="A255" s="198" t="s">
        <v>32</v>
      </c>
      <c r="B255" s="199">
        <f>B254+B253</f>
        <v>3212586.2068965519</v>
      </c>
      <c r="C255" s="199">
        <f>C254+C253</f>
        <v>3860431.034482759</v>
      </c>
      <c r="D255" s="199">
        <f>D254+D253</f>
        <v>4682931.0344827585</v>
      </c>
      <c r="E255" s="199">
        <f>E254+E253</f>
        <v>4885775.862068966</v>
      </c>
      <c r="F255" s="199">
        <f>F253+F254</f>
        <v>8302327.5862068972</v>
      </c>
      <c r="G255" s="199">
        <f>G254+G253</f>
        <v>11351810.344827587</v>
      </c>
      <c r="H255" s="199">
        <f>H254+H253</f>
        <v>12596293.103448277</v>
      </c>
      <c r="I255" s="199">
        <f>I254+I253</f>
        <v>48892155.172413796</v>
      </c>
      <c r="J255" s="200">
        <f t="shared" si="94"/>
        <v>6984593.5960591137</v>
      </c>
    </row>
    <row r="256" spans="1:10" s="186" customFormat="1" x14ac:dyDescent="0.25">
      <c r="A256" s="146" t="s">
        <v>33</v>
      </c>
      <c r="B256" s="94">
        <f>B255*16%</f>
        <v>514013.79310344829</v>
      </c>
      <c r="C256" s="94">
        <f t="shared" ref="C256:H256" si="100">C255*16%</f>
        <v>617668.96551724139</v>
      </c>
      <c r="D256" s="94">
        <f t="shared" si="100"/>
        <v>749268.96551724139</v>
      </c>
      <c r="E256" s="94">
        <f t="shared" si="100"/>
        <v>781724.13793103455</v>
      </c>
      <c r="F256" s="94">
        <f t="shared" si="100"/>
        <v>1328372.4137931035</v>
      </c>
      <c r="G256" s="94">
        <f t="shared" si="100"/>
        <v>1816289.6551724139</v>
      </c>
      <c r="H256" s="94">
        <f t="shared" si="100"/>
        <v>2015406.8965517245</v>
      </c>
      <c r="I256" s="94">
        <f>I255*16%</f>
        <v>7822744.8275862075</v>
      </c>
      <c r="J256" s="31">
        <f t="shared" si="94"/>
        <v>1117534.9753694583</v>
      </c>
    </row>
    <row r="257" spans="1:10" s="186" customFormat="1" x14ac:dyDescent="0.25">
      <c r="A257" s="201" t="s">
        <v>34</v>
      </c>
      <c r="B257" s="202">
        <f>B255+B256</f>
        <v>3726600</v>
      </c>
      <c r="C257" s="202">
        <f t="shared" ref="C257:H257" si="101">C255+C256</f>
        <v>4478100</v>
      </c>
      <c r="D257" s="202">
        <f t="shared" si="101"/>
        <v>5432200</v>
      </c>
      <c r="E257" s="202">
        <f t="shared" si="101"/>
        <v>5667500.0000000009</v>
      </c>
      <c r="F257" s="202">
        <f t="shared" si="101"/>
        <v>9630700</v>
      </c>
      <c r="G257" s="202">
        <f t="shared" si="101"/>
        <v>13168100</v>
      </c>
      <c r="H257" s="202">
        <f t="shared" si="101"/>
        <v>14611700.000000002</v>
      </c>
      <c r="I257" s="202">
        <f>I255+I256</f>
        <v>56714900</v>
      </c>
      <c r="J257" s="203">
        <f t="shared" si="94"/>
        <v>8102128.5714285718</v>
      </c>
    </row>
    <row r="258" spans="1:10" s="186" customFormat="1" x14ac:dyDescent="0.25">
      <c r="A258" s="204"/>
      <c r="B258" s="112"/>
      <c r="C258" s="112"/>
      <c r="D258" s="112"/>
      <c r="E258" s="112"/>
      <c r="F258" s="112"/>
      <c r="G258" s="112"/>
      <c r="H258" s="112"/>
      <c r="I258" s="112"/>
      <c r="J258" s="205"/>
    </row>
    <row r="259" spans="1:10" s="186" customFormat="1" ht="15.75" thickBot="1" x14ac:dyDescent="0.3">
      <c r="A259" s="204"/>
      <c r="B259" s="112"/>
      <c r="C259" s="112"/>
      <c r="D259" s="112"/>
      <c r="E259" s="112"/>
      <c r="F259" s="112"/>
      <c r="G259" s="112"/>
      <c r="H259" s="112"/>
      <c r="I259" s="112"/>
      <c r="J259" s="205"/>
    </row>
    <row r="260" spans="1:10" s="186" customFormat="1" ht="27" thickBot="1" x14ac:dyDescent="0.3">
      <c r="A260"/>
      <c r="B260" s="1004" t="s">
        <v>106</v>
      </c>
      <c r="C260" s="1004"/>
      <c r="D260" s="1004"/>
      <c r="E260" s="1004"/>
      <c r="F260" s="1004"/>
      <c r="G260" s="1004"/>
      <c r="H260" s="1004"/>
      <c r="I260"/>
      <c r="J260"/>
    </row>
    <row r="261" spans="1:10" s="186" customFormat="1" ht="15.75" x14ac:dyDescent="0.25">
      <c r="A261" s="187" t="s">
        <v>2</v>
      </c>
      <c r="B261" s="50" t="s">
        <v>107</v>
      </c>
      <c r="C261" s="50" t="s">
        <v>108</v>
      </c>
      <c r="D261" s="51" t="s">
        <v>109</v>
      </c>
      <c r="E261" s="52" t="s">
        <v>110</v>
      </c>
      <c r="F261" s="50" t="s">
        <v>111</v>
      </c>
      <c r="G261" s="51" t="s">
        <v>112</v>
      </c>
      <c r="H261" s="50" t="s">
        <v>113</v>
      </c>
      <c r="I261" s="50" t="s">
        <v>96</v>
      </c>
      <c r="J261" s="52" t="s">
        <v>97</v>
      </c>
    </row>
    <row r="262" spans="1:10" s="186" customFormat="1" x14ac:dyDescent="0.25">
      <c r="A262" s="188" t="s">
        <v>11</v>
      </c>
      <c r="B262" s="189">
        <v>120</v>
      </c>
      <c r="C262" s="189">
        <v>159</v>
      </c>
      <c r="D262" s="189">
        <v>173</v>
      </c>
      <c r="E262" s="190">
        <v>184</v>
      </c>
      <c r="F262" s="190">
        <v>311</v>
      </c>
      <c r="G262" s="190">
        <v>348</v>
      </c>
      <c r="H262" s="190">
        <v>349</v>
      </c>
      <c r="I262" s="190">
        <f>SUM(B262:H262)</f>
        <v>1644</v>
      </c>
      <c r="J262" s="191">
        <f>+I262/7</f>
        <v>234.85714285714286</v>
      </c>
    </row>
    <row r="263" spans="1:10" s="186" customFormat="1" x14ac:dyDescent="0.25">
      <c r="A263" s="146" t="s">
        <v>12</v>
      </c>
      <c r="B263" s="11">
        <v>35</v>
      </c>
      <c r="C263" s="11">
        <v>60</v>
      </c>
      <c r="D263" s="11">
        <v>67</v>
      </c>
      <c r="E263" s="11">
        <v>70</v>
      </c>
      <c r="F263" s="11">
        <v>145</v>
      </c>
      <c r="G263" s="11">
        <v>129</v>
      </c>
      <c r="H263" s="11">
        <v>144</v>
      </c>
      <c r="I263" s="11">
        <f>SUM('PEPE SIERRA '!$B263:$H263)</f>
        <v>650</v>
      </c>
      <c r="J263" s="78">
        <f t="shared" ref="J263:J268" si="102">I263/7</f>
        <v>92.857142857142861</v>
      </c>
    </row>
    <row r="264" spans="1:10" s="186" customFormat="1" x14ac:dyDescent="0.25">
      <c r="A264" s="146" t="s">
        <v>13</v>
      </c>
      <c r="B264" s="11">
        <v>2</v>
      </c>
      <c r="C264" s="11">
        <v>0</v>
      </c>
      <c r="D264" s="11">
        <v>1</v>
      </c>
      <c r="E264" s="11">
        <v>0</v>
      </c>
      <c r="F264" s="11">
        <v>3</v>
      </c>
      <c r="G264" s="11">
        <v>8</v>
      </c>
      <c r="H264" s="11">
        <v>6</v>
      </c>
      <c r="I264" s="11">
        <f>SUM('PEPE SIERRA '!$B264:$H264)</f>
        <v>20</v>
      </c>
      <c r="J264" s="78">
        <f t="shared" si="102"/>
        <v>2.8571428571428572</v>
      </c>
    </row>
    <row r="265" spans="1:10" s="186" customFormat="1" x14ac:dyDescent="0.25">
      <c r="A265" s="146" t="s">
        <v>14</v>
      </c>
      <c r="B265" s="11">
        <v>54</v>
      </c>
      <c r="C265" s="11">
        <v>66</v>
      </c>
      <c r="D265" s="11">
        <v>86</v>
      </c>
      <c r="E265" s="11">
        <v>75</v>
      </c>
      <c r="F265" s="11">
        <v>95</v>
      </c>
      <c r="G265" s="11">
        <v>113</v>
      </c>
      <c r="H265" s="11">
        <v>142</v>
      </c>
      <c r="I265" s="11">
        <f>SUM('PEPE SIERRA '!$B265:$H265)</f>
        <v>631</v>
      </c>
      <c r="J265" s="78">
        <f t="shared" si="102"/>
        <v>90.142857142857139</v>
      </c>
    </row>
    <row r="266" spans="1:10" s="186" customFormat="1" x14ac:dyDescent="0.25">
      <c r="A266" s="146" t="s">
        <v>15</v>
      </c>
      <c r="B266" s="11">
        <v>27</v>
      </c>
      <c r="C266" s="11">
        <v>29</v>
      </c>
      <c r="D266" s="11">
        <v>22</v>
      </c>
      <c r="E266" s="11">
        <v>33</v>
      </c>
      <c r="F266" s="11">
        <v>49</v>
      </c>
      <c r="G266" s="11">
        <v>54</v>
      </c>
      <c r="H266" s="11">
        <v>51</v>
      </c>
      <c r="I266" s="11">
        <f>SUM('PEPE SIERRA '!$B266:$H266)</f>
        <v>265</v>
      </c>
      <c r="J266" s="78">
        <f t="shared" si="102"/>
        <v>37.857142857142854</v>
      </c>
    </row>
    <row r="267" spans="1:10" s="186" customFormat="1" x14ac:dyDescent="0.25">
      <c r="A267" s="146" t="s">
        <v>16</v>
      </c>
      <c r="B267" s="11">
        <v>0</v>
      </c>
      <c r="C267" s="11">
        <v>2</v>
      </c>
      <c r="D267" s="11">
        <v>0</v>
      </c>
      <c r="E267" s="11">
        <v>0</v>
      </c>
      <c r="F267" s="11">
        <v>2</v>
      </c>
      <c r="G267" s="11">
        <v>2</v>
      </c>
      <c r="H267" s="11">
        <v>0</v>
      </c>
      <c r="I267" s="11">
        <f>SUM('PEPE SIERRA '!$B267:$H267)</f>
        <v>6</v>
      </c>
      <c r="J267" s="78">
        <f t="shared" si="102"/>
        <v>0.8571428571428571</v>
      </c>
    </row>
    <row r="268" spans="1:10" s="186" customFormat="1" x14ac:dyDescent="0.25">
      <c r="A268" s="103" t="s">
        <v>17</v>
      </c>
      <c r="B268" s="192">
        <f>SUM(B263:B267)</f>
        <v>118</v>
      </c>
      <c r="C268" s="192">
        <f t="shared" ref="C268:I268" si="103">SUM(C263:C267)</f>
        <v>157</v>
      </c>
      <c r="D268" s="192">
        <f t="shared" si="103"/>
        <v>176</v>
      </c>
      <c r="E268" s="192">
        <f t="shared" si="103"/>
        <v>178</v>
      </c>
      <c r="F268" s="192">
        <f t="shared" si="103"/>
        <v>294</v>
      </c>
      <c r="G268" s="192">
        <f t="shared" si="103"/>
        <v>306</v>
      </c>
      <c r="H268" s="192">
        <f t="shared" si="103"/>
        <v>343</v>
      </c>
      <c r="I268" s="192">
        <f t="shared" si="103"/>
        <v>1572</v>
      </c>
      <c r="J268" s="193">
        <f t="shared" si="102"/>
        <v>224.57142857142858</v>
      </c>
    </row>
    <row r="269" spans="1:10" s="186" customFormat="1" x14ac:dyDescent="0.25">
      <c r="A269" s="146" t="s">
        <v>18</v>
      </c>
      <c r="B269" s="30">
        <v>0.38</v>
      </c>
      <c r="C269" s="30">
        <v>0.45</v>
      </c>
      <c r="D269" s="30">
        <v>0.39</v>
      </c>
      <c r="E269" s="30">
        <v>0.39</v>
      </c>
      <c r="F269" s="30">
        <v>0.53</v>
      </c>
      <c r="G269" s="30">
        <v>0.49</v>
      </c>
      <c r="H269" s="30">
        <v>0.46</v>
      </c>
      <c r="I269" s="30">
        <f>I276/I281</f>
        <v>0.45861146309907197</v>
      </c>
      <c r="J269" s="30">
        <f>J276/J281</f>
        <v>0.45861146309907197</v>
      </c>
    </row>
    <row r="270" spans="1:10" s="186" customFormat="1" x14ac:dyDescent="0.25">
      <c r="A270" s="146" t="s">
        <v>19</v>
      </c>
      <c r="B270" s="30">
        <v>0</v>
      </c>
      <c r="C270" s="30">
        <v>0</v>
      </c>
      <c r="D270" s="30">
        <v>0</v>
      </c>
      <c r="E270" s="30">
        <v>0</v>
      </c>
      <c r="F270" s="30">
        <v>0.01</v>
      </c>
      <c r="G270" s="30">
        <v>0.02</v>
      </c>
      <c r="H270" s="30">
        <v>0.02</v>
      </c>
      <c r="I270" s="30">
        <f>I277/I281</f>
        <v>1.080292471454331E-2</v>
      </c>
      <c r="J270" s="30">
        <f>J277/J281</f>
        <v>1.0802924714543308E-2</v>
      </c>
    </row>
    <row r="271" spans="1:10" s="186" customFormat="1" x14ac:dyDescent="0.25">
      <c r="A271" s="146" t="s">
        <v>20</v>
      </c>
      <c r="B271" s="30">
        <v>0.41</v>
      </c>
      <c r="C271" s="30">
        <v>0.39</v>
      </c>
      <c r="D271" s="30">
        <v>0.51</v>
      </c>
      <c r="E271" s="30">
        <v>0.42</v>
      </c>
      <c r="F271" s="30">
        <v>0.3</v>
      </c>
      <c r="G271" s="30">
        <v>0.31</v>
      </c>
      <c r="H271" s="30">
        <v>0.36</v>
      </c>
      <c r="I271" s="30">
        <f>I278/I281</f>
        <v>0.36484901998474767</v>
      </c>
      <c r="J271" s="30">
        <f>J278/J281</f>
        <v>0.36484901998474761</v>
      </c>
    </row>
    <row r="272" spans="1:10" s="186" customFormat="1" x14ac:dyDescent="0.25">
      <c r="A272" s="146" t="s">
        <v>21</v>
      </c>
      <c r="B272" s="30">
        <v>0.21</v>
      </c>
      <c r="C272" s="30">
        <v>0.15</v>
      </c>
      <c r="D272" s="30">
        <v>0.1</v>
      </c>
      <c r="E272" s="30">
        <v>0.19</v>
      </c>
      <c r="F272" s="30">
        <v>0.15</v>
      </c>
      <c r="G272" s="30">
        <v>0.17</v>
      </c>
      <c r="H272" s="30">
        <v>0.16</v>
      </c>
      <c r="I272" s="30">
        <f>I279/I281</f>
        <v>0.16077179198140126</v>
      </c>
      <c r="J272" s="30">
        <f>J279/J281</f>
        <v>0.16077179198140126</v>
      </c>
    </row>
    <row r="273" spans="1:10" s="186" customFormat="1" x14ac:dyDescent="0.25">
      <c r="A273" s="146" t="s">
        <v>22</v>
      </c>
      <c r="B273" s="30">
        <v>0</v>
      </c>
      <c r="C273" s="30">
        <v>0.01</v>
      </c>
      <c r="D273" s="30">
        <v>0</v>
      </c>
      <c r="E273" s="30">
        <v>0</v>
      </c>
      <c r="F273" s="30">
        <v>0.01</v>
      </c>
      <c r="G273" s="30">
        <v>0.01</v>
      </c>
      <c r="H273" s="30">
        <v>0</v>
      </c>
      <c r="I273" s="30">
        <f>I280/I281</f>
        <v>4.9648002202358687E-3</v>
      </c>
      <c r="J273" s="30">
        <f>J280/J281</f>
        <v>4.9648002202358687E-3</v>
      </c>
    </row>
    <row r="274" spans="1:10" s="186" customFormat="1" x14ac:dyDescent="0.25">
      <c r="A274" s="195" t="s">
        <v>23</v>
      </c>
      <c r="B274" s="66">
        <f>B285/B268</f>
        <v>31210.169491525423</v>
      </c>
      <c r="C274" s="66">
        <f t="shared" ref="C274:H274" si="104">C285/C268</f>
        <v>29192.356687898089</v>
      </c>
      <c r="D274" s="66">
        <f t="shared" si="104"/>
        <v>27356.25</v>
      </c>
      <c r="E274" s="66">
        <f t="shared" si="104"/>
        <v>31744.943820224718</v>
      </c>
      <c r="F274" s="66">
        <f t="shared" si="104"/>
        <v>32522.448979591838</v>
      </c>
      <c r="G274" s="66">
        <f t="shared" si="104"/>
        <v>36774.836601307186</v>
      </c>
      <c r="H274" s="66">
        <f t="shared" si="104"/>
        <v>33682.507288629735</v>
      </c>
      <c r="I274" s="66">
        <f>I285/I268</f>
        <v>32505.788804071246</v>
      </c>
      <c r="J274" s="66">
        <f>J285/J268</f>
        <v>32505.788804071242</v>
      </c>
    </row>
    <row r="275" spans="1:10" s="186" customFormat="1" x14ac:dyDescent="0.25">
      <c r="A275" s="195" t="s">
        <v>24</v>
      </c>
      <c r="B275" s="66">
        <f t="shared" ref="B275:I275" si="105">+B285/B262</f>
        <v>30690</v>
      </c>
      <c r="C275" s="66">
        <f t="shared" si="105"/>
        <v>28825.157232704401</v>
      </c>
      <c r="D275" s="66">
        <f t="shared" si="105"/>
        <v>27830.635838150291</v>
      </c>
      <c r="E275" s="66">
        <f t="shared" si="105"/>
        <v>30709.782608695652</v>
      </c>
      <c r="F275" s="66">
        <f t="shared" si="105"/>
        <v>30744.694533762056</v>
      </c>
      <c r="G275" s="66">
        <f t="shared" si="105"/>
        <v>32336.494252873563</v>
      </c>
      <c r="H275" s="66">
        <f t="shared" si="105"/>
        <v>33103.438395415476</v>
      </c>
      <c r="I275" s="66">
        <f t="shared" si="105"/>
        <v>31082.177615571774</v>
      </c>
      <c r="J275" s="66">
        <f>J285/J262</f>
        <v>31082.177615571774</v>
      </c>
    </row>
    <row r="276" spans="1:10" s="186" customFormat="1" x14ac:dyDescent="0.25">
      <c r="A276" s="146" t="s">
        <v>25</v>
      </c>
      <c r="B276" s="92">
        <f t="shared" ref="B276:H276" si="106">B281*B269</f>
        <v>1177772.9827586208</v>
      </c>
      <c r="C276" s="92">
        <f t="shared" si="106"/>
        <v>1719780.5172413795</v>
      </c>
      <c r="D276" s="92">
        <f t="shared" si="106"/>
        <v>1562425.1948275864</v>
      </c>
      <c r="E276" s="92">
        <f t="shared" si="106"/>
        <v>1840939.1896551726</v>
      </c>
      <c r="F276" s="92">
        <f t="shared" si="106"/>
        <v>4203050.3189655179</v>
      </c>
      <c r="G276" s="31">
        <f t="shared" si="106"/>
        <v>4617247.1051724143</v>
      </c>
      <c r="H276" s="31">
        <f t="shared" si="106"/>
        <v>4438654.5241379309</v>
      </c>
      <c r="I276" s="31">
        <f t="shared" ref="I276:I281" si="107">SUM(B276:H276)</f>
        <v>19559869.83275862</v>
      </c>
      <c r="J276" s="31">
        <f t="shared" ref="J276:J285" si="108">I276/7</f>
        <v>2794267.1189655173</v>
      </c>
    </row>
    <row r="277" spans="1:10" s="186" customFormat="1" x14ac:dyDescent="0.25">
      <c r="A277" s="146" t="s">
        <v>26</v>
      </c>
      <c r="B277" s="92">
        <f t="shared" ref="B277:H277" si="109">B281*B270</f>
        <v>0</v>
      </c>
      <c r="C277" s="92">
        <f t="shared" si="109"/>
        <v>0</v>
      </c>
      <c r="D277" s="92">
        <f t="shared" si="109"/>
        <v>0</v>
      </c>
      <c r="E277" s="92">
        <f t="shared" si="109"/>
        <v>0</v>
      </c>
      <c r="F277" s="92">
        <f t="shared" si="109"/>
        <v>79302.836206896565</v>
      </c>
      <c r="G277" s="31">
        <f t="shared" si="109"/>
        <v>188459.0655172414</v>
      </c>
      <c r="H277" s="31">
        <f t="shared" si="109"/>
        <v>192984.97931034485</v>
      </c>
      <c r="I277" s="31">
        <f t="shared" si="107"/>
        <v>460746.88103448279</v>
      </c>
      <c r="J277" s="31">
        <f t="shared" si="108"/>
        <v>65820.983004926107</v>
      </c>
    </row>
    <row r="278" spans="1:10" s="186" customFormat="1" x14ac:dyDescent="0.25">
      <c r="A278" s="146" t="s">
        <v>27</v>
      </c>
      <c r="B278" s="92">
        <f t="shared" ref="B278:H278" si="110">B281*B271</f>
        <v>1270755.0603448276</v>
      </c>
      <c r="C278" s="92">
        <f t="shared" si="110"/>
        <v>1490476.448275862</v>
      </c>
      <c r="D278" s="92">
        <f t="shared" si="110"/>
        <v>2043171.4086206898</v>
      </c>
      <c r="E278" s="92">
        <f t="shared" si="110"/>
        <v>1982549.8965517243</v>
      </c>
      <c r="F278" s="92">
        <f t="shared" si="110"/>
        <v>2379085.0862068967</v>
      </c>
      <c r="G278" s="31">
        <f t="shared" si="110"/>
        <v>2921115.5155172418</v>
      </c>
      <c r="H278" s="31">
        <f t="shared" si="110"/>
        <v>3473729.6275862069</v>
      </c>
      <c r="I278" s="31">
        <f t="shared" si="107"/>
        <v>15560883.043103449</v>
      </c>
      <c r="J278" s="31">
        <f t="shared" si="108"/>
        <v>2222983.2918719212</v>
      </c>
    </row>
    <row r="279" spans="1:10" s="186" customFormat="1" x14ac:dyDescent="0.25">
      <c r="A279" s="146" t="s">
        <v>28</v>
      </c>
      <c r="B279" s="92">
        <f t="shared" ref="B279:H279" si="111">B281*B272</f>
        <v>650874.54310344823</v>
      </c>
      <c r="C279" s="92">
        <f t="shared" si="111"/>
        <v>573260.17241379304</v>
      </c>
      <c r="D279" s="92">
        <f t="shared" si="111"/>
        <v>400621.84482758626</v>
      </c>
      <c r="E279" s="92">
        <f t="shared" si="111"/>
        <v>896867.81034482771</v>
      </c>
      <c r="F279" s="92">
        <f t="shared" si="111"/>
        <v>1189542.5431034483</v>
      </c>
      <c r="G279" s="31">
        <f t="shared" si="111"/>
        <v>1601902.056896552</v>
      </c>
      <c r="H279" s="31">
        <f t="shared" si="111"/>
        <v>1543879.8344827588</v>
      </c>
      <c r="I279" s="31">
        <f t="shared" si="107"/>
        <v>6856948.8051724155</v>
      </c>
      <c r="J279" s="31">
        <f t="shared" si="108"/>
        <v>979564.1150246308</v>
      </c>
    </row>
    <row r="280" spans="1:10" s="186" customFormat="1" x14ac:dyDescent="0.25">
      <c r="A280" s="146" t="s">
        <v>29</v>
      </c>
      <c r="B280" s="92">
        <f>B281*B273</f>
        <v>0</v>
      </c>
      <c r="C280" s="92">
        <f t="shared" ref="C280:H280" si="112">C281*C273</f>
        <v>38217.34482758621</v>
      </c>
      <c r="D280" s="92">
        <f t="shared" si="112"/>
        <v>0</v>
      </c>
      <c r="E280" s="92">
        <f t="shared" si="112"/>
        <v>0</v>
      </c>
      <c r="F280" s="92">
        <f t="shared" si="112"/>
        <v>79302.836206896565</v>
      </c>
      <c r="G280" s="31">
        <f t="shared" si="112"/>
        <v>94229.532758620699</v>
      </c>
      <c r="H280" s="31">
        <f t="shared" si="112"/>
        <v>0</v>
      </c>
      <c r="I280" s="31">
        <f t="shared" si="107"/>
        <v>211749.71379310347</v>
      </c>
      <c r="J280" s="31">
        <f t="shared" si="108"/>
        <v>30249.959113300494</v>
      </c>
    </row>
    <row r="281" spans="1:10" s="186" customFormat="1" x14ac:dyDescent="0.25">
      <c r="A281" s="196" t="s">
        <v>30</v>
      </c>
      <c r="B281" s="91">
        <f>(3682800/1.16)-B282</f>
        <v>3099402.5862068967</v>
      </c>
      <c r="C281" s="91">
        <f>(4583200/1.16)-C282</f>
        <v>3821734.4827586208</v>
      </c>
      <c r="D281" s="91">
        <f>(4814700/1.16)-D282</f>
        <v>4006218.4482758623</v>
      </c>
      <c r="E281" s="91">
        <f>(5650600/1.16)-E282</f>
        <v>4720356.8965517245</v>
      </c>
      <c r="F281" s="91">
        <f>(9561600/1.16)-F282</f>
        <v>7930283.6206896557</v>
      </c>
      <c r="G281" s="197">
        <f>(11253100/1.16)-G282</f>
        <v>9422953.2758620698</v>
      </c>
      <c r="H281" s="197">
        <f>(11553100/1.16)-H282</f>
        <v>9649248.9655172415</v>
      </c>
      <c r="I281" s="197">
        <f t="shared" si="107"/>
        <v>42650198.275862068</v>
      </c>
      <c r="J281" s="197">
        <f t="shared" si="108"/>
        <v>6092885.4679802954</v>
      </c>
    </row>
    <row r="282" spans="1:10" s="186" customFormat="1" x14ac:dyDescent="0.25">
      <c r="A282" s="146" t="s">
        <v>31</v>
      </c>
      <c r="B282" s="92">
        <f t="shared" ref="B282:I282" si="113">2155*B263</f>
        <v>75425</v>
      </c>
      <c r="C282" s="92">
        <f t="shared" si="113"/>
        <v>129300</v>
      </c>
      <c r="D282" s="92">
        <f t="shared" si="113"/>
        <v>144385</v>
      </c>
      <c r="E282" s="92">
        <f t="shared" si="113"/>
        <v>150850</v>
      </c>
      <c r="F282" s="92">
        <f t="shared" si="113"/>
        <v>312475</v>
      </c>
      <c r="G282" s="31">
        <f t="shared" si="113"/>
        <v>277995</v>
      </c>
      <c r="H282" s="31">
        <f t="shared" si="113"/>
        <v>310320</v>
      </c>
      <c r="I282" s="31">
        <f t="shared" si="113"/>
        <v>1400750</v>
      </c>
      <c r="J282" s="31">
        <f t="shared" si="108"/>
        <v>200107.14285714287</v>
      </c>
    </row>
    <row r="283" spans="1:10" s="186" customFormat="1" x14ac:dyDescent="0.25">
      <c r="A283" s="198" t="s">
        <v>32</v>
      </c>
      <c r="B283" s="199">
        <f>B282+B281</f>
        <v>3174827.5862068967</v>
      </c>
      <c r="C283" s="199">
        <f>C282+C281</f>
        <v>3951034.4827586208</v>
      </c>
      <c r="D283" s="199">
        <f>D282+D281</f>
        <v>4150603.4482758623</v>
      </c>
      <c r="E283" s="199">
        <f>E282+E281</f>
        <v>4871206.8965517245</v>
      </c>
      <c r="F283" s="199">
        <f>F281+F282</f>
        <v>8242758.6206896557</v>
      </c>
      <c r="G283" s="199">
        <f>G282+G281</f>
        <v>9700948.2758620698</v>
      </c>
      <c r="H283" s="199">
        <f>H282+H281</f>
        <v>9959568.9655172415</v>
      </c>
      <c r="I283" s="199">
        <f>I281+I282</f>
        <v>44050948.275862068</v>
      </c>
      <c r="J283" s="200">
        <f t="shared" si="108"/>
        <v>6292992.6108374381</v>
      </c>
    </row>
    <row r="284" spans="1:10" s="186" customFormat="1" x14ac:dyDescent="0.25">
      <c r="A284" s="146" t="s">
        <v>33</v>
      </c>
      <c r="B284" s="94">
        <f>B283*16%</f>
        <v>507972.41379310348</v>
      </c>
      <c r="C284" s="94">
        <f t="shared" ref="C284:H284" si="114">C283*16%</f>
        <v>632165.51724137936</v>
      </c>
      <c r="D284" s="94">
        <f t="shared" si="114"/>
        <v>664096.55172413797</v>
      </c>
      <c r="E284" s="94">
        <f t="shared" si="114"/>
        <v>779393.10344827594</v>
      </c>
      <c r="F284" s="94">
        <f t="shared" si="114"/>
        <v>1318841.379310345</v>
      </c>
      <c r="G284" s="94">
        <f t="shared" si="114"/>
        <v>1552151.7241379311</v>
      </c>
      <c r="H284" s="94">
        <f t="shared" si="114"/>
        <v>1593531.0344827587</v>
      </c>
      <c r="I284" s="94">
        <f>I283*16%</f>
        <v>7048151.7241379311</v>
      </c>
      <c r="J284" s="31">
        <f t="shared" si="108"/>
        <v>1006878.8177339901</v>
      </c>
    </row>
    <row r="285" spans="1:10" s="186" customFormat="1" x14ac:dyDescent="0.25">
      <c r="A285" s="201" t="s">
        <v>34</v>
      </c>
      <c r="B285" s="202">
        <f>B283+B284</f>
        <v>3682800</v>
      </c>
      <c r="C285" s="202">
        <f t="shared" ref="C285:H285" si="115">C283+C284</f>
        <v>4583200</v>
      </c>
      <c r="D285" s="202">
        <f t="shared" si="115"/>
        <v>4814700</v>
      </c>
      <c r="E285" s="202">
        <f t="shared" si="115"/>
        <v>5650600</v>
      </c>
      <c r="F285" s="202">
        <f t="shared" si="115"/>
        <v>9561600</v>
      </c>
      <c r="G285" s="202">
        <f t="shared" si="115"/>
        <v>11253100</v>
      </c>
      <c r="H285" s="202">
        <f t="shared" si="115"/>
        <v>11553100</v>
      </c>
      <c r="I285" s="202">
        <f>I283+I284</f>
        <v>51099100</v>
      </c>
      <c r="J285" s="203">
        <f t="shared" si="108"/>
        <v>7299871.4285714282</v>
      </c>
    </row>
    <row r="286" spans="1:10" s="186" customFormat="1" x14ac:dyDescent="0.25">
      <c r="A286" s="204"/>
      <c r="B286" s="112"/>
      <c r="C286" s="112"/>
      <c r="D286" s="112"/>
      <c r="E286" s="112"/>
      <c r="F286" s="112"/>
      <c r="G286" s="112"/>
      <c r="H286" s="112"/>
      <c r="I286" s="112"/>
      <c r="J286" s="205"/>
    </row>
    <row r="287" spans="1:10" s="186" customFormat="1" ht="15.75" thickBot="1" x14ac:dyDescent="0.3">
      <c r="A287" s="204"/>
      <c r="B287" s="112"/>
      <c r="C287" s="112"/>
      <c r="D287" s="112"/>
      <c r="E287" s="112"/>
      <c r="F287" s="112"/>
      <c r="G287" s="112"/>
      <c r="H287" s="112"/>
      <c r="I287" s="112"/>
      <c r="J287" s="205"/>
    </row>
    <row r="288" spans="1:10" s="186" customFormat="1" ht="27" thickBot="1" x14ac:dyDescent="0.3">
      <c r="A288"/>
      <c r="B288" s="1004" t="s">
        <v>114</v>
      </c>
      <c r="C288" s="1004"/>
      <c r="D288" s="1004"/>
      <c r="E288" s="1004"/>
      <c r="F288" s="1004"/>
      <c r="G288" s="1004"/>
      <c r="H288" s="1004"/>
      <c r="I288"/>
      <c r="J288"/>
    </row>
    <row r="289" spans="1:10" s="186" customFormat="1" ht="15.75" x14ac:dyDescent="0.25">
      <c r="A289" s="187" t="s">
        <v>2</v>
      </c>
      <c r="B289" s="206" t="s">
        <v>115</v>
      </c>
      <c r="C289" s="50" t="s">
        <v>116</v>
      </c>
      <c r="D289" s="51" t="s">
        <v>117</v>
      </c>
      <c r="E289" s="52" t="s">
        <v>118</v>
      </c>
      <c r="F289" s="50" t="s">
        <v>119</v>
      </c>
      <c r="G289" s="51" t="s">
        <v>120</v>
      </c>
      <c r="H289" s="50" t="s">
        <v>121</v>
      </c>
      <c r="I289" s="50" t="s">
        <v>96</v>
      </c>
      <c r="J289" s="52" t="s">
        <v>97</v>
      </c>
    </row>
    <row r="290" spans="1:10" s="186" customFormat="1" x14ac:dyDescent="0.25">
      <c r="A290" s="188" t="s">
        <v>11</v>
      </c>
      <c r="B290" s="189">
        <v>357</v>
      </c>
      <c r="C290" s="189">
        <v>119</v>
      </c>
      <c r="D290" s="189">
        <v>114</v>
      </c>
      <c r="E290" s="190">
        <v>182</v>
      </c>
      <c r="F290" s="190">
        <v>336</v>
      </c>
      <c r="G290" s="190">
        <v>419</v>
      </c>
      <c r="H290" s="190">
        <v>389</v>
      </c>
      <c r="I290" s="190">
        <f>SUM(B290:H290)</f>
        <v>1916</v>
      </c>
      <c r="J290" s="191">
        <f>+I290/7</f>
        <v>273.71428571428572</v>
      </c>
    </row>
    <row r="291" spans="1:10" s="186" customFormat="1" x14ac:dyDescent="0.25">
      <c r="A291" s="146" t="s">
        <v>12</v>
      </c>
      <c r="B291" s="11">
        <v>200</v>
      </c>
      <c r="C291" s="11">
        <v>48</v>
      </c>
      <c r="D291" s="11">
        <v>61</v>
      </c>
      <c r="E291" s="11">
        <v>74</v>
      </c>
      <c r="F291" s="11">
        <v>140</v>
      </c>
      <c r="G291" s="11">
        <v>216</v>
      </c>
      <c r="H291" s="11">
        <v>219</v>
      </c>
      <c r="I291" s="11">
        <f>SUM('PEPE SIERRA '!$B291:$H291)</f>
        <v>958</v>
      </c>
      <c r="J291" s="78">
        <f t="shared" ref="J291:J296" si="116">I291/7</f>
        <v>136.85714285714286</v>
      </c>
    </row>
    <row r="292" spans="1:10" s="186" customFormat="1" x14ac:dyDescent="0.25">
      <c r="A292" s="146" t="s">
        <v>13</v>
      </c>
      <c r="B292" s="11">
        <v>16</v>
      </c>
      <c r="C292" s="11">
        <v>5</v>
      </c>
      <c r="D292" s="11">
        <v>8</v>
      </c>
      <c r="E292" s="11">
        <v>7</v>
      </c>
      <c r="F292" s="11">
        <v>6</v>
      </c>
      <c r="G292" s="11">
        <v>8</v>
      </c>
      <c r="H292" s="11">
        <v>9</v>
      </c>
      <c r="I292" s="11">
        <f>SUM('PEPE SIERRA '!$B292:$H292)</f>
        <v>59</v>
      </c>
      <c r="J292" s="78">
        <f t="shared" si="116"/>
        <v>8.4285714285714288</v>
      </c>
    </row>
    <row r="293" spans="1:10" s="186" customFormat="1" x14ac:dyDescent="0.25">
      <c r="A293" s="146" t="s">
        <v>14</v>
      </c>
      <c r="B293" s="11">
        <v>52</v>
      </c>
      <c r="C293" s="11">
        <v>53</v>
      </c>
      <c r="D293" s="11">
        <v>63</v>
      </c>
      <c r="E293" s="11">
        <v>56</v>
      </c>
      <c r="F293" s="11">
        <v>119</v>
      </c>
      <c r="G293" s="11">
        <v>117</v>
      </c>
      <c r="H293" s="11">
        <v>105</v>
      </c>
      <c r="I293" s="11">
        <f>SUM('PEPE SIERRA '!$B293:$H293)</f>
        <v>565</v>
      </c>
      <c r="J293" s="78">
        <f t="shared" si="116"/>
        <v>80.714285714285708</v>
      </c>
    </row>
    <row r="294" spans="1:10" s="186" customFormat="1" x14ac:dyDescent="0.25">
      <c r="A294" s="146" t="s">
        <v>15</v>
      </c>
      <c r="B294" s="11">
        <v>60</v>
      </c>
      <c r="C294" s="11">
        <v>18</v>
      </c>
      <c r="D294" s="11">
        <v>7</v>
      </c>
      <c r="E294" s="11">
        <v>22</v>
      </c>
      <c r="F294" s="11">
        <v>30</v>
      </c>
      <c r="G294" s="11">
        <v>61</v>
      </c>
      <c r="H294" s="11">
        <v>50</v>
      </c>
      <c r="I294" s="11">
        <f>SUM('PEPE SIERRA '!$B294:$H294)</f>
        <v>248</v>
      </c>
      <c r="J294" s="78">
        <f t="shared" si="116"/>
        <v>35.428571428571431</v>
      </c>
    </row>
    <row r="295" spans="1:10" s="186" customFormat="1" x14ac:dyDescent="0.25">
      <c r="A295" s="146" t="s">
        <v>16</v>
      </c>
      <c r="B295" s="11">
        <v>3</v>
      </c>
      <c r="C295" s="11">
        <v>0</v>
      </c>
      <c r="D295" s="11">
        <v>0</v>
      </c>
      <c r="E295" s="11">
        <v>1</v>
      </c>
      <c r="F295" s="11">
        <v>0</v>
      </c>
      <c r="G295" s="11">
        <v>0</v>
      </c>
      <c r="H295" s="11">
        <v>0</v>
      </c>
      <c r="I295" s="11">
        <f>SUM('PEPE SIERRA '!$B295:$H295)</f>
        <v>4</v>
      </c>
      <c r="J295" s="78">
        <f t="shared" si="116"/>
        <v>0.5714285714285714</v>
      </c>
    </row>
    <row r="296" spans="1:10" s="186" customFormat="1" x14ac:dyDescent="0.25">
      <c r="A296" s="103" t="s">
        <v>17</v>
      </c>
      <c r="B296" s="192">
        <f>SUM(B291:B295)</f>
        <v>331</v>
      </c>
      <c r="C296" s="192">
        <f t="shared" ref="C296:I296" si="117">SUM(C291:C295)</f>
        <v>124</v>
      </c>
      <c r="D296" s="192">
        <f t="shared" si="117"/>
        <v>139</v>
      </c>
      <c r="E296" s="192">
        <f t="shared" si="117"/>
        <v>160</v>
      </c>
      <c r="F296" s="192">
        <f t="shared" si="117"/>
        <v>295</v>
      </c>
      <c r="G296" s="192">
        <f t="shared" si="117"/>
        <v>402</v>
      </c>
      <c r="H296" s="192">
        <f t="shared" si="117"/>
        <v>383</v>
      </c>
      <c r="I296" s="192">
        <f t="shared" si="117"/>
        <v>1834</v>
      </c>
      <c r="J296" s="193">
        <f t="shared" si="116"/>
        <v>262</v>
      </c>
    </row>
    <row r="297" spans="1:10" s="186" customFormat="1" x14ac:dyDescent="0.25">
      <c r="A297" s="146" t="s">
        <v>18</v>
      </c>
      <c r="B297" s="30">
        <v>0.64</v>
      </c>
      <c r="C297" s="30">
        <v>0.46</v>
      </c>
      <c r="D297" s="30">
        <v>0.44</v>
      </c>
      <c r="E297" s="30">
        <v>0.52</v>
      </c>
      <c r="F297" s="30">
        <v>0.55000000000000004</v>
      </c>
      <c r="G297" s="30">
        <v>0.59</v>
      </c>
      <c r="H297" s="30">
        <v>0.61</v>
      </c>
      <c r="I297" s="30">
        <f>I304/I309</f>
        <v>0.5741549856341307</v>
      </c>
      <c r="J297" s="30">
        <f>J304/J309</f>
        <v>0.5741549856341307</v>
      </c>
    </row>
    <row r="298" spans="1:10" s="186" customFormat="1" x14ac:dyDescent="0.25">
      <c r="A298" s="146" t="s">
        <v>19</v>
      </c>
      <c r="B298" s="30">
        <v>0.05</v>
      </c>
      <c r="C298" s="30">
        <v>0.03</v>
      </c>
      <c r="D298" s="30">
        <v>0.06</v>
      </c>
      <c r="E298" s="30">
        <v>0.05</v>
      </c>
      <c r="F298" s="30">
        <v>0.03</v>
      </c>
      <c r="G298" s="30">
        <v>0.02</v>
      </c>
      <c r="H298" s="30">
        <v>0.03</v>
      </c>
      <c r="I298" s="30">
        <f>I305/I309</f>
        <v>3.5221923916720965E-2</v>
      </c>
      <c r="J298" s="30">
        <f>J305/J309</f>
        <v>3.5221923916720965E-2</v>
      </c>
    </row>
    <row r="299" spans="1:10" s="186" customFormat="1" x14ac:dyDescent="0.25">
      <c r="A299" s="146" t="s">
        <v>20</v>
      </c>
      <c r="B299" s="30">
        <v>0.13</v>
      </c>
      <c r="C299" s="30">
        <v>0.36</v>
      </c>
      <c r="D299" s="30">
        <v>0.45</v>
      </c>
      <c r="E299" s="30">
        <v>0.27</v>
      </c>
      <c r="F299" s="30">
        <v>0.33</v>
      </c>
      <c r="G299" s="30">
        <v>0.22</v>
      </c>
      <c r="H299" s="30">
        <v>0.22</v>
      </c>
      <c r="I299" s="30">
        <f>I306/I309</f>
        <v>0.24756577956904929</v>
      </c>
      <c r="J299" s="30">
        <f>J306/J309</f>
        <v>0.24756577956904929</v>
      </c>
    </row>
    <row r="300" spans="1:10" s="186" customFormat="1" x14ac:dyDescent="0.25">
      <c r="A300" s="146" t="s">
        <v>21</v>
      </c>
      <c r="B300" s="30">
        <v>0.17</v>
      </c>
      <c r="C300" s="30">
        <v>0.15</v>
      </c>
      <c r="D300" s="30">
        <v>0.05</v>
      </c>
      <c r="E300" s="30">
        <v>0.15</v>
      </c>
      <c r="F300" s="30">
        <v>0.09</v>
      </c>
      <c r="G300" s="30">
        <v>0.17</v>
      </c>
      <c r="H300" s="30">
        <v>0.14000000000000001</v>
      </c>
      <c r="I300" s="30">
        <f>I307/I309</f>
        <v>0.14026343850443818</v>
      </c>
      <c r="J300" s="30">
        <f>J307/J309</f>
        <v>0.14026343850443818</v>
      </c>
    </row>
    <row r="301" spans="1:10" s="186" customFormat="1" x14ac:dyDescent="0.25">
      <c r="A301" s="146" t="s">
        <v>22</v>
      </c>
      <c r="B301" s="30">
        <v>0.01</v>
      </c>
      <c r="C301" s="30">
        <v>0</v>
      </c>
      <c r="D301" s="30">
        <v>0</v>
      </c>
      <c r="E301" s="30">
        <v>0.01</v>
      </c>
      <c r="F301" s="30">
        <v>0</v>
      </c>
      <c r="G301" s="30">
        <v>0</v>
      </c>
      <c r="H301" s="30">
        <v>0</v>
      </c>
      <c r="I301" s="30">
        <f>I308/I309</f>
        <v>2.7938723756608889E-3</v>
      </c>
      <c r="J301" s="30">
        <f>J308/J309</f>
        <v>2.7938723756608889E-3</v>
      </c>
    </row>
    <row r="302" spans="1:10" s="186" customFormat="1" x14ac:dyDescent="0.25">
      <c r="A302" s="195" t="s">
        <v>23</v>
      </c>
      <c r="B302" s="66">
        <f>B313/B296</f>
        <v>35671.601208459215</v>
      </c>
      <c r="C302" s="66">
        <f t="shared" ref="C302:H302" si="118">C313/C296</f>
        <v>30142.741935483875</v>
      </c>
      <c r="D302" s="66">
        <f t="shared" si="118"/>
        <v>27051.079136690652</v>
      </c>
      <c r="E302" s="66">
        <f t="shared" si="118"/>
        <v>33206.875000000007</v>
      </c>
      <c r="F302" s="66">
        <f t="shared" si="118"/>
        <v>33440</v>
      </c>
      <c r="G302" s="66">
        <f t="shared" si="118"/>
        <v>33618.905472636819</v>
      </c>
      <c r="H302" s="66">
        <f t="shared" si="118"/>
        <v>34526.892950391652</v>
      </c>
      <c r="I302" s="66">
        <f>I313/I296</f>
        <v>33381.461286804799</v>
      </c>
      <c r="J302" s="66">
        <f>J313/J296</f>
        <v>33381.461286804792</v>
      </c>
    </row>
    <row r="303" spans="1:10" s="186" customFormat="1" x14ac:dyDescent="0.25">
      <c r="A303" s="195" t="s">
        <v>24</v>
      </c>
      <c r="B303" s="66">
        <f t="shared" ref="B303:I303" si="119">+B313/B290</f>
        <v>33073.669467787113</v>
      </c>
      <c r="C303" s="66">
        <f t="shared" si="119"/>
        <v>31409.243697478996</v>
      </c>
      <c r="D303" s="66">
        <f t="shared" si="119"/>
        <v>32983.333333333336</v>
      </c>
      <c r="E303" s="66">
        <f t="shared" si="119"/>
        <v>29192.857142857149</v>
      </c>
      <c r="F303" s="66">
        <f t="shared" si="119"/>
        <v>29359.523809523809</v>
      </c>
      <c r="G303" s="66">
        <f t="shared" si="119"/>
        <v>32254.892601431984</v>
      </c>
      <c r="H303" s="66">
        <f t="shared" si="119"/>
        <v>33994.344473007717</v>
      </c>
      <c r="I303" s="66">
        <f t="shared" si="119"/>
        <v>31952.818371607515</v>
      </c>
      <c r="J303" s="66">
        <f>J313/J290</f>
        <v>31952.818371607511</v>
      </c>
    </row>
    <row r="304" spans="1:10" s="186" customFormat="1" x14ac:dyDescent="0.25">
      <c r="A304" s="146" t="s">
        <v>25</v>
      </c>
      <c r="B304" s="92">
        <f t="shared" ref="B304:H304" si="120">B309*B297</f>
        <v>6238532.4137931038</v>
      </c>
      <c r="C304" s="92">
        <f t="shared" si="120"/>
        <v>1434608.9793103451</v>
      </c>
      <c r="D304" s="92">
        <f t="shared" si="120"/>
        <v>1368404.6275862071</v>
      </c>
      <c r="E304" s="92">
        <f t="shared" si="120"/>
        <v>2298810.0827586208</v>
      </c>
      <c r="F304" s="92">
        <f t="shared" si="120"/>
        <v>4511340.862068966</v>
      </c>
      <c r="G304" s="31">
        <f t="shared" si="120"/>
        <v>6599273.6965517243</v>
      </c>
      <c r="H304" s="31">
        <f t="shared" si="120"/>
        <v>6666008.3775862074</v>
      </c>
      <c r="I304" s="31">
        <f t="shared" ref="I304:I309" si="121">SUM(B304:H304)</f>
        <v>29116979.039655175</v>
      </c>
      <c r="J304" s="31">
        <f t="shared" ref="J304:J313" si="122">I304/7</f>
        <v>4159568.4342364534</v>
      </c>
    </row>
    <row r="305" spans="1:10" s="186" customFormat="1" x14ac:dyDescent="0.25">
      <c r="A305" s="146" t="s">
        <v>26</v>
      </c>
      <c r="B305" s="92">
        <f t="shared" ref="B305:H305" si="123">B309*B298</f>
        <v>487385.34482758626</v>
      </c>
      <c r="C305" s="92">
        <f t="shared" si="123"/>
        <v>93561.4551724138</v>
      </c>
      <c r="D305" s="92">
        <f t="shared" si="123"/>
        <v>186600.63103448277</v>
      </c>
      <c r="E305" s="92">
        <f t="shared" si="123"/>
        <v>221039.43103448278</v>
      </c>
      <c r="F305" s="92">
        <f t="shared" si="123"/>
        <v>246073.13793103449</v>
      </c>
      <c r="G305" s="31">
        <f t="shared" si="123"/>
        <v>223704.19310344831</v>
      </c>
      <c r="H305" s="31">
        <f t="shared" si="123"/>
        <v>327836.47758620692</v>
      </c>
      <c r="I305" s="31">
        <f t="shared" si="121"/>
        <v>1786200.6706896552</v>
      </c>
      <c r="J305" s="31">
        <f t="shared" si="122"/>
        <v>255171.52438423646</v>
      </c>
    </row>
    <row r="306" spans="1:10" s="186" customFormat="1" x14ac:dyDescent="0.25">
      <c r="A306" s="146" t="s">
        <v>27</v>
      </c>
      <c r="B306" s="92">
        <f t="shared" ref="B306:H306" si="124">B309*B299</f>
        <v>1267201.8965517243</v>
      </c>
      <c r="C306" s="92">
        <f t="shared" si="124"/>
        <v>1122737.4620689657</v>
      </c>
      <c r="D306" s="92">
        <f t="shared" si="124"/>
        <v>1399504.732758621</v>
      </c>
      <c r="E306" s="92">
        <f t="shared" si="124"/>
        <v>1193612.9275862072</v>
      </c>
      <c r="F306" s="92">
        <f t="shared" si="124"/>
        <v>2706804.5172413797</v>
      </c>
      <c r="G306" s="31">
        <f t="shared" si="124"/>
        <v>2460746.1241379315</v>
      </c>
      <c r="H306" s="31">
        <f t="shared" si="124"/>
        <v>2404134.1689655175</v>
      </c>
      <c r="I306" s="31">
        <f t="shared" si="121"/>
        <v>12554741.829310346</v>
      </c>
      <c r="J306" s="31">
        <f t="shared" si="122"/>
        <v>1793534.5470443352</v>
      </c>
    </row>
    <row r="307" spans="1:10" s="186" customFormat="1" x14ac:dyDescent="0.25">
      <c r="A307" s="146" t="s">
        <v>28</v>
      </c>
      <c r="B307" s="92">
        <f t="shared" ref="B307:H307" si="125">B309*B300</f>
        <v>1657110.1724137934</v>
      </c>
      <c r="C307" s="92">
        <f t="shared" si="125"/>
        <v>467807.27586206899</v>
      </c>
      <c r="D307" s="92">
        <f t="shared" si="125"/>
        <v>155500.52586206899</v>
      </c>
      <c r="E307" s="92">
        <f t="shared" si="125"/>
        <v>663118.29310344835</v>
      </c>
      <c r="F307" s="92">
        <f t="shared" si="125"/>
        <v>738219.41379310342</v>
      </c>
      <c r="G307" s="31">
        <f t="shared" si="125"/>
        <v>1901485.6413793107</v>
      </c>
      <c r="H307" s="31">
        <f t="shared" si="125"/>
        <v>1529903.562068966</v>
      </c>
      <c r="I307" s="31">
        <f t="shared" si="121"/>
        <v>7113144.8844827591</v>
      </c>
      <c r="J307" s="31">
        <f t="shared" si="122"/>
        <v>1016163.5549261085</v>
      </c>
    </row>
    <row r="308" spans="1:10" s="186" customFormat="1" x14ac:dyDescent="0.25">
      <c r="A308" s="146" t="s">
        <v>29</v>
      </c>
      <c r="B308" s="92">
        <f>B309*B301</f>
        <v>97477.068965517246</v>
      </c>
      <c r="C308" s="92">
        <f t="shared" ref="C308:H308" si="126">C309*C301</f>
        <v>0</v>
      </c>
      <c r="D308" s="92">
        <f t="shared" si="126"/>
        <v>0</v>
      </c>
      <c r="E308" s="92">
        <f t="shared" si="126"/>
        <v>44207.886206896561</v>
      </c>
      <c r="F308" s="92">
        <f t="shared" si="126"/>
        <v>0</v>
      </c>
      <c r="G308" s="31">
        <f t="shared" si="126"/>
        <v>0</v>
      </c>
      <c r="H308" s="31">
        <f t="shared" si="126"/>
        <v>0</v>
      </c>
      <c r="I308" s="31">
        <f t="shared" si="121"/>
        <v>141684.95517241381</v>
      </c>
      <c r="J308" s="31">
        <f t="shared" si="122"/>
        <v>20240.707881773404</v>
      </c>
    </row>
    <row r="309" spans="1:10" s="186" customFormat="1" x14ac:dyDescent="0.25">
      <c r="A309" s="196" t="s">
        <v>30</v>
      </c>
      <c r="B309" s="91">
        <f>(11807300/1.16)-B310</f>
        <v>9747706.8965517245</v>
      </c>
      <c r="C309" s="91">
        <f>(3737700/1.16)-C310</f>
        <v>3118715.1724137934</v>
      </c>
      <c r="D309" s="91">
        <f>(3760100/1.16)-D310</f>
        <v>3110010.5172413797</v>
      </c>
      <c r="E309" s="91">
        <f>(5313100/1.16)-E310</f>
        <v>4420788.6206896557</v>
      </c>
      <c r="F309" s="91">
        <f>(9864800/1.16)-F310</f>
        <v>8202437.931034483</v>
      </c>
      <c r="G309" s="197">
        <f>(13514800/1.16)-G310</f>
        <v>11185209.655172415</v>
      </c>
      <c r="H309" s="197">
        <f>(13223800/1.16)-H310</f>
        <v>10927882.586206898</v>
      </c>
      <c r="I309" s="197">
        <f t="shared" si="121"/>
        <v>50712751.379310347</v>
      </c>
      <c r="J309" s="197">
        <f t="shared" si="122"/>
        <v>7244678.7684729071</v>
      </c>
    </row>
    <row r="310" spans="1:10" s="186" customFormat="1" x14ac:dyDescent="0.25">
      <c r="A310" s="146" t="s">
        <v>31</v>
      </c>
      <c r="B310" s="92">
        <f t="shared" ref="B310:I310" si="127">2155*B291</f>
        <v>431000</v>
      </c>
      <c r="C310" s="92">
        <f t="shared" si="127"/>
        <v>103440</v>
      </c>
      <c r="D310" s="92">
        <f t="shared" si="127"/>
        <v>131455</v>
      </c>
      <c r="E310" s="92">
        <f t="shared" si="127"/>
        <v>159470</v>
      </c>
      <c r="F310" s="92">
        <f t="shared" si="127"/>
        <v>301700</v>
      </c>
      <c r="G310" s="31">
        <f t="shared" si="127"/>
        <v>465480</v>
      </c>
      <c r="H310" s="31">
        <f t="shared" si="127"/>
        <v>471945</v>
      </c>
      <c r="I310" s="31">
        <f t="shared" si="127"/>
        <v>2064490</v>
      </c>
      <c r="J310" s="31">
        <f t="shared" si="122"/>
        <v>294927.14285714284</v>
      </c>
    </row>
    <row r="311" spans="1:10" s="186" customFormat="1" x14ac:dyDescent="0.25">
      <c r="A311" s="198" t="s">
        <v>32</v>
      </c>
      <c r="B311" s="199">
        <f>B310+B309</f>
        <v>10178706.896551725</v>
      </c>
      <c r="C311" s="199">
        <f>C310+C309</f>
        <v>3222155.1724137934</v>
      </c>
      <c r="D311" s="199">
        <f>D310+D309</f>
        <v>3241465.5172413797</v>
      </c>
      <c r="E311" s="199">
        <f>E310+E309</f>
        <v>4580258.6206896557</v>
      </c>
      <c r="F311" s="199">
        <f>F309+F310</f>
        <v>8504137.931034483</v>
      </c>
      <c r="G311" s="199">
        <f>G310+G309</f>
        <v>11650689.655172415</v>
      </c>
      <c r="H311" s="199">
        <f>H310+H309</f>
        <v>11399827.586206898</v>
      </c>
      <c r="I311" s="199">
        <f>I309+I310</f>
        <v>52777241.379310347</v>
      </c>
      <c r="J311" s="200">
        <f t="shared" si="122"/>
        <v>7539605.9113300499</v>
      </c>
    </row>
    <row r="312" spans="1:10" s="186" customFormat="1" x14ac:dyDescent="0.25">
      <c r="A312" s="146" t="s">
        <v>33</v>
      </c>
      <c r="B312" s="94">
        <f>B311*16%</f>
        <v>1628593.1034482759</v>
      </c>
      <c r="C312" s="94">
        <f t="shared" ref="C312:H312" si="128">C311*16%</f>
        <v>515544.82758620696</v>
      </c>
      <c r="D312" s="94">
        <f t="shared" si="128"/>
        <v>518634.48275862075</v>
      </c>
      <c r="E312" s="94">
        <f t="shared" si="128"/>
        <v>732841.37931034493</v>
      </c>
      <c r="F312" s="94">
        <f t="shared" si="128"/>
        <v>1360662.0689655172</v>
      </c>
      <c r="G312" s="94">
        <f t="shared" si="128"/>
        <v>1864110.3448275866</v>
      </c>
      <c r="H312" s="94">
        <f t="shared" si="128"/>
        <v>1823972.4137931038</v>
      </c>
      <c r="I312" s="94">
        <f>I311*16%</f>
        <v>8444358.6206896566</v>
      </c>
      <c r="J312" s="31">
        <f t="shared" si="122"/>
        <v>1206336.9458128081</v>
      </c>
    </row>
    <row r="313" spans="1:10" s="186" customFormat="1" x14ac:dyDescent="0.25">
      <c r="A313" s="201" t="s">
        <v>34</v>
      </c>
      <c r="B313" s="202">
        <f>B311+B312</f>
        <v>11807300</v>
      </c>
      <c r="C313" s="202">
        <f t="shared" ref="C313:H313" si="129">C311+C312</f>
        <v>3737700.0000000005</v>
      </c>
      <c r="D313" s="202">
        <f t="shared" si="129"/>
        <v>3760100.0000000005</v>
      </c>
      <c r="E313" s="202">
        <f t="shared" si="129"/>
        <v>5313100.0000000009</v>
      </c>
      <c r="F313" s="202">
        <f t="shared" si="129"/>
        <v>9864800</v>
      </c>
      <c r="G313" s="202">
        <f t="shared" si="129"/>
        <v>13514800.000000002</v>
      </c>
      <c r="H313" s="202">
        <f t="shared" si="129"/>
        <v>13223800.000000002</v>
      </c>
      <c r="I313" s="202">
        <f>I311+I312</f>
        <v>61221600</v>
      </c>
      <c r="J313" s="203">
        <f t="shared" si="122"/>
        <v>8745942.8571428563</v>
      </c>
    </row>
    <row r="314" spans="1:10" s="186" customFormat="1" x14ac:dyDescent="0.25">
      <c r="A314" s="204"/>
      <c r="B314" s="112"/>
      <c r="C314" s="112"/>
      <c r="D314" s="112"/>
      <c r="E314" s="112"/>
      <c r="F314" s="112"/>
      <c r="G314" s="112"/>
      <c r="H314" s="112"/>
      <c r="I314" s="112"/>
      <c r="J314" s="205"/>
    </row>
    <row r="315" spans="1:10" s="186" customFormat="1" ht="15.75" thickBot="1" x14ac:dyDescent="0.3">
      <c r="A315" s="204"/>
      <c r="B315" s="112"/>
      <c r="C315" s="112"/>
      <c r="D315" s="112"/>
      <c r="E315" s="112"/>
      <c r="F315" s="112"/>
      <c r="G315" s="112"/>
      <c r="H315" s="112"/>
      <c r="I315" s="112"/>
      <c r="J315" s="205"/>
    </row>
    <row r="316" spans="1:10" s="186" customFormat="1" ht="27" thickBot="1" x14ac:dyDescent="0.3">
      <c r="A316"/>
      <c r="B316" s="1004" t="s">
        <v>122</v>
      </c>
      <c r="C316" s="1004"/>
      <c r="D316" s="1004"/>
      <c r="E316" s="1004"/>
      <c r="F316" s="1004"/>
      <c r="G316" s="1004"/>
      <c r="H316" s="1004"/>
      <c r="I316"/>
      <c r="J316"/>
    </row>
    <row r="317" spans="1:10" s="186" customFormat="1" ht="15.75" x14ac:dyDescent="0.25">
      <c r="A317" s="187" t="s">
        <v>2</v>
      </c>
      <c r="B317" s="50" t="s">
        <v>123</v>
      </c>
      <c r="C317" s="50" t="s">
        <v>124</v>
      </c>
      <c r="D317" s="51" t="s">
        <v>125</v>
      </c>
      <c r="E317" s="52" t="s">
        <v>126</v>
      </c>
      <c r="F317" s="50" t="s">
        <v>127</v>
      </c>
      <c r="G317" s="51" t="s">
        <v>128</v>
      </c>
      <c r="H317" s="50" t="s">
        <v>129</v>
      </c>
      <c r="I317" s="50" t="s">
        <v>96</v>
      </c>
      <c r="J317" s="52" t="s">
        <v>97</v>
      </c>
    </row>
    <row r="318" spans="1:10" s="186" customFormat="1" x14ac:dyDescent="0.25">
      <c r="A318" s="188" t="s">
        <v>11</v>
      </c>
      <c r="B318" s="189">
        <v>126</v>
      </c>
      <c r="C318" s="189">
        <v>109</v>
      </c>
      <c r="D318" s="189">
        <v>135</v>
      </c>
      <c r="E318" s="190">
        <v>172</v>
      </c>
      <c r="F318" s="190">
        <v>373</v>
      </c>
      <c r="G318" s="190">
        <v>421</v>
      </c>
      <c r="H318" s="190">
        <v>460</v>
      </c>
      <c r="I318" s="190">
        <f>SUM(B318:H318)</f>
        <v>1796</v>
      </c>
      <c r="J318" s="191">
        <f>+I318/7</f>
        <v>256.57142857142856</v>
      </c>
    </row>
    <row r="319" spans="1:10" s="186" customFormat="1" x14ac:dyDescent="0.25">
      <c r="A319" s="146" t="s">
        <v>12</v>
      </c>
      <c r="B319" s="11">
        <v>51</v>
      </c>
      <c r="C319" s="11">
        <v>60</v>
      </c>
      <c r="D319" s="11">
        <v>63</v>
      </c>
      <c r="E319" s="11">
        <v>82</v>
      </c>
      <c r="F319" s="11">
        <v>190</v>
      </c>
      <c r="G319" s="11">
        <v>231</v>
      </c>
      <c r="H319" s="11">
        <v>239</v>
      </c>
      <c r="I319" s="11">
        <f>SUM('PEPE SIERRA '!$B319:$H319)</f>
        <v>916</v>
      </c>
      <c r="J319" s="78">
        <f t="shared" ref="J319:J324" si="130">I319/7</f>
        <v>130.85714285714286</v>
      </c>
    </row>
    <row r="320" spans="1:10" s="186" customFormat="1" x14ac:dyDescent="0.25">
      <c r="A320" s="146" t="s">
        <v>13</v>
      </c>
      <c r="B320" s="11">
        <v>1</v>
      </c>
      <c r="C320" s="11">
        <v>0</v>
      </c>
      <c r="D320" s="11">
        <v>2</v>
      </c>
      <c r="E320" s="11">
        <v>1</v>
      </c>
      <c r="F320" s="11">
        <v>1</v>
      </c>
      <c r="G320" s="11">
        <v>0</v>
      </c>
      <c r="H320" s="11">
        <v>0</v>
      </c>
      <c r="I320" s="11">
        <f>SUM('PEPE SIERRA '!$B320:$H320)</f>
        <v>5</v>
      </c>
      <c r="J320" s="78">
        <f t="shared" si="130"/>
        <v>0.7142857142857143</v>
      </c>
    </row>
    <row r="321" spans="1:10" s="186" customFormat="1" x14ac:dyDescent="0.25">
      <c r="A321" s="146" t="s">
        <v>14</v>
      </c>
      <c r="B321" s="11">
        <v>47</v>
      </c>
      <c r="C321" s="11">
        <v>39</v>
      </c>
      <c r="D321" s="11">
        <v>45</v>
      </c>
      <c r="E321" s="11">
        <v>52</v>
      </c>
      <c r="F321" s="11">
        <v>88</v>
      </c>
      <c r="G321" s="11">
        <v>95</v>
      </c>
      <c r="H321" s="11">
        <v>112</v>
      </c>
      <c r="I321" s="11">
        <f>SUM('PEPE SIERRA '!$B321:$H321)</f>
        <v>478</v>
      </c>
      <c r="J321" s="78">
        <f t="shared" si="130"/>
        <v>68.285714285714292</v>
      </c>
    </row>
    <row r="322" spans="1:10" s="186" customFormat="1" x14ac:dyDescent="0.25">
      <c r="A322" s="146" t="s">
        <v>15</v>
      </c>
      <c r="B322" s="11">
        <v>16</v>
      </c>
      <c r="C322" s="11">
        <v>12</v>
      </c>
      <c r="D322" s="11">
        <v>14</v>
      </c>
      <c r="E322" s="11">
        <v>15</v>
      </c>
      <c r="F322" s="11">
        <v>41</v>
      </c>
      <c r="G322" s="11">
        <v>58</v>
      </c>
      <c r="H322" s="11">
        <v>55</v>
      </c>
      <c r="I322" s="11">
        <f>SUM('PEPE SIERRA '!$B322:$H322)</f>
        <v>211</v>
      </c>
      <c r="J322" s="78">
        <f t="shared" si="130"/>
        <v>30.142857142857142</v>
      </c>
    </row>
    <row r="323" spans="1:10" s="186" customFormat="1" x14ac:dyDescent="0.25">
      <c r="A323" s="146" t="s">
        <v>16</v>
      </c>
      <c r="B323" s="11">
        <v>2</v>
      </c>
      <c r="C323" s="11">
        <v>1</v>
      </c>
      <c r="D323" s="11">
        <v>0</v>
      </c>
      <c r="E323" s="11">
        <v>0</v>
      </c>
      <c r="F323" s="11">
        <v>1</v>
      </c>
      <c r="G323" s="11">
        <v>2</v>
      </c>
      <c r="H323" s="11">
        <v>0</v>
      </c>
      <c r="I323" s="11">
        <f>SUM('PEPE SIERRA '!$B323:$H323)</f>
        <v>6</v>
      </c>
      <c r="J323" s="78">
        <f t="shared" si="130"/>
        <v>0.8571428571428571</v>
      </c>
    </row>
    <row r="324" spans="1:10" s="186" customFormat="1" x14ac:dyDescent="0.25">
      <c r="A324" s="103" t="s">
        <v>17</v>
      </c>
      <c r="B324" s="192">
        <f>SUM(B319:B323)</f>
        <v>117</v>
      </c>
      <c r="C324" s="192">
        <f t="shared" ref="C324:I324" si="131">SUM(C319:C323)</f>
        <v>112</v>
      </c>
      <c r="D324" s="192">
        <f t="shared" si="131"/>
        <v>124</v>
      </c>
      <c r="E324" s="192">
        <f t="shared" si="131"/>
        <v>150</v>
      </c>
      <c r="F324" s="192">
        <f t="shared" si="131"/>
        <v>321</v>
      </c>
      <c r="G324" s="192">
        <f t="shared" si="131"/>
        <v>386</v>
      </c>
      <c r="H324" s="192">
        <f t="shared" si="131"/>
        <v>406</v>
      </c>
      <c r="I324" s="192">
        <f t="shared" si="131"/>
        <v>1616</v>
      </c>
      <c r="J324" s="193">
        <f t="shared" si="130"/>
        <v>230.85714285714286</v>
      </c>
    </row>
    <row r="325" spans="1:10" s="186" customFormat="1" x14ac:dyDescent="0.25">
      <c r="A325" s="146" t="s">
        <v>18</v>
      </c>
      <c r="B325" s="30">
        <v>0.5</v>
      </c>
      <c r="C325" s="30">
        <v>0.56999999999999995</v>
      </c>
      <c r="D325" s="30">
        <v>0.56000000000000005</v>
      </c>
      <c r="E325" s="30">
        <v>0.63</v>
      </c>
      <c r="F325" s="30">
        <v>0.6</v>
      </c>
      <c r="G325" s="30">
        <v>0.61</v>
      </c>
      <c r="H325" s="30">
        <v>0.65</v>
      </c>
      <c r="I325" s="30">
        <f>I332/I337</f>
        <v>0.606201188773695</v>
      </c>
      <c r="J325" s="30">
        <f>J332/J337</f>
        <v>0.606201188773695</v>
      </c>
    </row>
    <row r="326" spans="1:10" s="186" customFormat="1" x14ac:dyDescent="0.25">
      <c r="A326" s="146" t="s">
        <v>19</v>
      </c>
      <c r="B326" s="30">
        <v>0</v>
      </c>
      <c r="C326" s="30">
        <v>0</v>
      </c>
      <c r="D326" s="30">
        <v>0.02</v>
      </c>
      <c r="E326" s="30">
        <v>0.01</v>
      </c>
      <c r="F326" s="30">
        <v>0</v>
      </c>
      <c r="G326" s="30">
        <v>0</v>
      </c>
      <c r="H326" s="30">
        <v>0</v>
      </c>
      <c r="I326" s="30">
        <f>I333/I337</f>
        <v>2.4856689021718241E-3</v>
      </c>
      <c r="J326" s="30">
        <f>J333/J337</f>
        <v>2.4856689021718246E-3</v>
      </c>
    </row>
    <row r="327" spans="1:10" s="186" customFormat="1" x14ac:dyDescent="0.25">
      <c r="A327" s="146" t="s">
        <v>20</v>
      </c>
      <c r="B327" s="30">
        <v>0.36</v>
      </c>
      <c r="C327" s="30">
        <v>0.33</v>
      </c>
      <c r="D327" s="30">
        <v>0.33</v>
      </c>
      <c r="E327" s="30">
        <v>0.27</v>
      </c>
      <c r="F327" s="30">
        <v>0.23</v>
      </c>
      <c r="G327" s="30">
        <v>0.23</v>
      </c>
      <c r="H327" s="30">
        <v>0.21</v>
      </c>
      <c r="I327" s="30">
        <f>I334/I337</f>
        <v>0.25171628411462754</v>
      </c>
      <c r="J327" s="30">
        <f>J334/J337</f>
        <v>0.25171628411462754</v>
      </c>
    </row>
    <row r="328" spans="1:10" s="186" customFormat="1" x14ac:dyDescent="0.25">
      <c r="A328" s="146" t="s">
        <v>21</v>
      </c>
      <c r="B328" s="30">
        <v>0.13</v>
      </c>
      <c r="C328" s="30">
        <v>0.08</v>
      </c>
      <c r="D328" s="30">
        <v>0.09</v>
      </c>
      <c r="E328" s="30">
        <v>0.09</v>
      </c>
      <c r="F328" s="30">
        <v>0.14000000000000001</v>
      </c>
      <c r="G328" s="30">
        <v>0.15</v>
      </c>
      <c r="H328" s="30">
        <v>0.14000000000000001</v>
      </c>
      <c r="I328" s="30">
        <f>I335/I337</f>
        <v>0.12929381473037641</v>
      </c>
      <c r="J328" s="30">
        <f>J335/J337</f>
        <v>0.12929381473037641</v>
      </c>
    </row>
    <row r="329" spans="1:10" s="186" customFormat="1" x14ac:dyDescent="0.25">
      <c r="A329" s="146" t="s">
        <v>22</v>
      </c>
      <c r="B329" s="30">
        <v>0.01</v>
      </c>
      <c r="C329" s="30">
        <v>0.02</v>
      </c>
      <c r="D329" s="30">
        <v>0</v>
      </c>
      <c r="E329" s="30">
        <v>0</v>
      </c>
      <c r="F329" s="30">
        <v>0.03</v>
      </c>
      <c r="G329" s="30">
        <v>0.01</v>
      </c>
      <c r="H329" s="30">
        <v>0</v>
      </c>
      <c r="I329" s="30">
        <f>I336/I337</f>
        <v>1.0303043479129109E-2</v>
      </c>
      <c r="J329" s="30">
        <f>J336/J337</f>
        <v>1.0303043479129107E-2</v>
      </c>
    </row>
    <row r="330" spans="1:10" s="186" customFormat="1" x14ac:dyDescent="0.25">
      <c r="A330" s="195" t="s">
        <v>23</v>
      </c>
      <c r="B330" s="66">
        <f>B341/B324</f>
        <v>31869.230769230773</v>
      </c>
      <c r="C330" s="66">
        <f t="shared" ref="C330:H330" si="132">C341/C324</f>
        <v>34604.464285714283</v>
      </c>
      <c r="D330" s="66">
        <f t="shared" si="132"/>
        <v>36550.806451612902</v>
      </c>
      <c r="E330" s="66">
        <f t="shared" si="132"/>
        <v>33984</v>
      </c>
      <c r="F330" s="66">
        <f t="shared" si="132"/>
        <v>34668.535825545179</v>
      </c>
      <c r="G330" s="66">
        <f t="shared" si="132"/>
        <v>36556.217616580318</v>
      </c>
      <c r="H330" s="66">
        <f t="shared" si="132"/>
        <v>36206.403940886703</v>
      </c>
      <c r="I330" s="66">
        <f>I341/I324</f>
        <v>35379.579207920797</v>
      </c>
      <c r="J330" s="66">
        <f>J341/J324</f>
        <v>35379.579207920797</v>
      </c>
    </row>
    <row r="331" spans="1:10" s="186" customFormat="1" x14ac:dyDescent="0.25">
      <c r="A331" s="195" t="s">
        <v>24</v>
      </c>
      <c r="B331" s="66">
        <f t="shared" ref="B331:I331" si="133">+B341/B318</f>
        <v>29592.857142857145</v>
      </c>
      <c r="C331" s="66">
        <f t="shared" si="133"/>
        <v>35556.880733944956</v>
      </c>
      <c r="D331" s="66">
        <f t="shared" si="133"/>
        <v>33572.592592592591</v>
      </c>
      <c r="E331" s="66">
        <f t="shared" si="133"/>
        <v>29637.20930232558</v>
      </c>
      <c r="F331" s="66">
        <f t="shared" si="133"/>
        <v>29835.388739946386</v>
      </c>
      <c r="G331" s="66">
        <f t="shared" si="133"/>
        <v>33517.102137767222</v>
      </c>
      <c r="H331" s="66">
        <f t="shared" si="133"/>
        <v>31956.08695652174</v>
      </c>
      <c r="I331" s="66">
        <f t="shared" si="133"/>
        <v>31833.741648106909</v>
      </c>
      <c r="J331" s="66">
        <f>J341/J318</f>
        <v>31833.741648106912</v>
      </c>
    </row>
    <row r="332" spans="1:10" s="186" customFormat="1" x14ac:dyDescent="0.25">
      <c r="A332" s="146" t="s">
        <v>25</v>
      </c>
      <c r="B332" s="92">
        <f t="shared" ref="B332:H332" si="134">B337*B325</f>
        <v>1552245.7758620691</v>
      </c>
      <c r="C332" s="92">
        <f t="shared" si="134"/>
        <v>1830737.7931034483</v>
      </c>
      <c r="D332" s="92">
        <f t="shared" si="134"/>
        <v>2111978.4965517246</v>
      </c>
      <c r="E332" s="92">
        <f t="shared" si="134"/>
        <v>2657196.8379310346</v>
      </c>
      <c r="F332" s="92">
        <f t="shared" si="134"/>
        <v>5510502.4137931038</v>
      </c>
      <c r="G332" s="31">
        <f t="shared" si="134"/>
        <v>7116620.8465517247</v>
      </c>
      <c r="H332" s="31">
        <f t="shared" si="134"/>
        <v>7902177.6465517245</v>
      </c>
      <c r="I332" s="31">
        <f t="shared" ref="I332:I337" si="135">SUM(B332:H332)</f>
        <v>28681459.81034483</v>
      </c>
      <c r="J332" s="31">
        <f t="shared" ref="J332:J341" si="136">I332/7</f>
        <v>4097351.4014778328</v>
      </c>
    </row>
    <row r="333" spans="1:10" s="186" customFormat="1" x14ac:dyDescent="0.25">
      <c r="A333" s="146" t="s">
        <v>26</v>
      </c>
      <c r="B333" s="92">
        <f t="shared" ref="B333:H333" si="137">B337*B326</f>
        <v>0</v>
      </c>
      <c r="C333" s="92">
        <f t="shared" si="137"/>
        <v>0</v>
      </c>
      <c r="D333" s="92">
        <f t="shared" si="137"/>
        <v>75427.803448275867</v>
      </c>
      <c r="E333" s="92">
        <f t="shared" si="137"/>
        <v>42177.7275862069</v>
      </c>
      <c r="F333" s="92">
        <f t="shared" si="137"/>
        <v>0</v>
      </c>
      <c r="G333" s="31">
        <f t="shared" si="137"/>
        <v>0</v>
      </c>
      <c r="H333" s="31">
        <f t="shared" si="137"/>
        <v>0</v>
      </c>
      <c r="I333" s="31">
        <f t="shared" si="135"/>
        <v>117605.53103448276</v>
      </c>
      <c r="J333" s="31">
        <f t="shared" si="136"/>
        <v>16800.790147783253</v>
      </c>
    </row>
    <row r="334" spans="1:10" s="186" customFormat="1" x14ac:dyDescent="0.25">
      <c r="A334" s="146" t="s">
        <v>27</v>
      </c>
      <c r="B334" s="92">
        <f t="shared" ref="B334:H334" si="138">B337*B327</f>
        <v>1117616.9586206898</v>
      </c>
      <c r="C334" s="92">
        <f t="shared" si="138"/>
        <v>1059900.8275862071</v>
      </c>
      <c r="D334" s="92">
        <f t="shared" si="138"/>
        <v>1244558.7568965519</v>
      </c>
      <c r="E334" s="92">
        <f t="shared" si="138"/>
        <v>1138798.6448275864</v>
      </c>
      <c r="F334" s="92">
        <f t="shared" si="138"/>
        <v>2112359.2586206901</v>
      </c>
      <c r="G334" s="31">
        <f t="shared" si="138"/>
        <v>2683316.0568965524</v>
      </c>
      <c r="H334" s="31">
        <f t="shared" si="138"/>
        <v>2553011.2396551725</v>
      </c>
      <c r="I334" s="31">
        <f t="shared" si="135"/>
        <v>11909561.74310345</v>
      </c>
      <c r="J334" s="31">
        <f t="shared" si="136"/>
        <v>1701365.9633004928</v>
      </c>
    </row>
    <row r="335" spans="1:10" s="186" customFormat="1" x14ac:dyDescent="0.25">
      <c r="A335" s="146" t="s">
        <v>28</v>
      </c>
      <c r="B335" s="92">
        <f t="shared" ref="B335:H335" si="139">B337*B328</f>
        <v>403583.90172413801</v>
      </c>
      <c r="C335" s="92">
        <f t="shared" si="139"/>
        <v>256945.65517241383</v>
      </c>
      <c r="D335" s="92">
        <f t="shared" si="139"/>
        <v>339425.11551724141</v>
      </c>
      <c r="E335" s="92">
        <f t="shared" si="139"/>
        <v>379599.54827586206</v>
      </c>
      <c r="F335" s="92">
        <f t="shared" si="139"/>
        <v>1285783.8965517245</v>
      </c>
      <c r="G335" s="31">
        <f t="shared" si="139"/>
        <v>1749988.732758621</v>
      </c>
      <c r="H335" s="31">
        <f t="shared" si="139"/>
        <v>1702007.4931034485</v>
      </c>
      <c r="I335" s="31">
        <f t="shared" si="135"/>
        <v>6117334.3431034489</v>
      </c>
      <c r="J335" s="31">
        <f t="shared" si="136"/>
        <v>873904.9061576355</v>
      </c>
    </row>
    <row r="336" spans="1:10" s="186" customFormat="1" x14ac:dyDescent="0.25">
      <c r="A336" s="146" t="s">
        <v>29</v>
      </c>
      <c r="B336" s="92">
        <f>B337*B329</f>
        <v>31044.915517241381</v>
      </c>
      <c r="C336" s="92">
        <f t="shared" ref="C336:H336" si="140">C337*C329</f>
        <v>64236.413793103457</v>
      </c>
      <c r="D336" s="92">
        <f t="shared" si="140"/>
        <v>0</v>
      </c>
      <c r="E336" s="92">
        <f t="shared" si="140"/>
        <v>0</v>
      </c>
      <c r="F336" s="92">
        <f t="shared" si="140"/>
        <v>275525.12068965519</v>
      </c>
      <c r="G336" s="31">
        <f t="shared" si="140"/>
        <v>116665.9155172414</v>
      </c>
      <c r="H336" s="31">
        <f t="shared" si="140"/>
        <v>0</v>
      </c>
      <c r="I336" s="31">
        <f t="shared" si="135"/>
        <v>487472.36551724141</v>
      </c>
      <c r="J336" s="31">
        <f t="shared" si="136"/>
        <v>69638.90935960591</v>
      </c>
    </row>
    <row r="337" spans="1:12" s="186" customFormat="1" x14ac:dyDescent="0.25">
      <c r="A337" s="196" t="s">
        <v>30</v>
      </c>
      <c r="B337" s="91">
        <f>(3728700/1.16)-B338</f>
        <v>3104491.5517241382</v>
      </c>
      <c r="C337" s="91">
        <f>(3875700/1.16)-C338</f>
        <v>3211820.6896551726</v>
      </c>
      <c r="D337" s="91">
        <f>(4532300/1.16)-D338</f>
        <v>3771390.1724137934</v>
      </c>
      <c r="E337" s="91">
        <f>(5097600/1.16)-E338</f>
        <v>4217772.7586206896</v>
      </c>
      <c r="F337" s="91">
        <f>(11128600/1.16)-F338</f>
        <v>9184170.6896551736</v>
      </c>
      <c r="G337" s="197">
        <f>(14110700/1.16)-G338</f>
        <v>11666591.55172414</v>
      </c>
      <c r="H337" s="197">
        <f>(14699800/1.16)-H338</f>
        <v>12157196.379310345</v>
      </c>
      <c r="I337" s="197">
        <f t="shared" si="135"/>
        <v>47313433.793103456</v>
      </c>
      <c r="J337" s="197">
        <f t="shared" si="136"/>
        <v>6759061.9704433512</v>
      </c>
    </row>
    <row r="338" spans="1:12" s="186" customFormat="1" x14ac:dyDescent="0.25">
      <c r="A338" s="146" t="s">
        <v>31</v>
      </c>
      <c r="B338" s="92">
        <f t="shared" ref="B338:I338" si="141">2155*B319</f>
        <v>109905</v>
      </c>
      <c r="C338" s="92">
        <f t="shared" si="141"/>
        <v>129300</v>
      </c>
      <c r="D338" s="92">
        <f t="shared" si="141"/>
        <v>135765</v>
      </c>
      <c r="E338" s="92">
        <f t="shared" si="141"/>
        <v>176710</v>
      </c>
      <c r="F338" s="92">
        <f t="shared" si="141"/>
        <v>409450</v>
      </c>
      <c r="G338" s="31">
        <f t="shared" si="141"/>
        <v>497805</v>
      </c>
      <c r="H338" s="31">
        <f t="shared" si="141"/>
        <v>515045</v>
      </c>
      <c r="I338" s="31">
        <f t="shared" si="141"/>
        <v>1973980</v>
      </c>
      <c r="J338" s="31">
        <f t="shared" si="136"/>
        <v>281997.14285714284</v>
      </c>
    </row>
    <row r="339" spans="1:12" s="186" customFormat="1" x14ac:dyDescent="0.25">
      <c r="A339" s="198" t="s">
        <v>32</v>
      </c>
      <c r="B339" s="199">
        <f>B338+B337</f>
        <v>3214396.5517241382</v>
      </c>
      <c r="C339" s="199">
        <f>C338+C337</f>
        <v>3341120.6896551726</v>
      </c>
      <c r="D339" s="199">
        <f>D338+D337</f>
        <v>3907155.1724137934</v>
      </c>
      <c r="E339" s="199">
        <f>E338+E337</f>
        <v>4394482.7586206896</v>
      </c>
      <c r="F339" s="199">
        <f>F337+F338</f>
        <v>9593620.6896551736</v>
      </c>
      <c r="G339" s="199">
        <f>G338+G337</f>
        <v>12164396.55172414</v>
      </c>
      <c r="H339" s="199">
        <f>H338+H337</f>
        <v>12672241.379310345</v>
      </c>
      <c r="I339" s="199">
        <f>I337+I338</f>
        <v>49287413.793103456</v>
      </c>
      <c r="J339" s="200">
        <f t="shared" si="136"/>
        <v>7041059.1133004939</v>
      </c>
    </row>
    <row r="340" spans="1:12" s="186" customFormat="1" x14ac:dyDescent="0.25">
      <c r="A340" s="146" t="s">
        <v>33</v>
      </c>
      <c r="B340" s="94">
        <f>B339*16%</f>
        <v>514303.44827586215</v>
      </c>
      <c r="C340" s="94">
        <f t="shared" ref="C340:H340" si="142">C339*16%</f>
        <v>534579.31034482759</v>
      </c>
      <c r="D340" s="94">
        <f t="shared" si="142"/>
        <v>625144.82758620696</v>
      </c>
      <c r="E340" s="94">
        <f t="shared" si="142"/>
        <v>703117.24137931038</v>
      </c>
      <c r="F340" s="94">
        <f t="shared" si="142"/>
        <v>1534979.3103448278</v>
      </c>
      <c r="G340" s="94">
        <f t="shared" si="142"/>
        <v>1946303.4482758623</v>
      </c>
      <c r="H340" s="94">
        <f t="shared" si="142"/>
        <v>2027558.6206896552</v>
      </c>
      <c r="I340" s="94">
        <f>I339*16%</f>
        <v>7885986.2068965528</v>
      </c>
      <c r="J340" s="31">
        <f t="shared" si="136"/>
        <v>1126569.4581280791</v>
      </c>
    </row>
    <row r="341" spans="1:12" s="186" customFormat="1" x14ac:dyDescent="0.25">
      <c r="A341" s="201" t="s">
        <v>34</v>
      </c>
      <c r="B341" s="202">
        <f>B339+B340</f>
        <v>3728700.0000000005</v>
      </c>
      <c r="C341" s="202">
        <f t="shared" ref="C341:H341" si="143">C339+C340</f>
        <v>3875700</v>
      </c>
      <c r="D341" s="202">
        <f t="shared" si="143"/>
        <v>4532300</v>
      </c>
      <c r="E341" s="202">
        <f t="shared" si="143"/>
        <v>5097600</v>
      </c>
      <c r="F341" s="202">
        <f t="shared" si="143"/>
        <v>11128600.000000002</v>
      </c>
      <c r="G341" s="202">
        <f t="shared" si="143"/>
        <v>14110700.000000002</v>
      </c>
      <c r="H341" s="202">
        <f t="shared" si="143"/>
        <v>14699800</v>
      </c>
      <c r="I341" s="202">
        <f>I339+I340</f>
        <v>57173400.000000007</v>
      </c>
      <c r="J341" s="203">
        <f t="shared" si="136"/>
        <v>8167628.5714285728</v>
      </c>
    </row>
    <row r="342" spans="1:12" s="186" customFormat="1" x14ac:dyDescent="0.25">
      <c r="A342" s="204"/>
      <c r="B342" s="112"/>
      <c r="C342" s="112"/>
      <c r="D342" s="112"/>
      <c r="E342" s="112"/>
      <c r="F342" s="112"/>
      <c r="G342" s="112"/>
      <c r="H342" s="112"/>
      <c r="I342" s="112"/>
      <c r="J342" s="205"/>
    </row>
    <row r="343" spans="1:12" s="186" customFormat="1" ht="15.75" thickBot="1" x14ac:dyDescent="0.3">
      <c r="A343" s="204"/>
      <c r="B343" s="112"/>
      <c r="C343" s="112"/>
      <c r="D343" s="112"/>
      <c r="E343" s="112"/>
      <c r="F343" s="112"/>
      <c r="G343" s="112"/>
      <c r="H343" s="112"/>
      <c r="I343" s="112"/>
      <c r="J343" s="205"/>
    </row>
    <row r="344" spans="1:12" s="186" customFormat="1" ht="26.25" x14ac:dyDescent="0.25">
      <c r="A344"/>
      <c r="B344" s="1002" t="s">
        <v>130</v>
      </c>
      <c r="C344" s="1002"/>
      <c r="D344" s="1002"/>
      <c r="E344" s="1002"/>
      <c r="F344" s="1002"/>
      <c r="G344" s="1002"/>
      <c r="H344" s="1002"/>
      <c r="I344"/>
      <c r="J344"/>
    </row>
    <row r="345" spans="1:12" s="186" customFormat="1" ht="15.75" x14ac:dyDescent="0.25">
      <c r="A345" s="207" t="s">
        <v>2</v>
      </c>
      <c r="B345" s="208" t="s">
        <v>131</v>
      </c>
      <c r="C345" s="121" t="s">
        <v>132</v>
      </c>
      <c r="D345" s="121" t="s">
        <v>133</v>
      </c>
      <c r="E345" s="121" t="s">
        <v>134</v>
      </c>
      <c r="F345" s="121" t="s">
        <v>135</v>
      </c>
      <c r="G345" s="121" t="s">
        <v>136</v>
      </c>
      <c r="H345" s="121" t="s">
        <v>137</v>
      </c>
      <c r="I345" s="121" t="s">
        <v>96</v>
      </c>
      <c r="J345" s="209" t="s">
        <v>97</v>
      </c>
    </row>
    <row r="346" spans="1:12" s="186" customFormat="1" x14ac:dyDescent="0.25">
      <c r="A346" s="210" t="s">
        <v>11</v>
      </c>
      <c r="B346" s="189">
        <v>441</v>
      </c>
      <c r="C346" s="189">
        <v>108</v>
      </c>
      <c r="D346" s="189">
        <v>91</v>
      </c>
      <c r="E346" s="190">
        <v>189</v>
      </c>
      <c r="F346" s="190">
        <v>380</v>
      </c>
      <c r="G346" s="190">
        <v>454</v>
      </c>
      <c r="H346" s="190">
        <v>464</v>
      </c>
      <c r="I346" s="190">
        <f>SUM(B346:H346)</f>
        <v>2127</v>
      </c>
      <c r="J346" s="211">
        <f>+I346/7</f>
        <v>303.85714285714283</v>
      </c>
      <c r="L346" s="186">
        <f>'PEPE SIERRA '!$I346+I374+I402+I430+B458+C458</f>
        <v>8117</v>
      </c>
    </row>
    <row r="347" spans="1:12" s="186" customFormat="1" x14ac:dyDescent="0.25">
      <c r="A347" s="212" t="s">
        <v>12</v>
      </c>
      <c r="B347" s="11">
        <v>236</v>
      </c>
      <c r="C347" s="11">
        <v>53</v>
      </c>
      <c r="D347" s="11">
        <v>33</v>
      </c>
      <c r="E347" s="11">
        <v>94</v>
      </c>
      <c r="F347" s="11">
        <v>190</v>
      </c>
      <c r="G347" s="11">
        <v>214</v>
      </c>
      <c r="H347" s="11">
        <v>232</v>
      </c>
      <c r="I347" s="11">
        <f>SUM('PEPE SIERRA '!$B347:$H347)</f>
        <v>1052</v>
      </c>
      <c r="J347" s="60">
        <f t="shared" ref="J347:J352" si="144">I347/7</f>
        <v>150.28571428571428</v>
      </c>
      <c r="L347" s="186">
        <f>I352+I380+I408+I436+B464+C464</f>
        <v>7635</v>
      </c>
    </row>
    <row r="348" spans="1:12" s="186" customFormat="1" x14ac:dyDescent="0.25">
      <c r="A348" s="212" t="s">
        <v>13</v>
      </c>
      <c r="B348" s="11">
        <v>2</v>
      </c>
      <c r="C348" s="11">
        <v>0</v>
      </c>
      <c r="D348" s="11">
        <v>0</v>
      </c>
      <c r="E348" s="11">
        <v>1</v>
      </c>
      <c r="F348" s="11">
        <v>8</v>
      </c>
      <c r="G348" s="11">
        <v>16</v>
      </c>
      <c r="H348" s="11">
        <v>13</v>
      </c>
      <c r="I348" s="11">
        <f>SUM('PEPE SIERRA '!$B348:$H348)</f>
        <v>40</v>
      </c>
      <c r="J348" s="60">
        <f t="shared" si="144"/>
        <v>5.7142857142857144</v>
      </c>
    </row>
    <row r="349" spans="1:12" s="186" customFormat="1" x14ac:dyDescent="0.25">
      <c r="A349" s="212" t="s">
        <v>14</v>
      </c>
      <c r="B349" s="11">
        <v>83</v>
      </c>
      <c r="C349" s="11">
        <v>28</v>
      </c>
      <c r="D349" s="11">
        <v>26</v>
      </c>
      <c r="E349" s="11">
        <v>46</v>
      </c>
      <c r="F349" s="11">
        <v>82</v>
      </c>
      <c r="G349" s="11">
        <v>110</v>
      </c>
      <c r="H349" s="11">
        <v>94</v>
      </c>
      <c r="I349" s="11">
        <f>SUM('PEPE SIERRA '!$B349:$H349)</f>
        <v>469</v>
      </c>
      <c r="J349" s="60">
        <f t="shared" si="144"/>
        <v>67</v>
      </c>
    </row>
    <row r="350" spans="1:12" s="186" customFormat="1" x14ac:dyDescent="0.25">
      <c r="A350" s="212" t="s">
        <v>15</v>
      </c>
      <c r="B350" s="11">
        <v>71</v>
      </c>
      <c r="C350" s="11">
        <v>17</v>
      </c>
      <c r="D350" s="11">
        <v>14</v>
      </c>
      <c r="E350" s="11">
        <v>22</v>
      </c>
      <c r="F350" s="11">
        <v>50</v>
      </c>
      <c r="G350" s="11">
        <v>51</v>
      </c>
      <c r="H350" s="11">
        <v>60</v>
      </c>
      <c r="I350" s="11">
        <f>SUM('PEPE SIERRA '!$B350:$H350)</f>
        <v>285</v>
      </c>
      <c r="J350" s="60">
        <f t="shared" si="144"/>
        <v>40.714285714285715</v>
      </c>
    </row>
    <row r="351" spans="1:12" s="186" customFormat="1" x14ac:dyDescent="0.25">
      <c r="A351" s="212" t="s">
        <v>16</v>
      </c>
      <c r="B351" s="11">
        <v>1</v>
      </c>
      <c r="C351" s="11">
        <v>0</v>
      </c>
      <c r="D351" s="11">
        <v>0</v>
      </c>
      <c r="E351" s="11">
        <v>0</v>
      </c>
      <c r="F351" s="11">
        <v>1</v>
      </c>
      <c r="G351" s="11">
        <v>0</v>
      </c>
      <c r="H351" s="11">
        <v>0</v>
      </c>
      <c r="I351" s="11">
        <f>SUM('PEPE SIERRA '!$B351:$H351)</f>
        <v>2</v>
      </c>
      <c r="J351" s="60">
        <f t="shared" si="144"/>
        <v>0.2857142857142857</v>
      </c>
    </row>
    <row r="352" spans="1:12" s="186" customFormat="1" x14ac:dyDescent="0.25">
      <c r="A352" s="213" t="s">
        <v>17</v>
      </c>
      <c r="B352" s="192">
        <f>SUM(B347:B351)</f>
        <v>393</v>
      </c>
      <c r="C352" s="192">
        <f t="shared" ref="C352:I352" si="145">SUM(C347:C351)</f>
        <v>98</v>
      </c>
      <c r="D352" s="192">
        <f t="shared" si="145"/>
        <v>73</v>
      </c>
      <c r="E352" s="192">
        <f t="shared" si="145"/>
        <v>163</v>
      </c>
      <c r="F352" s="192">
        <f t="shared" si="145"/>
        <v>331</v>
      </c>
      <c r="G352" s="192">
        <f t="shared" si="145"/>
        <v>391</v>
      </c>
      <c r="H352" s="192">
        <f t="shared" si="145"/>
        <v>399</v>
      </c>
      <c r="I352" s="192">
        <f t="shared" si="145"/>
        <v>1848</v>
      </c>
      <c r="J352" s="214">
        <f t="shared" si="144"/>
        <v>264</v>
      </c>
    </row>
    <row r="353" spans="1:12" s="186" customFormat="1" x14ac:dyDescent="0.25">
      <c r="A353" s="212" t="s">
        <v>18</v>
      </c>
      <c r="B353" s="30">
        <v>0.63</v>
      </c>
      <c r="C353" s="30">
        <v>0.56000000000000005</v>
      </c>
      <c r="D353" s="30">
        <v>0.54</v>
      </c>
      <c r="E353" s="30">
        <v>0.66</v>
      </c>
      <c r="F353" s="30">
        <v>0.63</v>
      </c>
      <c r="G353" s="30">
        <v>0.59</v>
      </c>
      <c r="H353" s="30">
        <v>0.59</v>
      </c>
      <c r="I353" s="30">
        <f>I360/I365</f>
        <v>0.60835267954621608</v>
      </c>
      <c r="J353" s="160">
        <f>J360/J365</f>
        <v>0.60835267954621608</v>
      </c>
    </row>
    <row r="354" spans="1:12" s="186" customFormat="1" x14ac:dyDescent="0.25">
      <c r="A354" s="212" t="s">
        <v>19</v>
      </c>
      <c r="B354" s="30">
        <v>0.01</v>
      </c>
      <c r="C354" s="30">
        <v>0</v>
      </c>
      <c r="D354" s="30">
        <v>0</v>
      </c>
      <c r="E354" s="30">
        <v>0.01</v>
      </c>
      <c r="F354" s="30">
        <v>0.03</v>
      </c>
      <c r="G354" s="30">
        <v>0.04</v>
      </c>
      <c r="H354" s="30">
        <v>0.04</v>
      </c>
      <c r="I354" s="30">
        <f>I361/I365</f>
        <v>2.5661540907790333E-2</v>
      </c>
      <c r="J354" s="160">
        <f>J361/J365</f>
        <v>2.5661540907790333E-2</v>
      </c>
    </row>
    <row r="355" spans="1:12" s="186" customFormat="1" x14ac:dyDescent="0.25">
      <c r="A355" s="212" t="s">
        <v>20</v>
      </c>
      <c r="B355" s="30">
        <v>0.16</v>
      </c>
      <c r="C355" s="30">
        <v>0.27</v>
      </c>
      <c r="D355" s="30">
        <v>0.32</v>
      </c>
      <c r="E355" s="30">
        <v>0.24</v>
      </c>
      <c r="F355" s="30">
        <v>0.22</v>
      </c>
      <c r="G355" s="30">
        <v>0.23</v>
      </c>
      <c r="H355" s="30">
        <v>0.22</v>
      </c>
      <c r="I355" s="30">
        <f>I362/I365</f>
        <v>0.21673135934142052</v>
      </c>
      <c r="J355" s="160">
        <f>J362/J365</f>
        <v>0.21673135934142049</v>
      </c>
    </row>
    <row r="356" spans="1:12" s="186" customFormat="1" x14ac:dyDescent="0.25">
      <c r="A356" s="212" t="s">
        <v>21</v>
      </c>
      <c r="B356" s="30">
        <v>0.2</v>
      </c>
      <c r="C356" s="30">
        <v>0.17</v>
      </c>
      <c r="D356" s="30">
        <v>0.14000000000000001</v>
      </c>
      <c r="E356" s="30">
        <v>0.09</v>
      </c>
      <c r="F356" s="30">
        <v>0.12</v>
      </c>
      <c r="G356" s="30">
        <v>0.14000000000000001</v>
      </c>
      <c r="H356" s="30">
        <v>0.15</v>
      </c>
      <c r="I356" s="30">
        <f>I363/I365</f>
        <v>0.14925442020457305</v>
      </c>
      <c r="J356" s="160">
        <f>J363/J365</f>
        <v>0.14925442020457305</v>
      </c>
    </row>
    <row r="357" spans="1:12" s="186" customFormat="1" x14ac:dyDescent="0.25">
      <c r="A357" s="212" t="s">
        <v>22</v>
      </c>
      <c r="B357" s="30">
        <v>0</v>
      </c>
      <c r="C357" s="30">
        <v>0</v>
      </c>
      <c r="D357" s="30">
        <v>0</v>
      </c>
      <c r="E357" s="30">
        <v>0</v>
      </c>
      <c r="F357" s="30">
        <v>0</v>
      </c>
      <c r="G357" s="30">
        <v>0</v>
      </c>
      <c r="H357" s="30">
        <v>0</v>
      </c>
      <c r="I357" s="30">
        <f>I364/I365</f>
        <v>0</v>
      </c>
      <c r="J357" s="160">
        <f>J364/J365</f>
        <v>0</v>
      </c>
    </row>
    <row r="358" spans="1:12" s="186" customFormat="1" x14ac:dyDescent="0.25">
      <c r="A358" s="215" t="s">
        <v>23</v>
      </c>
      <c r="B358" s="66">
        <f>B369/B352</f>
        <v>37864.885496183211</v>
      </c>
      <c r="C358" s="66">
        <f t="shared" ref="C358:H358" si="146">C369/C352</f>
        <v>31021.428571428572</v>
      </c>
      <c r="D358" s="66">
        <f t="shared" si="146"/>
        <v>36198.630136986299</v>
      </c>
      <c r="E358" s="66">
        <f t="shared" si="146"/>
        <v>33572.392638036807</v>
      </c>
      <c r="F358" s="66">
        <f t="shared" si="146"/>
        <v>35508.459214501519</v>
      </c>
      <c r="G358" s="66">
        <f t="shared" si="146"/>
        <v>37739.130434782615</v>
      </c>
      <c r="H358" s="66">
        <f t="shared" si="146"/>
        <v>35243.107769423557</v>
      </c>
      <c r="I358" s="66">
        <f>I369/I352</f>
        <v>36042.803030303032</v>
      </c>
      <c r="J358" s="67">
        <f>J369/J352</f>
        <v>36042.803030303039</v>
      </c>
    </row>
    <row r="359" spans="1:12" s="186" customFormat="1" x14ac:dyDescent="0.25">
      <c r="A359" s="215" t="s">
        <v>24</v>
      </c>
      <c r="B359" s="66">
        <f t="shared" ref="B359:I359" si="147">+B369/B346</f>
        <v>33743.537414965991</v>
      </c>
      <c r="C359" s="66">
        <f t="shared" si="147"/>
        <v>28149.074074074073</v>
      </c>
      <c r="D359" s="66">
        <f t="shared" si="147"/>
        <v>29038.461538461539</v>
      </c>
      <c r="E359" s="66">
        <f t="shared" si="147"/>
        <v>28953.968253968254</v>
      </c>
      <c r="F359" s="66">
        <f t="shared" si="147"/>
        <v>30929.736842105267</v>
      </c>
      <c r="G359" s="66">
        <f t="shared" si="147"/>
        <v>32502.202643171811</v>
      </c>
      <c r="H359" s="66">
        <f t="shared" si="147"/>
        <v>30306.03448275862</v>
      </c>
      <c r="I359" s="66">
        <f t="shared" si="147"/>
        <v>31315.044663845794</v>
      </c>
      <c r="J359" s="67">
        <f>J369/J346</f>
        <v>31315.044663845802</v>
      </c>
    </row>
    <row r="360" spans="1:12" s="186" customFormat="1" x14ac:dyDescent="0.25">
      <c r="A360" s="212" t="s">
        <v>25</v>
      </c>
      <c r="B360" s="92">
        <f t="shared" ref="B360:H360" si="148">B365*B353</f>
        <v>7761462.703448277</v>
      </c>
      <c r="C360" s="92">
        <f t="shared" si="148"/>
        <v>1403674.0827586208</v>
      </c>
      <c r="D360" s="92">
        <f t="shared" si="148"/>
        <v>1191727.2103448277</v>
      </c>
      <c r="E360" s="92">
        <f t="shared" si="148"/>
        <v>2979853.8000000003</v>
      </c>
      <c r="F360" s="92">
        <f t="shared" si="148"/>
        <v>6125304.2586206906</v>
      </c>
      <c r="G360" s="31">
        <f t="shared" si="148"/>
        <v>7233116.5965517247</v>
      </c>
      <c r="H360" s="31">
        <f t="shared" si="148"/>
        <v>6857247.7379310345</v>
      </c>
      <c r="I360" s="31">
        <f t="shared" ref="I360:I365" si="149">SUM(B360:H360)</f>
        <v>33552386.389655177</v>
      </c>
      <c r="J360" s="32">
        <f t="shared" ref="J360:J369" si="150">I360/7</f>
        <v>4793198.0556650255</v>
      </c>
    </row>
    <row r="361" spans="1:12" s="186" customFormat="1" x14ac:dyDescent="0.25">
      <c r="A361" s="212" t="s">
        <v>26</v>
      </c>
      <c r="B361" s="92">
        <f t="shared" ref="B361:H361" si="151">B365*B354</f>
        <v>123197.82068965519</v>
      </c>
      <c r="C361" s="92">
        <f t="shared" si="151"/>
        <v>0</v>
      </c>
      <c r="D361" s="92">
        <f t="shared" si="151"/>
        <v>0</v>
      </c>
      <c r="E361" s="92">
        <f t="shared" si="151"/>
        <v>45149.3</v>
      </c>
      <c r="F361" s="92">
        <f t="shared" si="151"/>
        <v>291681.1551724138</v>
      </c>
      <c r="G361" s="31">
        <f t="shared" si="151"/>
        <v>490380.78620689659</v>
      </c>
      <c r="H361" s="31">
        <f t="shared" si="151"/>
        <v>464898.15172413795</v>
      </c>
      <c r="I361" s="31">
        <f t="shared" si="149"/>
        <v>1415307.2137931036</v>
      </c>
      <c r="J361" s="32">
        <f t="shared" si="150"/>
        <v>202186.74482758623</v>
      </c>
    </row>
    <row r="362" spans="1:12" s="186" customFormat="1" x14ac:dyDescent="0.25">
      <c r="A362" s="212" t="s">
        <v>27</v>
      </c>
      <c r="B362" s="92">
        <f t="shared" ref="B362:H362" si="152">B365*B355</f>
        <v>1971165.131034483</v>
      </c>
      <c r="C362" s="92">
        <f t="shared" si="152"/>
        <v>676771.43275862071</v>
      </c>
      <c r="D362" s="92">
        <f t="shared" si="152"/>
        <v>706208.71724137932</v>
      </c>
      <c r="E362" s="92">
        <f t="shared" si="152"/>
        <v>1083583.2</v>
      </c>
      <c r="F362" s="92">
        <f t="shared" si="152"/>
        <v>2138995.1379310349</v>
      </c>
      <c r="G362" s="31">
        <f t="shared" si="152"/>
        <v>2819689.5206896556</v>
      </c>
      <c r="H362" s="31">
        <f t="shared" si="152"/>
        <v>2556939.8344827588</v>
      </c>
      <c r="I362" s="31">
        <f t="shared" si="149"/>
        <v>11953352.974137932</v>
      </c>
      <c r="J362" s="32">
        <f t="shared" si="150"/>
        <v>1707621.8534482759</v>
      </c>
    </row>
    <row r="363" spans="1:12" s="186" customFormat="1" x14ac:dyDescent="0.25">
      <c r="A363" s="212" t="s">
        <v>28</v>
      </c>
      <c r="B363" s="92">
        <f t="shared" ref="B363:H363" si="153">B365*B356</f>
        <v>2463956.4137931038</v>
      </c>
      <c r="C363" s="92">
        <f t="shared" si="153"/>
        <v>426115.34655172419</v>
      </c>
      <c r="D363" s="92">
        <f t="shared" si="153"/>
        <v>308966.3137931035</v>
      </c>
      <c r="E363" s="92">
        <f t="shared" si="153"/>
        <v>406343.7</v>
      </c>
      <c r="F363" s="92">
        <f t="shared" si="153"/>
        <v>1166724.6206896552</v>
      </c>
      <c r="G363" s="31">
        <f t="shared" si="153"/>
        <v>1716332.7517241384</v>
      </c>
      <c r="H363" s="31">
        <f t="shared" si="153"/>
        <v>1743368.0689655172</v>
      </c>
      <c r="I363" s="31">
        <f t="shared" si="149"/>
        <v>8231807.2155172434</v>
      </c>
      <c r="J363" s="32">
        <f t="shared" si="150"/>
        <v>1175972.4593596063</v>
      </c>
    </row>
    <row r="364" spans="1:12" s="186" customFormat="1" x14ac:dyDescent="0.25">
      <c r="A364" s="212" t="s">
        <v>29</v>
      </c>
      <c r="B364" s="92">
        <f>B365*B357</f>
        <v>0</v>
      </c>
      <c r="C364" s="92">
        <f t="shared" ref="C364:H364" si="154">C365*C357</f>
        <v>0</v>
      </c>
      <c r="D364" s="92">
        <f t="shared" si="154"/>
        <v>0</v>
      </c>
      <c r="E364" s="92">
        <f t="shared" si="154"/>
        <v>0</v>
      </c>
      <c r="F364" s="92">
        <f t="shared" si="154"/>
        <v>0</v>
      </c>
      <c r="G364" s="31">
        <f t="shared" si="154"/>
        <v>0</v>
      </c>
      <c r="H364" s="31">
        <f t="shared" si="154"/>
        <v>0</v>
      </c>
      <c r="I364" s="31">
        <f t="shared" si="149"/>
        <v>0</v>
      </c>
      <c r="J364" s="32">
        <f t="shared" si="150"/>
        <v>0</v>
      </c>
    </row>
    <row r="365" spans="1:12" s="186" customFormat="1" x14ac:dyDescent="0.25">
      <c r="A365" s="216" t="s">
        <v>30</v>
      </c>
      <c r="B365" s="91">
        <f>(14880900/1.16)-B366</f>
        <v>12319782.068965519</v>
      </c>
      <c r="C365" s="91">
        <f>(3040100/1.16)-C366</f>
        <v>2506560.8620689656</v>
      </c>
      <c r="D365" s="91">
        <f>(2642500/1.16)-D366</f>
        <v>2206902.2413793104</v>
      </c>
      <c r="E365" s="91">
        <f>(5472300/1.16)-E366</f>
        <v>4514930</v>
      </c>
      <c r="F365" s="91">
        <f>(11753300/1.16)-F366</f>
        <v>9722705.1724137943</v>
      </c>
      <c r="G365" s="197">
        <f>(14756000/1.16)-G366</f>
        <v>12259519.655172415</v>
      </c>
      <c r="H365" s="197">
        <f>(14062000/1.16)-H366</f>
        <v>11622453.793103449</v>
      </c>
      <c r="I365" s="197">
        <f t="shared" si="149"/>
        <v>55152853.793103456</v>
      </c>
      <c r="J365" s="217">
        <f t="shared" si="150"/>
        <v>7878979.1133004939</v>
      </c>
    </row>
    <row r="366" spans="1:12" s="186" customFormat="1" x14ac:dyDescent="0.25">
      <c r="A366" s="212" t="s">
        <v>31</v>
      </c>
      <c r="B366" s="92">
        <f t="shared" ref="B366:I366" si="155">2155*B347</f>
        <v>508580</v>
      </c>
      <c r="C366" s="92">
        <f t="shared" si="155"/>
        <v>114215</v>
      </c>
      <c r="D366" s="92">
        <f t="shared" si="155"/>
        <v>71115</v>
      </c>
      <c r="E366" s="92">
        <f t="shared" si="155"/>
        <v>202570</v>
      </c>
      <c r="F366" s="92">
        <f t="shared" si="155"/>
        <v>409450</v>
      </c>
      <c r="G366" s="31">
        <f t="shared" si="155"/>
        <v>461170</v>
      </c>
      <c r="H366" s="31">
        <f t="shared" si="155"/>
        <v>499960</v>
      </c>
      <c r="I366" s="31">
        <f t="shared" si="155"/>
        <v>2267060</v>
      </c>
      <c r="J366" s="32">
        <f t="shared" si="150"/>
        <v>323865.71428571426</v>
      </c>
    </row>
    <row r="367" spans="1:12" s="186" customFormat="1" x14ac:dyDescent="0.25">
      <c r="A367" s="218" t="s">
        <v>32</v>
      </c>
      <c r="B367" s="199">
        <f>B366+B365</f>
        <v>12828362.068965519</v>
      </c>
      <c r="C367" s="199">
        <f>C366+C365</f>
        <v>2620775.8620689656</v>
      </c>
      <c r="D367" s="199">
        <f>D366+D365</f>
        <v>2278017.2413793104</v>
      </c>
      <c r="E367" s="199">
        <f>E366+E365</f>
        <v>4717500</v>
      </c>
      <c r="F367" s="199">
        <f>F365+F366</f>
        <v>10132155.172413794</v>
      </c>
      <c r="G367" s="199">
        <f>G366+G365</f>
        <v>12720689.655172415</v>
      </c>
      <c r="H367" s="199">
        <f>H366+H365</f>
        <v>12122413.793103449</v>
      </c>
      <c r="I367" s="199">
        <f>I365+I366</f>
        <v>57419913.793103456</v>
      </c>
      <c r="J367" s="219">
        <f t="shared" si="150"/>
        <v>8202844.8275862085</v>
      </c>
    </row>
    <row r="368" spans="1:12" s="186" customFormat="1" x14ac:dyDescent="0.25">
      <c r="A368" s="212" t="s">
        <v>33</v>
      </c>
      <c r="B368" s="94">
        <f>B367*16%</f>
        <v>2052537.931034483</v>
      </c>
      <c r="C368" s="94">
        <f t="shared" ref="C368:H368" si="156">C367*16%</f>
        <v>419324.13793103449</v>
      </c>
      <c r="D368" s="94">
        <f t="shared" si="156"/>
        <v>364482.75862068968</v>
      </c>
      <c r="E368" s="94">
        <f t="shared" si="156"/>
        <v>754800</v>
      </c>
      <c r="F368" s="94">
        <f t="shared" si="156"/>
        <v>1621144.8275862071</v>
      </c>
      <c r="G368" s="94">
        <f t="shared" si="156"/>
        <v>2035310.3448275866</v>
      </c>
      <c r="H368" s="94">
        <f t="shared" si="156"/>
        <v>1939586.2068965519</v>
      </c>
      <c r="I368" s="94">
        <f>I367*16%</f>
        <v>9187186.2068965528</v>
      </c>
      <c r="J368" s="32">
        <f t="shared" si="150"/>
        <v>1312455.1724137932</v>
      </c>
      <c r="L368" s="194">
        <f>I369+I397+I425+I453</f>
        <v>248770300.00000003</v>
      </c>
    </row>
    <row r="369" spans="1:12" s="186" customFormat="1" x14ac:dyDescent="0.25">
      <c r="A369" s="220" t="s">
        <v>34</v>
      </c>
      <c r="B369" s="202">
        <f>B367+B368</f>
        <v>14880900.000000002</v>
      </c>
      <c r="C369" s="202">
        <f t="shared" ref="C369:H369" si="157">C367+C368</f>
        <v>3040100</v>
      </c>
      <c r="D369" s="202">
        <f t="shared" si="157"/>
        <v>2642500</v>
      </c>
      <c r="E369" s="202">
        <f t="shared" si="157"/>
        <v>5472300</v>
      </c>
      <c r="F369" s="202">
        <f t="shared" si="157"/>
        <v>11753300.000000002</v>
      </c>
      <c r="G369" s="202">
        <f t="shared" si="157"/>
        <v>14756000.000000002</v>
      </c>
      <c r="H369" s="202">
        <f t="shared" si="157"/>
        <v>14062000</v>
      </c>
      <c r="I369" s="202">
        <f>I367+I368</f>
        <v>66607100.000000007</v>
      </c>
      <c r="J369" s="221">
        <f t="shared" si="150"/>
        <v>9515300.0000000019</v>
      </c>
      <c r="L369" s="194">
        <f>B481+C481</f>
        <v>10150600.000000002</v>
      </c>
    </row>
    <row r="370" spans="1:12" s="186" customFormat="1" x14ac:dyDescent="0.25">
      <c r="A370" s="204"/>
      <c r="B370" s="112"/>
      <c r="C370" s="112"/>
      <c r="D370" s="112"/>
      <c r="E370" s="112"/>
      <c r="F370" s="112"/>
      <c r="G370" s="112"/>
      <c r="H370" s="112"/>
      <c r="I370" s="112"/>
      <c r="J370" s="205"/>
      <c r="L370" s="194">
        <f>SUM(L368:L369)</f>
        <v>258920900.00000003</v>
      </c>
    </row>
    <row r="371" spans="1:12" s="186" customFormat="1" ht="15.75" thickBot="1" x14ac:dyDescent="0.3">
      <c r="A371" s="204"/>
      <c r="B371" s="112"/>
      <c r="C371" s="112"/>
      <c r="D371" s="112"/>
      <c r="E371" s="112"/>
      <c r="F371" s="112"/>
      <c r="G371" s="112"/>
      <c r="H371" s="112"/>
      <c r="I371" s="112"/>
      <c r="J371" s="205"/>
    </row>
    <row r="372" spans="1:12" s="186" customFormat="1" ht="26.25" x14ac:dyDescent="0.25">
      <c r="A372"/>
      <c r="B372" s="1002" t="s">
        <v>138</v>
      </c>
      <c r="C372" s="1002"/>
      <c r="D372" s="1002"/>
      <c r="E372" s="1002"/>
      <c r="F372" s="1002"/>
      <c r="G372" s="1002"/>
      <c r="H372" s="1002"/>
      <c r="I372"/>
      <c r="J372"/>
    </row>
    <row r="373" spans="1:12" s="186" customFormat="1" ht="15.75" x14ac:dyDescent="0.25">
      <c r="A373" s="207" t="s">
        <v>2</v>
      </c>
      <c r="B373" s="121" t="s">
        <v>139</v>
      </c>
      <c r="C373" s="121" t="s">
        <v>140</v>
      </c>
      <c r="D373" s="121" t="s">
        <v>141</v>
      </c>
      <c r="E373" s="121" t="s">
        <v>142</v>
      </c>
      <c r="F373" s="121" t="s">
        <v>143</v>
      </c>
      <c r="G373" s="121" t="s">
        <v>144</v>
      </c>
      <c r="H373" s="121" t="s">
        <v>145</v>
      </c>
      <c r="I373" s="121" t="s">
        <v>96</v>
      </c>
      <c r="J373" s="209" t="s">
        <v>97</v>
      </c>
    </row>
    <row r="374" spans="1:12" s="186" customFormat="1" x14ac:dyDescent="0.25">
      <c r="A374" s="210" t="s">
        <v>11</v>
      </c>
      <c r="B374" s="189">
        <v>125</v>
      </c>
      <c r="C374" s="189">
        <v>143</v>
      </c>
      <c r="D374" s="189">
        <v>145</v>
      </c>
      <c r="E374" s="190">
        <v>166</v>
      </c>
      <c r="F374" s="190">
        <v>373</v>
      </c>
      <c r="G374" s="190">
        <v>411</v>
      </c>
      <c r="H374" s="190">
        <v>424</v>
      </c>
      <c r="I374" s="190">
        <f>SUM(B374:H374)</f>
        <v>1787</v>
      </c>
      <c r="J374" s="211">
        <f>+I374/7</f>
        <v>255.28571428571428</v>
      </c>
    </row>
    <row r="375" spans="1:12" s="186" customFormat="1" x14ac:dyDescent="0.25">
      <c r="A375" s="212" t="s">
        <v>12</v>
      </c>
      <c r="B375" s="11">
        <v>69</v>
      </c>
      <c r="C375" s="11">
        <v>84</v>
      </c>
      <c r="D375" s="11">
        <v>202</v>
      </c>
      <c r="E375" s="11">
        <v>221</v>
      </c>
      <c r="F375" s="11">
        <v>180</v>
      </c>
      <c r="G375" s="11">
        <v>210</v>
      </c>
      <c r="H375" s="11">
        <v>233</v>
      </c>
      <c r="I375" s="11">
        <f>SUM('PEPE SIERRA '!$B375:$H375)</f>
        <v>1199</v>
      </c>
      <c r="J375" s="60">
        <f t="shared" ref="J375:J380" si="158">I375/7</f>
        <v>171.28571428571428</v>
      </c>
    </row>
    <row r="376" spans="1:12" s="186" customFormat="1" x14ac:dyDescent="0.25">
      <c r="A376" s="212" t="s">
        <v>13</v>
      </c>
      <c r="B376" s="11">
        <v>2</v>
      </c>
      <c r="C376" s="11">
        <v>2</v>
      </c>
      <c r="D376" s="11">
        <v>3</v>
      </c>
      <c r="E376" s="11">
        <v>2</v>
      </c>
      <c r="F376" s="11">
        <v>3</v>
      </c>
      <c r="G376" s="11">
        <v>10</v>
      </c>
      <c r="H376" s="11">
        <v>7</v>
      </c>
      <c r="I376" s="11">
        <f>SUM('PEPE SIERRA '!$B376:$H376)</f>
        <v>29</v>
      </c>
      <c r="J376" s="60">
        <f t="shared" si="158"/>
        <v>4.1428571428571432</v>
      </c>
    </row>
    <row r="377" spans="1:12" s="186" customFormat="1" x14ac:dyDescent="0.25">
      <c r="A377" s="212" t="s">
        <v>14</v>
      </c>
      <c r="B377" s="11">
        <v>45</v>
      </c>
      <c r="C377" s="11">
        <v>26</v>
      </c>
      <c r="D377" s="11">
        <v>42</v>
      </c>
      <c r="E377" s="11">
        <v>45</v>
      </c>
      <c r="F377" s="11">
        <v>91</v>
      </c>
      <c r="G377" s="11">
        <v>92</v>
      </c>
      <c r="H377" s="11">
        <v>81</v>
      </c>
      <c r="I377" s="11">
        <f>SUM('PEPE SIERRA '!$B377:$H377)</f>
        <v>422</v>
      </c>
      <c r="J377" s="60">
        <f t="shared" si="158"/>
        <v>60.285714285714285</v>
      </c>
    </row>
    <row r="378" spans="1:12" s="186" customFormat="1" x14ac:dyDescent="0.25">
      <c r="A378" s="212" t="s">
        <v>15</v>
      </c>
      <c r="B378" s="11">
        <v>11</v>
      </c>
      <c r="C378" s="11">
        <v>13</v>
      </c>
      <c r="D378" s="11">
        <v>24</v>
      </c>
      <c r="E378" s="11">
        <v>24</v>
      </c>
      <c r="F378" s="11">
        <v>40</v>
      </c>
      <c r="G378" s="11">
        <v>54</v>
      </c>
      <c r="H378" s="11">
        <v>56</v>
      </c>
      <c r="I378" s="11">
        <f>SUM('PEPE SIERRA '!$B378:$H378)</f>
        <v>222</v>
      </c>
      <c r="J378" s="60">
        <f t="shared" si="158"/>
        <v>31.714285714285715</v>
      </c>
    </row>
    <row r="379" spans="1:12" s="186" customFormat="1" x14ac:dyDescent="0.25">
      <c r="A379" s="212" t="s">
        <v>16</v>
      </c>
      <c r="B379" s="11">
        <v>0</v>
      </c>
      <c r="C379" s="11">
        <v>0</v>
      </c>
      <c r="D379" s="11">
        <v>0</v>
      </c>
      <c r="E379" s="11">
        <v>0</v>
      </c>
      <c r="F379" s="11">
        <v>1</v>
      </c>
      <c r="G379" s="11">
        <v>1</v>
      </c>
      <c r="H379" s="11">
        <v>1</v>
      </c>
      <c r="I379" s="11">
        <f>SUM('PEPE SIERRA '!$B379:$H379)</f>
        <v>3</v>
      </c>
      <c r="J379" s="60">
        <f t="shared" si="158"/>
        <v>0.42857142857142855</v>
      </c>
    </row>
    <row r="380" spans="1:12" s="186" customFormat="1" x14ac:dyDescent="0.25">
      <c r="A380" s="213" t="s">
        <v>17</v>
      </c>
      <c r="B380" s="192">
        <f>SUM(B375:B379)</f>
        <v>127</v>
      </c>
      <c r="C380" s="192">
        <f t="shared" ref="C380:I380" si="159">SUM(C375:C379)</f>
        <v>125</v>
      </c>
      <c r="D380" s="192">
        <f t="shared" si="159"/>
        <v>271</v>
      </c>
      <c r="E380" s="192">
        <f t="shared" si="159"/>
        <v>292</v>
      </c>
      <c r="F380" s="192">
        <f t="shared" si="159"/>
        <v>315</v>
      </c>
      <c r="G380" s="192">
        <f t="shared" si="159"/>
        <v>367</v>
      </c>
      <c r="H380" s="192">
        <f t="shared" si="159"/>
        <v>378</v>
      </c>
      <c r="I380" s="192">
        <f t="shared" si="159"/>
        <v>1875</v>
      </c>
      <c r="J380" s="214">
        <f t="shared" si="158"/>
        <v>267.85714285714283</v>
      </c>
    </row>
    <row r="381" spans="1:12" s="186" customFormat="1" x14ac:dyDescent="0.25">
      <c r="A381" s="212" t="s">
        <v>18</v>
      </c>
      <c r="B381" s="30">
        <v>0.65</v>
      </c>
      <c r="C381" s="30">
        <v>0.7</v>
      </c>
      <c r="D381" s="30">
        <v>0.63</v>
      </c>
      <c r="E381" s="30">
        <v>0.55000000000000004</v>
      </c>
      <c r="F381" s="30">
        <v>0.62</v>
      </c>
      <c r="G381" s="30">
        <v>0.62</v>
      </c>
      <c r="H381" s="30">
        <v>0.61</v>
      </c>
      <c r="I381" s="30">
        <f>I388/I393</f>
        <v>0.6209116565481132</v>
      </c>
      <c r="J381" s="160">
        <f>J388/J393</f>
        <v>0.6209116565481132</v>
      </c>
    </row>
    <row r="382" spans="1:12" s="186" customFormat="1" x14ac:dyDescent="0.25">
      <c r="A382" s="212" t="s">
        <v>19</v>
      </c>
      <c r="B382" s="30">
        <v>0.02</v>
      </c>
      <c r="C382" s="30">
        <v>0.02</v>
      </c>
      <c r="D382" s="30">
        <v>0.02</v>
      </c>
      <c r="E382" s="30">
        <v>0.02</v>
      </c>
      <c r="F382" s="30">
        <v>0.01</v>
      </c>
      <c r="G382" s="30">
        <v>0.01</v>
      </c>
      <c r="H382" s="30">
        <v>7.0000000000000007E-2</v>
      </c>
      <c r="I382" s="30">
        <f>I389/I393</f>
        <v>2.7489153090038621E-2</v>
      </c>
      <c r="J382" s="160">
        <f>J389/J393</f>
        <v>2.7489153090038621E-2</v>
      </c>
    </row>
    <row r="383" spans="1:12" s="186" customFormat="1" x14ac:dyDescent="0.25">
      <c r="A383" s="212" t="s">
        <v>20</v>
      </c>
      <c r="B383" s="30">
        <v>0.25</v>
      </c>
      <c r="C383" s="30">
        <v>0.17</v>
      </c>
      <c r="D383" s="30">
        <v>0.2</v>
      </c>
      <c r="E383" s="30">
        <v>0.27</v>
      </c>
      <c r="F383" s="30">
        <v>0.25</v>
      </c>
      <c r="G383" s="30">
        <v>0.22</v>
      </c>
      <c r="H383" s="30">
        <v>0.18</v>
      </c>
      <c r="I383" s="30">
        <f>I390/I393</f>
        <v>0.21715966006472856</v>
      </c>
      <c r="J383" s="160">
        <f>J390/J393</f>
        <v>0.21715966006472856</v>
      </c>
    </row>
    <row r="384" spans="1:12" s="186" customFormat="1" x14ac:dyDescent="0.25">
      <c r="A384" s="212" t="s">
        <v>21</v>
      </c>
      <c r="B384" s="30">
        <v>0.08</v>
      </c>
      <c r="C384" s="30">
        <v>0.11</v>
      </c>
      <c r="D384" s="30">
        <v>0.15</v>
      </c>
      <c r="E384" s="30">
        <v>0.16</v>
      </c>
      <c r="F384" s="30">
        <v>0.12</v>
      </c>
      <c r="G384" s="30">
        <v>0.15</v>
      </c>
      <c r="H384" s="30">
        <v>0.14000000000000001</v>
      </c>
      <c r="I384" s="30">
        <f>I391/I393</f>
        <v>0.13443953029711964</v>
      </c>
      <c r="J384" s="160">
        <f>J391/J393</f>
        <v>0.13443953029711964</v>
      </c>
    </row>
    <row r="385" spans="1:10" s="186" customFormat="1" x14ac:dyDescent="0.25">
      <c r="A385" s="212" t="s">
        <v>22</v>
      </c>
      <c r="B385" s="30">
        <v>0</v>
      </c>
      <c r="C385" s="30">
        <v>0</v>
      </c>
      <c r="D385" s="30">
        <v>0</v>
      </c>
      <c r="E385" s="30">
        <v>0</v>
      </c>
      <c r="F385" s="30">
        <v>0</v>
      </c>
      <c r="G385" s="30">
        <v>0</v>
      </c>
      <c r="H385" s="30">
        <v>0</v>
      </c>
      <c r="I385" s="30">
        <f>I392/I393</f>
        <v>0</v>
      </c>
      <c r="J385" s="160">
        <f>J392/J393</f>
        <v>0</v>
      </c>
    </row>
    <row r="386" spans="1:10" s="186" customFormat="1" x14ac:dyDescent="0.25">
      <c r="A386" s="215" t="s">
        <v>23</v>
      </c>
      <c r="B386" s="66">
        <f>B397/B380</f>
        <v>30645.669291338585</v>
      </c>
      <c r="C386" s="66">
        <f t="shared" ref="C386:H386" si="160">C397/C380</f>
        <v>33627.199999999997</v>
      </c>
      <c r="D386" s="66">
        <f t="shared" si="160"/>
        <v>17926.568265682661</v>
      </c>
      <c r="E386" s="66">
        <f t="shared" si="160"/>
        <v>16381.849315068494</v>
      </c>
      <c r="F386" s="66">
        <f t="shared" si="160"/>
        <v>36217.142857142862</v>
      </c>
      <c r="G386" s="66">
        <f t="shared" si="160"/>
        <v>38284.468664850137</v>
      </c>
      <c r="H386" s="66">
        <f t="shared" si="160"/>
        <v>35783.862433862436</v>
      </c>
      <c r="I386" s="66">
        <f>I397/I380</f>
        <v>30251.78666666667</v>
      </c>
      <c r="J386" s="67">
        <f>J397/J380</f>
        <v>30251.786666666674</v>
      </c>
    </row>
    <row r="387" spans="1:10" s="186" customFormat="1" x14ac:dyDescent="0.25">
      <c r="A387" s="215" t="s">
        <v>24</v>
      </c>
      <c r="B387" s="66">
        <f t="shared" ref="B387:I387" si="161">+B397/B374</f>
        <v>31136.000000000004</v>
      </c>
      <c r="C387" s="66">
        <f t="shared" si="161"/>
        <v>29394.405594405594</v>
      </c>
      <c r="D387" s="66">
        <f t="shared" si="161"/>
        <v>33504.137931034493</v>
      </c>
      <c r="E387" s="66">
        <f t="shared" si="161"/>
        <v>28816.265060240963</v>
      </c>
      <c r="F387" s="66">
        <f t="shared" si="161"/>
        <v>30585.522788203758</v>
      </c>
      <c r="G387" s="66">
        <f t="shared" si="161"/>
        <v>34185.888077858879</v>
      </c>
      <c r="H387" s="66">
        <f t="shared" si="161"/>
        <v>31901.650943396227</v>
      </c>
      <c r="I387" s="66">
        <f t="shared" si="161"/>
        <v>31741.522104085063</v>
      </c>
      <c r="J387" s="67">
        <f>J397/J374</f>
        <v>31741.522104085063</v>
      </c>
    </row>
    <row r="388" spans="1:10" s="186" customFormat="1" x14ac:dyDescent="0.25">
      <c r="A388" s="212" t="s">
        <v>25</v>
      </c>
      <c r="B388" s="92">
        <f t="shared" ref="B388:H388" si="162">B393*B381</f>
        <v>2084210.3189655175</v>
      </c>
      <c r="C388" s="92">
        <f t="shared" si="162"/>
        <v>2409820.4827586208</v>
      </c>
      <c r="D388" s="92">
        <f t="shared" si="162"/>
        <v>2364205.5620689658</v>
      </c>
      <c r="E388" s="92">
        <f t="shared" si="162"/>
        <v>2006098.5431034486</v>
      </c>
      <c r="F388" s="92">
        <f t="shared" si="162"/>
        <v>5857095.1034482764</v>
      </c>
      <c r="G388" s="31">
        <f t="shared" si="162"/>
        <v>7229115.5517241387</v>
      </c>
      <c r="H388" s="31">
        <f t="shared" si="162"/>
        <v>6806677.953448276</v>
      </c>
      <c r="I388" s="31">
        <f t="shared" ref="I388:I393" si="163">SUM(B388:H388)</f>
        <v>28757223.515517246</v>
      </c>
      <c r="J388" s="32">
        <f t="shared" ref="J388:J397" si="164">I388/7</f>
        <v>4108174.7879310353</v>
      </c>
    </row>
    <row r="389" spans="1:10" s="186" customFormat="1" x14ac:dyDescent="0.25">
      <c r="A389" s="212" t="s">
        <v>26</v>
      </c>
      <c r="B389" s="92">
        <f t="shared" ref="B389:H389" si="165">B393*B382</f>
        <v>64129.548275862078</v>
      </c>
      <c r="C389" s="92">
        <f t="shared" si="165"/>
        <v>68852.013793103455</v>
      </c>
      <c r="D389" s="92">
        <f t="shared" si="165"/>
        <v>75054.14482758622</v>
      </c>
      <c r="E389" s="92">
        <f t="shared" si="165"/>
        <v>72949.037931034487</v>
      </c>
      <c r="F389" s="92">
        <f t="shared" si="165"/>
        <v>94469.275862068986</v>
      </c>
      <c r="G389" s="31">
        <f t="shared" si="165"/>
        <v>116598.63793103449</v>
      </c>
      <c r="H389" s="31">
        <f t="shared" si="165"/>
        <v>781094.19137931045</v>
      </c>
      <c r="I389" s="31">
        <f t="shared" si="163"/>
        <v>1273146.8500000001</v>
      </c>
      <c r="J389" s="32">
        <f t="shared" si="164"/>
        <v>181878.12142857144</v>
      </c>
    </row>
    <row r="390" spans="1:10" s="186" customFormat="1" x14ac:dyDescent="0.25">
      <c r="A390" s="212" t="s">
        <v>27</v>
      </c>
      <c r="B390" s="92">
        <f t="shared" ref="B390:H390" si="166">B393*B383</f>
        <v>801619.35344827594</v>
      </c>
      <c r="C390" s="92">
        <f t="shared" si="166"/>
        <v>585242.11724137934</v>
      </c>
      <c r="D390" s="92">
        <f t="shared" si="166"/>
        <v>750541.44827586226</v>
      </c>
      <c r="E390" s="92">
        <f t="shared" si="166"/>
        <v>984812.01206896571</v>
      </c>
      <c r="F390" s="92">
        <f t="shared" si="166"/>
        <v>2361731.8965517245</v>
      </c>
      <c r="G390" s="31">
        <f t="shared" si="166"/>
        <v>2565170.034482759</v>
      </c>
      <c r="H390" s="31">
        <f t="shared" si="166"/>
        <v>2008527.9206896552</v>
      </c>
      <c r="I390" s="31">
        <f t="shared" si="163"/>
        <v>10057644.782758621</v>
      </c>
      <c r="J390" s="32">
        <f t="shared" si="164"/>
        <v>1436806.397536946</v>
      </c>
    </row>
    <row r="391" spans="1:10" s="186" customFormat="1" x14ac:dyDescent="0.25">
      <c r="A391" s="212" t="s">
        <v>28</v>
      </c>
      <c r="B391" s="92">
        <f t="shared" ref="B391:H391" si="167">B393*B384</f>
        <v>256518.19310344831</v>
      </c>
      <c r="C391" s="92">
        <f t="shared" si="167"/>
        <v>378686.07586206897</v>
      </c>
      <c r="D391" s="92">
        <f t="shared" si="167"/>
        <v>562906.08620689658</v>
      </c>
      <c r="E391" s="92">
        <f t="shared" si="167"/>
        <v>583592.3034482759</v>
      </c>
      <c r="F391" s="92">
        <f t="shared" si="167"/>
        <v>1133631.3103448278</v>
      </c>
      <c r="G391" s="31">
        <f t="shared" si="167"/>
        <v>1748979.5689655172</v>
      </c>
      <c r="H391" s="31">
        <f t="shared" si="167"/>
        <v>1562188.3827586209</v>
      </c>
      <c r="I391" s="31">
        <f t="shared" si="163"/>
        <v>6226501.9206896555</v>
      </c>
      <c r="J391" s="32">
        <f t="shared" si="164"/>
        <v>889500.27438423655</v>
      </c>
    </row>
    <row r="392" spans="1:10" s="186" customFormat="1" x14ac:dyDescent="0.25">
      <c r="A392" s="212" t="s">
        <v>29</v>
      </c>
      <c r="B392" s="92">
        <f>B393*B385</f>
        <v>0</v>
      </c>
      <c r="C392" s="92">
        <f t="shared" ref="C392:H392" si="168">C393*C385</f>
        <v>0</v>
      </c>
      <c r="D392" s="92">
        <f t="shared" si="168"/>
        <v>0</v>
      </c>
      <c r="E392" s="92">
        <f t="shared" si="168"/>
        <v>0</v>
      </c>
      <c r="F392" s="92">
        <f t="shared" si="168"/>
        <v>0</v>
      </c>
      <c r="G392" s="31">
        <f t="shared" si="168"/>
        <v>0</v>
      </c>
      <c r="H392" s="31">
        <f t="shared" si="168"/>
        <v>0</v>
      </c>
      <c r="I392" s="31">
        <f t="shared" si="163"/>
        <v>0</v>
      </c>
      <c r="J392" s="32">
        <f t="shared" si="164"/>
        <v>0</v>
      </c>
    </row>
    <row r="393" spans="1:10" s="186" customFormat="1" x14ac:dyDescent="0.25">
      <c r="A393" s="216" t="s">
        <v>30</v>
      </c>
      <c r="B393" s="91">
        <f>(3892000/1.16)-B394</f>
        <v>3206477.4137931038</v>
      </c>
      <c r="C393" s="91">
        <f>(4203400/1.16)-C394</f>
        <v>3442600.6896551726</v>
      </c>
      <c r="D393" s="91">
        <f>(4858100/1.16)-D394</f>
        <v>3752707.2413793108</v>
      </c>
      <c r="E393" s="91">
        <f>(4783500/1.16)-E394</f>
        <v>3647451.8965517245</v>
      </c>
      <c r="F393" s="91">
        <f>(11408400/1.16)-F394</f>
        <v>9446927.5862068981</v>
      </c>
      <c r="G393" s="197">
        <f>(14050400/1.16)-G394</f>
        <v>11659863.793103449</v>
      </c>
      <c r="H393" s="197">
        <f>(13526300/1.16)-H394</f>
        <v>11158488.448275862</v>
      </c>
      <c r="I393" s="197">
        <f t="shared" si="163"/>
        <v>46314517.068965524</v>
      </c>
      <c r="J393" s="217">
        <f t="shared" si="164"/>
        <v>6616359.5812807893</v>
      </c>
    </row>
    <row r="394" spans="1:10" s="186" customFormat="1" x14ac:dyDescent="0.25">
      <c r="A394" s="212" t="s">
        <v>31</v>
      </c>
      <c r="B394" s="92">
        <f t="shared" ref="B394:I394" si="169">2155*B375</f>
        <v>148695</v>
      </c>
      <c r="C394" s="92">
        <f t="shared" si="169"/>
        <v>181020</v>
      </c>
      <c r="D394" s="92">
        <f t="shared" si="169"/>
        <v>435310</v>
      </c>
      <c r="E394" s="92">
        <f t="shared" si="169"/>
        <v>476255</v>
      </c>
      <c r="F394" s="92">
        <f t="shared" si="169"/>
        <v>387900</v>
      </c>
      <c r="G394" s="31">
        <f t="shared" si="169"/>
        <v>452550</v>
      </c>
      <c r="H394" s="31">
        <f t="shared" si="169"/>
        <v>502115</v>
      </c>
      <c r="I394" s="31">
        <f t="shared" si="169"/>
        <v>2583845</v>
      </c>
      <c r="J394" s="32">
        <f t="shared" si="164"/>
        <v>369120.71428571426</v>
      </c>
    </row>
    <row r="395" spans="1:10" s="186" customFormat="1" x14ac:dyDescent="0.25">
      <c r="A395" s="218" t="s">
        <v>32</v>
      </c>
      <c r="B395" s="199">
        <f>B394+B393</f>
        <v>3355172.4137931038</v>
      </c>
      <c r="C395" s="199">
        <f>C394+C393</f>
        <v>3623620.6896551726</v>
      </c>
      <c r="D395" s="199">
        <f>D394+D393</f>
        <v>4188017.2413793108</v>
      </c>
      <c r="E395" s="199">
        <f>E394+E393</f>
        <v>4123706.8965517245</v>
      </c>
      <c r="F395" s="199">
        <f>F393+F394</f>
        <v>9834827.5862068981</v>
      </c>
      <c r="G395" s="199">
        <f>G394+G393</f>
        <v>12112413.793103449</v>
      </c>
      <c r="H395" s="199">
        <f>H394+H393</f>
        <v>11660603.448275862</v>
      </c>
      <c r="I395" s="199">
        <f>I393+I394</f>
        <v>48898362.068965524</v>
      </c>
      <c r="J395" s="219">
        <f t="shared" si="164"/>
        <v>6985480.2955665039</v>
      </c>
    </row>
    <row r="396" spans="1:10" s="186" customFormat="1" x14ac:dyDescent="0.25">
      <c r="A396" s="212" t="s">
        <v>33</v>
      </c>
      <c r="B396" s="94">
        <f>B395*16%</f>
        <v>536827.58620689658</v>
      </c>
      <c r="C396" s="94">
        <f t="shared" ref="C396:H396" si="170">C395*16%</f>
        <v>579779.31034482759</v>
      </c>
      <c r="D396" s="94">
        <f t="shared" si="170"/>
        <v>670082.75862068974</v>
      </c>
      <c r="E396" s="94">
        <f t="shared" si="170"/>
        <v>659793.10344827594</v>
      </c>
      <c r="F396" s="94">
        <f t="shared" si="170"/>
        <v>1573572.4137931038</v>
      </c>
      <c r="G396" s="94">
        <f t="shared" si="170"/>
        <v>1937986.2068965519</v>
      </c>
      <c r="H396" s="94">
        <f t="shared" si="170"/>
        <v>1865696.551724138</v>
      </c>
      <c r="I396" s="94">
        <f>I395*16%</f>
        <v>7823737.9310344839</v>
      </c>
      <c r="J396" s="32">
        <f t="shared" si="164"/>
        <v>1117676.8472906405</v>
      </c>
    </row>
    <row r="397" spans="1:10" s="186" customFormat="1" x14ac:dyDescent="0.25">
      <c r="A397" s="220" t="s">
        <v>34</v>
      </c>
      <c r="B397" s="202">
        <f>B395+B396</f>
        <v>3892000.0000000005</v>
      </c>
      <c r="C397" s="202">
        <f t="shared" ref="C397:H397" si="171">C395+C396</f>
        <v>4203400</v>
      </c>
      <c r="D397" s="202">
        <f t="shared" si="171"/>
        <v>4858100.0000000009</v>
      </c>
      <c r="E397" s="202">
        <f t="shared" si="171"/>
        <v>4783500</v>
      </c>
      <c r="F397" s="202">
        <f t="shared" si="171"/>
        <v>11408400.000000002</v>
      </c>
      <c r="G397" s="202">
        <f t="shared" si="171"/>
        <v>14050400</v>
      </c>
      <c r="H397" s="202">
        <f t="shared" si="171"/>
        <v>13526300</v>
      </c>
      <c r="I397" s="202">
        <f>I395+I396</f>
        <v>56722100.000000007</v>
      </c>
      <c r="J397" s="221">
        <f t="shared" si="164"/>
        <v>8103157.1428571437</v>
      </c>
    </row>
    <row r="398" spans="1:10" s="186" customFormat="1" x14ac:dyDescent="0.25">
      <c r="A398" s="204"/>
      <c r="B398" s="112"/>
      <c r="C398" s="112"/>
      <c r="D398" s="112"/>
      <c r="E398" s="112"/>
      <c r="F398" s="112"/>
      <c r="G398" s="112"/>
      <c r="H398" s="112"/>
      <c r="I398" s="112"/>
      <c r="J398" s="205"/>
    </row>
    <row r="399" spans="1:10" s="186" customFormat="1" ht="15.75" thickBot="1" x14ac:dyDescent="0.3">
      <c r="A399" s="204"/>
      <c r="B399" s="112"/>
      <c r="C399" s="112"/>
      <c r="D399" s="112"/>
      <c r="E399" s="112"/>
      <c r="F399" s="112"/>
      <c r="G399" s="112"/>
      <c r="H399" s="112"/>
      <c r="I399" s="112"/>
      <c r="J399" s="205"/>
    </row>
    <row r="400" spans="1:10" s="186" customFormat="1" ht="26.25" x14ac:dyDescent="0.25">
      <c r="A400"/>
      <c r="B400" s="1002" t="s">
        <v>146</v>
      </c>
      <c r="C400" s="1002"/>
      <c r="D400" s="1002"/>
      <c r="E400" s="1002"/>
      <c r="F400" s="1002"/>
      <c r="G400" s="1002"/>
      <c r="H400" s="1002"/>
      <c r="I400"/>
      <c r="J400"/>
    </row>
    <row r="401" spans="1:12" s="186" customFormat="1" ht="15.75" x14ac:dyDescent="0.25">
      <c r="A401" s="207" t="s">
        <v>2</v>
      </c>
      <c r="B401" s="208" t="s">
        <v>147</v>
      </c>
      <c r="C401" s="121" t="s">
        <v>148</v>
      </c>
      <c r="D401" s="121" t="s">
        <v>149</v>
      </c>
      <c r="E401" s="121" t="s">
        <v>150</v>
      </c>
      <c r="F401" s="121" t="s">
        <v>151</v>
      </c>
      <c r="G401" s="121" t="s">
        <v>152</v>
      </c>
      <c r="H401" s="121" t="s">
        <v>153</v>
      </c>
      <c r="I401" s="121" t="s">
        <v>96</v>
      </c>
      <c r="J401" s="209" t="s">
        <v>97</v>
      </c>
    </row>
    <row r="402" spans="1:12" s="186" customFormat="1" x14ac:dyDescent="0.25">
      <c r="A402" s="210" t="s">
        <v>11</v>
      </c>
      <c r="B402" s="189">
        <v>467</v>
      </c>
      <c r="C402" s="189">
        <v>113</v>
      </c>
      <c r="D402" s="189">
        <v>144</v>
      </c>
      <c r="E402" s="190">
        <v>153</v>
      </c>
      <c r="F402" s="190">
        <v>302</v>
      </c>
      <c r="G402" s="190">
        <v>421</v>
      </c>
      <c r="H402" s="190">
        <v>448</v>
      </c>
      <c r="I402" s="190">
        <f>SUM(B402:H402)</f>
        <v>2048</v>
      </c>
      <c r="J402" s="211">
        <f>+I402/7</f>
        <v>292.57142857142856</v>
      </c>
      <c r="L402" s="186">
        <f>240/2</f>
        <v>120</v>
      </c>
    </row>
    <row r="403" spans="1:12" s="186" customFormat="1" x14ac:dyDescent="0.25">
      <c r="A403" s="212" t="s">
        <v>12</v>
      </c>
      <c r="B403" s="11">
        <v>249</v>
      </c>
      <c r="C403" s="11">
        <v>70</v>
      </c>
      <c r="D403" s="11">
        <v>69</v>
      </c>
      <c r="E403" s="11">
        <v>63</v>
      </c>
      <c r="F403" s="11">
        <v>169</v>
      </c>
      <c r="G403" s="11">
        <v>254</v>
      </c>
      <c r="H403" s="11">
        <v>234</v>
      </c>
      <c r="I403" s="11">
        <f>SUM('PEPE SIERRA '!$B403:$H403)</f>
        <v>1108</v>
      </c>
      <c r="J403" s="60">
        <f t="shared" ref="J403:J408" si="172">I403/7</f>
        <v>158.28571428571428</v>
      </c>
      <c r="L403" s="186">
        <v>163</v>
      </c>
    </row>
    <row r="404" spans="1:12" s="186" customFormat="1" x14ac:dyDescent="0.25">
      <c r="A404" s="212" t="s">
        <v>13</v>
      </c>
      <c r="B404" s="11">
        <v>9</v>
      </c>
      <c r="C404" s="11">
        <v>1</v>
      </c>
      <c r="D404" s="11">
        <v>0</v>
      </c>
      <c r="E404" s="11">
        <v>0</v>
      </c>
      <c r="F404" s="11">
        <v>2</v>
      </c>
      <c r="G404" s="11">
        <v>1</v>
      </c>
      <c r="H404" s="11">
        <v>17</v>
      </c>
      <c r="I404" s="11">
        <f>SUM('PEPE SIERRA '!$B404:$H404)</f>
        <v>30</v>
      </c>
      <c r="J404" s="60">
        <f t="shared" si="172"/>
        <v>4.2857142857142856</v>
      </c>
      <c r="L404" s="186">
        <v>19</v>
      </c>
    </row>
    <row r="405" spans="1:12" s="186" customFormat="1" x14ac:dyDescent="0.25">
      <c r="A405" s="212" t="s">
        <v>14</v>
      </c>
      <c r="B405" s="11">
        <v>94</v>
      </c>
      <c r="C405" s="11">
        <v>18</v>
      </c>
      <c r="D405" s="11">
        <v>52</v>
      </c>
      <c r="E405" s="11">
        <v>37</v>
      </c>
      <c r="F405" s="11">
        <v>68</v>
      </c>
      <c r="G405" s="11">
        <v>79</v>
      </c>
      <c r="H405" s="86">
        <v>87</v>
      </c>
      <c r="I405" s="11">
        <f>SUM('PEPE SIERRA '!$B405:$H405)</f>
        <v>435</v>
      </c>
      <c r="J405" s="60">
        <f t="shared" si="172"/>
        <v>62.142857142857146</v>
      </c>
      <c r="L405" s="186">
        <f>SUM(L402:L404)</f>
        <v>302</v>
      </c>
    </row>
    <row r="406" spans="1:12" s="186" customFormat="1" x14ac:dyDescent="0.25">
      <c r="A406" s="212" t="s">
        <v>15</v>
      </c>
      <c r="B406" s="11">
        <v>73</v>
      </c>
      <c r="C406" s="11">
        <v>11</v>
      </c>
      <c r="D406" s="11">
        <v>22</v>
      </c>
      <c r="E406" s="11">
        <v>18</v>
      </c>
      <c r="F406" s="11">
        <v>42</v>
      </c>
      <c r="G406" s="11">
        <v>62</v>
      </c>
      <c r="H406" s="11">
        <v>46</v>
      </c>
      <c r="I406" s="11">
        <f>SUM('PEPE SIERRA '!$B406:$H406)</f>
        <v>274</v>
      </c>
      <c r="J406" s="60">
        <f t="shared" si="172"/>
        <v>39.142857142857146</v>
      </c>
    </row>
    <row r="407" spans="1:12" s="186" customFormat="1" x14ac:dyDescent="0.25">
      <c r="A407" s="212" t="s">
        <v>16</v>
      </c>
      <c r="B407" s="11">
        <v>0</v>
      </c>
      <c r="C407" s="11">
        <v>0</v>
      </c>
      <c r="D407" s="11">
        <v>0</v>
      </c>
      <c r="E407" s="11">
        <v>0</v>
      </c>
      <c r="F407" s="11">
        <v>1</v>
      </c>
      <c r="G407" s="11">
        <v>0</v>
      </c>
      <c r="H407" s="11">
        <v>2</v>
      </c>
      <c r="I407" s="11">
        <f>SUM('PEPE SIERRA '!$B407:$H407)</f>
        <v>3</v>
      </c>
      <c r="J407" s="60">
        <f t="shared" si="172"/>
        <v>0.42857142857142855</v>
      </c>
    </row>
    <row r="408" spans="1:12" s="186" customFormat="1" x14ac:dyDescent="0.25">
      <c r="A408" s="213" t="s">
        <v>17</v>
      </c>
      <c r="B408" s="192">
        <f>SUM(B403:B407)</f>
        <v>425</v>
      </c>
      <c r="C408" s="192">
        <f t="shared" ref="C408:I408" si="173">SUM(C403:C407)</f>
        <v>100</v>
      </c>
      <c r="D408" s="192">
        <f t="shared" si="173"/>
        <v>143</v>
      </c>
      <c r="E408" s="192">
        <f t="shared" si="173"/>
        <v>118</v>
      </c>
      <c r="F408" s="192">
        <f t="shared" si="173"/>
        <v>282</v>
      </c>
      <c r="G408" s="192">
        <f t="shared" si="173"/>
        <v>396</v>
      </c>
      <c r="H408" s="192">
        <f t="shared" si="173"/>
        <v>386</v>
      </c>
      <c r="I408" s="192">
        <f t="shared" si="173"/>
        <v>1850</v>
      </c>
      <c r="J408" s="214">
        <f t="shared" si="172"/>
        <v>264.28571428571428</v>
      </c>
    </row>
    <row r="409" spans="1:12" s="186" customFormat="1" x14ac:dyDescent="0.25">
      <c r="A409" s="212" t="s">
        <v>18</v>
      </c>
      <c r="B409" s="30">
        <v>0.65</v>
      </c>
      <c r="C409" s="30">
        <v>0.72</v>
      </c>
      <c r="D409" s="30">
        <v>0.55000000000000004</v>
      </c>
      <c r="E409" s="30">
        <v>0.61</v>
      </c>
      <c r="F409" s="30">
        <v>0.64</v>
      </c>
      <c r="G409" s="30">
        <v>0.68</v>
      </c>
      <c r="H409" s="30">
        <v>0.62</v>
      </c>
      <c r="I409" s="30">
        <f>I416/I421</f>
        <v>0.64145197726606318</v>
      </c>
      <c r="J409" s="160">
        <f>J416/J421</f>
        <v>0.64145197726606318</v>
      </c>
    </row>
    <row r="410" spans="1:12" s="186" customFormat="1" x14ac:dyDescent="0.25">
      <c r="A410" s="212" t="s">
        <v>19</v>
      </c>
      <c r="B410" s="30">
        <v>0.02</v>
      </c>
      <c r="C410" s="30">
        <v>0.01</v>
      </c>
      <c r="D410" s="30">
        <v>0</v>
      </c>
      <c r="E410" s="30">
        <v>0</v>
      </c>
      <c r="F410" s="30">
        <v>0.01</v>
      </c>
      <c r="G410" s="30">
        <v>0</v>
      </c>
      <c r="H410" s="30">
        <v>0.06</v>
      </c>
      <c r="I410" s="30">
        <f>I417/I421</f>
        <v>1.9652802516114266E-2</v>
      </c>
      <c r="J410" s="160">
        <f>J417/J421</f>
        <v>1.9652802516114266E-2</v>
      </c>
    </row>
    <row r="411" spans="1:12" s="186" customFormat="1" x14ac:dyDescent="0.25">
      <c r="A411" s="212" t="s">
        <v>20</v>
      </c>
      <c r="B411" s="30">
        <v>0.16</v>
      </c>
      <c r="C411" s="30">
        <v>0.18</v>
      </c>
      <c r="D411" s="30">
        <v>0.31</v>
      </c>
      <c r="E411" s="30">
        <v>0.28000000000000003</v>
      </c>
      <c r="F411" s="30">
        <v>0.21</v>
      </c>
      <c r="G411" s="30">
        <v>0.17</v>
      </c>
      <c r="H411" s="30">
        <v>0.19</v>
      </c>
      <c r="I411" s="30">
        <f>I418/I421</f>
        <v>0.19652431401569798</v>
      </c>
      <c r="J411" s="160">
        <f>J418/J421</f>
        <v>0.19652431401569798</v>
      </c>
    </row>
    <row r="412" spans="1:12" s="186" customFormat="1" x14ac:dyDescent="0.25">
      <c r="A412" s="212" t="s">
        <v>21</v>
      </c>
      <c r="B412" s="30">
        <v>0.17</v>
      </c>
      <c r="C412" s="30">
        <v>0.09</v>
      </c>
      <c r="D412" s="30">
        <v>0.14000000000000001</v>
      </c>
      <c r="E412" s="30">
        <v>0.11</v>
      </c>
      <c r="F412" s="30">
        <v>0.14000000000000001</v>
      </c>
      <c r="G412" s="30">
        <v>0.15</v>
      </c>
      <c r="H412" s="30">
        <v>0.12</v>
      </c>
      <c r="I412" s="30">
        <f>I419/I421</f>
        <v>0.14018231832225711</v>
      </c>
      <c r="J412" s="160">
        <f>J419/J421</f>
        <v>0.14018231832225711</v>
      </c>
    </row>
    <row r="413" spans="1:12" s="186" customFormat="1" x14ac:dyDescent="0.25">
      <c r="A413" s="212" t="s">
        <v>22</v>
      </c>
      <c r="B413" s="30">
        <v>0</v>
      </c>
      <c r="C413" s="30">
        <v>0</v>
      </c>
      <c r="D413" s="30">
        <v>0</v>
      </c>
      <c r="E413" s="30">
        <v>0</v>
      </c>
      <c r="F413" s="30">
        <v>0</v>
      </c>
      <c r="G413" s="30">
        <v>0</v>
      </c>
      <c r="H413" s="30">
        <v>0.01</v>
      </c>
      <c r="I413" s="30">
        <f>I420/I421</f>
        <v>2.1885878798672547E-3</v>
      </c>
      <c r="J413" s="160">
        <f>J420/J421</f>
        <v>2.1885878798672547E-3</v>
      </c>
    </row>
    <row r="414" spans="1:12" s="186" customFormat="1" x14ac:dyDescent="0.25">
      <c r="A414" s="215" t="s">
        <v>23</v>
      </c>
      <c r="B414" s="66">
        <f>B425/B408</f>
        <v>35462.117647058825</v>
      </c>
      <c r="C414" s="66">
        <f t="shared" ref="C414:H414" si="174">C425/C408</f>
        <v>31353</v>
      </c>
      <c r="D414" s="66">
        <f t="shared" si="174"/>
        <v>33945.454545454544</v>
      </c>
      <c r="E414" s="66">
        <f t="shared" si="174"/>
        <v>38662.711864406781</v>
      </c>
      <c r="F414" s="66">
        <f t="shared" si="174"/>
        <v>34897.872340425536</v>
      </c>
      <c r="G414" s="66">
        <f t="shared" si="174"/>
        <v>35766.414141414141</v>
      </c>
      <c r="H414" s="66">
        <f t="shared" si="174"/>
        <v>37403.626943005183</v>
      </c>
      <c r="I414" s="66">
        <f>I425/I408</f>
        <v>35711.13513513514</v>
      </c>
      <c r="J414" s="67">
        <f>J425/J408</f>
        <v>35711.135135135148</v>
      </c>
    </row>
    <row r="415" spans="1:12" s="186" customFormat="1" x14ac:dyDescent="0.25">
      <c r="A415" s="215" t="s">
        <v>24</v>
      </c>
      <c r="B415" s="66">
        <f t="shared" ref="B415:I415" si="175">+B425/B402</f>
        <v>32272.805139186301</v>
      </c>
      <c r="C415" s="66">
        <f t="shared" si="175"/>
        <v>27746.017699115044</v>
      </c>
      <c r="D415" s="66">
        <f t="shared" si="175"/>
        <v>33709.722222222219</v>
      </c>
      <c r="E415" s="66">
        <f t="shared" si="175"/>
        <v>29818.300653594772</v>
      </c>
      <c r="F415" s="66">
        <f t="shared" si="175"/>
        <v>32586.754966887424</v>
      </c>
      <c r="G415" s="66">
        <f t="shared" si="175"/>
        <v>33642.517814726838</v>
      </c>
      <c r="H415" s="66">
        <f t="shared" si="175"/>
        <v>32227.232142857141</v>
      </c>
      <c r="I415" s="66">
        <f t="shared" si="175"/>
        <v>32258.593750000007</v>
      </c>
      <c r="J415" s="67">
        <f>J425/J402</f>
        <v>32258.593750000011</v>
      </c>
    </row>
    <row r="416" spans="1:12" s="186" customFormat="1" x14ac:dyDescent="0.25">
      <c r="A416" s="212" t="s">
        <v>25</v>
      </c>
      <c r="B416" s="92">
        <f t="shared" ref="B416:H416" si="176">B421*B409</f>
        <v>8096394.2844827594</v>
      </c>
      <c r="C416" s="92">
        <f t="shared" si="176"/>
        <v>1837436.2758620691</v>
      </c>
      <c r="D416" s="92">
        <f t="shared" si="176"/>
        <v>2219778.0948275863</v>
      </c>
      <c r="E416" s="92">
        <f t="shared" si="176"/>
        <v>2316271.2810344831</v>
      </c>
      <c r="F416" s="92">
        <f t="shared" si="176"/>
        <v>5196542.7862068973</v>
      </c>
      <c r="G416" s="31">
        <f t="shared" si="176"/>
        <v>7930529.7793103456</v>
      </c>
      <c r="H416" s="31">
        <f t="shared" si="176"/>
        <v>7404107.772413794</v>
      </c>
      <c r="I416" s="31">
        <f t="shared" ref="I416:I421" si="177">SUM(B416:H416)</f>
        <v>35001060.274137929</v>
      </c>
      <c r="J416" s="32">
        <f t="shared" ref="J416:J425" si="178">I416/7</f>
        <v>5000151.4677339895</v>
      </c>
    </row>
    <row r="417" spans="1:12" s="186" customFormat="1" x14ac:dyDescent="0.25">
      <c r="A417" s="212" t="s">
        <v>26</v>
      </c>
      <c r="B417" s="92">
        <f t="shared" ref="B417:H417" si="179">B421*B410</f>
        <v>249119.82413793105</v>
      </c>
      <c r="C417" s="92">
        <f t="shared" si="179"/>
        <v>25519.948275862072</v>
      </c>
      <c r="D417" s="92">
        <f t="shared" si="179"/>
        <v>0</v>
      </c>
      <c r="E417" s="92">
        <f t="shared" si="179"/>
        <v>0</v>
      </c>
      <c r="F417" s="92">
        <f t="shared" si="179"/>
        <v>81195.981034482771</v>
      </c>
      <c r="G417" s="31">
        <f t="shared" si="179"/>
        <v>0</v>
      </c>
      <c r="H417" s="31">
        <f t="shared" si="179"/>
        <v>716526.55862068967</v>
      </c>
      <c r="I417" s="31">
        <f t="shared" si="177"/>
        <v>1072362.3120689655</v>
      </c>
      <c r="J417" s="32">
        <f t="shared" si="178"/>
        <v>153194.61600985221</v>
      </c>
    </row>
    <row r="418" spans="1:12" s="186" customFormat="1" x14ac:dyDescent="0.25">
      <c r="A418" s="212" t="s">
        <v>27</v>
      </c>
      <c r="B418" s="92">
        <f t="shared" ref="B418:H418" si="180">B421*B411</f>
        <v>1992958.5931034484</v>
      </c>
      <c r="C418" s="92">
        <f t="shared" si="180"/>
        <v>459359.06896551728</v>
      </c>
      <c r="D418" s="92">
        <f t="shared" si="180"/>
        <v>1251147.653448276</v>
      </c>
      <c r="E418" s="92">
        <f t="shared" si="180"/>
        <v>1063206.4896551727</v>
      </c>
      <c r="F418" s="92">
        <f t="shared" si="180"/>
        <v>1705115.6017241383</v>
      </c>
      <c r="G418" s="31">
        <f t="shared" si="180"/>
        <v>1982632.4448275864</v>
      </c>
      <c r="H418" s="31">
        <f t="shared" si="180"/>
        <v>2269000.7689655172</v>
      </c>
      <c r="I418" s="31">
        <f t="shared" si="177"/>
        <v>10723420.620689657</v>
      </c>
      <c r="J418" s="32">
        <f t="shared" si="178"/>
        <v>1531917.2315270938</v>
      </c>
    </row>
    <row r="419" spans="1:12" s="186" customFormat="1" x14ac:dyDescent="0.25">
      <c r="A419" s="212" t="s">
        <v>28</v>
      </c>
      <c r="B419" s="92">
        <f t="shared" ref="B419:H419" si="181">B421*B412</f>
        <v>2117518.5051724142</v>
      </c>
      <c r="C419" s="92">
        <f t="shared" si="181"/>
        <v>229679.53448275864</v>
      </c>
      <c r="D419" s="92">
        <f t="shared" si="181"/>
        <v>565034.42413793108</v>
      </c>
      <c r="E419" s="92">
        <f t="shared" si="181"/>
        <v>417688.26379310351</v>
      </c>
      <c r="F419" s="92">
        <f t="shared" si="181"/>
        <v>1136743.7344827589</v>
      </c>
      <c r="G419" s="31">
        <f t="shared" si="181"/>
        <v>1749381.5689655172</v>
      </c>
      <c r="H419" s="31">
        <f t="shared" si="181"/>
        <v>1433053.1172413793</v>
      </c>
      <c r="I419" s="31">
        <f t="shared" si="177"/>
        <v>7649099.1482758615</v>
      </c>
      <c r="J419" s="32">
        <f t="shared" si="178"/>
        <v>1092728.4497536945</v>
      </c>
    </row>
    <row r="420" spans="1:12" s="186" customFormat="1" x14ac:dyDescent="0.25">
      <c r="A420" s="212" t="s">
        <v>29</v>
      </c>
      <c r="B420" s="92">
        <f>B421*B413</f>
        <v>0</v>
      </c>
      <c r="C420" s="92">
        <f t="shared" ref="C420:H420" si="182">C421*C413</f>
        <v>0</v>
      </c>
      <c r="D420" s="92">
        <f t="shared" si="182"/>
        <v>0</v>
      </c>
      <c r="E420" s="92">
        <f t="shared" si="182"/>
        <v>0</v>
      </c>
      <c r="F420" s="92">
        <f t="shared" si="182"/>
        <v>0</v>
      </c>
      <c r="G420" s="31">
        <f t="shared" si="182"/>
        <v>0</v>
      </c>
      <c r="H420" s="31">
        <f t="shared" si="182"/>
        <v>119421.09310344828</v>
      </c>
      <c r="I420" s="31">
        <f t="shared" si="177"/>
        <v>119421.09310344828</v>
      </c>
      <c r="J420" s="32">
        <f t="shared" si="178"/>
        <v>17060.156157635469</v>
      </c>
    </row>
    <row r="421" spans="1:12" s="186" customFormat="1" x14ac:dyDescent="0.25">
      <c r="A421" s="216" t="s">
        <v>30</v>
      </c>
      <c r="B421" s="91">
        <f>(15071400/1.16)-B422</f>
        <v>12455991.206896553</v>
      </c>
      <c r="C421" s="91">
        <f>(3135300/1.16)-C422</f>
        <v>2551994.8275862071</v>
      </c>
      <c r="D421" s="91">
        <f>((4854200/1.16)-D422)</f>
        <v>4035960.1724137934</v>
      </c>
      <c r="E421" s="91">
        <f>(4562200/1.16)-E422</f>
        <v>3797166.034482759</v>
      </c>
      <c r="F421" s="91">
        <f>(9841200/1.16)-F422</f>
        <v>8119598.1034482773</v>
      </c>
      <c r="G421" s="197">
        <f>(14163500/1.16)-G422</f>
        <v>11662543.793103449</v>
      </c>
      <c r="H421" s="197">
        <f>(14437800/1.16)-H422</f>
        <v>11942109.310344828</v>
      </c>
      <c r="I421" s="197">
        <f t="shared" si="177"/>
        <v>54565363.448275872</v>
      </c>
      <c r="J421" s="217">
        <f t="shared" si="178"/>
        <v>7795051.9211822674</v>
      </c>
    </row>
    <row r="422" spans="1:12" s="186" customFormat="1" x14ac:dyDescent="0.25">
      <c r="A422" s="212" t="s">
        <v>31</v>
      </c>
      <c r="B422" s="92">
        <f t="shared" ref="B422:I422" si="183">2155*B403</f>
        <v>536595</v>
      </c>
      <c r="C422" s="92">
        <f t="shared" si="183"/>
        <v>150850</v>
      </c>
      <c r="D422" s="92">
        <f t="shared" si="183"/>
        <v>148695</v>
      </c>
      <c r="E422" s="92">
        <f t="shared" si="183"/>
        <v>135765</v>
      </c>
      <c r="F422" s="92">
        <f t="shared" si="183"/>
        <v>364195</v>
      </c>
      <c r="G422" s="31">
        <f t="shared" si="183"/>
        <v>547370</v>
      </c>
      <c r="H422" s="31">
        <f t="shared" si="183"/>
        <v>504270</v>
      </c>
      <c r="I422" s="31">
        <f t="shared" si="183"/>
        <v>2387740</v>
      </c>
      <c r="J422" s="32">
        <f t="shared" si="178"/>
        <v>341105.71428571426</v>
      </c>
    </row>
    <row r="423" spans="1:12" s="186" customFormat="1" x14ac:dyDescent="0.25">
      <c r="A423" s="218" t="s">
        <v>32</v>
      </c>
      <c r="B423" s="199">
        <f>B422+B421</f>
        <v>12992586.206896553</v>
      </c>
      <c r="C423" s="199">
        <f>C422+C421</f>
        <v>2702844.8275862071</v>
      </c>
      <c r="D423" s="199">
        <f>D422+D421</f>
        <v>4184655.1724137934</v>
      </c>
      <c r="E423" s="199">
        <f>E422+E421</f>
        <v>3932931.034482759</v>
      </c>
      <c r="F423" s="199">
        <f>F421+F422</f>
        <v>8483793.1034482773</v>
      </c>
      <c r="G423" s="199">
        <f>G422+G421</f>
        <v>12209913.793103449</v>
      </c>
      <c r="H423" s="199">
        <f>H422+H421</f>
        <v>12446379.310344828</v>
      </c>
      <c r="I423" s="199">
        <f>I421+I422</f>
        <v>56953103.448275872</v>
      </c>
      <c r="J423" s="219">
        <f t="shared" si="178"/>
        <v>8136157.6354679819</v>
      </c>
    </row>
    <row r="424" spans="1:12" s="186" customFormat="1" x14ac:dyDescent="0.25">
      <c r="A424" s="212" t="s">
        <v>33</v>
      </c>
      <c r="B424" s="94">
        <f>B423*16%</f>
        <v>2078813.7931034486</v>
      </c>
      <c r="C424" s="94">
        <f t="shared" ref="C424:H424" si="184">C423*16%</f>
        <v>432455.17241379316</v>
      </c>
      <c r="D424" s="94">
        <f t="shared" si="184"/>
        <v>669544.82758620696</v>
      </c>
      <c r="E424" s="94">
        <f t="shared" si="184"/>
        <v>629268.96551724139</v>
      </c>
      <c r="F424" s="94">
        <f t="shared" si="184"/>
        <v>1357406.8965517243</v>
      </c>
      <c r="G424" s="94">
        <f t="shared" si="184"/>
        <v>1953586.2068965519</v>
      </c>
      <c r="H424" s="94">
        <f t="shared" si="184"/>
        <v>1991420.6896551726</v>
      </c>
      <c r="I424" s="94">
        <f>I423*16%</f>
        <v>9112496.5517241396</v>
      </c>
      <c r="J424" s="32">
        <f t="shared" si="178"/>
        <v>1301785.221674877</v>
      </c>
    </row>
    <row r="425" spans="1:12" s="186" customFormat="1" x14ac:dyDescent="0.25">
      <c r="A425" s="220" t="s">
        <v>34</v>
      </c>
      <c r="B425" s="202">
        <f>B423+B424</f>
        <v>15071400.000000002</v>
      </c>
      <c r="C425" s="202">
        <f t="shared" ref="C425:H425" si="185">C423+C424</f>
        <v>3135300</v>
      </c>
      <c r="D425" s="202">
        <f t="shared" si="185"/>
        <v>4854200</v>
      </c>
      <c r="E425" s="202">
        <f t="shared" si="185"/>
        <v>4562200</v>
      </c>
      <c r="F425" s="202">
        <f t="shared" si="185"/>
        <v>9841200.0000000019</v>
      </c>
      <c r="G425" s="202">
        <f t="shared" si="185"/>
        <v>14163500</v>
      </c>
      <c r="H425" s="202">
        <f t="shared" si="185"/>
        <v>14437800</v>
      </c>
      <c r="I425" s="202">
        <f>I423+I424</f>
        <v>66065600.000000015</v>
      </c>
      <c r="J425" s="221">
        <f t="shared" si="178"/>
        <v>9437942.8571428601</v>
      </c>
    </row>
    <row r="426" spans="1:12" s="186" customFormat="1" x14ac:dyDescent="0.25">
      <c r="A426"/>
      <c r="B426"/>
      <c r="C426"/>
      <c r="D426"/>
      <c r="E426"/>
      <c r="F426"/>
      <c r="G426"/>
      <c r="H426"/>
      <c r="I426"/>
      <c r="J426"/>
    </row>
    <row r="427" spans="1:12" s="186" customFormat="1" ht="15.75" thickBot="1" x14ac:dyDescent="0.3">
      <c r="A427" s="204"/>
      <c r="B427" s="112"/>
      <c r="C427" s="112"/>
      <c r="D427" s="112"/>
      <c r="E427" s="112"/>
      <c r="F427" s="112"/>
      <c r="G427" s="112"/>
      <c r="H427" s="112"/>
      <c r="I427" s="112"/>
      <c r="J427" s="205"/>
    </row>
    <row r="428" spans="1:12" s="186" customFormat="1" ht="26.25" x14ac:dyDescent="0.25">
      <c r="A428"/>
      <c r="B428" s="1002" t="s">
        <v>154</v>
      </c>
      <c r="C428" s="1002"/>
      <c r="D428" s="1002"/>
      <c r="E428" s="1002"/>
      <c r="F428" s="1002"/>
      <c r="G428" s="1002"/>
      <c r="H428" s="1002"/>
      <c r="I428"/>
      <c r="J428"/>
    </row>
    <row r="429" spans="1:12" s="186" customFormat="1" ht="15.75" x14ac:dyDescent="0.25">
      <c r="A429" s="207" t="s">
        <v>2</v>
      </c>
      <c r="B429" s="121" t="s">
        <v>155</v>
      </c>
      <c r="C429" s="121" t="s">
        <v>156</v>
      </c>
      <c r="D429" s="121" t="s">
        <v>157</v>
      </c>
      <c r="E429" s="121" t="s">
        <v>158</v>
      </c>
      <c r="F429" s="121" t="s">
        <v>159</v>
      </c>
      <c r="G429" s="121" t="s">
        <v>160</v>
      </c>
      <c r="H429" s="121" t="s">
        <v>161</v>
      </c>
      <c r="I429" s="121" t="s">
        <v>96</v>
      </c>
      <c r="J429" s="209" t="s">
        <v>97</v>
      </c>
    </row>
    <row r="430" spans="1:12" s="186" customFormat="1" x14ac:dyDescent="0.25">
      <c r="A430" s="210" t="s">
        <v>11</v>
      </c>
      <c r="B430" s="189">
        <v>134</v>
      </c>
      <c r="C430" s="189">
        <v>153</v>
      </c>
      <c r="D430" s="189">
        <v>152</v>
      </c>
      <c r="E430" s="190">
        <v>149</v>
      </c>
      <c r="F430" s="190">
        <v>332</v>
      </c>
      <c r="G430" s="190">
        <v>417</v>
      </c>
      <c r="H430" s="190">
        <v>490</v>
      </c>
      <c r="I430" s="190">
        <f>SUM(B430:H430)</f>
        <v>1827</v>
      </c>
      <c r="J430" s="211">
        <f>+I430/7</f>
        <v>261</v>
      </c>
      <c r="L430" s="186">
        <f>92/2</f>
        <v>46</v>
      </c>
    </row>
    <row r="431" spans="1:12" s="186" customFormat="1" x14ac:dyDescent="0.25">
      <c r="A431" s="212" t="s">
        <v>12</v>
      </c>
      <c r="B431" s="11">
        <v>68</v>
      </c>
      <c r="C431" s="11">
        <v>72</v>
      </c>
      <c r="D431" s="11">
        <v>188</v>
      </c>
      <c r="E431" s="11">
        <v>71</v>
      </c>
      <c r="F431" s="11">
        <v>168</v>
      </c>
      <c r="G431" s="11">
        <v>248</v>
      </c>
      <c r="H431" s="11">
        <v>288</v>
      </c>
      <c r="I431" s="11">
        <f>SUM('PEPE SIERRA '!$B431:$H431)</f>
        <v>1103</v>
      </c>
      <c r="J431" s="60">
        <f t="shared" ref="J431:J436" si="186">I431/7</f>
        <v>157.57142857142858</v>
      </c>
      <c r="L431" s="186">
        <v>92</v>
      </c>
    </row>
    <row r="432" spans="1:12" s="186" customFormat="1" x14ac:dyDescent="0.25">
      <c r="A432" s="212" t="s">
        <v>13</v>
      </c>
      <c r="B432" s="11">
        <v>1</v>
      </c>
      <c r="C432" s="11">
        <v>0</v>
      </c>
      <c r="D432" s="11">
        <v>2</v>
      </c>
      <c r="E432" s="11">
        <v>0</v>
      </c>
      <c r="F432" s="11">
        <v>4</v>
      </c>
      <c r="G432" s="11">
        <v>7</v>
      </c>
      <c r="H432" s="11">
        <v>8</v>
      </c>
      <c r="I432" s="11">
        <f>SUM('PEPE SIERRA '!$B432:$H432)</f>
        <v>22</v>
      </c>
      <c r="J432" s="60">
        <f t="shared" si="186"/>
        <v>3.1428571428571428</v>
      </c>
      <c r="L432" s="186">
        <v>11</v>
      </c>
    </row>
    <row r="433" spans="1:12" s="186" customFormat="1" x14ac:dyDescent="0.25">
      <c r="A433" s="212" t="s">
        <v>14</v>
      </c>
      <c r="B433" s="11">
        <v>44</v>
      </c>
      <c r="C433" s="11">
        <v>52</v>
      </c>
      <c r="D433" s="11">
        <v>46</v>
      </c>
      <c r="E433" s="11">
        <v>52</v>
      </c>
      <c r="F433" s="11">
        <v>68</v>
      </c>
      <c r="G433" s="11">
        <v>65</v>
      </c>
      <c r="H433" s="86">
        <v>79</v>
      </c>
      <c r="I433" s="11">
        <f>SUM('PEPE SIERRA '!$B433:$H433)</f>
        <v>406</v>
      </c>
      <c r="J433" s="60">
        <f t="shared" si="186"/>
        <v>58</v>
      </c>
      <c r="L433" s="186">
        <f>SUM(L430:L432)</f>
        <v>149</v>
      </c>
    </row>
    <row r="434" spans="1:12" s="186" customFormat="1" x14ac:dyDescent="0.25">
      <c r="A434" s="212" t="s">
        <v>15</v>
      </c>
      <c r="B434" s="11">
        <v>21</v>
      </c>
      <c r="C434" s="11">
        <v>20</v>
      </c>
      <c r="D434" s="11">
        <v>10</v>
      </c>
      <c r="E434" s="11">
        <v>17</v>
      </c>
      <c r="F434" s="11">
        <v>41</v>
      </c>
      <c r="G434" s="11">
        <v>55</v>
      </c>
      <c r="H434" s="11">
        <v>57</v>
      </c>
      <c r="I434" s="11">
        <f>SUM('PEPE SIERRA '!$B434:$H434)</f>
        <v>221</v>
      </c>
      <c r="J434" s="60">
        <f t="shared" si="186"/>
        <v>31.571428571428573</v>
      </c>
    </row>
    <row r="435" spans="1:12" s="186" customFormat="1" x14ac:dyDescent="0.25">
      <c r="A435" s="212" t="s">
        <v>16</v>
      </c>
      <c r="B435" s="11">
        <v>0</v>
      </c>
      <c r="C435" s="11">
        <v>0</v>
      </c>
      <c r="D435" s="11">
        <v>1</v>
      </c>
      <c r="E435" s="11">
        <v>0</v>
      </c>
      <c r="F435" s="11">
        <v>0</v>
      </c>
      <c r="G435" s="11">
        <v>1</v>
      </c>
      <c r="H435" s="11">
        <v>0</v>
      </c>
      <c r="I435" s="11">
        <f>SUM('PEPE SIERRA '!$B435:$H435)</f>
        <v>2</v>
      </c>
      <c r="J435" s="60">
        <f t="shared" si="186"/>
        <v>0.2857142857142857</v>
      </c>
    </row>
    <row r="436" spans="1:12" s="186" customFormat="1" x14ac:dyDescent="0.25">
      <c r="A436" s="213" t="s">
        <v>17</v>
      </c>
      <c r="B436" s="192">
        <f>SUM(B431:B435)</f>
        <v>134</v>
      </c>
      <c r="C436" s="192">
        <f t="shared" ref="C436:I436" si="187">SUM(C431:C435)</f>
        <v>144</v>
      </c>
      <c r="D436" s="192">
        <f t="shared" si="187"/>
        <v>247</v>
      </c>
      <c r="E436" s="192">
        <f t="shared" si="187"/>
        <v>140</v>
      </c>
      <c r="F436" s="192">
        <f t="shared" si="187"/>
        <v>281</v>
      </c>
      <c r="G436" s="192">
        <f t="shared" si="187"/>
        <v>376</v>
      </c>
      <c r="H436" s="192">
        <f t="shared" si="187"/>
        <v>432</v>
      </c>
      <c r="I436" s="192">
        <f t="shared" si="187"/>
        <v>1754</v>
      </c>
      <c r="J436" s="214">
        <f t="shared" si="186"/>
        <v>250.57142857142858</v>
      </c>
    </row>
    <row r="437" spans="1:12" s="186" customFormat="1" x14ac:dyDescent="0.25">
      <c r="A437" s="212" t="s">
        <v>18</v>
      </c>
      <c r="B437" s="30">
        <v>0.64</v>
      </c>
      <c r="C437" s="30">
        <v>0.56999999999999995</v>
      </c>
      <c r="D437" s="30">
        <v>0.85</v>
      </c>
      <c r="E437" s="30">
        <v>0.55000000000000004</v>
      </c>
      <c r="F437" s="30">
        <v>0.62</v>
      </c>
      <c r="G437" s="30">
        <v>0.72</v>
      </c>
      <c r="H437" s="30">
        <v>0.72</v>
      </c>
      <c r="I437" s="30">
        <f>I444/I449</f>
        <v>0.68130596986652736</v>
      </c>
      <c r="J437" s="160">
        <f>J444/J449</f>
        <v>0.68130596986652736</v>
      </c>
    </row>
    <row r="438" spans="1:12" s="186" customFormat="1" x14ac:dyDescent="0.25">
      <c r="A438" s="212" t="s">
        <v>19</v>
      </c>
      <c r="B438" s="30">
        <v>0.01</v>
      </c>
      <c r="C438" s="30">
        <v>0</v>
      </c>
      <c r="D438" s="30">
        <v>0</v>
      </c>
      <c r="E438" s="30">
        <v>0</v>
      </c>
      <c r="F438" s="30">
        <v>0.02</v>
      </c>
      <c r="G438" s="30">
        <v>0</v>
      </c>
      <c r="H438" s="30">
        <v>0</v>
      </c>
      <c r="I438" s="30">
        <f>I445/I449</f>
        <v>4.0812269539957959E-3</v>
      </c>
      <c r="J438" s="160">
        <f>J445/J449</f>
        <v>4.0812269539957959E-3</v>
      </c>
    </row>
    <row r="439" spans="1:12" s="186" customFormat="1" x14ac:dyDescent="0.25">
      <c r="A439" s="212" t="s">
        <v>20</v>
      </c>
      <c r="B439" s="30">
        <v>0.23</v>
      </c>
      <c r="C439" s="30">
        <v>0.28999999999999998</v>
      </c>
      <c r="D439" s="30">
        <v>0.08</v>
      </c>
      <c r="E439" s="30">
        <v>0.31</v>
      </c>
      <c r="F439" s="30">
        <v>0.2</v>
      </c>
      <c r="G439" s="30">
        <v>0.14000000000000001</v>
      </c>
      <c r="H439" s="30">
        <v>0.14000000000000001</v>
      </c>
      <c r="I439" s="30">
        <f>I446/I449</f>
        <v>0.17811646736916348</v>
      </c>
      <c r="J439" s="160">
        <f>J446/J449</f>
        <v>0.17811646736916351</v>
      </c>
    </row>
    <row r="440" spans="1:12" s="186" customFormat="1" x14ac:dyDescent="0.25">
      <c r="A440" s="212" t="s">
        <v>21</v>
      </c>
      <c r="B440" s="30">
        <v>0.12</v>
      </c>
      <c r="C440" s="30">
        <v>0.14000000000000001</v>
      </c>
      <c r="D440" s="30">
        <v>7.0000000000000007E-2</v>
      </c>
      <c r="E440" s="30">
        <v>0.14000000000000001</v>
      </c>
      <c r="F440" s="30">
        <v>0.16</v>
      </c>
      <c r="G440" s="30">
        <v>0.13</v>
      </c>
      <c r="H440" s="30">
        <v>0.13</v>
      </c>
      <c r="I440" s="30">
        <f>I447/I449</f>
        <v>0.13129140232994183</v>
      </c>
      <c r="J440" s="160">
        <f>J447/J449</f>
        <v>0.13129140232994183</v>
      </c>
    </row>
    <row r="441" spans="1:12" s="186" customFormat="1" x14ac:dyDescent="0.25">
      <c r="A441" s="212" t="s">
        <v>22</v>
      </c>
      <c r="B441" s="30">
        <v>0</v>
      </c>
      <c r="C441" s="30">
        <v>0</v>
      </c>
      <c r="D441" s="30">
        <v>0</v>
      </c>
      <c r="E441" s="30">
        <v>0</v>
      </c>
      <c r="F441" s="30">
        <v>0</v>
      </c>
      <c r="G441" s="30">
        <v>0.01</v>
      </c>
      <c r="H441" s="30">
        <v>0.01</v>
      </c>
      <c r="I441" s="30">
        <f>I448/I449</f>
        <v>5.2049334803715118E-3</v>
      </c>
      <c r="J441" s="160">
        <f>J448/J449</f>
        <v>5.2049334803715109E-3</v>
      </c>
    </row>
    <row r="442" spans="1:12" s="186" customFormat="1" x14ac:dyDescent="0.25">
      <c r="A442" s="215" t="s">
        <v>23</v>
      </c>
      <c r="B442" s="66">
        <f>B453/B436</f>
        <v>32914.179104477611</v>
      </c>
      <c r="C442" s="66">
        <f t="shared" ref="C442:H442" si="188">C453/C436</f>
        <v>31552.083333333332</v>
      </c>
      <c r="D442" s="66">
        <f t="shared" si="188"/>
        <v>19382.591093117408</v>
      </c>
      <c r="E442" s="66">
        <f t="shared" si="188"/>
        <v>35510</v>
      </c>
      <c r="F442" s="66">
        <f t="shared" si="188"/>
        <v>35065.124555160146</v>
      </c>
      <c r="G442" s="66">
        <f t="shared" si="188"/>
        <v>38995.212765957454</v>
      </c>
      <c r="H442" s="66">
        <f t="shared" si="188"/>
        <v>37377.546296296299</v>
      </c>
      <c r="I442" s="66">
        <f>I453/I436</f>
        <v>33851.482326111749</v>
      </c>
      <c r="J442" s="67">
        <f>J453/J436</f>
        <v>33851.482326111749</v>
      </c>
    </row>
    <row r="443" spans="1:12" s="186" customFormat="1" x14ac:dyDescent="0.25">
      <c r="A443" s="215" t="s">
        <v>24</v>
      </c>
      <c r="B443" s="66">
        <f t="shared" ref="B443:I443" si="189">+B453/B430</f>
        <v>32914.179104477611</v>
      </c>
      <c r="C443" s="66">
        <f t="shared" si="189"/>
        <v>29696.078431372549</v>
      </c>
      <c r="D443" s="66">
        <f t="shared" si="189"/>
        <v>31496.71052631579</v>
      </c>
      <c r="E443" s="66">
        <f t="shared" si="189"/>
        <v>33365.100671140943</v>
      </c>
      <c r="F443" s="66">
        <f t="shared" si="189"/>
        <v>29678.614457831332</v>
      </c>
      <c r="G443" s="66">
        <f t="shared" si="189"/>
        <v>35161.151079136696</v>
      </c>
      <c r="H443" s="66">
        <f t="shared" si="189"/>
        <v>32953.265306122448</v>
      </c>
      <c r="I443" s="66">
        <f t="shared" si="189"/>
        <v>32498.905309250142</v>
      </c>
      <c r="J443" s="67">
        <f>J453/J430</f>
        <v>32498.905309250142</v>
      </c>
    </row>
    <row r="444" spans="1:12" s="186" customFormat="1" x14ac:dyDescent="0.25">
      <c r="A444" s="212" t="s">
        <v>25</v>
      </c>
      <c r="B444" s="92">
        <f t="shared" ref="B444:H444" si="190">B449*B437</f>
        <v>2339593.7103448277</v>
      </c>
      <c r="C444" s="92">
        <f t="shared" si="190"/>
        <v>2144140.6965517239</v>
      </c>
      <c r="D444" s="92">
        <f t="shared" si="190"/>
        <v>3163712.8965517245</v>
      </c>
      <c r="E444" s="92">
        <f t="shared" si="190"/>
        <v>2272976.5603448278</v>
      </c>
      <c r="F444" s="92">
        <f t="shared" si="190"/>
        <v>5041954.1655172426</v>
      </c>
      <c r="G444" s="31">
        <f t="shared" si="190"/>
        <v>8715879.0620689671</v>
      </c>
      <c r="H444" s="31">
        <f t="shared" si="190"/>
        <v>9575477.1310344823</v>
      </c>
      <c r="I444" s="31">
        <f t="shared" ref="I444:I449" si="191">SUM(B444:H444)</f>
        <v>33253734.222413797</v>
      </c>
      <c r="J444" s="32">
        <f t="shared" ref="J444:J453" si="192">I444/7</f>
        <v>4750533.4603448277</v>
      </c>
    </row>
    <row r="445" spans="1:12" s="186" customFormat="1" x14ac:dyDescent="0.25">
      <c r="A445" s="212" t="s">
        <v>26</v>
      </c>
      <c r="B445" s="92">
        <f t="shared" ref="B445:H445" si="193">B449*B438</f>
        <v>36556.151724137933</v>
      </c>
      <c r="C445" s="92">
        <f t="shared" si="193"/>
        <v>0</v>
      </c>
      <c r="D445" s="92">
        <f t="shared" si="193"/>
        <v>0</v>
      </c>
      <c r="E445" s="92">
        <f t="shared" si="193"/>
        <v>0</v>
      </c>
      <c r="F445" s="92">
        <f t="shared" si="193"/>
        <v>162643.68275862071</v>
      </c>
      <c r="G445" s="31">
        <f t="shared" si="193"/>
        <v>0</v>
      </c>
      <c r="H445" s="31">
        <f t="shared" si="193"/>
        <v>0</v>
      </c>
      <c r="I445" s="31">
        <f t="shared" si="191"/>
        <v>199199.83448275866</v>
      </c>
      <c r="J445" s="32">
        <f t="shared" si="192"/>
        <v>28457.119211822665</v>
      </c>
    </row>
    <row r="446" spans="1:12" s="186" customFormat="1" x14ac:dyDescent="0.25">
      <c r="A446" s="212" t="s">
        <v>27</v>
      </c>
      <c r="B446" s="92">
        <f t="shared" ref="B446:H446" si="194">B449*B439</f>
        <v>840791.48965517257</v>
      </c>
      <c r="C446" s="92">
        <f t="shared" si="194"/>
        <v>1090878.5999999999</v>
      </c>
      <c r="D446" s="92">
        <f t="shared" si="194"/>
        <v>297761.21379310347</v>
      </c>
      <c r="E446" s="92">
        <f t="shared" si="194"/>
        <v>1281132.2431034483</v>
      </c>
      <c r="F446" s="92">
        <f t="shared" si="194"/>
        <v>1626436.8275862073</v>
      </c>
      <c r="G446" s="31">
        <f t="shared" si="194"/>
        <v>1694754.2620689659</v>
      </c>
      <c r="H446" s="31">
        <f t="shared" si="194"/>
        <v>1861898.3310344832</v>
      </c>
      <c r="I446" s="31">
        <f t="shared" si="191"/>
        <v>8693652.9672413804</v>
      </c>
      <c r="J446" s="32">
        <f t="shared" si="192"/>
        <v>1241950.4238916258</v>
      </c>
    </row>
    <row r="447" spans="1:12" s="186" customFormat="1" x14ac:dyDescent="0.25">
      <c r="A447" s="212" t="s">
        <v>28</v>
      </c>
      <c r="B447" s="92">
        <f t="shared" ref="B447:H447" si="195">B449*B440</f>
        <v>438673.8206896552</v>
      </c>
      <c r="C447" s="92">
        <f t="shared" si="195"/>
        <v>526631.04827586212</v>
      </c>
      <c r="D447" s="92">
        <f t="shared" si="195"/>
        <v>260541.06206896555</v>
      </c>
      <c r="E447" s="92">
        <f t="shared" si="195"/>
        <v>578575.85172413802</v>
      </c>
      <c r="F447" s="92">
        <f t="shared" si="195"/>
        <v>1301149.4620689657</v>
      </c>
      <c r="G447" s="31">
        <f t="shared" si="195"/>
        <v>1573700.3862068967</v>
      </c>
      <c r="H447" s="31">
        <f t="shared" si="195"/>
        <v>1728905.5931034484</v>
      </c>
      <c r="I447" s="31">
        <f t="shared" si="191"/>
        <v>6408177.2241379321</v>
      </c>
      <c r="J447" s="32">
        <f t="shared" si="192"/>
        <v>915453.88916256174</v>
      </c>
    </row>
    <row r="448" spans="1:12" s="186" customFormat="1" x14ac:dyDescent="0.25">
      <c r="A448" s="212" t="s">
        <v>29</v>
      </c>
      <c r="B448" s="92">
        <f>B449*B441</f>
        <v>0</v>
      </c>
      <c r="C448" s="92">
        <f t="shared" ref="C448:H448" si="196">C449*C441</f>
        <v>0</v>
      </c>
      <c r="D448" s="92">
        <f t="shared" si="196"/>
        <v>0</v>
      </c>
      <c r="E448" s="92">
        <f t="shared" si="196"/>
        <v>0</v>
      </c>
      <c r="F448" s="92">
        <f t="shared" si="196"/>
        <v>0</v>
      </c>
      <c r="G448" s="31">
        <f t="shared" si="196"/>
        <v>121053.87586206898</v>
      </c>
      <c r="H448" s="31">
        <f t="shared" si="196"/>
        <v>132992.7379310345</v>
      </c>
      <c r="I448" s="31">
        <f t="shared" si="191"/>
        <v>254046.61379310349</v>
      </c>
      <c r="J448" s="32">
        <f t="shared" si="192"/>
        <v>36292.373399014781</v>
      </c>
    </row>
    <row r="449" spans="1:12" s="186" customFormat="1" x14ac:dyDescent="0.25">
      <c r="A449" s="216" t="s">
        <v>30</v>
      </c>
      <c r="B449" s="91">
        <f>(4410500/1.16)-B450</f>
        <v>3655615.1724137934</v>
      </c>
      <c r="C449" s="91">
        <f>(4543500/1.16)-C450</f>
        <v>3761650.3448275863</v>
      </c>
      <c r="D449" s="91">
        <f>(4787500/1.16)-'PEPE SIERRA '!D450</f>
        <v>3722015.1724137934</v>
      </c>
      <c r="E449" s="91">
        <f>(4971400/1.16)-E450</f>
        <v>4132684.6551724141</v>
      </c>
      <c r="F449" s="91">
        <f>(9853300/1.16)-F450</f>
        <v>8132184.1379310358</v>
      </c>
      <c r="G449" s="197">
        <f>(14662200/1.16)-G450</f>
        <v>12105387.586206898</v>
      </c>
      <c r="H449" s="197">
        <f>(16147100/1.16)-H450</f>
        <v>13299273.793103449</v>
      </c>
      <c r="I449" s="197">
        <f t="shared" si="191"/>
        <v>48808810.862068973</v>
      </c>
      <c r="J449" s="217">
        <f t="shared" si="192"/>
        <v>6972687.2660098532</v>
      </c>
    </row>
    <row r="450" spans="1:12" s="186" customFormat="1" x14ac:dyDescent="0.25">
      <c r="A450" s="212" t="s">
        <v>31</v>
      </c>
      <c r="B450" s="92">
        <f t="shared" ref="B450:I450" si="197">2155*B431</f>
        <v>146540</v>
      </c>
      <c r="C450" s="92">
        <f t="shared" si="197"/>
        <v>155160</v>
      </c>
      <c r="D450" s="92">
        <f t="shared" si="197"/>
        <v>405140</v>
      </c>
      <c r="E450" s="92">
        <f t="shared" si="197"/>
        <v>153005</v>
      </c>
      <c r="F450" s="92">
        <f t="shared" si="197"/>
        <v>362040</v>
      </c>
      <c r="G450" s="31">
        <f t="shared" si="197"/>
        <v>534440</v>
      </c>
      <c r="H450" s="31">
        <f t="shared" si="197"/>
        <v>620640</v>
      </c>
      <c r="I450" s="31">
        <f t="shared" si="197"/>
        <v>2376965</v>
      </c>
      <c r="J450" s="32">
        <f t="shared" si="192"/>
        <v>339566.42857142858</v>
      </c>
    </row>
    <row r="451" spans="1:12" s="186" customFormat="1" x14ac:dyDescent="0.25">
      <c r="A451" s="218" t="s">
        <v>32</v>
      </c>
      <c r="B451" s="199">
        <f>B450+B449</f>
        <v>3802155.1724137934</v>
      </c>
      <c r="C451" s="199">
        <f>C450+C449</f>
        <v>3916810.3448275863</v>
      </c>
      <c r="D451" s="199">
        <f>D450+D449</f>
        <v>4127155.1724137934</v>
      </c>
      <c r="E451" s="199">
        <f>E450+E449</f>
        <v>4285689.6551724141</v>
      </c>
      <c r="F451" s="199">
        <f>F449+F450</f>
        <v>8494224.1379310358</v>
      </c>
      <c r="G451" s="199">
        <f>G450+G449</f>
        <v>12639827.586206898</v>
      </c>
      <c r="H451" s="199">
        <f>H450+H449</f>
        <v>13919913.793103449</v>
      </c>
      <c r="I451" s="199">
        <f>I449+I450</f>
        <v>51185775.862068973</v>
      </c>
      <c r="J451" s="219">
        <f t="shared" si="192"/>
        <v>7312253.6945812823</v>
      </c>
    </row>
    <row r="452" spans="1:12" s="186" customFormat="1" x14ac:dyDescent="0.25">
      <c r="A452" s="212" t="s">
        <v>33</v>
      </c>
      <c r="B452" s="94">
        <f>B451*16%</f>
        <v>608344.82758620696</v>
      </c>
      <c r="C452" s="94">
        <f t="shared" ref="C452:H452" si="198">C451*16%</f>
        <v>626689.6551724138</v>
      </c>
      <c r="D452" s="94">
        <f t="shared" si="198"/>
        <v>660344.82758620696</v>
      </c>
      <c r="E452" s="94">
        <f t="shared" si="198"/>
        <v>685710.34482758632</v>
      </c>
      <c r="F452" s="94">
        <f t="shared" si="198"/>
        <v>1359075.8620689658</v>
      </c>
      <c r="G452" s="94">
        <f t="shared" si="198"/>
        <v>2022372.4137931038</v>
      </c>
      <c r="H452" s="94">
        <f t="shared" si="198"/>
        <v>2227186.2068965519</v>
      </c>
      <c r="I452" s="94">
        <f>I451*16%</f>
        <v>8189724.1379310358</v>
      </c>
      <c r="J452" s="32">
        <f t="shared" si="192"/>
        <v>1169960.5911330052</v>
      </c>
    </row>
    <row r="453" spans="1:12" s="186" customFormat="1" x14ac:dyDescent="0.25">
      <c r="A453" s="220" t="s">
        <v>34</v>
      </c>
      <c r="B453" s="202">
        <f>B451+B452</f>
        <v>4410500</v>
      </c>
      <c r="C453" s="202">
        <f t="shared" ref="C453:H453" si="199">C451+C452</f>
        <v>4543500</v>
      </c>
      <c r="D453" s="202">
        <f t="shared" si="199"/>
        <v>4787500</v>
      </c>
      <c r="E453" s="202">
        <f t="shared" si="199"/>
        <v>4971400</v>
      </c>
      <c r="F453" s="202">
        <f t="shared" si="199"/>
        <v>9853300.0000000019</v>
      </c>
      <c r="G453" s="202">
        <f t="shared" si="199"/>
        <v>14662200.000000002</v>
      </c>
      <c r="H453" s="202">
        <f t="shared" si="199"/>
        <v>16147100</v>
      </c>
      <c r="I453" s="202">
        <f>I451+I452</f>
        <v>59375500.000000007</v>
      </c>
      <c r="J453" s="221">
        <f t="shared" si="192"/>
        <v>8482214.2857142873</v>
      </c>
    </row>
    <row r="454" spans="1:12" s="186" customFormat="1" x14ac:dyDescent="0.25">
      <c r="A454" s="204"/>
      <c r="B454" s="112"/>
      <c r="C454" s="112"/>
      <c r="D454" s="112"/>
      <c r="E454" s="112"/>
      <c r="F454" s="112"/>
      <c r="G454" s="112"/>
      <c r="H454" s="112"/>
      <c r="I454" s="112"/>
      <c r="J454" s="205"/>
    </row>
    <row r="455" spans="1:12" s="186" customFormat="1" ht="15.75" thickBot="1" x14ac:dyDescent="0.3">
      <c r="A455" s="204"/>
      <c r="B455" s="112"/>
      <c r="C455" s="112"/>
      <c r="D455" s="112"/>
      <c r="E455" s="112"/>
      <c r="F455" s="112"/>
      <c r="G455" s="112"/>
      <c r="H455" s="112"/>
      <c r="I455" s="112"/>
      <c r="J455" s="205"/>
    </row>
    <row r="456" spans="1:12" s="186" customFormat="1" ht="26.25" x14ac:dyDescent="0.25">
      <c r="A456"/>
      <c r="B456" s="1002" t="s">
        <v>162</v>
      </c>
      <c r="C456" s="1002"/>
      <c r="D456" s="1002"/>
      <c r="E456" s="1002"/>
      <c r="F456" s="1002"/>
      <c r="G456" s="1002"/>
      <c r="H456" s="1002"/>
      <c r="I456"/>
      <c r="J456"/>
    </row>
    <row r="457" spans="1:12" s="186" customFormat="1" ht="15.75" x14ac:dyDescent="0.25">
      <c r="A457" s="207" t="s">
        <v>2</v>
      </c>
      <c r="B457" s="121" t="s">
        <v>163</v>
      </c>
      <c r="C457" s="121" t="s">
        <v>164</v>
      </c>
      <c r="D457" s="121" t="s">
        <v>55</v>
      </c>
      <c r="E457" s="121" t="s">
        <v>56</v>
      </c>
      <c r="F457" s="121" t="s">
        <v>165</v>
      </c>
      <c r="G457" s="121" t="s">
        <v>58</v>
      </c>
      <c r="H457" s="121" t="s">
        <v>59</v>
      </c>
      <c r="I457" s="121" t="s">
        <v>96</v>
      </c>
      <c r="J457" s="209" t="s">
        <v>97</v>
      </c>
    </row>
    <row r="458" spans="1:12" s="186" customFormat="1" x14ac:dyDescent="0.25">
      <c r="A458" s="210" t="s">
        <v>11</v>
      </c>
      <c r="B458" s="189">
        <v>163</v>
      </c>
      <c r="C458" s="189">
        <v>165</v>
      </c>
      <c r="D458" s="189">
        <v>186</v>
      </c>
      <c r="E458" s="190">
        <v>197</v>
      </c>
      <c r="F458" s="190">
        <v>344</v>
      </c>
      <c r="G458" s="190">
        <v>507</v>
      </c>
      <c r="H458" s="190">
        <v>456</v>
      </c>
      <c r="I458" s="190">
        <f>SUM(B458:H458)</f>
        <v>2018</v>
      </c>
      <c r="J458" s="211">
        <f>+I458/7</f>
        <v>288.28571428571428</v>
      </c>
      <c r="L458" s="186">
        <f>'PEPE SIERRA '!$D458+'PEPE SIERRA '!$E458+'PEPE SIERRA '!$F458+'PEPE SIERRA '!$G458+'PEPE SIERRA '!$H458+I486+I514</f>
        <v>5642</v>
      </c>
    </row>
    <row r="459" spans="1:12" s="186" customFormat="1" x14ac:dyDescent="0.25">
      <c r="A459" s="212" t="s">
        <v>12</v>
      </c>
      <c r="B459" s="11">
        <v>88</v>
      </c>
      <c r="C459" s="11">
        <v>71</v>
      </c>
      <c r="D459" s="11">
        <v>84</v>
      </c>
      <c r="E459" s="11">
        <v>100</v>
      </c>
      <c r="F459" s="11">
        <v>181</v>
      </c>
      <c r="G459" s="11">
        <v>313</v>
      </c>
      <c r="H459" s="11">
        <v>230</v>
      </c>
      <c r="I459" s="11">
        <f>SUM('PEPE SIERRA '!$B459:$H459)</f>
        <v>1067</v>
      </c>
      <c r="J459" s="60">
        <f t="shared" ref="J459:J464" si="200">I459/7</f>
        <v>152.42857142857142</v>
      </c>
      <c r="L459" s="186">
        <f>D464+E464+F464+G464+H464+I492+I520</f>
        <v>5063</v>
      </c>
    </row>
    <row r="460" spans="1:12" s="186" customFormat="1" x14ac:dyDescent="0.25">
      <c r="A460" s="212" t="s">
        <v>13</v>
      </c>
      <c r="B460" s="11">
        <v>0</v>
      </c>
      <c r="C460" s="11">
        <v>5</v>
      </c>
      <c r="D460" s="11">
        <v>0</v>
      </c>
      <c r="E460" s="11">
        <v>1</v>
      </c>
      <c r="F460" s="11">
        <v>2</v>
      </c>
      <c r="G460" s="11">
        <v>3</v>
      </c>
      <c r="H460" s="11">
        <v>0</v>
      </c>
      <c r="I460" s="11">
        <f>SUM('PEPE SIERRA '!$B460:$H460)</f>
        <v>11</v>
      </c>
      <c r="J460" s="60">
        <f t="shared" si="200"/>
        <v>1.5714285714285714</v>
      </c>
    </row>
    <row r="461" spans="1:12" s="186" customFormat="1" x14ac:dyDescent="0.25">
      <c r="A461" s="212" t="s">
        <v>14</v>
      </c>
      <c r="B461" s="11">
        <v>55</v>
      </c>
      <c r="C461" s="11">
        <v>50</v>
      </c>
      <c r="D461" s="11">
        <v>71</v>
      </c>
      <c r="E461" s="11">
        <v>54</v>
      </c>
      <c r="F461" s="11">
        <v>86</v>
      </c>
      <c r="G461" s="11">
        <v>59</v>
      </c>
      <c r="H461" s="86">
        <v>109</v>
      </c>
      <c r="I461" s="11">
        <f>SUM('PEPE SIERRA '!$B461:$H461)</f>
        <v>484</v>
      </c>
      <c r="J461" s="60">
        <f t="shared" si="200"/>
        <v>69.142857142857139</v>
      </c>
    </row>
    <row r="462" spans="1:12" s="186" customFormat="1" x14ac:dyDescent="0.25">
      <c r="A462" s="212" t="s">
        <v>15</v>
      </c>
      <c r="B462" s="11">
        <v>17</v>
      </c>
      <c r="C462" s="11">
        <v>22</v>
      </c>
      <c r="D462" s="11">
        <v>27</v>
      </c>
      <c r="E462" s="11">
        <v>31</v>
      </c>
      <c r="F462" s="11">
        <v>37</v>
      </c>
      <c r="G462" s="11">
        <v>70</v>
      </c>
      <c r="H462" s="11">
        <v>45</v>
      </c>
      <c r="I462" s="11">
        <f>SUM('PEPE SIERRA '!$B462:$H462)</f>
        <v>249</v>
      </c>
      <c r="J462" s="60">
        <f t="shared" si="200"/>
        <v>35.571428571428569</v>
      </c>
    </row>
    <row r="463" spans="1:12" s="186" customFormat="1" x14ac:dyDescent="0.25">
      <c r="A463" s="212" t="s">
        <v>16</v>
      </c>
      <c r="B463" s="11">
        <v>0</v>
      </c>
      <c r="C463" s="11">
        <v>0</v>
      </c>
      <c r="D463" s="11">
        <v>0</v>
      </c>
      <c r="E463" s="11">
        <v>1</v>
      </c>
      <c r="F463" s="11">
        <v>0</v>
      </c>
      <c r="G463" s="11">
        <v>1</v>
      </c>
      <c r="H463" s="11">
        <v>0</v>
      </c>
      <c r="I463" s="11">
        <f>SUM('PEPE SIERRA '!$B463:$H463)</f>
        <v>2</v>
      </c>
      <c r="J463" s="60">
        <f t="shared" si="200"/>
        <v>0.2857142857142857</v>
      </c>
    </row>
    <row r="464" spans="1:12" s="186" customFormat="1" x14ac:dyDescent="0.25">
      <c r="A464" s="213" t="s">
        <v>17</v>
      </c>
      <c r="B464" s="192">
        <f>SUM(B459:B463)</f>
        <v>160</v>
      </c>
      <c r="C464" s="192">
        <f t="shared" ref="C464:I464" si="201">SUM(C459:C463)</f>
        <v>148</v>
      </c>
      <c r="D464" s="192">
        <f t="shared" si="201"/>
        <v>182</v>
      </c>
      <c r="E464" s="192">
        <f t="shared" si="201"/>
        <v>187</v>
      </c>
      <c r="F464" s="192">
        <f t="shared" si="201"/>
        <v>306</v>
      </c>
      <c r="G464" s="192">
        <f t="shared" si="201"/>
        <v>446</v>
      </c>
      <c r="H464" s="192">
        <f t="shared" si="201"/>
        <v>384</v>
      </c>
      <c r="I464" s="192">
        <f t="shared" si="201"/>
        <v>1813</v>
      </c>
      <c r="J464" s="214">
        <f t="shared" si="200"/>
        <v>259</v>
      </c>
    </row>
    <row r="465" spans="1:12" s="186" customFormat="1" x14ac:dyDescent="0.25">
      <c r="A465" s="212" t="s">
        <v>18</v>
      </c>
      <c r="B465" s="30">
        <v>0.56999999999999995</v>
      </c>
      <c r="C465" s="30">
        <v>0.56999999999999995</v>
      </c>
      <c r="D465" s="30">
        <v>0.51</v>
      </c>
      <c r="E465" s="30">
        <v>0.57999999999999996</v>
      </c>
      <c r="F465" s="30">
        <v>0.63</v>
      </c>
      <c r="G465" s="30">
        <v>0.75</v>
      </c>
      <c r="H465" s="30">
        <v>0.62</v>
      </c>
      <c r="I465" s="30">
        <f>I472/I477</f>
        <v>0.63287957012188156</v>
      </c>
      <c r="J465" s="160">
        <f>J472/J477</f>
        <v>0.63287957012188156</v>
      </c>
    </row>
    <row r="466" spans="1:12" s="186" customFormat="1" x14ac:dyDescent="0.25">
      <c r="A466" s="212" t="s">
        <v>19</v>
      </c>
      <c r="B466" s="30">
        <v>0</v>
      </c>
      <c r="C466" s="30">
        <v>0.02</v>
      </c>
      <c r="D466" s="30">
        <v>0</v>
      </c>
      <c r="E466" s="30">
        <v>0.01</v>
      </c>
      <c r="F466" s="30">
        <v>0.01</v>
      </c>
      <c r="G466" s="30">
        <v>0.01</v>
      </c>
      <c r="H466" s="30">
        <v>0</v>
      </c>
      <c r="I466" s="30">
        <f>I473/I477</f>
        <v>6.8046814328718589E-3</v>
      </c>
      <c r="J466" s="160">
        <f>J473/J477</f>
        <v>6.8046814328718589E-3</v>
      </c>
    </row>
    <row r="467" spans="1:12" s="186" customFormat="1" x14ac:dyDescent="0.25">
      <c r="A467" s="212" t="s">
        <v>20</v>
      </c>
      <c r="B467" s="30">
        <v>0.31</v>
      </c>
      <c r="C467" s="30">
        <v>0.27</v>
      </c>
      <c r="D467" s="30">
        <v>0.32</v>
      </c>
      <c r="E467" s="30">
        <v>0.26</v>
      </c>
      <c r="F467" s="30">
        <v>0.23</v>
      </c>
      <c r="G467" s="30">
        <v>0.1</v>
      </c>
      <c r="H467" s="30">
        <v>0.26</v>
      </c>
      <c r="I467" s="30">
        <f>I474/I477</f>
        <v>0.2242892711821427</v>
      </c>
      <c r="J467" s="160">
        <f>J474/J477</f>
        <v>0.2242892711821427</v>
      </c>
    </row>
    <row r="468" spans="1:12" s="186" customFormat="1" x14ac:dyDescent="0.25">
      <c r="A468" s="212" t="s">
        <v>21</v>
      </c>
      <c r="B468" s="30">
        <v>0.12</v>
      </c>
      <c r="C468" s="30">
        <v>0.14000000000000001</v>
      </c>
      <c r="D468" s="30">
        <v>0.17</v>
      </c>
      <c r="E468" s="30">
        <v>0.14000000000000001</v>
      </c>
      <c r="F468" s="30">
        <v>0.13</v>
      </c>
      <c r="G468" s="30">
        <v>0.14000000000000001</v>
      </c>
      <c r="H468" s="30">
        <v>0.12</v>
      </c>
      <c r="I468" s="30">
        <f>I475/I477</f>
        <v>0.13507933736056088</v>
      </c>
      <c r="J468" s="160">
        <f>J475/J477</f>
        <v>0.13507933736056088</v>
      </c>
    </row>
    <row r="469" spans="1:12" s="186" customFormat="1" x14ac:dyDescent="0.25">
      <c r="A469" s="212" t="s">
        <v>22</v>
      </c>
      <c r="B469" s="30">
        <v>0</v>
      </c>
      <c r="C469" s="30">
        <v>0</v>
      </c>
      <c r="D469" s="30">
        <v>0</v>
      </c>
      <c r="E469" s="30">
        <v>0.01</v>
      </c>
      <c r="F469" s="30">
        <v>0</v>
      </c>
      <c r="G469" s="30">
        <v>0</v>
      </c>
      <c r="H469" s="30">
        <v>0</v>
      </c>
      <c r="I469" s="30">
        <f>I476/I477</f>
        <v>9.4713990254303407E-4</v>
      </c>
      <c r="J469" s="160">
        <f>J476/J477</f>
        <v>9.4713990254303396E-4</v>
      </c>
      <c r="L469" s="186">
        <f>D458+E458+F458+G458+H458+I486</f>
        <v>3856</v>
      </c>
    </row>
    <row r="470" spans="1:12" s="186" customFormat="1" x14ac:dyDescent="0.25">
      <c r="A470" s="215" t="s">
        <v>23</v>
      </c>
      <c r="B470" s="66">
        <f t="shared" ref="B470:J470" si="202">B481/B464</f>
        <v>32246.250000000007</v>
      </c>
      <c r="C470" s="66">
        <f t="shared" si="202"/>
        <v>33724.324324324334</v>
      </c>
      <c r="D470" s="66">
        <f t="shared" si="202"/>
        <v>32873.626373626379</v>
      </c>
      <c r="E470" s="66">
        <f t="shared" si="202"/>
        <v>32091.443850267384</v>
      </c>
      <c r="F470" s="66">
        <f t="shared" si="202"/>
        <v>35177.450980392154</v>
      </c>
      <c r="G470" s="66">
        <f t="shared" si="202"/>
        <v>36795.291479820633</v>
      </c>
      <c r="H470" s="66">
        <f t="shared" si="202"/>
        <v>36662.760416666664</v>
      </c>
      <c r="I470" s="66">
        <f t="shared" si="202"/>
        <v>34963.15499172642</v>
      </c>
      <c r="J470" s="67">
        <f t="shared" si="202"/>
        <v>34963.15499172642</v>
      </c>
    </row>
    <row r="471" spans="1:12" s="186" customFormat="1" x14ac:dyDescent="0.25">
      <c r="A471" s="215" t="s">
        <v>24</v>
      </c>
      <c r="B471" s="66">
        <f t="shared" ref="B471:I471" si="203">+B481/B458</f>
        <v>31652.760736196324</v>
      </c>
      <c r="C471" s="66">
        <f t="shared" si="203"/>
        <v>30249.696969696975</v>
      </c>
      <c r="D471" s="66">
        <f t="shared" si="203"/>
        <v>32166.666666666672</v>
      </c>
      <c r="E471" s="66">
        <f t="shared" si="203"/>
        <v>30462.436548223355</v>
      </c>
      <c r="F471" s="66">
        <f t="shared" si="203"/>
        <v>31291.569767441859</v>
      </c>
      <c r="G471" s="66">
        <f t="shared" si="203"/>
        <v>32368.244575936886</v>
      </c>
      <c r="H471" s="66">
        <f t="shared" si="203"/>
        <v>30873.903508771931</v>
      </c>
      <c r="I471" s="66">
        <f t="shared" si="203"/>
        <v>31411.39742319128</v>
      </c>
      <c r="J471" s="67">
        <f>J481/J458</f>
        <v>31411.397423191283</v>
      </c>
    </row>
    <row r="472" spans="1:12" s="186" customFormat="1" x14ac:dyDescent="0.25">
      <c r="A472" s="212" t="s">
        <v>25</v>
      </c>
      <c r="B472" s="92">
        <f t="shared" ref="B472:H472" si="204">B477*B465</f>
        <v>2427127.6137931035</v>
      </c>
      <c r="C472" s="92">
        <f t="shared" si="204"/>
        <v>2365359.5637931037</v>
      </c>
      <c r="D472" s="92">
        <f t="shared" si="204"/>
        <v>2538136.6965517243</v>
      </c>
      <c r="E472" s="92">
        <f t="shared" si="204"/>
        <v>2875560</v>
      </c>
      <c r="F472" s="92">
        <f t="shared" si="204"/>
        <v>5600393.7982758619</v>
      </c>
      <c r="G472" s="31">
        <f t="shared" si="204"/>
        <v>10104480.129310345</v>
      </c>
      <c r="H472" s="31">
        <f t="shared" si="204"/>
        <v>7217412.5172413792</v>
      </c>
      <c r="I472" s="31">
        <f t="shared" ref="I472:I477" si="205">SUM(B472:H472)</f>
        <v>33128470.318965517</v>
      </c>
      <c r="J472" s="32">
        <f t="shared" ref="J472:J481" si="206">I472/7</f>
        <v>4732638.6169950739</v>
      </c>
    </row>
    <row r="473" spans="1:12" s="186" customFormat="1" x14ac:dyDescent="0.25">
      <c r="A473" s="212" t="s">
        <v>26</v>
      </c>
      <c r="B473" s="92">
        <f t="shared" ref="B473:H473" si="207">B477*B466</f>
        <v>0</v>
      </c>
      <c r="C473" s="92">
        <f t="shared" si="207"/>
        <v>82995.07241379311</v>
      </c>
      <c r="D473" s="92">
        <f t="shared" si="207"/>
        <v>0</v>
      </c>
      <c r="E473" s="92">
        <f t="shared" si="207"/>
        <v>49578.620689655181</v>
      </c>
      <c r="F473" s="92">
        <f t="shared" si="207"/>
        <v>88895.139655172417</v>
      </c>
      <c r="G473" s="31">
        <f t="shared" si="207"/>
        <v>134726.40172413795</v>
      </c>
      <c r="H473" s="31">
        <f t="shared" si="207"/>
        <v>0</v>
      </c>
      <c r="I473" s="31">
        <f t="shared" si="205"/>
        <v>356195.23448275868</v>
      </c>
      <c r="J473" s="32">
        <f t="shared" si="206"/>
        <v>50885.033497536955</v>
      </c>
    </row>
    <row r="474" spans="1:12" s="186" customFormat="1" x14ac:dyDescent="0.25">
      <c r="A474" s="212" t="s">
        <v>27</v>
      </c>
      <c r="B474" s="92">
        <f t="shared" ref="B474:H474" si="208">B477*B467</f>
        <v>1320016.7724137933</v>
      </c>
      <c r="C474" s="92">
        <f t="shared" si="208"/>
        <v>1120433.4775862072</v>
      </c>
      <c r="D474" s="92">
        <f t="shared" si="208"/>
        <v>1592556.3586206899</v>
      </c>
      <c r="E474" s="92">
        <f t="shared" si="208"/>
        <v>1289044.1379310347</v>
      </c>
      <c r="F474" s="92">
        <f t="shared" si="208"/>
        <v>2044588.2120689657</v>
      </c>
      <c r="G474" s="31">
        <f t="shared" si="208"/>
        <v>1347264.0172413795</v>
      </c>
      <c r="H474" s="31">
        <f t="shared" si="208"/>
        <v>3026656.8620689656</v>
      </c>
      <c r="I474" s="31">
        <f t="shared" si="205"/>
        <v>11740559.837931037</v>
      </c>
      <c r="J474" s="32">
        <f t="shared" si="206"/>
        <v>1677222.833990148</v>
      </c>
    </row>
    <row r="475" spans="1:12" s="186" customFormat="1" x14ac:dyDescent="0.25">
      <c r="A475" s="212" t="s">
        <v>28</v>
      </c>
      <c r="B475" s="92">
        <f t="shared" ref="B475:H475" si="209">B477*B468</f>
        <v>510974.23448275868</v>
      </c>
      <c r="C475" s="92">
        <f t="shared" si="209"/>
        <v>580965.50689655181</v>
      </c>
      <c r="D475" s="92">
        <f t="shared" si="209"/>
        <v>846045.56551724148</v>
      </c>
      <c r="E475" s="92">
        <f t="shared" si="209"/>
        <v>694100.68965517252</v>
      </c>
      <c r="F475" s="92">
        <f t="shared" si="209"/>
        <v>1155636.8155172414</v>
      </c>
      <c r="G475" s="31">
        <f t="shared" si="209"/>
        <v>1886169.6241379313</v>
      </c>
      <c r="H475" s="31">
        <f t="shared" si="209"/>
        <v>1396918.551724138</v>
      </c>
      <c r="I475" s="31">
        <f t="shared" si="205"/>
        <v>7070810.9879310355</v>
      </c>
      <c r="J475" s="32">
        <f t="shared" si="206"/>
        <v>1010115.8554187194</v>
      </c>
    </row>
    <row r="476" spans="1:12" s="186" customFormat="1" x14ac:dyDescent="0.25">
      <c r="A476" s="212" t="s">
        <v>29</v>
      </c>
      <c r="B476" s="92">
        <f>B477*B469</f>
        <v>0</v>
      </c>
      <c r="C476" s="92">
        <f t="shared" ref="C476:H476" si="210">C477*C469</f>
        <v>0</v>
      </c>
      <c r="D476" s="92">
        <f t="shared" si="210"/>
        <v>0</v>
      </c>
      <c r="E476" s="92">
        <f t="shared" si="210"/>
        <v>49578.620689655181</v>
      </c>
      <c r="F476" s="92">
        <f t="shared" si="210"/>
        <v>0</v>
      </c>
      <c r="G476" s="31">
        <f t="shared" si="210"/>
        <v>0</v>
      </c>
      <c r="H476" s="31">
        <f t="shared" si="210"/>
        <v>0</v>
      </c>
      <c r="I476" s="31">
        <f t="shared" si="205"/>
        <v>49578.620689655181</v>
      </c>
      <c r="J476" s="32">
        <f t="shared" si="206"/>
        <v>7082.6600985221685</v>
      </c>
    </row>
    <row r="477" spans="1:12" s="186" customFormat="1" x14ac:dyDescent="0.25">
      <c r="A477" s="216" t="s">
        <v>30</v>
      </c>
      <c r="B477" s="91">
        <f>(5159400/1.16)-B478</f>
        <v>4258118.6206896557</v>
      </c>
      <c r="C477" s="91">
        <f>(4991200/1.16)-C478</f>
        <v>4149753.6206896557</v>
      </c>
      <c r="D477" s="91">
        <f>(5983000/1.16)-D478</f>
        <v>4976738.6206896557</v>
      </c>
      <c r="E477" s="91">
        <f>(6001100/1.16)-E478</f>
        <v>4957862.0689655179</v>
      </c>
      <c r="F477" s="91">
        <f>(10764300/1.16)-F478</f>
        <v>8889513.9655172415</v>
      </c>
      <c r="G477" s="197">
        <f>(16410700/1.16)-G478</f>
        <v>13472640.172413794</v>
      </c>
      <c r="H477" s="197">
        <f>(14078500/1.16)-H478</f>
        <v>11640987.931034483</v>
      </c>
      <c r="I477" s="197">
        <f t="shared" si="205"/>
        <v>52345615</v>
      </c>
      <c r="J477" s="217">
        <f t="shared" si="206"/>
        <v>7477945</v>
      </c>
    </row>
    <row r="478" spans="1:12" s="186" customFormat="1" x14ac:dyDescent="0.25">
      <c r="A478" s="212" t="s">
        <v>31</v>
      </c>
      <c r="B478" s="92">
        <f t="shared" ref="B478:I478" si="211">2155*B459</f>
        <v>189640</v>
      </c>
      <c r="C478" s="92">
        <f t="shared" si="211"/>
        <v>153005</v>
      </c>
      <c r="D478" s="92">
        <f t="shared" si="211"/>
        <v>181020</v>
      </c>
      <c r="E478" s="92">
        <f t="shared" si="211"/>
        <v>215500</v>
      </c>
      <c r="F478" s="92">
        <f t="shared" si="211"/>
        <v>390055</v>
      </c>
      <c r="G478" s="31">
        <f t="shared" si="211"/>
        <v>674515</v>
      </c>
      <c r="H478" s="31">
        <f t="shared" si="211"/>
        <v>495650</v>
      </c>
      <c r="I478" s="31">
        <f t="shared" si="211"/>
        <v>2299385</v>
      </c>
      <c r="J478" s="32">
        <f t="shared" si="206"/>
        <v>328483.57142857142</v>
      </c>
    </row>
    <row r="479" spans="1:12" s="186" customFormat="1" x14ac:dyDescent="0.25">
      <c r="A479" s="218" t="s">
        <v>32</v>
      </c>
      <c r="B479" s="199">
        <f>B478+B477</f>
        <v>4447758.6206896557</v>
      </c>
      <c r="C479" s="199">
        <f>C478+C477</f>
        <v>4302758.6206896557</v>
      </c>
      <c r="D479" s="199">
        <f>D478+D477</f>
        <v>5157758.6206896557</v>
      </c>
      <c r="E479" s="199">
        <f>E478+E477</f>
        <v>5173362.0689655179</v>
      </c>
      <c r="F479" s="199">
        <f>F477+F478</f>
        <v>9279568.9655172415</v>
      </c>
      <c r="G479" s="199">
        <f>G478+G477</f>
        <v>14147155.172413794</v>
      </c>
      <c r="H479" s="199">
        <f>H478+H477</f>
        <v>12136637.931034483</v>
      </c>
      <c r="I479" s="199">
        <f>I477+I478</f>
        <v>54645000</v>
      </c>
      <c r="J479" s="219">
        <f t="shared" si="206"/>
        <v>7806428.5714285718</v>
      </c>
    </row>
    <row r="480" spans="1:12" s="186" customFormat="1" x14ac:dyDescent="0.25">
      <c r="A480" s="212" t="s">
        <v>33</v>
      </c>
      <c r="B480" s="94">
        <f>B479*16%</f>
        <v>711641.37931034493</v>
      </c>
      <c r="C480" s="94">
        <f t="shared" ref="C480:H480" si="212">C479*16%</f>
        <v>688441.37931034493</v>
      </c>
      <c r="D480" s="94">
        <f t="shared" si="212"/>
        <v>825241.37931034493</v>
      </c>
      <c r="E480" s="94">
        <f t="shared" si="212"/>
        <v>827737.9310344829</v>
      </c>
      <c r="F480" s="94">
        <f t="shared" si="212"/>
        <v>1484731.0344827587</v>
      </c>
      <c r="G480" s="94">
        <f t="shared" si="212"/>
        <v>2263544.8275862071</v>
      </c>
      <c r="H480" s="94">
        <f t="shared" si="212"/>
        <v>1941862.0689655172</v>
      </c>
      <c r="I480" s="94">
        <f>I479*16%</f>
        <v>8743200</v>
      </c>
      <c r="J480" s="32">
        <f t="shared" si="206"/>
        <v>1249028.5714285714</v>
      </c>
    </row>
    <row r="481" spans="1:12" s="186" customFormat="1" x14ac:dyDescent="0.25">
      <c r="A481" s="220" t="s">
        <v>34</v>
      </c>
      <c r="B481" s="202">
        <f>B479+B480</f>
        <v>5159400.0000000009</v>
      </c>
      <c r="C481" s="202">
        <f t="shared" ref="C481:H481" si="213">C479+C480</f>
        <v>4991200.0000000009</v>
      </c>
      <c r="D481" s="202">
        <f t="shared" si="213"/>
        <v>5983000.0000000009</v>
      </c>
      <c r="E481" s="202">
        <f t="shared" si="213"/>
        <v>6001100.0000000009</v>
      </c>
      <c r="F481" s="202">
        <f t="shared" si="213"/>
        <v>10764300</v>
      </c>
      <c r="G481" s="202">
        <f t="shared" si="213"/>
        <v>16410700.000000002</v>
      </c>
      <c r="H481" s="202">
        <f t="shared" si="213"/>
        <v>14078500</v>
      </c>
      <c r="I481" s="202">
        <f>I479+I480</f>
        <v>63388200</v>
      </c>
      <c r="J481" s="221">
        <f t="shared" si="206"/>
        <v>9055457.1428571437</v>
      </c>
    </row>
    <row r="482" spans="1:12" s="186" customFormat="1" x14ac:dyDescent="0.25">
      <c r="A482" s="204"/>
      <c r="B482" s="112"/>
      <c r="C482" s="112"/>
      <c r="D482" s="112"/>
      <c r="E482" s="112"/>
      <c r="F482" s="112"/>
      <c r="G482" s="112"/>
      <c r="H482" s="112"/>
      <c r="I482" s="112"/>
      <c r="J482" s="205"/>
    </row>
    <row r="483" spans="1:12" s="186" customFormat="1" ht="15.75" thickBot="1" x14ac:dyDescent="0.3">
      <c r="A483" s="204"/>
      <c r="B483" s="112"/>
      <c r="C483" s="112"/>
      <c r="D483" s="112"/>
      <c r="E483" s="112"/>
      <c r="F483" s="112"/>
      <c r="G483" s="112"/>
      <c r="H483" s="112"/>
      <c r="I483" s="112"/>
      <c r="J483" s="205"/>
    </row>
    <row r="484" spans="1:12" s="186" customFormat="1" ht="26.25" x14ac:dyDescent="0.25">
      <c r="A484"/>
      <c r="B484" s="1002" t="s">
        <v>166</v>
      </c>
      <c r="C484" s="1002"/>
      <c r="D484" s="1002"/>
      <c r="E484" s="1002"/>
      <c r="F484" s="1002"/>
      <c r="G484" s="1002"/>
      <c r="H484" s="1002"/>
      <c r="I484"/>
      <c r="J484"/>
    </row>
    <row r="485" spans="1:12" s="186" customFormat="1" ht="15.75" x14ac:dyDescent="0.25">
      <c r="A485" s="207" t="s">
        <v>2</v>
      </c>
      <c r="B485" s="121" t="s">
        <v>167</v>
      </c>
      <c r="C485" s="121" t="s">
        <v>62</v>
      </c>
      <c r="D485" s="208" t="s">
        <v>63</v>
      </c>
      <c r="E485" s="121" t="s">
        <v>168</v>
      </c>
      <c r="F485" s="121" t="s">
        <v>65</v>
      </c>
      <c r="G485" s="121" t="s">
        <v>66</v>
      </c>
      <c r="H485" s="121" t="s">
        <v>67</v>
      </c>
      <c r="I485" s="121" t="s">
        <v>96</v>
      </c>
      <c r="J485" s="209" t="s">
        <v>97</v>
      </c>
    </row>
    <row r="486" spans="1:12" s="186" customFormat="1" x14ac:dyDescent="0.25">
      <c r="A486" s="210" t="s">
        <v>11</v>
      </c>
      <c r="B486" s="189">
        <v>168</v>
      </c>
      <c r="C486" s="189">
        <v>287</v>
      </c>
      <c r="D486" s="189">
        <v>428</v>
      </c>
      <c r="E486" s="190">
        <v>144</v>
      </c>
      <c r="F486" s="190">
        <v>267</v>
      </c>
      <c r="G486" s="190">
        <v>449</v>
      </c>
      <c r="H486" s="190">
        <v>423</v>
      </c>
      <c r="I486" s="190">
        <f>SUM(B486:H486)</f>
        <v>2166</v>
      </c>
      <c r="J486" s="211">
        <f>+I486/7</f>
        <v>309.42857142857144</v>
      </c>
      <c r="L486" s="186">
        <v>221</v>
      </c>
    </row>
    <row r="487" spans="1:12" s="186" customFormat="1" x14ac:dyDescent="0.25">
      <c r="A487" s="212" t="s">
        <v>12</v>
      </c>
      <c r="B487" s="11">
        <v>91</v>
      </c>
      <c r="C487" s="11">
        <v>145</v>
      </c>
      <c r="D487" s="11">
        <v>243</v>
      </c>
      <c r="E487" s="11">
        <v>56</v>
      </c>
      <c r="F487" s="11">
        <v>155</v>
      </c>
      <c r="G487" s="11">
        <v>219</v>
      </c>
      <c r="H487" s="11">
        <v>229</v>
      </c>
      <c r="I487" s="11">
        <f>SUM('PEPE SIERRA '!$B487:$H487)</f>
        <v>1138</v>
      </c>
      <c r="J487" s="60">
        <f t="shared" ref="J487:J492" si="214">I487/7</f>
        <v>162.57142857142858</v>
      </c>
      <c r="L487" s="186">
        <v>156</v>
      </c>
    </row>
    <row r="488" spans="1:12" s="186" customFormat="1" x14ac:dyDescent="0.25">
      <c r="A488" s="212" t="s">
        <v>13</v>
      </c>
      <c r="B488" s="11">
        <v>0</v>
      </c>
      <c r="C488" s="11">
        <v>6</v>
      </c>
      <c r="D488" s="11">
        <v>6</v>
      </c>
      <c r="E488" s="11">
        <v>0</v>
      </c>
      <c r="F488" s="11">
        <v>4</v>
      </c>
      <c r="G488" s="11">
        <v>0</v>
      </c>
      <c r="H488" s="11">
        <v>8</v>
      </c>
      <c r="I488" s="11">
        <f>SUM('PEPE SIERRA '!$B488:$H488)</f>
        <v>24</v>
      </c>
      <c r="J488" s="60">
        <f t="shared" si="214"/>
        <v>3.4285714285714284</v>
      </c>
      <c r="L488" s="186">
        <v>46</v>
      </c>
    </row>
    <row r="489" spans="1:12" s="186" customFormat="1" x14ac:dyDescent="0.25">
      <c r="A489" s="212" t="s">
        <v>14</v>
      </c>
      <c r="B489" s="11">
        <v>49</v>
      </c>
      <c r="C489" s="11">
        <v>78</v>
      </c>
      <c r="D489" s="11">
        <v>85</v>
      </c>
      <c r="E489" s="11">
        <v>65</v>
      </c>
      <c r="F489" s="11">
        <v>66</v>
      </c>
      <c r="G489" s="11">
        <v>104</v>
      </c>
      <c r="H489" s="86">
        <v>80</v>
      </c>
      <c r="I489" s="11">
        <f>SUM('PEPE SIERRA '!$B489:$H489)</f>
        <v>527</v>
      </c>
      <c r="J489" s="60">
        <f t="shared" si="214"/>
        <v>75.285714285714292</v>
      </c>
      <c r="L489" s="186">
        <f>SUM(L486:L488)</f>
        <v>423</v>
      </c>
    </row>
    <row r="490" spans="1:12" s="186" customFormat="1" x14ac:dyDescent="0.25">
      <c r="A490" s="212" t="s">
        <v>15</v>
      </c>
      <c r="B490" s="11">
        <v>14</v>
      </c>
      <c r="C490" s="11">
        <v>32</v>
      </c>
      <c r="D490" s="11">
        <v>46</v>
      </c>
      <c r="E490" s="11">
        <v>5</v>
      </c>
      <c r="F490" s="11">
        <v>24</v>
      </c>
      <c r="G490" s="11">
        <v>39</v>
      </c>
      <c r="H490" s="11">
        <v>51</v>
      </c>
      <c r="I490" s="11">
        <f>SUM('PEPE SIERRA '!$B490:$H490)</f>
        <v>211</v>
      </c>
      <c r="J490" s="60">
        <f t="shared" si="214"/>
        <v>30.142857142857142</v>
      </c>
    </row>
    <row r="491" spans="1:12" s="186" customFormat="1" x14ac:dyDescent="0.25">
      <c r="A491" s="212" t="s">
        <v>16</v>
      </c>
      <c r="B491" s="11">
        <v>0</v>
      </c>
      <c r="C491" s="11">
        <v>0</v>
      </c>
      <c r="D491" s="11">
        <v>0</v>
      </c>
      <c r="E491" s="11">
        <v>0</v>
      </c>
      <c r="F491" s="11">
        <v>0</v>
      </c>
      <c r="G491" s="11">
        <v>0</v>
      </c>
      <c r="H491" s="11">
        <v>0</v>
      </c>
      <c r="I491" s="11">
        <f>SUM('PEPE SIERRA '!$B491:$H491)</f>
        <v>0</v>
      </c>
      <c r="J491" s="60">
        <f t="shared" si="214"/>
        <v>0</v>
      </c>
    </row>
    <row r="492" spans="1:12" s="186" customFormat="1" x14ac:dyDescent="0.25">
      <c r="A492" s="213" t="s">
        <v>17</v>
      </c>
      <c r="B492" s="192">
        <f>SUM(B487:B491)</f>
        <v>154</v>
      </c>
      <c r="C492" s="192">
        <f t="shared" ref="C492:I492" si="215">SUM(C487:C491)</f>
        <v>261</v>
      </c>
      <c r="D492" s="192">
        <f t="shared" si="215"/>
        <v>380</v>
      </c>
      <c r="E492" s="192">
        <f t="shared" si="215"/>
        <v>126</v>
      </c>
      <c r="F492" s="192">
        <f t="shared" si="215"/>
        <v>249</v>
      </c>
      <c r="G492" s="192">
        <f t="shared" si="215"/>
        <v>362</v>
      </c>
      <c r="H492" s="192">
        <f t="shared" si="215"/>
        <v>368</v>
      </c>
      <c r="I492" s="192">
        <f t="shared" si="215"/>
        <v>1900</v>
      </c>
      <c r="J492" s="214">
        <f t="shared" si="214"/>
        <v>271.42857142857144</v>
      </c>
    </row>
    <row r="493" spans="1:12" s="186" customFormat="1" x14ac:dyDescent="0.25">
      <c r="A493" s="212" t="s">
        <v>18</v>
      </c>
      <c r="B493" s="30">
        <v>0.62</v>
      </c>
      <c r="C493" s="30">
        <v>0.62</v>
      </c>
      <c r="D493" s="30">
        <v>0.67</v>
      </c>
      <c r="E493" s="30">
        <v>0.47</v>
      </c>
      <c r="F493" s="30">
        <v>0.66</v>
      </c>
      <c r="G493" s="30">
        <v>0.64</v>
      </c>
      <c r="H493" s="30">
        <v>0.68</v>
      </c>
      <c r="I493" s="30">
        <f>I500/I505</f>
        <v>0.63955973855743398</v>
      </c>
      <c r="J493" s="160">
        <f>J500/J505</f>
        <v>0.63955973855743409</v>
      </c>
    </row>
    <row r="494" spans="1:12" s="186" customFormat="1" x14ac:dyDescent="0.25">
      <c r="A494" s="212" t="s">
        <v>19</v>
      </c>
      <c r="B494" s="30">
        <v>0</v>
      </c>
      <c r="C494" s="30">
        <v>0.04</v>
      </c>
      <c r="D494" s="30">
        <v>0.02</v>
      </c>
      <c r="E494" s="30">
        <v>0</v>
      </c>
      <c r="F494" s="30">
        <v>0.02</v>
      </c>
      <c r="G494" s="30">
        <v>0</v>
      </c>
      <c r="H494" s="30">
        <v>0.03</v>
      </c>
      <c r="I494" s="30">
        <f>I501/I505</f>
        <v>1.7820653660060227E-2</v>
      </c>
      <c r="J494" s="160">
        <f>J501/J505</f>
        <v>1.7820653660060231E-2</v>
      </c>
    </row>
    <row r="495" spans="1:12" s="186" customFormat="1" x14ac:dyDescent="0.25">
      <c r="A495" s="212" t="s">
        <v>20</v>
      </c>
      <c r="B495" s="30">
        <v>0.26</v>
      </c>
      <c r="C495" s="30">
        <v>0.24</v>
      </c>
      <c r="D495" s="30">
        <v>0.18</v>
      </c>
      <c r="E495" s="30">
        <v>0.47</v>
      </c>
      <c r="F495" s="30">
        <v>0.22</v>
      </c>
      <c r="G495" s="30">
        <v>0.26</v>
      </c>
      <c r="H495" s="30">
        <v>0.17</v>
      </c>
      <c r="I495" s="30">
        <f>I502/I505</f>
        <v>0.23414953228333038</v>
      </c>
      <c r="J495" s="160">
        <f>J502/J505</f>
        <v>0.23414953228333038</v>
      </c>
    </row>
    <row r="496" spans="1:12" s="186" customFormat="1" x14ac:dyDescent="0.25">
      <c r="A496" s="212" t="s">
        <v>21</v>
      </c>
      <c r="B496" s="30">
        <v>0.12</v>
      </c>
      <c r="C496" s="30">
        <v>0.1</v>
      </c>
      <c r="D496" s="30">
        <v>0.13</v>
      </c>
      <c r="E496" s="30">
        <v>0.06</v>
      </c>
      <c r="F496" s="30">
        <v>0.1</v>
      </c>
      <c r="G496" s="30">
        <v>0.1</v>
      </c>
      <c r="H496" s="30">
        <v>0.12</v>
      </c>
      <c r="I496" s="30">
        <f>I503/I505</f>
        <v>0.10847007549917535</v>
      </c>
      <c r="J496" s="160">
        <f>J503/J505</f>
        <v>0.10847007549917537</v>
      </c>
    </row>
    <row r="497" spans="1:10" s="186" customFormat="1" x14ac:dyDescent="0.25">
      <c r="A497" s="212" t="s">
        <v>22</v>
      </c>
      <c r="B497" s="30">
        <v>0</v>
      </c>
      <c r="C497" s="30">
        <v>0</v>
      </c>
      <c r="D497" s="30">
        <v>0</v>
      </c>
      <c r="E497" s="30">
        <v>0</v>
      </c>
      <c r="F497" s="30">
        <v>0</v>
      </c>
      <c r="G497" s="30">
        <v>0</v>
      </c>
      <c r="H497" s="30">
        <v>0</v>
      </c>
      <c r="I497" s="30">
        <f>I504/I505</f>
        <v>0</v>
      </c>
      <c r="J497" s="160">
        <f>J504/J505</f>
        <v>0</v>
      </c>
    </row>
    <row r="498" spans="1:10" s="186" customFormat="1" x14ac:dyDescent="0.25">
      <c r="A498" s="215" t="s">
        <v>23</v>
      </c>
      <c r="B498" s="66">
        <f t="shared" ref="B498:J498" si="216">B509/B492</f>
        <v>34363.63636363636</v>
      </c>
      <c r="C498" s="66">
        <f t="shared" si="216"/>
        <v>37374.712643678162</v>
      </c>
      <c r="D498" s="66">
        <f t="shared" si="216"/>
        <v>35733.68421052632</v>
      </c>
      <c r="E498" s="66">
        <f t="shared" si="216"/>
        <v>38101.5873015873</v>
      </c>
      <c r="F498" s="66">
        <f t="shared" si="216"/>
        <v>33142.971887550208</v>
      </c>
      <c r="G498" s="66">
        <f t="shared" si="216"/>
        <v>37863.812154696141</v>
      </c>
      <c r="H498" s="66">
        <f t="shared" si="216"/>
        <v>35935.869565217392</v>
      </c>
      <c r="I498" s="66">
        <f t="shared" si="216"/>
        <v>36110.578947368427</v>
      </c>
      <c r="J498" s="67">
        <f t="shared" si="216"/>
        <v>36110.578947368427</v>
      </c>
    </row>
    <row r="499" spans="1:10" s="186" customFormat="1" x14ac:dyDescent="0.25">
      <c r="A499" s="215" t="s">
        <v>24</v>
      </c>
      <c r="B499" s="66">
        <f t="shared" ref="B499:I499" si="217">+B509/B486</f>
        <v>31500</v>
      </c>
      <c r="C499" s="66">
        <f t="shared" si="217"/>
        <v>33988.85017421603</v>
      </c>
      <c r="D499" s="66">
        <f t="shared" si="217"/>
        <v>31726.168224299068</v>
      </c>
      <c r="E499" s="66">
        <f t="shared" si="217"/>
        <v>33338.888888888891</v>
      </c>
      <c r="F499" s="66">
        <f t="shared" si="217"/>
        <v>30908.61423220974</v>
      </c>
      <c r="G499" s="66">
        <f t="shared" si="217"/>
        <v>30527.171492204903</v>
      </c>
      <c r="H499" s="66">
        <f t="shared" si="217"/>
        <v>31263.356973995273</v>
      </c>
      <c r="I499" s="66">
        <f t="shared" si="217"/>
        <v>31675.946445060024</v>
      </c>
      <c r="J499" s="67">
        <f>J509/J486</f>
        <v>31675.946445060028</v>
      </c>
    </row>
    <row r="500" spans="1:10" s="186" customFormat="1" x14ac:dyDescent="0.25">
      <c r="A500" s="212" t="s">
        <v>25</v>
      </c>
      <c r="B500" s="92">
        <f t="shared" ref="B500:H500" si="218">B505*B493</f>
        <v>2706897.6586206895</v>
      </c>
      <c r="C500" s="92">
        <f t="shared" si="218"/>
        <v>5020037.9137931038</v>
      </c>
      <c r="D500" s="92">
        <f t="shared" si="218"/>
        <v>7492072.0362068983</v>
      </c>
      <c r="E500" s="92">
        <f t="shared" si="218"/>
        <v>1888432.124137931</v>
      </c>
      <c r="F500" s="92">
        <f t="shared" si="218"/>
        <v>4474988.3275862075</v>
      </c>
      <c r="G500" s="31">
        <f t="shared" si="218"/>
        <v>7260272.4413793115</v>
      </c>
      <c r="H500" s="31">
        <f t="shared" si="218"/>
        <v>7416657.8827586221</v>
      </c>
      <c r="I500" s="31">
        <f t="shared" ref="I500:I505" si="219">SUM(B500:H500)</f>
        <v>36259358.384482764</v>
      </c>
      <c r="J500" s="32">
        <f t="shared" ref="J500:J509" si="220">I500/7</f>
        <v>5179908.3406403949</v>
      </c>
    </row>
    <row r="501" spans="1:10" s="186" customFormat="1" x14ac:dyDescent="0.25">
      <c r="A501" s="212" t="s">
        <v>26</v>
      </c>
      <c r="B501" s="92">
        <f t="shared" ref="B501:H501" si="221">B505*B494</f>
        <v>0</v>
      </c>
      <c r="C501" s="92">
        <f t="shared" si="221"/>
        <v>323873.41379310348</v>
      </c>
      <c r="D501" s="92">
        <f t="shared" si="221"/>
        <v>223643.94137931039</v>
      </c>
      <c r="E501" s="92">
        <f t="shared" si="221"/>
        <v>0</v>
      </c>
      <c r="F501" s="92">
        <f t="shared" si="221"/>
        <v>135605.70689655174</v>
      </c>
      <c r="G501" s="31">
        <f t="shared" si="221"/>
        <v>0</v>
      </c>
      <c r="H501" s="31">
        <f t="shared" si="221"/>
        <v>327205.49482758623</v>
      </c>
      <c r="I501" s="31">
        <f t="shared" si="219"/>
        <v>1010328.5568965519</v>
      </c>
      <c r="J501" s="32">
        <f t="shared" si="220"/>
        <v>144332.6509852217</v>
      </c>
    </row>
    <row r="502" spans="1:10" s="186" customFormat="1" x14ac:dyDescent="0.25">
      <c r="A502" s="212" t="s">
        <v>27</v>
      </c>
      <c r="B502" s="92">
        <f t="shared" ref="B502:H502" si="222">B505*B495</f>
        <v>1135150.6310344827</v>
      </c>
      <c r="C502" s="92">
        <f t="shared" si="222"/>
        <v>1943240.4827586208</v>
      </c>
      <c r="D502" s="92">
        <f t="shared" si="222"/>
        <v>2012795.4724137932</v>
      </c>
      <c r="E502" s="92">
        <f t="shared" si="222"/>
        <v>1888432.124137931</v>
      </c>
      <c r="F502" s="92">
        <f t="shared" si="222"/>
        <v>1491662.7758620691</v>
      </c>
      <c r="G502" s="31">
        <f t="shared" si="222"/>
        <v>2949485.6793103451</v>
      </c>
      <c r="H502" s="31">
        <f t="shared" si="222"/>
        <v>1854164.4706896555</v>
      </c>
      <c r="I502" s="31">
        <f t="shared" si="219"/>
        <v>13274931.636206897</v>
      </c>
      <c r="J502" s="32">
        <f t="shared" si="220"/>
        <v>1896418.8051724138</v>
      </c>
    </row>
    <row r="503" spans="1:10" s="186" customFormat="1" x14ac:dyDescent="0.25">
      <c r="A503" s="212" t="s">
        <v>28</v>
      </c>
      <c r="B503" s="92">
        <f t="shared" ref="B503:H503" si="223">B505*B496</f>
        <v>523915.67586206895</v>
      </c>
      <c r="C503" s="92">
        <f t="shared" si="223"/>
        <v>809683.53448275873</v>
      </c>
      <c r="D503" s="92">
        <f t="shared" si="223"/>
        <v>1453685.6189655175</v>
      </c>
      <c r="E503" s="92">
        <f t="shared" si="223"/>
        <v>241076.44137931036</v>
      </c>
      <c r="F503" s="92">
        <f t="shared" si="223"/>
        <v>678028.53448275873</v>
      </c>
      <c r="G503" s="31">
        <f t="shared" si="223"/>
        <v>1134417.5689655175</v>
      </c>
      <c r="H503" s="31">
        <f t="shared" si="223"/>
        <v>1308821.9793103449</v>
      </c>
      <c r="I503" s="31">
        <f t="shared" si="219"/>
        <v>6149629.3534482773</v>
      </c>
      <c r="J503" s="32">
        <f t="shared" si="220"/>
        <v>878518.47906403965</v>
      </c>
    </row>
    <row r="504" spans="1:10" s="186" customFormat="1" x14ac:dyDescent="0.25">
      <c r="A504" s="212" t="s">
        <v>29</v>
      </c>
      <c r="B504" s="92">
        <f>B505*B497</f>
        <v>0</v>
      </c>
      <c r="C504" s="92">
        <f t="shared" ref="C504:H504" si="224">C505*C497</f>
        <v>0</v>
      </c>
      <c r="D504" s="92">
        <f t="shared" si="224"/>
        <v>0</v>
      </c>
      <c r="E504" s="92">
        <f t="shared" si="224"/>
        <v>0</v>
      </c>
      <c r="F504" s="92">
        <f t="shared" si="224"/>
        <v>0</v>
      </c>
      <c r="G504" s="31">
        <f t="shared" si="224"/>
        <v>0</v>
      </c>
      <c r="H504" s="31">
        <f t="shared" si="224"/>
        <v>0</v>
      </c>
      <c r="I504" s="31">
        <f t="shared" si="219"/>
        <v>0</v>
      </c>
      <c r="J504" s="32">
        <f t="shared" si="220"/>
        <v>0</v>
      </c>
    </row>
    <row r="505" spans="1:10" s="186" customFormat="1" x14ac:dyDescent="0.25">
      <c r="A505" s="216" t="s">
        <v>30</v>
      </c>
      <c r="B505" s="91">
        <f>(5292000/1.16)-B506</f>
        <v>4365963.9655172415</v>
      </c>
      <c r="C505" s="91">
        <f>(9754800/1.16)-C506</f>
        <v>8096835.3448275868</v>
      </c>
      <c r="D505" s="91">
        <f>(13578800/1.16)-D506</f>
        <v>11182197.068965519</v>
      </c>
      <c r="E505" s="91">
        <f>(4800800/1.16)-E506</f>
        <v>4017940.6896551726</v>
      </c>
      <c r="F505" s="91">
        <f>(8252600/1.16)-F506</f>
        <v>6780285.3448275868</v>
      </c>
      <c r="G505" s="197">
        <f>(13706700/1.16)-G506</f>
        <v>11344175.689655174</v>
      </c>
      <c r="H505" s="197">
        <f>(13224400/1.16)-H506</f>
        <v>10906849.827586208</v>
      </c>
      <c r="I505" s="197">
        <f t="shared" si="219"/>
        <v>56694247.93103449</v>
      </c>
      <c r="J505" s="217">
        <f t="shared" si="220"/>
        <v>8099178.2758620698</v>
      </c>
    </row>
    <row r="506" spans="1:10" s="186" customFormat="1" x14ac:dyDescent="0.25">
      <c r="A506" s="212" t="s">
        <v>31</v>
      </c>
      <c r="B506" s="92">
        <f t="shared" ref="B506:I506" si="225">2155*B487</f>
        <v>196105</v>
      </c>
      <c r="C506" s="92">
        <f t="shared" si="225"/>
        <v>312475</v>
      </c>
      <c r="D506" s="92">
        <f>2155*D487</f>
        <v>523665</v>
      </c>
      <c r="E506" s="92">
        <f t="shared" si="225"/>
        <v>120680</v>
      </c>
      <c r="F506" s="92">
        <f t="shared" si="225"/>
        <v>334025</v>
      </c>
      <c r="G506" s="31">
        <f t="shared" si="225"/>
        <v>471945</v>
      </c>
      <c r="H506" s="31">
        <f t="shared" si="225"/>
        <v>493495</v>
      </c>
      <c r="I506" s="31">
        <f t="shared" si="225"/>
        <v>2452390</v>
      </c>
      <c r="J506" s="32">
        <f t="shared" si="220"/>
        <v>350341.42857142858</v>
      </c>
    </row>
    <row r="507" spans="1:10" s="186" customFormat="1" x14ac:dyDescent="0.25">
      <c r="A507" s="218" t="s">
        <v>32</v>
      </c>
      <c r="B507" s="199">
        <f>B506+B505</f>
        <v>4562068.9655172415</v>
      </c>
      <c r="C507" s="199">
        <f>C506+C505</f>
        <v>8409310.3448275868</v>
      </c>
      <c r="D507" s="199">
        <f>D506+D505</f>
        <v>11705862.068965519</v>
      </c>
      <c r="E507" s="199">
        <f>E506+E505</f>
        <v>4138620.6896551726</v>
      </c>
      <c r="F507" s="199">
        <f>F505+F506</f>
        <v>7114310.3448275868</v>
      </c>
      <c r="G507" s="199">
        <f>G506+G505</f>
        <v>11816120.689655174</v>
      </c>
      <c r="H507" s="199">
        <f>H506+H505</f>
        <v>11400344.827586208</v>
      </c>
      <c r="I507" s="199">
        <f>I505+I506</f>
        <v>59146637.93103449</v>
      </c>
      <c r="J507" s="219">
        <f t="shared" si="220"/>
        <v>8449519.7044334989</v>
      </c>
    </row>
    <row r="508" spans="1:10" s="186" customFormat="1" x14ac:dyDescent="0.25">
      <c r="A508" s="212" t="s">
        <v>33</v>
      </c>
      <c r="B508" s="94">
        <f>B507*16%</f>
        <v>729931.03448275861</v>
      </c>
      <c r="C508" s="94">
        <f t="shared" ref="C508:H508" si="226">C507*16%</f>
        <v>1345489.6551724139</v>
      </c>
      <c r="D508" s="94">
        <f t="shared" si="226"/>
        <v>1872937.931034483</v>
      </c>
      <c r="E508" s="94">
        <f t="shared" si="226"/>
        <v>662179.31034482759</v>
      </c>
      <c r="F508" s="94">
        <f t="shared" si="226"/>
        <v>1138289.6551724139</v>
      </c>
      <c r="G508" s="94">
        <f t="shared" si="226"/>
        <v>1890579.3103448278</v>
      </c>
      <c r="H508" s="94">
        <f t="shared" si="226"/>
        <v>1824055.1724137932</v>
      </c>
      <c r="I508" s="94">
        <f>I507*16%</f>
        <v>9463462.0689655188</v>
      </c>
      <c r="J508" s="32">
        <f t="shared" si="220"/>
        <v>1351923.1527093598</v>
      </c>
    </row>
    <row r="509" spans="1:10" s="186" customFormat="1" x14ac:dyDescent="0.25">
      <c r="A509" s="220" t="s">
        <v>34</v>
      </c>
      <c r="B509" s="202">
        <f>B507+B508</f>
        <v>5292000</v>
      </c>
      <c r="C509" s="202">
        <f t="shared" ref="C509:H509" si="227">C507+C508</f>
        <v>9754800</v>
      </c>
      <c r="D509" s="202">
        <f t="shared" si="227"/>
        <v>13578800.000000002</v>
      </c>
      <c r="E509" s="202">
        <f t="shared" si="227"/>
        <v>4800800</v>
      </c>
      <c r="F509" s="202">
        <f t="shared" si="227"/>
        <v>8252600.0000000009</v>
      </c>
      <c r="G509" s="202">
        <f t="shared" si="227"/>
        <v>13706700.000000002</v>
      </c>
      <c r="H509" s="202">
        <f t="shared" si="227"/>
        <v>13224400</v>
      </c>
      <c r="I509" s="202">
        <f>I507+I508</f>
        <v>68610100.000000015</v>
      </c>
      <c r="J509" s="221">
        <f t="shared" si="220"/>
        <v>9801442.8571428601</v>
      </c>
    </row>
    <row r="510" spans="1:10" s="186" customFormat="1" x14ac:dyDescent="0.25">
      <c r="A510" s="204"/>
      <c r="B510" s="112"/>
      <c r="C510" s="112"/>
      <c r="D510" s="112"/>
      <c r="E510" s="112"/>
      <c r="F510" s="112"/>
      <c r="G510" s="112"/>
      <c r="H510" s="112"/>
      <c r="I510" s="112"/>
      <c r="J510" s="205"/>
    </row>
    <row r="511" spans="1:10" s="186" customFormat="1" ht="15.75" thickBot="1" x14ac:dyDescent="0.3">
      <c r="A511" s="204"/>
      <c r="B511" s="112"/>
      <c r="C511" s="112"/>
      <c r="D511" s="112"/>
      <c r="E511" s="112"/>
      <c r="F511" s="112"/>
      <c r="G511" s="112"/>
      <c r="H511" s="112"/>
      <c r="I511" s="112"/>
      <c r="J511" s="205"/>
    </row>
    <row r="512" spans="1:10" s="186" customFormat="1" ht="26.25" x14ac:dyDescent="0.25">
      <c r="A512"/>
      <c r="B512" s="1002" t="s">
        <v>169</v>
      </c>
      <c r="C512" s="1002"/>
      <c r="D512" s="1002"/>
      <c r="E512" s="1002"/>
      <c r="F512" s="1002"/>
      <c r="G512" s="1002"/>
      <c r="H512" s="1002"/>
      <c r="I512"/>
      <c r="J512"/>
    </row>
    <row r="513" spans="1:10" s="186" customFormat="1" ht="15.75" x14ac:dyDescent="0.25">
      <c r="A513" s="207" t="s">
        <v>2</v>
      </c>
      <c r="B513" s="121" t="s">
        <v>70</v>
      </c>
      <c r="C513" s="121" t="s">
        <v>71</v>
      </c>
      <c r="D513" s="121" t="s">
        <v>72</v>
      </c>
      <c r="E513" s="121" t="s">
        <v>73</v>
      </c>
      <c r="F513" s="121" t="s">
        <v>74</v>
      </c>
      <c r="G513" s="121" t="s">
        <v>75</v>
      </c>
      <c r="H513" s="121" t="s">
        <v>76</v>
      </c>
      <c r="I513" s="121" t="s">
        <v>96</v>
      </c>
      <c r="J513" s="209" t="s">
        <v>97</v>
      </c>
    </row>
    <row r="514" spans="1:10" s="186" customFormat="1" x14ac:dyDescent="0.25">
      <c r="A514" s="210" t="s">
        <v>11</v>
      </c>
      <c r="B514" s="189">
        <v>172</v>
      </c>
      <c r="C514" s="189">
        <v>168</v>
      </c>
      <c r="D514" s="189">
        <v>231</v>
      </c>
      <c r="E514" s="190">
        <v>191</v>
      </c>
      <c r="F514" s="190">
        <v>332</v>
      </c>
      <c r="G514" s="190">
        <v>332</v>
      </c>
      <c r="H514" s="190">
        <v>360</v>
      </c>
      <c r="I514" s="190">
        <f>SUM(B514:H514)</f>
        <v>1786</v>
      </c>
      <c r="J514" s="211">
        <f>+I514/7</f>
        <v>255.14285714285714</v>
      </c>
    </row>
    <row r="515" spans="1:10" s="186" customFormat="1" x14ac:dyDescent="0.25">
      <c r="A515" s="212" t="s">
        <v>12</v>
      </c>
      <c r="B515" s="11">
        <v>79</v>
      </c>
      <c r="C515" s="11">
        <v>90</v>
      </c>
      <c r="D515" s="11">
        <v>202</v>
      </c>
      <c r="E515" s="11">
        <v>73</v>
      </c>
      <c r="F515" s="11">
        <v>178</v>
      </c>
      <c r="G515" s="11">
        <v>186</v>
      </c>
      <c r="H515" s="11">
        <v>202</v>
      </c>
      <c r="I515" s="11">
        <f>SUM('PEPE SIERRA '!$B515:$H515)</f>
        <v>1010</v>
      </c>
      <c r="J515" s="60">
        <f t="shared" ref="J515:J520" si="228">I515/7</f>
        <v>144.28571428571428</v>
      </c>
    </row>
    <row r="516" spans="1:10" s="186" customFormat="1" x14ac:dyDescent="0.25">
      <c r="A516" s="212" t="s">
        <v>13</v>
      </c>
      <c r="B516" s="11">
        <v>0</v>
      </c>
      <c r="C516" s="11">
        <v>0</v>
      </c>
      <c r="D516" s="11">
        <v>2</v>
      </c>
      <c r="E516" s="11">
        <v>0</v>
      </c>
      <c r="F516" s="11">
        <v>6</v>
      </c>
      <c r="G516" s="11">
        <v>12</v>
      </c>
      <c r="H516" s="11">
        <v>5</v>
      </c>
      <c r="I516" s="11">
        <f>SUM('PEPE SIERRA '!$B516:$H516)</f>
        <v>25</v>
      </c>
      <c r="J516" s="60">
        <f t="shared" si="228"/>
        <v>3.5714285714285716</v>
      </c>
    </row>
    <row r="517" spans="1:10" s="186" customFormat="1" x14ac:dyDescent="0.25">
      <c r="A517" s="212" t="s">
        <v>14</v>
      </c>
      <c r="B517" s="11">
        <v>75</v>
      </c>
      <c r="C517" s="11">
        <v>45</v>
      </c>
      <c r="D517" s="11">
        <v>55</v>
      </c>
      <c r="E517" s="11">
        <v>67</v>
      </c>
      <c r="F517" s="11">
        <v>69</v>
      </c>
      <c r="G517" s="11">
        <v>72</v>
      </c>
      <c r="H517" s="86">
        <v>59</v>
      </c>
      <c r="I517" s="11">
        <f>SUM('PEPE SIERRA '!$B517:$H517)</f>
        <v>442</v>
      </c>
      <c r="J517" s="60">
        <f t="shared" si="228"/>
        <v>63.142857142857146</v>
      </c>
    </row>
    <row r="518" spans="1:10" s="186" customFormat="1" x14ac:dyDescent="0.25">
      <c r="A518" s="212" t="s">
        <v>15</v>
      </c>
      <c r="B518" s="11">
        <v>12</v>
      </c>
      <c r="C518" s="11">
        <v>23</v>
      </c>
      <c r="D518" s="11">
        <v>28</v>
      </c>
      <c r="E518" s="11">
        <v>19</v>
      </c>
      <c r="F518" s="11">
        <v>21</v>
      </c>
      <c r="G518" s="11">
        <v>26</v>
      </c>
      <c r="H518" s="11">
        <v>50</v>
      </c>
      <c r="I518" s="11">
        <f>SUM('PEPE SIERRA '!$B518:$H518)</f>
        <v>179</v>
      </c>
      <c r="J518" s="60">
        <f t="shared" si="228"/>
        <v>25.571428571428573</v>
      </c>
    </row>
    <row r="519" spans="1:10" s="186" customFormat="1" x14ac:dyDescent="0.25">
      <c r="A519" s="212" t="s">
        <v>16</v>
      </c>
      <c r="B519" s="11">
        <v>0</v>
      </c>
      <c r="C519" s="11">
        <v>0</v>
      </c>
      <c r="D519" s="11">
        <v>1</v>
      </c>
      <c r="E519" s="11">
        <v>1</v>
      </c>
      <c r="F519" s="11">
        <v>0</v>
      </c>
      <c r="G519" s="11">
        <v>0</v>
      </c>
      <c r="H519" s="11">
        <v>0</v>
      </c>
      <c r="I519" s="11">
        <f>SUM('PEPE SIERRA '!$B519:$H519)</f>
        <v>2</v>
      </c>
      <c r="J519" s="60">
        <f t="shared" si="228"/>
        <v>0.2857142857142857</v>
      </c>
    </row>
    <row r="520" spans="1:10" s="186" customFormat="1" x14ac:dyDescent="0.25">
      <c r="A520" s="213" t="s">
        <v>17</v>
      </c>
      <c r="B520" s="192">
        <f>SUM(B515:B519)</f>
        <v>166</v>
      </c>
      <c r="C520" s="192">
        <f t="shared" ref="C520:I520" si="229">SUM(C515:C519)</f>
        <v>158</v>
      </c>
      <c r="D520" s="192">
        <f t="shared" si="229"/>
        <v>288</v>
      </c>
      <c r="E520" s="192">
        <f t="shared" si="229"/>
        <v>160</v>
      </c>
      <c r="F520" s="192">
        <f t="shared" si="229"/>
        <v>274</v>
      </c>
      <c r="G520" s="192">
        <f t="shared" si="229"/>
        <v>296</v>
      </c>
      <c r="H520" s="192">
        <f t="shared" si="229"/>
        <v>316</v>
      </c>
      <c r="I520" s="192">
        <f t="shared" si="229"/>
        <v>1658</v>
      </c>
      <c r="J520" s="214">
        <f t="shared" si="228"/>
        <v>236.85714285714286</v>
      </c>
    </row>
    <row r="521" spans="1:10" s="186" customFormat="1" x14ac:dyDescent="0.25">
      <c r="A521" s="212" t="s">
        <v>18</v>
      </c>
      <c r="B521" s="30">
        <v>0.52</v>
      </c>
      <c r="C521" s="30">
        <v>0.63</v>
      </c>
      <c r="D521" s="30">
        <v>0.78</v>
      </c>
      <c r="E521" s="30">
        <v>0.49</v>
      </c>
      <c r="F521" s="30">
        <v>0.7</v>
      </c>
      <c r="G521" s="30">
        <v>0.65</v>
      </c>
      <c r="H521" s="30">
        <v>0.69</v>
      </c>
      <c r="I521" s="30">
        <f>I528/I533</f>
        <v>0.65371955023281192</v>
      </c>
      <c r="J521" s="160">
        <f>J528/J533</f>
        <v>0.65371955023281181</v>
      </c>
    </row>
    <row r="522" spans="1:10" s="186" customFormat="1" x14ac:dyDescent="0.25">
      <c r="A522" s="212" t="s">
        <v>19</v>
      </c>
      <c r="B522" s="30">
        <v>0</v>
      </c>
      <c r="C522" s="30">
        <v>0</v>
      </c>
      <c r="D522" s="30">
        <v>0</v>
      </c>
      <c r="E522" s="30">
        <v>0</v>
      </c>
      <c r="F522" s="30">
        <v>0.02</v>
      </c>
      <c r="G522" s="30">
        <v>0.05</v>
      </c>
      <c r="H522" s="30">
        <v>0.02</v>
      </c>
      <c r="I522" s="30">
        <f>I529/I533</f>
        <v>1.7298204511415796E-2</v>
      </c>
      <c r="J522" s="160">
        <f>J529/J533</f>
        <v>1.7298204511415796E-2</v>
      </c>
    </row>
    <row r="523" spans="1:10" s="186" customFormat="1" x14ac:dyDescent="0.25">
      <c r="A523" s="212" t="s">
        <v>20</v>
      </c>
      <c r="B523" s="30">
        <v>0.4</v>
      </c>
      <c r="C523" s="30">
        <v>0.24</v>
      </c>
      <c r="D523" s="30">
        <v>0.17</v>
      </c>
      <c r="E523" s="30">
        <v>0.37</v>
      </c>
      <c r="F523" s="30">
        <v>0.21</v>
      </c>
      <c r="G523" s="30">
        <v>0.22</v>
      </c>
      <c r="H523" s="30">
        <v>0.14000000000000001</v>
      </c>
      <c r="I523" s="30">
        <f>I530/I533</f>
        <v>0.2298247479674069</v>
      </c>
      <c r="J523" s="160">
        <f>J530/J533</f>
        <v>0.2298247479674069</v>
      </c>
    </row>
    <row r="524" spans="1:10" s="186" customFormat="1" x14ac:dyDescent="0.25">
      <c r="A524" s="212" t="s">
        <v>21</v>
      </c>
      <c r="B524" s="30">
        <v>0.08</v>
      </c>
      <c r="C524" s="30">
        <v>0.13</v>
      </c>
      <c r="D524" s="30">
        <v>0.05</v>
      </c>
      <c r="E524" s="30">
        <v>0.13</v>
      </c>
      <c r="F524" s="30">
        <v>7.0000000000000007E-2</v>
      </c>
      <c r="G524" s="30">
        <v>0.08</v>
      </c>
      <c r="H524" s="30">
        <v>0.14000000000000001</v>
      </c>
      <c r="I524" s="30">
        <f>I531/I533</f>
        <v>9.6106033853247799E-2</v>
      </c>
      <c r="J524" s="160">
        <f>J531/J533</f>
        <v>9.6106033853247799E-2</v>
      </c>
    </row>
    <row r="525" spans="1:10" s="186" customFormat="1" x14ac:dyDescent="0.25">
      <c r="A525" s="212" t="s">
        <v>22</v>
      </c>
      <c r="B525" s="30">
        <v>0</v>
      </c>
      <c r="C525" s="30">
        <v>0</v>
      </c>
      <c r="D525" s="30">
        <v>0</v>
      </c>
      <c r="E525" s="30">
        <v>0.01</v>
      </c>
      <c r="F525" s="30">
        <v>0</v>
      </c>
      <c r="G525" s="30">
        <v>0</v>
      </c>
      <c r="H525" s="30">
        <v>0.01</v>
      </c>
      <c r="I525" s="30">
        <f>I532/I533</f>
        <v>3.0514634351176658E-3</v>
      </c>
      <c r="J525" s="160">
        <f>J532/J533</f>
        <v>3.0514634351176653E-3</v>
      </c>
    </row>
    <row r="526" spans="1:10" s="186" customFormat="1" x14ac:dyDescent="0.25">
      <c r="A526" s="215" t="s">
        <v>23</v>
      </c>
      <c r="B526" s="66">
        <f t="shared" ref="B526:J526" si="230">B537/B520</f>
        <v>33798.192771084337</v>
      </c>
      <c r="C526" s="66">
        <f t="shared" si="230"/>
        <v>32891.772151898731</v>
      </c>
      <c r="D526" s="66">
        <f t="shared" si="230"/>
        <v>26691.666666666672</v>
      </c>
      <c r="E526" s="66">
        <f t="shared" si="230"/>
        <v>35120</v>
      </c>
      <c r="F526" s="66">
        <f t="shared" si="230"/>
        <v>37695.620437956204</v>
      </c>
      <c r="G526" s="66">
        <f t="shared" si="230"/>
        <v>36795.945945945947</v>
      </c>
      <c r="H526" s="66">
        <f t="shared" si="230"/>
        <v>37032.278481012661</v>
      </c>
      <c r="I526" s="66">
        <f t="shared" si="230"/>
        <v>34400.603136308804</v>
      </c>
      <c r="J526" s="67">
        <f t="shared" si="230"/>
        <v>34400.603136308804</v>
      </c>
    </row>
    <row r="527" spans="1:10" s="186" customFormat="1" x14ac:dyDescent="0.25">
      <c r="A527" s="215" t="s">
        <v>24</v>
      </c>
      <c r="B527" s="66">
        <f t="shared" ref="B527:I527" si="231">+B537/B514</f>
        <v>32619.18604651163</v>
      </c>
      <c r="C527" s="66">
        <f t="shared" si="231"/>
        <v>30933.928571428572</v>
      </c>
      <c r="D527" s="66">
        <f t="shared" si="231"/>
        <v>33277.922077922085</v>
      </c>
      <c r="E527" s="66">
        <f t="shared" si="231"/>
        <v>29419.895287958116</v>
      </c>
      <c r="F527" s="66">
        <f t="shared" si="231"/>
        <v>31110.24096385542</v>
      </c>
      <c r="G527" s="66">
        <f t="shared" si="231"/>
        <v>32806.024096385539</v>
      </c>
      <c r="H527" s="66">
        <f t="shared" si="231"/>
        <v>32506.111111111109</v>
      </c>
      <c r="I527" s="66">
        <f t="shared" si="231"/>
        <v>31935.162374020158</v>
      </c>
      <c r="J527" s="67">
        <f>J537/J514</f>
        <v>31935.162374020158</v>
      </c>
    </row>
    <row r="528" spans="1:10" s="186" customFormat="1" x14ac:dyDescent="0.25">
      <c r="A528" s="212" t="s">
        <v>25</v>
      </c>
      <c r="B528" s="92">
        <f t="shared" ref="B528:H528" si="232">B533*B521</f>
        <v>2426524.3241379312</v>
      </c>
      <c r="C528" s="92">
        <f t="shared" si="232"/>
        <v>2700265.8103448278</v>
      </c>
      <c r="D528" s="92">
        <f t="shared" si="232"/>
        <v>4829437.5103448285</v>
      </c>
      <c r="E528" s="92">
        <f t="shared" si="232"/>
        <v>2296543.2362068966</v>
      </c>
      <c r="F528" s="92">
        <f t="shared" si="232"/>
        <v>5964262.8620689651</v>
      </c>
      <c r="G528" s="31">
        <f t="shared" si="232"/>
        <v>5842512.2241379321</v>
      </c>
      <c r="H528" s="31">
        <f t="shared" si="232"/>
        <v>6660427.4793103449</v>
      </c>
      <c r="I528" s="31">
        <f t="shared" ref="I528:I533" si="233">SUM(B528:H528)</f>
        <v>30719973.446551725</v>
      </c>
      <c r="J528" s="32">
        <f t="shared" ref="J528:J537" si="234">I528/7</f>
        <v>4388567.635221675</v>
      </c>
    </row>
    <row r="529" spans="1:12" s="186" customFormat="1" x14ac:dyDescent="0.25">
      <c r="A529" s="212" t="s">
        <v>26</v>
      </c>
      <c r="B529" s="92">
        <f t="shared" ref="B529:H529" si="235">B533*B522</f>
        <v>0</v>
      </c>
      <c r="C529" s="92">
        <f t="shared" si="235"/>
        <v>0</v>
      </c>
      <c r="D529" s="92">
        <f t="shared" si="235"/>
        <v>0</v>
      </c>
      <c r="E529" s="92">
        <f t="shared" si="235"/>
        <v>0</v>
      </c>
      <c r="F529" s="92">
        <f t="shared" si="235"/>
        <v>170407.51034482758</v>
      </c>
      <c r="G529" s="31">
        <f t="shared" si="235"/>
        <v>449424.01724137936</v>
      </c>
      <c r="H529" s="31">
        <f t="shared" si="235"/>
        <v>193055.86896551723</v>
      </c>
      <c r="I529" s="31">
        <f t="shared" si="233"/>
        <v>812887.39655172417</v>
      </c>
      <c r="J529" s="32">
        <f t="shared" si="234"/>
        <v>116126.77093596059</v>
      </c>
    </row>
    <row r="530" spans="1:12" s="186" customFormat="1" x14ac:dyDescent="0.25">
      <c r="A530" s="212" t="s">
        <v>27</v>
      </c>
      <c r="B530" s="92">
        <f t="shared" ref="B530:H530" si="236">B533*B523</f>
        <v>1866557.1724137934</v>
      </c>
      <c r="C530" s="92">
        <f t="shared" si="236"/>
        <v>1028672.6896551724</v>
      </c>
      <c r="D530" s="92">
        <f t="shared" si="236"/>
        <v>1052569.7137931036</v>
      </c>
      <c r="E530" s="92">
        <f t="shared" si="236"/>
        <v>1734124.4844827587</v>
      </c>
      <c r="F530" s="92">
        <f t="shared" si="236"/>
        <v>1789278.8586206895</v>
      </c>
      <c r="G530" s="31">
        <f t="shared" si="236"/>
        <v>1977465.675862069</v>
      </c>
      <c r="H530" s="31">
        <f t="shared" si="236"/>
        <v>1351391.0827586208</v>
      </c>
      <c r="I530" s="31">
        <f t="shared" si="233"/>
        <v>10800059.677586207</v>
      </c>
      <c r="J530" s="32">
        <f t="shared" si="234"/>
        <v>1542865.6682266011</v>
      </c>
    </row>
    <row r="531" spans="1:12" s="186" customFormat="1" x14ac:dyDescent="0.25">
      <c r="A531" s="212" t="s">
        <v>28</v>
      </c>
      <c r="B531" s="92">
        <f t="shared" ref="B531:H531" si="237">B533*B524</f>
        <v>373311.43448275863</v>
      </c>
      <c r="C531" s="92">
        <f t="shared" si="237"/>
        <v>557197.70689655177</v>
      </c>
      <c r="D531" s="92">
        <f t="shared" si="237"/>
        <v>309579.32758620696</v>
      </c>
      <c r="E531" s="92">
        <f t="shared" si="237"/>
        <v>609286.98103448283</v>
      </c>
      <c r="F531" s="92">
        <f t="shared" si="237"/>
        <v>596426.28620689665</v>
      </c>
      <c r="G531" s="31">
        <f t="shared" si="237"/>
        <v>719078.42758620693</v>
      </c>
      <c r="H531" s="31">
        <f t="shared" si="237"/>
        <v>1351391.0827586208</v>
      </c>
      <c r="I531" s="31">
        <f t="shared" si="233"/>
        <v>4516271.2465517242</v>
      </c>
      <c r="J531" s="32">
        <f t="shared" si="234"/>
        <v>645181.60665024631</v>
      </c>
    </row>
    <row r="532" spans="1:12" s="186" customFormat="1" x14ac:dyDescent="0.25">
      <c r="A532" s="212" t="s">
        <v>29</v>
      </c>
      <c r="B532" s="92">
        <f>B533*B525</f>
        <v>0</v>
      </c>
      <c r="C532" s="92">
        <f t="shared" ref="C532:H532" si="238">C533*C525</f>
        <v>0</v>
      </c>
      <c r="D532" s="92">
        <f t="shared" si="238"/>
        <v>0</v>
      </c>
      <c r="E532" s="92">
        <f t="shared" si="238"/>
        <v>46868.229310344832</v>
      </c>
      <c r="F532" s="92">
        <f t="shared" si="238"/>
        <v>0</v>
      </c>
      <c r="G532" s="31">
        <f t="shared" si="238"/>
        <v>0</v>
      </c>
      <c r="H532" s="31">
        <f t="shared" si="238"/>
        <v>96527.934482758617</v>
      </c>
      <c r="I532" s="31">
        <f t="shared" si="233"/>
        <v>143396.16379310345</v>
      </c>
      <c r="J532" s="32">
        <f t="shared" si="234"/>
        <v>20485.166256157634</v>
      </c>
    </row>
    <row r="533" spans="1:12" s="186" customFormat="1" x14ac:dyDescent="0.25">
      <c r="A533" s="216" t="s">
        <v>30</v>
      </c>
      <c r="B533" s="91">
        <f>(5610500/1.16)-B534</f>
        <v>4666392.931034483</v>
      </c>
      <c r="C533" s="91">
        <f>(5196900/1.16)-C534</f>
        <v>4286136.2068965519</v>
      </c>
      <c r="D533" s="91">
        <f>(7687200/1.16)-D534</f>
        <v>6191586.5517241387</v>
      </c>
      <c r="E533" s="91">
        <f>(5619200/1.16)-E534</f>
        <v>4686822.931034483</v>
      </c>
      <c r="F533" s="91">
        <f>(10328600/1.16)-F534</f>
        <v>8520375.5172413792</v>
      </c>
      <c r="G533" s="197">
        <f>(10891600/1.16)-G534</f>
        <v>8988480.3448275868</v>
      </c>
      <c r="H533" s="197">
        <f>(11702200/1.16)-H534</f>
        <v>9652793.4482758623</v>
      </c>
      <c r="I533" s="197">
        <f t="shared" si="233"/>
        <v>46992587.931034483</v>
      </c>
      <c r="J533" s="217">
        <f t="shared" si="234"/>
        <v>6713226.8472906407</v>
      </c>
    </row>
    <row r="534" spans="1:12" s="186" customFormat="1" x14ac:dyDescent="0.25">
      <c r="A534" s="212" t="s">
        <v>31</v>
      </c>
      <c r="B534" s="92">
        <f t="shared" ref="B534:I534" si="239">2155*B515</f>
        <v>170245</v>
      </c>
      <c r="C534" s="92">
        <f t="shared" si="239"/>
        <v>193950</v>
      </c>
      <c r="D534" s="92">
        <f t="shared" si="239"/>
        <v>435310</v>
      </c>
      <c r="E534" s="92">
        <f t="shared" si="239"/>
        <v>157315</v>
      </c>
      <c r="F534" s="92">
        <f t="shared" si="239"/>
        <v>383590</v>
      </c>
      <c r="G534" s="31">
        <f t="shared" si="239"/>
        <v>400830</v>
      </c>
      <c r="H534" s="31">
        <f t="shared" si="239"/>
        <v>435310</v>
      </c>
      <c r="I534" s="31">
        <f t="shared" si="239"/>
        <v>2176550</v>
      </c>
      <c r="J534" s="32">
        <f t="shared" si="234"/>
        <v>310935.71428571426</v>
      </c>
    </row>
    <row r="535" spans="1:12" s="186" customFormat="1" x14ac:dyDescent="0.25">
      <c r="A535" s="218" t="s">
        <v>32</v>
      </c>
      <c r="B535" s="199">
        <f>B534+B533</f>
        <v>4836637.931034483</v>
      </c>
      <c r="C535" s="199">
        <f>C534+C533</f>
        <v>4480086.2068965519</v>
      </c>
      <c r="D535" s="199">
        <f>D534+D533</f>
        <v>6626896.5517241387</v>
      </c>
      <c r="E535" s="199">
        <f>E534+E533</f>
        <v>4844137.931034483</v>
      </c>
      <c r="F535" s="199">
        <f>F533+F534</f>
        <v>8903965.5172413792</v>
      </c>
      <c r="G535" s="199">
        <f>G534+G533</f>
        <v>9389310.3448275868</v>
      </c>
      <c r="H535" s="199">
        <f>H534+H533</f>
        <v>10088103.448275862</v>
      </c>
      <c r="I535" s="199">
        <f>I533+I534</f>
        <v>49169137.931034483</v>
      </c>
      <c r="J535" s="219">
        <f t="shared" si="234"/>
        <v>7024162.5615763543</v>
      </c>
    </row>
    <row r="536" spans="1:12" s="186" customFormat="1" x14ac:dyDescent="0.25">
      <c r="A536" s="212" t="s">
        <v>33</v>
      </c>
      <c r="B536" s="94">
        <f>B535*16%</f>
        <v>773862.06896551733</v>
      </c>
      <c r="C536" s="94">
        <f t="shared" ref="C536:H536" si="240">C535*16%</f>
        <v>716813.79310344835</v>
      </c>
      <c r="D536" s="94">
        <f t="shared" si="240"/>
        <v>1060303.4482758623</v>
      </c>
      <c r="E536" s="94">
        <f t="shared" si="240"/>
        <v>775062.06896551733</v>
      </c>
      <c r="F536" s="94">
        <f t="shared" si="240"/>
        <v>1424634.4827586208</v>
      </c>
      <c r="G536" s="94">
        <f t="shared" si="240"/>
        <v>1502289.6551724139</v>
      </c>
      <c r="H536" s="94">
        <f t="shared" si="240"/>
        <v>1614096.551724138</v>
      </c>
      <c r="I536" s="94">
        <f>I535*16%</f>
        <v>7867062.068965517</v>
      </c>
      <c r="J536" s="32">
        <f t="shared" si="234"/>
        <v>1123866.0098522168</v>
      </c>
    </row>
    <row r="537" spans="1:12" s="186" customFormat="1" x14ac:dyDescent="0.25">
      <c r="A537" s="220" t="s">
        <v>34</v>
      </c>
      <c r="B537" s="202">
        <f>B535+B536</f>
        <v>5610500</v>
      </c>
      <c r="C537" s="202">
        <f t="shared" ref="C537:H537" si="241">C535+C536</f>
        <v>5196900</v>
      </c>
      <c r="D537" s="202">
        <f t="shared" si="241"/>
        <v>7687200.0000000009</v>
      </c>
      <c r="E537" s="202">
        <f t="shared" si="241"/>
        <v>5619200</v>
      </c>
      <c r="F537" s="202">
        <f t="shared" si="241"/>
        <v>10328600</v>
      </c>
      <c r="G537" s="202">
        <f t="shared" si="241"/>
        <v>10891600</v>
      </c>
      <c r="H537" s="202">
        <f t="shared" si="241"/>
        <v>11702200</v>
      </c>
      <c r="I537" s="202">
        <f>I535+I536</f>
        <v>57036200</v>
      </c>
      <c r="J537" s="221">
        <f t="shared" si="234"/>
        <v>8148028.5714285718</v>
      </c>
    </row>
    <row r="538" spans="1:12" s="186" customFormat="1" x14ac:dyDescent="0.25">
      <c r="A538" s="204"/>
      <c r="B538" s="112"/>
      <c r="C538" s="112"/>
      <c r="D538" s="112"/>
      <c r="E538" s="112"/>
      <c r="F538" s="112"/>
      <c r="G538" s="112"/>
      <c r="H538" s="112"/>
      <c r="I538" s="112"/>
      <c r="J538" s="205"/>
    </row>
    <row r="539" spans="1:12" s="186" customFormat="1" ht="15.75" thickBot="1" x14ac:dyDescent="0.3">
      <c r="A539" s="204"/>
      <c r="B539" s="112"/>
      <c r="C539" s="112"/>
      <c r="D539" s="112"/>
      <c r="E539" s="112"/>
      <c r="F539" s="112"/>
      <c r="G539" s="112"/>
      <c r="H539" s="112"/>
      <c r="I539" s="112"/>
      <c r="J539" s="205"/>
    </row>
    <row r="540" spans="1:12" s="186" customFormat="1" ht="26.25" x14ac:dyDescent="0.25">
      <c r="A540"/>
      <c r="B540" s="1002" t="s">
        <v>170</v>
      </c>
      <c r="C540" s="1002"/>
      <c r="D540" s="1002"/>
      <c r="E540" s="1002"/>
      <c r="F540" s="1002"/>
      <c r="G540" s="1002"/>
      <c r="H540" s="1002"/>
      <c r="I540"/>
      <c r="J540"/>
    </row>
    <row r="541" spans="1:12" s="186" customFormat="1" ht="15.75" x14ac:dyDescent="0.25">
      <c r="A541" s="207" t="s">
        <v>2</v>
      </c>
      <c r="B541" s="121" t="s">
        <v>81</v>
      </c>
      <c r="C541" s="121" t="s">
        <v>82</v>
      </c>
      <c r="D541" s="121" t="s">
        <v>83</v>
      </c>
      <c r="E541" s="121" t="s">
        <v>84</v>
      </c>
      <c r="F541" s="121" t="s">
        <v>85</v>
      </c>
      <c r="G541" s="121" t="s">
        <v>86</v>
      </c>
      <c r="H541" s="121" t="s">
        <v>87</v>
      </c>
      <c r="I541" s="121" t="s">
        <v>96</v>
      </c>
      <c r="J541" s="209" t="s">
        <v>97</v>
      </c>
    </row>
    <row r="542" spans="1:12" s="186" customFormat="1" x14ac:dyDescent="0.25">
      <c r="A542" s="210" t="s">
        <v>11</v>
      </c>
      <c r="B542" s="189">
        <v>209</v>
      </c>
      <c r="C542" s="189">
        <v>239</v>
      </c>
      <c r="D542" s="189">
        <v>217</v>
      </c>
      <c r="E542" s="190">
        <v>175</v>
      </c>
      <c r="F542" s="190">
        <v>134</v>
      </c>
      <c r="G542" s="190">
        <v>394</v>
      </c>
      <c r="H542" s="190">
        <v>335</v>
      </c>
      <c r="I542" s="190">
        <f>SUM(B542:H542)</f>
        <v>1703</v>
      </c>
      <c r="J542" s="211">
        <f>+I542/7</f>
        <v>243.28571428571428</v>
      </c>
      <c r="L542" s="186">
        <v>196</v>
      </c>
    </row>
    <row r="543" spans="1:12" s="186" customFormat="1" x14ac:dyDescent="0.25">
      <c r="A543" s="212" t="s">
        <v>12</v>
      </c>
      <c r="B543" s="11">
        <v>102</v>
      </c>
      <c r="C543" s="11">
        <v>83</v>
      </c>
      <c r="D543" s="11">
        <v>92</v>
      </c>
      <c r="E543" s="11">
        <v>125</v>
      </c>
      <c r="F543" s="11">
        <v>50</v>
      </c>
      <c r="G543" s="11">
        <v>172</v>
      </c>
      <c r="H543" s="11">
        <v>173</v>
      </c>
      <c r="I543" s="11">
        <f>SUM('PEPE SIERRA '!$B543:$H543)</f>
        <v>797</v>
      </c>
      <c r="J543" s="60">
        <f t="shared" ref="J543:J548" si="242">I543/7</f>
        <v>113.85714285714286</v>
      </c>
      <c r="L543" s="186">
        <v>152</v>
      </c>
    </row>
    <row r="544" spans="1:12" s="186" customFormat="1" x14ac:dyDescent="0.25">
      <c r="A544" s="212" t="s">
        <v>13</v>
      </c>
      <c r="B544" s="11">
        <v>3</v>
      </c>
      <c r="C544" s="11">
        <v>5</v>
      </c>
      <c r="D544" s="11">
        <v>2</v>
      </c>
      <c r="E544" s="11">
        <v>4</v>
      </c>
      <c r="F544" s="11">
        <v>2</v>
      </c>
      <c r="G544" s="11">
        <v>15</v>
      </c>
      <c r="H544" s="11">
        <v>11</v>
      </c>
      <c r="I544" s="11">
        <f>SUM('PEPE SIERRA '!$B544:$H544)</f>
        <v>42</v>
      </c>
      <c r="J544" s="60">
        <f t="shared" si="242"/>
        <v>6</v>
      </c>
      <c r="L544" s="186">
        <v>46</v>
      </c>
    </row>
    <row r="545" spans="1:12" s="186" customFormat="1" x14ac:dyDescent="0.25">
      <c r="A545" s="212" t="s">
        <v>14</v>
      </c>
      <c r="B545" s="11">
        <v>50</v>
      </c>
      <c r="C545" s="11">
        <v>64</v>
      </c>
      <c r="D545" s="11">
        <v>67</v>
      </c>
      <c r="E545" s="11">
        <v>68</v>
      </c>
      <c r="F545" s="11">
        <v>50</v>
      </c>
      <c r="G545" s="11">
        <v>61</v>
      </c>
      <c r="H545" s="86">
        <v>55</v>
      </c>
      <c r="I545" s="11">
        <f>SUM('PEPE SIERRA '!$B545:$H545)</f>
        <v>415</v>
      </c>
      <c r="J545" s="60">
        <f t="shared" si="242"/>
        <v>59.285714285714285</v>
      </c>
      <c r="L545" s="186">
        <f>SUM(L542:L544)</f>
        <v>394</v>
      </c>
    </row>
    <row r="546" spans="1:12" s="186" customFormat="1" x14ac:dyDescent="0.25">
      <c r="A546" s="212" t="s">
        <v>15</v>
      </c>
      <c r="B546" s="11">
        <v>18</v>
      </c>
      <c r="C546" s="11">
        <v>27</v>
      </c>
      <c r="D546" s="11">
        <v>18</v>
      </c>
      <c r="E546" s="11">
        <v>28</v>
      </c>
      <c r="F546" s="11">
        <v>9</v>
      </c>
      <c r="G546" s="11">
        <v>39</v>
      </c>
      <c r="H546" s="11">
        <v>45</v>
      </c>
      <c r="I546" s="11">
        <f>SUM('PEPE SIERRA '!$B546:$H546)</f>
        <v>184</v>
      </c>
      <c r="J546" s="60">
        <f t="shared" si="242"/>
        <v>26.285714285714285</v>
      </c>
    </row>
    <row r="547" spans="1:12" s="186" customFormat="1" x14ac:dyDescent="0.25">
      <c r="A547" s="212" t="s">
        <v>16</v>
      </c>
      <c r="B547" s="11">
        <v>1</v>
      </c>
      <c r="C547" s="11">
        <v>1</v>
      </c>
      <c r="D547" s="11">
        <v>0</v>
      </c>
      <c r="E547" s="11">
        <v>3</v>
      </c>
      <c r="F547" s="11">
        <v>1</v>
      </c>
      <c r="G547" s="11">
        <v>0</v>
      </c>
      <c r="H547" s="11">
        <v>0</v>
      </c>
      <c r="I547" s="11">
        <f>SUM('PEPE SIERRA '!$B547:$H547)</f>
        <v>6</v>
      </c>
      <c r="J547" s="60">
        <f t="shared" si="242"/>
        <v>0.8571428571428571</v>
      </c>
    </row>
    <row r="548" spans="1:12" s="186" customFormat="1" x14ac:dyDescent="0.25">
      <c r="A548" s="213" t="s">
        <v>17</v>
      </c>
      <c r="B548" s="192">
        <f>SUM(B543:B547)</f>
        <v>174</v>
      </c>
      <c r="C548" s="192">
        <f t="shared" ref="C548:I548" si="243">SUM(C543:C547)</f>
        <v>180</v>
      </c>
      <c r="D548" s="192">
        <f t="shared" si="243"/>
        <v>179</v>
      </c>
      <c r="E548" s="192">
        <f t="shared" si="243"/>
        <v>228</v>
      </c>
      <c r="F548" s="192">
        <f t="shared" si="243"/>
        <v>112</v>
      </c>
      <c r="G548" s="192">
        <f t="shared" si="243"/>
        <v>287</v>
      </c>
      <c r="H548" s="192">
        <f t="shared" si="243"/>
        <v>284</v>
      </c>
      <c r="I548" s="192">
        <f t="shared" si="243"/>
        <v>1444</v>
      </c>
      <c r="J548" s="214">
        <f t="shared" si="242"/>
        <v>206.28571428571428</v>
      </c>
    </row>
    <row r="549" spans="1:12" s="186" customFormat="1" x14ac:dyDescent="0.25">
      <c r="A549" s="212" t="s">
        <v>18</v>
      </c>
      <c r="B549" s="30">
        <v>0.62</v>
      </c>
      <c r="C549" s="30">
        <v>0.55000000000000004</v>
      </c>
      <c r="D549" s="30">
        <v>0.62</v>
      </c>
      <c r="E549" s="30">
        <v>0.6</v>
      </c>
      <c r="F549" s="30">
        <v>0.55000000000000004</v>
      </c>
      <c r="G549" s="30">
        <v>0.62</v>
      </c>
      <c r="H549" s="30">
        <v>0.62</v>
      </c>
      <c r="I549" s="30">
        <f>I556/I561</f>
        <v>0.60246245983456448</v>
      </c>
      <c r="J549" s="160">
        <f>J556/J561</f>
        <v>0.60246245983456448</v>
      </c>
    </row>
    <row r="550" spans="1:12" s="186" customFormat="1" x14ac:dyDescent="0.25">
      <c r="A550" s="212" t="s">
        <v>19</v>
      </c>
      <c r="B550" s="30">
        <v>0.03</v>
      </c>
      <c r="C550" s="30">
        <v>0.02</v>
      </c>
      <c r="D550" s="30">
        <v>0.01</v>
      </c>
      <c r="E550" s="30">
        <v>0.03</v>
      </c>
      <c r="F550" s="30">
        <v>0.02</v>
      </c>
      <c r="G550" s="30">
        <v>7.0000000000000007E-2</v>
      </c>
      <c r="H550" s="30">
        <v>0.04</v>
      </c>
      <c r="I550" s="30">
        <f>I557/I561</f>
        <v>3.6007279284737397E-2</v>
      </c>
      <c r="J550" s="160">
        <f>J557/J561</f>
        <v>3.6007279284737397E-2</v>
      </c>
    </row>
    <row r="551" spans="1:12" s="186" customFormat="1" x14ac:dyDescent="0.25">
      <c r="A551" s="212" t="s">
        <v>20</v>
      </c>
      <c r="B551" s="30">
        <v>0.24</v>
      </c>
      <c r="C551" s="30">
        <v>0.27</v>
      </c>
      <c r="D551" s="30">
        <v>0.31</v>
      </c>
      <c r="E551" s="30">
        <v>0.26</v>
      </c>
      <c r="F551" s="30">
        <v>0.33</v>
      </c>
      <c r="G551" s="30">
        <v>0.19</v>
      </c>
      <c r="H551" s="30">
        <v>0.2</v>
      </c>
      <c r="I551" s="30">
        <f>I558/I561</f>
        <v>0.24397517244708739</v>
      </c>
      <c r="J551" s="160">
        <f>J558/J561</f>
        <v>0.24397517244708739</v>
      </c>
    </row>
    <row r="552" spans="1:12" s="186" customFormat="1" x14ac:dyDescent="0.25">
      <c r="A552" s="212" t="s">
        <v>21</v>
      </c>
      <c r="B552" s="30">
        <v>0.11</v>
      </c>
      <c r="C552" s="30">
        <v>0.14000000000000001</v>
      </c>
      <c r="D552" s="30">
        <v>0.06</v>
      </c>
      <c r="E552" s="30">
        <v>0.09</v>
      </c>
      <c r="F552" s="30">
        <v>0.09</v>
      </c>
      <c r="G552" s="30">
        <v>0.12</v>
      </c>
      <c r="H552" s="30">
        <v>0.14000000000000001</v>
      </c>
      <c r="I552" s="30">
        <f>I559/I561</f>
        <v>0.11095292342514949</v>
      </c>
      <c r="J552" s="160">
        <f>J559/J561</f>
        <v>0.11095292342514951</v>
      </c>
    </row>
    <row r="553" spans="1:12" s="186" customFormat="1" x14ac:dyDescent="0.25">
      <c r="A553" s="212" t="s">
        <v>22</v>
      </c>
      <c r="B553" s="30">
        <v>0</v>
      </c>
      <c r="C553" s="30">
        <v>0.02</v>
      </c>
      <c r="D553" s="30">
        <v>0</v>
      </c>
      <c r="E553" s="30">
        <v>0.02</v>
      </c>
      <c r="F553" s="30">
        <v>0.01</v>
      </c>
      <c r="G553" s="30">
        <v>0</v>
      </c>
      <c r="H553" s="30">
        <v>0</v>
      </c>
      <c r="I553" s="30">
        <f>I560/I561</f>
        <v>6.6021650084614209E-3</v>
      </c>
      <c r="J553" s="160">
        <f>J560/J561</f>
        <v>6.6021650084614209E-3</v>
      </c>
    </row>
    <row r="554" spans="1:12" s="186" customFormat="1" x14ac:dyDescent="0.25">
      <c r="A554" s="215" t="s">
        <v>23</v>
      </c>
      <c r="B554" s="66">
        <f t="shared" ref="B554:J554" si="244">B565/B548</f>
        <v>36984.482758620688</v>
      </c>
      <c r="C554" s="66">
        <f t="shared" si="244"/>
        <v>38240.555555555562</v>
      </c>
      <c r="D554" s="66">
        <f t="shared" si="244"/>
        <v>34967.597765363134</v>
      </c>
      <c r="E554" s="66">
        <f t="shared" si="244"/>
        <v>38968.859649122809</v>
      </c>
      <c r="F554" s="66">
        <f t="shared" si="244"/>
        <v>36333.928571428572</v>
      </c>
      <c r="G554" s="66">
        <f t="shared" si="244"/>
        <v>40118.815331010454</v>
      </c>
      <c r="H554" s="66">
        <f t="shared" si="244"/>
        <v>35606.338028169012</v>
      </c>
      <c r="I554" s="66">
        <f t="shared" si="244"/>
        <v>37505.817174515236</v>
      </c>
      <c r="J554" s="67">
        <f t="shared" si="244"/>
        <v>37505.817174515236</v>
      </c>
    </row>
    <row r="555" spans="1:12" s="186" customFormat="1" x14ac:dyDescent="0.25">
      <c r="A555" s="215" t="s">
        <v>24</v>
      </c>
      <c r="B555" s="66">
        <f t="shared" ref="B555:I555" si="245">+B565/B542</f>
        <v>30790.909090909092</v>
      </c>
      <c r="C555" s="66">
        <f t="shared" si="245"/>
        <v>28800.418410041846</v>
      </c>
      <c r="D555" s="66">
        <f t="shared" si="245"/>
        <v>28844.239631336412</v>
      </c>
      <c r="E555" s="66">
        <f t="shared" si="245"/>
        <v>50770.857142857145</v>
      </c>
      <c r="F555" s="66">
        <f t="shared" si="245"/>
        <v>30368.656716417911</v>
      </c>
      <c r="G555" s="66">
        <f t="shared" si="245"/>
        <v>29223.604060913705</v>
      </c>
      <c r="H555" s="66">
        <f t="shared" si="245"/>
        <v>30185.671641791047</v>
      </c>
      <c r="I555" s="66">
        <f t="shared" si="245"/>
        <v>31801.761597181445</v>
      </c>
      <c r="J555" s="67">
        <f>J565/J542</f>
        <v>31801.761597181445</v>
      </c>
    </row>
    <row r="556" spans="1:12" s="186" customFormat="1" x14ac:dyDescent="0.25">
      <c r="A556" s="212" t="s">
        <v>25</v>
      </c>
      <c r="B556" s="92">
        <f t="shared" ref="B556:H556" si="246">B561*B549</f>
        <v>3303274.6965517243</v>
      </c>
      <c r="C556" s="92">
        <f t="shared" si="246"/>
        <v>3165257.8706896557</v>
      </c>
      <c r="D556" s="92">
        <f t="shared" si="246"/>
        <v>3222513.282758621</v>
      </c>
      <c r="E556" s="92">
        <f t="shared" si="246"/>
        <v>4434012.931034483</v>
      </c>
      <c r="F556" s="92">
        <f t="shared" si="246"/>
        <v>1870194.3965517243</v>
      </c>
      <c r="G556" s="31">
        <f t="shared" si="246"/>
        <v>5924278.7310344828</v>
      </c>
      <c r="H556" s="31">
        <f t="shared" si="246"/>
        <v>5173651.2517241379</v>
      </c>
      <c r="I556" s="31">
        <f t="shared" ref="I556:I561" si="247">SUM(B556:H556)</f>
        <v>27093183.160344832</v>
      </c>
      <c r="J556" s="32">
        <f t="shared" ref="J556:J565" si="248">I556/7</f>
        <v>3870454.737192119</v>
      </c>
    </row>
    <row r="557" spans="1:12" s="186" customFormat="1" x14ac:dyDescent="0.25">
      <c r="A557" s="212" t="s">
        <v>26</v>
      </c>
      <c r="B557" s="92">
        <f t="shared" ref="B557:H557" si="249">B561*B550</f>
        <v>159835.87241379311</v>
      </c>
      <c r="C557" s="92">
        <f t="shared" si="249"/>
        <v>115100.28620689656</v>
      </c>
      <c r="D557" s="92">
        <f t="shared" si="249"/>
        <v>51976.020689655183</v>
      </c>
      <c r="E557" s="92">
        <f t="shared" si="249"/>
        <v>221700.64655172414</v>
      </c>
      <c r="F557" s="92">
        <f t="shared" si="249"/>
        <v>68007.068965517246</v>
      </c>
      <c r="G557" s="31">
        <f t="shared" si="249"/>
        <v>668870.17931034497</v>
      </c>
      <c r="H557" s="31">
        <f t="shared" si="249"/>
        <v>333783.95172413799</v>
      </c>
      <c r="I557" s="31">
        <f t="shared" si="247"/>
        <v>1619274.0258620693</v>
      </c>
      <c r="J557" s="32">
        <f t="shared" si="248"/>
        <v>231324.86083743846</v>
      </c>
    </row>
    <row r="558" spans="1:12" s="186" customFormat="1" x14ac:dyDescent="0.25">
      <c r="A558" s="212" t="s">
        <v>27</v>
      </c>
      <c r="B558" s="92">
        <f t="shared" ref="B558:H558" si="250">B561*B551</f>
        <v>1278686.9793103449</v>
      </c>
      <c r="C558" s="92">
        <f t="shared" si="250"/>
        <v>1553853.8637931037</v>
      </c>
      <c r="D558" s="92">
        <f t="shared" si="250"/>
        <v>1611256.6413793105</v>
      </c>
      <c r="E558" s="92">
        <f t="shared" si="250"/>
        <v>1921405.6034482762</v>
      </c>
      <c r="F558" s="92">
        <f t="shared" si="250"/>
        <v>1122116.6379310347</v>
      </c>
      <c r="G558" s="31">
        <f t="shared" si="250"/>
        <v>1815504.7724137933</v>
      </c>
      <c r="H558" s="31">
        <f t="shared" si="250"/>
        <v>1668919.7586206899</v>
      </c>
      <c r="I558" s="31">
        <f t="shared" si="247"/>
        <v>10971744.256896555</v>
      </c>
      <c r="J558" s="32">
        <f t="shared" si="248"/>
        <v>1567392.0366995079</v>
      </c>
    </row>
    <row r="559" spans="1:12" s="186" customFormat="1" x14ac:dyDescent="0.25">
      <c r="A559" s="212" t="s">
        <v>28</v>
      </c>
      <c r="B559" s="92">
        <f t="shared" ref="B559:H559" si="251">B561*B552</f>
        <v>586064.86551724141</v>
      </c>
      <c r="C559" s="92">
        <f t="shared" si="251"/>
        <v>805702.00344827608</v>
      </c>
      <c r="D559" s="92">
        <f t="shared" si="251"/>
        <v>311856.12413793104</v>
      </c>
      <c r="E559" s="92">
        <f t="shared" si="251"/>
        <v>665101.93965517241</v>
      </c>
      <c r="F559" s="92">
        <f t="shared" si="251"/>
        <v>306031.81034482759</v>
      </c>
      <c r="G559" s="31">
        <f t="shared" si="251"/>
        <v>1146634.5931034484</v>
      </c>
      <c r="H559" s="31">
        <f t="shared" si="251"/>
        <v>1168243.8310344829</v>
      </c>
      <c r="I559" s="31">
        <f t="shared" si="247"/>
        <v>4989635.1672413796</v>
      </c>
      <c r="J559" s="32">
        <f t="shared" si="248"/>
        <v>712805.02389162569</v>
      </c>
    </row>
    <row r="560" spans="1:12" s="186" customFormat="1" x14ac:dyDescent="0.25">
      <c r="A560" s="212" t="s">
        <v>29</v>
      </c>
      <c r="B560" s="92">
        <f>B561*B553</f>
        <v>0</v>
      </c>
      <c r="C560" s="92">
        <f t="shared" ref="C560:H560" si="252">C561*C553</f>
        <v>115100.28620689656</v>
      </c>
      <c r="D560" s="92">
        <f t="shared" si="252"/>
        <v>0</v>
      </c>
      <c r="E560" s="92">
        <f t="shared" si="252"/>
        <v>147800.43103448278</v>
      </c>
      <c r="F560" s="92">
        <f t="shared" si="252"/>
        <v>34003.534482758623</v>
      </c>
      <c r="G560" s="31">
        <f t="shared" si="252"/>
        <v>0</v>
      </c>
      <c r="H560" s="31">
        <f t="shared" si="252"/>
        <v>0</v>
      </c>
      <c r="I560" s="31">
        <f t="shared" si="247"/>
        <v>296904.25172413792</v>
      </c>
      <c r="J560" s="32">
        <f t="shared" si="248"/>
        <v>42414.893103448274</v>
      </c>
    </row>
    <row r="561" spans="1:12" s="186" customFormat="1" x14ac:dyDescent="0.25">
      <c r="A561" s="216" t="s">
        <v>30</v>
      </c>
      <c r="B561" s="91">
        <f>(6435300/1.16)-B562</f>
        <v>5327862.4137931038</v>
      </c>
      <c r="C561" s="91">
        <f>(6883300/1.16)-C562</f>
        <v>5755014.3103448283</v>
      </c>
      <c r="D561" s="91">
        <f>(6259200/1.16)-D562</f>
        <v>5197602.0689655179</v>
      </c>
      <c r="E561" s="91">
        <f>(8884900/1.16)-E562</f>
        <v>7390021.5517241387</v>
      </c>
      <c r="F561" s="91">
        <f>(4069400/1.16)-F562</f>
        <v>3400353.4482758623</v>
      </c>
      <c r="G561" s="197">
        <f>(11514100/1.16)-G562</f>
        <v>9555288.2758620698</v>
      </c>
      <c r="H561" s="197">
        <f>(10112200/1.16)-H562</f>
        <v>8344598.793103449</v>
      </c>
      <c r="I561" s="197">
        <f t="shared" si="247"/>
        <v>44970740.862068966</v>
      </c>
      <c r="J561" s="217">
        <f t="shared" si="248"/>
        <v>6424391.5517241377</v>
      </c>
    </row>
    <row r="562" spans="1:12" s="186" customFormat="1" x14ac:dyDescent="0.25">
      <c r="A562" s="212" t="s">
        <v>31</v>
      </c>
      <c r="B562" s="92">
        <f t="shared" ref="B562:I562" si="253">2155*B543</f>
        <v>219810</v>
      </c>
      <c r="C562" s="92">
        <f t="shared" si="253"/>
        <v>178865</v>
      </c>
      <c r="D562" s="92">
        <f t="shared" si="253"/>
        <v>198260</v>
      </c>
      <c r="E562" s="92">
        <f t="shared" si="253"/>
        <v>269375</v>
      </c>
      <c r="F562" s="92">
        <f t="shared" si="253"/>
        <v>107750</v>
      </c>
      <c r="G562" s="31">
        <f t="shared" si="253"/>
        <v>370660</v>
      </c>
      <c r="H562" s="31">
        <f t="shared" si="253"/>
        <v>372815</v>
      </c>
      <c r="I562" s="31">
        <f t="shared" si="253"/>
        <v>1717535</v>
      </c>
      <c r="J562" s="32">
        <f t="shared" si="248"/>
        <v>245362.14285714287</v>
      </c>
    </row>
    <row r="563" spans="1:12" s="186" customFormat="1" x14ac:dyDescent="0.25">
      <c r="A563" s="218" t="s">
        <v>32</v>
      </c>
      <c r="B563" s="199">
        <f>B562+B561</f>
        <v>5547672.4137931038</v>
      </c>
      <c r="C563" s="199">
        <f>C562+C561</f>
        <v>5933879.3103448283</v>
      </c>
      <c r="D563" s="199">
        <f>D562+D561</f>
        <v>5395862.0689655179</v>
      </c>
      <c r="E563" s="199">
        <f>E562+E561</f>
        <v>7659396.5517241387</v>
      </c>
      <c r="F563" s="199">
        <f>F561+F562</f>
        <v>3508103.4482758623</v>
      </c>
      <c r="G563" s="199">
        <f>G562+G561</f>
        <v>9925948.2758620698</v>
      </c>
      <c r="H563" s="199">
        <f>H562+H561</f>
        <v>8717413.793103449</v>
      </c>
      <c r="I563" s="199">
        <f>I561+I562</f>
        <v>46688275.862068966</v>
      </c>
      <c r="J563" s="219">
        <f t="shared" si="248"/>
        <v>6669753.6945812805</v>
      </c>
    </row>
    <row r="564" spans="1:12" s="186" customFormat="1" x14ac:dyDescent="0.25">
      <c r="A564" s="212" t="s">
        <v>33</v>
      </c>
      <c r="B564" s="94">
        <f>B563*16%</f>
        <v>887627.58620689658</v>
      </c>
      <c r="C564" s="94">
        <f t="shared" ref="C564:H564" si="254">C563*16%</f>
        <v>949420.68965517252</v>
      </c>
      <c r="D564" s="94">
        <f t="shared" si="254"/>
        <v>863337.9310344829</v>
      </c>
      <c r="E564" s="94">
        <f t="shared" si="254"/>
        <v>1225503.4482758623</v>
      </c>
      <c r="F564" s="94">
        <f t="shared" si="254"/>
        <v>561296.55172413797</v>
      </c>
      <c r="G564" s="94">
        <f t="shared" si="254"/>
        <v>1588151.7241379311</v>
      </c>
      <c r="H564" s="94">
        <f t="shared" si="254"/>
        <v>1394786.2068965519</v>
      </c>
      <c r="I564" s="94">
        <f>I563*16%</f>
        <v>7470124.1379310349</v>
      </c>
      <c r="J564" s="32">
        <f t="shared" si="248"/>
        <v>1067160.591133005</v>
      </c>
    </row>
    <row r="565" spans="1:12" s="186" customFormat="1" x14ac:dyDescent="0.25">
      <c r="A565" s="220" t="s">
        <v>34</v>
      </c>
      <c r="B565" s="202">
        <f>B563+B564</f>
        <v>6435300</v>
      </c>
      <c r="C565" s="202">
        <f t="shared" ref="C565:H565" si="255">C563+C564</f>
        <v>6883300.0000000009</v>
      </c>
      <c r="D565" s="202">
        <f t="shared" si="255"/>
        <v>6259200.0000000009</v>
      </c>
      <c r="E565" s="202">
        <f t="shared" si="255"/>
        <v>8884900</v>
      </c>
      <c r="F565" s="202">
        <f t="shared" si="255"/>
        <v>4069400</v>
      </c>
      <c r="G565" s="202">
        <f t="shared" si="255"/>
        <v>11514100</v>
      </c>
      <c r="H565" s="202">
        <f t="shared" si="255"/>
        <v>10112200</v>
      </c>
      <c r="I565" s="202">
        <f>I563+I564</f>
        <v>54158400</v>
      </c>
      <c r="J565" s="221">
        <f t="shared" si="248"/>
        <v>7736914.2857142854</v>
      </c>
    </row>
    <row r="566" spans="1:12" s="186" customFormat="1" x14ac:dyDescent="0.25">
      <c r="A566" s="204"/>
      <c r="B566" s="112"/>
      <c r="C566" s="112"/>
      <c r="D566" s="112"/>
      <c r="E566" s="112"/>
      <c r="F566" s="112"/>
      <c r="G566" s="112"/>
      <c r="H566" s="112"/>
      <c r="I566" s="112"/>
      <c r="J566" s="205"/>
    </row>
    <row r="567" spans="1:12" s="186" customFormat="1" ht="15.75" thickBot="1" x14ac:dyDescent="0.3">
      <c r="A567" s="204"/>
      <c r="B567" s="112"/>
      <c r="C567" s="112"/>
      <c r="D567" s="112"/>
      <c r="E567" s="112"/>
      <c r="F567" s="112"/>
      <c r="G567" s="112"/>
      <c r="H567" s="112"/>
      <c r="I567" s="112"/>
      <c r="J567" s="205"/>
    </row>
    <row r="568" spans="1:12" s="186" customFormat="1" ht="26.25" x14ac:dyDescent="0.25">
      <c r="A568"/>
      <c r="B568" s="1002" t="s">
        <v>171</v>
      </c>
      <c r="C568" s="1002"/>
      <c r="D568" s="1002"/>
      <c r="E568" s="1002"/>
      <c r="F568" s="1002"/>
      <c r="G568" s="1002"/>
      <c r="H568" s="1002"/>
      <c r="I568"/>
      <c r="J568"/>
    </row>
    <row r="569" spans="1:12" s="186" customFormat="1" ht="15.75" x14ac:dyDescent="0.25">
      <c r="A569" s="207" t="s">
        <v>2</v>
      </c>
      <c r="B569" s="121" t="s">
        <v>89</v>
      </c>
      <c r="C569" s="121" t="s">
        <v>90</v>
      </c>
      <c r="D569" s="121" t="s">
        <v>172</v>
      </c>
      <c r="E569" s="121" t="s">
        <v>92</v>
      </c>
      <c r="F569" s="121" t="s">
        <v>173</v>
      </c>
      <c r="G569" s="121" t="s">
        <v>174</v>
      </c>
      <c r="H569" s="121" t="s">
        <v>175</v>
      </c>
      <c r="I569" s="121" t="s">
        <v>96</v>
      </c>
      <c r="J569" s="209" t="s">
        <v>97</v>
      </c>
    </row>
    <row r="570" spans="1:12" s="186" customFormat="1" x14ac:dyDescent="0.25">
      <c r="A570" s="210" t="s">
        <v>11</v>
      </c>
      <c r="B570" s="189">
        <v>232</v>
      </c>
      <c r="C570" s="189">
        <v>192</v>
      </c>
      <c r="D570" s="189">
        <v>208</v>
      </c>
      <c r="E570" s="190">
        <v>185</v>
      </c>
      <c r="F570" s="190">
        <v>95</v>
      </c>
      <c r="G570" s="190">
        <v>327</v>
      </c>
      <c r="H570" s="190">
        <v>269</v>
      </c>
      <c r="I570" s="190">
        <f>SUM(B570:H570)</f>
        <v>1508</v>
      </c>
      <c r="J570" s="211">
        <f>+I570/7</f>
        <v>215.42857142857142</v>
      </c>
      <c r="L570" s="186">
        <v>147</v>
      </c>
    </row>
    <row r="571" spans="1:12" s="186" customFormat="1" x14ac:dyDescent="0.25">
      <c r="A571" s="212" t="s">
        <v>12</v>
      </c>
      <c r="B571" s="11">
        <v>95</v>
      </c>
      <c r="C571" s="11">
        <v>81</v>
      </c>
      <c r="D571" s="11">
        <v>84</v>
      </c>
      <c r="E571" s="11">
        <v>78</v>
      </c>
      <c r="F571" s="11">
        <v>31</v>
      </c>
      <c r="G571" s="11">
        <v>121</v>
      </c>
      <c r="H571" s="11">
        <v>117</v>
      </c>
      <c r="I571" s="11">
        <f>SUM('PEPE SIERRA '!$B571:$H571)</f>
        <v>607</v>
      </c>
      <c r="J571" s="60">
        <f t="shared" ref="J571:J576" si="256">I571/7</f>
        <v>86.714285714285708</v>
      </c>
      <c r="L571" s="186">
        <v>107</v>
      </c>
    </row>
    <row r="572" spans="1:12" s="186" customFormat="1" x14ac:dyDescent="0.25">
      <c r="A572" s="212" t="s">
        <v>13</v>
      </c>
      <c r="B572" s="11">
        <v>11</v>
      </c>
      <c r="C572" s="11">
        <v>4</v>
      </c>
      <c r="D572" s="11">
        <v>3</v>
      </c>
      <c r="E572" s="11">
        <v>5</v>
      </c>
      <c r="F572" s="11">
        <v>3</v>
      </c>
      <c r="G572" s="11">
        <v>11</v>
      </c>
      <c r="H572" s="11">
        <v>18</v>
      </c>
      <c r="I572" s="11">
        <f>SUM('PEPE SIERRA '!$B572:$H572)</f>
        <v>55</v>
      </c>
      <c r="J572" s="60">
        <f t="shared" si="256"/>
        <v>7.8571428571428568</v>
      </c>
      <c r="L572" s="186">
        <v>15</v>
      </c>
    </row>
    <row r="573" spans="1:12" s="186" customFormat="1" x14ac:dyDescent="0.25">
      <c r="A573" s="212" t="s">
        <v>14</v>
      </c>
      <c r="B573" s="11">
        <v>51</v>
      </c>
      <c r="C573" s="11">
        <v>63</v>
      </c>
      <c r="D573" s="11">
        <v>58</v>
      </c>
      <c r="E573" s="11">
        <v>71</v>
      </c>
      <c r="F573" s="11">
        <v>27</v>
      </c>
      <c r="G573" s="11">
        <v>72</v>
      </c>
      <c r="H573" s="86">
        <v>52</v>
      </c>
      <c r="I573" s="11">
        <f>SUM('PEPE SIERRA '!$B573:$H573)</f>
        <v>394</v>
      </c>
      <c r="J573" s="60">
        <f t="shared" si="256"/>
        <v>56.285714285714285</v>
      </c>
      <c r="L573" s="186">
        <f>SUM(L570:L572)</f>
        <v>269</v>
      </c>
    </row>
    <row r="574" spans="1:12" s="186" customFormat="1" x14ac:dyDescent="0.25">
      <c r="A574" s="212" t="s">
        <v>15</v>
      </c>
      <c r="B574" s="11">
        <v>20</v>
      </c>
      <c r="C574" s="11">
        <v>25</v>
      </c>
      <c r="D574" s="11">
        <v>24</v>
      </c>
      <c r="E574" s="11">
        <v>22</v>
      </c>
      <c r="F574" s="11">
        <v>14</v>
      </c>
      <c r="G574" s="11">
        <v>39</v>
      </c>
      <c r="H574" s="11">
        <v>36</v>
      </c>
      <c r="I574" s="11">
        <f>SUM('PEPE SIERRA '!$B574:$H574)</f>
        <v>180</v>
      </c>
      <c r="J574" s="60">
        <f t="shared" si="256"/>
        <v>25.714285714285715</v>
      </c>
    </row>
    <row r="575" spans="1:12" s="186" customFormat="1" x14ac:dyDescent="0.25">
      <c r="A575" s="212" t="s">
        <v>16</v>
      </c>
      <c r="B575" s="11">
        <v>2</v>
      </c>
      <c r="C575" s="11">
        <v>1</v>
      </c>
      <c r="D575" s="11">
        <v>0</v>
      </c>
      <c r="E575" s="11">
        <v>3</v>
      </c>
      <c r="F575" s="11">
        <v>0</v>
      </c>
      <c r="G575" s="11">
        <v>2</v>
      </c>
      <c r="H575" s="11">
        <v>0</v>
      </c>
      <c r="I575" s="11">
        <f>SUM('PEPE SIERRA '!$B575:$H575)</f>
        <v>8</v>
      </c>
      <c r="J575" s="60">
        <f t="shared" si="256"/>
        <v>1.1428571428571428</v>
      </c>
    </row>
    <row r="576" spans="1:12" s="186" customFormat="1" x14ac:dyDescent="0.25">
      <c r="A576" s="213" t="s">
        <v>17</v>
      </c>
      <c r="B576" s="192">
        <f>SUM(B571:B575)</f>
        <v>179</v>
      </c>
      <c r="C576" s="192">
        <f t="shared" ref="C576:I576" si="257">SUM(C571:C575)</f>
        <v>174</v>
      </c>
      <c r="D576" s="192">
        <f t="shared" si="257"/>
        <v>169</v>
      </c>
      <c r="E576" s="192">
        <f t="shared" si="257"/>
        <v>179</v>
      </c>
      <c r="F576" s="192">
        <f t="shared" si="257"/>
        <v>75</v>
      </c>
      <c r="G576" s="192">
        <f t="shared" si="257"/>
        <v>245</v>
      </c>
      <c r="H576" s="192">
        <f t="shared" si="257"/>
        <v>223</v>
      </c>
      <c r="I576" s="192">
        <f t="shared" si="257"/>
        <v>1244</v>
      </c>
      <c r="J576" s="214">
        <f t="shared" si="256"/>
        <v>177.71428571428572</v>
      </c>
    </row>
    <row r="577" spans="1:10" s="186" customFormat="1" x14ac:dyDescent="0.25">
      <c r="A577" s="212" t="s">
        <v>18</v>
      </c>
      <c r="B577" s="30">
        <v>0.6</v>
      </c>
      <c r="C577" s="30">
        <v>0.5</v>
      </c>
      <c r="D577" s="30">
        <v>0.55000000000000004</v>
      </c>
      <c r="E577" s="30">
        <v>0.54</v>
      </c>
      <c r="F577" s="30">
        <v>0.43</v>
      </c>
      <c r="G577" s="30">
        <v>0.56000000000000005</v>
      </c>
      <c r="H577" s="30">
        <v>0.53</v>
      </c>
      <c r="I577" s="30">
        <f>I584/I589</f>
        <v>0.54116871576700853</v>
      </c>
      <c r="J577" s="160">
        <f>J584/J589</f>
        <v>0.54116871576700853</v>
      </c>
    </row>
    <row r="578" spans="1:10" s="186" customFormat="1" x14ac:dyDescent="0.25">
      <c r="A578" s="212" t="s">
        <v>19</v>
      </c>
      <c r="B578" s="30">
        <v>0.02</v>
      </c>
      <c r="C578" s="30">
        <v>0.02</v>
      </c>
      <c r="D578" s="30">
        <v>0.02</v>
      </c>
      <c r="E578" s="30">
        <v>0.02</v>
      </c>
      <c r="F578" s="30">
        <v>0.05</v>
      </c>
      <c r="G578" s="30">
        <v>0.04</v>
      </c>
      <c r="H578" s="30">
        <v>0.1</v>
      </c>
      <c r="I578" s="30">
        <f>I585/I589</f>
        <v>4.0634619705224778E-2</v>
      </c>
      <c r="J578" s="160">
        <f>J585/J589</f>
        <v>4.0634619705224778E-2</v>
      </c>
    </row>
    <row r="579" spans="1:10" s="186" customFormat="1" x14ac:dyDescent="0.25">
      <c r="A579" s="212" t="s">
        <v>20</v>
      </c>
      <c r="B579" s="30">
        <v>0.27</v>
      </c>
      <c r="C579" s="30">
        <v>0.36</v>
      </c>
      <c r="D579" s="30">
        <v>0.27</v>
      </c>
      <c r="E579" s="30">
        <v>0.32</v>
      </c>
      <c r="F579" s="30">
        <v>0.32</v>
      </c>
      <c r="G579" s="30">
        <v>0.24</v>
      </c>
      <c r="H579" s="30">
        <v>0.21</v>
      </c>
      <c r="I579" s="30">
        <f>I586/I589</f>
        <v>0.27341969638479002</v>
      </c>
      <c r="J579" s="160">
        <f>J586/J589</f>
        <v>0.27341969638479002</v>
      </c>
    </row>
    <row r="580" spans="1:10" s="186" customFormat="1" x14ac:dyDescent="0.25">
      <c r="A580" s="212" t="s">
        <v>21</v>
      </c>
      <c r="B580" s="30">
        <v>0.1</v>
      </c>
      <c r="C580" s="30">
        <v>0.11</v>
      </c>
      <c r="D580" s="30">
        <v>0.16</v>
      </c>
      <c r="E580" s="30">
        <v>0.12</v>
      </c>
      <c r="F580" s="30">
        <v>0.2</v>
      </c>
      <c r="G580" s="30">
        <v>0.15</v>
      </c>
      <c r="H580" s="30">
        <v>0.16</v>
      </c>
      <c r="I580" s="30">
        <f>I587/I589</f>
        <v>0.13985131871618828</v>
      </c>
      <c r="J580" s="160">
        <f>J587/J589</f>
        <v>0.13985131871618828</v>
      </c>
    </row>
    <row r="581" spans="1:10" s="186" customFormat="1" x14ac:dyDescent="0.25">
      <c r="A581" s="212" t="s">
        <v>22</v>
      </c>
      <c r="B581" s="30">
        <v>0.01</v>
      </c>
      <c r="C581" s="30">
        <v>0.01</v>
      </c>
      <c r="D581" s="30">
        <v>0</v>
      </c>
      <c r="E581" s="30">
        <v>0</v>
      </c>
      <c r="F581" s="30">
        <v>0</v>
      </c>
      <c r="G581" s="30">
        <v>0.01</v>
      </c>
      <c r="H581" s="30">
        <v>0</v>
      </c>
      <c r="I581" s="30">
        <f>I588/I589</f>
        <v>4.9256494267885843E-3</v>
      </c>
      <c r="J581" s="160">
        <f>J588/J589</f>
        <v>4.9256494267885835E-3</v>
      </c>
    </row>
    <row r="582" spans="1:10" s="186" customFormat="1" x14ac:dyDescent="0.25">
      <c r="A582" s="215" t="s">
        <v>23</v>
      </c>
      <c r="B582" s="66">
        <f t="shared" ref="B582:J582" si="258">B593/B576</f>
        <v>39554.189944134079</v>
      </c>
      <c r="C582" s="66">
        <f t="shared" si="258"/>
        <v>33722.988505747126</v>
      </c>
      <c r="D582" s="66">
        <f t="shared" si="258"/>
        <v>38322.485207100595</v>
      </c>
      <c r="E582" s="66">
        <f t="shared" si="258"/>
        <v>31865.921787709503</v>
      </c>
      <c r="F582" s="66">
        <f t="shared" si="258"/>
        <v>37721.333333333343</v>
      </c>
      <c r="G582" s="66">
        <f t="shared" si="258"/>
        <v>39861.224489795917</v>
      </c>
      <c r="H582" s="66">
        <f t="shared" si="258"/>
        <v>37669.058295964125</v>
      </c>
      <c r="I582" s="66">
        <f t="shared" si="258"/>
        <v>37077.009646302249</v>
      </c>
      <c r="J582" s="67">
        <f t="shared" si="258"/>
        <v>37077.009646302249</v>
      </c>
    </row>
    <row r="583" spans="1:10" s="186" customFormat="1" x14ac:dyDescent="0.25">
      <c r="A583" s="215" t="s">
        <v>24</v>
      </c>
      <c r="B583" s="66">
        <f t="shared" ref="B583:I583" si="259">+B593/B570</f>
        <v>30518.103448275862</v>
      </c>
      <c r="C583" s="66">
        <f t="shared" si="259"/>
        <v>30561.458333333332</v>
      </c>
      <c r="D583" s="66">
        <f t="shared" si="259"/>
        <v>31137.01923076923</v>
      </c>
      <c r="E583" s="66">
        <f t="shared" si="259"/>
        <v>30832.432432432437</v>
      </c>
      <c r="F583" s="66">
        <f t="shared" si="259"/>
        <v>29780.000000000004</v>
      </c>
      <c r="G583" s="66">
        <f t="shared" si="259"/>
        <v>29865.443425076453</v>
      </c>
      <c r="H583" s="66">
        <f t="shared" si="259"/>
        <v>31227.509293680298</v>
      </c>
      <c r="I583" s="66">
        <f t="shared" si="259"/>
        <v>30586.07427055703</v>
      </c>
      <c r="J583" s="67">
        <f>J593/J570</f>
        <v>30586.07427055703</v>
      </c>
    </row>
    <row r="584" spans="1:10" s="186" customFormat="1" x14ac:dyDescent="0.25">
      <c r="A584" s="212" t="s">
        <v>25</v>
      </c>
      <c r="B584" s="92">
        <f t="shared" ref="B584:H584" si="260">B589*B577</f>
        <v>3539337.4137931033</v>
      </c>
      <c r="C584" s="92">
        <f t="shared" si="260"/>
        <v>2441946.6379310344</v>
      </c>
      <c r="D584" s="92">
        <f t="shared" si="260"/>
        <v>2971193.3103448278</v>
      </c>
      <c r="E584" s="92">
        <f t="shared" si="260"/>
        <v>2564541.7448275867</v>
      </c>
      <c r="F584" s="92">
        <f t="shared" si="260"/>
        <v>1019991.9534482759</v>
      </c>
      <c r="G584" s="31">
        <f t="shared" si="260"/>
        <v>4568597.8896551728</v>
      </c>
      <c r="H584" s="31">
        <f t="shared" si="260"/>
        <v>3704390.8637931035</v>
      </c>
      <c r="I584" s="31">
        <f t="shared" ref="I584:I589" si="261">SUM(B584:H584)</f>
        <v>20809999.813793108</v>
      </c>
      <c r="J584" s="32">
        <f t="shared" ref="J584:J593" si="262">I584/7</f>
        <v>2972857.1162561583</v>
      </c>
    </row>
    <row r="585" spans="1:10" s="186" customFormat="1" x14ac:dyDescent="0.25">
      <c r="A585" s="212" t="s">
        <v>26</v>
      </c>
      <c r="B585" s="92">
        <f t="shared" ref="B585:H585" si="263">B589*B578</f>
        <v>117977.91379310345</v>
      </c>
      <c r="C585" s="92">
        <f t="shared" si="263"/>
        <v>97677.865517241386</v>
      </c>
      <c r="D585" s="92">
        <f t="shared" si="263"/>
        <v>108043.39310344828</v>
      </c>
      <c r="E585" s="92">
        <f t="shared" si="263"/>
        <v>94983.02758620691</v>
      </c>
      <c r="F585" s="92">
        <f t="shared" si="263"/>
        <v>118603.71551724139</v>
      </c>
      <c r="G585" s="31">
        <f t="shared" si="263"/>
        <v>326328.42068965518</v>
      </c>
      <c r="H585" s="31">
        <f t="shared" si="263"/>
        <v>698941.67241379316</v>
      </c>
      <c r="I585" s="31">
        <f t="shared" si="261"/>
        <v>1562556.0086206899</v>
      </c>
      <c r="J585" s="32">
        <f t="shared" si="262"/>
        <v>223222.28694581284</v>
      </c>
    </row>
    <row r="586" spans="1:10" s="186" customFormat="1" x14ac:dyDescent="0.25">
      <c r="A586" s="212" t="s">
        <v>27</v>
      </c>
      <c r="B586" s="92">
        <f t="shared" ref="B586:H586" si="264">B589*B579</f>
        <v>1592701.8362068967</v>
      </c>
      <c r="C586" s="92">
        <f t="shared" si="264"/>
        <v>1758201.5793103448</v>
      </c>
      <c r="D586" s="92">
        <f t="shared" si="264"/>
        <v>1458585.806896552</v>
      </c>
      <c r="E586" s="92">
        <f t="shared" si="264"/>
        <v>1519728.4413793106</v>
      </c>
      <c r="F586" s="92">
        <f t="shared" si="264"/>
        <v>759063.77931034495</v>
      </c>
      <c r="G586" s="31">
        <f t="shared" si="264"/>
        <v>1957970.5241379309</v>
      </c>
      <c r="H586" s="31">
        <f t="shared" si="264"/>
        <v>1467777.5120689655</v>
      </c>
      <c r="I586" s="31">
        <f t="shared" si="261"/>
        <v>10514029.479310345</v>
      </c>
      <c r="J586" s="32">
        <f t="shared" si="262"/>
        <v>1502004.2113300492</v>
      </c>
    </row>
    <row r="587" spans="1:10" s="186" customFormat="1" x14ac:dyDescent="0.25">
      <c r="A587" s="212" t="s">
        <v>28</v>
      </c>
      <c r="B587" s="92">
        <f t="shared" ref="B587:H587" si="265">B589*B580</f>
        <v>589889.56896551733</v>
      </c>
      <c r="C587" s="92">
        <f t="shared" si="265"/>
        <v>537228.26034482755</v>
      </c>
      <c r="D587" s="92">
        <f t="shared" si="265"/>
        <v>864347.14482758625</v>
      </c>
      <c r="E587" s="92">
        <f t="shared" si="265"/>
        <v>569898.16551724146</v>
      </c>
      <c r="F587" s="92">
        <f t="shared" si="265"/>
        <v>474414.86206896557</v>
      </c>
      <c r="G587" s="31">
        <f t="shared" si="265"/>
        <v>1223731.5775862068</v>
      </c>
      <c r="H587" s="31">
        <f t="shared" si="265"/>
        <v>1118306.675862069</v>
      </c>
      <c r="I587" s="31">
        <f t="shared" si="261"/>
        <v>5377816.2551724147</v>
      </c>
      <c r="J587" s="32">
        <f t="shared" si="262"/>
        <v>768259.46502463066</v>
      </c>
    </row>
    <row r="588" spans="1:10" s="186" customFormat="1" x14ac:dyDescent="0.25">
      <c r="A588" s="212" t="s">
        <v>29</v>
      </c>
      <c r="B588" s="92">
        <f>B589*B581</f>
        <v>58988.956896551725</v>
      </c>
      <c r="C588" s="92">
        <f t="shared" ref="C588:H588" si="266">C589*C581</f>
        <v>48838.932758620693</v>
      </c>
      <c r="D588" s="92">
        <f t="shared" si="266"/>
        <v>0</v>
      </c>
      <c r="E588" s="92">
        <f t="shared" si="266"/>
        <v>0</v>
      </c>
      <c r="F588" s="92">
        <f t="shared" si="266"/>
        <v>0</v>
      </c>
      <c r="G588" s="31">
        <f t="shared" si="266"/>
        <v>81582.105172413794</v>
      </c>
      <c r="H588" s="31">
        <f t="shared" si="266"/>
        <v>0</v>
      </c>
      <c r="I588" s="31">
        <f t="shared" si="261"/>
        <v>189409.99482758623</v>
      </c>
      <c r="J588" s="32">
        <f t="shared" si="262"/>
        <v>27058.570689655175</v>
      </c>
    </row>
    <row r="589" spans="1:10" s="186" customFormat="1" x14ac:dyDescent="0.25">
      <c r="A589" s="216" t="s">
        <v>30</v>
      </c>
      <c r="B589" s="91">
        <f>(7080200/1.16)-B590</f>
        <v>5898895.6896551726</v>
      </c>
      <c r="C589" s="91">
        <f>(5867800/1.16)-C590</f>
        <v>4883893.2758620689</v>
      </c>
      <c r="D589" s="91">
        <f>(6476500/1.16)-D590</f>
        <v>5402169.6551724141</v>
      </c>
      <c r="E589" s="91">
        <f>(5704000/1.16)-E590</f>
        <v>4749151.3793103453</v>
      </c>
      <c r="F589" s="91">
        <f>(2829100/1.16)-F590</f>
        <v>2372074.3103448278</v>
      </c>
      <c r="G589" s="197">
        <f>(9766000/1.16)-G590</f>
        <v>8158210.5172413792</v>
      </c>
      <c r="H589" s="197">
        <f>(8400200/1.16)-H590</f>
        <v>6989416.7241379311</v>
      </c>
      <c r="I589" s="197">
        <f t="shared" si="261"/>
        <v>38453811.551724136</v>
      </c>
      <c r="J589" s="217">
        <f t="shared" si="262"/>
        <v>5493401.6502463054</v>
      </c>
    </row>
    <row r="590" spans="1:10" s="186" customFormat="1" x14ac:dyDescent="0.25">
      <c r="A590" s="212" t="s">
        <v>31</v>
      </c>
      <c r="B590" s="92">
        <f t="shared" ref="B590:I590" si="267">2155*B571</f>
        <v>204725</v>
      </c>
      <c r="C590" s="92">
        <f t="shared" si="267"/>
        <v>174555</v>
      </c>
      <c r="D590" s="92">
        <f t="shared" si="267"/>
        <v>181020</v>
      </c>
      <c r="E590" s="92">
        <f t="shared" si="267"/>
        <v>168090</v>
      </c>
      <c r="F590" s="92">
        <f t="shared" si="267"/>
        <v>66805</v>
      </c>
      <c r="G590" s="31">
        <f t="shared" si="267"/>
        <v>260755</v>
      </c>
      <c r="H590" s="31">
        <f t="shared" si="267"/>
        <v>252135</v>
      </c>
      <c r="I590" s="31">
        <f t="shared" si="267"/>
        <v>1308085</v>
      </c>
      <c r="J590" s="32">
        <f t="shared" si="262"/>
        <v>186869.28571428571</v>
      </c>
    </row>
    <row r="591" spans="1:10" s="186" customFormat="1" x14ac:dyDescent="0.25">
      <c r="A591" s="218" t="s">
        <v>32</v>
      </c>
      <c r="B591" s="199">
        <f>B590+B589</f>
        <v>6103620.6896551726</v>
      </c>
      <c r="C591" s="199">
        <f>C590+C589</f>
        <v>5058448.2758620689</v>
      </c>
      <c r="D591" s="199">
        <f>D590+D589</f>
        <v>5583189.6551724141</v>
      </c>
      <c r="E591" s="199">
        <f>E590+E589</f>
        <v>4917241.3793103453</v>
      </c>
      <c r="F591" s="199">
        <f>F589+F590</f>
        <v>2438879.3103448278</v>
      </c>
      <c r="G591" s="199">
        <f>G590+G589</f>
        <v>8418965.5172413792</v>
      </c>
      <c r="H591" s="199">
        <f>H590+H589</f>
        <v>7241551.7241379311</v>
      </c>
      <c r="I591" s="199">
        <f>I589+I590</f>
        <v>39761896.551724136</v>
      </c>
      <c r="J591" s="219">
        <f t="shared" si="262"/>
        <v>5680270.9359605908</v>
      </c>
    </row>
    <row r="592" spans="1:10" s="186" customFormat="1" x14ac:dyDescent="0.25">
      <c r="A592" s="212" t="s">
        <v>33</v>
      </c>
      <c r="B592" s="94">
        <f>B591*16%</f>
        <v>976579.31034482759</v>
      </c>
      <c r="C592" s="94">
        <f t="shared" ref="C592:H592" si="268">C591*16%</f>
        <v>809351.72413793101</v>
      </c>
      <c r="D592" s="94">
        <f t="shared" si="268"/>
        <v>893310.34482758632</v>
      </c>
      <c r="E592" s="94">
        <f t="shared" si="268"/>
        <v>786758.6206896553</v>
      </c>
      <c r="F592" s="94">
        <f t="shared" si="268"/>
        <v>390220.68965517246</v>
      </c>
      <c r="G592" s="94">
        <f t="shared" si="268"/>
        <v>1347034.4827586208</v>
      </c>
      <c r="H592" s="94">
        <f t="shared" si="268"/>
        <v>1158648.2758620691</v>
      </c>
      <c r="I592" s="94">
        <f>I591*16%</f>
        <v>6361903.4482758623</v>
      </c>
      <c r="J592" s="32">
        <f t="shared" si="262"/>
        <v>908843.34975369461</v>
      </c>
    </row>
    <row r="593" spans="1:12" s="186" customFormat="1" x14ac:dyDescent="0.25">
      <c r="A593" s="220" t="s">
        <v>34</v>
      </c>
      <c r="B593" s="202">
        <f>B591+B592</f>
        <v>7080200</v>
      </c>
      <c r="C593" s="202">
        <f t="shared" ref="C593:H593" si="269">C591+C592</f>
        <v>5867800</v>
      </c>
      <c r="D593" s="202">
        <f t="shared" si="269"/>
        <v>6476500</v>
      </c>
      <c r="E593" s="202">
        <f t="shared" si="269"/>
        <v>5704000.0000000009</v>
      </c>
      <c r="F593" s="202">
        <f t="shared" si="269"/>
        <v>2829100.0000000005</v>
      </c>
      <c r="G593" s="202">
        <f t="shared" si="269"/>
        <v>9766000</v>
      </c>
      <c r="H593" s="202">
        <f t="shared" si="269"/>
        <v>8400200</v>
      </c>
      <c r="I593" s="202">
        <f>I591+I592</f>
        <v>46123800</v>
      </c>
      <c r="J593" s="221">
        <f t="shared" si="262"/>
        <v>6589114.2857142854</v>
      </c>
    </row>
    <row r="594" spans="1:12" s="186" customFormat="1" x14ac:dyDescent="0.25">
      <c r="A594" s="204"/>
      <c r="B594" s="112"/>
      <c r="C594" s="112"/>
      <c r="D594" s="112"/>
      <c r="E594" s="112"/>
      <c r="F594" s="112"/>
      <c r="G594" s="112"/>
      <c r="H594" s="112"/>
      <c r="I594" s="112"/>
      <c r="J594" s="205"/>
    </row>
    <row r="595" spans="1:12" s="186" customFormat="1" ht="15.75" thickBot="1" x14ac:dyDescent="0.3">
      <c r="A595" s="204"/>
      <c r="B595" s="112"/>
      <c r="C595" s="112"/>
      <c r="D595" s="112"/>
      <c r="E595" s="112"/>
      <c r="F595" s="112"/>
      <c r="G595" s="112"/>
      <c r="H595" s="112"/>
      <c r="I595" s="112"/>
      <c r="J595" s="205"/>
    </row>
    <row r="596" spans="1:12" s="186" customFormat="1" ht="26.25" x14ac:dyDescent="0.25">
      <c r="A596"/>
      <c r="B596" s="1002" t="s">
        <v>176</v>
      </c>
      <c r="C596" s="1002"/>
      <c r="D596" s="1002"/>
      <c r="E596" s="1002"/>
      <c r="F596" s="1002"/>
      <c r="G596" s="1002"/>
      <c r="H596" s="1002"/>
      <c r="I596"/>
      <c r="J596"/>
    </row>
    <row r="597" spans="1:12" s="186" customFormat="1" ht="15.75" x14ac:dyDescent="0.25">
      <c r="A597" s="207" t="s">
        <v>2</v>
      </c>
      <c r="B597" s="121" t="s">
        <v>177</v>
      </c>
      <c r="C597" s="121" t="s">
        <v>178</v>
      </c>
      <c r="D597" s="121" t="s">
        <v>179</v>
      </c>
      <c r="E597" s="121" t="s">
        <v>180</v>
      </c>
      <c r="F597" s="121" t="s">
        <v>181</v>
      </c>
      <c r="G597" s="121" t="s">
        <v>182</v>
      </c>
      <c r="H597" s="121" t="s">
        <v>183</v>
      </c>
      <c r="I597" s="121" t="s">
        <v>96</v>
      </c>
      <c r="J597" s="209" t="s">
        <v>97</v>
      </c>
    </row>
    <row r="598" spans="1:12" s="186" customFormat="1" x14ac:dyDescent="0.25">
      <c r="A598" s="210" t="s">
        <v>11</v>
      </c>
      <c r="B598" s="189">
        <v>150</v>
      </c>
      <c r="C598" s="189">
        <v>214</v>
      </c>
      <c r="D598" s="189">
        <v>111</v>
      </c>
      <c r="E598" s="190">
        <v>228</v>
      </c>
      <c r="F598" s="190">
        <v>260</v>
      </c>
      <c r="G598" s="190">
        <v>337</v>
      </c>
      <c r="H598" s="190">
        <v>312</v>
      </c>
      <c r="I598" s="190">
        <f>SUM(B598:H598)</f>
        <v>1612</v>
      </c>
      <c r="J598" s="211">
        <f>+I598/7</f>
        <v>230.28571428571428</v>
      </c>
      <c r="L598" s="186">
        <v>155</v>
      </c>
    </row>
    <row r="599" spans="1:12" s="186" customFormat="1" x14ac:dyDescent="0.25">
      <c r="A599" s="212" t="s">
        <v>12</v>
      </c>
      <c r="B599" s="11">
        <v>74</v>
      </c>
      <c r="C599" s="11">
        <v>98</v>
      </c>
      <c r="D599" s="11">
        <v>10</v>
      </c>
      <c r="E599" s="11">
        <v>92</v>
      </c>
      <c r="F599" s="11">
        <v>116</v>
      </c>
      <c r="G599" s="11">
        <v>160</v>
      </c>
      <c r="H599" s="11">
        <v>141</v>
      </c>
      <c r="I599" s="11">
        <f>SUM('PEPE SIERRA '!$B599:$H599)</f>
        <v>691</v>
      </c>
      <c r="J599" s="60">
        <f t="shared" ref="J599:J604" si="270">I599/7</f>
        <v>98.714285714285708</v>
      </c>
      <c r="L599" s="186">
        <v>118</v>
      </c>
    </row>
    <row r="600" spans="1:12" s="186" customFormat="1" x14ac:dyDescent="0.25">
      <c r="A600" s="212" t="s">
        <v>13</v>
      </c>
      <c r="B600" s="11">
        <v>7</v>
      </c>
      <c r="C600" s="11">
        <v>4</v>
      </c>
      <c r="D600" s="11">
        <v>0</v>
      </c>
      <c r="E600" s="11">
        <v>8</v>
      </c>
      <c r="F600" s="11">
        <v>4</v>
      </c>
      <c r="G600" s="11">
        <v>11</v>
      </c>
      <c r="H600" s="11">
        <v>8</v>
      </c>
      <c r="I600" s="11">
        <f>SUM('PEPE SIERRA '!$B600:$H600)</f>
        <v>42</v>
      </c>
      <c r="J600" s="60">
        <f t="shared" si="270"/>
        <v>6</v>
      </c>
      <c r="L600" s="186">
        <v>39</v>
      </c>
    </row>
    <row r="601" spans="1:12" s="186" customFormat="1" x14ac:dyDescent="0.25">
      <c r="A601" s="212" t="s">
        <v>14</v>
      </c>
      <c r="B601" s="11">
        <v>29</v>
      </c>
      <c r="C601" s="11">
        <v>45</v>
      </c>
      <c r="D601" s="11">
        <v>55</v>
      </c>
      <c r="E601" s="11">
        <v>67</v>
      </c>
      <c r="F601" s="11">
        <v>69</v>
      </c>
      <c r="G601" s="11">
        <v>72</v>
      </c>
      <c r="H601" s="86">
        <v>69</v>
      </c>
      <c r="I601" s="11">
        <f>SUM('PEPE SIERRA '!$B601:$H601)</f>
        <v>406</v>
      </c>
      <c r="J601" s="60">
        <f t="shared" si="270"/>
        <v>58</v>
      </c>
      <c r="L601" s="186">
        <f>SUM(L598:L600)</f>
        <v>312</v>
      </c>
    </row>
    <row r="602" spans="1:12" s="186" customFormat="1" x14ac:dyDescent="0.25">
      <c r="A602" s="212" t="s">
        <v>15</v>
      </c>
      <c r="B602" s="11">
        <v>13</v>
      </c>
      <c r="C602" s="11">
        <v>21</v>
      </c>
      <c r="D602" s="11">
        <v>29</v>
      </c>
      <c r="E602" s="11">
        <v>19</v>
      </c>
      <c r="F602" s="11">
        <v>39</v>
      </c>
      <c r="G602" s="11">
        <v>39</v>
      </c>
      <c r="H602" s="11">
        <v>27</v>
      </c>
      <c r="I602" s="11">
        <f>SUM('PEPE SIERRA '!$B602:$H602)</f>
        <v>187</v>
      </c>
      <c r="J602" s="60">
        <f t="shared" si="270"/>
        <v>26.714285714285715</v>
      </c>
    </row>
    <row r="603" spans="1:12" s="186" customFormat="1" x14ac:dyDescent="0.25">
      <c r="A603" s="212" t="s">
        <v>16</v>
      </c>
      <c r="B603" s="11">
        <v>1</v>
      </c>
      <c r="C603" s="11">
        <v>3</v>
      </c>
      <c r="D603" s="11">
        <v>0</v>
      </c>
      <c r="E603" s="11">
        <v>2</v>
      </c>
      <c r="F603" s="11">
        <v>6</v>
      </c>
      <c r="G603" s="11">
        <v>0</v>
      </c>
      <c r="H603" s="11">
        <v>1</v>
      </c>
      <c r="I603" s="11">
        <f>SUM('PEPE SIERRA '!$B603:$H603)</f>
        <v>13</v>
      </c>
      <c r="J603" s="60">
        <f t="shared" si="270"/>
        <v>1.8571428571428572</v>
      </c>
    </row>
    <row r="604" spans="1:12" s="186" customFormat="1" x14ac:dyDescent="0.25">
      <c r="A604" s="213" t="s">
        <v>17</v>
      </c>
      <c r="B604" s="192">
        <f>SUM(B599:B603)</f>
        <v>124</v>
      </c>
      <c r="C604" s="192">
        <f t="shared" ref="C604:I604" si="271">SUM(C599:C603)</f>
        <v>171</v>
      </c>
      <c r="D604" s="192">
        <f t="shared" si="271"/>
        <v>94</v>
      </c>
      <c r="E604" s="192">
        <f t="shared" si="271"/>
        <v>188</v>
      </c>
      <c r="F604" s="192">
        <f t="shared" si="271"/>
        <v>234</v>
      </c>
      <c r="G604" s="192">
        <f t="shared" si="271"/>
        <v>282</v>
      </c>
      <c r="H604" s="192">
        <f t="shared" si="271"/>
        <v>246</v>
      </c>
      <c r="I604" s="192">
        <f t="shared" si="271"/>
        <v>1339</v>
      </c>
      <c r="J604" s="214">
        <f t="shared" si="270"/>
        <v>191.28571428571428</v>
      </c>
    </row>
    <row r="605" spans="1:12" s="186" customFormat="1" x14ac:dyDescent="0.25">
      <c r="A605" s="212" t="s">
        <v>18</v>
      </c>
      <c r="B605" s="30">
        <v>0.62</v>
      </c>
      <c r="C605" s="30">
        <v>0.64</v>
      </c>
      <c r="D605" s="30">
        <v>0.14000000000000001</v>
      </c>
      <c r="E605" s="30">
        <v>0.52</v>
      </c>
      <c r="F605" s="30">
        <v>0.56000000000000005</v>
      </c>
      <c r="G605" s="30">
        <v>0.65</v>
      </c>
      <c r="H605" s="30">
        <v>0.63</v>
      </c>
      <c r="I605" s="30">
        <f>I612/I617</f>
        <v>0.57449702636752764</v>
      </c>
      <c r="J605" s="160">
        <f>J612/J617</f>
        <v>0.57449702636752764</v>
      </c>
    </row>
    <row r="606" spans="1:12" s="186" customFormat="1" x14ac:dyDescent="0.25">
      <c r="A606" s="212" t="s">
        <v>19</v>
      </c>
      <c r="B606" s="30">
        <v>0.05</v>
      </c>
      <c r="C606" s="30">
        <v>0.03</v>
      </c>
      <c r="D606" s="30">
        <v>0</v>
      </c>
      <c r="E606" s="30">
        <v>0.06</v>
      </c>
      <c r="F606" s="30">
        <v>0.02</v>
      </c>
      <c r="G606" s="30">
        <v>0.05</v>
      </c>
      <c r="H606" s="30">
        <v>0.03</v>
      </c>
      <c r="I606" s="30">
        <f>I613/I617</f>
        <v>3.6655477886259405E-2</v>
      </c>
      <c r="J606" s="160">
        <f>J613/J617</f>
        <v>3.6655477886259405E-2</v>
      </c>
    </row>
    <row r="607" spans="1:12" s="186" customFormat="1" x14ac:dyDescent="0.25">
      <c r="A607" s="212" t="s">
        <v>20</v>
      </c>
      <c r="B607" s="30">
        <v>0.21</v>
      </c>
      <c r="C607" s="30">
        <v>0.24</v>
      </c>
      <c r="D607" s="30">
        <v>0.49</v>
      </c>
      <c r="E607" s="30">
        <v>0.31</v>
      </c>
      <c r="F607" s="30">
        <v>0.24</v>
      </c>
      <c r="G607" s="30">
        <v>0.18</v>
      </c>
      <c r="H607" s="30">
        <v>0.23</v>
      </c>
      <c r="I607" s="30">
        <f>I614/I617</f>
        <v>0.24898650841136452</v>
      </c>
      <c r="J607" s="160">
        <f>J614/J617</f>
        <v>0.24898650841136452</v>
      </c>
    </row>
    <row r="608" spans="1:12" s="186" customFormat="1" x14ac:dyDescent="0.25">
      <c r="A608" s="212" t="s">
        <v>21</v>
      </c>
      <c r="B608" s="30">
        <v>0.11</v>
      </c>
      <c r="C608" s="30">
        <v>0.08</v>
      </c>
      <c r="D608" s="30">
        <v>0.37</v>
      </c>
      <c r="E608" s="30">
        <v>0.1</v>
      </c>
      <c r="F608" s="30">
        <v>0.16</v>
      </c>
      <c r="G608" s="30">
        <v>0.12</v>
      </c>
      <c r="H608" s="30">
        <v>0.11</v>
      </c>
      <c r="I608" s="30">
        <f>I615/I617</f>
        <v>0.13275699006819774</v>
      </c>
      <c r="J608" s="160">
        <f>J615/J617</f>
        <v>0.13275699006819772</v>
      </c>
    </row>
    <row r="609" spans="1:10" s="186" customFormat="1" x14ac:dyDescent="0.25">
      <c r="A609" s="212" t="s">
        <v>22</v>
      </c>
      <c r="B609" s="30">
        <v>0.01</v>
      </c>
      <c r="C609" s="30">
        <v>0.01</v>
      </c>
      <c r="D609" s="30">
        <v>0</v>
      </c>
      <c r="E609" s="30">
        <v>0.01</v>
      </c>
      <c r="F609" s="30">
        <v>0.02</v>
      </c>
      <c r="G609" s="30">
        <v>0</v>
      </c>
      <c r="H609" s="30">
        <v>0</v>
      </c>
      <c r="I609" s="30">
        <f>I616/I617</f>
        <v>7.103997266651025E-3</v>
      </c>
      <c r="J609" s="160">
        <f>J616/J617</f>
        <v>7.103997266651025E-3</v>
      </c>
    </row>
    <row r="610" spans="1:10" s="186" customFormat="1" x14ac:dyDescent="0.25">
      <c r="A610" s="215" t="s">
        <v>23</v>
      </c>
      <c r="B610" s="66">
        <f t="shared" ref="B610:J610" si="272">B621/B604</f>
        <v>36595.967741935485</v>
      </c>
      <c r="C610" s="66">
        <f t="shared" si="272"/>
        <v>34753.801169590646</v>
      </c>
      <c r="D610" s="66">
        <f t="shared" si="272"/>
        <v>32600</v>
      </c>
      <c r="E610" s="66">
        <f t="shared" si="272"/>
        <v>36678.723404255317</v>
      </c>
      <c r="F610" s="66">
        <f t="shared" si="272"/>
        <v>36255.982905982906</v>
      </c>
      <c r="G610" s="66">
        <f t="shared" si="272"/>
        <v>36212.056737588653</v>
      </c>
      <c r="H610" s="66">
        <f t="shared" si="272"/>
        <v>37359.349593495936</v>
      </c>
      <c r="I610" s="66">
        <f t="shared" si="272"/>
        <v>36091.784914115015</v>
      </c>
      <c r="J610" s="67">
        <f t="shared" si="272"/>
        <v>36091.784914115015</v>
      </c>
    </row>
    <row r="611" spans="1:10" s="186" customFormat="1" x14ac:dyDescent="0.25">
      <c r="A611" s="215" t="s">
        <v>24</v>
      </c>
      <c r="B611" s="66">
        <f t="shared" ref="B611:I611" si="273">+B621/B598</f>
        <v>30252.666666666668</v>
      </c>
      <c r="C611" s="66">
        <f t="shared" si="273"/>
        <v>27770.560747663552</v>
      </c>
      <c r="D611" s="66">
        <f t="shared" si="273"/>
        <v>27607.207207207208</v>
      </c>
      <c r="E611" s="66">
        <f t="shared" si="273"/>
        <v>30243.859649122805</v>
      </c>
      <c r="F611" s="66">
        <f t="shared" si="273"/>
        <v>32630.384615384617</v>
      </c>
      <c r="G611" s="66">
        <f t="shared" si="273"/>
        <v>30302.07715133531</v>
      </c>
      <c r="H611" s="66">
        <f t="shared" si="273"/>
        <v>29456.410256410258</v>
      </c>
      <c r="I611" s="66">
        <f t="shared" si="273"/>
        <v>29979.466501240695</v>
      </c>
      <c r="J611" s="67">
        <f>J621/J598</f>
        <v>29979.466501240695</v>
      </c>
    </row>
    <row r="612" spans="1:10" s="186" customFormat="1" x14ac:dyDescent="0.25">
      <c r="A612" s="212" t="s">
        <v>25</v>
      </c>
      <c r="B612" s="92">
        <f t="shared" ref="B612:H612" si="274">B617*B605</f>
        <v>2326557.9103448279</v>
      </c>
      <c r="C612" s="92">
        <f t="shared" si="274"/>
        <v>3143679.7793103452</v>
      </c>
      <c r="D612" s="92">
        <f t="shared" si="274"/>
        <v>366824.37931034487</v>
      </c>
      <c r="E612" s="92">
        <f t="shared" si="274"/>
        <v>2988035.8344827588</v>
      </c>
      <c r="F612" s="92">
        <f t="shared" si="274"/>
        <v>3955687.0620689662</v>
      </c>
      <c r="G612" s="31">
        <f t="shared" si="274"/>
        <v>5498009.3103448283</v>
      </c>
      <c r="H612" s="31">
        <f t="shared" si="274"/>
        <v>4799909.2810344826</v>
      </c>
      <c r="I612" s="31">
        <f t="shared" ref="I612:I617" si="275">SUM(B612:H612)</f>
        <v>23078703.55689656</v>
      </c>
      <c r="J612" s="32">
        <f t="shared" ref="J612:J621" si="276">I612/7</f>
        <v>3296957.6509852228</v>
      </c>
    </row>
    <row r="613" spans="1:10" s="186" customFormat="1" x14ac:dyDescent="0.25">
      <c r="A613" s="212" t="s">
        <v>26</v>
      </c>
      <c r="B613" s="92">
        <f t="shared" ref="B613:H613" si="277">B617*B606</f>
        <v>187625.63793103452</v>
      </c>
      <c r="C613" s="92">
        <f t="shared" si="277"/>
        <v>147359.98965517242</v>
      </c>
      <c r="D613" s="92">
        <f t="shared" si="277"/>
        <v>0</v>
      </c>
      <c r="E613" s="92">
        <f t="shared" si="277"/>
        <v>344773.36551724136</v>
      </c>
      <c r="F613" s="92">
        <f t="shared" si="277"/>
        <v>141274.53793103449</v>
      </c>
      <c r="G613" s="31">
        <f t="shared" si="277"/>
        <v>422923.79310344835</v>
      </c>
      <c r="H613" s="31">
        <f t="shared" si="277"/>
        <v>228567.10862068966</v>
      </c>
      <c r="I613" s="31">
        <f t="shared" si="275"/>
        <v>1472524.4327586209</v>
      </c>
      <c r="J613" s="32">
        <f t="shared" si="276"/>
        <v>210360.63325123157</v>
      </c>
    </row>
    <row r="614" spans="1:10" s="186" customFormat="1" x14ac:dyDescent="0.25">
      <c r="A614" s="212" t="s">
        <v>27</v>
      </c>
      <c r="B614" s="92">
        <f t="shared" ref="B614:H614" si="278">B617*B607</f>
        <v>788027.67931034486</v>
      </c>
      <c r="C614" s="92">
        <f t="shared" si="278"/>
        <v>1178879.9172413794</v>
      </c>
      <c r="D614" s="92">
        <f t="shared" si="278"/>
        <v>1283885.3275862068</v>
      </c>
      <c r="E614" s="92">
        <f t="shared" si="278"/>
        <v>1781329.0551724138</v>
      </c>
      <c r="F614" s="92">
        <f t="shared" si="278"/>
        <v>1695294.4551724137</v>
      </c>
      <c r="G614" s="31">
        <f t="shared" si="278"/>
        <v>1522525.6551724139</v>
      </c>
      <c r="H614" s="31">
        <f t="shared" si="278"/>
        <v>1752347.8327586208</v>
      </c>
      <c r="I614" s="31">
        <f t="shared" si="275"/>
        <v>10002289.922413794</v>
      </c>
      <c r="J614" s="32">
        <f t="shared" si="276"/>
        <v>1428898.5603448278</v>
      </c>
    </row>
    <row r="615" spans="1:10" s="186" customFormat="1" x14ac:dyDescent="0.25">
      <c r="A615" s="212" t="s">
        <v>28</v>
      </c>
      <c r="B615" s="92">
        <f t="shared" ref="B615:H615" si="279">B617*B608</f>
        <v>412776.40344827593</v>
      </c>
      <c r="C615" s="92">
        <f t="shared" si="279"/>
        <v>392959.97241379315</v>
      </c>
      <c r="D615" s="92">
        <f t="shared" si="279"/>
        <v>969464.43103448278</v>
      </c>
      <c r="E615" s="92">
        <f t="shared" si="279"/>
        <v>574622.27586206899</v>
      </c>
      <c r="F615" s="92">
        <f t="shared" si="279"/>
        <v>1130196.3034482759</v>
      </c>
      <c r="G615" s="31">
        <f t="shared" si="279"/>
        <v>1015017.1034482759</v>
      </c>
      <c r="H615" s="31">
        <f t="shared" si="279"/>
        <v>838079.3982758621</v>
      </c>
      <c r="I615" s="31">
        <f t="shared" si="275"/>
        <v>5333115.8879310349</v>
      </c>
      <c r="J615" s="32">
        <f t="shared" si="276"/>
        <v>761873.69827586215</v>
      </c>
    </row>
    <row r="616" spans="1:10" s="186" customFormat="1" x14ac:dyDescent="0.25">
      <c r="A616" s="212" t="s">
        <v>29</v>
      </c>
      <c r="B616" s="92">
        <f>B617*B609</f>
        <v>37525.127586206901</v>
      </c>
      <c r="C616" s="92">
        <f t="shared" ref="C616:H616" si="280">C617*C609</f>
        <v>49119.996551724144</v>
      </c>
      <c r="D616" s="92">
        <f t="shared" si="280"/>
        <v>0</v>
      </c>
      <c r="E616" s="92">
        <f t="shared" si="280"/>
        <v>57462.2275862069</v>
      </c>
      <c r="F616" s="92">
        <f t="shared" si="280"/>
        <v>141274.53793103449</v>
      </c>
      <c r="G616" s="31">
        <f t="shared" si="280"/>
        <v>0</v>
      </c>
      <c r="H616" s="31">
        <f t="shared" si="280"/>
        <v>0</v>
      </c>
      <c r="I616" s="31">
        <f t="shared" si="275"/>
        <v>285381.88965517242</v>
      </c>
      <c r="J616" s="32">
        <f t="shared" si="276"/>
        <v>40768.841379310346</v>
      </c>
    </row>
    <row r="617" spans="1:10" s="186" customFormat="1" x14ac:dyDescent="0.25">
      <c r="A617" s="216" t="s">
        <v>30</v>
      </c>
      <c r="B617" s="91">
        <f>(4537900/1.16)-B618</f>
        <v>3752512.7586206901</v>
      </c>
      <c r="C617" s="91">
        <f>(5942900/1.16)-C618</f>
        <v>4911999.6551724141</v>
      </c>
      <c r="D617" s="91">
        <f>(3064400/1.16)-D618</f>
        <v>2620174.1379310344</v>
      </c>
      <c r="E617" s="91">
        <f>(6895600/1.16)-E618</f>
        <v>5746222.7586206896</v>
      </c>
      <c r="F617" s="91">
        <f>(8483900/1.16)-F618</f>
        <v>7063726.8965517245</v>
      </c>
      <c r="G617" s="197">
        <f>(10211800/1.16)-G618</f>
        <v>8458475.862068966</v>
      </c>
      <c r="H617" s="197">
        <f>(9190400/1.16)-H618</f>
        <v>7618903.6206896557</v>
      </c>
      <c r="I617" s="197">
        <f t="shared" si="275"/>
        <v>40172015.68965517</v>
      </c>
      <c r="J617" s="217">
        <f t="shared" si="276"/>
        <v>5738859.3842364531</v>
      </c>
    </row>
    <row r="618" spans="1:10" s="186" customFormat="1" x14ac:dyDescent="0.25">
      <c r="A618" s="212" t="s">
        <v>31</v>
      </c>
      <c r="B618" s="92">
        <f t="shared" ref="B618:I618" si="281">2155*B599</f>
        <v>159470</v>
      </c>
      <c r="C618" s="92">
        <f t="shared" si="281"/>
        <v>211190</v>
      </c>
      <c r="D618" s="92">
        <f t="shared" si="281"/>
        <v>21550</v>
      </c>
      <c r="E618" s="92">
        <f t="shared" si="281"/>
        <v>198260</v>
      </c>
      <c r="F618" s="92">
        <f t="shared" si="281"/>
        <v>249980</v>
      </c>
      <c r="G618" s="31">
        <f t="shared" si="281"/>
        <v>344800</v>
      </c>
      <c r="H618" s="31">
        <f t="shared" si="281"/>
        <v>303855</v>
      </c>
      <c r="I618" s="31">
        <f t="shared" si="281"/>
        <v>1489105</v>
      </c>
      <c r="J618" s="32">
        <f t="shared" si="276"/>
        <v>212729.28571428571</v>
      </c>
    </row>
    <row r="619" spans="1:10" s="186" customFormat="1" x14ac:dyDescent="0.25">
      <c r="A619" s="218" t="s">
        <v>32</v>
      </c>
      <c r="B619" s="199">
        <f>B618+B617</f>
        <v>3911982.7586206901</v>
      </c>
      <c r="C619" s="199">
        <f>C618+C617</f>
        <v>5123189.6551724141</v>
      </c>
      <c r="D619" s="199">
        <f>D618+D617</f>
        <v>2641724.1379310344</v>
      </c>
      <c r="E619" s="199">
        <f>E618+E617</f>
        <v>5944482.7586206896</v>
      </c>
      <c r="F619" s="199">
        <f>F617+F618</f>
        <v>7313706.8965517245</v>
      </c>
      <c r="G619" s="199">
        <f>G618+G617</f>
        <v>8803275.862068966</v>
      </c>
      <c r="H619" s="199">
        <f>H618+H617</f>
        <v>7922758.6206896557</v>
      </c>
      <c r="I619" s="199">
        <f>I617+I618</f>
        <v>41661120.68965517</v>
      </c>
      <c r="J619" s="219">
        <f t="shared" si="276"/>
        <v>5951588.6699507385</v>
      </c>
    </row>
    <row r="620" spans="1:10" s="186" customFormat="1" x14ac:dyDescent="0.25">
      <c r="A620" s="212" t="s">
        <v>33</v>
      </c>
      <c r="B620" s="94">
        <f>B619*16%</f>
        <v>625917.24137931038</v>
      </c>
      <c r="C620" s="94">
        <f t="shared" ref="C620:H620" si="282">C619*16%</f>
        <v>819710.34482758632</v>
      </c>
      <c r="D620" s="94">
        <f t="shared" si="282"/>
        <v>422675.86206896551</v>
      </c>
      <c r="E620" s="94">
        <f t="shared" si="282"/>
        <v>951117.24137931038</v>
      </c>
      <c r="F620" s="94">
        <f t="shared" si="282"/>
        <v>1170193.1034482759</v>
      </c>
      <c r="G620" s="94">
        <f t="shared" si="282"/>
        <v>1408524.1379310347</v>
      </c>
      <c r="H620" s="94">
        <f t="shared" si="282"/>
        <v>1267641.379310345</v>
      </c>
      <c r="I620" s="94">
        <f>I619*16%</f>
        <v>6665779.3103448274</v>
      </c>
      <c r="J620" s="32">
        <f t="shared" si="276"/>
        <v>952254.18719211814</v>
      </c>
    </row>
    <row r="621" spans="1:10" s="186" customFormat="1" x14ac:dyDescent="0.25">
      <c r="A621" s="220" t="s">
        <v>34</v>
      </c>
      <c r="B621" s="202">
        <f>B619+B620</f>
        <v>4537900</v>
      </c>
      <c r="C621" s="202">
        <f t="shared" ref="C621:H621" si="283">C619+C620</f>
        <v>5942900</v>
      </c>
      <c r="D621" s="202">
        <f t="shared" si="283"/>
        <v>3064400</v>
      </c>
      <c r="E621" s="202">
        <f t="shared" si="283"/>
        <v>6895600</v>
      </c>
      <c r="F621" s="202">
        <f t="shared" si="283"/>
        <v>8483900</v>
      </c>
      <c r="G621" s="202">
        <f t="shared" si="283"/>
        <v>10211800</v>
      </c>
      <c r="H621" s="202">
        <f t="shared" si="283"/>
        <v>9190400</v>
      </c>
      <c r="I621" s="202">
        <f>I619+I620</f>
        <v>48326900</v>
      </c>
      <c r="J621" s="221">
        <f t="shared" si="276"/>
        <v>6903842.8571428573</v>
      </c>
    </row>
    <row r="622" spans="1:10" s="186" customFormat="1" ht="15.75" thickBot="1" x14ac:dyDescent="0.3">
      <c r="A622" s="204"/>
      <c r="B622" s="112"/>
      <c r="C622" s="112"/>
      <c r="D622" s="112"/>
      <c r="E622" s="112"/>
      <c r="F622" s="112"/>
      <c r="G622" s="112"/>
      <c r="H622" s="112"/>
      <c r="I622" s="112"/>
      <c r="J622" s="205"/>
    </row>
    <row r="623" spans="1:10" s="186" customFormat="1" ht="26.25" x14ac:dyDescent="0.25">
      <c r="A623"/>
      <c r="B623" s="1002" t="s">
        <v>184</v>
      </c>
      <c r="C623" s="1002"/>
      <c r="D623" s="1002"/>
      <c r="E623" s="1002"/>
      <c r="F623" s="1002"/>
      <c r="G623" s="1002"/>
      <c r="H623" s="1002"/>
      <c r="I623"/>
      <c r="J623"/>
    </row>
    <row r="624" spans="1:10" s="186" customFormat="1" ht="15.75" x14ac:dyDescent="0.25">
      <c r="A624" s="207" t="s">
        <v>2</v>
      </c>
      <c r="B624" s="208" t="s">
        <v>185</v>
      </c>
      <c r="C624" s="121" t="s">
        <v>186</v>
      </c>
      <c r="D624" s="121" t="s">
        <v>187</v>
      </c>
      <c r="E624" s="121" t="s">
        <v>188</v>
      </c>
      <c r="F624" s="121" t="s">
        <v>189</v>
      </c>
      <c r="G624" s="121" t="s">
        <v>190</v>
      </c>
      <c r="H624" s="121" t="s">
        <v>191</v>
      </c>
      <c r="I624" s="121" t="s">
        <v>96</v>
      </c>
      <c r="J624" s="209" t="s">
        <v>97</v>
      </c>
    </row>
    <row r="625" spans="1:12" s="186" customFormat="1" x14ac:dyDescent="0.25">
      <c r="A625" s="210" t="s">
        <v>11</v>
      </c>
      <c r="B625" s="189">
        <v>400</v>
      </c>
      <c r="C625" s="189">
        <v>175</v>
      </c>
      <c r="D625" s="189">
        <v>146</v>
      </c>
      <c r="E625" s="190">
        <v>168</v>
      </c>
      <c r="F625" s="190">
        <v>266</v>
      </c>
      <c r="G625" s="190">
        <v>392</v>
      </c>
      <c r="H625" s="190">
        <v>373</v>
      </c>
      <c r="I625" s="190">
        <f>SUM(B625:H625)</f>
        <v>1920</v>
      </c>
      <c r="J625" s="211">
        <f>+I625/7</f>
        <v>274.28571428571428</v>
      </c>
      <c r="L625" s="186">
        <v>219</v>
      </c>
    </row>
    <row r="626" spans="1:12" s="186" customFormat="1" x14ac:dyDescent="0.25">
      <c r="A626" s="212" t="s">
        <v>12</v>
      </c>
      <c r="B626" s="11">
        <v>203</v>
      </c>
      <c r="C626" s="11">
        <v>79</v>
      </c>
      <c r="D626" s="11">
        <v>58</v>
      </c>
      <c r="E626" s="11">
        <v>88</v>
      </c>
      <c r="F626" s="11">
        <v>178</v>
      </c>
      <c r="G626" s="11">
        <v>207</v>
      </c>
      <c r="H626" s="11">
        <v>234</v>
      </c>
      <c r="I626" s="11">
        <f>SUM('PEPE SIERRA '!$B626:$H626)</f>
        <v>1047</v>
      </c>
      <c r="J626" s="60">
        <f t="shared" ref="J626:J631" si="284">I626/7</f>
        <v>149.57142857142858</v>
      </c>
      <c r="L626" s="186">
        <v>121</v>
      </c>
    </row>
    <row r="627" spans="1:12" s="186" customFormat="1" x14ac:dyDescent="0.25">
      <c r="A627" s="212" t="s">
        <v>13</v>
      </c>
      <c r="B627" s="11">
        <v>11</v>
      </c>
      <c r="C627" s="11">
        <v>2</v>
      </c>
      <c r="D627" s="11">
        <v>5</v>
      </c>
      <c r="E627" s="11">
        <v>1</v>
      </c>
      <c r="F627" s="11">
        <v>3</v>
      </c>
      <c r="G627" s="11">
        <v>9</v>
      </c>
      <c r="H627" s="11">
        <v>8</v>
      </c>
      <c r="I627" s="11">
        <f>SUM('PEPE SIERRA '!$B627:$H627)</f>
        <v>39</v>
      </c>
      <c r="J627" s="60">
        <f t="shared" si="284"/>
        <v>5.5714285714285712</v>
      </c>
      <c r="L627" s="186">
        <v>33</v>
      </c>
    </row>
    <row r="628" spans="1:12" s="186" customFormat="1" x14ac:dyDescent="0.25">
      <c r="A628" s="212" t="s">
        <v>14</v>
      </c>
      <c r="B628" s="11">
        <v>67</v>
      </c>
      <c r="C628" s="11">
        <v>49</v>
      </c>
      <c r="D628" s="11">
        <v>44</v>
      </c>
      <c r="E628" s="11">
        <v>52</v>
      </c>
      <c r="F628" s="11">
        <v>75</v>
      </c>
      <c r="G628" s="11">
        <v>84</v>
      </c>
      <c r="H628" s="86">
        <v>53</v>
      </c>
      <c r="I628" s="11">
        <f>SUM('PEPE SIERRA '!$B628:$H628)</f>
        <v>424</v>
      </c>
      <c r="J628" s="60">
        <f t="shared" si="284"/>
        <v>60.571428571428569</v>
      </c>
      <c r="L628" s="186">
        <f>SUM(L625:L627)</f>
        <v>373</v>
      </c>
    </row>
    <row r="629" spans="1:12" s="186" customFormat="1" x14ac:dyDescent="0.25">
      <c r="A629" s="212" t="s">
        <v>15</v>
      </c>
      <c r="B629" s="11">
        <v>38</v>
      </c>
      <c r="C629" s="11">
        <v>12</v>
      </c>
      <c r="D629" s="11">
        <v>11</v>
      </c>
      <c r="E629" s="11">
        <v>4</v>
      </c>
      <c r="F629" s="11">
        <v>16</v>
      </c>
      <c r="G629" s="11">
        <v>32</v>
      </c>
      <c r="H629" s="11">
        <v>36</v>
      </c>
      <c r="I629" s="11">
        <f>SUM('PEPE SIERRA '!$B629:$H629)</f>
        <v>149</v>
      </c>
      <c r="J629" s="60">
        <f t="shared" si="284"/>
        <v>21.285714285714285</v>
      </c>
    </row>
    <row r="630" spans="1:12" s="186" customFormat="1" x14ac:dyDescent="0.25">
      <c r="A630" s="212" t="s">
        <v>16</v>
      </c>
      <c r="B630" s="11">
        <v>0</v>
      </c>
      <c r="C630" s="11">
        <v>0</v>
      </c>
      <c r="D630" s="11">
        <v>1</v>
      </c>
      <c r="E630" s="11">
        <v>0</v>
      </c>
      <c r="F630" s="11">
        <v>0</v>
      </c>
      <c r="G630" s="11">
        <v>0</v>
      </c>
      <c r="H630" s="11">
        <v>0</v>
      </c>
      <c r="I630" s="11">
        <f>SUM('PEPE SIERRA '!$B630:$H630)</f>
        <v>1</v>
      </c>
      <c r="J630" s="60">
        <f t="shared" si="284"/>
        <v>0.14285714285714285</v>
      </c>
    </row>
    <row r="631" spans="1:12" s="186" customFormat="1" x14ac:dyDescent="0.25">
      <c r="A631" s="213" t="s">
        <v>17</v>
      </c>
      <c r="B631" s="192">
        <f>SUM(B626:B630)</f>
        <v>319</v>
      </c>
      <c r="C631" s="192">
        <f t="shared" ref="C631:I631" si="285">SUM(C626:C630)</f>
        <v>142</v>
      </c>
      <c r="D631" s="192">
        <f t="shared" si="285"/>
        <v>119</v>
      </c>
      <c r="E631" s="192">
        <f t="shared" si="285"/>
        <v>145</v>
      </c>
      <c r="F631" s="192">
        <f t="shared" si="285"/>
        <v>272</v>
      </c>
      <c r="G631" s="192">
        <f t="shared" si="285"/>
        <v>332</v>
      </c>
      <c r="H631" s="192">
        <f t="shared" si="285"/>
        <v>331</v>
      </c>
      <c r="I631" s="192">
        <f t="shared" si="285"/>
        <v>1660</v>
      </c>
      <c r="J631" s="214">
        <f t="shared" si="284"/>
        <v>237.14285714285714</v>
      </c>
    </row>
    <row r="632" spans="1:12" s="186" customFormat="1" x14ac:dyDescent="0.25">
      <c r="A632" s="212" t="s">
        <v>18</v>
      </c>
      <c r="B632" s="30">
        <v>0.64</v>
      </c>
      <c r="C632" s="30">
        <v>0.62</v>
      </c>
      <c r="D632" s="30">
        <v>0.51</v>
      </c>
      <c r="E632" s="30">
        <v>0.64</v>
      </c>
      <c r="F632" s="30">
        <v>0.68</v>
      </c>
      <c r="G632" s="30">
        <v>0.64</v>
      </c>
      <c r="H632" s="30">
        <v>0.74</v>
      </c>
      <c r="I632" s="30">
        <f>I639/I644</f>
        <v>0.65704492009268611</v>
      </c>
      <c r="J632" s="160">
        <f>J639/J644</f>
        <v>0.65704492009268611</v>
      </c>
    </row>
    <row r="633" spans="1:12" s="186" customFormat="1" x14ac:dyDescent="0.25">
      <c r="A633" s="212" t="s">
        <v>19</v>
      </c>
      <c r="B633" s="30">
        <v>0.03</v>
      </c>
      <c r="C633" s="30">
        <v>0.02</v>
      </c>
      <c r="D633" s="30">
        <v>0.09</v>
      </c>
      <c r="E633" s="30">
        <v>0</v>
      </c>
      <c r="F633" s="30">
        <v>0.01</v>
      </c>
      <c r="G633" s="30">
        <v>0.04</v>
      </c>
      <c r="H633" s="30">
        <v>0.01</v>
      </c>
      <c r="I633" s="30">
        <f>I640/I644</f>
        <v>2.5412649470128359E-2</v>
      </c>
      <c r="J633" s="160">
        <f>J640/J644</f>
        <v>2.5412649470128359E-2</v>
      </c>
    </row>
    <row r="634" spans="1:12" s="186" customFormat="1" x14ac:dyDescent="0.25">
      <c r="A634" s="212" t="s">
        <v>20</v>
      </c>
      <c r="B634" s="30">
        <v>0.21</v>
      </c>
      <c r="C634" s="30">
        <v>0.28999999999999998</v>
      </c>
      <c r="D634" s="30">
        <v>0.28999999999999998</v>
      </c>
      <c r="E634" s="30">
        <v>0.34</v>
      </c>
      <c r="F634" s="30">
        <v>0.25</v>
      </c>
      <c r="G634" s="30">
        <v>0.22</v>
      </c>
      <c r="H634" s="30">
        <v>0.15</v>
      </c>
      <c r="I634" s="30">
        <f>I641/I644</f>
        <v>0.22839304256440393</v>
      </c>
      <c r="J634" s="160">
        <f>J641/J644</f>
        <v>0.22839304256440393</v>
      </c>
    </row>
    <row r="635" spans="1:12" s="186" customFormat="1" x14ac:dyDescent="0.25">
      <c r="A635" s="212" t="s">
        <v>21</v>
      </c>
      <c r="B635" s="30">
        <v>0.12</v>
      </c>
      <c r="C635" s="30">
        <v>7.0000000000000007E-2</v>
      </c>
      <c r="D635" s="30">
        <v>0.1</v>
      </c>
      <c r="E635" s="30">
        <v>0.02</v>
      </c>
      <c r="F635" s="30">
        <v>0.06</v>
      </c>
      <c r="G635" s="30">
        <v>0.1</v>
      </c>
      <c r="H635" s="30">
        <v>0.1</v>
      </c>
      <c r="I635" s="30">
        <f>I642/I644</f>
        <v>8.8489640865903843E-2</v>
      </c>
      <c r="J635" s="160">
        <f>J642/J644</f>
        <v>8.8489640865903843E-2</v>
      </c>
    </row>
    <row r="636" spans="1:12" s="186" customFormat="1" x14ac:dyDescent="0.25">
      <c r="A636" s="212" t="s">
        <v>22</v>
      </c>
      <c r="B636" s="30">
        <v>0</v>
      </c>
      <c r="C636" s="30">
        <v>0</v>
      </c>
      <c r="D636" s="30">
        <v>0.01</v>
      </c>
      <c r="E636" s="30">
        <v>0</v>
      </c>
      <c r="F636" s="30">
        <v>0</v>
      </c>
      <c r="G636" s="30">
        <v>0</v>
      </c>
      <c r="H636" s="30">
        <v>0</v>
      </c>
      <c r="I636" s="30">
        <f>I643/I644</f>
        <v>6.5974700687759552E-4</v>
      </c>
      <c r="J636" s="160">
        <f>J643/J644</f>
        <v>6.5974700687759552E-4</v>
      </c>
    </row>
    <row r="637" spans="1:12" s="186" customFormat="1" x14ac:dyDescent="0.25">
      <c r="A637" s="215" t="s">
        <v>23</v>
      </c>
      <c r="B637" s="66">
        <f t="shared" ref="B637:J637" si="286">B648/B631</f>
        <v>37314.733542319758</v>
      </c>
      <c r="C637" s="66">
        <f t="shared" si="286"/>
        <v>35555.633802816905</v>
      </c>
      <c r="D637" s="66">
        <f t="shared" si="286"/>
        <v>33888.23529411765</v>
      </c>
      <c r="E637" s="66">
        <f t="shared" si="286"/>
        <v>33664.827586206899</v>
      </c>
      <c r="F637" s="66">
        <f t="shared" si="286"/>
        <v>37273.529411764706</v>
      </c>
      <c r="G637" s="66">
        <f t="shared" si="286"/>
        <v>38445.180722891564</v>
      </c>
      <c r="H637" s="66">
        <f t="shared" si="286"/>
        <v>38598.187311178255</v>
      </c>
      <c r="I637" s="66">
        <f t="shared" si="286"/>
        <v>37075.060240963867</v>
      </c>
      <c r="J637" s="67">
        <f t="shared" si="286"/>
        <v>37075.060240963867</v>
      </c>
    </row>
    <row r="638" spans="1:12" s="186" customFormat="1" x14ac:dyDescent="0.25">
      <c r="A638" s="215" t="s">
        <v>24</v>
      </c>
      <c r="B638" s="66">
        <f t="shared" ref="B638:I638" si="287">+B648/B625</f>
        <v>29758.500000000004</v>
      </c>
      <c r="C638" s="66">
        <f t="shared" si="287"/>
        <v>28850.857142857141</v>
      </c>
      <c r="D638" s="66">
        <f t="shared" si="287"/>
        <v>27621.232876712333</v>
      </c>
      <c r="E638" s="66">
        <f t="shared" si="287"/>
        <v>29055.952380952382</v>
      </c>
      <c r="F638" s="66">
        <f t="shared" si="287"/>
        <v>38114.285714285717</v>
      </c>
      <c r="G638" s="66">
        <f t="shared" si="287"/>
        <v>32560.714285714286</v>
      </c>
      <c r="H638" s="66">
        <f t="shared" si="287"/>
        <v>34252.010723860592</v>
      </c>
      <c r="I638" s="66">
        <f t="shared" si="287"/>
        <v>32054.479166666675</v>
      </c>
      <c r="J638" s="67">
        <f>J648/J625</f>
        <v>32054.479166666675</v>
      </c>
    </row>
    <row r="639" spans="1:12" s="186" customFormat="1" x14ac:dyDescent="0.25">
      <c r="A639" s="212" t="s">
        <v>25</v>
      </c>
      <c r="B639" s="92">
        <f t="shared" ref="B639:H639" si="288">B644*B632</f>
        <v>6287415.5034482768</v>
      </c>
      <c r="C639" s="92">
        <f t="shared" si="288"/>
        <v>2592998.1</v>
      </c>
      <c r="D639" s="92">
        <f t="shared" si="288"/>
        <v>1709252.5137931036</v>
      </c>
      <c r="E639" s="92">
        <f t="shared" si="288"/>
        <v>2571816.6068965518</v>
      </c>
      <c r="F639" s="92">
        <f t="shared" si="288"/>
        <v>5682358.8000000007</v>
      </c>
      <c r="G639" s="31">
        <f t="shared" si="288"/>
        <v>6756602.1517241383</v>
      </c>
      <c r="H639" s="31">
        <f t="shared" si="288"/>
        <v>7777047.0965517247</v>
      </c>
      <c r="I639" s="31">
        <f t="shared" ref="I639:I644" si="289">SUM(B639:H639)</f>
        <v>33377490.772413794</v>
      </c>
      <c r="J639" s="32">
        <f t="shared" ref="J639:J648" si="290">I639/7</f>
        <v>4768212.9674876845</v>
      </c>
    </row>
    <row r="640" spans="1:12" s="186" customFormat="1" x14ac:dyDescent="0.25">
      <c r="A640" s="212" t="s">
        <v>26</v>
      </c>
      <c r="B640" s="92">
        <f t="shared" ref="B640:H640" si="291">B644*B633</f>
        <v>294722.60172413796</v>
      </c>
      <c r="C640" s="92">
        <f t="shared" si="291"/>
        <v>83645.100000000006</v>
      </c>
      <c r="D640" s="92">
        <f t="shared" si="291"/>
        <v>301632.79655172414</v>
      </c>
      <c r="E640" s="92">
        <f t="shared" si="291"/>
        <v>0</v>
      </c>
      <c r="F640" s="92">
        <f t="shared" si="291"/>
        <v>83564.100000000006</v>
      </c>
      <c r="G640" s="31">
        <f t="shared" si="291"/>
        <v>422287.63448275864</v>
      </c>
      <c r="H640" s="31">
        <f t="shared" si="291"/>
        <v>105095.23103448277</v>
      </c>
      <c r="I640" s="31">
        <f t="shared" si="289"/>
        <v>1290947.4637931036</v>
      </c>
      <c r="J640" s="32">
        <f t="shared" si="290"/>
        <v>184421.06625615765</v>
      </c>
    </row>
    <row r="641" spans="1:12" s="186" customFormat="1" x14ac:dyDescent="0.25">
      <c r="A641" s="212" t="s">
        <v>27</v>
      </c>
      <c r="B641" s="92">
        <f t="shared" ref="B641:H641" si="292">B644*B634</f>
        <v>2063058.2120689657</v>
      </c>
      <c r="C641" s="92">
        <f t="shared" si="292"/>
        <v>1212853.95</v>
      </c>
      <c r="D641" s="92">
        <f t="shared" si="292"/>
        <v>971927.9</v>
      </c>
      <c r="E641" s="92">
        <f t="shared" si="292"/>
        <v>1366277.5724137933</v>
      </c>
      <c r="F641" s="92">
        <f t="shared" si="292"/>
        <v>2089102.5</v>
      </c>
      <c r="G641" s="31">
        <f t="shared" si="292"/>
        <v>2322581.9896551725</v>
      </c>
      <c r="H641" s="31">
        <f t="shared" si="292"/>
        <v>1576428.4655172415</v>
      </c>
      <c r="I641" s="31">
        <f t="shared" si="289"/>
        <v>11602230.589655174</v>
      </c>
      <c r="J641" s="32">
        <f t="shared" si="290"/>
        <v>1657461.5128078819</v>
      </c>
    </row>
    <row r="642" spans="1:12" s="186" customFormat="1" x14ac:dyDescent="0.25">
      <c r="A642" s="212" t="s">
        <v>28</v>
      </c>
      <c r="B642" s="92">
        <f t="shared" ref="B642:H642" si="293">B644*B635</f>
        <v>1178890.4068965518</v>
      </c>
      <c r="C642" s="92">
        <f t="shared" si="293"/>
        <v>292757.85000000003</v>
      </c>
      <c r="D642" s="92">
        <f t="shared" si="293"/>
        <v>335147.55172413797</v>
      </c>
      <c r="E642" s="92">
        <f t="shared" si="293"/>
        <v>80369.268965517243</v>
      </c>
      <c r="F642" s="92">
        <f t="shared" si="293"/>
        <v>501384.6</v>
      </c>
      <c r="G642" s="31">
        <f t="shared" si="293"/>
        <v>1055719.0862068967</v>
      </c>
      <c r="H642" s="31">
        <f t="shared" si="293"/>
        <v>1050952.3103448278</v>
      </c>
      <c r="I642" s="31">
        <f t="shared" si="289"/>
        <v>4495221.0741379317</v>
      </c>
      <c r="J642" s="32">
        <f t="shared" si="290"/>
        <v>642174.43916256167</v>
      </c>
    </row>
    <row r="643" spans="1:12" s="186" customFormat="1" x14ac:dyDescent="0.25">
      <c r="A643" s="212" t="s">
        <v>29</v>
      </c>
      <c r="B643" s="92">
        <f>B644*B636</f>
        <v>0</v>
      </c>
      <c r="C643" s="92">
        <f t="shared" ref="C643:H643" si="294">C644*C636</f>
        <v>0</v>
      </c>
      <c r="D643" s="92">
        <f t="shared" si="294"/>
        <v>33514.755172413796</v>
      </c>
      <c r="E643" s="92">
        <f t="shared" si="294"/>
        <v>0</v>
      </c>
      <c r="F643" s="92">
        <f t="shared" si="294"/>
        <v>0</v>
      </c>
      <c r="G643" s="31">
        <f t="shared" si="294"/>
        <v>0</v>
      </c>
      <c r="H643" s="31">
        <f t="shared" si="294"/>
        <v>0</v>
      </c>
      <c r="I643" s="31">
        <f t="shared" si="289"/>
        <v>33514.755172413796</v>
      </c>
      <c r="J643" s="32">
        <f t="shared" si="290"/>
        <v>4787.822167487685</v>
      </c>
    </row>
    <row r="644" spans="1:12" s="186" customFormat="1" x14ac:dyDescent="0.25">
      <c r="A644" s="216" t="s">
        <v>30</v>
      </c>
      <c r="B644" s="91">
        <f>(11903400/1.16)-B645</f>
        <v>9824086.7241379321</v>
      </c>
      <c r="C644" s="91">
        <f>(5048900/1.16)-C645</f>
        <v>4182255</v>
      </c>
      <c r="D644" s="91">
        <f>(4032700/1.16)-D645</f>
        <v>3351475.5172413797</v>
      </c>
      <c r="E644" s="91">
        <f>(4881400/1.16)-E645</f>
        <v>4018463.4482758623</v>
      </c>
      <c r="F644" s="91">
        <f>(10138400/1.16)-F645</f>
        <v>8356410</v>
      </c>
      <c r="G644" s="197">
        <f>(12763800/1.16)-G645</f>
        <v>10557190.862068966</v>
      </c>
      <c r="H644" s="197">
        <f>(12776000/1.16)-H645</f>
        <v>10509523.103448277</v>
      </c>
      <c r="I644" s="197">
        <f t="shared" si="289"/>
        <v>50799404.655172423</v>
      </c>
      <c r="J644" s="217">
        <f t="shared" si="290"/>
        <v>7257057.8078817744</v>
      </c>
    </row>
    <row r="645" spans="1:12" s="186" customFormat="1" x14ac:dyDescent="0.25">
      <c r="A645" s="212" t="s">
        <v>31</v>
      </c>
      <c r="B645" s="92">
        <f t="shared" ref="B645:I645" si="295">2155*B626</f>
        <v>437465</v>
      </c>
      <c r="C645" s="92">
        <f t="shared" si="295"/>
        <v>170245</v>
      </c>
      <c r="D645" s="92">
        <f t="shared" si="295"/>
        <v>124990</v>
      </c>
      <c r="E645" s="92">
        <f t="shared" si="295"/>
        <v>189640</v>
      </c>
      <c r="F645" s="92">
        <f t="shared" si="295"/>
        <v>383590</v>
      </c>
      <c r="G645" s="31">
        <f t="shared" si="295"/>
        <v>446085</v>
      </c>
      <c r="H645" s="31">
        <f t="shared" si="295"/>
        <v>504270</v>
      </c>
      <c r="I645" s="31">
        <f t="shared" si="295"/>
        <v>2256285</v>
      </c>
      <c r="J645" s="32">
        <f t="shared" si="290"/>
        <v>322326.42857142858</v>
      </c>
    </row>
    <row r="646" spans="1:12" s="186" customFormat="1" x14ac:dyDescent="0.25">
      <c r="A646" s="218" t="s">
        <v>32</v>
      </c>
      <c r="B646" s="199">
        <f>B645+B644</f>
        <v>10261551.724137932</v>
      </c>
      <c r="C646" s="199">
        <f>C645+C644</f>
        <v>4352500</v>
      </c>
      <c r="D646" s="199">
        <f>D645+D644</f>
        <v>3476465.5172413797</v>
      </c>
      <c r="E646" s="199">
        <f>E645+E644</f>
        <v>4208103.4482758623</v>
      </c>
      <c r="F646" s="199">
        <f>F644+F645</f>
        <v>8740000</v>
      </c>
      <c r="G646" s="199">
        <f>G645+G644</f>
        <v>11003275.862068966</v>
      </c>
      <c r="H646" s="199">
        <f>H645+H644</f>
        <v>11013793.103448277</v>
      </c>
      <c r="I646" s="199">
        <f>I644+I645</f>
        <v>53055689.655172423</v>
      </c>
      <c r="J646" s="219">
        <f t="shared" si="290"/>
        <v>7579384.2364532035</v>
      </c>
    </row>
    <row r="647" spans="1:12" s="186" customFormat="1" x14ac:dyDescent="0.25">
      <c r="A647" s="212" t="s">
        <v>33</v>
      </c>
      <c r="B647" s="94">
        <f>B646*16%</f>
        <v>1641848.2758620691</v>
      </c>
      <c r="C647" s="94">
        <f t="shared" ref="C647:H647" si="296">C646*16%</f>
        <v>696400</v>
      </c>
      <c r="D647" s="94">
        <f t="shared" si="296"/>
        <v>556234.48275862075</v>
      </c>
      <c r="E647" s="94">
        <f t="shared" si="296"/>
        <v>673296.55172413797</v>
      </c>
      <c r="F647" s="94">
        <f t="shared" si="296"/>
        <v>1398400</v>
      </c>
      <c r="G647" s="94">
        <f t="shared" si="296"/>
        <v>1760524.1379310347</v>
      </c>
      <c r="H647" s="94">
        <f t="shared" si="296"/>
        <v>1762206.8965517245</v>
      </c>
      <c r="I647" s="94">
        <f>I646*16%</f>
        <v>8488910.3448275886</v>
      </c>
      <c r="J647" s="32">
        <f t="shared" si="290"/>
        <v>1212701.4778325127</v>
      </c>
    </row>
    <row r="648" spans="1:12" s="186" customFormat="1" x14ac:dyDescent="0.25">
      <c r="A648" s="220" t="s">
        <v>34</v>
      </c>
      <c r="B648" s="202">
        <f>B646+B647</f>
        <v>11903400.000000002</v>
      </c>
      <c r="C648" s="202">
        <f t="shared" ref="C648:H648" si="297">C646+C647</f>
        <v>5048900</v>
      </c>
      <c r="D648" s="202">
        <f t="shared" si="297"/>
        <v>4032700.0000000005</v>
      </c>
      <c r="E648" s="202">
        <f t="shared" si="297"/>
        <v>4881400</v>
      </c>
      <c r="F648" s="202">
        <f t="shared" si="297"/>
        <v>10138400</v>
      </c>
      <c r="G648" s="202">
        <f t="shared" si="297"/>
        <v>12763800</v>
      </c>
      <c r="H648" s="202">
        <f t="shared" si="297"/>
        <v>12776000.000000002</v>
      </c>
      <c r="I648" s="202">
        <f>I646+I647</f>
        <v>61544600.000000015</v>
      </c>
      <c r="J648" s="221">
        <f t="shared" si="290"/>
        <v>8792085.7142857164</v>
      </c>
    </row>
    <row r="649" spans="1:12" s="186" customFormat="1" x14ac:dyDescent="0.25">
      <c r="A649" s="204"/>
      <c r="B649" s="112"/>
      <c r="C649" s="112"/>
      <c r="D649" s="112"/>
      <c r="E649" s="112"/>
      <c r="F649" s="112"/>
      <c r="G649" s="112"/>
      <c r="H649" s="112"/>
      <c r="I649" s="112"/>
      <c r="J649" s="205"/>
    </row>
    <row r="650" spans="1:12" s="186" customFormat="1" ht="15.75" thickBot="1" x14ac:dyDescent="0.3">
      <c r="A650" s="204"/>
      <c r="B650" s="112"/>
      <c r="C650" s="112"/>
      <c r="D650" s="112"/>
      <c r="E650" s="112"/>
      <c r="F650" s="112"/>
      <c r="G650" s="112"/>
      <c r="H650" s="112"/>
      <c r="I650" s="112"/>
      <c r="J650" s="205"/>
    </row>
    <row r="651" spans="1:12" s="186" customFormat="1" ht="26.25" x14ac:dyDescent="0.25">
      <c r="A651"/>
      <c r="B651" s="1002" t="s">
        <v>192</v>
      </c>
      <c r="C651" s="1002"/>
      <c r="D651" s="1002"/>
      <c r="E651" s="1002"/>
      <c r="F651" s="1002"/>
      <c r="G651" s="1002"/>
      <c r="H651" s="1002"/>
      <c r="I651"/>
      <c r="J651"/>
    </row>
    <row r="652" spans="1:12" s="186" customFormat="1" ht="15.75" x14ac:dyDescent="0.25">
      <c r="A652" s="207" t="s">
        <v>2</v>
      </c>
      <c r="B652" s="121" t="s">
        <v>193</v>
      </c>
      <c r="C652" s="121" t="s">
        <v>194</v>
      </c>
      <c r="D652" s="121" t="s">
        <v>195</v>
      </c>
      <c r="E652" s="121" t="s">
        <v>196</v>
      </c>
      <c r="F652" s="121" t="s">
        <v>197</v>
      </c>
      <c r="G652" s="121" t="s">
        <v>198</v>
      </c>
      <c r="H652" s="121" t="s">
        <v>199</v>
      </c>
      <c r="I652" s="121" t="s">
        <v>96</v>
      </c>
      <c r="J652" s="209" t="s">
        <v>97</v>
      </c>
    </row>
    <row r="653" spans="1:12" s="186" customFormat="1" x14ac:dyDescent="0.25">
      <c r="A653" s="210" t="s">
        <v>11</v>
      </c>
      <c r="B653" s="189">
        <v>130</v>
      </c>
      <c r="C653" s="189">
        <v>155</v>
      </c>
      <c r="D653" s="189">
        <v>150</v>
      </c>
      <c r="E653" s="190">
        <v>187</v>
      </c>
      <c r="F653" s="190">
        <v>368</v>
      </c>
      <c r="G653" s="190">
        <v>392</v>
      </c>
      <c r="H653" s="190">
        <v>378</v>
      </c>
      <c r="I653" s="190">
        <f>SUM(B653:H653)</f>
        <v>1760</v>
      </c>
      <c r="J653" s="211">
        <f>+I653/7</f>
        <v>251.42857142857142</v>
      </c>
      <c r="L653" s="186">
        <v>199</v>
      </c>
    </row>
    <row r="654" spans="1:12" s="186" customFormat="1" x14ac:dyDescent="0.25">
      <c r="A654" s="212" t="s">
        <v>12</v>
      </c>
      <c r="B654" s="11">
        <v>67</v>
      </c>
      <c r="C654" s="11">
        <v>72</v>
      </c>
      <c r="D654" s="11">
        <v>63</v>
      </c>
      <c r="E654" s="11">
        <v>90</v>
      </c>
      <c r="F654" s="11">
        <v>181</v>
      </c>
      <c r="G654" s="11">
        <v>202</v>
      </c>
      <c r="H654" s="11">
        <v>226</v>
      </c>
      <c r="I654" s="11">
        <f>SUM('PEPE SIERRA '!$B654:$H654)</f>
        <v>901</v>
      </c>
      <c r="J654" s="60">
        <f t="shared" ref="J654:J659" si="298">I654/7</f>
        <v>128.71428571428572</v>
      </c>
      <c r="L654" s="186">
        <v>145</v>
      </c>
    </row>
    <row r="655" spans="1:12" s="186" customFormat="1" x14ac:dyDescent="0.25">
      <c r="A655" s="212" t="s">
        <v>13</v>
      </c>
      <c r="B655" s="11">
        <v>4</v>
      </c>
      <c r="C655" s="11">
        <v>0</v>
      </c>
      <c r="D655" s="11">
        <v>3</v>
      </c>
      <c r="E655" s="11">
        <v>6</v>
      </c>
      <c r="F655" s="11">
        <v>4</v>
      </c>
      <c r="G655" s="11">
        <v>14</v>
      </c>
      <c r="H655" s="11">
        <v>19</v>
      </c>
      <c r="I655" s="11">
        <f>SUM('PEPE SIERRA '!$B655:$H655)</f>
        <v>50</v>
      </c>
      <c r="J655" s="60">
        <f t="shared" si="298"/>
        <v>7.1428571428571432</v>
      </c>
      <c r="L655" s="186">
        <v>34</v>
      </c>
    </row>
    <row r="656" spans="1:12" s="186" customFormat="1" x14ac:dyDescent="0.25">
      <c r="A656" s="212" t="s">
        <v>14</v>
      </c>
      <c r="B656" s="11">
        <v>36</v>
      </c>
      <c r="C656" s="11">
        <v>55</v>
      </c>
      <c r="D656" s="11">
        <v>58</v>
      </c>
      <c r="E656" s="11">
        <v>54</v>
      </c>
      <c r="F656" s="11">
        <v>77</v>
      </c>
      <c r="G656" s="11">
        <v>89</v>
      </c>
      <c r="H656" s="86">
        <v>58</v>
      </c>
      <c r="I656" s="11">
        <f>SUM('PEPE SIERRA '!$B656:$H656)</f>
        <v>427</v>
      </c>
      <c r="J656" s="60">
        <f t="shared" si="298"/>
        <v>61</v>
      </c>
      <c r="L656" s="186">
        <f>SUM(L653:L655)</f>
        <v>378</v>
      </c>
    </row>
    <row r="657" spans="1:10" s="186" customFormat="1" x14ac:dyDescent="0.25">
      <c r="A657" s="212" t="s">
        <v>15</v>
      </c>
      <c r="B657" s="11">
        <v>9</v>
      </c>
      <c r="C657" s="11">
        <v>21</v>
      </c>
      <c r="D657" s="11">
        <v>8</v>
      </c>
      <c r="E657" s="11">
        <v>9</v>
      </c>
      <c r="F657" s="11">
        <v>36</v>
      </c>
      <c r="G657" s="11">
        <v>41</v>
      </c>
      <c r="H657" s="11">
        <v>41</v>
      </c>
      <c r="I657" s="11">
        <f>SUM('PEPE SIERRA '!$B657:$H657)</f>
        <v>165</v>
      </c>
      <c r="J657" s="60">
        <f t="shared" si="298"/>
        <v>23.571428571428573</v>
      </c>
    </row>
    <row r="658" spans="1:10" s="186" customFormat="1" x14ac:dyDescent="0.25">
      <c r="A658" s="212" t="s">
        <v>16</v>
      </c>
      <c r="B658" s="11">
        <v>0</v>
      </c>
      <c r="C658" s="11">
        <v>0</v>
      </c>
      <c r="D658" s="11">
        <v>0</v>
      </c>
      <c r="E658" s="11">
        <v>0</v>
      </c>
      <c r="F658" s="11">
        <v>0</v>
      </c>
      <c r="G658" s="11">
        <v>2</v>
      </c>
      <c r="H658" s="11">
        <v>0</v>
      </c>
      <c r="I658" s="11">
        <f>SUM('PEPE SIERRA '!$B658:$H658)</f>
        <v>2</v>
      </c>
      <c r="J658" s="60">
        <f t="shared" si="298"/>
        <v>0.2857142857142857</v>
      </c>
    </row>
    <row r="659" spans="1:10" s="186" customFormat="1" x14ac:dyDescent="0.25">
      <c r="A659" s="213" t="s">
        <v>17</v>
      </c>
      <c r="B659" s="192">
        <f>SUM(B654:B658)</f>
        <v>116</v>
      </c>
      <c r="C659" s="192">
        <f t="shared" ref="C659:I659" si="299">SUM(C654:C658)</f>
        <v>148</v>
      </c>
      <c r="D659" s="192">
        <f t="shared" si="299"/>
        <v>132</v>
      </c>
      <c r="E659" s="192">
        <f t="shared" si="299"/>
        <v>159</v>
      </c>
      <c r="F659" s="192">
        <f t="shared" si="299"/>
        <v>298</v>
      </c>
      <c r="G659" s="192">
        <f t="shared" si="299"/>
        <v>348</v>
      </c>
      <c r="H659" s="192">
        <f t="shared" si="299"/>
        <v>344</v>
      </c>
      <c r="I659" s="192">
        <f t="shared" si="299"/>
        <v>1545</v>
      </c>
      <c r="J659" s="214">
        <f t="shared" si="298"/>
        <v>220.71428571428572</v>
      </c>
    </row>
    <row r="660" spans="1:10" s="186" customFormat="1" x14ac:dyDescent="0.25">
      <c r="A660" s="212" t="s">
        <v>18</v>
      </c>
      <c r="B660" s="30">
        <v>0.66</v>
      </c>
      <c r="C660" s="30">
        <v>0.52</v>
      </c>
      <c r="D660" s="30">
        <v>0.54</v>
      </c>
      <c r="E660" s="30">
        <v>0.61</v>
      </c>
      <c r="F660" s="30">
        <v>0.68</v>
      </c>
      <c r="G660" s="30">
        <v>0.64</v>
      </c>
      <c r="H660" s="30">
        <v>0.65</v>
      </c>
      <c r="I660" s="30">
        <f>I667/I672</f>
        <v>0.6304156995132506</v>
      </c>
      <c r="J660" s="160">
        <f>J667/J672</f>
        <v>0.63041569951325049</v>
      </c>
    </row>
    <row r="661" spans="1:10" s="186" customFormat="1" x14ac:dyDescent="0.25">
      <c r="A661" s="212" t="s">
        <v>19</v>
      </c>
      <c r="B661" s="30">
        <v>0.04</v>
      </c>
      <c r="C661" s="30">
        <v>0</v>
      </c>
      <c r="D661" s="30">
        <v>0.03</v>
      </c>
      <c r="E661" s="30">
        <v>0.08</v>
      </c>
      <c r="F661" s="30">
        <v>0.02</v>
      </c>
      <c r="G661" s="30">
        <v>0.04</v>
      </c>
      <c r="H661" s="30">
        <v>0.08</v>
      </c>
      <c r="I661" s="30">
        <f>I668/I672</f>
        <v>4.5272198910608408E-2</v>
      </c>
      <c r="J661" s="160">
        <f>J668/J672</f>
        <v>4.5272198910608408E-2</v>
      </c>
    </row>
    <row r="662" spans="1:10" s="186" customFormat="1" x14ac:dyDescent="0.25">
      <c r="A662" s="212" t="s">
        <v>20</v>
      </c>
      <c r="B662" s="30">
        <v>0.24</v>
      </c>
      <c r="C662" s="30">
        <v>0.36</v>
      </c>
      <c r="D662" s="30">
        <v>0.39</v>
      </c>
      <c r="E662" s="30">
        <v>0.27</v>
      </c>
      <c r="F662" s="30">
        <v>0.2</v>
      </c>
      <c r="G662" s="30">
        <v>0.21</v>
      </c>
      <c r="H662" s="30">
        <v>0.16</v>
      </c>
      <c r="I662" s="30">
        <f>I669/I672</f>
        <v>0.23187008635243617</v>
      </c>
      <c r="J662" s="160">
        <f>J669/J672</f>
        <v>0.23187008635243614</v>
      </c>
    </row>
    <row r="663" spans="1:10" s="186" customFormat="1" x14ac:dyDescent="0.25">
      <c r="A663" s="212" t="s">
        <v>21</v>
      </c>
      <c r="B663" s="30">
        <v>0.06</v>
      </c>
      <c r="C663" s="30">
        <v>0.12</v>
      </c>
      <c r="D663" s="30">
        <v>0.04</v>
      </c>
      <c r="E663" s="30">
        <v>0.04</v>
      </c>
      <c r="F663" s="30">
        <v>0.1</v>
      </c>
      <c r="G663" s="30">
        <v>0.11</v>
      </c>
      <c r="H663" s="30">
        <v>0.11</v>
      </c>
      <c r="I663" s="30">
        <f>I670/I672</f>
        <v>9.2442015223704987E-2</v>
      </c>
      <c r="J663" s="160">
        <f>J670/J672</f>
        <v>9.2442015223704974E-2</v>
      </c>
    </row>
    <row r="664" spans="1:10" s="186" customFormat="1" x14ac:dyDescent="0.25">
      <c r="A664" s="212" t="s">
        <v>22</v>
      </c>
      <c r="B664" s="30">
        <v>0</v>
      </c>
      <c r="C664" s="30">
        <v>0</v>
      </c>
      <c r="D664" s="30">
        <v>0</v>
      </c>
      <c r="E664" s="30">
        <v>0</v>
      </c>
      <c r="F664" s="30">
        <v>0</v>
      </c>
      <c r="G664" s="30">
        <v>0</v>
      </c>
      <c r="H664" s="30">
        <v>0</v>
      </c>
      <c r="I664" s="30">
        <f>I671/I672</f>
        <v>0</v>
      </c>
      <c r="J664" s="160">
        <f>J671/J672</f>
        <v>0</v>
      </c>
    </row>
    <row r="665" spans="1:10" s="186" customFormat="1" x14ac:dyDescent="0.25">
      <c r="A665" s="215" t="s">
        <v>23</v>
      </c>
      <c r="B665" s="66">
        <f t="shared" ref="B665:J665" si="300">B676/B659</f>
        <v>33735.34482758621</v>
      </c>
      <c r="C665" s="66">
        <f t="shared" si="300"/>
        <v>31104.72972972973</v>
      </c>
      <c r="D665" s="66">
        <f t="shared" si="300"/>
        <v>34905.303030303032</v>
      </c>
      <c r="E665" s="66">
        <f t="shared" si="300"/>
        <v>34757.232704402515</v>
      </c>
      <c r="F665" s="66">
        <f t="shared" si="300"/>
        <v>37226.845637583894</v>
      </c>
      <c r="G665" s="66">
        <f t="shared" si="300"/>
        <v>35850.862068965522</v>
      </c>
      <c r="H665" s="66">
        <f t="shared" si="300"/>
        <v>38130.813953488374</v>
      </c>
      <c r="I665" s="66">
        <f t="shared" si="300"/>
        <v>35817.087378640776</v>
      </c>
      <c r="J665" s="67">
        <f t="shared" si="300"/>
        <v>35817.087378640776</v>
      </c>
    </row>
    <row r="666" spans="1:10" s="186" customFormat="1" x14ac:dyDescent="0.25">
      <c r="A666" s="215" t="s">
        <v>24</v>
      </c>
      <c r="B666" s="66">
        <f t="shared" ref="B666:I666" si="301">+B676/B653</f>
        <v>30102.307692307691</v>
      </c>
      <c r="C666" s="66">
        <f t="shared" si="301"/>
        <v>29700</v>
      </c>
      <c r="D666" s="66">
        <f t="shared" si="301"/>
        <v>30716.666666666668</v>
      </c>
      <c r="E666" s="66">
        <f t="shared" si="301"/>
        <v>29552.941176470587</v>
      </c>
      <c r="F666" s="66">
        <f t="shared" si="301"/>
        <v>30145.652173913044</v>
      </c>
      <c r="G666" s="66">
        <f t="shared" si="301"/>
        <v>31826.785714285717</v>
      </c>
      <c r="H666" s="66">
        <f t="shared" si="301"/>
        <v>34701.058201058207</v>
      </c>
      <c r="I666" s="66">
        <f t="shared" si="301"/>
        <v>31441.704545454544</v>
      </c>
      <c r="J666" s="67">
        <f>J676/J653</f>
        <v>31441.704545454548</v>
      </c>
    </row>
    <row r="667" spans="1:10" s="186" customFormat="1" x14ac:dyDescent="0.25">
      <c r="A667" s="212" t="s">
        <v>25</v>
      </c>
      <c r="B667" s="92">
        <f t="shared" ref="B667:H667" si="302">B672*B660</f>
        <v>2131238.65862069</v>
      </c>
      <c r="C667" s="92">
        <f t="shared" si="302"/>
        <v>1982954.7310344828</v>
      </c>
      <c r="D667" s="92">
        <f t="shared" si="302"/>
        <v>2071557.5896551728</v>
      </c>
      <c r="E667" s="92">
        <f t="shared" si="302"/>
        <v>2787814.6379310344</v>
      </c>
      <c r="F667" s="92">
        <f t="shared" si="302"/>
        <v>6237907.4275862081</v>
      </c>
      <c r="G667" s="31">
        <f t="shared" si="302"/>
        <v>6604767.1172413807</v>
      </c>
      <c r="H667" s="31">
        <f t="shared" si="302"/>
        <v>7033473.6034482773</v>
      </c>
      <c r="I667" s="31">
        <f t="shared" ref="I667:I672" si="303">SUM(B667:H667)</f>
        <v>28849713.76551725</v>
      </c>
      <c r="J667" s="32">
        <f t="shared" ref="J667:J676" si="304">I667/7</f>
        <v>4121387.6807881785</v>
      </c>
    </row>
    <row r="668" spans="1:10" s="186" customFormat="1" x14ac:dyDescent="0.25">
      <c r="A668" s="212" t="s">
        <v>26</v>
      </c>
      <c r="B668" s="92">
        <f t="shared" ref="B668:H668" si="305">B672*B661</f>
        <v>129165.97931034483</v>
      </c>
      <c r="C668" s="92">
        <f t="shared" si="305"/>
        <v>0</v>
      </c>
      <c r="D668" s="92">
        <f t="shared" si="305"/>
        <v>115086.5327586207</v>
      </c>
      <c r="E668" s="92">
        <f t="shared" si="305"/>
        <v>365615.03448275867</v>
      </c>
      <c r="F668" s="92">
        <f t="shared" si="305"/>
        <v>183467.86551724139</v>
      </c>
      <c r="G668" s="31">
        <f t="shared" si="305"/>
        <v>412797.9448275863</v>
      </c>
      <c r="H668" s="31">
        <f t="shared" si="305"/>
        <v>865658.2896551725</v>
      </c>
      <c r="I668" s="31">
        <f t="shared" si="303"/>
        <v>2071791.6465517243</v>
      </c>
      <c r="J668" s="32">
        <f t="shared" si="304"/>
        <v>295970.2352216749</v>
      </c>
    </row>
    <row r="669" spans="1:10" s="186" customFormat="1" x14ac:dyDescent="0.25">
      <c r="A669" s="212" t="s">
        <v>27</v>
      </c>
      <c r="B669" s="92">
        <f t="shared" ref="B669:H669" si="306">B672*B662</f>
        <v>774995.87586206896</v>
      </c>
      <c r="C669" s="92">
        <f t="shared" si="306"/>
        <v>1372814.8137931034</v>
      </c>
      <c r="D669" s="92">
        <f t="shared" si="306"/>
        <v>1496124.9258620692</v>
      </c>
      <c r="E669" s="92">
        <f t="shared" si="306"/>
        <v>1233950.7413793106</v>
      </c>
      <c r="F669" s="92">
        <f t="shared" si="306"/>
        <v>1834678.6551724141</v>
      </c>
      <c r="G669" s="31">
        <f t="shared" si="306"/>
        <v>2167189.2103448277</v>
      </c>
      <c r="H669" s="31">
        <f t="shared" si="306"/>
        <v>1731316.579310345</v>
      </c>
      <c r="I669" s="31">
        <f t="shared" si="303"/>
        <v>10611070.801724138</v>
      </c>
      <c r="J669" s="32">
        <f t="shared" si="304"/>
        <v>1515867.2573891624</v>
      </c>
    </row>
    <row r="670" spans="1:10" s="186" customFormat="1" x14ac:dyDescent="0.25">
      <c r="A670" s="212" t="s">
        <v>28</v>
      </c>
      <c r="B670" s="92">
        <f t="shared" ref="B670:H670" si="307">B672*B663</f>
        <v>193748.96896551724</v>
      </c>
      <c r="C670" s="92">
        <f t="shared" si="307"/>
        <v>457604.93793103448</v>
      </c>
      <c r="D670" s="92">
        <f t="shared" si="307"/>
        <v>153448.71034482762</v>
      </c>
      <c r="E670" s="92">
        <f t="shared" si="307"/>
        <v>182807.51724137933</v>
      </c>
      <c r="F670" s="92">
        <f t="shared" si="307"/>
        <v>917339.32758620707</v>
      </c>
      <c r="G670" s="31">
        <f t="shared" si="307"/>
        <v>1135194.3482758622</v>
      </c>
      <c r="H670" s="31">
        <f t="shared" si="307"/>
        <v>1190280.1482758622</v>
      </c>
      <c r="I670" s="31">
        <f t="shared" si="303"/>
        <v>4230423.9586206898</v>
      </c>
      <c r="J670" s="32">
        <f t="shared" si="304"/>
        <v>604346.27980295569</v>
      </c>
    </row>
    <row r="671" spans="1:10" s="186" customFormat="1" x14ac:dyDescent="0.25">
      <c r="A671" s="212" t="s">
        <v>29</v>
      </c>
      <c r="B671" s="92">
        <f>B672*B664</f>
        <v>0</v>
      </c>
      <c r="C671" s="92">
        <f t="shared" ref="C671:H671" si="308">C672*C664</f>
        <v>0</v>
      </c>
      <c r="D671" s="92">
        <f t="shared" si="308"/>
        <v>0</v>
      </c>
      <c r="E671" s="92">
        <f t="shared" si="308"/>
        <v>0</v>
      </c>
      <c r="F671" s="92">
        <f t="shared" si="308"/>
        <v>0</v>
      </c>
      <c r="G671" s="31">
        <f t="shared" si="308"/>
        <v>0</v>
      </c>
      <c r="H671" s="31">
        <f t="shared" si="308"/>
        <v>0</v>
      </c>
      <c r="I671" s="31">
        <f t="shared" si="303"/>
        <v>0</v>
      </c>
      <c r="J671" s="32">
        <f t="shared" si="304"/>
        <v>0</v>
      </c>
    </row>
    <row r="672" spans="1:10" s="186" customFormat="1" x14ac:dyDescent="0.25">
      <c r="A672" s="216" t="s">
        <v>30</v>
      </c>
      <c r="B672" s="91">
        <f>(3913300/1.16)-B673</f>
        <v>3229149.4827586208</v>
      </c>
      <c r="C672" s="91">
        <f>(4603500/1.16)-C673</f>
        <v>3813374.4827586208</v>
      </c>
      <c r="D672" s="91">
        <f>(4607500/1.16)-D673</f>
        <v>3836217.7586206901</v>
      </c>
      <c r="E672" s="91">
        <f>(5526400/1.16)-E673</f>
        <v>4570187.931034483</v>
      </c>
      <c r="F672" s="91">
        <f>(11093600/1.16)-F673</f>
        <v>9173393.2758620698</v>
      </c>
      <c r="G672" s="197">
        <f>(12476100/1.16)-G673</f>
        <v>10319948.620689657</v>
      </c>
      <c r="H672" s="197">
        <f>(13117000/1.16)-H673</f>
        <v>10820728.620689657</v>
      </c>
      <c r="I672" s="197">
        <f t="shared" si="303"/>
        <v>45763000.172413796</v>
      </c>
      <c r="J672" s="217">
        <f t="shared" si="304"/>
        <v>6537571.453201971</v>
      </c>
    </row>
    <row r="673" spans="1:12" s="186" customFormat="1" x14ac:dyDescent="0.25">
      <c r="A673" s="212" t="s">
        <v>31</v>
      </c>
      <c r="B673" s="92">
        <f t="shared" ref="B673:I673" si="309">2155*B654</f>
        <v>144385</v>
      </c>
      <c r="C673" s="92">
        <f t="shared" si="309"/>
        <v>155160</v>
      </c>
      <c r="D673" s="92">
        <f t="shared" si="309"/>
        <v>135765</v>
      </c>
      <c r="E673" s="92">
        <f t="shared" si="309"/>
        <v>193950</v>
      </c>
      <c r="F673" s="92">
        <f t="shared" si="309"/>
        <v>390055</v>
      </c>
      <c r="G673" s="31">
        <f t="shared" si="309"/>
        <v>435310</v>
      </c>
      <c r="H673" s="31">
        <f t="shared" si="309"/>
        <v>487030</v>
      </c>
      <c r="I673" s="31">
        <f t="shared" si="309"/>
        <v>1941655</v>
      </c>
      <c r="J673" s="32">
        <f t="shared" si="304"/>
        <v>277379.28571428574</v>
      </c>
    </row>
    <row r="674" spans="1:12" s="186" customFormat="1" x14ac:dyDescent="0.25">
      <c r="A674" s="218" t="s">
        <v>32</v>
      </c>
      <c r="B674" s="199">
        <f>B673+B672</f>
        <v>3373534.4827586208</v>
      </c>
      <c r="C674" s="199">
        <f>C673+C672</f>
        <v>3968534.4827586208</v>
      </c>
      <c r="D674" s="199">
        <f>D673+D672</f>
        <v>3971982.7586206901</v>
      </c>
      <c r="E674" s="199">
        <f>E673+E672</f>
        <v>4764137.931034483</v>
      </c>
      <c r="F674" s="199">
        <f>F672+F673</f>
        <v>9563448.2758620698</v>
      </c>
      <c r="G674" s="199">
        <f>G673+G672</f>
        <v>10755258.620689657</v>
      </c>
      <c r="H674" s="199">
        <f>H673+H672</f>
        <v>11307758.620689657</v>
      </c>
      <c r="I674" s="199">
        <f>I672+I673</f>
        <v>47704655.172413796</v>
      </c>
      <c r="J674" s="219">
        <f t="shared" si="304"/>
        <v>6814950.7389162565</v>
      </c>
    </row>
    <row r="675" spans="1:12" s="186" customFormat="1" x14ac:dyDescent="0.25">
      <c r="A675" s="212" t="s">
        <v>33</v>
      </c>
      <c r="B675" s="94">
        <f>B674*16%</f>
        <v>539765.51724137936</v>
      </c>
      <c r="C675" s="94">
        <f t="shared" ref="C675:H675" si="310">C674*16%</f>
        <v>634965.51724137936</v>
      </c>
      <c r="D675" s="94">
        <f t="shared" si="310"/>
        <v>635517.24137931038</v>
      </c>
      <c r="E675" s="94">
        <f t="shared" si="310"/>
        <v>762262.06896551733</v>
      </c>
      <c r="F675" s="94">
        <f t="shared" si="310"/>
        <v>1530151.7241379311</v>
      </c>
      <c r="G675" s="94">
        <f t="shared" si="310"/>
        <v>1720841.379310345</v>
      </c>
      <c r="H675" s="94">
        <f t="shared" si="310"/>
        <v>1809241.379310345</v>
      </c>
      <c r="I675" s="94">
        <f>I674*16%</f>
        <v>7632744.8275862075</v>
      </c>
      <c r="J675" s="32">
        <f t="shared" si="304"/>
        <v>1090392.118226601</v>
      </c>
    </row>
    <row r="676" spans="1:12" s="186" customFormat="1" x14ac:dyDescent="0.25">
      <c r="A676" s="220" t="s">
        <v>34</v>
      </c>
      <c r="B676" s="202">
        <f>B674+B675</f>
        <v>3913300</v>
      </c>
      <c r="C676" s="202">
        <f t="shared" ref="C676:H676" si="311">C674+C675</f>
        <v>4603500</v>
      </c>
      <c r="D676" s="202">
        <f t="shared" si="311"/>
        <v>4607500</v>
      </c>
      <c r="E676" s="202">
        <f t="shared" si="311"/>
        <v>5526400</v>
      </c>
      <c r="F676" s="202">
        <f t="shared" si="311"/>
        <v>11093600</v>
      </c>
      <c r="G676" s="202">
        <f t="shared" si="311"/>
        <v>12476100.000000002</v>
      </c>
      <c r="H676" s="202">
        <f t="shared" si="311"/>
        <v>13117000.000000002</v>
      </c>
      <c r="I676" s="202">
        <f>I674+I675</f>
        <v>55337400</v>
      </c>
      <c r="J676" s="221">
        <f t="shared" si="304"/>
        <v>7905342.8571428573</v>
      </c>
    </row>
    <row r="677" spans="1:12" s="186" customFormat="1" x14ac:dyDescent="0.25">
      <c r="A677" s="204"/>
      <c r="B677" s="112"/>
      <c r="C677" s="112"/>
      <c r="D677" s="112"/>
      <c r="E677" s="112"/>
      <c r="F677" s="112"/>
      <c r="G677" s="112"/>
      <c r="H677" s="112"/>
      <c r="I677" s="112"/>
      <c r="J677" s="205"/>
    </row>
    <row r="678" spans="1:12" s="186" customFormat="1" ht="15.75" thickBot="1" x14ac:dyDescent="0.3">
      <c r="A678" s="204"/>
      <c r="B678" s="112"/>
      <c r="C678" s="112"/>
      <c r="D678" s="112"/>
      <c r="E678" s="112"/>
      <c r="F678" s="112"/>
      <c r="G678" s="112"/>
      <c r="H678" s="112"/>
      <c r="I678" s="112"/>
      <c r="J678" s="205"/>
    </row>
    <row r="679" spans="1:12" s="186" customFormat="1" ht="26.25" x14ac:dyDescent="0.25">
      <c r="A679"/>
      <c r="B679" s="1002" t="s">
        <v>200</v>
      </c>
      <c r="C679" s="1002"/>
      <c r="D679" s="1002"/>
      <c r="E679" s="1002"/>
      <c r="F679" s="1002"/>
      <c r="G679" s="1002"/>
      <c r="H679" s="1002"/>
      <c r="I679"/>
      <c r="J679"/>
    </row>
    <row r="680" spans="1:12" s="186" customFormat="1" ht="15.75" x14ac:dyDescent="0.25">
      <c r="A680" s="207" t="s">
        <v>2</v>
      </c>
      <c r="B680" s="121" t="s">
        <v>201</v>
      </c>
      <c r="C680" s="121" t="s">
        <v>202</v>
      </c>
      <c r="D680" s="121" t="s">
        <v>203</v>
      </c>
      <c r="E680" s="121" t="s">
        <v>204</v>
      </c>
      <c r="F680" s="121" t="s">
        <v>205</v>
      </c>
      <c r="G680" s="121" t="s">
        <v>206</v>
      </c>
      <c r="H680" s="121" t="s">
        <v>207</v>
      </c>
      <c r="I680" s="121" t="s">
        <v>96</v>
      </c>
      <c r="J680" s="209" t="s">
        <v>97</v>
      </c>
    </row>
    <row r="681" spans="1:12" s="186" customFormat="1" x14ac:dyDescent="0.25">
      <c r="A681" s="210" t="s">
        <v>11</v>
      </c>
      <c r="B681" s="189">
        <v>124</v>
      </c>
      <c r="C681" s="189">
        <v>145</v>
      </c>
      <c r="D681" s="189">
        <v>176</v>
      </c>
      <c r="E681" s="190">
        <v>183</v>
      </c>
      <c r="F681" s="190">
        <v>343</v>
      </c>
      <c r="G681" s="190">
        <v>456</v>
      </c>
      <c r="H681" s="190">
        <v>425</v>
      </c>
      <c r="I681" s="190">
        <f>SUM(B681:H681)</f>
        <v>1852</v>
      </c>
      <c r="J681" s="211">
        <f>+I681/7</f>
        <v>264.57142857142856</v>
      </c>
      <c r="L681" s="186">
        <v>261</v>
      </c>
    </row>
    <row r="682" spans="1:12" s="186" customFormat="1" x14ac:dyDescent="0.25">
      <c r="A682" s="212" t="s">
        <v>12</v>
      </c>
      <c r="B682" s="11">
        <v>63</v>
      </c>
      <c r="C682" s="11">
        <v>72</v>
      </c>
      <c r="D682" s="11">
        <v>86</v>
      </c>
      <c r="E682" s="11">
        <v>90</v>
      </c>
      <c r="F682" s="11">
        <v>183</v>
      </c>
      <c r="G682" s="11">
        <v>227</v>
      </c>
      <c r="H682" s="11">
        <v>203</v>
      </c>
      <c r="I682" s="11">
        <f>SUM('PEPE SIERRA '!$B682:$H682)</f>
        <v>924</v>
      </c>
      <c r="J682" s="60">
        <f t="shared" ref="J682:J687" si="312">I682/7</f>
        <v>132</v>
      </c>
      <c r="L682" s="186">
        <v>154</v>
      </c>
    </row>
    <row r="683" spans="1:12" s="186" customFormat="1" x14ac:dyDescent="0.25">
      <c r="A683" s="212" t="s">
        <v>13</v>
      </c>
      <c r="B683" s="11">
        <v>2</v>
      </c>
      <c r="C683" s="11">
        <v>2</v>
      </c>
      <c r="D683" s="11">
        <v>5</v>
      </c>
      <c r="E683" s="11">
        <v>6</v>
      </c>
      <c r="F683" s="11">
        <v>5</v>
      </c>
      <c r="G683" s="11">
        <v>9</v>
      </c>
      <c r="H683" s="11">
        <v>9</v>
      </c>
      <c r="I683" s="11">
        <f>SUM('PEPE SIERRA '!$B683:$H683)</f>
        <v>38</v>
      </c>
      <c r="J683" s="60">
        <f t="shared" si="312"/>
        <v>5.4285714285714288</v>
      </c>
      <c r="L683" s="186">
        <v>41</v>
      </c>
    </row>
    <row r="684" spans="1:12" s="186" customFormat="1" x14ac:dyDescent="0.25">
      <c r="A684" s="212" t="s">
        <v>14</v>
      </c>
      <c r="B684" s="11">
        <v>41</v>
      </c>
      <c r="C684" s="11">
        <v>46</v>
      </c>
      <c r="D684" s="11">
        <v>38</v>
      </c>
      <c r="E684" s="11">
        <v>54</v>
      </c>
      <c r="F684" s="11">
        <v>71</v>
      </c>
      <c r="G684" s="11">
        <v>73</v>
      </c>
      <c r="H684" s="86">
        <v>83</v>
      </c>
      <c r="I684" s="11">
        <f>SUM('PEPE SIERRA '!$B684:$H684)</f>
        <v>406</v>
      </c>
      <c r="J684" s="60">
        <f t="shared" si="312"/>
        <v>58</v>
      </c>
      <c r="L684" s="186">
        <f>SUM(L681:L683)</f>
        <v>456</v>
      </c>
    </row>
    <row r="685" spans="1:12" s="186" customFormat="1" x14ac:dyDescent="0.25">
      <c r="A685" s="212" t="s">
        <v>15</v>
      </c>
      <c r="B685" s="11">
        <v>10</v>
      </c>
      <c r="C685" s="11">
        <v>8</v>
      </c>
      <c r="D685" s="11">
        <v>16</v>
      </c>
      <c r="E685" s="11">
        <v>21</v>
      </c>
      <c r="F685" s="11">
        <v>27</v>
      </c>
      <c r="G685" s="11">
        <v>61</v>
      </c>
      <c r="H685" s="11">
        <v>43</v>
      </c>
      <c r="I685" s="11">
        <f>SUM('PEPE SIERRA '!$B685:$H685)</f>
        <v>186</v>
      </c>
      <c r="J685" s="60">
        <f t="shared" si="312"/>
        <v>26.571428571428573</v>
      </c>
    </row>
    <row r="686" spans="1:12" s="186" customFormat="1" x14ac:dyDescent="0.25">
      <c r="A686" s="212" t="s">
        <v>16</v>
      </c>
      <c r="B686" s="11">
        <v>0</v>
      </c>
      <c r="C686" s="11">
        <v>0</v>
      </c>
      <c r="D686" s="11">
        <v>0</v>
      </c>
      <c r="E686" s="11">
        <v>0</v>
      </c>
      <c r="F686" s="11">
        <v>0</v>
      </c>
      <c r="G686" s="11">
        <v>0</v>
      </c>
      <c r="H686" s="11">
        <v>2</v>
      </c>
      <c r="I686" s="11">
        <f>SUM('PEPE SIERRA '!$B686:$H686)</f>
        <v>2</v>
      </c>
      <c r="J686" s="60">
        <f t="shared" si="312"/>
        <v>0.2857142857142857</v>
      </c>
    </row>
    <row r="687" spans="1:12" s="186" customFormat="1" x14ac:dyDescent="0.25">
      <c r="A687" s="213" t="s">
        <v>17</v>
      </c>
      <c r="B687" s="192">
        <f>SUM(B682:B686)</f>
        <v>116</v>
      </c>
      <c r="C687" s="192">
        <f t="shared" ref="C687:I687" si="313">SUM(C682:C686)</f>
        <v>128</v>
      </c>
      <c r="D687" s="192">
        <f t="shared" si="313"/>
        <v>145</v>
      </c>
      <c r="E687" s="192">
        <f t="shared" si="313"/>
        <v>171</v>
      </c>
      <c r="F687" s="192">
        <f t="shared" si="313"/>
        <v>286</v>
      </c>
      <c r="G687" s="192">
        <f t="shared" si="313"/>
        <v>370</v>
      </c>
      <c r="H687" s="192">
        <f t="shared" si="313"/>
        <v>340</v>
      </c>
      <c r="I687" s="192">
        <f t="shared" si="313"/>
        <v>1556</v>
      </c>
      <c r="J687" s="214">
        <f t="shared" si="312"/>
        <v>222.28571428571428</v>
      </c>
    </row>
    <row r="688" spans="1:12" s="186" customFormat="1" x14ac:dyDescent="0.25">
      <c r="A688" s="212" t="s">
        <v>18</v>
      </c>
      <c r="B688" s="30">
        <v>0.61</v>
      </c>
      <c r="C688" s="30">
        <v>0.61</v>
      </c>
      <c r="D688" s="30">
        <v>0.65</v>
      </c>
      <c r="E688" s="30">
        <v>0.56999999999999995</v>
      </c>
      <c r="F688" s="30">
        <v>0.69</v>
      </c>
      <c r="G688" s="30">
        <v>0.67</v>
      </c>
      <c r="H688" s="30">
        <v>0.62</v>
      </c>
      <c r="I688" s="30">
        <f>I695/I700</f>
        <v>0.64232853854720762</v>
      </c>
      <c r="J688" s="160">
        <f>J695/J700</f>
        <v>0.64232853854720773</v>
      </c>
    </row>
    <row r="689" spans="1:10" s="186" customFormat="1" x14ac:dyDescent="0.25">
      <c r="A689" s="212" t="s">
        <v>19</v>
      </c>
      <c r="B689" s="30">
        <v>0.02</v>
      </c>
      <c r="C689" s="30">
        <v>0.03</v>
      </c>
      <c r="D689" s="30">
        <v>7.0000000000000007E-2</v>
      </c>
      <c r="E689" s="30">
        <v>0.03</v>
      </c>
      <c r="F689" s="30">
        <v>0.02</v>
      </c>
      <c r="G689" s="30">
        <v>0.03</v>
      </c>
      <c r="H689" s="30">
        <v>0.03</v>
      </c>
      <c r="I689" s="30">
        <f>I696/I700</f>
        <v>3.1164939026962331E-2</v>
      </c>
      <c r="J689" s="160">
        <f>J696/J700</f>
        <v>3.1164939026962331E-2</v>
      </c>
    </row>
    <row r="690" spans="1:10" s="186" customFormat="1" x14ac:dyDescent="0.25">
      <c r="A690" s="212" t="s">
        <v>20</v>
      </c>
      <c r="B690" s="30">
        <v>0.3</v>
      </c>
      <c r="C690" s="30">
        <v>0.3</v>
      </c>
      <c r="D690" s="30">
        <v>0.19</v>
      </c>
      <c r="E690" s="30">
        <v>0.27</v>
      </c>
      <c r="F690" s="30">
        <v>0.21</v>
      </c>
      <c r="G690" s="30">
        <v>0.14000000000000001</v>
      </c>
      <c r="H690" s="30">
        <v>0.2</v>
      </c>
      <c r="I690" s="30">
        <f>I697/I700</f>
        <v>0.20698313511989888</v>
      </c>
      <c r="J690" s="160">
        <f>J697/J700</f>
        <v>0.20698313511989888</v>
      </c>
    </row>
    <row r="691" spans="1:10" s="186" customFormat="1" x14ac:dyDescent="0.25">
      <c r="A691" s="212" t="s">
        <v>21</v>
      </c>
      <c r="B691" s="30">
        <v>7.0000000000000007E-2</v>
      </c>
      <c r="C691" s="30">
        <v>0.06</v>
      </c>
      <c r="D691" s="30">
        <v>0.09</v>
      </c>
      <c r="E691" s="30">
        <v>0.13</v>
      </c>
      <c r="F691" s="30">
        <v>0.08</v>
      </c>
      <c r="G691" s="30">
        <v>0.16</v>
      </c>
      <c r="H691" s="30">
        <v>0.14000000000000001</v>
      </c>
      <c r="I691" s="30">
        <f>I698/I700</f>
        <v>0.11729525344958899</v>
      </c>
      <c r="J691" s="160">
        <f>J698/J700</f>
        <v>0.11729525344958899</v>
      </c>
    </row>
    <row r="692" spans="1:10" s="186" customFormat="1" x14ac:dyDescent="0.25">
      <c r="A692" s="212" t="s">
        <v>22</v>
      </c>
      <c r="B692" s="30">
        <v>0</v>
      </c>
      <c r="C692" s="30">
        <v>0</v>
      </c>
      <c r="D692" s="30">
        <v>0</v>
      </c>
      <c r="E692" s="30">
        <v>0</v>
      </c>
      <c r="F692" s="30">
        <v>0</v>
      </c>
      <c r="G692" s="30">
        <v>0</v>
      </c>
      <c r="H692" s="30">
        <v>0.01</v>
      </c>
      <c r="I692" s="30">
        <f>I699/I700</f>
        <v>2.2281338563422091E-3</v>
      </c>
      <c r="J692" s="160">
        <f>J699/J700</f>
        <v>2.2281338563422096E-3</v>
      </c>
    </row>
    <row r="693" spans="1:10" s="186" customFormat="1" x14ac:dyDescent="0.25">
      <c r="A693" s="215" t="s">
        <v>23</v>
      </c>
      <c r="B693" s="66">
        <f t="shared" ref="B693:J693" si="314">B704/B687</f>
        <v>32122.413793103453</v>
      </c>
      <c r="C693" s="66">
        <f t="shared" si="314"/>
        <v>34188.281250000007</v>
      </c>
      <c r="D693" s="66">
        <f t="shared" si="314"/>
        <v>36356.551724137928</v>
      </c>
      <c r="E693" s="66">
        <f t="shared" si="314"/>
        <v>32842.1052631579</v>
      </c>
      <c r="F693" s="66">
        <f t="shared" si="314"/>
        <v>37674.125874125879</v>
      </c>
      <c r="G693" s="66">
        <f t="shared" si="314"/>
        <v>38757.2972972973</v>
      </c>
      <c r="H693" s="66">
        <f t="shared" si="314"/>
        <v>37162.647058823532</v>
      </c>
      <c r="I693" s="66">
        <f t="shared" si="314"/>
        <v>36465.488431876605</v>
      </c>
      <c r="J693" s="67">
        <f t="shared" si="314"/>
        <v>36465.488431876605</v>
      </c>
    </row>
    <row r="694" spans="1:10" s="186" customFormat="1" x14ac:dyDescent="0.25">
      <c r="A694" s="215" t="s">
        <v>24</v>
      </c>
      <c r="B694" s="66">
        <f t="shared" ref="B694:I694" si="315">+B704/B681</f>
        <v>30050.000000000004</v>
      </c>
      <c r="C694" s="66">
        <f t="shared" si="315"/>
        <v>30180.000000000007</v>
      </c>
      <c r="D694" s="66">
        <f t="shared" si="315"/>
        <v>29952.840909090908</v>
      </c>
      <c r="E694" s="66">
        <f t="shared" si="315"/>
        <v>30688.524590163939</v>
      </c>
      <c r="F694" s="66">
        <f t="shared" si="315"/>
        <v>31413.411078717207</v>
      </c>
      <c r="G694" s="66">
        <f t="shared" si="315"/>
        <v>31447.807017543859</v>
      </c>
      <c r="H694" s="66">
        <f t="shared" si="315"/>
        <v>29730.117647058825</v>
      </c>
      <c r="I694" s="66">
        <f t="shared" si="315"/>
        <v>30637.31101511879</v>
      </c>
      <c r="J694" s="67">
        <f>J704/J681</f>
        <v>30637.31101511879</v>
      </c>
    </row>
    <row r="695" spans="1:10" s="186" customFormat="1" x14ac:dyDescent="0.25">
      <c r="A695" s="212" t="s">
        <v>25</v>
      </c>
      <c r="B695" s="92">
        <f t="shared" ref="B695:H695" si="316">B700*B688</f>
        <v>1876650.5913793105</v>
      </c>
      <c r="C695" s="92">
        <f t="shared" si="316"/>
        <v>2206577.4000000004</v>
      </c>
      <c r="D695" s="92">
        <f t="shared" si="316"/>
        <v>2833505.3275862071</v>
      </c>
      <c r="E695" s="92">
        <f t="shared" si="316"/>
        <v>2649034.7068965519</v>
      </c>
      <c r="F695" s="92">
        <f t="shared" si="316"/>
        <v>6137036.4258620692</v>
      </c>
      <c r="G695" s="31">
        <f t="shared" si="316"/>
        <v>7954947.7741379319</v>
      </c>
      <c r="H695" s="31">
        <f t="shared" si="316"/>
        <v>6482121.7000000002</v>
      </c>
      <c r="I695" s="31">
        <f t="shared" ref="I695:I700" si="317">SUM(B695:H695)</f>
        <v>30139873.92586207</v>
      </c>
      <c r="J695" s="32">
        <f t="shared" ref="J695:J704" si="318">I695/7</f>
        <v>4305696.2751231529</v>
      </c>
    </row>
    <row r="696" spans="1:10" s="186" customFormat="1" x14ac:dyDescent="0.25">
      <c r="A696" s="212" t="s">
        <v>26</v>
      </c>
      <c r="B696" s="92">
        <f t="shared" ref="B696:H696" si="319">B700*B689</f>
        <v>61529.52758620691</v>
      </c>
      <c r="C696" s="92">
        <f t="shared" si="319"/>
        <v>108520.20000000001</v>
      </c>
      <c r="D696" s="92">
        <f t="shared" si="319"/>
        <v>305146.72758620692</v>
      </c>
      <c r="E696" s="92">
        <f t="shared" si="319"/>
        <v>139422.87931034484</v>
      </c>
      <c r="F696" s="92">
        <f t="shared" si="319"/>
        <v>177885.11379310346</v>
      </c>
      <c r="G696" s="31">
        <f t="shared" si="319"/>
        <v>356191.69137931033</v>
      </c>
      <c r="H696" s="31">
        <f t="shared" si="319"/>
        <v>313651.05</v>
      </c>
      <c r="I696" s="31">
        <f t="shared" si="317"/>
        <v>1462347.1896551724</v>
      </c>
      <c r="J696" s="32">
        <f t="shared" si="318"/>
        <v>208906.74137931035</v>
      </c>
    </row>
    <row r="697" spans="1:10" s="186" customFormat="1" x14ac:dyDescent="0.25">
      <c r="A697" s="212" t="s">
        <v>27</v>
      </c>
      <c r="B697" s="92">
        <f t="shared" ref="B697:H697" si="320">B700*B690</f>
        <v>922942.91379310354</v>
      </c>
      <c r="C697" s="92">
        <f t="shared" si="320"/>
        <v>1085202</v>
      </c>
      <c r="D697" s="92">
        <f t="shared" si="320"/>
        <v>828255.40344827587</v>
      </c>
      <c r="E697" s="92">
        <f t="shared" si="320"/>
        <v>1254805.9137931038</v>
      </c>
      <c r="F697" s="92">
        <f t="shared" si="320"/>
        <v>1867793.6948275864</v>
      </c>
      <c r="G697" s="31">
        <f t="shared" si="320"/>
        <v>1662227.8931034484</v>
      </c>
      <c r="H697" s="31">
        <f t="shared" si="320"/>
        <v>2091007</v>
      </c>
      <c r="I697" s="31">
        <f t="shared" si="317"/>
        <v>9712234.8189655188</v>
      </c>
      <c r="J697" s="32">
        <f t="shared" si="318"/>
        <v>1387462.1169950741</v>
      </c>
    </row>
    <row r="698" spans="1:10" s="186" customFormat="1" x14ac:dyDescent="0.25">
      <c r="A698" s="212" t="s">
        <v>28</v>
      </c>
      <c r="B698" s="92">
        <f t="shared" ref="B698:H698" si="321">B700*B691</f>
        <v>215353.34655172419</v>
      </c>
      <c r="C698" s="92">
        <f t="shared" si="321"/>
        <v>217040.40000000002</v>
      </c>
      <c r="D698" s="92">
        <f t="shared" si="321"/>
        <v>392331.5068965517</v>
      </c>
      <c r="E698" s="92">
        <f t="shared" si="321"/>
        <v>604165.81034482771</v>
      </c>
      <c r="F698" s="92">
        <f t="shared" si="321"/>
        <v>711540.45517241384</v>
      </c>
      <c r="G698" s="31">
        <f t="shared" si="321"/>
        <v>1899689.0206896553</v>
      </c>
      <c r="H698" s="31">
        <f t="shared" si="321"/>
        <v>1463704.9000000001</v>
      </c>
      <c r="I698" s="31">
        <f t="shared" si="317"/>
        <v>5503825.4396551736</v>
      </c>
      <c r="J698" s="32">
        <f t="shared" si="318"/>
        <v>786260.77709359617</v>
      </c>
    </row>
    <row r="699" spans="1:10" s="186" customFormat="1" x14ac:dyDescent="0.25">
      <c r="A699" s="212" t="s">
        <v>29</v>
      </c>
      <c r="B699" s="92">
        <f>B700*B692</f>
        <v>0</v>
      </c>
      <c r="C699" s="92">
        <f t="shared" ref="C699:H699" si="322">C700*C692</f>
        <v>0</v>
      </c>
      <c r="D699" s="92">
        <f t="shared" si="322"/>
        <v>0</v>
      </c>
      <c r="E699" s="92">
        <f t="shared" si="322"/>
        <v>0</v>
      </c>
      <c r="F699" s="92">
        <f t="shared" si="322"/>
        <v>0</v>
      </c>
      <c r="G699" s="31">
        <f t="shared" si="322"/>
        <v>0</v>
      </c>
      <c r="H699" s="31">
        <f t="shared" si="322"/>
        <v>104550.35</v>
      </c>
      <c r="I699" s="31">
        <f t="shared" si="317"/>
        <v>104550.35</v>
      </c>
      <c r="J699" s="32">
        <f t="shared" si="318"/>
        <v>14935.764285714287</v>
      </c>
    </row>
    <row r="700" spans="1:10" s="186" customFormat="1" x14ac:dyDescent="0.25">
      <c r="A700" s="216" t="s">
        <v>30</v>
      </c>
      <c r="B700" s="91">
        <f>(3726200/1.16)-B701</f>
        <v>3076476.3793103453</v>
      </c>
      <c r="C700" s="91">
        <f>(4376100/1.16)-C701</f>
        <v>3617340.0000000005</v>
      </c>
      <c r="D700" s="91">
        <f>(5271700/1.16)-D701</f>
        <v>4359238.9655172415</v>
      </c>
      <c r="E700" s="91">
        <f>(5616000/1.16)-E701</f>
        <v>4647429.3103448283</v>
      </c>
      <c r="F700" s="91">
        <f>(10774800/1.16)-F701</f>
        <v>8894255.6896551736</v>
      </c>
      <c r="G700" s="197">
        <f>(14340200/1.16)-G701</f>
        <v>11873056.379310345</v>
      </c>
      <c r="H700" s="197">
        <f>(12635300/1.16)-H701</f>
        <v>10455035</v>
      </c>
      <c r="I700" s="197">
        <f t="shared" si="317"/>
        <v>46922831.724137932</v>
      </c>
      <c r="J700" s="217">
        <f t="shared" si="318"/>
        <v>6703261.6748768473</v>
      </c>
    </row>
    <row r="701" spans="1:10" s="186" customFormat="1" x14ac:dyDescent="0.25">
      <c r="A701" s="212" t="s">
        <v>31</v>
      </c>
      <c r="B701" s="92">
        <f t="shared" ref="B701:I701" si="323">2155*B682</f>
        <v>135765</v>
      </c>
      <c r="C701" s="92">
        <f t="shared" si="323"/>
        <v>155160</v>
      </c>
      <c r="D701" s="92">
        <f t="shared" si="323"/>
        <v>185330</v>
      </c>
      <c r="E701" s="92">
        <f t="shared" si="323"/>
        <v>193950</v>
      </c>
      <c r="F701" s="92">
        <f t="shared" si="323"/>
        <v>394365</v>
      </c>
      <c r="G701" s="31">
        <f t="shared" si="323"/>
        <v>489185</v>
      </c>
      <c r="H701" s="31">
        <f t="shared" si="323"/>
        <v>437465</v>
      </c>
      <c r="I701" s="31">
        <f t="shared" si="323"/>
        <v>1991220</v>
      </c>
      <c r="J701" s="32">
        <f t="shared" si="318"/>
        <v>284460</v>
      </c>
    </row>
    <row r="702" spans="1:10" s="186" customFormat="1" x14ac:dyDescent="0.25">
      <c r="A702" s="218" t="s">
        <v>32</v>
      </c>
      <c r="B702" s="199">
        <f>B701+B700</f>
        <v>3212241.3793103453</v>
      </c>
      <c r="C702" s="199">
        <f>C701+C700</f>
        <v>3772500.0000000005</v>
      </c>
      <c r="D702" s="199">
        <f>D701+D700</f>
        <v>4544568.9655172415</v>
      </c>
      <c r="E702" s="199">
        <f>E701+E700</f>
        <v>4841379.3103448283</v>
      </c>
      <c r="F702" s="199">
        <f>F700+F701</f>
        <v>9288620.6896551736</v>
      </c>
      <c r="G702" s="199">
        <f>G701+G700</f>
        <v>12362241.379310345</v>
      </c>
      <c r="H702" s="199">
        <f>H701+H700</f>
        <v>10892500</v>
      </c>
      <c r="I702" s="199">
        <f>I700+I701</f>
        <v>48914051.724137932</v>
      </c>
      <c r="J702" s="219">
        <f t="shared" si="318"/>
        <v>6987721.6748768473</v>
      </c>
    </row>
    <row r="703" spans="1:10" s="186" customFormat="1" x14ac:dyDescent="0.25">
      <c r="A703" s="212" t="s">
        <v>33</v>
      </c>
      <c r="B703" s="94">
        <f>B702*16%</f>
        <v>513958.62068965525</v>
      </c>
      <c r="C703" s="94">
        <f t="shared" ref="C703:H703" si="324">C702*16%</f>
        <v>603600.00000000012</v>
      </c>
      <c r="D703" s="94">
        <f t="shared" si="324"/>
        <v>727131.03448275861</v>
      </c>
      <c r="E703" s="94">
        <f t="shared" si="324"/>
        <v>774620.68965517252</v>
      </c>
      <c r="F703" s="94">
        <f t="shared" si="324"/>
        <v>1486179.3103448278</v>
      </c>
      <c r="G703" s="94">
        <f t="shared" si="324"/>
        <v>1977958.6206896552</v>
      </c>
      <c r="H703" s="94">
        <f t="shared" si="324"/>
        <v>1742800</v>
      </c>
      <c r="I703" s="94">
        <f>I702*16%</f>
        <v>7826248.2758620689</v>
      </c>
      <c r="J703" s="32">
        <f t="shared" si="318"/>
        <v>1118035.4679802957</v>
      </c>
    </row>
    <row r="704" spans="1:10" s="186" customFormat="1" x14ac:dyDescent="0.25">
      <c r="A704" s="220" t="s">
        <v>34</v>
      </c>
      <c r="B704" s="202">
        <f>B702+B703</f>
        <v>3726200.0000000005</v>
      </c>
      <c r="C704" s="202">
        <f t="shared" ref="C704:H704" si="325">C702+C703</f>
        <v>4376100.0000000009</v>
      </c>
      <c r="D704" s="202">
        <f t="shared" si="325"/>
        <v>5271700</v>
      </c>
      <c r="E704" s="202">
        <f t="shared" si="325"/>
        <v>5616000.0000000009</v>
      </c>
      <c r="F704" s="202">
        <f t="shared" si="325"/>
        <v>10774800.000000002</v>
      </c>
      <c r="G704" s="202">
        <f t="shared" si="325"/>
        <v>14340200</v>
      </c>
      <c r="H704" s="202">
        <f t="shared" si="325"/>
        <v>12635300</v>
      </c>
      <c r="I704" s="202">
        <f>I702+I703</f>
        <v>56740300</v>
      </c>
      <c r="J704" s="221">
        <f t="shared" si="318"/>
        <v>8105757.1428571427</v>
      </c>
    </row>
    <row r="705" spans="1:10" s="186" customFormat="1" x14ac:dyDescent="0.25">
      <c r="A705" s="204"/>
      <c r="B705" s="112"/>
      <c r="C705" s="112"/>
      <c r="D705" s="112"/>
      <c r="E705" s="112"/>
      <c r="F705" s="112"/>
      <c r="G705" s="112"/>
      <c r="H705" s="112"/>
      <c r="I705" s="112"/>
      <c r="J705" s="205"/>
    </row>
    <row r="706" spans="1:10" s="186" customFormat="1" ht="15.75" thickBot="1" x14ac:dyDescent="0.3">
      <c r="A706" s="204"/>
      <c r="B706" s="112"/>
      <c r="C706" s="112"/>
      <c r="D706" s="112"/>
      <c r="E706" s="112"/>
      <c r="F706" s="112"/>
      <c r="G706" s="112"/>
      <c r="H706" s="112"/>
      <c r="I706" s="112"/>
      <c r="J706" s="205"/>
    </row>
    <row r="707" spans="1:10" s="186" customFormat="1" ht="26.25" x14ac:dyDescent="0.25">
      <c r="A707"/>
      <c r="B707" s="1002" t="s">
        <v>208</v>
      </c>
      <c r="C707" s="1002"/>
      <c r="D707" s="1002"/>
      <c r="E707" s="1002"/>
      <c r="F707" s="1002"/>
      <c r="G707" s="1002"/>
      <c r="H707" s="1002"/>
      <c r="I707"/>
      <c r="J707"/>
    </row>
    <row r="708" spans="1:10" s="186" customFormat="1" ht="15.75" x14ac:dyDescent="0.25">
      <c r="A708" s="207" t="s">
        <v>2</v>
      </c>
      <c r="B708" s="121" t="s">
        <v>209</v>
      </c>
      <c r="C708" s="121" t="s">
        <v>210</v>
      </c>
      <c r="D708" s="121" t="s">
        <v>211</v>
      </c>
      <c r="E708" s="121" t="s">
        <v>212</v>
      </c>
      <c r="F708" s="121" t="s">
        <v>213</v>
      </c>
      <c r="G708" s="121" t="s">
        <v>214</v>
      </c>
      <c r="H708" s="121" t="s">
        <v>215</v>
      </c>
      <c r="I708" s="121" t="s">
        <v>96</v>
      </c>
      <c r="J708" s="209" t="s">
        <v>97</v>
      </c>
    </row>
    <row r="709" spans="1:10" s="186" customFormat="1" x14ac:dyDescent="0.25">
      <c r="A709" s="210" t="s">
        <v>11</v>
      </c>
      <c r="B709" s="189">
        <v>142</v>
      </c>
      <c r="C709" s="189">
        <v>151</v>
      </c>
      <c r="D709" s="189">
        <v>163</v>
      </c>
      <c r="E709" s="190">
        <v>205</v>
      </c>
      <c r="F709" s="190">
        <v>349</v>
      </c>
      <c r="G709" s="190">
        <v>433</v>
      </c>
      <c r="H709" s="190">
        <v>470</v>
      </c>
      <c r="I709" s="190">
        <f>SUM(B709:H709)</f>
        <v>1913</v>
      </c>
      <c r="J709" s="211">
        <f>+I709/7</f>
        <v>273.28571428571428</v>
      </c>
    </row>
    <row r="710" spans="1:10" s="186" customFormat="1" x14ac:dyDescent="0.25">
      <c r="A710" s="212" t="s">
        <v>12</v>
      </c>
      <c r="B710" s="11">
        <v>77</v>
      </c>
      <c r="C710" s="11">
        <v>61</v>
      </c>
      <c r="D710" s="11">
        <v>78</v>
      </c>
      <c r="E710" s="11">
        <v>110</v>
      </c>
      <c r="F710" s="11">
        <v>210</v>
      </c>
      <c r="G710" s="11">
        <v>228</v>
      </c>
      <c r="H710" s="11">
        <v>271</v>
      </c>
      <c r="I710" s="11">
        <f>SUM('PEPE SIERRA '!$B710:$H710)</f>
        <v>1035</v>
      </c>
      <c r="J710" s="60">
        <f t="shared" ref="J710:J715" si="326">I710/7</f>
        <v>147.85714285714286</v>
      </c>
    </row>
    <row r="711" spans="1:10" s="186" customFormat="1" x14ac:dyDescent="0.25">
      <c r="A711" s="212" t="s">
        <v>13</v>
      </c>
      <c r="B711" s="11">
        <v>2</v>
      </c>
      <c r="C711" s="11">
        <v>3</v>
      </c>
      <c r="D711" s="11">
        <v>0</v>
      </c>
      <c r="E711" s="11">
        <v>4</v>
      </c>
      <c r="F711" s="11">
        <v>5</v>
      </c>
      <c r="G711" s="11">
        <v>10</v>
      </c>
      <c r="H711" s="11">
        <v>17</v>
      </c>
      <c r="I711" s="11">
        <f>SUM('PEPE SIERRA '!$B711:$H711)</f>
        <v>41</v>
      </c>
      <c r="J711" s="60">
        <f t="shared" si="326"/>
        <v>5.8571428571428568</v>
      </c>
    </row>
    <row r="712" spans="1:10" s="186" customFormat="1" x14ac:dyDescent="0.25">
      <c r="A712" s="212" t="s">
        <v>14</v>
      </c>
      <c r="B712" s="11">
        <v>40</v>
      </c>
      <c r="C712" s="11">
        <v>47</v>
      </c>
      <c r="D712" s="11">
        <v>55</v>
      </c>
      <c r="E712" s="11">
        <v>64</v>
      </c>
      <c r="F712" s="11">
        <v>78</v>
      </c>
      <c r="G712" s="11">
        <v>79</v>
      </c>
      <c r="H712" s="86">
        <v>51</v>
      </c>
      <c r="I712" s="11">
        <f>SUM('PEPE SIERRA '!$B712:$H712)</f>
        <v>414</v>
      </c>
      <c r="J712" s="60">
        <f t="shared" si="326"/>
        <v>59.142857142857146</v>
      </c>
    </row>
    <row r="713" spans="1:10" s="186" customFormat="1" x14ac:dyDescent="0.25">
      <c r="A713" s="212" t="s">
        <v>15</v>
      </c>
      <c r="B713" s="11">
        <v>9</v>
      </c>
      <c r="C713" s="11">
        <v>11</v>
      </c>
      <c r="D713" s="11">
        <v>14</v>
      </c>
      <c r="E713" s="11">
        <v>17</v>
      </c>
      <c r="F713" s="11">
        <v>17</v>
      </c>
      <c r="G713" s="11">
        <v>42</v>
      </c>
      <c r="H713" s="11">
        <v>48</v>
      </c>
      <c r="I713" s="11">
        <f>SUM('PEPE SIERRA '!$B713:$H713)</f>
        <v>158</v>
      </c>
      <c r="J713" s="60">
        <f t="shared" si="326"/>
        <v>22.571428571428573</v>
      </c>
    </row>
    <row r="714" spans="1:10" s="186" customFormat="1" x14ac:dyDescent="0.25">
      <c r="A714" s="212" t="s">
        <v>16</v>
      </c>
      <c r="B714" s="11">
        <v>0</v>
      </c>
      <c r="C714" s="11">
        <v>1</v>
      </c>
      <c r="D714" s="11">
        <v>0</v>
      </c>
      <c r="E714" s="11">
        <v>0</v>
      </c>
      <c r="F714" s="11">
        <v>2</v>
      </c>
      <c r="G714" s="11">
        <v>0</v>
      </c>
      <c r="H714" s="11">
        <v>1</v>
      </c>
      <c r="I714" s="11">
        <f>SUM('PEPE SIERRA '!$B714:$H714)</f>
        <v>4</v>
      </c>
      <c r="J714" s="60">
        <f t="shared" si="326"/>
        <v>0.5714285714285714</v>
      </c>
    </row>
    <row r="715" spans="1:10" s="186" customFormat="1" x14ac:dyDescent="0.25">
      <c r="A715" s="213" t="s">
        <v>17</v>
      </c>
      <c r="B715" s="192">
        <f>SUM(B710:B714)</f>
        <v>128</v>
      </c>
      <c r="C715" s="192">
        <f t="shared" ref="C715:I715" si="327">SUM(C710:C714)</f>
        <v>123</v>
      </c>
      <c r="D715" s="192">
        <f t="shared" si="327"/>
        <v>147</v>
      </c>
      <c r="E715" s="192">
        <f t="shared" si="327"/>
        <v>195</v>
      </c>
      <c r="F715" s="192">
        <f t="shared" si="327"/>
        <v>312</v>
      </c>
      <c r="G715" s="192">
        <f t="shared" si="327"/>
        <v>359</v>
      </c>
      <c r="H715" s="192">
        <f t="shared" si="327"/>
        <v>388</v>
      </c>
      <c r="I715" s="192">
        <f t="shared" si="327"/>
        <v>1652</v>
      </c>
      <c r="J715" s="214">
        <f t="shared" si="326"/>
        <v>236</v>
      </c>
    </row>
    <row r="716" spans="1:10" s="186" customFormat="1" x14ac:dyDescent="0.25">
      <c r="A716" s="212" t="s">
        <v>18</v>
      </c>
      <c r="B716" s="30">
        <v>0.67</v>
      </c>
      <c r="C716" s="30">
        <v>0.56999999999999995</v>
      </c>
      <c r="D716" s="30">
        <v>0.59</v>
      </c>
      <c r="E716" s="30">
        <v>0.65</v>
      </c>
      <c r="F716" s="30">
        <v>0.71</v>
      </c>
      <c r="G716" s="30">
        <v>0.69</v>
      </c>
      <c r="H716" s="30">
        <v>0.75</v>
      </c>
      <c r="I716" s="30">
        <f>I723/I728</f>
        <v>0.68579270057162778</v>
      </c>
      <c r="J716" s="160">
        <f>J723/J728</f>
        <v>0.68579270057162767</v>
      </c>
    </row>
    <row r="717" spans="1:10" s="186" customFormat="1" x14ac:dyDescent="0.25">
      <c r="A717" s="212" t="s">
        <v>19</v>
      </c>
      <c r="B717" s="30">
        <v>0.01</v>
      </c>
      <c r="C717" s="30">
        <v>0.03</v>
      </c>
      <c r="D717" s="30">
        <v>0</v>
      </c>
      <c r="E717" s="30">
        <v>0.02</v>
      </c>
      <c r="F717" s="30">
        <v>0.02</v>
      </c>
      <c r="G717" s="30">
        <v>0.03</v>
      </c>
      <c r="H717" s="30">
        <v>0.04</v>
      </c>
      <c r="I717" s="30">
        <f>I724/I728</f>
        <v>2.5578046828610951E-2</v>
      </c>
      <c r="J717" s="160">
        <f>J724/J728</f>
        <v>2.5578046828610951E-2</v>
      </c>
    </row>
    <row r="718" spans="1:10" s="186" customFormat="1" x14ac:dyDescent="0.25">
      <c r="A718" s="212" t="s">
        <v>20</v>
      </c>
      <c r="B718" s="30">
        <v>0.26</v>
      </c>
      <c r="C718" s="30">
        <v>0.28000000000000003</v>
      </c>
      <c r="D718" s="30">
        <v>0.33</v>
      </c>
      <c r="E718" s="30">
        <v>0.25</v>
      </c>
      <c r="F718" s="30">
        <v>0.22</v>
      </c>
      <c r="G718" s="30">
        <v>0.17</v>
      </c>
      <c r="H718" s="30">
        <v>0.1</v>
      </c>
      <c r="I718" s="30">
        <f>I725/I728</f>
        <v>0.19846203976121529</v>
      </c>
      <c r="J718" s="160">
        <f>J725/J728</f>
        <v>0.19846203976121529</v>
      </c>
    </row>
    <row r="719" spans="1:10" s="186" customFormat="1" x14ac:dyDescent="0.25">
      <c r="A719" s="212" t="s">
        <v>21</v>
      </c>
      <c r="B719" s="30">
        <v>0.06</v>
      </c>
      <c r="C719" s="30">
        <v>0.1</v>
      </c>
      <c r="D719" s="30">
        <v>0.08</v>
      </c>
      <c r="E719" s="30">
        <v>0.08</v>
      </c>
      <c r="F719" s="30">
        <v>0.04</v>
      </c>
      <c r="G719" s="30">
        <v>0.11</v>
      </c>
      <c r="H719" s="30">
        <v>0.11</v>
      </c>
      <c r="I719" s="30">
        <f>I726/I728</f>
        <v>8.6954785112336327E-2</v>
      </c>
      <c r="J719" s="160">
        <f>J726/J728</f>
        <v>8.6954785112336341E-2</v>
      </c>
    </row>
    <row r="720" spans="1:10" s="186" customFormat="1" x14ac:dyDescent="0.25">
      <c r="A720" s="212" t="s">
        <v>22</v>
      </c>
      <c r="B720" s="30">
        <v>0</v>
      </c>
      <c r="C720" s="30">
        <v>0.02</v>
      </c>
      <c r="D720" s="30">
        <v>0</v>
      </c>
      <c r="E720" s="30">
        <v>0</v>
      </c>
      <c r="F720" s="30">
        <v>0.01</v>
      </c>
      <c r="G720" s="30">
        <v>0</v>
      </c>
      <c r="H720" s="30">
        <v>0</v>
      </c>
      <c r="I720" s="30">
        <f>I727/I728</f>
        <v>3.2124277262096331E-3</v>
      </c>
      <c r="J720" s="160">
        <f>J727/J728</f>
        <v>3.2124277262096331E-3</v>
      </c>
    </row>
    <row r="721" spans="1:10" s="186" customFormat="1" x14ac:dyDescent="0.25">
      <c r="A721" s="215" t="s">
        <v>23</v>
      </c>
      <c r="B721" s="66">
        <f t="shared" ref="B721:J721" si="328">B732/B715</f>
        <v>34325</v>
      </c>
      <c r="C721" s="66">
        <f t="shared" si="328"/>
        <v>33841.463414634149</v>
      </c>
      <c r="D721" s="66">
        <f t="shared" si="328"/>
        <v>33077.551020408166</v>
      </c>
      <c r="E721" s="66">
        <f t="shared" si="328"/>
        <v>36157.948717948726</v>
      </c>
      <c r="F721" s="66">
        <f t="shared" si="328"/>
        <v>35095.192307692305</v>
      </c>
      <c r="G721" s="66">
        <f t="shared" si="328"/>
        <v>38139.832869080783</v>
      </c>
      <c r="H721" s="66">
        <f t="shared" si="328"/>
        <v>38384.020618556708</v>
      </c>
      <c r="I721" s="66">
        <f t="shared" si="328"/>
        <v>36322.154963680397</v>
      </c>
      <c r="J721" s="67">
        <f t="shared" si="328"/>
        <v>36322.15496368039</v>
      </c>
    </row>
    <row r="722" spans="1:10" s="186" customFormat="1" x14ac:dyDescent="0.25">
      <c r="A722" s="215" t="s">
        <v>24</v>
      </c>
      <c r="B722" s="66">
        <f t="shared" ref="B722:I722" si="329">+B732/B709</f>
        <v>30940.845070422536</v>
      </c>
      <c r="C722" s="66">
        <f t="shared" si="329"/>
        <v>27566.225165562915</v>
      </c>
      <c r="D722" s="66">
        <f t="shared" si="329"/>
        <v>29830.674846625767</v>
      </c>
      <c r="E722" s="66">
        <f t="shared" si="329"/>
        <v>34394.14634146342</v>
      </c>
      <c r="F722" s="66">
        <f t="shared" si="329"/>
        <v>31374.498567335242</v>
      </c>
      <c r="G722" s="66">
        <f t="shared" si="329"/>
        <v>31621.70900692841</v>
      </c>
      <c r="H722" s="66">
        <f t="shared" si="329"/>
        <v>31687.234042553195</v>
      </c>
      <c r="I722" s="66">
        <f t="shared" si="329"/>
        <v>31366.544694197604</v>
      </c>
      <c r="J722" s="67">
        <f>J732/J709</f>
        <v>31366.544694197601</v>
      </c>
    </row>
    <row r="723" spans="1:10" s="186" customFormat="1" x14ac:dyDescent="0.25">
      <c r="A723" s="212" t="s">
        <v>25</v>
      </c>
      <c r="B723" s="92">
        <f t="shared" ref="B723:H723" si="330">B728*B716</f>
        <v>2426506.3086206899</v>
      </c>
      <c r="C723" s="92">
        <f t="shared" si="330"/>
        <v>1970437.0293103447</v>
      </c>
      <c r="D723" s="92">
        <f t="shared" si="330"/>
        <v>2373944.1413793103</v>
      </c>
      <c r="E723" s="92">
        <f t="shared" si="330"/>
        <v>3796796.8103448278</v>
      </c>
      <c r="F723" s="92">
        <f t="shared" si="330"/>
        <v>6380661.0517241377</v>
      </c>
      <c r="G723" s="31">
        <f t="shared" si="330"/>
        <v>7805473.6758620692</v>
      </c>
      <c r="H723" s="31">
        <f t="shared" si="330"/>
        <v>9191091.0775862075</v>
      </c>
      <c r="I723" s="31">
        <f t="shared" ref="I723:I728" si="331">SUM(B723:H723)</f>
        <v>33944910.094827592</v>
      </c>
      <c r="J723" s="32">
        <f t="shared" ref="J723:J732" si="332">I723/7</f>
        <v>4849272.8706896557</v>
      </c>
    </row>
    <row r="724" spans="1:10" s="186" customFormat="1" x14ac:dyDescent="0.25">
      <c r="A724" s="212" t="s">
        <v>26</v>
      </c>
      <c r="B724" s="92">
        <f t="shared" ref="B724:H724" si="333">B728*B717</f>
        <v>36216.512068965523</v>
      </c>
      <c r="C724" s="92">
        <f t="shared" si="333"/>
        <v>103707.21206896551</v>
      </c>
      <c r="D724" s="92">
        <f t="shared" si="333"/>
        <v>0</v>
      </c>
      <c r="E724" s="92">
        <f t="shared" si="333"/>
        <v>116824.51724137932</v>
      </c>
      <c r="F724" s="92">
        <f t="shared" si="333"/>
        <v>179736.93103448275</v>
      </c>
      <c r="G724" s="31">
        <f t="shared" si="333"/>
        <v>339368.42068965518</v>
      </c>
      <c r="H724" s="31">
        <f t="shared" si="333"/>
        <v>490191.52413793112</v>
      </c>
      <c r="I724" s="31">
        <f t="shared" si="331"/>
        <v>1266045.1172413796</v>
      </c>
      <c r="J724" s="32">
        <f t="shared" si="332"/>
        <v>180863.58817733993</v>
      </c>
    </row>
    <row r="725" spans="1:10" s="186" customFormat="1" x14ac:dyDescent="0.25">
      <c r="A725" s="212" t="s">
        <v>27</v>
      </c>
      <c r="B725" s="92">
        <f t="shared" ref="B725:H725" si="334">B728*B718</f>
        <v>941629.31379310356</v>
      </c>
      <c r="C725" s="92">
        <f t="shared" si="334"/>
        <v>967933.97931034502</v>
      </c>
      <c r="D725" s="92">
        <f t="shared" si="334"/>
        <v>1327799.2655172416</v>
      </c>
      <c r="E725" s="92">
        <f t="shared" si="334"/>
        <v>1460306.4655172415</v>
      </c>
      <c r="F725" s="92">
        <f t="shared" si="334"/>
        <v>1977106.2413793104</v>
      </c>
      <c r="G725" s="31">
        <f t="shared" si="334"/>
        <v>1923087.7172413797</v>
      </c>
      <c r="H725" s="31">
        <f t="shared" si="334"/>
        <v>1225478.8103448278</v>
      </c>
      <c r="I725" s="31">
        <f t="shared" si="331"/>
        <v>9823341.7931034509</v>
      </c>
      <c r="J725" s="32">
        <f t="shared" si="332"/>
        <v>1403334.5418719216</v>
      </c>
    </row>
    <row r="726" spans="1:10" s="186" customFormat="1" x14ac:dyDescent="0.25">
      <c r="A726" s="212" t="s">
        <v>28</v>
      </c>
      <c r="B726" s="92">
        <f t="shared" ref="B726:H726" si="335">B728*B719</f>
        <v>217299.0724137931</v>
      </c>
      <c r="C726" s="92">
        <f t="shared" si="335"/>
        <v>345690.70689655177</v>
      </c>
      <c r="D726" s="92">
        <f t="shared" si="335"/>
        <v>321890.73103448277</v>
      </c>
      <c r="E726" s="92">
        <f t="shared" si="335"/>
        <v>467298.06896551728</v>
      </c>
      <c r="F726" s="92">
        <f t="shared" si="335"/>
        <v>359473.86206896551</v>
      </c>
      <c r="G726" s="31">
        <f t="shared" si="335"/>
        <v>1244350.8758620692</v>
      </c>
      <c r="H726" s="31">
        <f t="shared" si="335"/>
        <v>1348026.6913793106</v>
      </c>
      <c r="I726" s="31">
        <f t="shared" si="331"/>
        <v>4304030.0086206906</v>
      </c>
      <c r="J726" s="32">
        <f t="shared" si="332"/>
        <v>614861.42980295583</v>
      </c>
    </row>
    <row r="727" spans="1:10" s="186" customFormat="1" x14ac:dyDescent="0.25">
      <c r="A727" s="212" t="s">
        <v>29</v>
      </c>
      <c r="B727" s="92">
        <f>B728*B720</f>
        <v>0</v>
      </c>
      <c r="C727" s="92">
        <f t="shared" ref="C727:H727" si="336">C728*C720</f>
        <v>69138.141379310357</v>
      </c>
      <c r="D727" s="92">
        <f t="shared" si="336"/>
        <v>0</v>
      </c>
      <c r="E727" s="92">
        <f t="shared" si="336"/>
        <v>0</v>
      </c>
      <c r="F727" s="92">
        <f t="shared" si="336"/>
        <v>89868.465517241377</v>
      </c>
      <c r="G727" s="31">
        <f t="shared" si="336"/>
        <v>0</v>
      </c>
      <c r="H727" s="31">
        <f t="shared" si="336"/>
        <v>0</v>
      </c>
      <c r="I727" s="31">
        <f t="shared" si="331"/>
        <v>159006.60689655173</v>
      </c>
      <c r="J727" s="32">
        <f t="shared" si="332"/>
        <v>22715.229556650247</v>
      </c>
    </row>
    <row r="728" spans="1:10" s="186" customFormat="1" x14ac:dyDescent="0.25">
      <c r="A728" s="216" t="s">
        <v>30</v>
      </c>
      <c r="B728" s="91">
        <f>(4393600/1.16)-B729</f>
        <v>3621651.2068965519</v>
      </c>
      <c r="C728" s="91">
        <f>(4162500/1.16)-C729</f>
        <v>3456907.0689655175</v>
      </c>
      <c r="D728" s="91">
        <f>(4862400/1.16)-D729</f>
        <v>4023634.1379310349</v>
      </c>
      <c r="E728" s="91">
        <f>(7050800/1.16)-E729</f>
        <v>5841225.862068966</v>
      </c>
      <c r="F728" s="91">
        <f>(10949700/1.16)-F729</f>
        <v>8986846.5517241377</v>
      </c>
      <c r="G728" s="197">
        <f>(13692200/1.16)-G729</f>
        <v>11312280.689655174</v>
      </c>
      <c r="H728" s="197">
        <f>(14893000/1.16)-H729</f>
        <v>12254788.103448277</v>
      </c>
      <c r="I728" s="197">
        <f t="shared" si="331"/>
        <v>49497333.620689668</v>
      </c>
      <c r="J728" s="217">
        <f t="shared" si="332"/>
        <v>7071047.6600985238</v>
      </c>
    </row>
    <row r="729" spans="1:10" s="186" customFormat="1" x14ac:dyDescent="0.25">
      <c r="A729" s="212" t="s">
        <v>31</v>
      </c>
      <c r="B729" s="92">
        <f t="shared" ref="B729:I729" si="337">2155*B710</f>
        <v>165935</v>
      </c>
      <c r="C729" s="92">
        <f t="shared" si="337"/>
        <v>131455</v>
      </c>
      <c r="D729" s="92">
        <f t="shared" si="337"/>
        <v>168090</v>
      </c>
      <c r="E729" s="92">
        <f t="shared" si="337"/>
        <v>237050</v>
      </c>
      <c r="F729" s="92">
        <f t="shared" si="337"/>
        <v>452550</v>
      </c>
      <c r="G729" s="31">
        <f t="shared" si="337"/>
        <v>491340</v>
      </c>
      <c r="H729" s="31">
        <f t="shared" si="337"/>
        <v>584005</v>
      </c>
      <c r="I729" s="31">
        <f t="shared" si="337"/>
        <v>2230425</v>
      </c>
      <c r="J729" s="32">
        <f t="shared" si="332"/>
        <v>318632.14285714284</v>
      </c>
    </row>
    <row r="730" spans="1:10" s="186" customFormat="1" x14ac:dyDescent="0.25">
      <c r="A730" s="218" t="s">
        <v>32</v>
      </c>
      <c r="B730" s="199">
        <f>B729+B728</f>
        <v>3787586.2068965519</v>
      </c>
      <c r="C730" s="199">
        <f>C729+C728</f>
        <v>3588362.0689655175</v>
      </c>
      <c r="D730" s="199">
        <f>D729+D728</f>
        <v>4191724.1379310349</v>
      </c>
      <c r="E730" s="199">
        <f>E729+E728</f>
        <v>6078275.862068966</v>
      </c>
      <c r="F730" s="199">
        <f>F728+F729</f>
        <v>9439396.5517241377</v>
      </c>
      <c r="G730" s="199">
        <f>G729+G728</f>
        <v>11803620.689655174</v>
      </c>
      <c r="H730" s="199">
        <f>H729+H728</f>
        <v>12838793.103448277</v>
      </c>
      <c r="I730" s="199">
        <f>I728+I729</f>
        <v>51727758.620689668</v>
      </c>
      <c r="J730" s="219">
        <f t="shared" si="332"/>
        <v>7389679.8029556666</v>
      </c>
    </row>
    <row r="731" spans="1:10" s="186" customFormat="1" x14ac:dyDescent="0.25">
      <c r="A731" s="212" t="s">
        <v>33</v>
      </c>
      <c r="B731" s="94">
        <f>B730*16%</f>
        <v>606013.79310344835</v>
      </c>
      <c r="C731" s="94">
        <f t="shared" ref="C731:H731" si="338">C730*16%</f>
        <v>574137.93103448278</v>
      </c>
      <c r="D731" s="94">
        <f t="shared" si="338"/>
        <v>670675.86206896557</v>
      </c>
      <c r="E731" s="94">
        <f t="shared" si="338"/>
        <v>972524.13793103455</v>
      </c>
      <c r="F731" s="94">
        <f t="shared" si="338"/>
        <v>1510303.448275862</v>
      </c>
      <c r="G731" s="94">
        <f t="shared" si="338"/>
        <v>1888579.3103448278</v>
      </c>
      <c r="H731" s="94">
        <f t="shared" si="338"/>
        <v>2054206.8965517245</v>
      </c>
      <c r="I731" s="94">
        <f>I730*16%</f>
        <v>8276441.3793103471</v>
      </c>
      <c r="J731" s="32">
        <f t="shared" si="332"/>
        <v>1182348.7684729067</v>
      </c>
    </row>
    <row r="732" spans="1:10" s="186" customFormat="1" x14ac:dyDescent="0.25">
      <c r="A732" s="220" t="s">
        <v>34</v>
      </c>
      <c r="B732" s="202">
        <f>B730+B731</f>
        <v>4393600</v>
      </c>
      <c r="C732" s="202">
        <f t="shared" ref="C732:H732" si="339">C730+C731</f>
        <v>4162500</v>
      </c>
      <c r="D732" s="202">
        <f t="shared" si="339"/>
        <v>4862400</v>
      </c>
      <c r="E732" s="202">
        <f t="shared" si="339"/>
        <v>7050800.0000000009</v>
      </c>
      <c r="F732" s="202">
        <f t="shared" si="339"/>
        <v>10949700</v>
      </c>
      <c r="G732" s="202">
        <f t="shared" si="339"/>
        <v>13692200.000000002</v>
      </c>
      <c r="H732" s="202">
        <f t="shared" si="339"/>
        <v>14893000.000000002</v>
      </c>
      <c r="I732" s="202">
        <f>I730+I731</f>
        <v>60004200.000000015</v>
      </c>
      <c r="J732" s="221">
        <f t="shared" si="332"/>
        <v>8572028.5714285728</v>
      </c>
    </row>
    <row r="733" spans="1:10" s="186" customFormat="1" x14ac:dyDescent="0.25">
      <c r="A733" s="204"/>
      <c r="B733" s="112"/>
      <c r="C733" s="112"/>
      <c r="D733" s="112"/>
      <c r="E733" s="112"/>
      <c r="F733" s="112"/>
      <c r="G733" s="112"/>
      <c r="H733" s="112"/>
      <c r="I733" s="112"/>
      <c r="J733" s="205"/>
    </row>
    <row r="734" spans="1:10" s="186" customFormat="1" ht="15.75" thickBot="1" x14ac:dyDescent="0.3">
      <c r="A734" s="204"/>
      <c r="B734" s="112"/>
      <c r="C734" s="112"/>
      <c r="D734" s="112"/>
      <c r="E734" s="112"/>
      <c r="F734" s="112"/>
      <c r="G734" s="112"/>
      <c r="H734" s="112"/>
      <c r="I734" s="112"/>
      <c r="J734" s="205"/>
    </row>
    <row r="735" spans="1:10" s="186" customFormat="1" ht="26.25" x14ac:dyDescent="0.25">
      <c r="A735"/>
      <c r="B735" s="1002" t="s">
        <v>216</v>
      </c>
      <c r="C735" s="1002"/>
      <c r="D735" s="1002"/>
      <c r="E735" s="1002"/>
      <c r="F735" s="1002"/>
      <c r="G735" s="1002"/>
      <c r="H735" s="1002"/>
      <c r="I735"/>
      <c r="J735"/>
    </row>
    <row r="736" spans="1:10" s="186" customFormat="1" ht="15.75" x14ac:dyDescent="0.25">
      <c r="A736" s="207" t="s">
        <v>2</v>
      </c>
      <c r="B736" s="121" t="s">
        <v>217</v>
      </c>
      <c r="C736" s="121" t="s">
        <v>218</v>
      </c>
      <c r="D736" s="121" t="s">
        <v>219</v>
      </c>
      <c r="E736" s="121" t="s">
        <v>220</v>
      </c>
      <c r="F736" s="121" t="s">
        <v>221</v>
      </c>
      <c r="G736" s="121" t="s">
        <v>222</v>
      </c>
      <c r="H736" s="121" t="s">
        <v>223</v>
      </c>
      <c r="I736" s="121" t="s">
        <v>96</v>
      </c>
      <c r="J736" s="209" t="s">
        <v>97</v>
      </c>
    </row>
    <row r="737" spans="1:12" s="186" customFormat="1" x14ac:dyDescent="0.25">
      <c r="A737" s="210" t="s">
        <v>11</v>
      </c>
      <c r="B737" s="189">
        <v>137</v>
      </c>
      <c r="C737" s="189">
        <v>128</v>
      </c>
      <c r="D737" s="189">
        <v>146</v>
      </c>
      <c r="E737" s="190">
        <v>221</v>
      </c>
      <c r="F737" s="190">
        <v>360</v>
      </c>
      <c r="G737" s="190">
        <v>472</v>
      </c>
      <c r="H737" s="190">
        <v>421</v>
      </c>
      <c r="I737" s="190">
        <f>SUM(B737:H737)</f>
        <v>1885</v>
      </c>
      <c r="J737" s="211">
        <f>+I737/7</f>
        <v>269.28571428571428</v>
      </c>
      <c r="L737" s="186">
        <v>227</v>
      </c>
    </row>
    <row r="738" spans="1:12" s="186" customFormat="1" x14ac:dyDescent="0.25">
      <c r="A738" s="212" t="s">
        <v>12</v>
      </c>
      <c r="B738" s="11">
        <v>67</v>
      </c>
      <c r="C738" s="11">
        <v>65</v>
      </c>
      <c r="D738" s="11">
        <v>88</v>
      </c>
      <c r="E738" s="11">
        <v>95</v>
      </c>
      <c r="F738" s="11">
        <v>204</v>
      </c>
      <c r="G738" s="11">
        <v>244</v>
      </c>
      <c r="H738" s="11">
        <v>251</v>
      </c>
      <c r="I738" s="11">
        <f>SUM('PEPE SIERRA '!$B738:$H738)</f>
        <v>1014</v>
      </c>
      <c r="J738" s="60">
        <f t="shared" ref="J738:J743" si="340">I738/7</f>
        <v>144.85714285714286</v>
      </c>
      <c r="L738" s="186">
        <v>154</v>
      </c>
    </row>
    <row r="739" spans="1:12" s="186" customFormat="1" x14ac:dyDescent="0.25">
      <c r="A739" s="212" t="s">
        <v>13</v>
      </c>
      <c r="B739" s="11">
        <v>5</v>
      </c>
      <c r="C739" s="11">
        <v>3</v>
      </c>
      <c r="D739" s="11">
        <v>5</v>
      </c>
      <c r="E739" s="11">
        <v>4</v>
      </c>
      <c r="F739" s="11">
        <v>7</v>
      </c>
      <c r="G739" s="11">
        <v>14</v>
      </c>
      <c r="H739" s="11">
        <v>5</v>
      </c>
      <c r="I739" s="11">
        <f>SUM('PEPE SIERRA '!$B739:$H739)</f>
        <v>43</v>
      </c>
      <c r="J739" s="60">
        <f t="shared" si="340"/>
        <v>6.1428571428571432</v>
      </c>
      <c r="L739" s="186">
        <v>40</v>
      </c>
    </row>
    <row r="740" spans="1:12" s="186" customFormat="1" x14ac:dyDescent="0.25">
      <c r="A740" s="212" t="s">
        <v>14</v>
      </c>
      <c r="B740" s="11">
        <v>34</v>
      </c>
      <c r="C740" s="11">
        <v>38</v>
      </c>
      <c r="D740" s="11">
        <v>32</v>
      </c>
      <c r="E740" s="11">
        <v>44</v>
      </c>
      <c r="F740" s="11">
        <v>61</v>
      </c>
      <c r="G740" s="11">
        <v>84</v>
      </c>
      <c r="H740" s="86">
        <v>58</v>
      </c>
      <c r="I740" s="11">
        <f>SUM('PEPE SIERRA '!$B740:$H740)</f>
        <v>351</v>
      </c>
      <c r="J740" s="60">
        <f t="shared" si="340"/>
        <v>50.142857142857146</v>
      </c>
      <c r="L740" s="186">
        <f>SUM(L737:L739)</f>
        <v>421</v>
      </c>
    </row>
    <row r="741" spans="1:12" s="186" customFormat="1" x14ac:dyDescent="0.25">
      <c r="A741" s="212" t="s">
        <v>15</v>
      </c>
      <c r="B741" s="11">
        <v>2</v>
      </c>
      <c r="C741" s="11">
        <v>9</v>
      </c>
      <c r="D741" s="11">
        <v>10</v>
      </c>
      <c r="E741" s="11">
        <v>15</v>
      </c>
      <c r="F741" s="11">
        <v>28</v>
      </c>
      <c r="G741" s="11">
        <v>48</v>
      </c>
      <c r="H741" s="11">
        <v>44</v>
      </c>
      <c r="I741" s="11">
        <f>SUM('PEPE SIERRA '!$B741:$H741)</f>
        <v>156</v>
      </c>
      <c r="J741" s="60">
        <f t="shared" si="340"/>
        <v>22.285714285714285</v>
      </c>
    </row>
    <row r="742" spans="1:12" s="186" customFormat="1" x14ac:dyDescent="0.25">
      <c r="A742" s="212" t="s">
        <v>16</v>
      </c>
      <c r="B742" s="11">
        <v>0</v>
      </c>
      <c r="C742" s="11">
        <v>0</v>
      </c>
      <c r="D742" s="11">
        <v>0</v>
      </c>
      <c r="E742" s="11">
        <v>0</v>
      </c>
      <c r="F742" s="11">
        <v>0</v>
      </c>
      <c r="G742" s="11">
        <v>0</v>
      </c>
      <c r="H742" s="11">
        <v>0</v>
      </c>
      <c r="I742" s="11">
        <f>SUM('PEPE SIERRA '!$B742:$H742)</f>
        <v>0</v>
      </c>
      <c r="J742" s="60">
        <f t="shared" si="340"/>
        <v>0</v>
      </c>
    </row>
    <row r="743" spans="1:12" s="186" customFormat="1" x14ac:dyDescent="0.25">
      <c r="A743" s="213" t="s">
        <v>17</v>
      </c>
      <c r="B743" s="192">
        <f>SUM(B738:B742)</f>
        <v>108</v>
      </c>
      <c r="C743" s="192">
        <f t="shared" ref="C743:I743" si="341">SUM(C738:C742)</f>
        <v>115</v>
      </c>
      <c r="D743" s="192">
        <f t="shared" si="341"/>
        <v>135</v>
      </c>
      <c r="E743" s="192">
        <f t="shared" si="341"/>
        <v>158</v>
      </c>
      <c r="F743" s="192">
        <f t="shared" si="341"/>
        <v>300</v>
      </c>
      <c r="G743" s="192">
        <f t="shared" si="341"/>
        <v>390</v>
      </c>
      <c r="H743" s="192">
        <f t="shared" si="341"/>
        <v>358</v>
      </c>
      <c r="I743" s="192">
        <f t="shared" si="341"/>
        <v>1564</v>
      </c>
      <c r="J743" s="214">
        <f t="shared" si="340"/>
        <v>223.42857142857142</v>
      </c>
    </row>
    <row r="744" spans="1:12" s="186" customFormat="1" x14ac:dyDescent="0.25">
      <c r="A744" s="212" t="s">
        <v>18</v>
      </c>
      <c r="B744" s="30">
        <v>0.68</v>
      </c>
      <c r="C744" s="30">
        <v>0.65</v>
      </c>
      <c r="D744" s="30">
        <v>0.73</v>
      </c>
      <c r="E744" s="30">
        <v>0.68</v>
      </c>
      <c r="F744" s="30">
        <v>0.75</v>
      </c>
      <c r="G744" s="30">
        <v>0.68</v>
      </c>
      <c r="H744" s="30">
        <v>0.72</v>
      </c>
      <c r="I744" s="30">
        <f>I751/I756</f>
        <v>0.70505379144914371</v>
      </c>
      <c r="J744" s="160">
        <f>J751/J756</f>
        <v>0.70505379144914371</v>
      </c>
    </row>
    <row r="745" spans="1:12" s="186" customFormat="1" x14ac:dyDescent="0.25">
      <c r="A745" s="212" t="s">
        <v>19</v>
      </c>
      <c r="B745" s="30">
        <v>0.05</v>
      </c>
      <c r="C745" s="30">
        <v>0.02</v>
      </c>
      <c r="D745" s="30">
        <v>0.05</v>
      </c>
      <c r="E745" s="30">
        <v>0.02</v>
      </c>
      <c r="F745" s="30">
        <v>0.02</v>
      </c>
      <c r="G745" s="30">
        <v>0.03</v>
      </c>
      <c r="H745" s="30">
        <v>0.02</v>
      </c>
      <c r="I745" s="30">
        <f>I752/I756</f>
        <v>2.6921229500862176E-2</v>
      </c>
      <c r="J745" s="160">
        <f>J752/J756</f>
        <v>2.6921229500862173E-2</v>
      </c>
    </row>
    <row r="746" spans="1:12" s="186" customFormat="1" x14ac:dyDescent="0.25">
      <c r="A746" s="212" t="s">
        <v>20</v>
      </c>
      <c r="B746" s="30">
        <v>0.25</v>
      </c>
      <c r="C746" s="30">
        <v>0.27</v>
      </c>
      <c r="D746" s="30">
        <v>0.16</v>
      </c>
      <c r="E746" s="30">
        <v>0.19</v>
      </c>
      <c r="F746" s="30">
        <v>0.16</v>
      </c>
      <c r="G746" s="30">
        <v>0.18</v>
      </c>
      <c r="H746" s="30">
        <v>0.14000000000000001</v>
      </c>
      <c r="I746" s="30">
        <f>I753/I756</f>
        <v>0.17708084026655935</v>
      </c>
      <c r="J746" s="160">
        <f>J753/J756</f>
        <v>0.17708084026655935</v>
      </c>
    </row>
    <row r="747" spans="1:12" s="186" customFormat="1" x14ac:dyDescent="0.25">
      <c r="A747" s="212" t="s">
        <v>21</v>
      </c>
      <c r="B747" s="30">
        <v>0.02</v>
      </c>
      <c r="C747" s="30">
        <v>0.06</v>
      </c>
      <c r="D747" s="30">
        <v>0.06</v>
      </c>
      <c r="E747" s="30">
        <v>0.11</v>
      </c>
      <c r="F747" s="30">
        <v>7.0000000000000007E-2</v>
      </c>
      <c r="G747" s="30">
        <v>0.11</v>
      </c>
      <c r="H747" s="30">
        <v>0.12</v>
      </c>
      <c r="I747" s="30">
        <f>I754/I756</f>
        <v>9.0944138783434783E-2</v>
      </c>
      <c r="J747" s="160">
        <f>J754/J756</f>
        <v>9.0944138783434783E-2</v>
      </c>
    </row>
    <row r="748" spans="1:12" s="186" customFormat="1" x14ac:dyDescent="0.25">
      <c r="A748" s="212" t="s">
        <v>22</v>
      </c>
      <c r="B748" s="30">
        <v>0</v>
      </c>
      <c r="C748" s="30">
        <v>0</v>
      </c>
      <c r="D748" s="30">
        <v>0</v>
      </c>
      <c r="E748" s="30">
        <v>0</v>
      </c>
      <c r="F748" s="30">
        <v>0</v>
      </c>
      <c r="G748" s="30">
        <v>0</v>
      </c>
      <c r="H748" s="30">
        <v>0</v>
      </c>
      <c r="I748" s="30">
        <f>I755/I756</f>
        <v>0</v>
      </c>
      <c r="J748" s="160">
        <f>J755/J756</f>
        <v>0</v>
      </c>
    </row>
    <row r="749" spans="1:12" s="186" customFormat="1" x14ac:dyDescent="0.25">
      <c r="A749" s="215" t="s">
        <v>23</v>
      </c>
      <c r="B749" s="66">
        <f t="shared" ref="B749:J749" si="342">B760/B743</f>
        <v>37895.370370370372</v>
      </c>
      <c r="C749" s="66">
        <f t="shared" si="342"/>
        <v>31982.608695652179</v>
      </c>
      <c r="D749" s="66">
        <f t="shared" si="342"/>
        <v>33135.555555555555</v>
      </c>
      <c r="E749" s="66">
        <f t="shared" si="342"/>
        <v>40489.240506329123</v>
      </c>
      <c r="F749" s="66">
        <f t="shared" si="342"/>
        <v>39643.666666666664</v>
      </c>
      <c r="G749" s="66">
        <f t="shared" si="342"/>
        <v>38395.641025641024</v>
      </c>
      <c r="H749" s="66">
        <f t="shared" si="342"/>
        <v>36955.027932960897</v>
      </c>
      <c r="I749" s="66">
        <f t="shared" si="342"/>
        <v>37556.64961636829</v>
      </c>
      <c r="J749" s="67">
        <f t="shared" si="342"/>
        <v>37556.64961636829</v>
      </c>
    </row>
    <row r="750" spans="1:12" s="186" customFormat="1" x14ac:dyDescent="0.25">
      <c r="A750" s="215" t="s">
        <v>24</v>
      </c>
      <c r="B750" s="66">
        <f t="shared" ref="B750:I750" si="343">+B760/B737</f>
        <v>29873.722627737228</v>
      </c>
      <c r="C750" s="66">
        <f t="shared" si="343"/>
        <v>28734.375000000004</v>
      </c>
      <c r="D750" s="66">
        <f t="shared" si="343"/>
        <v>30639.04109589041</v>
      </c>
      <c r="E750" s="66">
        <f t="shared" si="343"/>
        <v>28947.058823529416</v>
      </c>
      <c r="F750" s="66">
        <f t="shared" si="343"/>
        <v>33036.388888888891</v>
      </c>
      <c r="G750" s="66">
        <f t="shared" si="343"/>
        <v>31725.211864406781</v>
      </c>
      <c r="H750" s="66">
        <f t="shared" si="343"/>
        <v>31424.940617577202</v>
      </c>
      <c r="I750" s="66">
        <f t="shared" si="343"/>
        <v>31161.06100795756</v>
      </c>
      <c r="J750" s="67">
        <f>J760/J737</f>
        <v>31161.06100795756</v>
      </c>
    </row>
    <row r="751" spans="1:12" s="186" customFormat="1" x14ac:dyDescent="0.25">
      <c r="A751" s="212" t="s">
        <v>25</v>
      </c>
      <c r="B751" s="92">
        <f t="shared" ref="B751:H751" si="344">B756*B744</f>
        <v>2300987.1655172417</v>
      </c>
      <c r="C751" s="92">
        <f t="shared" si="344"/>
        <v>1969899.5258620693</v>
      </c>
      <c r="D751" s="92">
        <f t="shared" si="344"/>
        <v>2676656.7655172413</v>
      </c>
      <c r="E751" s="92">
        <f t="shared" si="344"/>
        <v>3610928.3793103457</v>
      </c>
      <c r="F751" s="92">
        <f t="shared" si="344"/>
        <v>7359789.3103448283</v>
      </c>
      <c r="G751" s="31">
        <f t="shared" si="344"/>
        <v>8420480.3310344834</v>
      </c>
      <c r="H751" s="31">
        <f t="shared" si="344"/>
        <v>7822210.4689655174</v>
      </c>
      <c r="I751" s="31">
        <f t="shared" ref="I751:I756" si="345">SUM(B751:H751)</f>
        <v>34160951.946551725</v>
      </c>
      <c r="J751" s="32">
        <f t="shared" ref="J751:J760" si="346">I751/7</f>
        <v>4880135.9923645323</v>
      </c>
    </row>
    <row r="752" spans="1:12" s="186" customFormat="1" x14ac:dyDescent="0.25">
      <c r="A752" s="212" t="s">
        <v>26</v>
      </c>
      <c r="B752" s="92">
        <f t="shared" ref="B752:H752" si="347">B756*B745</f>
        <v>169190.23275862072</v>
      </c>
      <c r="C752" s="92">
        <f t="shared" si="347"/>
        <v>60612.293103448283</v>
      </c>
      <c r="D752" s="92">
        <f t="shared" si="347"/>
        <v>183332.6551724138</v>
      </c>
      <c r="E752" s="92">
        <f t="shared" si="347"/>
        <v>106203.77586206899</v>
      </c>
      <c r="F752" s="92">
        <f t="shared" si="347"/>
        <v>196261.04827586209</v>
      </c>
      <c r="G752" s="31">
        <f t="shared" si="347"/>
        <v>371491.77931034483</v>
      </c>
      <c r="H752" s="31">
        <f t="shared" si="347"/>
        <v>217283.62413793107</v>
      </c>
      <c r="I752" s="31">
        <f t="shared" si="345"/>
        <v>1304375.4086206898</v>
      </c>
      <c r="J752" s="32">
        <f t="shared" si="346"/>
        <v>186339.34408866995</v>
      </c>
    </row>
    <row r="753" spans="1:12" s="186" customFormat="1" x14ac:dyDescent="0.25">
      <c r="A753" s="212" t="s">
        <v>27</v>
      </c>
      <c r="B753" s="92">
        <f t="shared" ref="B753:H753" si="348">B756*B746</f>
        <v>845951.16379310354</v>
      </c>
      <c r="C753" s="92">
        <f t="shared" si="348"/>
        <v>818265.95689655188</v>
      </c>
      <c r="D753" s="92">
        <f t="shared" si="348"/>
        <v>586664.49655172415</v>
      </c>
      <c r="E753" s="92">
        <f t="shared" si="348"/>
        <v>1008935.8706896553</v>
      </c>
      <c r="F753" s="92">
        <f t="shared" si="348"/>
        <v>1570088.3862068967</v>
      </c>
      <c r="G753" s="31">
        <f t="shared" si="348"/>
        <v>2228950.6758620692</v>
      </c>
      <c r="H753" s="31">
        <f t="shared" si="348"/>
        <v>1520985.3689655175</v>
      </c>
      <c r="I753" s="31">
        <f t="shared" si="345"/>
        <v>8579841.9189655185</v>
      </c>
      <c r="J753" s="32">
        <f t="shared" si="346"/>
        <v>1225691.7027093598</v>
      </c>
    </row>
    <row r="754" spans="1:12" s="186" customFormat="1" x14ac:dyDescent="0.25">
      <c r="A754" s="212" t="s">
        <v>28</v>
      </c>
      <c r="B754" s="92">
        <f t="shared" ref="B754:H754" si="349">B756*B747</f>
        <v>67676.093103448278</v>
      </c>
      <c r="C754" s="92">
        <f t="shared" si="349"/>
        <v>181836.87931034484</v>
      </c>
      <c r="D754" s="92">
        <f t="shared" si="349"/>
        <v>219999.18620689656</v>
      </c>
      <c r="E754" s="92">
        <f t="shared" si="349"/>
        <v>584120.76724137936</v>
      </c>
      <c r="F754" s="92">
        <f t="shared" si="349"/>
        <v>686913.66896551731</v>
      </c>
      <c r="G754" s="31">
        <f t="shared" si="349"/>
        <v>1362136.5241379312</v>
      </c>
      <c r="H754" s="31">
        <f t="shared" si="349"/>
        <v>1303701.7448275862</v>
      </c>
      <c r="I754" s="31">
        <f t="shared" si="345"/>
        <v>4406384.863793104</v>
      </c>
      <c r="J754" s="32">
        <f t="shared" si="346"/>
        <v>629483.55197044346</v>
      </c>
    </row>
    <row r="755" spans="1:12" s="186" customFormat="1" x14ac:dyDescent="0.25">
      <c r="A755" s="212" t="s">
        <v>29</v>
      </c>
      <c r="B755" s="92">
        <f>B756*B748</f>
        <v>0</v>
      </c>
      <c r="C755" s="92">
        <f t="shared" ref="C755:H755" si="350">C756*C748</f>
        <v>0</v>
      </c>
      <c r="D755" s="92">
        <f t="shared" si="350"/>
        <v>0</v>
      </c>
      <c r="E755" s="92">
        <f t="shared" si="350"/>
        <v>0</v>
      </c>
      <c r="F755" s="92">
        <f t="shared" si="350"/>
        <v>0</v>
      </c>
      <c r="G755" s="31">
        <f t="shared" si="350"/>
        <v>0</v>
      </c>
      <c r="H755" s="31">
        <f t="shared" si="350"/>
        <v>0</v>
      </c>
      <c r="I755" s="31">
        <f t="shared" si="345"/>
        <v>0</v>
      </c>
      <c r="J755" s="32">
        <f t="shared" si="346"/>
        <v>0</v>
      </c>
    </row>
    <row r="756" spans="1:12" s="186" customFormat="1" x14ac:dyDescent="0.25">
      <c r="A756" s="216" t="s">
        <v>30</v>
      </c>
      <c r="B756" s="91">
        <f>(4092700/1.16)-B757</f>
        <v>3383804.6551724141</v>
      </c>
      <c r="C756" s="91">
        <f>(3678000/1.16)-C757</f>
        <v>3030614.6551724141</v>
      </c>
      <c r="D756" s="91">
        <f>(4473300/1.16)-D757</f>
        <v>3666653.1034482759</v>
      </c>
      <c r="E756" s="91">
        <f>(6397300/1.16)-E757</f>
        <v>5310188.793103449</v>
      </c>
      <c r="F756" s="91">
        <f>(11893100/1.16)-F757</f>
        <v>9813052.4137931038</v>
      </c>
      <c r="G756" s="197">
        <f>(14974300/1.16)-G757</f>
        <v>12383059.310344828</v>
      </c>
      <c r="H756" s="197">
        <f>(13229900/1.16)-H757</f>
        <v>10864181.206896553</v>
      </c>
      <c r="I756" s="197">
        <f t="shared" si="345"/>
        <v>48451554.137931034</v>
      </c>
      <c r="J756" s="217">
        <f t="shared" si="346"/>
        <v>6921650.591133005</v>
      </c>
    </row>
    <row r="757" spans="1:12" s="186" customFormat="1" x14ac:dyDescent="0.25">
      <c r="A757" s="212" t="s">
        <v>31</v>
      </c>
      <c r="B757" s="92">
        <f t="shared" ref="B757:I757" si="351">2155*B738</f>
        <v>144385</v>
      </c>
      <c r="C757" s="92">
        <f t="shared" si="351"/>
        <v>140075</v>
      </c>
      <c r="D757" s="92">
        <f t="shared" si="351"/>
        <v>189640</v>
      </c>
      <c r="E757" s="92">
        <f t="shared" si="351"/>
        <v>204725</v>
      </c>
      <c r="F757" s="92">
        <f t="shared" si="351"/>
        <v>439620</v>
      </c>
      <c r="G757" s="31">
        <f t="shared" si="351"/>
        <v>525820</v>
      </c>
      <c r="H757" s="31">
        <f t="shared" si="351"/>
        <v>540905</v>
      </c>
      <c r="I757" s="31">
        <f t="shared" si="351"/>
        <v>2185170</v>
      </c>
      <c r="J757" s="32">
        <f t="shared" si="346"/>
        <v>312167.14285714284</v>
      </c>
    </row>
    <row r="758" spans="1:12" s="186" customFormat="1" x14ac:dyDescent="0.25">
      <c r="A758" s="218" t="s">
        <v>32</v>
      </c>
      <c r="B758" s="199">
        <f>B757+B756</f>
        <v>3528189.6551724141</v>
      </c>
      <c r="C758" s="199">
        <f>C757+C756</f>
        <v>3170689.6551724141</v>
      </c>
      <c r="D758" s="199">
        <f>D757+D756</f>
        <v>3856293.1034482759</v>
      </c>
      <c r="E758" s="199">
        <f>E757+E756</f>
        <v>5514913.793103449</v>
      </c>
      <c r="F758" s="199">
        <f>F756+F757</f>
        <v>10252672.413793104</v>
      </c>
      <c r="G758" s="199">
        <f>G757+G756</f>
        <v>12908879.310344828</v>
      </c>
      <c r="H758" s="199">
        <f>H757+H756</f>
        <v>11405086.206896553</v>
      </c>
      <c r="I758" s="199">
        <f>I756+I757</f>
        <v>50636724.137931034</v>
      </c>
      <c r="J758" s="219">
        <f t="shared" si="346"/>
        <v>7233817.7339901477</v>
      </c>
    </row>
    <row r="759" spans="1:12" s="186" customFormat="1" x14ac:dyDescent="0.25">
      <c r="A759" s="212" t="s">
        <v>33</v>
      </c>
      <c r="B759" s="94">
        <f>B758*16%</f>
        <v>564510.34482758632</v>
      </c>
      <c r="C759" s="94">
        <f t="shared" ref="C759:H759" si="352">C758*16%</f>
        <v>507310.34482758626</v>
      </c>
      <c r="D759" s="94">
        <f t="shared" si="352"/>
        <v>617006.89655172417</v>
      </c>
      <c r="E759" s="94">
        <f t="shared" si="352"/>
        <v>882386.20689655188</v>
      </c>
      <c r="F759" s="94">
        <f t="shared" si="352"/>
        <v>1640427.5862068967</v>
      </c>
      <c r="G759" s="94">
        <f t="shared" si="352"/>
        <v>2065420.6896551726</v>
      </c>
      <c r="H759" s="94">
        <f t="shared" si="352"/>
        <v>1824813.7931034486</v>
      </c>
      <c r="I759" s="94">
        <f>I758*16%</f>
        <v>8101875.862068966</v>
      </c>
      <c r="J759" s="32">
        <f t="shared" si="346"/>
        <v>1157410.8374384237</v>
      </c>
    </row>
    <row r="760" spans="1:12" s="186" customFormat="1" x14ac:dyDescent="0.25">
      <c r="A760" s="220" t="s">
        <v>34</v>
      </c>
      <c r="B760" s="202">
        <f>B758+B759</f>
        <v>4092700.0000000005</v>
      </c>
      <c r="C760" s="202">
        <f t="shared" ref="C760:H760" si="353">C758+C759</f>
        <v>3678000.0000000005</v>
      </c>
      <c r="D760" s="202">
        <f t="shared" si="353"/>
        <v>4473300</v>
      </c>
      <c r="E760" s="202">
        <f t="shared" si="353"/>
        <v>6397300.0000000009</v>
      </c>
      <c r="F760" s="202">
        <f t="shared" si="353"/>
        <v>11893100</v>
      </c>
      <c r="G760" s="202">
        <f t="shared" si="353"/>
        <v>14974300</v>
      </c>
      <c r="H760" s="202">
        <f t="shared" si="353"/>
        <v>13229900.000000002</v>
      </c>
      <c r="I760" s="202">
        <f>I758+I759</f>
        <v>58738600</v>
      </c>
      <c r="J760" s="221">
        <f t="shared" si="346"/>
        <v>8391228.5714285709</v>
      </c>
    </row>
    <row r="761" spans="1:12" s="186" customFormat="1" x14ac:dyDescent="0.25">
      <c r="A761" s="204"/>
      <c r="B761" s="112"/>
      <c r="C761" s="112"/>
      <c r="D761" s="112"/>
      <c r="E761" s="112"/>
      <c r="F761" s="112"/>
      <c r="G761" s="112"/>
      <c r="H761" s="112"/>
      <c r="I761" s="112"/>
      <c r="J761" s="205"/>
    </row>
    <row r="762" spans="1:12" s="186" customFormat="1" ht="15.75" thickBot="1" x14ac:dyDescent="0.3">
      <c r="A762" s="204"/>
      <c r="B762" s="112"/>
      <c r="C762" s="112"/>
      <c r="D762" s="112"/>
      <c r="E762" s="112"/>
      <c r="F762" s="112"/>
      <c r="G762" s="112"/>
      <c r="H762" s="112"/>
      <c r="I762" s="112"/>
      <c r="J762" s="205"/>
    </row>
    <row r="763" spans="1:12" s="186" customFormat="1" ht="26.25" x14ac:dyDescent="0.25">
      <c r="A763"/>
      <c r="B763" s="1002" t="s">
        <v>224</v>
      </c>
      <c r="C763" s="1002"/>
      <c r="D763" s="1002"/>
      <c r="E763" s="1002"/>
      <c r="F763" s="1002"/>
      <c r="G763" s="1002"/>
      <c r="H763" s="1002"/>
      <c r="I763"/>
      <c r="J763"/>
    </row>
    <row r="764" spans="1:12" s="186" customFormat="1" ht="15.75" x14ac:dyDescent="0.25">
      <c r="A764" s="207" t="s">
        <v>2</v>
      </c>
      <c r="B764" s="121" t="s">
        <v>225</v>
      </c>
      <c r="C764" s="121" t="s">
        <v>226</v>
      </c>
      <c r="D764" s="121" t="s">
        <v>227</v>
      </c>
      <c r="E764" s="121" t="s">
        <v>228</v>
      </c>
      <c r="F764" s="121" t="s">
        <v>229</v>
      </c>
      <c r="G764" s="121" t="s">
        <v>230</v>
      </c>
      <c r="H764" s="121" t="s">
        <v>231</v>
      </c>
      <c r="I764" s="121" t="s">
        <v>96</v>
      </c>
      <c r="J764" s="209" t="s">
        <v>97</v>
      </c>
    </row>
    <row r="765" spans="1:12" s="186" customFormat="1" x14ac:dyDescent="0.25">
      <c r="A765" s="210" t="s">
        <v>11</v>
      </c>
      <c r="B765" s="189">
        <v>111</v>
      </c>
      <c r="C765" s="189">
        <v>113</v>
      </c>
      <c r="D765" s="189">
        <v>105</v>
      </c>
      <c r="E765" s="190">
        <v>152</v>
      </c>
      <c r="F765" s="190">
        <v>372</v>
      </c>
      <c r="G765" s="190">
        <v>494</v>
      </c>
      <c r="H765" s="190">
        <v>461</v>
      </c>
      <c r="I765" s="190">
        <f>SUM(B765:H765)</f>
        <v>1808</v>
      </c>
      <c r="J765" s="211">
        <f>+I765/7</f>
        <v>258.28571428571428</v>
      </c>
      <c r="L765" s="186">
        <v>212</v>
      </c>
    </row>
    <row r="766" spans="1:12" s="186" customFormat="1" x14ac:dyDescent="0.25">
      <c r="A766" s="212" t="s">
        <v>12</v>
      </c>
      <c r="B766" s="11">
        <v>65</v>
      </c>
      <c r="C766" s="11">
        <v>53</v>
      </c>
      <c r="D766" s="11">
        <v>76</v>
      </c>
      <c r="E766" s="11">
        <v>93</v>
      </c>
      <c r="F766" s="11">
        <v>191</v>
      </c>
      <c r="G766" s="11">
        <v>274</v>
      </c>
      <c r="H766" s="11">
        <v>263</v>
      </c>
      <c r="I766" s="11">
        <f>SUM('PEPE SIERRA '!$B766:$H766)</f>
        <v>1015</v>
      </c>
      <c r="J766" s="60">
        <f t="shared" ref="J766:J771" si="354">I766/7</f>
        <v>145</v>
      </c>
      <c r="L766" s="186">
        <v>131</v>
      </c>
    </row>
    <row r="767" spans="1:12" s="186" customFormat="1" x14ac:dyDescent="0.25">
      <c r="A767" s="212" t="s">
        <v>13</v>
      </c>
      <c r="B767" s="11">
        <v>1</v>
      </c>
      <c r="C767" s="11">
        <v>1</v>
      </c>
      <c r="D767" s="11">
        <v>0</v>
      </c>
      <c r="E767" s="11">
        <v>3</v>
      </c>
      <c r="F767" s="11">
        <v>5</v>
      </c>
      <c r="G767" s="11">
        <v>9</v>
      </c>
      <c r="H767" s="11">
        <v>11</v>
      </c>
      <c r="I767" s="11">
        <f>SUM('PEPE SIERRA '!$B767:$H767)</f>
        <v>30</v>
      </c>
      <c r="J767" s="60">
        <f t="shared" si="354"/>
        <v>4.2857142857142856</v>
      </c>
      <c r="L767" s="186">
        <v>29</v>
      </c>
    </row>
    <row r="768" spans="1:12" s="186" customFormat="1" x14ac:dyDescent="0.25">
      <c r="A768" s="212" t="s">
        <v>14</v>
      </c>
      <c r="B768" s="11">
        <v>29</v>
      </c>
      <c r="C768" s="11">
        <v>29</v>
      </c>
      <c r="D768" s="11">
        <v>21</v>
      </c>
      <c r="E768" s="11">
        <v>33</v>
      </c>
      <c r="F768" s="11">
        <v>84</v>
      </c>
      <c r="G768" s="11">
        <v>102</v>
      </c>
      <c r="H768" s="86">
        <v>90</v>
      </c>
      <c r="I768" s="11">
        <f>SUM('PEPE SIERRA '!$B768:$H768)</f>
        <v>388</v>
      </c>
      <c r="J768" s="60">
        <f t="shared" si="354"/>
        <v>55.428571428571431</v>
      </c>
      <c r="L768" s="186">
        <f>SUM(L765:L767)</f>
        <v>372</v>
      </c>
    </row>
    <row r="769" spans="1:10" s="186" customFormat="1" x14ac:dyDescent="0.25">
      <c r="A769" s="212" t="s">
        <v>15</v>
      </c>
      <c r="B769" s="11">
        <v>3</v>
      </c>
      <c r="C769" s="11">
        <v>12</v>
      </c>
      <c r="D769" s="11">
        <v>2</v>
      </c>
      <c r="E769" s="11">
        <v>7</v>
      </c>
      <c r="F769" s="11">
        <v>26</v>
      </c>
      <c r="G769" s="11">
        <v>19</v>
      </c>
      <c r="H769" s="11">
        <v>20</v>
      </c>
      <c r="I769" s="11">
        <f>SUM('PEPE SIERRA '!$B769:$H769)</f>
        <v>89</v>
      </c>
      <c r="J769" s="60">
        <f t="shared" si="354"/>
        <v>12.714285714285714</v>
      </c>
    </row>
    <row r="770" spans="1:10" s="186" customFormat="1" x14ac:dyDescent="0.25">
      <c r="A770" s="212" t="s">
        <v>16</v>
      </c>
      <c r="B770" s="11">
        <v>0</v>
      </c>
      <c r="C770" s="11">
        <v>0</v>
      </c>
      <c r="D770" s="11">
        <v>0</v>
      </c>
      <c r="E770" s="11">
        <v>0</v>
      </c>
      <c r="F770" s="11">
        <v>2</v>
      </c>
      <c r="G770" s="11">
        <v>1</v>
      </c>
      <c r="H770" s="11">
        <v>2</v>
      </c>
      <c r="I770" s="11">
        <f>SUM('PEPE SIERRA '!$B770:$H770)</f>
        <v>5</v>
      </c>
      <c r="J770" s="60">
        <f t="shared" si="354"/>
        <v>0.7142857142857143</v>
      </c>
    </row>
    <row r="771" spans="1:10" s="186" customFormat="1" x14ac:dyDescent="0.25">
      <c r="A771" s="213" t="s">
        <v>17</v>
      </c>
      <c r="B771" s="192">
        <f>SUM(B766:B770)</f>
        <v>98</v>
      </c>
      <c r="C771" s="192">
        <f t="shared" ref="C771:I771" si="355">SUM(C766:C770)</f>
        <v>95</v>
      </c>
      <c r="D771" s="192">
        <f t="shared" si="355"/>
        <v>99</v>
      </c>
      <c r="E771" s="192">
        <f t="shared" si="355"/>
        <v>136</v>
      </c>
      <c r="F771" s="192">
        <f t="shared" si="355"/>
        <v>308</v>
      </c>
      <c r="G771" s="192">
        <f t="shared" si="355"/>
        <v>405</v>
      </c>
      <c r="H771" s="192">
        <f t="shared" si="355"/>
        <v>386</v>
      </c>
      <c r="I771" s="192">
        <f t="shared" si="355"/>
        <v>1527</v>
      </c>
      <c r="J771" s="214">
        <f t="shared" si="354"/>
        <v>218.14285714285714</v>
      </c>
    </row>
    <row r="772" spans="1:10" s="186" customFormat="1" x14ac:dyDescent="0.25">
      <c r="A772" s="212" t="s">
        <v>18</v>
      </c>
      <c r="B772" s="30">
        <v>0.69</v>
      </c>
      <c r="C772" s="30">
        <v>0.62</v>
      </c>
      <c r="D772" s="30">
        <v>0.79</v>
      </c>
      <c r="E772" s="30">
        <v>0.77</v>
      </c>
      <c r="F772" s="30">
        <v>0.68</v>
      </c>
      <c r="G772" s="30">
        <v>0.72</v>
      </c>
      <c r="H772" s="30">
        <v>0.71</v>
      </c>
      <c r="I772" s="30">
        <f>I779/I784</f>
        <v>0.71020870782210777</v>
      </c>
      <c r="J772" s="160">
        <f>J779/J784</f>
        <v>0.71020870782210777</v>
      </c>
    </row>
    <row r="773" spans="1:10" s="186" customFormat="1" x14ac:dyDescent="0.25">
      <c r="A773" s="212" t="s">
        <v>19</v>
      </c>
      <c r="B773" s="30">
        <v>0.01</v>
      </c>
      <c r="C773" s="30">
        <v>0.01</v>
      </c>
      <c r="D773" s="30">
        <v>0</v>
      </c>
      <c r="E773" s="30">
        <v>0.02</v>
      </c>
      <c r="F773" s="30">
        <v>0.01</v>
      </c>
      <c r="G773" s="30">
        <v>0.03</v>
      </c>
      <c r="H773" s="30">
        <v>0.03</v>
      </c>
      <c r="I773" s="30">
        <f>I780/I784</f>
        <v>2.0872164689225599E-2</v>
      </c>
      <c r="J773" s="160">
        <f>J780/J784</f>
        <v>2.0872164689225599E-2</v>
      </c>
    </row>
    <row r="774" spans="1:10" s="186" customFormat="1" x14ac:dyDescent="0.25">
      <c r="A774" s="212" t="s">
        <v>20</v>
      </c>
      <c r="B774" s="30">
        <v>0.27</v>
      </c>
      <c r="C774" s="30">
        <v>0.27</v>
      </c>
      <c r="D774" s="30">
        <v>0.19</v>
      </c>
      <c r="E774" s="30">
        <v>0.17</v>
      </c>
      <c r="F774" s="30">
        <v>0.22</v>
      </c>
      <c r="G774" s="30">
        <v>0.2</v>
      </c>
      <c r="H774" s="30">
        <v>0.21</v>
      </c>
      <c r="I774" s="30">
        <f>I781/I784</f>
        <v>0.21174864935347074</v>
      </c>
      <c r="J774" s="160">
        <f>J781/J784</f>
        <v>0.21174864935347076</v>
      </c>
    </row>
    <row r="775" spans="1:10" s="186" customFormat="1" x14ac:dyDescent="0.25">
      <c r="A775" s="212" t="s">
        <v>21</v>
      </c>
      <c r="B775" s="30">
        <v>0.03</v>
      </c>
      <c r="C775" s="30">
        <v>0.1</v>
      </c>
      <c r="D775" s="30">
        <v>0.02</v>
      </c>
      <c r="E775" s="30">
        <v>0.04</v>
      </c>
      <c r="F775" s="30">
        <v>7.0000000000000007E-2</v>
      </c>
      <c r="G775" s="30">
        <v>0.04</v>
      </c>
      <c r="H775" s="30">
        <v>0.05</v>
      </c>
      <c r="I775" s="30">
        <f>I782/I784</f>
        <v>5.0305061867735978E-2</v>
      </c>
      <c r="J775" s="160">
        <f>J782/J784</f>
        <v>5.0305061867735978E-2</v>
      </c>
    </row>
    <row r="776" spans="1:10" s="186" customFormat="1" x14ac:dyDescent="0.25">
      <c r="A776" s="212" t="s">
        <v>22</v>
      </c>
      <c r="B776" s="30">
        <v>0</v>
      </c>
      <c r="C776" s="30">
        <v>0</v>
      </c>
      <c r="D776" s="30">
        <v>0</v>
      </c>
      <c r="E776" s="30">
        <v>0</v>
      </c>
      <c r="F776" s="30">
        <v>0.02</v>
      </c>
      <c r="G776" s="30">
        <v>0.01</v>
      </c>
      <c r="H776" s="30">
        <v>0</v>
      </c>
      <c r="I776" s="30">
        <f>I783/I784</f>
        <v>6.8654162674598399E-3</v>
      </c>
      <c r="J776" s="160">
        <f>J783/J784</f>
        <v>6.8654162674598399E-3</v>
      </c>
    </row>
    <row r="777" spans="1:10" s="186" customFormat="1" x14ac:dyDescent="0.25">
      <c r="A777" s="215" t="s">
        <v>23</v>
      </c>
      <c r="B777" s="66">
        <f t="shared" ref="B777:J777" si="356">B788/B771</f>
        <v>34433.673469387752</v>
      </c>
      <c r="C777" s="66">
        <f t="shared" si="356"/>
        <v>33012.631578947374</v>
      </c>
      <c r="D777" s="66">
        <f t="shared" si="356"/>
        <v>35620.202020202021</v>
      </c>
      <c r="E777" s="66">
        <f t="shared" si="356"/>
        <v>34086.029411764706</v>
      </c>
      <c r="F777" s="66">
        <f t="shared" si="356"/>
        <v>37515.584415584417</v>
      </c>
      <c r="G777" s="66">
        <f t="shared" si="356"/>
        <v>37985.432098765436</v>
      </c>
      <c r="H777" s="66">
        <f t="shared" si="356"/>
        <v>37839.378238341968</v>
      </c>
      <c r="I777" s="66">
        <f t="shared" si="356"/>
        <v>36815.782580222665</v>
      </c>
      <c r="J777" s="67">
        <f t="shared" si="356"/>
        <v>36815.782580222665</v>
      </c>
    </row>
    <row r="778" spans="1:10" s="186" customFormat="1" x14ac:dyDescent="0.25">
      <c r="A778" s="215" t="s">
        <v>24</v>
      </c>
      <c r="B778" s="66">
        <f t="shared" ref="B778:I778" si="357">+B788/B765</f>
        <v>30400.900900900902</v>
      </c>
      <c r="C778" s="66">
        <f t="shared" si="357"/>
        <v>27753.98230088496</v>
      </c>
      <c r="D778" s="66">
        <f t="shared" si="357"/>
        <v>33584.761904761908</v>
      </c>
      <c r="E778" s="66">
        <f t="shared" si="357"/>
        <v>30498.026315789473</v>
      </c>
      <c r="F778" s="66">
        <f t="shared" si="357"/>
        <v>31061.290322580644</v>
      </c>
      <c r="G778" s="66">
        <f t="shared" si="357"/>
        <v>31141.902834008102</v>
      </c>
      <c r="H778" s="66">
        <f t="shared" si="357"/>
        <v>31683.297180043384</v>
      </c>
      <c r="I778" s="66">
        <f t="shared" si="357"/>
        <v>31093.860619469029</v>
      </c>
      <c r="J778" s="67">
        <f>J788/J765</f>
        <v>31093.860619469033</v>
      </c>
    </row>
    <row r="779" spans="1:10" s="186" customFormat="1" x14ac:dyDescent="0.25">
      <c r="A779" s="212" t="s">
        <v>25</v>
      </c>
      <c r="B779" s="92">
        <f t="shared" ref="B779:H779" si="358">B784*B772</f>
        <v>1910593.9396551724</v>
      </c>
      <c r="C779" s="92">
        <f t="shared" si="358"/>
        <v>1605431.527586207</v>
      </c>
      <c r="D779" s="92">
        <f t="shared" si="358"/>
        <v>2272213.8000000003</v>
      </c>
      <c r="E779" s="92">
        <f t="shared" si="358"/>
        <v>2922826.1396551724</v>
      </c>
      <c r="F779" s="92">
        <f t="shared" si="358"/>
        <v>6493612.0482758628</v>
      </c>
      <c r="G779" s="31">
        <f t="shared" si="358"/>
        <v>9123613.3241379317</v>
      </c>
      <c r="H779" s="31">
        <f t="shared" si="358"/>
        <v>8537476.1603448279</v>
      </c>
      <c r="I779" s="31">
        <f t="shared" ref="I779:I784" si="359">SUM(B779:H779)</f>
        <v>32865766.939655174</v>
      </c>
      <c r="J779" s="32">
        <f t="shared" ref="J779:J788" si="360">I779/7</f>
        <v>4695109.5628078822</v>
      </c>
    </row>
    <row r="780" spans="1:10" s="186" customFormat="1" x14ac:dyDescent="0.25">
      <c r="A780" s="212" t="s">
        <v>26</v>
      </c>
      <c r="B780" s="92">
        <f t="shared" ref="B780:H780" si="361">B784*B773</f>
        <v>27689.767241379312</v>
      </c>
      <c r="C780" s="92">
        <f t="shared" si="361"/>
        <v>25894.056896551727</v>
      </c>
      <c r="D780" s="92">
        <f t="shared" si="361"/>
        <v>0</v>
      </c>
      <c r="E780" s="92">
        <f t="shared" si="361"/>
        <v>75917.562068965519</v>
      </c>
      <c r="F780" s="92">
        <f t="shared" si="361"/>
        <v>95494.294827586215</v>
      </c>
      <c r="G780" s="31">
        <f t="shared" si="361"/>
        <v>380150.55517241382</v>
      </c>
      <c r="H780" s="31">
        <f t="shared" si="361"/>
        <v>360738.42931034486</v>
      </c>
      <c r="I780" s="31">
        <f t="shared" si="359"/>
        <v>965884.66551724146</v>
      </c>
      <c r="J780" s="32">
        <f t="shared" si="360"/>
        <v>137983.52364532021</v>
      </c>
    </row>
    <row r="781" spans="1:10" s="186" customFormat="1" x14ac:dyDescent="0.25">
      <c r="A781" s="212" t="s">
        <v>27</v>
      </c>
      <c r="B781" s="92">
        <f t="shared" ref="B781:H781" si="362">B784*B774</f>
        <v>747623.71551724151</v>
      </c>
      <c r="C781" s="92">
        <f t="shared" si="362"/>
        <v>699139.53620689665</v>
      </c>
      <c r="D781" s="92">
        <f t="shared" si="362"/>
        <v>546481.80000000005</v>
      </c>
      <c r="E781" s="92">
        <f t="shared" si="362"/>
        <v>645299.27758620691</v>
      </c>
      <c r="F781" s="92">
        <f t="shared" si="362"/>
        <v>2100874.4862068966</v>
      </c>
      <c r="G781" s="31">
        <f t="shared" si="362"/>
        <v>2534337.034482759</v>
      </c>
      <c r="H781" s="31">
        <f t="shared" si="362"/>
        <v>2525169.0051724138</v>
      </c>
      <c r="I781" s="31">
        <f t="shared" si="359"/>
        <v>9798924.8551724143</v>
      </c>
      <c r="J781" s="32">
        <f t="shared" si="360"/>
        <v>1399846.4078817735</v>
      </c>
    </row>
    <row r="782" spans="1:10" s="186" customFormat="1" x14ac:dyDescent="0.25">
      <c r="A782" s="212" t="s">
        <v>28</v>
      </c>
      <c r="B782" s="92">
        <f t="shared" ref="B782:H782" si="363">B784*B775</f>
        <v>83069.301724137928</v>
      </c>
      <c r="C782" s="92">
        <f t="shared" si="363"/>
        <v>258940.56896551728</v>
      </c>
      <c r="D782" s="92">
        <f t="shared" si="363"/>
        <v>57524.4</v>
      </c>
      <c r="E782" s="92">
        <f t="shared" si="363"/>
        <v>151835.12413793104</v>
      </c>
      <c r="F782" s="92">
        <f t="shared" si="363"/>
        <v>668460.06379310356</v>
      </c>
      <c r="G782" s="31">
        <f t="shared" si="363"/>
        <v>506867.40689655178</v>
      </c>
      <c r="H782" s="31">
        <f t="shared" si="363"/>
        <v>601230.71551724139</v>
      </c>
      <c r="I782" s="31">
        <f t="shared" si="359"/>
        <v>2327927.5810344829</v>
      </c>
      <c r="J782" s="32">
        <f t="shared" si="360"/>
        <v>332561.08300492616</v>
      </c>
    </row>
    <row r="783" spans="1:10" s="186" customFormat="1" x14ac:dyDescent="0.25">
      <c r="A783" s="212" t="s">
        <v>29</v>
      </c>
      <c r="B783" s="92">
        <f>B784*B776</f>
        <v>0</v>
      </c>
      <c r="C783" s="92">
        <f t="shared" ref="C783:H783" si="364">C784*C776</f>
        <v>0</v>
      </c>
      <c r="D783" s="92">
        <f t="shared" si="364"/>
        <v>0</v>
      </c>
      <c r="E783" s="92">
        <f t="shared" si="364"/>
        <v>0</v>
      </c>
      <c r="F783" s="92">
        <f t="shared" si="364"/>
        <v>190988.58965517243</v>
      </c>
      <c r="G783" s="31">
        <f t="shared" si="364"/>
        <v>126716.85172413794</v>
      </c>
      <c r="H783" s="31">
        <f t="shared" si="364"/>
        <v>0</v>
      </c>
      <c r="I783" s="31">
        <f t="shared" si="359"/>
        <v>317705.44137931039</v>
      </c>
      <c r="J783" s="32">
        <f t="shared" si="360"/>
        <v>45386.491625615767</v>
      </c>
    </row>
    <row r="784" spans="1:10" s="186" customFormat="1" x14ac:dyDescent="0.25">
      <c r="A784" s="216" t="s">
        <v>30</v>
      </c>
      <c r="B784" s="91">
        <f>(3374500/1.16)-B785</f>
        <v>2768976.7241379311</v>
      </c>
      <c r="C784" s="91">
        <f>(3136200/1.16)-C785</f>
        <v>2589405.6896551726</v>
      </c>
      <c r="D784" s="91">
        <f>(3526400/1.16)-D785</f>
        <v>2876220</v>
      </c>
      <c r="E784" s="91">
        <f>(4635700/1.16)-E785</f>
        <v>3795878.1034482759</v>
      </c>
      <c r="F784" s="91">
        <f>(11554800/1.16)-F785</f>
        <v>9549429.4827586208</v>
      </c>
      <c r="G784" s="197">
        <f>(15384100/1.16)-G785</f>
        <v>12671685.172413794</v>
      </c>
      <c r="H784" s="197">
        <f>(14606000/1.16)-H785</f>
        <v>12024614.310344828</v>
      </c>
      <c r="I784" s="197">
        <f t="shared" si="359"/>
        <v>46276209.482758626</v>
      </c>
      <c r="J784" s="217">
        <f t="shared" si="360"/>
        <v>6610887.0689655179</v>
      </c>
    </row>
    <row r="785" spans="1:10" s="186" customFormat="1" x14ac:dyDescent="0.25">
      <c r="A785" s="212" t="s">
        <v>31</v>
      </c>
      <c r="B785" s="92">
        <f t="shared" ref="B785:I785" si="365">2155*B766</f>
        <v>140075</v>
      </c>
      <c r="C785" s="92">
        <f t="shared" si="365"/>
        <v>114215</v>
      </c>
      <c r="D785" s="92">
        <f t="shared" si="365"/>
        <v>163780</v>
      </c>
      <c r="E785" s="92">
        <f t="shared" si="365"/>
        <v>200415</v>
      </c>
      <c r="F785" s="92">
        <f t="shared" si="365"/>
        <v>411605</v>
      </c>
      <c r="G785" s="31">
        <f t="shared" si="365"/>
        <v>590470</v>
      </c>
      <c r="H785" s="31">
        <f t="shared" si="365"/>
        <v>566765</v>
      </c>
      <c r="I785" s="31">
        <f t="shared" si="365"/>
        <v>2187325</v>
      </c>
      <c r="J785" s="32">
        <f t="shared" si="360"/>
        <v>312475</v>
      </c>
    </row>
    <row r="786" spans="1:10" s="186" customFormat="1" x14ac:dyDescent="0.25">
      <c r="A786" s="218" t="s">
        <v>32</v>
      </c>
      <c r="B786" s="199">
        <f>B785+B784</f>
        <v>2909051.7241379311</v>
      </c>
      <c r="C786" s="199">
        <f>C785+C784</f>
        <v>2703620.6896551726</v>
      </c>
      <c r="D786" s="199">
        <f>D785+D784</f>
        <v>3040000</v>
      </c>
      <c r="E786" s="199">
        <f>E785+E784</f>
        <v>3996293.1034482759</v>
      </c>
      <c r="F786" s="199">
        <f>F784+F785</f>
        <v>9961034.4827586208</v>
      </c>
      <c r="G786" s="199">
        <f>G785+G784</f>
        <v>13262155.172413794</v>
      </c>
      <c r="H786" s="199">
        <f>H785+H784</f>
        <v>12591379.310344828</v>
      </c>
      <c r="I786" s="199">
        <f>I784+I785</f>
        <v>48463534.482758626</v>
      </c>
      <c r="J786" s="219">
        <f t="shared" si="360"/>
        <v>6923362.0689655179</v>
      </c>
    </row>
    <row r="787" spans="1:10" s="186" customFormat="1" x14ac:dyDescent="0.25">
      <c r="A787" s="212" t="s">
        <v>33</v>
      </c>
      <c r="B787" s="94">
        <f>B786*16%</f>
        <v>465448.27586206899</v>
      </c>
      <c r="C787" s="94">
        <f t="shared" ref="C787:H787" si="366">C786*16%</f>
        <v>432579.31034482765</v>
      </c>
      <c r="D787" s="94">
        <f t="shared" si="366"/>
        <v>486400</v>
      </c>
      <c r="E787" s="94">
        <f t="shared" si="366"/>
        <v>639406.89655172417</v>
      </c>
      <c r="F787" s="94">
        <f t="shared" si="366"/>
        <v>1593765.5172413792</v>
      </c>
      <c r="G787" s="94">
        <f t="shared" si="366"/>
        <v>2121944.8275862071</v>
      </c>
      <c r="H787" s="94">
        <f t="shared" si="366"/>
        <v>2014620.6896551726</v>
      </c>
      <c r="I787" s="94">
        <f>I786*16%</f>
        <v>7754165.5172413802</v>
      </c>
      <c r="J787" s="32">
        <f t="shared" si="360"/>
        <v>1107737.9310344828</v>
      </c>
    </row>
    <row r="788" spans="1:10" s="186" customFormat="1" x14ac:dyDescent="0.25">
      <c r="A788" s="220" t="s">
        <v>34</v>
      </c>
      <c r="B788" s="202">
        <f>B786+B787</f>
        <v>3374500</v>
      </c>
      <c r="C788" s="202">
        <f t="shared" ref="C788:H788" si="367">C786+C787</f>
        <v>3136200.0000000005</v>
      </c>
      <c r="D788" s="202">
        <f t="shared" si="367"/>
        <v>3526400</v>
      </c>
      <c r="E788" s="202">
        <f t="shared" si="367"/>
        <v>4635700</v>
      </c>
      <c r="F788" s="202">
        <f t="shared" si="367"/>
        <v>11554800</v>
      </c>
      <c r="G788" s="202">
        <f t="shared" si="367"/>
        <v>15384100.000000002</v>
      </c>
      <c r="H788" s="202">
        <f t="shared" si="367"/>
        <v>14606000</v>
      </c>
      <c r="I788" s="202">
        <f>I786+I787</f>
        <v>56217700.000000007</v>
      </c>
      <c r="J788" s="221">
        <f t="shared" si="360"/>
        <v>8031100.0000000009</v>
      </c>
    </row>
    <row r="789" spans="1:10" s="186" customFormat="1" x14ac:dyDescent="0.25">
      <c r="A789" s="204"/>
      <c r="B789" s="112"/>
      <c r="C789" s="112"/>
      <c r="D789" s="112"/>
      <c r="E789" s="112"/>
      <c r="F789" s="112"/>
      <c r="G789" s="112"/>
      <c r="H789" s="112"/>
      <c r="I789" s="112"/>
      <c r="J789" s="205"/>
    </row>
    <row r="790" spans="1:10" s="186" customFormat="1" ht="15.75" thickBot="1" x14ac:dyDescent="0.3">
      <c r="A790" s="204"/>
      <c r="B790" s="112"/>
      <c r="C790" s="112"/>
      <c r="D790" s="112"/>
      <c r="E790" s="112"/>
      <c r="F790" s="112"/>
      <c r="G790" s="112"/>
      <c r="H790" s="112"/>
      <c r="I790" s="112"/>
      <c r="J790" s="205"/>
    </row>
    <row r="791" spans="1:10" s="186" customFormat="1" ht="26.25" x14ac:dyDescent="0.25">
      <c r="A791"/>
      <c r="B791" s="1002" t="s">
        <v>232</v>
      </c>
      <c r="C791" s="1002"/>
      <c r="D791" s="1002"/>
      <c r="E791" s="1002"/>
      <c r="F791" s="1002"/>
      <c r="G791" s="1002"/>
      <c r="H791" s="1002"/>
      <c r="I791"/>
      <c r="J791"/>
    </row>
    <row r="792" spans="1:10" s="186" customFormat="1" ht="15.75" x14ac:dyDescent="0.25">
      <c r="A792" s="207" t="s">
        <v>2</v>
      </c>
      <c r="B792" s="121" t="s">
        <v>233</v>
      </c>
      <c r="C792" s="121" t="s">
        <v>234</v>
      </c>
      <c r="D792" s="121" t="s">
        <v>235</v>
      </c>
      <c r="E792" s="121" t="s">
        <v>236</v>
      </c>
      <c r="F792" s="121" t="s">
        <v>237</v>
      </c>
      <c r="G792" s="121" t="s">
        <v>238</v>
      </c>
      <c r="H792" s="121" t="s">
        <v>239</v>
      </c>
      <c r="I792" s="121" t="s">
        <v>96</v>
      </c>
      <c r="J792" s="209" t="s">
        <v>97</v>
      </c>
    </row>
    <row r="793" spans="1:10" s="186" customFormat="1" x14ac:dyDescent="0.25">
      <c r="A793" s="210" t="s">
        <v>11</v>
      </c>
      <c r="B793" s="189">
        <v>125</v>
      </c>
      <c r="C793" s="189">
        <v>166</v>
      </c>
      <c r="D793" s="189">
        <v>134</v>
      </c>
      <c r="E793" s="190">
        <v>181</v>
      </c>
      <c r="F793" s="190">
        <v>374</v>
      </c>
      <c r="G793" s="190">
        <v>488</v>
      </c>
      <c r="H793" s="190">
        <v>479</v>
      </c>
      <c r="I793" s="190">
        <f>SUM(B793:H793)</f>
        <v>1947</v>
      </c>
      <c r="J793" s="211">
        <f>+I793/7</f>
        <v>278.14285714285717</v>
      </c>
    </row>
    <row r="794" spans="1:10" s="186" customFormat="1" x14ac:dyDescent="0.25">
      <c r="A794" s="212" t="s">
        <v>12</v>
      </c>
      <c r="B794" s="11">
        <v>47</v>
      </c>
      <c r="C794" s="11">
        <v>70</v>
      </c>
      <c r="D794" s="11">
        <v>82</v>
      </c>
      <c r="E794" s="11">
        <v>100</v>
      </c>
      <c r="F794" s="11">
        <v>228</v>
      </c>
      <c r="G794" s="11">
        <v>282</v>
      </c>
      <c r="H794" s="11">
        <v>290</v>
      </c>
      <c r="I794" s="11">
        <f>SUM('PEPE SIERRA '!$B794:$H794)</f>
        <v>1099</v>
      </c>
      <c r="J794" s="60">
        <f t="shared" ref="J794:J799" si="368">I794/7</f>
        <v>157</v>
      </c>
    </row>
    <row r="795" spans="1:10" s="186" customFormat="1" x14ac:dyDescent="0.25">
      <c r="A795" s="212" t="s">
        <v>13</v>
      </c>
      <c r="B795" s="11">
        <v>4</v>
      </c>
      <c r="C795" s="11">
        <v>5</v>
      </c>
      <c r="D795" s="11">
        <v>2</v>
      </c>
      <c r="E795" s="11">
        <v>1</v>
      </c>
      <c r="F795" s="11">
        <v>1</v>
      </c>
      <c r="G795" s="11">
        <v>7</v>
      </c>
      <c r="H795" s="11">
        <v>9</v>
      </c>
      <c r="I795" s="11">
        <f>SUM('PEPE SIERRA '!$B795:$H795)</f>
        <v>29</v>
      </c>
      <c r="J795" s="60">
        <f t="shared" si="368"/>
        <v>4.1428571428571432</v>
      </c>
    </row>
    <row r="796" spans="1:10" s="186" customFormat="1" x14ac:dyDescent="0.25">
      <c r="A796" s="212" t="s">
        <v>14</v>
      </c>
      <c r="B796" s="11">
        <v>35</v>
      </c>
      <c r="C796" s="11">
        <v>56</v>
      </c>
      <c r="D796" s="11">
        <v>28</v>
      </c>
      <c r="E796" s="11">
        <v>44</v>
      </c>
      <c r="F796" s="11">
        <v>66</v>
      </c>
      <c r="G796" s="11">
        <v>70</v>
      </c>
      <c r="H796" s="86">
        <v>86</v>
      </c>
      <c r="I796" s="11">
        <f>SUM('PEPE SIERRA '!$B796:$H796)</f>
        <v>385</v>
      </c>
      <c r="J796" s="60">
        <f t="shared" si="368"/>
        <v>55</v>
      </c>
    </row>
    <row r="797" spans="1:10" s="186" customFormat="1" x14ac:dyDescent="0.25">
      <c r="A797" s="212" t="s">
        <v>15</v>
      </c>
      <c r="B797" s="11">
        <v>5</v>
      </c>
      <c r="C797" s="11">
        <v>13</v>
      </c>
      <c r="D797" s="11">
        <v>7</v>
      </c>
      <c r="E797" s="11">
        <v>5</v>
      </c>
      <c r="F797" s="11">
        <v>25</v>
      </c>
      <c r="G797" s="11">
        <v>34</v>
      </c>
      <c r="H797" s="11">
        <v>32</v>
      </c>
      <c r="I797" s="11">
        <f>SUM('PEPE SIERRA '!$B797:$H797)</f>
        <v>121</v>
      </c>
      <c r="J797" s="60">
        <f t="shared" si="368"/>
        <v>17.285714285714285</v>
      </c>
    </row>
    <row r="798" spans="1:10" s="186" customFormat="1" x14ac:dyDescent="0.25">
      <c r="A798" s="212" t="s">
        <v>16</v>
      </c>
      <c r="B798" s="11">
        <v>0</v>
      </c>
      <c r="C798" s="11">
        <v>0</v>
      </c>
      <c r="D798" s="11">
        <v>0</v>
      </c>
      <c r="E798" s="11">
        <v>0</v>
      </c>
      <c r="F798" s="11">
        <v>0</v>
      </c>
      <c r="G798" s="11">
        <v>1</v>
      </c>
      <c r="H798" s="11">
        <v>1</v>
      </c>
      <c r="I798" s="11">
        <f>SUM('PEPE SIERRA '!$B798:$H798)</f>
        <v>2</v>
      </c>
      <c r="J798" s="60">
        <f t="shared" si="368"/>
        <v>0.2857142857142857</v>
      </c>
    </row>
    <row r="799" spans="1:10" s="186" customFormat="1" x14ac:dyDescent="0.25">
      <c r="A799" s="213" t="s">
        <v>17</v>
      </c>
      <c r="B799" s="192">
        <f>SUM(B794:B798)</f>
        <v>91</v>
      </c>
      <c r="C799" s="192">
        <f t="shared" ref="C799:I799" si="369">SUM(C794:C798)</f>
        <v>144</v>
      </c>
      <c r="D799" s="192">
        <f t="shared" si="369"/>
        <v>119</v>
      </c>
      <c r="E799" s="192">
        <f t="shared" si="369"/>
        <v>150</v>
      </c>
      <c r="F799" s="192">
        <f t="shared" si="369"/>
        <v>320</v>
      </c>
      <c r="G799" s="192">
        <f t="shared" si="369"/>
        <v>394</v>
      </c>
      <c r="H799" s="192">
        <f t="shared" si="369"/>
        <v>418</v>
      </c>
      <c r="I799" s="192">
        <f t="shared" si="369"/>
        <v>1636</v>
      </c>
      <c r="J799" s="214">
        <f t="shared" si="368"/>
        <v>233.71428571428572</v>
      </c>
    </row>
    <row r="800" spans="1:10" s="186" customFormat="1" x14ac:dyDescent="0.25">
      <c r="A800" s="212" t="s">
        <v>18</v>
      </c>
      <c r="B800" s="30">
        <v>0.6</v>
      </c>
      <c r="C800" s="30">
        <v>0.54</v>
      </c>
      <c r="D800" s="30">
        <v>0.74</v>
      </c>
      <c r="E800" s="30">
        <v>0.7</v>
      </c>
      <c r="F800" s="30">
        <v>0.76</v>
      </c>
      <c r="G800" s="30">
        <v>0.76</v>
      </c>
      <c r="H800" s="30">
        <v>0.7</v>
      </c>
      <c r="I800" s="30">
        <f>I807/I812</f>
        <v>0.71032579237304005</v>
      </c>
      <c r="J800" s="160">
        <f>J807/J812</f>
        <v>0.71032579237304017</v>
      </c>
    </row>
    <row r="801" spans="1:10" s="186" customFormat="1" x14ac:dyDescent="0.25">
      <c r="A801" s="212" t="s">
        <v>19</v>
      </c>
      <c r="B801" s="30">
        <v>0.03</v>
      </c>
      <c r="C801" s="30">
        <v>0.04</v>
      </c>
      <c r="D801" s="30">
        <v>0.03</v>
      </c>
      <c r="E801" s="30">
        <v>0</v>
      </c>
      <c r="F801" s="30">
        <v>0</v>
      </c>
      <c r="G801" s="30">
        <v>0.02</v>
      </c>
      <c r="H801" s="30">
        <v>0.03</v>
      </c>
      <c r="I801" s="30">
        <f>I808/I812</f>
        <v>1.9710248013543843E-2</v>
      </c>
      <c r="J801" s="160">
        <f>J808/J812</f>
        <v>1.9710248013543843E-2</v>
      </c>
    </row>
    <row r="802" spans="1:10" s="186" customFormat="1" x14ac:dyDescent="0.25">
      <c r="A802" s="212" t="s">
        <v>20</v>
      </c>
      <c r="B802" s="30">
        <v>0.34</v>
      </c>
      <c r="C802" s="30">
        <v>0.35</v>
      </c>
      <c r="D802" s="30">
        <v>0.18</v>
      </c>
      <c r="E802" s="30">
        <v>0.27</v>
      </c>
      <c r="F802" s="30">
        <v>0.17</v>
      </c>
      <c r="G802" s="30">
        <v>0.15</v>
      </c>
      <c r="H802" s="30">
        <v>0.2</v>
      </c>
      <c r="I802" s="30">
        <f>I809/I812</f>
        <v>0.20771461615176107</v>
      </c>
      <c r="J802" s="160">
        <f>J809/J812</f>
        <v>0.20771461615176104</v>
      </c>
    </row>
    <row r="803" spans="1:10" s="186" customFormat="1" x14ac:dyDescent="0.25">
      <c r="A803" s="212" t="s">
        <v>21</v>
      </c>
      <c r="B803" s="30">
        <v>0.03</v>
      </c>
      <c r="C803" s="30">
        <v>7.0000000000000007E-2</v>
      </c>
      <c r="D803" s="30">
        <v>0.05</v>
      </c>
      <c r="E803" s="30">
        <v>0.03</v>
      </c>
      <c r="F803" s="30">
        <v>7.0000000000000007E-2</v>
      </c>
      <c r="G803" s="30">
        <v>7.0000000000000007E-2</v>
      </c>
      <c r="H803" s="30">
        <v>7.0000000000000007E-2</v>
      </c>
      <c r="I803" s="30">
        <f>I810/I812</f>
        <v>6.2249343461655018E-2</v>
      </c>
      <c r="J803" s="160">
        <f>J810/J812</f>
        <v>6.2249343461655018E-2</v>
      </c>
    </row>
    <row r="804" spans="1:10" s="186" customFormat="1" x14ac:dyDescent="0.25">
      <c r="A804" s="212" t="s">
        <v>22</v>
      </c>
      <c r="B804" s="30">
        <v>0</v>
      </c>
      <c r="C804" s="30">
        <v>0</v>
      </c>
      <c r="D804" s="30">
        <v>0</v>
      </c>
      <c r="E804" s="30">
        <v>0</v>
      </c>
      <c r="F804" s="30">
        <v>0</v>
      </c>
      <c r="G804" s="30">
        <v>0</v>
      </c>
      <c r="H804" s="30">
        <v>0</v>
      </c>
      <c r="I804" s="30">
        <f>I811/I812</f>
        <v>0</v>
      </c>
      <c r="J804" s="160">
        <f>J811/J812</f>
        <v>0</v>
      </c>
    </row>
    <row r="805" spans="1:10" s="186" customFormat="1" x14ac:dyDescent="0.25">
      <c r="A805" s="215" t="s">
        <v>23</v>
      </c>
      <c r="B805" s="66">
        <f t="shared" ref="B805:J805" si="370">B816/B799</f>
        <v>39481.318681318684</v>
      </c>
      <c r="C805" s="66">
        <f t="shared" si="370"/>
        <v>32981.944444444445</v>
      </c>
      <c r="D805" s="66">
        <f t="shared" si="370"/>
        <v>35631.092436974795</v>
      </c>
      <c r="E805" s="66">
        <f t="shared" si="370"/>
        <v>38782.666666666664</v>
      </c>
      <c r="F805" s="66">
        <f t="shared" si="370"/>
        <v>35347.812500000007</v>
      </c>
      <c r="G805" s="66">
        <f t="shared" si="370"/>
        <v>38293.147208121831</v>
      </c>
      <c r="H805" s="66">
        <f t="shared" si="370"/>
        <v>35955.26315789474</v>
      </c>
      <c r="I805" s="66">
        <f t="shared" si="370"/>
        <v>36569.559902200497</v>
      </c>
      <c r="J805" s="67">
        <f t="shared" si="370"/>
        <v>36569.55990220049</v>
      </c>
    </row>
    <row r="806" spans="1:10" s="186" customFormat="1" x14ac:dyDescent="0.25">
      <c r="A806" s="215" t="s">
        <v>24</v>
      </c>
      <c r="B806" s="66">
        <f t="shared" ref="B806:I806" si="371">+B816/B793</f>
        <v>28742.400000000001</v>
      </c>
      <c r="C806" s="66">
        <f t="shared" si="371"/>
        <v>28610.843373493975</v>
      </c>
      <c r="D806" s="66">
        <f t="shared" si="371"/>
        <v>31642.537313432844</v>
      </c>
      <c r="E806" s="66">
        <f t="shared" si="371"/>
        <v>32140.331491712706</v>
      </c>
      <c r="F806" s="66">
        <f t="shared" si="371"/>
        <v>30244.117647058829</v>
      </c>
      <c r="G806" s="66">
        <f t="shared" si="371"/>
        <v>30917.008196721315</v>
      </c>
      <c r="H806" s="66">
        <f t="shared" si="371"/>
        <v>31376.409185803761</v>
      </c>
      <c r="I806" s="66">
        <f t="shared" si="371"/>
        <v>30728.197226502314</v>
      </c>
      <c r="J806" s="67">
        <f>J816/J793</f>
        <v>30728.197226502314</v>
      </c>
    </row>
    <row r="807" spans="1:10" s="186" customFormat="1" x14ac:dyDescent="0.25">
      <c r="A807" s="212" t="s">
        <v>25</v>
      </c>
      <c r="B807" s="92">
        <f t="shared" ref="B807:H807" si="372">B812*B800</f>
        <v>1797573.8275862068</v>
      </c>
      <c r="C807" s="92">
        <f t="shared" si="372"/>
        <v>2129468.5862068967</v>
      </c>
      <c r="D807" s="92">
        <f t="shared" si="372"/>
        <v>2574125.9793103454</v>
      </c>
      <c r="E807" s="92">
        <f t="shared" si="372"/>
        <v>3359650</v>
      </c>
      <c r="F807" s="92">
        <f t="shared" si="372"/>
        <v>7037433.3241379317</v>
      </c>
      <c r="G807" s="31">
        <f t="shared" si="372"/>
        <v>9423054.1931034494</v>
      </c>
      <c r="H807" s="31">
        <f t="shared" si="372"/>
        <v>8631940.1724137943</v>
      </c>
      <c r="I807" s="31">
        <f t="shared" ref="I807:I812" si="373">SUM(B807:H807)</f>
        <v>34953246.082758628</v>
      </c>
      <c r="J807" s="32">
        <f t="shared" ref="J807:J816" si="374">I807/7</f>
        <v>4993320.8689655187</v>
      </c>
    </row>
    <row r="808" spans="1:10" s="186" customFormat="1" x14ac:dyDescent="0.25">
      <c r="A808" s="212" t="s">
        <v>26</v>
      </c>
      <c r="B808" s="92">
        <f t="shared" ref="B808:H808" si="375">B812*B801</f>
        <v>89878.691379310345</v>
      </c>
      <c r="C808" s="92">
        <f t="shared" si="375"/>
        <v>157738.41379310345</v>
      </c>
      <c r="D808" s="92">
        <f t="shared" si="375"/>
        <v>104356.45862068966</v>
      </c>
      <c r="E808" s="92">
        <f t="shared" si="375"/>
        <v>0</v>
      </c>
      <c r="F808" s="92">
        <f t="shared" si="375"/>
        <v>0</v>
      </c>
      <c r="G808" s="31">
        <f t="shared" si="375"/>
        <v>247975.11034482764</v>
      </c>
      <c r="H808" s="31">
        <f t="shared" si="375"/>
        <v>369940.29310344829</v>
      </c>
      <c r="I808" s="31">
        <f t="shared" si="373"/>
        <v>969888.96724137943</v>
      </c>
      <c r="J808" s="32">
        <f t="shared" si="374"/>
        <v>138555.5667487685</v>
      </c>
    </row>
    <row r="809" spans="1:10" s="186" customFormat="1" x14ac:dyDescent="0.25">
      <c r="A809" s="212" t="s">
        <v>27</v>
      </c>
      <c r="B809" s="92">
        <f t="shared" ref="B809:H809" si="376">B812*B802</f>
        <v>1018625.1689655173</v>
      </c>
      <c r="C809" s="92">
        <f t="shared" si="376"/>
        <v>1380211.1206896552</v>
      </c>
      <c r="D809" s="92">
        <f t="shared" si="376"/>
        <v>626138.75172413804</v>
      </c>
      <c r="E809" s="92">
        <f t="shared" si="376"/>
        <v>1295865</v>
      </c>
      <c r="F809" s="92">
        <f t="shared" si="376"/>
        <v>1574162.7172413797</v>
      </c>
      <c r="G809" s="31">
        <f t="shared" si="376"/>
        <v>1859813.3275862071</v>
      </c>
      <c r="H809" s="31">
        <f t="shared" si="376"/>
        <v>2466268.6206896557</v>
      </c>
      <c r="I809" s="31">
        <f t="shared" si="373"/>
        <v>10221084.706896551</v>
      </c>
      <c r="J809" s="32">
        <f t="shared" si="374"/>
        <v>1460154.9581280786</v>
      </c>
    </row>
    <row r="810" spans="1:10" s="186" customFormat="1" x14ac:dyDescent="0.25">
      <c r="A810" s="212" t="s">
        <v>28</v>
      </c>
      <c r="B810" s="92">
        <f t="shared" ref="B810:H810" si="377">B812*B803</f>
        <v>89878.691379310345</v>
      </c>
      <c r="C810" s="92">
        <f t="shared" si="377"/>
        <v>276042.22413793107</v>
      </c>
      <c r="D810" s="92">
        <f t="shared" si="377"/>
        <v>173927.43103448278</v>
      </c>
      <c r="E810" s="92">
        <f t="shared" si="377"/>
        <v>143985</v>
      </c>
      <c r="F810" s="92">
        <f t="shared" si="377"/>
        <v>648184.64827586222</v>
      </c>
      <c r="G810" s="31">
        <f t="shared" si="377"/>
        <v>867912.88620689674</v>
      </c>
      <c r="H810" s="31">
        <f t="shared" si="377"/>
        <v>863194.01724137948</v>
      </c>
      <c r="I810" s="31">
        <f t="shared" si="373"/>
        <v>3063124.8982758624</v>
      </c>
      <c r="J810" s="32">
        <f t="shared" si="374"/>
        <v>437589.27118226606</v>
      </c>
    </row>
    <row r="811" spans="1:10" s="186" customFormat="1" x14ac:dyDescent="0.25">
      <c r="A811" s="212" t="s">
        <v>29</v>
      </c>
      <c r="B811" s="92">
        <f>B812*B804</f>
        <v>0</v>
      </c>
      <c r="C811" s="92">
        <f t="shared" ref="C811:H811" si="378">C812*C804</f>
        <v>0</v>
      </c>
      <c r="D811" s="92">
        <f t="shared" si="378"/>
        <v>0</v>
      </c>
      <c r="E811" s="92">
        <f t="shared" si="378"/>
        <v>0</v>
      </c>
      <c r="F811" s="92">
        <f t="shared" si="378"/>
        <v>0</v>
      </c>
      <c r="G811" s="31">
        <f t="shared" si="378"/>
        <v>0</v>
      </c>
      <c r="H811" s="31">
        <f t="shared" si="378"/>
        <v>0</v>
      </c>
      <c r="I811" s="31">
        <f t="shared" si="373"/>
        <v>0</v>
      </c>
      <c r="J811" s="32">
        <f t="shared" si="374"/>
        <v>0</v>
      </c>
    </row>
    <row r="812" spans="1:10" s="186" customFormat="1" x14ac:dyDescent="0.25">
      <c r="A812" s="216" t="s">
        <v>30</v>
      </c>
      <c r="B812" s="91">
        <f>(3592800/1.16)-B813</f>
        <v>2995956.3793103448</v>
      </c>
      <c r="C812" s="91">
        <f>(4749400/1.16)-C813</f>
        <v>3943460.3448275863</v>
      </c>
      <c r="D812" s="91">
        <f>(4240100/1.16)-D813</f>
        <v>3478548.6206896557</v>
      </c>
      <c r="E812" s="91">
        <f>(5817400/1.16)-E813</f>
        <v>4799500</v>
      </c>
      <c r="F812" s="91">
        <f>(11311300/1.16)-F813</f>
        <v>9259780.6896551736</v>
      </c>
      <c r="G812" s="91">
        <f>(15087500/1.16)-G813</f>
        <v>12398755.517241381</v>
      </c>
      <c r="H812" s="91">
        <f>(15029300/1.16)-H813</f>
        <v>12331343.103448277</v>
      </c>
      <c r="I812" s="197">
        <f t="shared" si="373"/>
        <v>49207344.655172423</v>
      </c>
      <c r="J812" s="217">
        <f t="shared" si="374"/>
        <v>7029620.6650246317</v>
      </c>
    </row>
    <row r="813" spans="1:10" s="186" customFormat="1" x14ac:dyDescent="0.25">
      <c r="A813" s="212" t="s">
        <v>31</v>
      </c>
      <c r="B813" s="92">
        <f t="shared" ref="B813:I813" si="379">2155*B794</f>
        <v>101285</v>
      </c>
      <c r="C813" s="92">
        <f t="shared" si="379"/>
        <v>150850</v>
      </c>
      <c r="D813" s="92">
        <f t="shared" si="379"/>
        <v>176710</v>
      </c>
      <c r="E813" s="92">
        <f t="shared" si="379"/>
        <v>215500</v>
      </c>
      <c r="F813" s="92">
        <f t="shared" si="379"/>
        <v>491340</v>
      </c>
      <c r="G813" s="31">
        <f t="shared" si="379"/>
        <v>607710</v>
      </c>
      <c r="H813" s="31">
        <f t="shared" si="379"/>
        <v>624950</v>
      </c>
      <c r="I813" s="31">
        <f t="shared" si="379"/>
        <v>2368345</v>
      </c>
      <c r="J813" s="32">
        <f t="shared" si="374"/>
        <v>338335</v>
      </c>
    </row>
    <row r="814" spans="1:10" s="186" customFormat="1" x14ac:dyDescent="0.25">
      <c r="A814" s="218" t="s">
        <v>32</v>
      </c>
      <c r="B814" s="199">
        <f>B813+B812</f>
        <v>3097241.3793103448</v>
      </c>
      <c r="C814" s="199">
        <f>C813+C812</f>
        <v>4094310.3448275863</v>
      </c>
      <c r="D814" s="199">
        <f>D813+D812</f>
        <v>3655258.6206896557</v>
      </c>
      <c r="E814" s="199">
        <f>E813+E812</f>
        <v>5015000</v>
      </c>
      <c r="F814" s="199">
        <f>F812+F813</f>
        <v>9751120.6896551736</v>
      </c>
      <c r="G814" s="199">
        <f>G813+G812</f>
        <v>13006465.517241381</v>
      </c>
      <c r="H814" s="199">
        <f>H813+H812</f>
        <v>12956293.103448277</v>
      </c>
      <c r="I814" s="199">
        <f>I812+I813</f>
        <v>51575689.655172423</v>
      </c>
      <c r="J814" s="219">
        <f t="shared" si="374"/>
        <v>7367955.6650246317</v>
      </c>
    </row>
    <row r="815" spans="1:10" s="186" customFormat="1" x14ac:dyDescent="0.25">
      <c r="A815" s="212" t="s">
        <v>33</v>
      </c>
      <c r="B815" s="94">
        <f>B814*16%</f>
        <v>495558.62068965519</v>
      </c>
      <c r="C815" s="94">
        <f t="shared" ref="C815:H815" si="380">C814*16%</f>
        <v>655089.6551724138</v>
      </c>
      <c r="D815" s="94">
        <f t="shared" si="380"/>
        <v>584841.37931034493</v>
      </c>
      <c r="E815" s="94">
        <f t="shared" si="380"/>
        <v>802400</v>
      </c>
      <c r="F815" s="94">
        <f t="shared" si="380"/>
        <v>1560179.3103448278</v>
      </c>
      <c r="G815" s="94">
        <f t="shared" si="380"/>
        <v>2081034.482758621</v>
      </c>
      <c r="H815" s="94">
        <f t="shared" si="380"/>
        <v>2073006.8965517245</v>
      </c>
      <c r="I815" s="94">
        <f>I814*16%</f>
        <v>8252110.3448275877</v>
      </c>
      <c r="J815" s="32">
        <f t="shared" si="374"/>
        <v>1178872.9064039411</v>
      </c>
    </row>
    <row r="816" spans="1:10" s="186" customFormat="1" x14ac:dyDescent="0.25">
      <c r="A816" s="220" t="s">
        <v>34</v>
      </c>
      <c r="B816" s="202">
        <f>B814+B815</f>
        <v>3592800</v>
      </c>
      <c r="C816" s="202">
        <f t="shared" ref="C816:H816" si="381">C814+C815</f>
        <v>4749400</v>
      </c>
      <c r="D816" s="202">
        <f t="shared" si="381"/>
        <v>4240100.0000000009</v>
      </c>
      <c r="E816" s="202">
        <f t="shared" si="381"/>
        <v>5817400</v>
      </c>
      <c r="F816" s="202">
        <f t="shared" si="381"/>
        <v>11311300.000000002</v>
      </c>
      <c r="G816" s="202">
        <f t="shared" si="381"/>
        <v>15087500.000000002</v>
      </c>
      <c r="H816" s="202">
        <f t="shared" si="381"/>
        <v>15029300.000000002</v>
      </c>
      <c r="I816" s="202">
        <f>I814+I815</f>
        <v>59827800.000000007</v>
      </c>
      <c r="J816" s="221">
        <f t="shared" si="374"/>
        <v>8546828.5714285728</v>
      </c>
    </row>
    <row r="817" spans="1:10" s="186" customFormat="1" x14ac:dyDescent="0.25">
      <c r="A817" s="204"/>
      <c r="B817" s="112"/>
      <c r="C817" s="112"/>
      <c r="D817" s="112"/>
      <c r="E817" s="112"/>
      <c r="F817" s="112"/>
      <c r="G817" s="112"/>
      <c r="H817" s="112"/>
      <c r="I817" s="112"/>
      <c r="J817" s="205"/>
    </row>
    <row r="818" spans="1:10" s="186" customFormat="1" ht="15.75" thickBot="1" x14ac:dyDescent="0.3">
      <c r="A818" s="204"/>
      <c r="B818" s="112"/>
      <c r="C818" s="112"/>
      <c r="D818" s="112"/>
      <c r="E818" s="112"/>
      <c r="F818" s="112"/>
      <c r="G818" s="112"/>
      <c r="H818" s="112"/>
      <c r="I818" s="112"/>
      <c r="J818" s="205"/>
    </row>
    <row r="819" spans="1:10" s="186" customFormat="1" ht="26.25" x14ac:dyDescent="0.25">
      <c r="A819"/>
      <c r="B819" s="1002" t="s">
        <v>240</v>
      </c>
      <c r="C819" s="1002"/>
      <c r="D819" s="1002"/>
      <c r="E819" s="1002"/>
      <c r="F819" s="1002"/>
      <c r="G819" s="1002"/>
      <c r="H819" s="1002"/>
      <c r="I819"/>
      <c r="J819"/>
    </row>
    <row r="820" spans="1:10" s="186" customFormat="1" ht="15.75" x14ac:dyDescent="0.25">
      <c r="A820" s="207" t="s">
        <v>2</v>
      </c>
      <c r="B820" s="121" t="s">
        <v>241</v>
      </c>
      <c r="C820" s="121" t="s">
        <v>242</v>
      </c>
      <c r="D820" s="121" t="s">
        <v>243</v>
      </c>
      <c r="E820" s="121" t="s">
        <v>244</v>
      </c>
      <c r="F820" s="121" t="s">
        <v>245</v>
      </c>
      <c r="G820" s="121" t="s">
        <v>246</v>
      </c>
      <c r="H820" s="121" t="s">
        <v>247</v>
      </c>
      <c r="I820" s="121" t="s">
        <v>96</v>
      </c>
      <c r="J820" s="209" t="s">
        <v>97</v>
      </c>
    </row>
    <row r="821" spans="1:10" s="186" customFormat="1" x14ac:dyDescent="0.25">
      <c r="A821" s="210" t="s">
        <v>11</v>
      </c>
      <c r="B821" s="189">
        <v>145</v>
      </c>
      <c r="C821" s="189">
        <v>138</v>
      </c>
      <c r="D821" s="189">
        <v>183</v>
      </c>
      <c r="E821" s="190">
        <v>153</v>
      </c>
      <c r="F821" s="190">
        <v>435</v>
      </c>
      <c r="G821" s="190">
        <v>509</v>
      </c>
      <c r="H821" s="190">
        <v>490</v>
      </c>
      <c r="I821" s="190">
        <f>SUM(B821:H821)</f>
        <v>2053</v>
      </c>
      <c r="J821" s="211">
        <f>+I821/7</f>
        <v>293.28571428571428</v>
      </c>
    </row>
    <row r="822" spans="1:10" s="186" customFormat="1" x14ac:dyDescent="0.25">
      <c r="A822" s="212" t="s">
        <v>12</v>
      </c>
      <c r="B822" s="11">
        <v>68</v>
      </c>
      <c r="C822" s="11">
        <v>73</v>
      </c>
      <c r="D822" s="11">
        <v>92</v>
      </c>
      <c r="E822" s="11">
        <v>82</v>
      </c>
      <c r="F822" s="11">
        <v>256</v>
      </c>
      <c r="G822" s="11">
        <v>276</v>
      </c>
      <c r="H822" s="11">
        <v>295</v>
      </c>
      <c r="I822" s="11">
        <f>SUM('PEPE SIERRA '!$B822:$H822)</f>
        <v>1142</v>
      </c>
      <c r="J822" s="60">
        <f t="shared" ref="J822:J827" si="382">I822/7</f>
        <v>163.14285714285714</v>
      </c>
    </row>
    <row r="823" spans="1:10" s="186" customFormat="1" x14ac:dyDescent="0.25">
      <c r="A823" s="212" t="s">
        <v>13</v>
      </c>
      <c r="B823" s="11">
        <v>3</v>
      </c>
      <c r="C823" s="11">
        <v>3</v>
      </c>
      <c r="D823" s="11">
        <v>0</v>
      </c>
      <c r="E823" s="11">
        <v>2</v>
      </c>
      <c r="F823" s="11">
        <v>4</v>
      </c>
      <c r="G823" s="11">
        <v>8</v>
      </c>
      <c r="H823" s="11">
        <v>9</v>
      </c>
      <c r="I823" s="11">
        <f>SUM('PEPE SIERRA '!$B823:$H823)</f>
        <v>29</v>
      </c>
      <c r="J823" s="60">
        <f t="shared" si="382"/>
        <v>4.1428571428571432</v>
      </c>
    </row>
    <row r="824" spans="1:10" s="186" customFormat="1" x14ac:dyDescent="0.25">
      <c r="A824" s="212" t="s">
        <v>14</v>
      </c>
      <c r="B824" s="11">
        <v>53</v>
      </c>
      <c r="C824" s="11">
        <v>33</v>
      </c>
      <c r="D824" s="11">
        <v>49</v>
      </c>
      <c r="E824" s="11">
        <v>41</v>
      </c>
      <c r="F824" s="11">
        <v>67</v>
      </c>
      <c r="G824" s="11">
        <v>80</v>
      </c>
      <c r="H824" s="86">
        <v>66</v>
      </c>
      <c r="I824" s="11">
        <f>SUM('PEPE SIERRA '!$B824:$H824)</f>
        <v>389</v>
      </c>
      <c r="J824" s="60">
        <f t="shared" si="382"/>
        <v>55.571428571428569</v>
      </c>
    </row>
    <row r="825" spans="1:10" s="186" customFormat="1" x14ac:dyDescent="0.25">
      <c r="A825" s="212" t="s">
        <v>15</v>
      </c>
      <c r="B825" s="11">
        <v>5</v>
      </c>
      <c r="C825" s="11">
        <v>2</v>
      </c>
      <c r="D825" s="11">
        <v>20</v>
      </c>
      <c r="E825" s="11">
        <v>10</v>
      </c>
      <c r="F825" s="11">
        <v>29</v>
      </c>
      <c r="G825" s="11">
        <v>30</v>
      </c>
      <c r="H825" s="11">
        <v>36</v>
      </c>
      <c r="I825" s="11">
        <f>SUM('PEPE SIERRA '!$B825:$H825)</f>
        <v>132</v>
      </c>
      <c r="J825" s="60">
        <f t="shared" si="382"/>
        <v>18.857142857142858</v>
      </c>
    </row>
    <row r="826" spans="1:10" s="186" customFormat="1" x14ac:dyDescent="0.25">
      <c r="A826" s="212" t="s">
        <v>16</v>
      </c>
      <c r="B826" s="11">
        <v>0</v>
      </c>
      <c r="C826" s="11">
        <v>0</v>
      </c>
      <c r="D826" s="11">
        <v>1</v>
      </c>
      <c r="E826" s="11">
        <v>0</v>
      </c>
      <c r="F826" s="11">
        <v>1</v>
      </c>
      <c r="G826" s="11">
        <v>1</v>
      </c>
      <c r="H826" s="11">
        <v>1</v>
      </c>
      <c r="I826" s="11">
        <f>SUM('PEPE SIERRA '!$B826:$H826)</f>
        <v>4</v>
      </c>
      <c r="J826" s="60">
        <f t="shared" si="382"/>
        <v>0.5714285714285714</v>
      </c>
    </row>
    <row r="827" spans="1:10" s="186" customFormat="1" x14ac:dyDescent="0.25">
      <c r="A827" s="213" t="s">
        <v>17</v>
      </c>
      <c r="B827" s="192">
        <f>SUM(B822:B826)</f>
        <v>129</v>
      </c>
      <c r="C827" s="192">
        <f t="shared" ref="C827:I827" si="383">SUM(C822:C826)</f>
        <v>111</v>
      </c>
      <c r="D827" s="192">
        <f t="shared" si="383"/>
        <v>162</v>
      </c>
      <c r="E827" s="192">
        <f t="shared" si="383"/>
        <v>135</v>
      </c>
      <c r="F827" s="192">
        <f t="shared" si="383"/>
        <v>357</v>
      </c>
      <c r="G827" s="192">
        <f t="shared" si="383"/>
        <v>395</v>
      </c>
      <c r="H827" s="192">
        <f t="shared" si="383"/>
        <v>407</v>
      </c>
      <c r="I827" s="192">
        <f t="shared" si="383"/>
        <v>1696</v>
      </c>
      <c r="J827" s="214">
        <f t="shared" si="382"/>
        <v>242.28571428571428</v>
      </c>
    </row>
    <row r="828" spans="1:10" s="186" customFormat="1" x14ac:dyDescent="0.25">
      <c r="A828" s="212" t="s">
        <v>18</v>
      </c>
      <c r="B828" s="30">
        <v>0.57999999999999996</v>
      </c>
      <c r="C828" s="30">
        <v>0.7</v>
      </c>
      <c r="D828" s="30">
        <v>0.65</v>
      </c>
      <c r="E828" s="30">
        <v>0.7</v>
      </c>
      <c r="F828" s="30">
        <v>0.78</v>
      </c>
      <c r="G828" s="30">
        <v>0.73</v>
      </c>
      <c r="H828" s="30">
        <v>0.75</v>
      </c>
      <c r="I828" s="30">
        <f>I835/I840</f>
        <v>0.72342523160726024</v>
      </c>
      <c r="J828" s="160">
        <f>J835/J840</f>
        <v>0.72342523160726024</v>
      </c>
    </row>
    <row r="829" spans="1:10" s="186" customFormat="1" x14ac:dyDescent="0.25">
      <c r="A829" s="212" t="s">
        <v>19</v>
      </c>
      <c r="B829" s="30">
        <v>0.05</v>
      </c>
      <c r="C829" s="30">
        <v>0.03</v>
      </c>
      <c r="D829" s="30">
        <v>0</v>
      </c>
      <c r="E829" s="30">
        <v>0.01</v>
      </c>
      <c r="F829" s="30">
        <v>0</v>
      </c>
      <c r="G829" s="30">
        <v>0.03</v>
      </c>
      <c r="H829" s="30">
        <v>0.02</v>
      </c>
      <c r="I829" s="30">
        <f>I836/I840</f>
        <v>1.831529454066623E-2</v>
      </c>
      <c r="J829" s="160">
        <f>J836/J840</f>
        <v>1.8315294540666233E-2</v>
      </c>
    </row>
    <row r="830" spans="1:10" s="186" customFormat="1" x14ac:dyDescent="0.25">
      <c r="A830" s="212" t="s">
        <v>20</v>
      </c>
      <c r="B830" s="30">
        <v>0.34</v>
      </c>
      <c r="C830" s="30">
        <v>0.26</v>
      </c>
      <c r="D830" s="30">
        <v>0.24</v>
      </c>
      <c r="E830" s="30">
        <v>0.24</v>
      </c>
      <c r="F830" s="30">
        <v>0.15</v>
      </c>
      <c r="G830" s="30">
        <v>0.18</v>
      </c>
      <c r="H830" s="30">
        <v>0.14000000000000001</v>
      </c>
      <c r="I830" s="30">
        <f>I837/I840</f>
        <v>0.19054025839587968</v>
      </c>
      <c r="J830" s="160">
        <f>J837/J840</f>
        <v>0.19054025839587971</v>
      </c>
    </row>
    <row r="831" spans="1:10" s="186" customFormat="1" x14ac:dyDescent="0.25">
      <c r="A831" s="212" t="s">
        <v>21</v>
      </c>
      <c r="B831" s="30">
        <v>0.03</v>
      </c>
      <c r="C831" s="30">
        <v>0.01</v>
      </c>
      <c r="D831" s="30">
        <v>0.1</v>
      </c>
      <c r="E831" s="30">
        <v>0.05</v>
      </c>
      <c r="F831" s="30">
        <v>7.0000000000000007E-2</v>
      </c>
      <c r="G831" s="30">
        <v>0.06</v>
      </c>
      <c r="H831" s="30">
        <v>0.09</v>
      </c>
      <c r="I831" s="30">
        <f>I838/I840</f>
        <v>6.6824279788334495E-2</v>
      </c>
      <c r="J831" s="160">
        <f>J838/J840</f>
        <v>6.6824279788334495E-2</v>
      </c>
    </row>
    <row r="832" spans="1:10" s="186" customFormat="1" x14ac:dyDescent="0.25">
      <c r="A832" s="212" t="s">
        <v>22</v>
      </c>
      <c r="B832" s="30">
        <v>0</v>
      </c>
      <c r="C832" s="30">
        <v>0</v>
      </c>
      <c r="D832" s="30">
        <v>0.01</v>
      </c>
      <c r="E832" s="30">
        <v>0</v>
      </c>
      <c r="F832" s="30">
        <v>0</v>
      </c>
      <c r="G832" s="30">
        <v>0</v>
      </c>
      <c r="H832" s="30">
        <v>0</v>
      </c>
      <c r="I832" s="30">
        <f>I839/I840</f>
        <v>8.9493566785934305E-4</v>
      </c>
      <c r="J832" s="160">
        <f>J839/J840</f>
        <v>8.9493566785934316E-4</v>
      </c>
    </row>
    <row r="833" spans="1:10" s="186" customFormat="1" x14ac:dyDescent="0.25">
      <c r="A833" s="215" t="s">
        <v>23</v>
      </c>
      <c r="B833" s="66">
        <f t="shared" ref="B833:J833" si="384">B844/B827</f>
        <v>35637.984496124031</v>
      </c>
      <c r="C833" s="66">
        <f t="shared" si="384"/>
        <v>38205.405405405407</v>
      </c>
      <c r="D833" s="66">
        <f t="shared" si="384"/>
        <v>36093.827160493827</v>
      </c>
      <c r="E833" s="66">
        <f t="shared" si="384"/>
        <v>38611.851851851854</v>
      </c>
      <c r="F833" s="66">
        <f t="shared" si="384"/>
        <v>39271.708683473393</v>
      </c>
      <c r="G833" s="66">
        <f t="shared" si="384"/>
        <v>39943.037974683546</v>
      </c>
      <c r="H833" s="66">
        <f t="shared" si="384"/>
        <v>39130.466830466838</v>
      </c>
      <c r="I833" s="66">
        <f t="shared" si="384"/>
        <v>38691.922169811325</v>
      </c>
      <c r="J833" s="67">
        <f t="shared" si="384"/>
        <v>38691.922169811332</v>
      </c>
    </row>
    <row r="834" spans="1:10" s="186" customFormat="1" x14ac:dyDescent="0.25">
      <c r="A834" s="215" t="s">
        <v>24</v>
      </c>
      <c r="B834" s="66">
        <f t="shared" ref="B834:I834" si="385">+B844/B821</f>
        <v>31705.517241379312</v>
      </c>
      <c r="C834" s="66">
        <f t="shared" si="385"/>
        <v>30730.434782608696</v>
      </c>
      <c r="D834" s="66">
        <f t="shared" si="385"/>
        <v>31951.912568306012</v>
      </c>
      <c r="E834" s="66">
        <f t="shared" si="385"/>
        <v>34069.281045751632</v>
      </c>
      <c r="F834" s="66">
        <f t="shared" si="385"/>
        <v>32229.885057471263</v>
      </c>
      <c r="G834" s="66">
        <f t="shared" si="385"/>
        <v>30997.053045186643</v>
      </c>
      <c r="H834" s="66">
        <f t="shared" si="385"/>
        <v>32502.244897959186</v>
      </c>
      <c r="I834" s="66">
        <f t="shared" si="385"/>
        <v>31963.711641500246</v>
      </c>
      <c r="J834" s="67">
        <f>J844/J821</f>
        <v>31963.711641500249</v>
      </c>
    </row>
    <row r="835" spans="1:10" s="186" customFormat="1" x14ac:dyDescent="0.25">
      <c r="A835" s="212" t="s">
        <v>25</v>
      </c>
      <c r="B835" s="92">
        <f t="shared" ref="B835:H835" si="386">B840*B828</f>
        <v>2213656.8000000003</v>
      </c>
      <c r="C835" s="92">
        <f t="shared" si="386"/>
        <v>2448982.9482758623</v>
      </c>
      <c r="D835" s="92">
        <f t="shared" si="386"/>
        <v>3147579.2758620693</v>
      </c>
      <c r="E835" s="92">
        <f t="shared" si="386"/>
        <v>3021837.4827586208</v>
      </c>
      <c r="F835" s="92">
        <f t="shared" si="386"/>
        <v>8996930.9793103449</v>
      </c>
      <c r="G835" s="31">
        <f t="shared" si="386"/>
        <v>9494754.565517243</v>
      </c>
      <c r="H835" s="31">
        <f t="shared" si="386"/>
        <v>9820253.6637931056</v>
      </c>
      <c r="I835" s="31">
        <f t="shared" ref="I835:I840" si="387">SUM(B835:H835)</f>
        <v>39143995.715517245</v>
      </c>
      <c r="J835" s="32">
        <f t="shared" ref="J835:J844" si="388">I835/7</f>
        <v>5591999.3879310349</v>
      </c>
    </row>
    <row r="836" spans="1:10" s="186" customFormat="1" x14ac:dyDescent="0.25">
      <c r="A836" s="212" t="s">
        <v>26</v>
      </c>
      <c r="B836" s="92">
        <f t="shared" ref="B836:H836" si="389">B840*B829</f>
        <v>190832.48275862072</v>
      </c>
      <c r="C836" s="92">
        <f t="shared" si="389"/>
        <v>104956.41206896552</v>
      </c>
      <c r="D836" s="92">
        <f t="shared" si="389"/>
        <v>0</v>
      </c>
      <c r="E836" s="92">
        <f t="shared" si="389"/>
        <v>43169.106896551726</v>
      </c>
      <c r="F836" s="92">
        <f t="shared" si="389"/>
        <v>0</v>
      </c>
      <c r="G836" s="31">
        <f t="shared" si="389"/>
        <v>390195.39310344832</v>
      </c>
      <c r="H836" s="31">
        <f t="shared" si="389"/>
        <v>261873.43103448281</v>
      </c>
      <c r="I836" s="31">
        <f t="shared" si="387"/>
        <v>991026.82586206915</v>
      </c>
      <c r="J836" s="32">
        <f t="shared" si="388"/>
        <v>141575.26083743846</v>
      </c>
    </row>
    <row r="837" spans="1:10" s="186" customFormat="1" x14ac:dyDescent="0.25">
      <c r="A837" s="212" t="s">
        <v>27</v>
      </c>
      <c r="B837" s="92">
        <f t="shared" ref="B837:H837" si="390">B840*B830</f>
        <v>1297660.8827586209</v>
      </c>
      <c r="C837" s="92">
        <f t="shared" si="390"/>
        <v>909622.23793103453</v>
      </c>
      <c r="D837" s="92">
        <f t="shared" si="390"/>
        <v>1162183.1172413793</v>
      </c>
      <c r="E837" s="92">
        <f t="shared" si="390"/>
        <v>1036058.5655172414</v>
      </c>
      <c r="F837" s="92">
        <f t="shared" si="390"/>
        <v>1730179.0344827587</v>
      </c>
      <c r="G837" s="31">
        <f t="shared" si="390"/>
        <v>2341172.3586206897</v>
      </c>
      <c r="H837" s="31">
        <f t="shared" si="390"/>
        <v>1833114.0172413797</v>
      </c>
      <c r="I837" s="31">
        <f t="shared" si="387"/>
        <v>10309990.213793105</v>
      </c>
      <c r="J837" s="32">
        <f t="shared" si="388"/>
        <v>1472855.7448275865</v>
      </c>
    </row>
    <row r="838" spans="1:10" s="186" customFormat="1" x14ac:dyDescent="0.25">
      <c r="A838" s="212" t="s">
        <v>28</v>
      </c>
      <c r="B838" s="92">
        <f t="shared" ref="B838:H838" si="391">B840*B831</f>
        <v>114499.48965517242</v>
      </c>
      <c r="C838" s="92">
        <f t="shared" si="391"/>
        <v>34985.470689655172</v>
      </c>
      <c r="D838" s="92">
        <f t="shared" si="391"/>
        <v>484242.96551724145</v>
      </c>
      <c r="E838" s="92">
        <f t="shared" si="391"/>
        <v>215845.53448275864</v>
      </c>
      <c r="F838" s="92">
        <f t="shared" si="391"/>
        <v>807416.88275862078</v>
      </c>
      <c r="G838" s="31">
        <f t="shared" si="391"/>
        <v>780390.78620689665</v>
      </c>
      <c r="H838" s="31">
        <f t="shared" si="391"/>
        <v>1178430.4396551724</v>
      </c>
      <c r="I838" s="31">
        <f t="shared" si="387"/>
        <v>3615811.5689655179</v>
      </c>
      <c r="J838" s="32">
        <f t="shared" si="388"/>
        <v>516544.50985221687</v>
      </c>
    </row>
    <row r="839" spans="1:10" s="186" customFormat="1" x14ac:dyDescent="0.25">
      <c r="A839" s="212" t="s">
        <v>29</v>
      </c>
      <c r="B839" s="92">
        <f>B840*B832</f>
        <v>0</v>
      </c>
      <c r="C839" s="92">
        <f t="shared" ref="C839:H839" si="392">C840*C832</f>
        <v>0</v>
      </c>
      <c r="D839" s="92">
        <f t="shared" si="392"/>
        <v>48424.296551724139</v>
      </c>
      <c r="E839" s="92">
        <f t="shared" si="392"/>
        <v>0</v>
      </c>
      <c r="F839" s="92">
        <f t="shared" si="392"/>
        <v>0</v>
      </c>
      <c r="G839" s="31">
        <f t="shared" si="392"/>
        <v>0</v>
      </c>
      <c r="H839" s="31">
        <f t="shared" si="392"/>
        <v>0</v>
      </c>
      <c r="I839" s="31">
        <f t="shared" si="387"/>
        <v>48424.296551724139</v>
      </c>
      <c r="J839" s="32">
        <f t="shared" si="388"/>
        <v>6917.756650246306</v>
      </c>
    </row>
    <row r="840" spans="1:10" s="186" customFormat="1" x14ac:dyDescent="0.25">
      <c r="A840" s="216" t="s">
        <v>30</v>
      </c>
      <c r="B840" s="222">
        <f>(4597300/1.16)-B841</f>
        <v>3816649.6551724141</v>
      </c>
      <c r="C840" s="222">
        <f>(4240800/1.16)-C841</f>
        <v>3498547.0689655175</v>
      </c>
      <c r="D840" s="222">
        <f>(5847200/1.16)-D841</f>
        <v>4842429.6551724141</v>
      </c>
      <c r="E840" s="222">
        <f>(5212600/1.16)-E841</f>
        <v>4316910.6896551726</v>
      </c>
      <c r="F840" s="222">
        <f>(14020000/1.16)-F841</f>
        <v>11534526.896551725</v>
      </c>
      <c r="G840" s="222">
        <f>(15777500/1.16)-G841</f>
        <v>13006513.103448277</v>
      </c>
      <c r="H840" s="222">
        <f>(15926100/1.16)-H841</f>
        <v>13093671.55172414</v>
      </c>
      <c r="I840" s="197">
        <f t="shared" si="387"/>
        <v>54109248.62068966</v>
      </c>
      <c r="J840" s="217">
        <f t="shared" si="388"/>
        <v>7729892.6600985229</v>
      </c>
    </row>
    <row r="841" spans="1:10" s="186" customFormat="1" x14ac:dyDescent="0.25">
      <c r="A841" s="212" t="s">
        <v>31</v>
      </c>
      <c r="B841" s="92">
        <f t="shared" ref="B841:I841" si="393">2155*B822</f>
        <v>146540</v>
      </c>
      <c r="C841" s="92">
        <f t="shared" si="393"/>
        <v>157315</v>
      </c>
      <c r="D841" s="92">
        <f t="shared" si="393"/>
        <v>198260</v>
      </c>
      <c r="E841" s="92">
        <f t="shared" si="393"/>
        <v>176710</v>
      </c>
      <c r="F841" s="92">
        <f t="shared" si="393"/>
        <v>551680</v>
      </c>
      <c r="G841" s="31">
        <f t="shared" si="393"/>
        <v>594780</v>
      </c>
      <c r="H841" s="31">
        <f t="shared" si="393"/>
        <v>635725</v>
      </c>
      <c r="I841" s="31">
        <f t="shared" si="393"/>
        <v>2461010</v>
      </c>
      <c r="J841" s="32">
        <f t="shared" si="388"/>
        <v>351572.85714285716</v>
      </c>
    </row>
    <row r="842" spans="1:10" s="186" customFormat="1" x14ac:dyDescent="0.25">
      <c r="A842" s="218" t="s">
        <v>32</v>
      </c>
      <c r="B842" s="199">
        <f>B841+B840</f>
        <v>3963189.6551724141</v>
      </c>
      <c r="C842" s="199">
        <f>C841+C840</f>
        <v>3655862.0689655175</v>
      </c>
      <c r="D842" s="199">
        <f>D841+D840</f>
        <v>5040689.6551724141</v>
      </c>
      <c r="E842" s="199">
        <f>E841+E840</f>
        <v>4493620.6896551726</v>
      </c>
      <c r="F842" s="199">
        <f>F840+F841</f>
        <v>12086206.896551725</v>
      </c>
      <c r="G842" s="199">
        <f>G841+G840</f>
        <v>13601293.103448277</v>
      </c>
      <c r="H842" s="199">
        <f>H841+H840</f>
        <v>13729396.55172414</v>
      </c>
      <c r="I842" s="199">
        <f>I840+I841</f>
        <v>56570258.62068966</v>
      </c>
      <c r="J842" s="219">
        <f t="shared" si="388"/>
        <v>8081465.5172413802</v>
      </c>
    </row>
    <row r="843" spans="1:10" s="186" customFormat="1" x14ac:dyDescent="0.25">
      <c r="A843" s="212" t="s">
        <v>33</v>
      </c>
      <c r="B843" s="94">
        <f>B842*16%</f>
        <v>634110.34482758632</v>
      </c>
      <c r="C843" s="94">
        <f t="shared" ref="C843:H843" si="394">C842*16%</f>
        <v>584937.93103448278</v>
      </c>
      <c r="D843" s="94">
        <f t="shared" si="394"/>
        <v>806510.34482758632</v>
      </c>
      <c r="E843" s="94">
        <f t="shared" si="394"/>
        <v>718979.31034482759</v>
      </c>
      <c r="F843" s="94">
        <f t="shared" si="394"/>
        <v>1933793.1034482759</v>
      </c>
      <c r="G843" s="94">
        <f t="shared" si="394"/>
        <v>2176206.8965517245</v>
      </c>
      <c r="H843" s="94">
        <f t="shared" si="394"/>
        <v>2196703.4482758623</v>
      </c>
      <c r="I843" s="94">
        <f>I842*16%</f>
        <v>9051241.3793103453</v>
      </c>
      <c r="J843" s="32">
        <f t="shared" si="388"/>
        <v>1293034.4827586208</v>
      </c>
    </row>
    <row r="844" spans="1:10" s="186" customFormat="1" x14ac:dyDescent="0.25">
      <c r="A844" s="220" t="s">
        <v>34</v>
      </c>
      <c r="B844" s="202">
        <f>B842+B843</f>
        <v>4597300</v>
      </c>
      <c r="C844" s="202">
        <f t="shared" ref="C844:H844" si="395">C842+C843</f>
        <v>4240800</v>
      </c>
      <c r="D844" s="202">
        <f t="shared" si="395"/>
        <v>5847200</v>
      </c>
      <c r="E844" s="202">
        <f t="shared" si="395"/>
        <v>5212600</v>
      </c>
      <c r="F844" s="202">
        <f t="shared" si="395"/>
        <v>14020000</v>
      </c>
      <c r="G844" s="202">
        <f t="shared" si="395"/>
        <v>15777500.000000002</v>
      </c>
      <c r="H844" s="202">
        <f t="shared" si="395"/>
        <v>15926100.000000002</v>
      </c>
      <c r="I844" s="202">
        <f>I842+I843</f>
        <v>65621500.000000007</v>
      </c>
      <c r="J844" s="221">
        <f t="shared" si="388"/>
        <v>9374500.0000000019</v>
      </c>
    </row>
    <row r="845" spans="1:10" s="186" customFormat="1" x14ac:dyDescent="0.25">
      <c r="A845" s="204"/>
      <c r="B845" s="112"/>
      <c r="C845" s="112"/>
      <c r="D845" s="112"/>
      <c r="E845" s="112"/>
      <c r="F845" s="112"/>
      <c r="G845" s="112"/>
      <c r="H845" s="112"/>
      <c r="I845" s="112"/>
      <c r="J845" s="205"/>
    </row>
    <row r="846" spans="1:10" s="186" customFormat="1" ht="15.75" thickBot="1" x14ac:dyDescent="0.3">
      <c r="A846" s="204"/>
      <c r="B846" s="112"/>
      <c r="C846" s="112"/>
      <c r="D846" s="112"/>
      <c r="E846" s="112"/>
      <c r="F846" s="112"/>
      <c r="G846" s="112"/>
      <c r="H846" s="112"/>
      <c r="I846" s="112"/>
      <c r="J846" s="205"/>
    </row>
    <row r="847" spans="1:10" s="186" customFormat="1" ht="26.25" x14ac:dyDescent="0.25">
      <c r="A847"/>
      <c r="B847" s="1002" t="s">
        <v>248</v>
      </c>
      <c r="C847" s="1002"/>
      <c r="D847" s="1002"/>
      <c r="E847" s="1002"/>
      <c r="F847" s="1002"/>
      <c r="G847" s="1002"/>
      <c r="H847" s="1002"/>
      <c r="I847"/>
      <c r="J847"/>
    </row>
    <row r="848" spans="1:10" s="186" customFormat="1" ht="15.75" x14ac:dyDescent="0.25">
      <c r="A848" s="207" t="s">
        <v>2</v>
      </c>
      <c r="B848" s="121" t="s">
        <v>249</v>
      </c>
      <c r="C848" s="121" t="s">
        <v>250</v>
      </c>
      <c r="D848" s="121" t="s">
        <v>251</v>
      </c>
      <c r="E848" s="121" t="s">
        <v>220</v>
      </c>
      <c r="F848" s="121" t="s">
        <v>221</v>
      </c>
      <c r="G848" s="121" t="s">
        <v>222</v>
      </c>
      <c r="H848" s="121" t="s">
        <v>223</v>
      </c>
      <c r="I848" s="121" t="s">
        <v>96</v>
      </c>
      <c r="J848" s="209" t="s">
        <v>97</v>
      </c>
    </row>
    <row r="849" spans="1:10" s="186" customFormat="1" x14ac:dyDescent="0.25">
      <c r="A849" s="210" t="s">
        <v>11</v>
      </c>
      <c r="B849" s="189">
        <v>133</v>
      </c>
      <c r="C849" s="189">
        <v>200</v>
      </c>
      <c r="D849" s="189">
        <v>142</v>
      </c>
      <c r="E849" s="190">
        <v>186</v>
      </c>
      <c r="F849" s="190">
        <v>351</v>
      </c>
      <c r="G849" s="190">
        <v>481</v>
      </c>
      <c r="H849" s="190">
        <v>382</v>
      </c>
      <c r="I849" s="190">
        <f>SUM(B849:H849)</f>
        <v>1875</v>
      </c>
      <c r="J849" s="211">
        <f>+I849/7</f>
        <v>267.85714285714283</v>
      </c>
    </row>
    <row r="850" spans="1:10" s="186" customFormat="1" x14ac:dyDescent="0.25">
      <c r="A850" s="212" t="s">
        <v>12</v>
      </c>
      <c r="B850" s="11">
        <v>79</v>
      </c>
      <c r="C850" s="11">
        <v>90</v>
      </c>
      <c r="D850" s="11">
        <v>105</v>
      </c>
      <c r="E850" s="11">
        <v>101</v>
      </c>
      <c r="F850" s="11">
        <v>203</v>
      </c>
      <c r="G850" s="11">
        <v>258</v>
      </c>
      <c r="H850" s="11">
        <v>237</v>
      </c>
      <c r="I850" s="11">
        <f>SUM('PEPE SIERRA '!$B850:$H850)</f>
        <v>1073</v>
      </c>
      <c r="J850" s="60">
        <f t="shared" ref="J850:J855" si="396">I850/7</f>
        <v>153.28571428571428</v>
      </c>
    </row>
    <row r="851" spans="1:10" s="186" customFormat="1" x14ac:dyDescent="0.25">
      <c r="A851" s="212" t="s">
        <v>13</v>
      </c>
      <c r="B851" s="11">
        <v>2</v>
      </c>
      <c r="C851" s="11">
        <v>3</v>
      </c>
      <c r="D851" s="11">
        <v>1</v>
      </c>
      <c r="E851" s="11">
        <v>4</v>
      </c>
      <c r="F851" s="11">
        <v>4</v>
      </c>
      <c r="G851" s="11">
        <v>3</v>
      </c>
      <c r="H851" s="11">
        <v>4</v>
      </c>
      <c r="I851" s="11">
        <f>SUM('PEPE SIERRA '!$B851:$H851)</f>
        <v>21</v>
      </c>
      <c r="J851" s="60">
        <f t="shared" si="396"/>
        <v>3</v>
      </c>
    </row>
    <row r="852" spans="1:10" s="186" customFormat="1" x14ac:dyDescent="0.25">
      <c r="A852" s="212" t="s">
        <v>14</v>
      </c>
      <c r="B852" s="11">
        <v>23</v>
      </c>
      <c r="C852" s="11">
        <v>49</v>
      </c>
      <c r="D852" s="11">
        <v>33</v>
      </c>
      <c r="E852" s="11">
        <v>41</v>
      </c>
      <c r="F852" s="11">
        <v>75</v>
      </c>
      <c r="G852" s="11">
        <v>86</v>
      </c>
      <c r="H852" s="86">
        <v>75</v>
      </c>
      <c r="I852" s="11">
        <f>SUM('PEPE SIERRA '!$B852:$H852)</f>
        <v>382</v>
      </c>
      <c r="J852" s="60">
        <f t="shared" si="396"/>
        <v>54.571428571428569</v>
      </c>
    </row>
    <row r="853" spans="1:10" s="186" customFormat="1" x14ac:dyDescent="0.25">
      <c r="A853" s="212" t="s">
        <v>15</v>
      </c>
      <c r="B853" s="11">
        <v>11</v>
      </c>
      <c r="C853" s="11">
        <v>13</v>
      </c>
      <c r="D853" s="11">
        <v>3</v>
      </c>
      <c r="E853" s="11">
        <v>14</v>
      </c>
      <c r="F853" s="11">
        <v>26</v>
      </c>
      <c r="G853" s="11">
        <v>33</v>
      </c>
      <c r="H853" s="11">
        <v>18</v>
      </c>
      <c r="I853" s="11">
        <f>SUM('PEPE SIERRA '!$B853:$H853)</f>
        <v>118</v>
      </c>
      <c r="J853" s="60">
        <f t="shared" si="396"/>
        <v>16.857142857142858</v>
      </c>
    </row>
    <row r="854" spans="1:10" s="186" customFormat="1" x14ac:dyDescent="0.25">
      <c r="A854" s="212" t="s">
        <v>16</v>
      </c>
      <c r="B854" s="11">
        <v>0</v>
      </c>
      <c r="C854" s="11">
        <v>1</v>
      </c>
      <c r="D854" s="11">
        <v>0</v>
      </c>
      <c r="E854" s="11">
        <v>0</v>
      </c>
      <c r="F854" s="11">
        <v>0</v>
      </c>
      <c r="G854" s="11">
        <v>0</v>
      </c>
      <c r="H854" s="11">
        <v>1</v>
      </c>
      <c r="I854" s="11">
        <f>SUM('PEPE SIERRA '!$B854:$H854)</f>
        <v>2</v>
      </c>
      <c r="J854" s="60">
        <f t="shared" si="396"/>
        <v>0.2857142857142857</v>
      </c>
    </row>
    <row r="855" spans="1:10" s="186" customFormat="1" x14ac:dyDescent="0.25">
      <c r="A855" s="213" t="s">
        <v>17</v>
      </c>
      <c r="B855" s="192">
        <f>SUM(B850:B854)</f>
        <v>115</v>
      </c>
      <c r="C855" s="192">
        <f t="shared" ref="C855:I855" si="397">SUM(C850:C854)</f>
        <v>156</v>
      </c>
      <c r="D855" s="192">
        <f t="shared" si="397"/>
        <v>142</v>
      </c>
      <c r="E855" s="192">
        <f t="shared" si="397"/>
        <v>160</v>
      </c>
      <c r="F855" s="192">
        <f t="shared" si="397"/>
        <v>308</v>
      </c>
      <c r="G855" s="192">
        <f t="shared" si="397"/>
        <v>380</v>
      </c>
      <c r="H855" s="192">
        <f t="shared" si="397"/>
        <v>335</v>
      </c>
      <c r="I855" s="192">
        <f t="shared" si="397"/>
        <v>1596</v>
      </c>
      <c r="J855" s="214">
        <f t="shared" si="396"/>
        <v>228</v>
      </c>
    </row>
    <row r="856" spans="1:10" s="186" customFormat="1" x14ac:dyDescent="0.25">
      <c r="A856" s="212" t="s">
        <v>18</v>
      </c>
      <c r="B856" s="30">
        <v>0.71</v>
      </c>
      <c r="C856" s="30">
        <v>0.65</v>
      </c>
      <c r="D856" s="30">
        <v>0.75</v>
      </c>
      <c r="E856" s="30">
        <v>0.71</v>
      </c>
      <c r="F856" s="30">
        <v>0.7</v>
      </c>
      <c r="G856" s="30">
        <v>0.72</v>
      </c>
      <c r="H856" s="30">
        <v>0.73</v>
      </c>
      <c r="I856" s="30">
        <f>I863/I868</f>
        <v>0.71153355089396586</v>
      </c>
      <c r="J856" s="160">
        <f>J863/J868</f>
        <v>0.71153355089396597</v>
      </c>
    </row>
    <row r="857" spans="1:10" s="186" customFormat="1" x14ac:dyDescent="0.25">
      <c r="A857" s="212" t="s">
        <v>19</v>
      </c>
      <c r="B857" s="30">
        <v>0.02</v>
      </c>
      <c r="C857" s="30">
        <v>0.02</v>
      </c>
      <c r="D857" s="30">
        <v>0.01</v>
      </c>
      <c r="E857" s="30">
        <v>0.03</v>
      </c>
      <c r="F857" s="30">
        <v>0.01</v>
      </c>
      <c r="G857" s="30">
        <v>0.01</v>
      </c>
      <c r="H857" s="30">
        <v>0.01</v>
      </c>
      <c r="I857" s="30">
        <f>I864/I868</f>
        <v>1.3658537976412951E-2</v>
      </c>
      <c r="J857" s="160">
        <f>J864/J868</f>
        <v>1.3658537976412951E-2</v>
      </c>
    </row>
    <row r="858" spans="1:10" s="186" customFormat="1" x14ac:dyDescent="0.25">
      <c r="A858" s="212" t="s">
        <v>20</v>
      </c>
      <c r="B858" s="30">
        <v>0.18</v>
      </c>
      <c r="C858" s="30">
        <v>0.23</v>
      </c>
      <c r="D858" s="30">
        <v>0.23</v>
      </c>
      <c r="E858" s="30">
        <v>0.18</v>
      </c>
      <c r="F858" s="30">
        <v>0.22</v>
      </c>
      <c r="G858" s="30">
        <v>0.2</v>
      </c>
      <c r="H858" s="30">
        <v>0.2</v>
      </c>
      <c r="I858" s="30">
        <f>I865/I868</f>
        <v>0.20577965338398527</v>
      </c>
      <c r="J858" s="160">
        <f>J865/J868</f>
        <v>0.20577965338398527</v>
      </c>
    </row>
    <row r="859" spans="1:10" s="186" customFormat="1" x14ac:dyDescent="0.25">
      <c r="A859" s="212" t="s">
        <v>21</v>
      </c>
      <c r="B859" s="30">
        <v>0.09</v>
      </c>
      <c r="C859" s="30">
        <v>0.09</v>
      </c>
      <c r="D859" s="30">
        <v>0.01</v>
      </c>
      <c r="E859" s="30">
        <v>0.08</v>
      </c>
      <c r="F859" s="30">
        <v>7.0000000000000007E-2</v>
      </c>
      <c r="G859" s="30">
        <v>7.0000000000000007E-2</v>
      </c>
      <c r="H859" s="30">
        <v>0.06</v>
      </c>
      <c r="I859" s="30">
        <f>I866/I868</f>
        <v>6.7981580290263244E-2</v>
      </c>
      <c r="J859" s="160">
        <f>J866/J868</f>
        <v>6.7981580290263244E-2</v>
      </c>
    </row>
    <row r="860" spans="1:10" s="186" customFormat="1" x14ac:dyDescent="0.25">
      <c r="A860" s="212" t="s">
        <v>22</v>
      </c>
      <c r="B860" s="30">
        <v>0</v>
      </c>
      <c r="C860" s="30">
        <v>0.01</v>
      </c>
      <c r="D860" s="30"/>
      <c r="E860" s="30">
        <v>0</v>
      </c>
      <c r="F860" s="30">
        <v>0</v>
      </c>
      <c r="G860" s="30">
        <v>0</v>
      </c>
      <c r="H860" s="30">
        <v>0</v>
      </c>
      <c r="I860" s="30">
        <f>I867/I868</f>
        <v>1.0466774553725873E-3</v>
      </c>
      <c r="J860" s="160">
        <f>J867/J868</f>
        <v>1.0466774553725873E-3</v>
      </c>
    </row>
    <row r="861" spans="1:10" s="186" customFormat="1" x14ac:dyDescent="0.25">
      <c r="A861" s="215" t="s">
        <v>23</v>
      </c>
      <c r="B861" s="66">
        <f t="shared" ref="B861:J861" si="398">B872/B855</f>
        <v>37135.65217391304</v>
      </c>
      <c r="C861" s="66">
        <f t="shared" si="398"/>
        <v>39464.10256410257</v>
      </c>
      <c r="D861" s="66">
        <f t="shared" si="398"/>
        <v>30913.380281690141</v>
      </c>
      <c r="E861" s="66">
        <f t="shared" si="398"/>
        <v>35103.125000000007</v>
      </c>
      <c r="F861" s="66">
        <f t="shared" si="398"/>
        <v>36470.77922077923</v>
      </c>
      <c r="G861" s="66">
        <f t="shared" si="398"/>
        <v>39591.315789473687</v>
      </c>
      <c r="H861" s="66">
        <f t="shared" si="398"/>
        <v>37732.53731343284</v>
      </c>
      <c r="I861" s="66">
        <f t="shared" si="398"/>
        <v>37187.531328320809</v>
      </c>
      <c r="J861" s="67">
        <f t="shared" si="398"/>
        <v>37187.531328320809</v>
      </c>
    </row>
    <row r="862" spans="1:10" s="186" customFormat="1" x14ac:dyDescent="0.25">
      <c r="A862" s="215" t="s">
        <v>24</v>
      </c>
      <c r="B862" s="66">
        <f t="shared" ref="B862:I862" si="399">+B872/B849</f>
        <v>32109.774436090225</v>
      </c>
      <c r="C862" s="66">
        <f t="shared" si="399"/>
        <v>30782.000000000004</v>
      </c>
      <c r="D862" s="66">
        <f t="shared" si="399"/>
        <v>30913.380281690141</v>
      </c>
      <c r="E862" s="66">
        <f t="shared" si="399"/>
        <v>30196.23655913979</v>
      </c>
      <c r="F862" s="66">
        <f t="shared" si="399"/>
        <v>32002.849002849009</v>
      </c>
      <c r="G862" s="66">
        <f t="shared" si="399"/>
        <v>31277.962577962579</v>
      </c>
      <c r="H862" s="66">
        <f t="shared" si="399"/>
        <v>33090.052356020948</v>
      </c>
      <c r="I862" s="66">
        <f t="shared" si="399"/>
        <v>31654.026666666672</v>
      </c>
      <c r="J862" s="67">
        <f>J872/J849</f>
        <v>31654.026666666672</v>
      </c>
    </row>
    <row r="863" spans="1:10" s="186" customFormat="1" x14ac:dyDescent="0.25">
      <c r="A863" s="212" t="s">
        <v>25</v>
      </c>
      <c r="B863" s="92">
        <f t="shared" ref="B863:H863" si="400">B868*B856</f>
        <v>2493027.7741379309</v>
      </c>
      <c r="C863" s="92">
        <f t="shared" si="400"/>
        <v>3323639.3965517245</v>
      </c>
      <c r="D863" s="92">
        <f t="shared" si="400"/>
        <v>2668461.8534482764</v>
      </c>
      <c r="E863" s="92">
        <f t="shared" si="400"/>
        <v>3283150.2948275865</v>
      </c>
      <c r="F863" s="92">
        <f t="shared" si="400"/>
        <v>6472308.9827586208</v>
      </c>
      <c r="G863" s="31">
        <f t="shared" si="400"/>
        <v>8937776.8551724143</v>
      </c>
      <c r="H863" s="31">
        <f t="shared" si="400"/>
        <v>7581897.9327586219</v>
      </c>
      <c r="I863" s="31">
        <f t="shared" ref="I863:I868" si="401">SUM(B863:H863)</f>
        <v>34760263.089655176</v>
      </c>
      <c r="J863" s="32">
        <f t="shared" ref="J863:J872" si="402">I863/7</f>
        <v>4965751.8699507397</v>
      </c>
    </row>
    <row r="864" spans="1:10" s="186" customFormat="1" x14ac:dyDescent="0.25">
      <c r="A864" s="212" t="s">
        <v>26</v>
      </c>
      <c r="B864" s="92">
        <f t="shared" ref="B864:H864" si="403">B868*B857</f>
        <v>70226.134482758629</v>
      </c>
      <c r="C864" s="92">
        <f t="shared" si="403"/>
        <v>102265.82758620691</v>
      </c>
      <c r="D864" s="92">
        <f t="shared" si="403"/>
        <v>35579.491379310348</v>
      </c>
      <c r="E864" s="92">
        <f t="shared" si="403"/>
        <v>138724.6603448276</v>
      </c>
      <c r="F864" s="92">
        <f t="shared" si="403"/>
        <v>92461.55689655173</v>
      </c>
      <c r="G864" s="31">
        <f t="shared" si="403"/>
        <v>124135.78965517241</v>
      </c>
      <c r="H864" s="31">
        <f t="shared" si="403"/>
        <v>103861.6155172414</v>
      </c>
      <c r="I864" s="31">
        <f t="shared" si="401"/>
        <v>667255.07586206903</v>
      </c>
      <c r="J864" s="32">
        <f t="shared" si="402"/>
        <v>95322.153694581284</v>
      </c>
    </row>
    <row r="865" spans="1:10" s="186" customFormat="1" x14ac:dyDescent="0.25">
      <c r="A865" s="212" t="s">
        <v>27</v>
      </c>
      <c r="B865" s="92">
        <f t="shared" ref="B865:H865" si="404">B868*B858</f>
        <v>632035.21034482762</v>
      </c>
      <c r="C865" s="92">
        <f t="shared" si="404"/>
        <v>1176057.0172413795</v>
      </c>
      <c r="D865" s="92">
        <f t="shared" si="404"/>
        <v>818328.30172413809</v>
      </c>
      <c r="E865" s="92">
        <f t="shared" si="404"/>
        <v>832347.96206896554</v>
      </c>
      <c r="F865" s="92">
        <f t="shared" si="404"/>
        <v>2034154.2517241382</v>
      </c>
      <c r="G865" s="31">
        <f t="shared" si="404"/>
        <v>2482715.7931034486</v>
      </c>
      <c r="H865" s="31">
        <f t="shared" si="404"/>
        <v>2077232.3103448281</v>
      </c>
      <c r="I865" s="31">
        <f t="shared" si="401"/>
        <v>10052870.846551726</v>
      </c>
      <c r="J865" s="32">
        <f t="shared" si="402"/>
        <v>1436124.4066502466</v>
      </c>
    </row>
    <row r="866" spans="1:10" s="186" customFormat="1" x14ac:dyDescent="0.25">
      <c r="A866" s="212" t="s">
        <v>28</v>
      </c>
      <c r="B866" s="92">
        <f t="shared" ref="B866:H866" si="405">B868*B859</f>
        <v>316017.60517241381</v>
      </c>
      <c r="C866" s="92">
        <f t="shared" si="405"/>
        <v>460196.22413793107</v>
      </c>
      <c r="D866" s="92">
        <f t="shared" si="405"/>
        <v>35579.491379310348</v>
      </c>
      <c r="E866" s="92">
        <f t="shared" si="405"/>
        <v>369932.42758620693</v>
      </c>
      <c r="F866" s="92">
        <f t="shared" si="405"/>
        <v>647230.89827586222</v>
      </c>
      <c r="G866" s="31">
        <f t="shared" si="405"/>
        <v>868950.52758620703</v>
      </c>
      <c r="H866" s="31">
        <f t="shared" si="405"/>
        <v>623169.69310344837</v>
      </c>
      <c r="I866" s="31">
        <f t="shared" si="401"/>
        <v>3321076.8672413798</v>
      </c>
      <c r="J866" s="32">
        <f t="shared" si="402"/>
        <v>474439.55246305425</v>
      </c>
    </row>
    <row r="867" spans="1:10" s="186" customFormat="1" x14ac:dyDescent="0.25">
      <c r="A867" s="212" t="s">
        <v>29</v>
      </c>
      <c r="B867" s="92">
        <f>B868*B860</f>
        <v>0</v>
      </c>
      <c r="C867" s="92">
        <f t="shared" ref="C867:H867" si="406">C868*C860</f>
        <v>51132.913793103457</v>
      </c>
      <c r="D867" s="92">
        <f t="shared" si="406"/>
        <v>0</v>
      </c>
      <c r="E867" s="92">
        <f t="shared" si="406"/>
        <v>0</v>
      </c>
      <c r="F867" s="92">
        <f t="shared" si="406"/>
        <v>0</v>
      </c>
      <c r="G867" s="31">
        <f t="shared" si="406"/>
        <v>0</v>
      </c>
      <c r="H867" s="31">
        <f t="shared" si="406"/>
        <v>0</v>
      </c>
      <c r="I867" s="31">
        <f t="shared" si="401"/>
        <v>51132.913793103457</v>
      </c>
      <c r="J867" s="32">
        <f t="shared" si="402"/>
        <v>7304.7019704433505</v>
      </c>
    </row>
    <row r="868" spans="1:10" s="186" customFormat="1" x14ac:dyDescent="0.25">
      <c r="A868" s="216" t="s">
        <v>30</v>
      </c>
      <c r="B868" s="222">
        <f>(4270600/1.16)-B869</f>
        <v>3511306.7241379311</v>
      </c>
      <c r="C868" s="222">
        <f>(6156400/1.16)-C869</f>
        <v>5113291.3793103453</v>
      </c>
      <c r="D868" s="222">
        <f>(4389700/1.16)-D869</f>
        <v>3557949.1379310349</v>
      </c>
      <c r="E868" s="222">
        <f>(5616500/1.16)-E869</f>
        <v>4624155.3448275868</v>
      </c>
      <c r="F868" s="222">
        <f>(11233000/1.16)-F869</f>
        <v>9246155.6896551736</v>
      </c>
      <c r="G868" s="222">
        <f>(15044700/1.16)-G869</f>
        <v>12413578.965517242</v>
      </c>
      <c r="H868" s="222">
        <f>(12640400/1.16)-H869</f>
        <v>10386161.55172414</v>
      </c>
      <c r="I868" s="197">
        <f t="shared" si="401"/>
        <v>48852598.793103456</v>
      </c>
      <c r="J868" s="217">
        <f t="shared" si="402"/>
        <v>6978942.6847290648</v>
      </c>
    </row>
    <row r="869" spans="1:10" s="186" customFormat="1" x14ac:dyDescent="0.25">
      <c r="A869" s="212" t="s">
        <v>31</v>
      </c>
      <c r="B869" s="92">
        <f t="shared" ref="B869:I869" si="407">2155*B850</f>
        <v>170245</v>
      </c>
      <c r="C869" s="92">
        <f t="shared" si="407"/>
        <v>193950</v>
      </c>
      <c r="D869" s="92">
        <f t="shared" si="407"/>
        <v>226275</v>
      </c>
      <c r="E869" s="92">
        <f t="shared" si="407"/>
        <v>217655</v>
      </c>
      <c r="F869" s="92">
        <f t="shared" si="407"/>
        <v>437465</v>
      </c>
      <c r="G869" s="31">
        <f t="shared" si="407"/>
        <v>555990</v>
      </c>
      <c r="H869" s="31">
        <f t="shared" si="407"/>
        <v>510735</v>
      </c>
      <c r="I869" s="31">
        <f t="shared" si="407"/>
        <v>2312315</v>
      </c>
      <c r="J869" s="32">
        <f t="shared" si="402"/>
        <v>330330.71428571426</v>
      </c>
    </row>
    <row r="870" spans="1:10" s="186" customFormat="1" x14ac:dyDescent="0.25">
      <c r="A870" s="218" t="s">
        <v>32</v>
      </c>
      <c r="B870" s="199">
        <f>B869+B868</f>
        <v>3681551.7241379311</v>
      </c>
      <c r="C870" s="199">
        <f>C869+C868</f>
        <v>5307241.3793103453</v>
      </c>
      <c r="D870" s="199">
        <f>D869+D868</f>
        <v>3784224.1379310349</v>
      </c>
      <c r="E870" s="199">
        <f>E869+E868</f>
        <v>4841810.3448275868</v>
      </c>
      <c r="F870" s="199">
        <f>F868+F869</f>
        <v>9683620.6896551736</v>
      </c>
      <c r="G870" s="199">
        <f>G869+G868</f>
        <v>12969568.965517242</v>
      </c>
      <c r="H870" s="199">
        <f>H869+H868</f>
        <v>10896896.55172414</v>
      </c>
      <c r="I870" s="199">
        <f>I868+I869</f>
        <v>51164913.793103456</v>
      </c>
      <c r="J870" s="219">
        <f t="shared" si="402"/>
        <v>7309273.3990147794</v>
      </c>
    </row>
    <row r="871" spans="1:10" s="186" customFormat="1" x14ac:dyDescent="0.25">
      <c r="A871" s="212" t="s">
        <v>33</v>
      </c>
      <c r="B871" s="94">
        <f>B870*16%</f>
        <v>589048.27586206899</v>
      </c>
      <c r="C871" s="94">
        <f t="shared" ref="C871:H871" si="408">C870*16%</f>
        <v>849158.6206896553</v>
      </c>
      <c r="D871" s="94">
        <f t="shared" si="408"/>
        <v>605475.86206896557</v>
      </c>
      <c r="E871" s="94">
        <f t="shared" si="408"/>
        <v>774689.65517241391</v>
      </c>
      <c r="F871" s="94">
        <f t="shared" si="408"/>
        <v>1549379.3103448278</v>
      </c>
      <c r="G871" s="94">
        <f t="shared" si="408"/>
        <v>2075131.0344827587</v>
      </c>
      <c r="H871" s="94">
        <f t="shared" si="408"/>
        <v>1743503.4482758623</v>
      </c>
      <c r="I871" s="94">
        <f>I870*16%</f>
        <v>8186386.2068965528</v>
      </c>
      <c r="J871" s="32">
        <f t="shared" si="402"/>
        <v>1169483.7438423648</v>
      </c>
    </row>
    <row r="872" spans="1:10" s="186" customFormat="1" x14ac:dyDescent="0.25">
      <c r="A872" s="220" t="s">
        <v>34</v>
      </c>
      <c r="B872" s="202">
        <f>B870+B871</f>
        <v>4270600</v>
      </c>
      <c r="C872" s="202">
        <f t="shared" ref="C872:H872" si="409">C870+C871</f>
        <v>6156400.0000000009</v>
      </c>
      <c r="D872" s="202">
        <f t="shared" si="409"/>
        <v>4389700</v>
      </c>
      <c r="E872" s="202">
        <f t="shared" si="409"/>
        <v>5616500.0000000009</v>
      </c>
      <c r="F872" s="202">
        <f t="shared" si="409"/>
        <v>11233000.000000002</v>
      </c>
      <c r="G872" s="202">
        <f t="shared" si="409"/>
        <v>15044700</v>
      </c>
      <c r="H872" s="202">
        <f t="shared" si="409"/>
        <v>12640400.000000002</v>
      </c>
      <c r="I872" s="202">
        <f>I870+I871</f>
        <v>59351300.000000007</v>
      </c>
      <c r="J872" s="221">
        <f t="shared" si="402"/>
        <v>8478757.1428571437</v>
      </c>
    </row>
    <row r="873" spans="1:10" s="186" customFormat="1" x14ac:dyDescent="0.25">
      <c r="A873" s="204"/>
      <c r="B873" s="112"/>
      <c r="C873" s="112"/>
      <c r="D873" s="112"/>
      <c r="E873" s="112"/>
      <c r="F873" s="112"/>
      <c r="G873" s="112"/>
      <c r="H873" s="112"/>
      <c r="I873" s="112"/>
      <c r="J873" s="205"/>
    </row>
    <row r="874" spans="1:10" s="186" customFormat="1" ht="15.75" thickBot="1" x14ac:dyDescent="0.3">
      <c r="A874" s="204"/>
      <c r="B874" s="112"/>
      <c r="C874" s="112"/>
      <c r="D874" s="112"/>
      <c r="E874" s="112"/>
      <c r="F874" s="112"/>
      <c r="G874" s="112"/>
      <c r="H874" s="112"/>
      <c r="I874" s="112"/>
      <c r="J874" s="205"/>
    </row>
    <row r="875" spans="1:10" s="186" customFormat="1" ht="26.25" x14ac:dyDescent="0.25">
      <c r="A875"/>
      <c r="B875" s="1002" t="s">
        <v>252</v>
      </c>
      <c r="C875" s="1002"/>
      <c r="D875" s="1002"/>
      <c r="E875" s="1002"/>
      <c r="F875" s="1002"/>
      <c r="G875" s="1002"/>
      <c r="H875" s="1002"/>
      <c r="I875"/>
      <c r="J875"/>
    </row>
    <row r="876" spans="1:10" s="186" customFormat="1" ht="15.75" x14ac:dyDescent="0.25">
      <c r="A876" s="207" t="s">
        <v>2</v>
      </c>
      <c r="B876" s="121" t="s">
        <v>225</v>
      </c>
      <c r="C876" s="121" t="s">
        <v>226</v>
      </c>
      <c r="D876" s="121" t="s">
        <v>227</v>
      </c>
      <c r="E876" s="121" t="s">
        <v>228</v>
      </c>
      <c r="F876" s="121" t="s">
        <v>229</v>
      </c>
      <c r="G876" s="121" t="s">
        <v>230</v>
      </c>
      <c r="H876" s="121" t="s">
        <v>231</v>
      </c>
      <c r="I876" s="121" t="s">
        <v>96</v>
      </c>
      <c r="J876" s="209" t="s">
        <v>97</v>
      </c>
    </row>
    <row r="877" spans="1:10" s="186" customFormat="1" x14ac:dyDescent="0.25">
      <c r="A877" s="210" t="s">
        <v>11</v>
      </c>
      <c r="B877" s="189">
        <v>125</v>
      </c>
      <c r="C877" s="189">
        <v>154</v>
      </c>
      <c r="D877" s="189">
        <v>160</v>
      </c>
      <c r="E877" s="190">
        <v>216</v>
      </c>
      <c r="F877" s="190">
        <v>360</v>
      </c>
      <c r="G877" s="190">
        <v>406</v>
      </c>
      <c r="H877" s="190">
        <v>471</v>
      </c>
      <c r="I877" s="190">
        <f>SUM(B877:H877)</f>
        <v>1892</v>
      </c>
      <c r="J877" s="211">
        <f>+I877/7</f>
        <v>270.28571428571428</v>
      </c>
    </row>
    <row r="878" spans="1:10" s="186" customFormat="1" x14ac:dyDescent="0.25">
      <c r="A878" s="212" t="s">
        <v>12</v>
      </c>
      <c r="B878" s="11">
        <v>66</v>
      </c>
      <c r="C878" s="11">
        <v>79</v>
      </c>
      <c r="D878" s="11">
        <v>97</v>
      </c>
      <c r="E878" s="11">
        <v>122</v>
      </c>
      <c r="F878" s="11">
        <v>204</v>
      </c>
      <c r="G878" s="11">
        <v>201</v>
      </c>
      <c r="H878" s="11">
        <v>269</v>
      </c>
      <c r="I878" s="11">
        <f>SUM('PEPE SIERRA '!$B878:$H878)</f>
        <v>1038</v>
      </c>
      <c r="J878" s="60">
        <f t="shared" ref="J878:J883" si="410">I878/7</f>
        <v>148.28571428571428</v>
      </c>
    </row>
    <row r="879" spans="1:10" s="186" customFormat="1" x14ac:dyDescent="0.25">
      <c r="A879" s="212" t="s">
        <v>13</v>
      </c>
      <c r="B879" s="11">
        <v>0</v>
      </c>
      <c r="C879" s="11">
        <v>1</v>
      </c>
      <c r="D879" s="11">
        <v>3</v>
      </c>
      <c r="E879" s="11">
        <v>3</v>
      </c>
      <c r="F879" s="11">
        <v>4</v>
      </c>
      <c r="G879" s="11">
        <v>9</v>
      </c>
      <c r="H879" s="11">
        <v>11</v>
      </c>
      <c r="I879" s="11">
        <f>SUM('PEPE SIERRA '!$B879:$H879)</f>
        <v>31</v>
      </c>
      <c r="J879" s="60">
        <f t="shared" si="410"/>
        <v>4.4285714285714288</v>
      </c>
    </row>
    <row r="880" spans="1:10" s="186" customFormat="1" x14ac:dyDescent="0.25">
      <c r="A880" s="212" t="s">
        <v>14</v>
      </c>
      <c r="B880" s="11">
        <v>31</v>
      </c>
      <c r="C880" s="11">
        <v>44</v>
      </c>
      <c r="D880" s="11">
        <v>33</v>
      </c>
      <c r="E880" s="11">
        <v>56</v>
      </c>
      <c r="F880" s="11">
        <v>76</v>
      </c>
      <c r="G880" s="11">
        <v>90</v>
      </c>
      <c r="H880" s="86">
        <v>73</v>
      </c>
      <c r="I880" s="11">
        <f>SUM('PEPE SIERRA '!$B880:$H880)</f>
        <v>403</v>
      </c>
      <c r="J880" s="60">
        <f t="shared" si="410"/>
        <v>57.571428571428569</v>
      </c>
    </row>
    <row r="881" spans="1:10" s="186" customFormat="1" x14ac:dyDescent="0.25">
      <c r="A881" s="212" t="s">
        <v>15</v>
      </c>
      <c r="B881" s="11">
        <v>6</v>
      </c>
      <c r="C881" s="11">
        <v>6</v>
      </c>
      <c r="D881" s="11">
        <v>6</v>
      </c>
      <c r="E881" s="11">
        <v>6</v>
      </c>
      <c r="F881" s="11">
        <v>20</v>
      </c>
      <c r="G881" s="11">
        <v>35</v>
      </c>
      <c r="H881" s="11">
        <v>23</v>
      </c>
      <c r="I881" s="11">
        <f>SUM('PEPE SIERRA '!$B881:$H881)</f>
        <v>102</v>
      </c>
      <c r="J881" s="60">
        <f t="shared" si="410"/>
        <v>14.571428571428571</v>
      </c>
    </row>
    <row r="882" spans="1:10" s="186" customFormat="1" x14ac:dyDescent="0.25">
      <c r="A882" s="212" t="s">
        <v>16</v>
      </c>
      <c r="B882" s="11">
        <v>2</v>
      </c>
      <c r="C882" s="11">
        <v>0</v>
      </c>
      <c r="D882" s="11">
        <v>0</v>
      </c>
      <c r="E882" s="11">
        <v>1</v>
      </c>
      <c r="F882" s="11">
        <v>0</v>
      </c>
      <c r="G882" s="11">
        <v>0</v>
      </c>
      <c r="H882" s="11">
        <v>0</v>
      </c>
      <c r="I882" s="11">
        <f>SUM('PEPE SIERRA '!$B882:$H882)</f>
        <v>3</v>
      </c>
      <c r="J882" s="60">
        <f t="shared" si="410"/>
        <v>0.42857142857142855</v>
      </c>
    </row>
    <row r="883" spans="1:10" s="186" customFormat="1" x14ac:dyDescent="0.25">
      <c r="A883" s="213" t="s">
        <v>17</v>
      </c>
      <c r="B883" s="192">
        <f>SUM(B878:B882)</f>
        <v>105</v>
      </c>
      <c r="C883" s="192">
        <f t="shared" ref="C883:I883" si="411">SUM(C878:C882)</f>
        <v>130</v>
      </c>
      <c r="D883" s="192">
        <f t="shared" si="411"/>
        <v>139</v>
      </c>
      <c r="E883" s="192">
        <f t="shared" si="411"/>
        <v>188</v>
      </c>
      <c r="F883" s="192">
        <f t="shared" si="411"/>
        <v>304</v>
      </c>
      <c r="G883" s="192">
        <f t="shared" si="411"/>
        <v>335</v>
      </c>
      <c r="H883" s="192">
        <f t="shared" si="411"/>
        <v>376</v>
      </c>
      <c r="I883" s="192">
        <f t="shared" si="411"/>
        <v>1577</v>
      </c>
      <c r="J883" s="214">
        <f t="shared" si="410"/>
        <v>225.28571428571428</v>
      </c>
    </row>
    <row r="884" spans="1:10" s="186" customFormat="1" x14ac:dyDescent="0.25">
      <c r="A884" s="212" t="s">
        <v>18</v>
      </c>
      <c r="B884" s="30">
        <v>0.66</v>
      </c>
      <c r="C884" s="30">
        <v>0.65</v>
      </c>
      <c r="D884" s="30">
        <v>0.74</v>
      </c>
      <c r="E884" s="30">
        <v>0.69</v>
      </c>
      <c r="F884" s="30">
        <v>0.71</v>
      </c>
      <c r="G884" s="30">
        <v>0.65</v>
      </c>
      <c r="H884" s="30">
        <v>0.76</v>
      </c>
      <c r="I884" s="30">
        <f>I891/I896</f>
        <v>0.70187106356953166</v>
      </c>
      <c r="J884" s="160">
        <f>J891/J896</f>
        <v>0.70187106356953166</v>
      </c>
    </row>
    <row r="885" spans="1:10" s="186" customFormat="1" x14ac:dyDescent="0.25">
      <c r="A885" s="212" t="s">
        <v>19</v>
      </c>
      <c r="B885" s="30">
        <v>0</v>
      </c>
      <c r="C885" s="30">
        <v>0</v>
      </c>
      <c r="D885" s="30">
        <v>0.04</v>
      </c>
      <c r="E885" s="30">
        <v>0.03</v>
      </c>
      <c r="F885" s="30">
        <v>0.01</v>
      </c>
      <c r="G885" s="30">
        <v>0.03</v>
      </c>
      <c r="H885" s="30">
        <v>0.03</v>
      </c>
      <c r="I885" s="30">
        <f>I892/I896</f>
        <v>2.281034063987478E-2</v>
      </c>
      <c r="J885" s="160">
        <f>J892/J896</f>
        <v>2.281034063987478E-2</v>
      </c>
    </row>
    <row r="886" spans="1:10" s="186" customFormat="1" x14ac:dyDescent="0.25">
      <c r="A886" s="212" t="s">
        <v>20</v>
      </c>
      <c r="B886" s="30">
        <v>0.24</v>
      </c>
      <c r="C886" s="30">
        <v>0.31</v>
      </c>
      <c r="D886" s="30">
        <v>0.19</v>
      </c>
      <c r="E886" s="30">
        <v>0.23</v>
      </c>
      <c r="F886" s="30">
        <v>0.22</v>
      </c>
      <c r="G886" s="30">
        <v>0.22</v>
      </c>
      <c r="H886" s="30">
        <v>0.16</v>
      </c>
      <c r="I886" s="30">
        <f>I893/I896</f>
        <v>0.21168475487937544</v>
      </c>
      <c r="J886" s="160">
        <f>J893/J896</f>
        <v>0.21168475487937544</v>
      </c>
    </row>
    <row r="887" spans="1:10" s="186" customFormat="1" x14ac:dyDescent="0.25">
      <c r="A887" s="212" t="s">
        <v>21</v>
      </c>
      <c r="B887" s="30">
        <v>0.04</v>
      </c>
      <c r="C887" s="30">
        <v>0.04</v>
      </c>
      <c r="D887" s="30">
        <v>0.03</v>
      </c>
      <c r="E887" s="30">
        <v>0.04</v>
      </c>
      <c r="F887" s="30">
        <v>0.06</v>
      </c>
      <c r="G887" s="30">
        <v>0.1</v>
      </c>
      <c r="H887" s="30">
        <v>0.05</v>
      </c>
      <c r="I887" s="30">
        <f>I894/I896</f>
        <v>5.87566175253708E-2</v>
      </c>
      <c r="J887" s="160">
        <f>J894/J896</f>
        <v>5.8756617525370793E-2</v>
      </c>
    </row>
    <row r="888" spans="1:10" s="186" customFormat="1" x14ac:dyDescent="0.25">
      <c r="A888" s="212" t="s">
        <v>22</v>
      </c>
      <c r="B888" s="30">
        <v>0.06</v>
      </c>
      <c r="C888" s="30">
        <v>0</v>
      </c>
      <c r="D888" s="30">
        <v>0</v>
      </c>
      <c r="E888" s="30">
        <v>0.01</v>
      </c>
      <c r="F888" s="30">
        <v>0</v>
      </c>
      <c r="G888" s="30">
        <v>0</v>
      </c>
      <c r="H888" s="30">
        <v>0</v>
      </c>
      <c r="I888" s="30">
        <f>I895/I896</f>
        <v>4.8772233858473202E-3</v>
      </c>
      <c r="J888" s="160">
        <f>J895/J896</f>
        <v>4.8772233858473193E-3</v>
      </c>
    </row>
    <row r="889" spans="1:10" s="186" customFormat="1" x14ac:dyDescent="0.25">
      <c r="A889" s="215" t="s">
        <v>23</v>
      </c>
      <c r="B889" s="66">
        <f t="shared" ref="B889:J889" si="412">B900/B883</f>
        <v>35226.666666666672</v>
      </c>
      <c r="C889" s="66">
        <f t="shared" si="412"/>
        <v>33463.076923076922</v>
      </c>
      <c r="D889" s="66">
        <f t="shared" si="412"/>
        <v>36485.611510791365</v>
      </c>
      <c r="E889" s="66">
        <f t="shared" si="412"/>
        <v>36951.595744680853</v>
      </c>
      <c r="F889" s="66">
        <f t="shared" si="412"/>
        <v>39204.276315789481</v>
      </c>
      <c r="G889" s="66">
        <f t="shared" si="412"/>
        <v>38855.820895522396</v>
      </c>
      <c r="H889" s="66">
        <f t="shared" si="412"/>
        <v>39053.457446808512</v>
      </c>
      <c r="I889" s="66">
        <f t="shared" si="412"/>
        <v>37848.002536461638</v>
      </c>
      <c r="J889" s="67">
        <f t="shared" si="412"/>
        <v>37848.002536461645</v>
      </c>
    </row>
    <row r="890" spans="1:10" s="186" customFormat="1" x14ac:dyDescent="0.25">
      <c r="A890" s="215" t="s">
        <v>24</v>
      </c>
      <c r="B890" s="66">
        <f t="shared" ref="B890:I890" si="413">+B900/B877</f>
        <v>29590.400000000005</v>
      </c>
      <c r="C890" s="66">
        <f t="shared" si="413"/>
        <v>28248.051948051947</v>
      </c>
      <c r="D890" s="66">
        <f t="shared" si="413"/>
        <v>31696.875</v>
      </c>
      <c r="E890" s="66">
        <f t="shared" si="413"/>
        <v>32161.574074074073</v>
      </c>
      <c r="F890" s="66">
        <f t="shared" si="413"/>
        <v>33105.833333333336</v>
      </c>
      <c r="G890" s="66">
        <f t="shared" si="413"/>
        <v>32060.837438423649</v>
      </c>
      <c r="H890" s="66">
        <f t="shared" si="413"/>
        <v>31176.433121019109</v>
      </c>
      <c r="I890" s="66">
        <f t="shared" si="413"/>
        <v>31546.670190274846</v>
      </c>
      <c r="J890" s="67">
        <f>J900/J877</f>
        <v>31546.67019027485</v>
      </c>
    </row>
    <row r="891" spans="1:10" s="186" customFormat="1" x14ac:dyDescent="0.25">
      <c r="A891" s="212" t="s">
        <v>25</v>
      </c>
      <c r="B891" s="92">
        <f t="shared" ref="B891:H891" si="414">B896*B884</f>
        <v>2010617.8551724141</v>
      </c>
      <c r="C891" s="92">
        <f t="shared" si="414"/>
        <v>2326952.8189655175</v>
      </c>
      <c r="D891" s="92">
        <f t="shared" si="414"/>
        <v>3080581.3413793105</v>
      </c>
      <c r="E891" s="92">
        <f t="shared" si="414"/>
        <v>3950799.8586206897</v>
      </c>
      <c r="F891" s="92">
        <f t="shared" si="414"/>
        <v>6982568.9379310347</v>
      </c>
      <c r="G891" s="31">
        <f t="shared" si="414"/>
        <v>7012289.7672413802</v>
      </c>
      <c r="H891" s="31">
        <f t="shared" si="414"/>
        <v>9180049.0413793102</v>
      </c>
      <c r="I891" s="31">
        <f t="shared" ref="I891:I896" si="415">SUM(B891:H891)</f>
        <v>34543859.62068966</v>
      </c>
      <c r="J891" s="32">
        <f t="shared" ref="J891:J900" si="416">I891/7</f>
        <v>4934837.0886699511</v>
      </c>
    </row>
    <row r="892" spans="1:10" s="186" customFormat="1" x14ac:dyDescent="0.25">
      <c r="A892" s="212" t="s">
        <v>26</v>
      </c>
      <c r="B892" s="92">
        <f t="shared" ref="B892:H892" si="417">B896*B885</f>
        <v>0</v>
      </c>
      <c r="C892" s="92">
        <f t="shared" si="417"/>
        <v>0</v>
      </c>
      <c r="D892" s="92">
        <f t="shared" si="417"/>
        <v>166517.9103448276</v>
      </c>
      <c r="E892" s="92">
        <f t="shared" si="417"/>
        <v>171773.90689655172</v>
      </c>
      <c r="F892" s="92">
        <f t="shared" si="417"/>
        <v>98346.041379310365</v>
      </c>
      <c r="G892" s="31">
        <f t="shared" si="417"/>
        <v>323644.14310344832</v>
      </c>
      <c r="H892" s="31">
        <f t="shared" si="417"/>
        <v>362370.35689655173</v>
      </c>
      <c r="I892" s="31">
        <f t="shared" si="415"/>
        <v>1122652.3586206897</v>
      </c>
      <c r="J892" s="32">
        <f t="shared" si="416"/>
        <v>160378.90837438425</v>
      </c>
    </row>
    <row r="893" spans="1:10" s="186" customFormat="1" x14ac:dyDescent="0.25">
      <c r="A893" s="212" t="s">
        <v>27</v>
      </c>
      <c r="B893" s="92">
        <f t="shared" ref="B893:H893" si="418">B896*B886</f>
        <v>731133.76551724144</v>
      </c>
      <c r="C893" s="92">
        <f t="shared" si="418"/>
        <v>1109777.4982758621</v>
      </c>
      <c r="D893" s="92">
        <f t="shared" si="418"/>
        <v>790960.07413793099</v>
      </c>
      <c r="E893" s="92">
        <f t="shared" si="418"/>
        <v>1316933.2862068966</v>
      </c>
      <c r="F893" s="92">
        <f t="shared" si="418"/>
        <v>2163612.9103448279</v>
      </c>
      <c r="G893" s="31">
        <f t="shared" si="418"/>
        <v>2373390.3827586211</v>
      </c>
      <c r="H893" s="31">
        <f t="shared" si="418"/>
        <v>1932641.903448276</v>
      </c>
      <c r="I893" s="31">
        <f t="shared" si="415"/>
        <v>10418449.820689656</v>
      </c>
      <c r="J893" s="32">
        <f t="shared" si="416"/>
        <v>1488349.9743842366</v>
      </c>
    </row>
    <row r="894" spans="1:10" s="186" customFormat="1" x14ac:dyDescent="0.25">
      <c r="A894" s="212" t="s">
        <v>28</v>
      </c>
      <c r="B894" s="92">
        <f t="shared" ref="B894:H894" si="419">B896*B887</f>
        <v>121855.6275862069</v>
      </c>
      <c r="C894" s="92">
        <f t="shared" si="419"/>
        <v>143197.09655172416</v>
      </c>
      <c r="D894" s="92">
        <f t="shared" si="419"/>
        <v>124888.43275862068</v>
      </c>
      <c r="E894" s="92">
        <f t="shared" si="419"/>
        <v>229031.87586206899</v>
      </c>
      <c r="F894" s="92">
        <f t="shared" si="419"/>
        <v>590076.24827586208</v>
      </c>
      <c r="G894" s="31">
        <f t="shared" si="419"/>
        <v>1078813.8103448278</v>
      </c>
      <c r="H894" s="31">
        <f t="shared" si="419"/>
        <v>603950.5948275862</v>
      </c>
      <c r="I894" s="31">
        <f t="shared" si="415"/>
        <v>2891813.6862068968</v>
      </c>
      <c r="J894" s="32">
        <f t="shared" si="416"/>
        <v>413116.24088669952</v>
      </c>
    </row>
    <row r="895" spans="1:10" s="186" customFormat="1" x14ac:dyDescent="0.25">
      <c r="A895" s="212" t="s">
        <v>29</v>
      </c>
      <c r="B895" s="92">
        <f>B896*B888</f>
        <v>182783.44137931036</v>
      </c>
      <c r="C895" s="92">
        <f t="shared" ref="C895:H895" si="420">C896*C888</f>
        <v>0</v>
      </c>
      <c r="D895" s="92">
        <f t="shared" si="420"/>
        <v>0</v>
      </c>
      <c r="E895" s="92">
        <f t="shared" si="420"/>
        <v>57257.968965517248</v>
      </c>
      <c r="F895" s="92">
        <f t="shared" si="420"/>
        <v>0</v>
      </c>
      <c r="G895" s="31">
        <f t="shared" si="420"/>
        <v>0</v>
      </c>
      <c r="H895" s="31">
        <f t="shared" si="420"/>
        <v>0</v>
      </c>
      <c r="I895" s="31">
        <f t="shared" si="415"/>
        <v>240041.4103448276</v>
      </c>
      <c r="J895" s="32">
        <f t="shared" si="416"/>
        <v>34291.630049261083</v>
      </c>
    </row>
    <row r="896" spans="1:10" s="186" customFormat="1" x14ac:dyDescent="0.25">
      <c r="A896" s="216" t="s">
        <v>30</v>
      </c>
      <c r="B896" s="222">
        <f>(3698800/1.16)-B897</f>
        <v>3046390.6896551726</v>
      </c>
      <c r="C896" s="222">
        <f>(4350200/1.16)-C897</f>
        <v>3579927.4137931038</v>
      </c>
      <c r="D896" s="222">
        <f>(5071500/1.16)-D897</f>
        <v>4162947.7586206896</v>
      </c>
      <c r="E896" s="222">
        <f>(6946900/1.16)-E897</f>
        <v>5725796.8965517245</v>
      </c>
      <c r="F896" s="222">
        <f>(11918100/1.16)-F897</f>
        <v>9834604.1379310358</v>
      </c>
      <c r="G896" s="222">
        <f>(13016700/1.16)-G897</f>
        <v>10788138.103448277</v>
      </c>
      <c r="H896" s="222">
        <f>(14684100/1.16)-H897</f>
        <v>12079011.896551725</v>
      </c>
      <c r="I896" s="197">
        <f t="shared" si="415"/>
        <v>49216816.896551728</v>
      </c>
      <c r="J896" s="217">
        <f t="shared" si="416"/>
        <v>7030973.8423645329</v>
      </c>
    </row>
    <row r="897" spans="1:10" s="186" customFormat="1" x14ac:dyDescent="0.25">
      <c r="A897" s="212" t="s">
        <v>31</v>
      </c>
      <c r="B897" s="92">
        <f t="shared" ref="B897:I897" si="421">2155*B878</f>
        <v>142230</v>
      </c>
      <c r="C897" s="92">
        <f t="shared" si="421"/>
        <v>170245</v>
      </c>
      <c r="D897" s="92">
        <f t="shared" si="421"/>
        <v>209035</v>
      </c>
      <c r="E897" s="92">
        <f t="shared" si="421"/>
        <v>262910</v>
      </c>
      <c r="F897" s="92">
        <f t="shared" si="421"/>
        <v>439620</v>
      </c>
      <c r="G897" s="31">
        <f t="shared" si="421"/>
        <v>433155</v>
      </c>
      <c r="H897" s="31">
        <f t="shared" si="421"/>
        <v>579695</v>
      </c>
      <c r="I897" s="31">
        <f t="shared" si="421"/>
        <v>2236890</v>
      </c>
      <c r="J897" s="32">
        <f t="shared" si="416"/>
        <v>319555.71428571426</v>
      </c>
    </row>
    <row r="898" spans="1:10" s="186" customFormat="1" x14ac:dyDescent="0.25">
      <c r="A898" s="218" t="s">
        <v>32</v>
      </c>
      <c r="B898" s="199">
        <f>B897+B896</f>
        <v>3188620.6896551726</v>
      </c>
      <c r="C898" s="199">
        <f>C897+C896</f>
        <v>3750172.4137931038</v>
      </c>
      <c r="D898" s="199">
        <f>D897+D896</f>
        <v>4371982.7586206896</v>
      </c>
      <c r="E898" s="199">
        <f>E897+E896</f>
        <v>5988706.8965517245</v>
      </c>
      <c r="F898" s="199">
        <f>F896+F897</f>
        <v>10274224.137931036</v>
      </c>
      <c r="G898" s="199">
        <f>G897+G896</f>
        <v>11221293.103448277</v>
      </c>
      <c r="H898" s="199">
        <f>H897+H896</f>
        <v>12658706.896551725</v>
      </c>
      <c r="I898" s="199">
        <f>I896+I897</f>
        <v>51453706.896551728</v>
      </c>
      <c r="J898" s="219">
        <f t="shared" si="416"/>
        <v>7350529.5566502465</v>
      </c>
    </row>
    <row r="899" spans="1:10" s="186" customFormat="1" x14ac:dyDescent="0.25">
      <c r="A899" s="212" t="s">
        <v>33</v>
      </c>
      <c r="B899" s="94">
        <f>B898*16%</f>
        <v>510179.31034482765</v>
      </c>
      <c r="C899" s="94">
        <f t="shared" ref="C899:H899" si="422">C898*16%</f>
        <v>600027.58620689658</v>
      </c>
      <c r="D899" s="94">
        <f t="shared" si="422"/>
        <v>699517.24137931038</v>
      </c>
      <c r="E899" s="94">
        <f t="shared" si="422"/>
        <v>958193.10344827594</v>
      </c>
      <c r="F899" s="94">
        <f t="shared" si="422"/>
        <v>1643875.8620689658</v>
      </c>
      <c r="G899" s="94">
        <f t="shared" si="422"/>
        <v>1795406.8965517245</v>
      </c>
      <c r="H899" s="94">
        <f t="shared" si="422"/>
        <v>2025393.1034482759</v>
      </c>
      <c r="I899" s="94">
        <f>I898*16%</f>
        <v>8232593.1034482764</v>
      </c>
      <c r="J899" s="32">
        <f t="shared" si="416"/>
        <v>1176084.7290640394</v>
      </c>
    </row>
    <row r="900" spans="1:10" s="186" customFormat="1" x14ac:dyDescent="0.25">
      <c r="A900" s="220" t="s">
        <v>34</v>
      </c>
      <c r="B900" s="202">
        <f>B898+B899</f>
        <v>3698800.0000000005</v>
      </c>
      <c r="C900" s="202">
        <f t="shared" ref="C900:H900" si="423">C898+C899</f>
        <v>4350200</v>
      </c>
      <c r="D900" s="202">
        <f t="shared" si="423"/>
        <v>5071500</v>
      </c>
      <c r="E900" s="202">
        <f t="shared" si="423"/>
        <v>6946900</v>
      </c>
      <c r="F900" s="202">
        <f t="shared" si="423"/>
        <v>11918100.000000002</v>
      </c>
      <c r="G900" s="202">
        <f t="shared" si="423"/>
        <v>13016700.000000002</v>
      </c>
      <c r="H900" s="202">
        <f t="shared" si="423"/>
        <v>14684100</v>
      </c>
      <c r="I900" s="202">
        <f>I898+I899</f>
        <v>59686300.000000007</v>
      </c>
      <c r="J900" s="221">
        <f t="shared" si="416"/>
        <v>8526614.2857142873</v>
      </c>
    </row>
    <row r="901" spans="1:10" s="186" customFormat="1" x14ac:dyDescent="0.25">
      <c r="A901" s="204"/>
      <c r="B901" s="112"/>
      <c r="C901" s="112"/>
      <c r="D901" s="112"/>
      <c r="E901" s="112"/>
      <c r="F901" s="112"/>
      <c r="G901" s="112"/>
      <c r="H901" s="112"/>
      <c r="I901" s="112"/>
      <c r="J901" s="205"/>
    </row>
    <row r="902" spans="1:10" s="186" customFormat="1" ht="15.75" thickBot="1" x14ac:dyDescent="0.3">
      <c r="A902" s="204"/>
      <c r="B902" s="112"/>
      <c r="C902" s="112"/>
      <c r="D902" s="112"/>
      <c r="E902" s="112"/>
      <c r="F902" s="112"/>
      <c r="G902" s="112"/>
      <c r="H902" s="112"/>
      <c r="I902" s="112"/>
      <c r="J902" s="205"/>
    </row>
    <row r="903" spans="1:10" s="186" customFormat="1" ht="26.25" x14ac:dyDescent="0.25">
      <c r="A903"/>
      <c r="B903" s="1002" t="s">
        <v>253</v>
      </c>
      <c r="C903" s="1002"/>
      <c r="D903" s="1002"/>
      <c r="E903" s="1002"/>
      <c r="F903" s="1002"/>
      <c r="G903" s="1002"/>
      <c r="H903" s="1002"/>
      <c r="I903"/>
      <c r="J903"/>
    </row>
    <row r="904" spans="1:10" s="186" customFormat="1" ht="15.75" x14ac:dyDescent="0.25">
      <c r="A904" s="207" t="s">
        <v>2</v>
      </c>
      <c r="B904" s="121" t="s">
        <v>233</v>
      </c>
      <c r="C904" s="121" t="s">
        <v>234</v>
      </c>
      <c r="D904" s="121" t="s">
        <v>235</v>
      </c>
      <c r="E904" s="121" t="s">
        <v>236</v>
      </c>
      <c r="F904" s="121" t="s">
        <v>237</v>
      </c>
      <c r="G904" s="121" t="s">
        <v>238</v>
      </c>
      <c r="H904" s="121" t="s">
        <v>239</v>
      </c>
      <c r="I904" s="121" t="s">
        <v>96</v>
      </c>
      <c r="J904" s="209" t="s">
        <v>97</v>
      </c>
    </row>
    <row r="905" spans="1:10" s="186" customFormat="1" x14ac:dyDescent="0.25">
      <c r="A905" s="210" t="s">
        <v>11</v>
      </c>
      <c r="B905" s="189">
        <v>489</v>
      </c>
      <c r="C905" s="189">
        <v>135</v>
      </c>
      <c r="D905" s="189">
        <v>330</v>
      </c>
      <c r="E905" s="190">
        <v>192</v>
      </c>
      <c r="F905" s="190">
        <v>360</v>
      </c>
      <c r="G905" s="190">
        <v>446</v>
      </c>
      <c r="H905" s="190">
        <v>404</v>
      </c>
      <c r="I905" s="190">
        <f>SUM(B905:H905)</f>
        <v>2356</v>
      </c>
      <c r="J905" s="211">
        <f>+I905/7</f>
        <v>336.57142857142856</v>
      </c>
    </row>
    <row r="906" spans="1:10" s="186" customFormat="1" x14ac:dyDescent="0.25">
      <c r="A906" s="212" t="s">
        <v>12</v>
      </c>
      <c r="B906" s="11">
        <v>289</v>
      </c>
      <c r="C906" s="11">
        <v>76</v>
      </c>
      <c r="D906" s="11">
        <v>81</v>
      </c>
      <c r="E906" s="11">
        <v>104</v>
      </c>
      <c r="F906" s="11">
        <v>199</v>
      </c>
      <c r="G906" s="11">
        <v>237</v>
      </c>
      <c r="H906" s="11">
        <v>251</v>
      </c>
      <c r="I906" s="11">
        <f>SUM('PEPE SIERRA '!$B906:$H906)</f>
        <v>1237</v>
      </c>
      <c r="J906" s="60">
        <f t="shared" ref="J906:J911" si="424">I906/7</f>
        <v>176.71428571428572</v>
      </c>
    </row>
    <row r="907" spans="1:10" s="186" customFormat="1" x14ac:dyDescent="0.25">
      <c r="A907" s="212" t="s">
        <v>13</v>
      </c>
      <c r="B907" s="11">
        <v>6</v>
      </c>
      <c r="C907" s="11">
        <v>1</v>
      </c>
      <c r="D907" s="11">
        <v>1</v>
      </c>
      <c r="E907" s="11">
        <v>3</v>
      </c>
      <c r="F907" s="11">
        <v>7</v>
      </c>
      <c r="G907" s="11">
        <v>11</v>
      </c>
      <c r="H907" s="11">
        <v>13</v>
      </c>
      <c r="I907" s="11">
        <f>SUM('PEPE SIERRA '!$B907:$H907)</f>
        <v>42</v>
      </c>
      <c r="J907" s="60">
        <f t="shared" si="424"/>
        <v>6</v>
      </c>
    </row>
    <row r="908" spans="1:10" s="186" customFormat="1" x14ac:dyDescent="0.25">
      <c r="A908" s="212" t="s">
        <v>14</v>
      </c>
      <c r="B908" s="11">
        <v>60</v>
      </c>
      <c r="C908" s="11">
        <v>27</v>
      </c>
      <c r="D908" s="11">
        <v>30</v>
      </c>
      <c r="E908" s="11">
        <v>36</v>
      </c>
      <c r="F908" s="11">
        <v>80</v>
      </c>
      <c r="G908" s="11">
        <v>81</v>
      </c>
      <c r="H908" s="86">
        <v>70</v>
      </c>
      <c r="I908" s="11">
        <f>SUM('PEPE SIERRA '!$B908:$H908)</f>
        <v>384</v>
      </c>
      <c r="J908" s="60">
        <f t="shared" si="424"/>
        <v>54.857142857142854</v>
      </c>
    </row>
    <row r="909" spans="1:10" s="186" customFormat="1" x14ac:dyDescent="0.25">
      <c r="A909" s="212" t="s">
        <v>15</v>
      </c>
      <c r="B909" s="11">
        <v>35</v>
      </c>
      <c r="C909" s="11">
        <v>1</v>
      </c>
      <c r="D909" s="11">
        <v>6</v>
      </c>
      <c r="E909" s="11">
        <v>14</v>
      </c>
      <c r="F909" s="11">
        <v>19</v>
      </c>
      <c r="G909" s="11">
        <v>28</v>
      </c>
      <c r="H909" s="11">
        <v>18</v>
      </c>
      <c r="I909" s="11">
        <f>SUM('PEPE SIERRA '!$B909:$H909)</f>
        <v>121</v>
      </c>
      <c r="J909" s="60">
        <f t="shared" si="424"/>
        <v>17.285714285714285</v>
      </c>
    </row>
    <row r="910" spans="1:10" s="186" customFormat="1" x14ac:dyDescent="0.25">
      <c r="A910" s="212" t="s">
        <v>16</v>
      </c>
      <c r="B910" s="11">
        <v>0</v>
      </c>
      <c r="C910" s="11">
        <v>0</v>
      </c>
      <c r="D910" s="11">
        <v>0</v>
      </c>
      <c r="E910" s="11">
        <v>0</v>
      </c>
      <c r="F910" s="11">
        <v>0</v>
      </c>
      <c r="G910" s="11">
        <v>0</v>
      </c>
      <c r="H910" s="11">
        <v>0</v>
      </c>
      <c r="I910" s="11">
        <f>SUM('PEPE SIERRA '!$B910:$H910)</f>
        <v>0</v>
      </c>
      <c r="J910" s="60">
        <f t="shared" si="424"/>
        <v>0</v>
      </c>
    </row>
    <row r="911" spans="1:10" s="186" customFormat="1" x14ac:dyDescent="0.25">
      <c r="A911" s="213" t="s">
        <v>17</v>
      </c>
      <c r="B911" s="192">
        <f>SUM(B906:B910)</f>
        <v>390</v>
      </c>
      <c r="C911" s="192">
        <f t="shared" ref="C911:I911" si="425">SUM(C906:C910)</f>
        <v>105</v>
      </c>
      <c r="D911" s="192">
        <f t="shared" si="425"/>
        <v>118</v>
      </c>
      <c r="E911" s="192">
        <f t="shared" si="425"/>
        <v>157</v>
      </c>
      <c r="F911" s="192">
        <f t="shared" si="425"/>
        <v>305</v>
      </c>
      <c r="G911" s="192">
        <f t="shared" si="425"/>
        <v>357</v>
      </c>
      <c r="H911" s="192">
        <f t="shared" si="425"/>
        <v>352</v>
      </c>
      <c r="I911" s="192">
        <f t="shared" si="425"/>
        <v>1784</v>
      </c>
      <c r="J911" s="214">
        <f t="shared" si="424"/>
        <v>254.85714285714286</v>
      </c>
    </row>
    <row r="912" spans="1:10" s="186" customFormat="1" x14ac:dyDescent="0.25">
      <c r="A912" s="212" t="s">
        <v>18</v>
      </c>
      <c r="B912" s="30">
        <v>0.76</v>
      </c>
      <c r="C912" s="30">
        <v>0.82</v>
      </c>
      <c r="D912" s="30">
        <v>0.36</v>
      </c>
      <c r="E912" s="30">
        <v>0.7</v>
      </c>
      <c r="F912" s="30">
        <v>0.7</v>
      </c>
      <c r="G912" s="30">
        <v>0.72</v>
      </c>
      <c r="H912" s="30">
        <v>0.76</v>
      </c>
      <c r="I912" s="30">
        <f>I919/I924</f>
        <v>0.68728808558734389</v>
      </c>
      <c r="J912" s="160">
        <f>J919/J924</f>
        <v>0.68728808558734389</v>
      </c>
    </row>
    <row r="913" spans="1:10" s="186" customFormat="1" x14ac:dyDescent="0.25">
      <c r="A913" s="212" t="s">
        <v>19</v>
      </c>
      <c r="B913" s="30">
        <v>0.01</v>
      </c>
      <c r="C913" s="30">
        <v>0.01</v>
      </c>
      <c r="D913" s="30">
        <v>0</v>
      </c>
      <c r="E913" s="30">
        <v>0.02</v>
      </c>
      <c r="F913" s="30">
        <v>0.03</v>
      </c>
      <c r="G913" s="30">
        <v>0.03</v>
      </c>
      <c r="H913" s="30">
        <v>0.04</v>
      </c>
      <c r="I913" s="30">
        <f>I920/I924</f>
        <v>2.1643897428721408E-2</v>
      </c>
      <c r="J913" s="160">
        <f>J920/J924</f>
        <v>2.1643897428721408E-2</v>
      </c>
    </row>
    <row r="914" spans="1:10" s="186" customFormat="1" x14ac:dyDescent="0.25">
      <c r="A914" s="212" t="s">
        <v>20</v>
      </c>
      <c r="B914" s="30">
        <v>0.14000000000000001</v>
      </c>
      <c r="C914" s="30">
        <v>0.16</v>
      </c>
      <c r="D914" s="30">
        <v>0.09</v>
      </c>
      <c r="E914" s="30">
        <v>0.18</v>
      </c>
      <c r="F914" s="30">
        <v>0.21</v>
      </c>
      <c r="G914" s="30">
        <v>0.19</v>
      </c>
      <c r="H914" s="30">
        <v>0.16</v>
      </c>
      <c r="I914" s="30">
        <f>I921/I924</f>
        <v>0.16169156464433937</v>
      </c>
      <c r="J914" s="160">
        <f>J921/J924</f>
        <v>0.16169156464433937</v>
      </c>
    </row>
    <row r="915" spans="1:10" s="186" customFormat="1" x14ac:dyDescent="0.25">
      <c r="A915" s="212" t="s">
        <v>21</v>
      </c>
      <c r="B915" s="30">
        <v>0.09</v>
      </c>
      <c r="C915" s="30">
        <v>0.01</v>
      </c>
      <c r="D915" s="30">
        <v>0.55000000000000004</v>
      </c>
      <c r="E915" s="30">
        <v>0.1</v>
      </c>
      <c r="F915" s="30">
        <v>0.06</v>
      </c>
      <c r="G915" s="30">
        <v>0.06</v>
      </c>
      <c r="H915" s="30">
        <v>0.03</v>
      </c>
      <c r="I915" s="30">
        <f>I922/I924</f>
        <v>0.12763701396667407</v>
      </c>
      <c r="J915" s="160">
        <f>J922/J924</f>
        <v>0.12763701396667407</v>
      </c>
    </row>
    <row r="916" spans="1:10" s="186" customFormat="1" x14ac:dyDescent="0.25">
      <c r="A916" s="212" t="s">
        <v>22</v>
      </c>
      <c r="B916" s="30">
        <v>0</v>
      </c>
      <c r="C916" s="30">
        <v>0</v>
      </c>
      <c r="D916" s="30">
        <v>0</v>
      </c>
      <c r="E916" s="30">
        <v>0</v>
      </c>
      <c r="F916" s="30">
        <v>0</v>
      </c>
      <c r="G916" s="30">
        <v>0</v>
      </c>
      <c r="H916" s="30">
        <v>0</v>
      </c>
      <c r="I916" s="30">
        <f>I923/I924</f>
        <v>0</v>
      </c>
      <c r="J916" s="160">
        <f>J923/J924</f>
        <v>0</v>
      </c>
    </row>
    <row r="917" spans="1:10" s="186" customFormat="1" x14ac:dyDescent="0.25">
      <c r="A917" s="215" t="s">
        <v>23</v>
      </c>
      <c r="B917" s="66">
        <f t="shared" ref="B917:J917" si="426">B928/B911</f>
        <v>38145.897435897437</v>
      </c>
      <c r="C917" s="66">
        <f t="shared" si="426"/>
        <v>38932.380952380954</v>
      </c>
      <c r="D917" s="66">
        <f t="shared" si="426"/>
        <v>80847.457627118638</v>
      </c>
      <c r="E917" s="66">
        <f t="shared" si="426"/>
        <v>36911.464968152875</v>
      </c>
      <c r="F917" s="66">
        <f t="shared" si="426"/>
        <v>37811.475409836065</v>
      </c>
      <c r="G917" s="66">
        <f t="shared" si="426"/>
        <v>38164.425770308131</v>
      </c>
      <c r="H917" s="66">
        <f t="shared" si="426"/>
        <v>35876.136363636368</v>
      </c>
      <c r="I917" s="66">
        <f t="shared" si="426"/>
        <v>40406.670403587443</v>
      </c>
      <c r="J917" s="67">
        <f t="shared" si="426"/>
        <v>40406.670403587443</v>
      </c>
    </row>
    <row r="918" spans="1:10" s="186" customFormat="1" x14ac:dyDescent="0.25">
      <c r="A918" s="215" t="s">
        <v>24</v>
      </c>
      <c r="B918" s="66">
        <f t="shared" ref="B918:I918" si="427">+B928/B905</f>
        <v>30423.108384458079</v>
      </c>
      <c r="C918" s="66">
        <f t="shared" si="427"/>
        <v>30280.740740740741</v>
      </c>
      <c r="D918" s="66">
        <f t="shared" si="427"/>
        <v>28909.090909090908</v>
      </c>
      <c r="E918" s="66">
        <f t="shared" si="427"/>
        <v>30182.812500000004</v>
      </c>
      <c r="F918" s="66">
        <f t="shared" si="427"/>
        <v>32034.722222222223</v>
      </c>
      <c r="G918" s="66">
        <f t="shared" si="427"/>
        <v>30548.654708520182</v>
      </c>
      <c r="H918" s="66">
        <f t="shared" si="427"/>
        <v>31258.415841584163</v>
      </c>
      <c r="I918" s="66">
        <f t="shared" si="427"/>
        <v>30596.561969439728</v>
      </c>
      <c r="J918" s="67">
        <f>J928/J905</f>
        <v>30596.561969439728</v>
      </c>
    </row>
    <row r="919" spans="1:10" s="186" customFormat="1" x14ac:dyDescent="0.25">
      <c r="A919" s="212" t="s">
        <v>25</v>
      </c>
      <c r="B919" s="92">
        <f t="shared" ref="B919:H919" si="428">B924*B912</f>
        <v>9273610.2827586215</v>
      </c>
      <c r="C919" s="92">
        <f t="shared" si="428"/>
        <v>2755422.8137931032</v>
      </c>
      <c r="D919" s="92">
        <f t="shared" si="428"/>
        <v>2897849.8551724139</v>
      </c>
      <c r="E919" s="92">
        <f t="shared" si="428"/>
        <v>3340159.1034482759</v>
      </c>
      <c r="F919" s="92">
        <f t="shared" si="428"/>
        <v>6659075.7413793104</v>
      </c>
      <c r="G919" s="31">
        <f t="shared" si="428"/>
        <v>8088981.1448275875</v>
      </c>
      <c r="H919" s="31">
        <f t="shared" si="428"/>
        <v>7862691.5103448285</v>
      </c>
      <c r="I919" s="31">
        <f t="shared" ref="I919:I924" si="429">SUM(B919:H919)</f>
        <v>40877790.451724134</v>
      </c>
      <c r="J919" s="32">
        <f t="shared" ref="J919:J928" si="430">I919/7</f>
        <v>5839684.3502463046</v>
      </c>
    </row>
    <row r="920" spans="1:10" s="186" customFormat="1" x14ac:dyDescent="0.25">
      <c r="A920" s="212" t="s">
        <v>26</v>
      </c>
      <c r="B920" s="92">
        <f t="shared" ref="B920:H920" si="431">B924*B913</f>
        <v>122021.1879310345</v>
      </c>
      <c r="C920" s="92">
        <f t="shared" si="431"/>
        <v>33602.717241379309</v>
      </c>
      <c r="D920" s="92">
        <f t="shared" si="431"/>
        <v>0</v>
      </c>
      <c r="E920" s="92">
        <f t="shared" si="431"/>
        <v>95433.117241379325</v>
      </c>
      <c r="F920" s="92">
        <f t="shared" si="431"/>
        <v>285388.96034482762</v>
      </c>
      <c r="G920" s="31">
        <f t="shared" si="431"/>
        <v>337040.88103448279</v>
      </c>
      <c r="H920" s="31">
        <f t="shared" si="431"/>
        <v>413825.86896551726</v>
      </c>
      <c r="I920" s="31">
        <f t="shared" si="429"/>
        <v>1287312.7327586208</v>
      </c>
      <c r="J920" s="32">
        <f t="shared" si="430"/>
        <v>183901.81896551725</v>
      </c>
    </row>
    <row r="921" spans="1:10" s="186" customFormat="1" x14ac:dyDescent="0.25">
      <c r="A921" s="212" t="s">
        <v>27</v>
      </c>
      <c r="B921" s="92">
        <f t="shared" ref="B921:H921" si="432">B924*B914</f>
        <v>1708296.631034483</v>
      </c>
      <c r="C921" s="92">
        <f t="shared" si="432"/>
        <v>537643.47586206894</v>
      </c>
      <c r="D921" s="92">
        <f t="shared" si="432"/>
        <v>724462.46379310347</v>
      </c>
      <c r="E921" s="92">
        <f t="shared" si="432"/>
        <v>858898.05517241382</v>
      </c>
      <c r="F921" s="92">
        <f t="shared" si="432"/>
        <v>1997722.7224137932</v>
      </c>
      <c r="G921" s="31">
        <f t="shared" si="432"/>
        <v>2134592.2465517246</v>
      </c>
      <c r="H921" s="31">
        <f t="shared" si="432"/>
        <v>1655303.4758620691</v>
      </c>
      <c r="I921" s="31">
        <f t="shared" si="429"/>
        <v>9616919.0706896558</v>
      </c>
      <c r="J921" s="32">
        <f t="shared" si="430"/>
        <v>1373845.5815270937</v>
      </c>
    </row>
    <row r="922" spans="1:10" s="186" customFormat="1" x14ac:dyDescent="0.25">
      <c r="A922" s="212" t="s">
        <v>28</v>
      </c>
      <c r="B922" s="92">
        <f t="shared" ref="B922:H922" si="433">B924*B915</f>
        <v>1098190.6913793103</v>
      </c>
      <c r="C922" s="92">
        <f t="shared" si="433"/>
        <v>33602.717241379309</v>
      </c>
      <c r="D922" s="92">
        <f t="shared" si="433"/>
        <v>4427270.612068966</v>
      </c>
      <c r="E922" s="92">
        <f t="shared" si="433"/>
        <v>477165.58620689664</v>
      </c>
      <c r="F922" s="92">
        <f t="shared" si="433"/>
        <v>570777.92068965524</v>
      </c>
      <c r="G922" s="31">
        <f t="shared" si="433"/>
        <v>674081.76206896559</v>
      </c>
      <c r="H922" s="31">
        <f t="shared" si="433"/>
        <v>310369.40172413795</v>
      </c>
      <c r="I922" s="31">
        <f t="shared" si="429"/>
        <v>7591458.6913793106</v>
      </c>
      <c r="J922" s="32">
        <f t="shared" si="430"/>
        <v>1084494.0987684729</v>
      </c>
    </row>
    <row r="923" spans="1:10" s="186" customFormat="1" x14ac:dyDescent="0.25">
      <c r="A923" s="212" t="s">
        <v>29</v>
      </c>
      <c r="B923" s="92">
        <f>B924*B916</f>
        <v>0</v>
      </c>
      <c r="C923" s="92">
        <f t="shared" ref="C923:H923" si="434">C924*C916</f>
        <v>0</v>
      </c>
      <c r="D923" s="92">
        <f t="shared" si="434"/>
        <v>0</v>
      </c>
      <c r="E923" s="92">
        <f t="shared" si="434"/>
        <v>0</v>
      </c>
      <c r="F923" s="92">
        <f t="shared" si="434"/>
        <v>0</v>
      </c>
      <c r="G923" s="31">
        <f t="shared" si="434"/>
        <v>0</v>
      </c>
      <c r="H923" s="31">
        <f t="shared" si="434"/>
        <v>0</v>
      </c>
      <c r="I923" s="31">
        <f t="shared" si="429"/>
        <v>0</v>
      </c>
      <c r="J923" s="32">
        <f t="shared" si="430"/>
        <v>0</v>
      </c>
    </row>
    <row r="924" spans="1:10" s="186" customFormat="1" x14ac:dyDescent="0.25">
      <c r="A924" s="216" t="s">
        <v>30</v>
      </c>
      <c r="B924" s="222">
        <f>(14876900/1.16)-B925</f>
        <v>12202118.793103449</v>
      </c>
      <c r="C924" s="222">
        <f>(4087900/1.16)-C925</f>
        <v>3360271.7241379311</v>
      </c>
      <c r="D924" s="222">
        <f>(9540000/1.16)-D925</f>
        <v>8049582.931034483</v>
      </c>
      <c r="E924" s="222">
        <f>(5795100/1.16)-E925</f>
        <v>4771655.862068966</v>
      </c>
      <c r="F924" s="222">
        <f>(11532500/1.16)-F925</f>
        <v>9512965.3448275868</v>
      </c>
      <c r="G924" s="222">
        <f>(13624700/1.16)-G925</f>
        <v>11234696.03448276</v>
      </c>
      <c r="H924" s="222">
        <f>(12628400/1.16)-H925</f>
        <v>10345646.724137932</v>
      </c>
      <c r="I924" s="197">
        <f t="shared" si="429"/>
        <v>59476937.413793109</v>
      </c>
      <c r="J924" s="217">
        <f t="shared" si="430"/>
        <v>8496705.3448275868</v>
      </c>
    </row>
    <row r="925" spans="1:10" s="186" customFormat="1" x14ac:dyDescent="0.25">
      <c r="A925" s="212" t="s">
        <v>31</v>
      </c>
      <c r="B925" s="92">
        <f t="shared" ref="B925:I925" si="435">2155*B906</f>
        <v>622795</v>
      </c>
      <c r="C925" s="92">
        <f t="shared" si="435"/>
        <v>163780</v>
      </c>
      <c r="D925" s="92">
        <f t="shared" si="435"/>
        <v>174555</v>
      </c>
      <c r="E925" s="92">
        <f t="shared" si="435"/>
        <v>224120</v>
      </c>
      <c r="F925" s="92">
        <f t="shared" si="435"/>
        <v>428845</v>
      </c>
      <c r="G925" s="31">
        <f t="shared" si="435"/>
        <v>510735</v>
      </c>
      <c r="H925" s="31">
        <f t="shared" si="435"/>
        <v>540905</v>
      </c>
      <c r="I925" s="31">
        <f t="shared" si="435"/>
        <v>2665735</v>
      </c>
      <c r="J925" s="32">
        <f t="shared" si="430"/>
        <v>380819.28571428574</v>
      </c>
    </row>
    <row r="926" spans="1:10" s="186" customFormat="1" x14ac:dyDescent="0.25">
      <c r="A926" s="218" t="s">
        <v>32</v>
      </c>
      <c r="B926" s="199">
        <f>B925+B924</f>
        <v>12824913.793103449</v>
      </c>
      <c r="C926" s="199">
        <f>C925+C924</f>
        <v>3524051.7241379311</v>
      </c>
      <c r="D926" s="199">
        <f>D925+D924</f>
        <v>8224137.931034483</v>
      </c>
      <c r="E926" s="199">
        <f>E925+E924</f>
        <v>4995775.862068966</v>
      </c>
      <c r="F926" s="199">
        <f>F924+F925</f>
        <v>9941810.3448275868</v>
      </c>
      <c r="G926" s="199">
        <f>G925+G924</f>
        <v>11745431.03448276</v>
      </c>
      <c r="H926" s="199">
        <f>H925+H924</f>
        <v>10886551.724137932</v>
      </c>
      <c r="I926" s="199">
        <f>I924+I925</f>
        <v>62142672.413793109</v>
      </c>
      <c r="J926" s="219">
        <f t="shared" si="430"/>
        <v>8877524.6305418722</v>
      </c>
    </row>
    <row r="927" spans="1:10" s="186" customFormat="1" x14ac:dyDescent="0.25">
      <c r="A927" s="212" t="s">
        <v>33</v>
      </c>
      <c r="B927" s="94">
        <f>B926*16%</f>
        <v>2051986.2068965519</v>
      </c>
      <c r="C927" s="94">
        <f t="shared" ref="C927:H927" si="436">C926*16%</f>
        <v>563848.27586206899</v>
      </c>
      <c r="D927" s="94">
        <f t="shared" si="436"/>
        <v>1315862.0689655172</v>
      </c>
      <c r="E927" s="94">
        <f t="shared" si="436"/>
        <v>799324.13793103455</v>
      </c>
      <c r="F927" s="94">
        <f t="shared" si="436"/>
        <v>1590689.6551724139</v>
      </c>
      <c r="G927" s="94">
        <f t="shared" si="436"/>
        <v>1879268.9655172417</v>
      </c>
      <c r="H927" s="94">
        <f t="shared" si="436"/>
        <v>1741848.2758620691</v>
      </c>
      <c r="I927" s="94">
        <f>I926*16%</f>
        <v>9942827.5862068981</v>
      </c>
      <c r="J927" s="32">
        <f t="shared" si="430"/>
        <v>1420403.9408866998</v>
      </c>
    </row>
    <row r="928" spans="1:10" s="186" customFormat="1" x14ac:dyDescent="0.25">
      <c r="A928" s="220" t="s">
        <v>34</v>
      </c>
      <c r="B928" s="202">
        <f>B926+B927</f>
        <v>14876900</v>
      </c>
      <c r="C928" s="202">
        <f t="shared" ref="C928:H928" si="437">C926+C927</f>
        <v>4087900</v>
      </c>
      <c r="D928" s="202">
        <f t="shared" si="437"/>
        <v>9540000</v>
      </c>
      <c r="E928" s="202">
        <f t="shared" si="437"/>
        <v>5795100.0000000009</v>
      </c>
      <c r="F928" s="202">
        <f t="shared" si="437"/>
        <v>11532500</v>
      </c>
      <c r="G928" s="202">
        <f t="shared" si="437"/>
        <v>13624700.000000002</v>
      </c>
      <c r="H928" s="202">
        <f t="shared" si="437"/>
        <v>12628400.000000002</v>
      </c>
      <c r="I928" s="202">
        <f>I926+I927</f>
        <v>72085500</v>
      </c>
      <c r="J928" s="221">
        <f t="shared" si="430"/>
        <v>10297928.571428571</v>
      </c>
    </row>
    <row r="929" spans="1:10" s="186" customFormat="1" x14ac:dyDescent="0.25">
      <c r="A929" s="204"/>
      <c r="B929" s="112"/>
      <c r="C929" s="112"/>
      <c r="D929" s="112"/>
      <c r="E929" s="112"/>
      <c r="F929" s="112"/>
      <c r="G929" s="112"/>
      <c r="H929" s="112"/>
      <c r="I929" s="112"/>
      <c r="J929" s="205"/>
    </row>
    <row r="930" spans="1:10" s="186" customFormat="1" ht="15.75" thickBot="1" x14ac:dyDescent="0.3">
      <c r="A930" s="204"/>
      <c r="B930" s="112"/>
      <c r="C930" s="112"/>
      <c r="D930" s="112"/>
      <c r="E930" s="112"/>
      <c r="F930" s="112"/>
      <c r="G930" s="112"/>
      <c r="H930" s="112"/>
      <c r="I930" s="112"/>
      <c r="J930" s="205"/>
    </row>
    <row r="931" spans="1:10" s="186" customFormat="1" ht="26.25" x14ac:dyDescent="0.25">
      <c r="A931"/>
      <c r="B931" s="1002" t="s">
        <v>254</v>
      </c>
      <c r="C931" s="1002"/>
      <c r="D931" s="1002"/>
      <c r="E931" s="1002"/>
      <c r="F931" s="1002"/>
      <c r="G931" s="1002"/>
      <c r="H931" s="1002"/>
      <c r="I931"/>
      <c r="J931"/>
    </row>
    <row r="932" spans="1:10" s="186" customFormat="1" ht="15.75" x14ac:dyDescent="0.25">
      <c r="A932" s="207" t="s">
        <v>2</v>
      </c>
      <c r="B932" s="121" t="s">
        <v>241</v>
      </c>
      <c r="C932" s="121" t="s">
        <v>255</v>
      </c>
      <c r="D932" s="121" t="s">
        <v>256</v>
      </c>
      <c r="E932" s="121" t="s">
        <v>257</v>
      </c>
      <c r="F932" s="121" t="s">
        <v>258</v>
      </c>
      <c r="G932" s="121" t="s">
        <v>259</v>
      </c>
      <c r="H932" s="121" t="s">
        <v>260</v>
      </c>
      <c r="I932" s="121" t="s">
        <v>96</v>
      </c>
      <c r="J932" s="209" t="s">
        <v>97</v>
      </c>
    </row>
    <row r="933" spans="1:10" s="186" customFormat="1" x14ac:dyDescent="0.25">
      <c r="A933" s="210" t="s">
        <v>11</v>
      </c>
      <c r="B933" s="189">
        <v>149</v>
      </c>
      <c r="C933" s="189">
        <v>153</v>
      </c>
      <c r="D933" s="189">
        <v>174</v>
      </c>
      <c r="E933" s="190">
        <v>227</v>
      </c>
      <c r="F933" s="190">
        <v>456</v>
      </c>
      <c r="G933" s="190">
        <v>517</v>
      </c>
      <c r="H933" s="190">
        <v>487</v>
      </c>
      <c r="I933" s="190">
        <f>SUM(B933:H933)</f>
        <v>2163</v>
      </c>
      <c r="J933" s="211">
        <f>+I933/7</f>
        <v>309</v>
      </c>
    </row>
    <row r="934" spans="1:10" s="186" customFormat="1" x14ac:dyDescent="0.25">
      <c r="A934" s="212" t="s">
        <v>12</v>
      </c>
      <c r="B934" s="11">
        <v>73</v>
      </c>
      <c r="C934" s="11">
        <v>80</v>
      </c>
      <c r="D934" s="11">
        <v>81</v>
      </c>
      <c r="E934" s="11">
        <v>112</v>
      </c>
      <c r="F934" s="11">
        <v>232</v>
      </c>
      <c r="G934" s="11">
        <v>257</v>
      </c>
      <c r="H934" s="11">
        <v>253</v>
      </c>
      <c r="I934" s="11">
        <f>SUM('PEPE SIERRA '!$B934:$H934)</f>
        <v>1088</v>
      </c>
      <c r="J934" s="60">
        <f t="shared" ref="J934:J939" si="438">I934/7</f>
        <v>155.42857142857142</v>
      </c>
    </row>
    <row r="935" spans="1:10" s="186" customFormat="1" x14ac:dyDescent="0.25">
      <c r="A935" s="212" t="s">
        <v>13</v>
      </c>
      <c r="B935" s="11">
        <v>2</v>
      </c>
      <c r="C935" s="11">
        <v>3</v>
      </c>
      <c r="D935" s="11">
        <v>5</v>
      </c>
      <c r="E935" s="11">
        <v>5</v>
      </c>
      <c r="F935" s="11">
        <v>5</v>
      </c>
      <c r="G935" s="11">
        <v>11</v>
      </c>
      <c r="H935" s="11">
        <v>12</v>
      </c>
      <c r="I935" s="11">
        <f>SUM('PEPE SIERRA '!$B935:$H935)</f>
        <v>43</v>
      </c>
      <c r="J935" s="60">
        <f t="shared" si="438"/>
        <v>6.1428571428571432</v>
      </c>
    </row>
    <row r="936" spans="1:10" s="186" customFormat="1" x14ac:dyDescent="0.25">
      <c r="A936" s="212" t="s">
        <v>14</v>
      </c>
      <c r="B936" s="11">
        <v>35</v>
      </c>
      <c r="C936" s="11">
        <v>33</v>
      </c>
      <c r="D936" s="11">
        <v>40</v>
      </c>
      <c r="E936" s="11">
        <v>59</v>
      </c>
      <c r="F936" s="11">
        <v>91</v>
      </c>
      <c r="G936" s="11">
        <v>144</v>
      </c>
      <c r="H936" s="86">
        <v>92</v>
      </c>
      <c r="I936" s="11">
        <f>SUM('PEPE SIERRA '!$B936:$H936)</f>
        <v>494</v>
      </c>
      <c r="J936" s="60">
        <f t="shared" si="438"/>
        <v>70.571428571428569</v>
      </c>
    </row>
    <row r="937" spans="1:10" s="186" customFormat="1" x14ac:dyDescent="0.25">
      <c r="A937" s="212" t="s">
        <v>15</v>
      </c>
      <c r="B937" s="11">
        <v>15</v>
      </c>
      <c r="C937" s="11">
        <v>7</v>
      </c>
      <c r="D937" s="11">
        <v>10</v>
      </c>
      <c r="E937" s="11">
        <v>10</v>
      </c>
      <c r="F937" s="11">
        <v>15</v>
      </c>
      <c r="G937" s="11">
        <v>16</v>
      </c>
      <c r="H937" s="11">
        <v>24</v>
      </c>
      <c r="I937" s="11">
        <f>SUM('PEPE SIERRA '!$B937:$H937)</f>
        <v>97</v>
      </c>
      <c r="J937" s="60">
        <f t="shared" si="438"/>
        <v>13.857142857142858</v>
      </c>
    </row>
    <row r="938" spans="1:10" s="186" customFormat="1" x14ac:dyDescent="0.25">
      <c r="A938" s="212" t="s">
        <v>16</v>
      </c>
      <c r="B938" s="11">
        <v>0</v>
      </c>
      <c r="C938" s="11">
        <v>0</v>
      </c>
      <c r="D938" s="11">
        <v>0</v>
      </c>
      <c r="E938" s="11">
        <v>0</v>
      </c>
      <c r="F938" s="11">
        <v>0</v>
      </c>
      <c r="G938" s="11">
        <v>2</v>
      </c>
      <c r="H938" s="11">
        <v>0</v>
      </c>
      <c r="I938" s="11">
        <f>SUM('PEPE SIERRA '!$B938:$H938)</f>
        <v>2</v>
      </c>
      <c r="J938" s="60">
        <f t="shared" si="438"/>
        <v>0.2857142857142857</v>
      </c>
    </row>
    <row r="939" spans="1:10" s="186" customFormat="1" x14ac:dyDescent="0.25">
      <c r="A939" s="213" t="s">
        <v>17</v>
      </c>
      <c r="B939" s="192">
        <f>SUM(B934:B938)</f>
        <v>125</v>
      </c>
      <c r="C939" s="192">
        <f t="shared" ref="C939:I939" si="439">SUM(C934:C938)</f>
        <v>123</v>
      </c>
      <c r="D939" s="192">
        <f t="shared" si="439"/>
        <v>136</v>
      </c>
      <c r="E939" s="192">
        <f t="shared" si="439"/>
        <v>186</v>
      </c>
      <c r="F939" s="192">
        <f t="shared" si="439"/>
        <v>343</v>
      </c>
      <c r="G939" s="192">
        <f t="shared" si="439"/>
        <v>430</v>
      </c>
      <c r="H939" s="192">
        <f t="shared" si="439"/>
        <v>381</v>
      </c>
      <c r="I939" s="192">
        <f t="shared" si="439"/>
        <v>1724</v>
      </c>
      <c r="J939" s="214">
        <f t="shared" si="438"/>
        <v>246.28571428571428</v>
      </c>
    </row>
    <row r="940" spans="1:10" s="186" customFormat="1" x14ac:dyDescent="0.25">
      <c r="A940" s="212" t="s">
        <v>18</v>
      </c>
      <c r="B940" s="30">
        <v>0.63</v>
      </c>
      <c r="C940" s="30">
        <v>0.7</v>
      </c>
      <c r="D940" s="30">
        <v>0.67</v>
      </c>
      <c r="E940" s="30">
        <v>0.63</v>
      </c>
      <c r="F940" s="30">
        <v>0.69</v>
      </c>
      <c r="G940" s="30">
        <v>0.61</v>
      </c>
      <c r="H940" s="30">
        <v>0.66</v>
      </c>
      <c r="I940" s="30">
        <f>I947/I952</f>
        <v>0.65240183828888076</v>
      </c>
      <c r="J940" s="160">
        <f>J947/J952</f>
        <v>0.65240183828888088</v>
      </c>
    </row>
    <row r="941" spans="1:10" s="186" customFormat="1" x14ac:dyDescent="0.25">
      <c r="A941" s="212" t="s">
        <v>19</v>
      </c>
      <c r="B941" s="30">
        <v>0.02</v>
      </c>
      <c r="C941" s="30">
        <v>0.01</v>
      </c>
      <c r="D941" s="30">
        <v>0.03</v>
      </c>
      <c r="E941" s="30">
        <v>0.03</v>
      </c>
      <c r="F941" s="30">
        <v>0.02</v>
      </c>
      <c r="G941" s="30">
        <v>0.03</v>
      </c>
      <c r="H941" s="30">
        <v>0.03</v>
      </c>
      <c r="I941" s="30">
        <f>I948/I952</f>
        <v>2.5782749854542028E-2</v>
      </c>
      <c r="J941" s="160">
        <f>J948/J952</f>
        <v>2.5782749854542028E-2</v>
      </c>
    </row>
    <row r="942" spans="1:10" s="186" customFormat="1" x14ac:dyDescent="0.25">
      <c r="A942" s="212" t="s">
        <v>20</v>
      </c>
      <c r="B942" s="30">
        <v>0.24</v>
      </c>
      <c r="C942" s="30">
        <v>0.24</v>
      </c>
      <c r="D942" s="30">
        <v>0.25</v>
      </c>
      <c r="E942" s="30">
        <v>0.28999999999999998</v>
      </c>
      <c r="F942" s="30">
        <v>0.26</v>
      </c>
      <c r="G942" s="30">
        <v>0.31</v>
      </c>
      <c r="H942" s="30">
        <v>0.24</v>
      </c>
      <c r="I942" s="30">
        <f>I949/I952</f>
        <v>0.26747870426749948</v>
      </c>
      <c r="J942" s="160">
        <f>J949/J952</f>
        <v>0.26747870426749942</v>
      </c>
    </row>
    <row r="943" spans="1:10" s="186" customFormat="1" x14ac:dyDescent="0.25">
      <c r="A943" s="212" t="s">
        <v>21</v>
      </c>
      <c r="B943" s="30">
        <v>0.11</v>
      </c>
      <c r="C943" s="30">
        <v>0.05</v>
      </c>
      <c r="D943" s="30">
        <v>0.05</v>
      </c>
      <c r="E943" s="30">
        <v>0.05</v>
      </c>
      <c r="F943" s="30">
        <v>0.03</v>
      </c>
      <c r="G943" s="30">
        <v>0.04</v>
      </c>
      <c r="H943" s="30">
        <v>7.0000000000000007E-2</v>
      </c>
      <c r="I943" s="30">
        <f>I950/I952</f>
        <v>5.1895036544997913E-2</v>
      </c>
      <c r="J943" s="160">
        <f>J950/J952</f>
        <v>5.1895036544997913E-2</v>
      </c>
    </row>
    <row r="944" spans="1:10" s="186" customFormat="1" x14ac:dyDescent="0.25">
      <c r="A944" s="212" t="s">
        <v>22</v>
      </c>
      <c r="B944" s="30">
        <v>0</v>
      </c>
      <c r="C944" s="30">
        <v>0</v>
      </c>
      <c r="D944" s="30">
        <v>0</v>
      </c>
      <c r="E944" s="30">
        <v>0</v>
      </c>
      <c r="F944" s="30">
        <v>0</v>
      </c>
      <c r="G944" s="30">
        <v>0.01</v>
      </c>
      <c r="H944" s="30">
        <v>0</v>
      </c>
      <c r="I944" s="30">
        <f>I951/I952</f>
        <v>2.4416710440798859E-3</v>
      </c>
      <c r="J944" s="160">
        <f>J951/J952</f>
        <v>2.4416710440798854E-3</v>
      </c>
    </row>
    <row r="945" spans="1:10" s="186" customFormat="1" x14ac:dyDescent="0.25">
      <c r="A945" s="215" t="s">
        <v>23</v>
      </c>
      <c r="B945" s="66">
        <f t="shared" ref="B945:J945" si="440">B956/B939</f>
        <v>33068</v>
      </c>
      <c r="C945" s="66">
        <f t="shared" si="440"/>
        <v>37878.861788617884</v>
      </c>
      <c r="D945" s="66">
        <f t="shared" si="440"/>
        <v>33521.323529411762</v>
      </c>
      <c r="E945" s="66">
        <f t="shared" si="440"/>
        <v>37055.913978494624</v>
      </c>
      <c r="F945" s="66">
        <f t="shared" si="440"/>
        <v>37721.86588921283</v>
      </c>
      <c r="G945" s="66">
        <f t="shared" si="440"/>
        <v>35462.093023255817</v>
      </c>
      <c r="H945" s="66">
        <f t="shared" si="440"/>
        <v>37032.283464566935</v>
      </c>
      <c r="I945" s="66">
        <f t="shared" si="440"/>
        <v>36276.392111368914</v>
      </c>
      <c r="J945" s="67">
        <f t="shared" si="440"/>
        <v>36276.392111368914</v>
      </c>
    </row>
    <row r="946" spans="1:10" s="186" customFormat="1" x14ac:dyDescent="0.25">
      <c r="A946" s="215" t="s">
        <v>24</v>
      </c>
      <c r="B946" s="66">
        <f t="shared" ref="B946:I946" si="441">+B956/B933</f>
        <v>27741.610738255033</v>
      </c>
      <c r="C946" s="66">
        <f t="shared" si="441"/>
        <v>30451.633986928104</v>
      </c>
      <c r="D946" s="66">
        <f t="shared" si="441"/>
        <v>26200.57471264368</v>
      </c>
      <c r="E946" s="66">
        <f t="shared" si="441"/>
        <v>30362.995594713655</v>
      </c>
      <c r="F946" s="66">
        <f t="shared" si="441"/>
        <v>28374.122807017542</v>
      </c>
      <c r="G946" s="66">
        <f t="shared" si="441"/>
        <v>29494.584139264993</v>
      </c>
      <c r="H946" s="66">
        <f t="shared" si="441"/>
        <v>28971.868583162221</v>
      </c>
      <c r="I946" s="66">
        <f t="shared" si="441"/>
        <v>28913.777161349979</v>
      </c>
      <c r="J946" s="67">
        <f>J956/J933</f>
        <v>28913.777161349979</v>
      </c>
    </row>
    <row r="947" spans="1:10" s="186" customFormat="1" x14ac:dyDescent="0.25">
      <c r="A947" s="212" t="s">
        <v>25</v>
      </c>
      <c r="B947" s="92">
        <f t="shared" ref="B947:H947" si="442">B952*B940</f>
        <v>2145809.6534482762</v>
      </c>
      <c r="C947" s="92">
        <f t="shared" si="442"/>
        <v>2690845.8620689656</v>
      </c>
      <c r="D947" s="92">
        <f t="shared" si="442"/>
        <v>2516205.90862069</v>
      </c>
      <c r="E947" s="92">
        <f t="shared" si="442"/>
        <v>3591229.4068965521</v>
      </c>
      <c r="F947" s="92">
        <f t="shared" si="442"/>
        <v>7351263.8068965515</v>
      </c>
      <c r="G947" s="31">
        <f t="shared" si="442"/>
        <v>7680873.5810344834</v>
      </c>
      <c r="H947" s="31">
        <f t="shared" si="442"/>
        <v>7667863.272413794</v>
      </c>
      <c r="I947" s="31">
        <f t="shared" ref="I947:I952" si="443">SUM(B947:H947)</f>
        <v>33644091.491379321</v>
      </c>
      <c r="J947" s="32">
        <f t="shared" ref="J947:J956" si="444">I947/7</f>
        <v>4806298.7844827604</v>
      </c>
    </row>
    <row r="948" spans="1:10" s="186" customFormat="1" x14ac:dyDescent="0.25">
      <c r="A948" s="212" t="s">
        <v>26</v>
      </c>
      <c r="B948" s="92">
        <f t="shared" ref="B948:H948" si="445">B952*B941</f>
        <v>68120.941379310345</v>
      </c>
      <c r="C948" s="92">
        <f t="shared" si="445"/>
        <v>38440.655172413797</v>
      </c>
      <c r="D948" s="92">
        <f t="shared" si="445"/>
        <v>112665.93620689656</v>
      </c>
      <c r="E948" s="92">
        <f t="shared" si="445"/>
        <v>171010.92413793106</v>
      </c>
      <c r="F948" s="92">
        <f t="shared" si="445"/>
        <v>213080.11034482758</v>
      </c>
      <c r="G948" s="31">
        <f t="shared" si="445"/>
        <v>377747.88103448279</v>
      </c>
      <c r="H948" s="31">
        <f t="shared" si="445"/>
        <v>348539.23965517245</v>
      </c>
      <c r="I948" s="31">
        <f t="shared" si="443"/>
        <v>1329605.6879310345</v>
      </c>
      <c r="J948" s="32">
        <f t="shared" si="444"/>
        <v>189943.6697044335</v>
      </c>
    </row>
    <row r="949" spans="1:10" s="186" customFormat="1" x14ac:dyDescent="0.25">
      <c r="A949" s="212" t="s">
        <v>27</v>
      </c>
      <c r="B949" s="92">
        <f t="shared" ref="B949:H949" si="446">B952*B942</f>
        <v>817451.2965517242</v>
      </c>
      <c r="C949" s="92">
        <f t="shared" si="446"/>
        <v>922575.72413793113</v>
      </c>
      <c r="D949" s="92">
        <f t="shared" si="446"/>
        <v>938882.80172413797</v>
      </c>
      <c r="E949" s="92">
        <f t="shared" si="446"/>
        <v>1653105.6</v>
      </c>
      <c r="F949" s="92">
        <f t="shared" si="446"/>
        <v>2770041.4344827589</v>
      </c>
      <c r="G949" s="31">
        <f t="shared" si="446"/>
        <v>3903394.7706896556</v>
      </c>
      <c r="H949" s="31">
        <f t="shared" si="446"/>
        <v>2788313.9172413796</v>
      </c>
      <c r="I949" s="31">
        <f t="shared" si="443"/>
        <v>13793765.544827588</v>
      </c>
      <c r="J949" s="32">
        <f t="shared" si="444"/>
        <v>1970537.9349753696</v>
      </c>
    </row>
    <row r="950" spans="1:10" s="186" customFormat="1" x14ac:dyDescent="0.25">
      <c r="A950" s="212" t="s">
        <v>28</v>
      </c>
      <c r="B950" s="92">
        <f t="shared" ref="B950:H950" si="447">B952*B943</f>
        <v>374665.17758620693</v>
      </c>
      <c r="C950" s="92">
        <f t="shared" si="447"/>
        <v>192203.27586206899</v>
      </c>
      <c r="D950" s="92">
        <f t="shared" si="447"/>
        <v>187776.56034482759</v>
      </c>
      <c r="E950" s="92">
        <f t="shared" si="447"/>
        <v>285018.20689655177</v>
      </c>
      <c r="F950" s="92">
        <f t="shared" si="447"/>
        <v>319620.16551724134</v>
      </c>
      <c r="G950" s="31">
        <f t="shared" si="447"/>
        <v>503663.84137931041</v>
      </c>
      <c r="H950" s="31">
        <f t="shared" si="447"/>
        <v>813258.22586206917</v>
      </c>
      <c r="I950" s="31">
        <f t="shared" si="443"/>
        <v>2676205.453448276</v>
      </c>
      <c r="J950" s="32">
        <f t="shared" si="444"/>
        <v>382315.06477832515</v>
      </c>
    </row>
    <row r="951" spans="1:10" s="186" customFormat="1" x14ac:dyDescent="0.25">
      <c r="A951" s="212" t="s">
        <v>29</v>
      </c>
      <c r="B951" s="92">
        <f>B952*B944</f>
        <v>0</v>
      </c>
      <c r="C951" s="92">
        <f t="shared" ref="C951:H951" si="448">C952*C944</f>
        <v>0</v>
      </c>
      <c r="D951" s="92">
        <f t="shared" si="448"/>
        <v>0</v>
      </c>
      <c r="E951" s="92">
        <f t="shared" si="448"/>
        <v>0</v>
      </c>
      <c r="F951" s="92">
        <f t="shared" si="448"/>
        <v>0</v>
      </c>
      <c r="G951" s="31">
        <f t="shared" si="448"/>
        <v>125915.9603448276</v>
      </c>
      <c r="H951" s="31">
        <f t="shared" si="448"/>
        <v>0</v>
      </c>
      <c r="I951" s="31">
        <f t="shared" si="443"/>
        <v>125915.9603448276</v>
      </c>
      <c r="J951" s="32">
        <f t="shared" si="444"/>
        <v>17987.99433497537</v>
      </c>
    </row>
    <row r="952" spans="1:10" s="186" customFormat="1" x14ac:dyDescent="0.25">
      <c r="A952" s="216" t="s">
        <v>30</v>
      </c>
      <c r="B952" s="222">
        <f>(4133500/1.16)-B953</f>
        <v>3406047.0689655175</v>
      </c>
      <c r="C952" s="222">
        <f>(4659100/1.16)-C953</f>
        <v>3844065.5172413797</v>
      </c>
      <c r="D952" s="222">
        <f>(4558900/1.16)-D953</f>
        <v>3755531.2068965519</v>
      </c>
      <c r="E952" s="222">
        <f>(6892400/1.16)-E953</f>
        <v>5700364.1379310349</v>
      </c>
      <c r="F952" s="222">
        <f>(12938600/1.16)-F953</f>
        <v>10654005.517241379</v>
      </c>
      <c r="G952" s="222">
        <f>(15248700/1.16)-G953</f>
        <v>12591596.03448276</v>
      </c>
      <c r="H952" s="222">
        <f>(14109300/1.16)-H953</f>
        <v>11617974.655172415</v>
      </c>
      <c r="I952" s="197">
        <f t="shared" si="443"/>
        <v>51569584.137931041</v>
      </c>
      <c r="J952" s="217">
        <f t="shared" si="444"/>
        <v>7367083.4482758632</v>
      </c>
    </row>
    <row r="953" spans="1:10" s="186" customFormat="1" x14ac:dyDescent="0.25">
      <c r="A953" s="212" t="s">
        <v>31</v>
      </c>
      <c r="B953" s="92">
        <f t="shared" ref="B953:I953" si="449">2155*B934</f>
        <v>157315</v>
      </c>
      <c r="C953" s="92">
        <f t="shared" si="449"/>
        <v>172400</v>
      </c>
      <c r="D953" s="92">
        <f t="shared" si="449"/>
        <v>174555</v>
      </c>
      <c r="E953" s="92">
        <f t="shared" si="449"/>
        <v>241360</v>
      </c>
      <c r="F953" s="92">
        <f t="shared" si="449"/>
        <v>499960</v>
      </c>
      <c r="G953" s="31">
        <f t="shared" si="449"/>
        <v>553835</v>
      </c>
      <c r="H953" s="31">
        <f t="shared" si="449"/>
        <v>545215</v>
      </c>
      <c r="I953" s="31">
        <f t="shared" si="449"/>
        <v>2344640</v>
      </c>
      <c r="J953" s="32">
        <f t="shared" si="444"/>
        <v>334948.57142857142</v>
      </c>
    </row>
    <row r="954" spans="1:10" s="186" customFormat="1" x14ac:dyDescent="0.25">
      <c r="A954" s="218" t="s">
        <v>32</v>
      </c>
      <c r="B954" s="199">
        <f>B953+B952</f>
        <v>3563362.0689655175</v>
      </c>
      <c r="C954" s="199">
        <f>C953+C952</f>
        <v>4016465.5172413797</v>
      </c>
      <c r="D954" s="199">
        <f>D953+D952</f>
        <v>3930086.2068965519</v>
      </c>
      <c r="E954" s="199">
        <f>E953+E952</f>
        <v>5941724.1379310349</v>
      </c>
      <c r="F954" s="199">
        <f>F952+F953</f>
        <v>11153965.517241379</v>
      </c>
      <c r="G954" s="199">
        <f>G953+G952</f>
        <v>13145431.03448276</v>
      </c>
      <c r="H954" s="199">
        <f>H953+H952</f>
        <v>12163189.655172415</v>
      </c>
      <c r="I954" s="199">
        <f>I952+I953</f>
        <v>53914224.137931041</v>
      </c>
      <c r="J954" s="219">
        <f t="shared" si="444"/>
        <v>7702032.0197044341</v>
      </c>
    </row>
    <row r="955" spans="1:10" s="186" customFormat="1" x14ac:dyDescent="0.25">
      <c r="A955" s="212" t="s">
        <v>33</v>
      </c>
      <c r="B955" s="94">
        <f>B954*16%</f>
        <v>570137.93103448278</v>
      </c>
      <c r="C955" s="94">
        <f t="shared" ref="C955:H955" si="450">C954*16%</f>
        <v>642634.48275862075</v>
      </c>
      <c r="D955" s="94">
        <f t="shared" si="450"/>
        <v>628813.79310344835</v>
      </c>
      <c r="E955" s="94">
        <f t="shared" si="450"/>
        <v>950675.86206896557</v>
      </c>
      <c r="F955" s="94">
        <f t="shared" si="450"/>
        <v>1784634.4827586208</v>
      </c>
      <c r="G955" s="94">
        <f t="shared" si="450"/>
        <v>2103268.9655172415</v>
      </c>
      <c r="H955" s="94">
        <f t="shared" si="450"/>
        <v>1946110.3448275866</v>
      </c>
      <c r="I955" s="94">
        <f>I954*16%</f>
        <v>8626275.862068966</v>
      </c>
      <c r="J955" s="32">
        <f t="shared" si="444"/>
        <v>1232325.1231527093</v>
      </c>
    </row>
    <row r="956" spans="1:10" s="186" customFormat="1" x14ac:dyDescent="0.25">
      <c r="A956" s="220" t="s">
        <v>34</v>
      </c>
      <c r="B956" s="202">
        <f>B954+B955</f>
        <v>4133500</v>
      </c>
      <c r="C956" s="202">
        <f t="shared" ref="C956:H956" si="451">C954+C955</f>
        <v>4659100</v>
      </c>
      <c r="D956" s="202">
        <f t="shared" si="451"/>
        <v>4558900</v>
      </c>
      <c r="E956" s="202">
        <f t="shared" si="451"/>
        <v>6892400</v>
      </c>
      <c r="F956" s="202">
        <f t="shared" si="451"/>
        <v>12938600</v>
      </c>
      <c r="G956" s="202">
        <f t="shared" si="451"/>
        <v>15248700.000000002</v>
      </c>
      <c r="H956" s="202">
        <f t="shared" si="451"/>
        <v>14109300.000000002</v>
      </c>
      <c r="I956" s="202">
        <f>I954+I955</f>
        <v>62540500.000000007</v>
      </c>
      <c r="J956" s="221">
        <f t="shared" si="444"/>
        <v>8934357.1428571437</v>
      </c>
    </row>
    <row r="957" spans="1:10" s="186" customFormat="1" ht="15.75" thickBot="1" x14ac:dyDescent="0.3">
      <c r="A957" s="204"/>
      <c r="B957" s="112"/>
      <c r="C957" s="112"/>
      <c r="D957" s="112"/>
      <c r="E957" s="112"/>
      <c r="F957" s="112"/>
      <c r="G957" s="112"/>
      <c r="H957" s="112"/>
      <c r="I957" s="112"/>
      <c r="J957" s="205"/>
    </row>
    <row r="958" spans="1:10" s="186" customFormat="1" ht="26.25" x14ac:dyDescent="0.25">
      <c r="A958"/>
      <c r="B958" s="1002" t="s">
        <v>261</v>
      </c>
      <c r="C958" s="1002"/>
      <c r="D958" s="1002"/>
      <c r="E958" s="1002"/>
      <c r="F958" s="1002"/>
      <c r="G958" s="1002"/>
      <c r="H958" s="1002"/>
      <c r="I958"/>
      <c r="J958"/>
    </row>
    <row r="959" spans="1:10" s="186" customFormat="1" ht="15.75" x14ac:dyDescent="0.25">
      <c r="A959" s="207" t="s">
        <v>2</v>
      </c>
      <c r="B959" s="121" t="s">
        <v>262</v>
      </c>
      <c r="C959" s="121" t="s">
        <v>263</v>
      </c>
      <c r="D959" s="121" t="s">
        <v>264</v>
      </c>
      <c r="E959" s="121" t="s">
        <v>265</v>
      </c>
      <c r="F959" s="121" t="s">
        <v>266</v>
      </c>
      <c r="G959" s="121" t="s">
        <v>267</v>
      </c>
      <c r="H959" s="121" t="s">
        <v>105</v>
      </c>
      <c r="I959" s="121" t="s">
        <v>96</v>
      </c>
      <c r="J959" s="209" t="s">
        <v>97</v>
      </c>
    </row>
    <row r="960" spans="1:10" s="186" customFormat="1" x14ac:dyDescent="0.25">
      <c r="A960" s="210" t="s">
        <v>11</v>
      </c>
      <c r="B960" s="189">
        <v>116</v>
      </c>
      <c r="C960" s="189">
        <v>186</v>
      </c>
      <c r="D960" s="189">
        <v>162</v>
      </c>
      <c r="E960" s="190">
        <v>199</v>
      </c>
      <c r="F960" s="190">
        <v>379</v>
      </c>
      <c r="G960" s="190">
        <v>526</v>
      </c>
      <c r="H960" s="190">
        <v>483</v>
      </c>
      <c r="I960" s="190">
        <f>SUM(B960:H960)</f>
        <v>2051</v>
      </c>
      <c r="J960" s="211">
        <f>+I960/7</f>
        <v>293</v>
      </c>
    </row>
    <row r="961" spans="1:10" s="186" customFormat="1" x14ac:dyDescent="0.25">
      <c r="A961" s="212" t="s">
        <v>12</v>
      </c>
      <c r="B961" s="11">
        <v>60</v>
      </c>
      <c r="C961" s="11">
        <v>81</v>
      </c>
      <c r="D961" s="11">
        <v>92</v>
      </c>
      <c r="E961" s="11">
        <v>103</v>
      </c>
      <c r="F961" s="11">
        <v>209</v>
      </c>
      <c r="G961" s="11">
        <v>272</v>
      </c>
      <c r="H961" s="11">
        <v>275</v>
      </c>
      <c r="I961" s="11">
        <f>SUM('PEPE SIERRA '!$B961:$H961)</f>
        <v>1092</v>
      </c>
      <c r="J961" s="60">
        <f t="shared" ref="J961:J966" si="452">I961/7</f>
        <v>156</v>
      </c>
    </row>
    <row r="962" spans="1:10" s="186" customFormat="1" x14ac:dyDescent="0.25">
      <c r="A962" s="212" t="s">
        <v>13</v>
      </c>
      <c r="B962" s="11">
        <v>0</v>
      </c>
      <c r="C962" s="11">
        <v>4</v>
      </c>
      <c r="D962" s="11">
        <v>0</v>
      </c>
      <c r="E962" s="11">
        <v>3</v>
      </c>
      <c r="F962" s="11">
        <v>5</v>
      </c>
      <c r="G962" s="11">
        <v>12</v>
      </c>
      <c r="H962" s="11">
        <v>15</v>
      </c>
      <c r="I962" s="11">
        <f>SUM('PEPE SIERRA '!$B962:$H962)</f>
        <v>39</v>
      </c>
      <c r="J962" s="60">
        <f t="shared" si="452"/>
        <v>5.5714285714285712</v>
      </c>
    </row>
    <row r="963" spans="1:10" s="186" customFormat="1" x14ac:dyDescent="0.25">
      <c r="A963" s="212" t="s">
        <v>14</v>
      </c>
      <c r="B963" s="11">
        <v>32</v>
      </c>
      <c r="C963" s="11">
        <v>45</v>
      </c>
      <c r="D963" s="11">
        <v>37</v>
      </c>
      <c r="E963" s="11">
        <v>39</v>
      </c>
      <c r="F963" s="11">
        <v>70</v>
      </c>
      <c r="G963" s="11">
        <v>88</v>
      </c>
      <c r="H963" s="86">
        <v>55</v>
      </c>
      <c r="I963" s="11">
        <f>SUM('PEPE SIERRA '!$B963:$H963)</f>
        <v>366</v>
      </c>
      <c r="J963" s="60">
        <f t="shared" si="452"/>
        <v>52.285714285714285</v>
      </c>
    </row>
    <row r="964" spans="1:10" s="186" customFormat="1" x14ac:dyDescent="0.25">
      <c r="A964" s="212" t="s">
        <v>15</v>
      </c>
      <c r="B964" s="11">
        <v>6</v>
      </c>
      <c r="C964" s="11">
        <v>5</v>
      </c>
      <c r="D964" s="11">
        <v>8</v>
      </c>
      <c r="E964" s="11">
        <v>10</v>
      </c>
      <c r="F964" s="11">
        <v>14</v>
      </c>
      <c r="G964" s="11">
        <v>25</v>
      </c>
      <c r="H964" s="11">
        <v>18</v>
      </c>
      <c r="I964" s="11">
        <f>SUM('PEPE SIERRA '!$B964:$H964)</f>
        <v>86</v>
      </c>
      <c r="J964" s="60">
        <f t="shared" si="452"/>
        <v>12.285714285714286</v>
      </c>
    </row>
    <row r="965" spans="1:10" s="186" customFormat="1" x14ac:dyDescent="0.25">
      <c r="A965" s="212" t="s">
        <v>16</v>
      </c>
      <c r="B965" s="11">
        <v>0</v>
      </c>
      <c r="C965" s="11">
        <v>0</v>
      </c>
      <c r="D965" s="11">
        <v>0</v>
      </c>
      <c r="E965" s="11">
        <v>1</v>
      </c>
      <c r="F965" s="11">
        <v>1</v>
      </c>
      <c r="G965" s="11">
        <v>1</v>
      </c>
      <c r="H965" s="11">
        <v>1</v>
      </c>
      <c r="I965" s="11">
        <f>SUM('PEPE SIERRA '!$B965:$H965)</f>
        <v>4</v>
      </c>
      <c r="J965" s="60">
        <f t="shared" si="452"/>
        <v>0.5714285714285714</v>
      </c>
    </row>
    <row r="966" spans="1:10" s="186" customFormat="1" x14ac:dyDescent="0.25">
      <c r="A966" s="213" t="s">
        <v>17</v>
      </c>
      <c r="B966" s="192">
        <f>SUM(B961:B965)</f>
        <v>98</v>
      </c>
      <c r="C966" s="192">
        <f t="shared" ref="C966:I966" si="453">SUM(C961:C965)</f>
        <v>135</v>
      </c>
      <c r="D966" s="192">
        <f t="shared" si="453"/>
        <v>137</v>
      </c>
      <c r="E966" s="192">
        <f t="shared" si="453"/>
        <v>156</v>
      </c>
      <c r="F966" s="192">
        <f t="shared" si="453"/>
        <v>299</v>
      </c>
      <c r="G966" s="192">
        <f t="shared" si="453"/>
        <v>398</v>
      </c>
      <c r="H966" s="192">
        <f t="shared" si="453"/>
        <v>364</v>
      </c>
      <c r="I966" s="192">
        <f t="shared" si="453"/>
        <v>1587</v>
      </c>
      <c r="J966" s="214">
        <f t="shared" si="452"/>
        <v>226.71428571428572</v>
      </c>
    </row>
    <row r="967" spans="1:10" s="186" customFormat="1" x14ac:dyDescent="0.25">
      <c r="A967" s="212" t="s">
        <v>18</v>
      </c>
      <c r="B967" s="30">
        <v>0.6</v>
      </c>
      <c r="C967" s="30">
        <v>0.68</v>
      </c>
      <c r="D967" s="30">
        <v>0.69</v>
      </c>
      <c r="E967" s="30">
        <v>0.74</v>
      </c>
      <c r="F967" s="30">
        <v>0.77</v>
      </c>
      <c r="G967" s="30">
        <v>0.71</v>
      </c>
      <c r="H967" s="30">
        <v>0.77</v>
      </c>
      <c r="I967" s="30">
        <f>I974/I979</f>
        <v>0.72834331152986564</v>
      </c>
      <c r="J967" s="160">
        <f>J974/J979</f>
        <v>0.72834331152986564</v>
      </c>
    </row>
    <row r="968" spans="1:10" s="186" customFormat="1" x14ac:dyDescent="0.25">
      <c r="A968" s="212" t="s">
        <v>19</v>
      </c>
      <c r="B968" s="30">
        <v>0</v>
      </c>
      <c r="C968" s="30">
        <v>0.02</v>
      </c>
      <c r="D968" s="30">
        <v>0</v>
      </c>
      <c r="E968" s="30">
        <v>0.02</v>
      </c>
      <c r="F968" s="30">
        <v>0.01</v>
      </c>
      <c r="G968" s="30">
        <v>0.03</v>
      </c>
      <c r="H968" s="30">
        <v>0.04</v>
      </c>
      <c r="I968" s="30">
        <f>I975/I979</f>
        <v>2.2581538003044518E-2</v>
      </c>
      <c r="J968" s="160">
        <f>J975/J979</f>
        <v>2.2581538003044518E-2</v>
      </c>
    </row>
    <row r="969" spans="1:10" s="186" customFormat="1" x14ac:dyDescent="0.25">
      <c r="A969" s="212" t="s">
        <v>20</v>
      </c>
      <c r="B969" s="30">
        <v>0.33</v>
      </c>
      <c r="C969" s="30">
        <v>0.28000000000000003</v>
      </c>
      <c r="D969" s="30">
        <v>0.24</v>
      </c>
      <c r="E969" s="30">
        <v>0.18</v>
      </c>
      <c r="F969" s="30">
        <v>0.19</v>
      </c>
      <c r="G969" s="30">
        <v>0.2</v>
      </c>
      <c r="H969" s="30">
        <v>0.13</v>
      </c>
      <c r="I969" s="30">
        <f>I976/I979</f>
        <v>0.19692996229091494</v>
      </c>
      <c r="J969" s="160">
        <f>J976/J979</f>
        <v>0.19692996229091494</v>
      </c>
    </row>
    <row r="970" spans="1:10" s="186" customFormat="1" x14ac:dyDescent="0.25">
      <c r="A970" s="212" t="s">
        <v>21</v>
      </c>
      <c r="B970" s="30">
        <v>7.0000000000000007E-2</v>
      </c>
      <c r="C970" s="30">
        <v>0.02</v>
      </c>
      <c r="D970" s="30">
        <v>7.0000000000000007E-2</v>
      </c>
      <c r="E970" s="30">
        <v>0.05</v>
      </c>
      <c r="F970" s="30">
        <v>0.03</v>
      </c>
      <c r="G970" s="30">
        <v>0.06</v>
      </c>
      <c r="H970" s="30">
        <v>0.06</v>
      </c>
      <c r="I970" s="30">
        <f>I977/I979</f>
        <v>5.1183106523644002E-2</v>
      </c>
      <c r="J970" s="160">
        <f>J977/J979</f>
        <v>5.1183106523644002E-2</v>
      </c>
    </row>
    <row r="971" spans="1:10" s="186" customFormat="1" x14ac:dyDescent="0.25">
      <c r="A971" s="212" t="s">
        <v>22</v>
      </c>
      <c r="B971" s="30">
        <v>0</v>
      </c>
      <c r="C971" s="30">
        <v>0</v>
      </c>
      <c r="D971" s="30">
        <v>0</v>
      </c>
      <c r="E971" s="30">
        <v>0.01</v>
      </c>
      <c r="F971" s="30">
        <v>0</v>
      </c>
      <c r="G971" s="30">
        <v>0</v>
      </c>
      <c r="H971" s="30">
        <v>0</v>
      </c>
      <c r="I971" s="30">
        <f>I978/I979</f>
        <v>9.6208165253100855E-4</v>
      </c>
      <c r="J971" s="160">
        <f>J978/J979</f>
        <v>9.6208165253100855E-4</v>
      </c>
    </row>
    <row r="972" spans="1:10" s="186" customFormat="1" x14ac:dyDescent="0.25">
      <c r="A972" s="215" t="s">
        <v>23</v>
      </c>
      <c r="B972" s="66">
        <f t="shared" ref="B972:J972" si="454">B983/B966</f>
        <v>35223.469387755104</v>
      </c>
      <c r="C972" s="66">
        <f t="shared" si="454"/>
        <v>38581.481481481482</v>
      </c>
      <c r="D972" s="66">
        <f t="shared" si="454"/>
        <v>35985.401459854016</v>
      </c>
      <c r="E972" s="66">
        <f t="shared" si="454"/>
        <v>37606.410256410265</v>
      </c>
      <c r="F972" s="66">
        <f t="shared" si="454"/>
        <v>39398.327759197331</v>
      </c>
      <c r="G972" s="66">
        <f t="shared" si="454"/>
        <v>38246.231155778893</v>
      </c>
      <c r="H972" s="66">
        <f t="shared" si="454"/>
        <v>40034.61538461539</v>
      </c>
      <c r="I972" s="66">
        <f t="shared" si="454"/>
        <v>38457.277882797731</v>
      </c>
      <c r="J972" s="67">
        <f t="shared" si="454"/>
        <v>38457.277882797731</v>
      </c>
    </row>
    <row r="973" spans="1:10" s="186" customFormat="1" x14ac:dyDescent="0.25">
      <c r="A973" s="215" t="s">
        <v>24</v>
      </c>
      <c r="B973" s="66">
        <f t="shared" ref="B973:I973" si="455">+B983/B960</f>
        <v>29757.758620689656</v>
      </c>
      <c r="C973" s="66">
        <f t="shared" si="455"/>
        <v>28002.68817204301</v>
      </c>
      <c r="D973" s="66">
        <f t="shared" si="455"/>
        <v>30432.0987654321</v>
      </c>
      <c r="E973" s="66">
        <f t="shared" si="455"/>
        <v>29480.402010050257</v>
      </c>
      <c r="F973" s="66">
        <f t="shared" si="455"/>
        <v>31082.05804749341</v>
      </c>
      <c r="G973" s="66">
        <f t="shared" si="455"/>
        <v>28939.16349809886</v>
      </c>
      <c r="H973" s="66">
        <f t="shared" si="455"/>
        <v>30171.014492753628</v>
      </c>
      <c r="I973" s="66">
        <f t="shared" si="455"/>
        <v>29757.045343734764</v>
      </c>
      <c r="J973" s="67">
        <f>J983/J960</f>
        <v>29757.045343734764</v>
      </c>
    </row>
    <row r="974" spans="1:10" s="186" customFormat="1" x14ac:dyDescent="0.25">
      <c r="A974" s="212" t="s">
        <v>25</v>
      </c>
      <c r="B974" s="92">
        <f t="shared" ref="B974:H974" si="456">B979*B967</f>
        <v>1707885.5172413792</v>
      </c>
      <c r="C974" s="92">
        <f t="shared" si="456"/>
        <v>2934561.2206896553</v>
      </c>
      <c r="D974" s="92">
        <f t="shared" si="456"/>
        <v>2795700.5999999996</v>
      </c>
      <c r="E974" s="92">
        <f t="shared" si="456"/>
        <v>3578232.1068965523</v>
      </c>
      <c r="F974" s="92">
        <f t="shared" si="456"/>
        <v>7472744.9879310355</v>
      </c>
      <c r="G974" s="31">
        <f t="shared" si="456"/>
        <v>8900740.1931034476</v>
      </c>
      <c r="H974" s="31">
        <f t="shared" si="456"/>
        <v>9216870.1293103453</v>
      </c>
      <c r="I974" s="31">
        <f t="shared" ref="I974:I979" si="457">SUM(B974:H974)</f>
        <v>36606734.755172417</v>
      </c>
      <c r="J974" s="32">
        <f t="shared" ref="J974:J983" si="458">I974/7</f>
        <v>5229533.5364532024</v>
      </c>
    </row>
    <row r="975" spans="1:10" s="186" customFormat="1" x14ac:dyDescent="0.25">
      <c r="A975" s="212" t="s">
        <v>26</v>
      </c>
      <c r="B975" s="92">
        <f t="shared" ref="B975:H975" si="459">B979*B968</f>
        <v>0</v>
      </c>
      <c r="C975" s="92">
        <f t="shared" si="459"/>
        <v>86310.624137931038</v>
      </c>
      <c r="D975" s="92">
        <f t="shared" si="459"/>
        <v>0</v>
      </c>
      <c r="E975" s="92">
        <f t="shared" si="459"/>
        <v>96708.975862068983</v>
      </c>
      <c r="F975" s="92">
        <f t="shared" si="459"/>
        <v>97048.636206896568</v>
      </c>
      <c r="G975" s="31">
        <f t="shared" si="459"/>
        <v>376087.61379310343</v>
      </c>
      <c r="H975" s="31">
        <f t="shared" si="459"/>
        <v>478798.44827586215</v>
      </c>
      <c r="I975" s="31">
        <f t="shared" si="457"/>
        <v>1134954.2982758624</v>
      </c>
      <c r="J975" s="32">
        <f t="shared" si="458"/>
        <v>162136.32832512321</v>
      </c>
    </row>
    <row r="976" spans="1:10" s="186" customFormat="1" x14ac:dyDescent="0.25">
      <c r="A976" s="212" t="s">
        <v>27</v>
      </c>
      <c r="B976" s="92">
        <f t="shared" ref="B976:H976" si="460">B979*B969</f>
        <v>939337.03448275873</v>
      </c>
      <c r="C976" s="92">
        <f t="shared" si="460"/>
        <v>1208348.7379310345</v>
      </c>
      <c r="D976" s="92">
        <f t="shared" si="460"/>
        <v>972417.6</v>
      </c>
      <c r="E976" s="92">
        <f t="shared" si="460"/>
        <v>870380.7827586208</v>
      </c>
      <c r="F976" s="92">
        <f t="shared" si="460"/>
        <v>1843924.0879310349</v>
      </c>
      <c r="G976" s="31">
        <f t="shared" si="460"/>
        <v>2507250.7586206901</v>
      </c>
      <c r="H976" s="31">
        <f t="shared" si="460"/>
        <v>1556094.9568965519</v>
      </c>
      <c r="I976" s="31">
        <f t="shared" si="457"/>
        <v>9897753.9586206898</v>
      </c>
      <c r="J976" s="32">
        <f t="shared" si="458"/>
        <v>1413964.851231527</v>
      </c>
    </row>
    <row r="977" spans="1:10" s="186" customFormat="1" x14ac:dyDescent="0.25">
      <c r="A977" s="212" t="s">
        <v>28</v>
      </c>
      <c r="B977" s="92">
        <f t="shared" ref="B977:H977" si="461">B979*B970</f>
        <v>199253.31034482759</v>
      </c>
      <c r="C977" s="92">
        <f t="shared" si="461"/>
        <v>86310.624137931038</v>
      </c>
      <c r="D977" s="92">
        <f t="shared" si="461"/>
        <v>283621.80000000005</v>
      </c>
      <c r="E977" s="92">
        <f t="shared" si="461"/>
        <v>241772.43965517246</v>
      </c>
      <c r="F977" s="92">
        <f t="shared" si="461"/>
        <v>291145.9086206897</v>
      </c>
      <c r="G977" s="31">
        <f t="shared" si="461"/>
        <v>752175.22758620686</v>
      </c>
      <c r="H977" s="31">
        <f t="shared" si="461"/>
        <v>718197.67241379316</v>
      </c>
      <c r="I977" s="31">
        <f t="shared" si="457"/>
        <v>2572476.9827586208</v>
      </c>
      <c r="J977" s="32">
        <f t="shared" si="458"/>
        <v>367496.71182266012</v>
      </c>
    </row>
    <row r="978" spans="1:10" s="186" customFormat="1" x14ac:dyDescent="0.25">
      <c r="A978" s="212" t="s">
        <v>29</v>
      </c>
      <c r="B978" s="92">
        <f>B979*B971</f>
        <v>0</v>
      </c>
      <c r="C978" s="92">
        <f t="shared" ref="C978:H978" si="462">C979*C971</f>
        <v>0</v>
      </c>
      <c r="D978" s="92">
        <f t="shared" si="462"/>
        <v>0</v>
      </c>
      <c r="E978" s="92">
        <f t="shared" si="462"/>
        <v>48354.487931034491</v>
      </c>
      <c r="F978" s="92">
        <f t="shared" si="462"/>
        <v>0</v>
      </c>
      <c r="G978" s="31">
        <f t="shared" si="462"/>
        <v>0</v>
      </c>
      <c r="H978" s="31">
        <f t="shared" si="462"/>
        <v>0</v>
      </c>
      <c r="I978" s="31">
        <f t="shared" si="457"/>
        <v>48354.487931034491</v>
      </c>
      <c r="J978" s="32">
        <f t="shared" si="458"/>
        <v>6907.7839901477846</v>
      </c>
    </row>
    <row r="979" spans="1:10" s="186" customFormat="1" x14ac:dyDescent="0.25">
      <c r="A979" s="216" t="s">
        <v>30</v>
      </c>
      <c r="B979" s="222">
        <f>(3451900/1.16)-B980</f>
        <v>2846475.8620689656</v>
      </c>
      <c r="C979" s="222">
        <f>(5208500/1.16)-C980</f>
        <v>4315531.2068965519</v>
      </c>
      <c r="D979" s="222">
        <f>(4930000/1.16)-D980</f>
        <v>4051740</v>
      </c>
      <c r="E979" s="222">
        <f>(5866600/1.16)-E980</f>
        <v>4835448.793103449</v>
      </c>
      <c r="F979" s="222">
        <f>(11780100/1.16)-F980</f>
        <v>9704863.6206896566</v>
      </c>
      <c r="G979" s="222">
        <f>(15222000/1.16)-G980</f>
        <v>12536253.793103449</v>
      </c>
      <c r="H979" s="222">
        <f>(14572600/1.16)-H980</f>
        <v>11969961.206896553</v>
      </c>
      <c r="I979" s="197">
        <f t="shared" si="457"/>
        <v>50260274.482758619</v>
      </c>
      <c r="J979" s="217">
        <f t="shared" si="458"/>
        <v>7180039.2118226597</v>
      </c>
    </row>
    <row r="980" spans="1:10" s="186" customFormat="1" x14ac:dyDescent="0.25">
      <c r="A980" s="212" t="s">
        <v>31</v>
      </c>
      <c r="B980" s="92">
        <f t="shared" ref="B980:I980" si="463">2155*B961</f>
        <v>129300</v>
      </c>
      <c r="C980" s="92">
        <f t="shared" si="463"/>
        <v>174555</v>
      </c>
      <c r="D980" s="92">
        <f t="shared" si="463"/>
        <v>198260</v>
      </c>
      <c r="E980" s="92">
        <f t="shared" si="463"/>
        <v>221965</v>
      </c>
      <c r="F980" s="92">
        <f t="shared" si="463"/>
        <v>450395</v>
      </c>
      <c r="G980" s="31">
        <f t="shared" si="463"/>
        <v>586160</v>
      </c>
      <c r="H980" s="31">
        <f t="shared" si="463"/>
        <v>592625</v>
      </c>
      <c r="I980" s="31">
        <f t="shared" si="463"/>
        <v>2353260</v>
      </c>
      <c r="J980" s="32">
        <f t="shared" si="458"/>
        <v>336180</v>
      </c>
    </row>
    <row r="981" spans="1:10" s="186" customFormat="1" x14ac:dyDescent="0.25">
      <c r="A981" s="218" t="s">
        <v>32</v>
      </c>
      <c r="B981" s="199">
        <f>B980+B979</f>
        <v>2975775.8620689656</v>
      </c>
      <c r="C981" s="199">
        <f>C980+C979</f>
        <v>4490086.2068965519</v>
      </c>
      <c r="D981" s="199">
        <f>D980+D979</f>
        <v>4250000</v>
      </c>
      <c r="E981" s="199">
        <f>E980+E979</f>
        <v>5057413.793103449</v>
      </c>
      <c r="F981" s="199">
        <f>F979+F980</f>
        <v>10155258.620689657</v>
      </c>
      <c r="G981" s="199">
        <f>G980+G979</f>
        <v>13122413.793103449</v>
      </c>
      <c r="H981" s="199">
        <f>H980+H979</f>
        <v>12562586.206896553</v>
      </c>
      <c r="I981" s="199">
        <f>I979+I980</f>
        <v>52613534.482758619</v>
      </c>
      <c r="J981" s="219">
        <f t="shared" si="458"/>
        <v>7516219.2118226597</v>
      </c>
    </row>
    <row r="982" spans="1:10" s="186" customFormat="1" x14ac:dyDescent="0.25">
      <c r="A982" s="212" t="s">
        <v>33</v>
      </c>
      <c r="B982" s="94">
        <f>B981*16%</f>
        <v>476124.13793103449</v>
      </c>
      <c r="C982" s="94">
        <f t="shared" ref="C982:H982" si="464">C981*16%</f>
        <v>718413.79310344835</v>
      </c>
      <c r="D982" s="94">
        <f t="shared" si="464"/>
        <v>680000</v>
      </c>
      <c r="E982" s="94">
        <f t="shared" si="464"/>
        <v>809186.20689655188</v>
      </c>
      <c r="F982" s="94">
        <f t="shared" si="464"/>
        <v>1624841.379310345</v>
      </c>
      <c r="G982" s="94">
        <f t="shared" si="464"/>
        <v>2099586.2068965519</v>
      </c>
      <c r="H982" s="94">
        <f t="shared" si="464"/>
        <v>2010013.7931034486</v>
      </c>
      <c r="I982" s="94">
        <f>I981*16%</f>
        <v>8418165.5172413792</v>
      </c>
      <c r="J982" s="32">
        <f t="shared" si="458"/>
        <v>1202595.0738916255</v>
      </c>
    </row>
    <row r="983" spans="1:10" s="186" customFormat="1" x14ac:dyDescent="0.25">
      <c r="A983" s="220" t="s">
        <v>34</v>
      </c>
      <c r="B983" s="202">
        <f>B981+B982</f>
        <v>3451900</v>
      </c>
      <c r="C983" s="202">
        <f t="shared" ref="C983:H983" si="465">C981+C982</f>
        <v>5208500</v>
      </c>
      <c r="D983" s="202">
        <f t="shared" si="465"/>
        <v>4930000</v>
      </c>
      <c r="E983" s="202">
        <f t="shared" si="465"/>
        <v>5866600.0000000009</v>
      </c>
      <c r="F983" s="202">
        <f t="shared" si="465"/>
        <v>11780100.000000002</v>
      </c>
      <c r="G983" s="202">
        <f t="shared" si="465"/>
        <v>15222000</v>
      </c>
      <c r="H983" s="202">
        <f t="shared" si="465"/>
        <v>14572600.000000002</v>
      </c>
      <c r="I983" s="202">
        <f>I981+I982</f>
        <v>61031700</v>
      </c>
      <c r="J983" s="221">
        <f t="shared" si="458"/>
        <v>8718814.2857142854</v>
      </c>
    </row>
    <row r="984" spans="1:10" s="186" customFormat="1" ht="15.75" thickBot="1" x14ac:dyDescent="0.3">
      <c r="A984" s="204"/>
      <c r="B984" s="112"/>
      <c r="C984" s="112"/>
      <c r="D984" s="112"/>
      <c r="E984" s="112"/>
      <c r="F984" s="112"/>
      <c r="G984" s="112"/>
      <c r="H984" s="112"/>
      <c r="I984" s="112"/>
      <c r="J984" s="205"/>
    </row>
    <row r="985" spans="1:10" s="186" customFormat="1" ht="26.25" x14ac:dyDescent="0.25">
      <c r="A985"/>
      <c r="B985" s="1002" t="s">
        <v>268</v>
      </c>
      <c r="C985" s="1002"/>
      <c r="D985" s="1002"/>
      <c r="E985" s="1002"/>
      <c r="F985" s="1002"/>
      <c r="G985" s="1002"/>
      <c r="H985" s="1002"/>
      <c r="I985"/>
      <c r="J985"/>
    </row>
    <row r="986" spans="1:10" s="186" customFormat="1" ht="15.75" x14ac:dyDescent="0.25">
      <c r="A986" s="207" t="s">
        <v>2</v>
      </c>
      <c r="B986" s="121" t="s">
        <v>107</v>
      </c>
      <c r="C986" s="121" t="s">
        <v>108</v>
      </c>
      <c r="D986" s="121" t="s">
        <v>109</v>
      </c>
      <c r="E986" s="121" t="s">
        <v>110</v>
      </c>
      <c r="F986" s="121" t="s">
        <v>111</v>
      </c>
      <c r="G986" s="121" t="s">
        <v>112</v>
      </c>
      <c r="H986" s="121" t="s">
        <v>113</v>
      </c>
      <c r="I986" s="121" t="s">
        <v>96</v>
      </c>
      <c r="J986" s="209" t="s">
        <v>97</v>
      </c>
    </row>
    <row r="987" spans="1:10" s="186" customFormat="1" x14ac:dyDescent="0.25">
      <c r="A987" s="210" t="s">
        <v>11</v>
      </c>
      <c r="B987" s="189">
        <v>125</v>
      </c>
      <c r="C987" s="189">
        <v>160</v>
      </c>
      <c r="D987" s="189">
        <v>187</v>
      </c>
      <c r="E987" s="190">
        <v>218</v>
      </c>
      <c r="F987" s="190">
        <v>499</v>
      </c>
      <c r="G987" s="190">
        <v>493</v>
      </c>
      <c r="H987" s="190">
        <v>400</v>
      </c>
      <c r="I987" s="190">
        <f>SUM(B987:H987)</f>
        <v>2082</v>
      </c>
      <c r="J987" s="211">
        <f>+I987/7</f>
        <v>297.42857142857144</v>
      </c>
    </row>
    <row r="988" spans="1:10" s="186" customFormat="1" x14ac:dyDescent="0.25">
      <c r="A988" s="212" t="s">
        <v>12</v>
      </c>
      <c r="B988" s="11">
        <v>71</v>
      </c>
      <c r="C988" s="11">
        <v>85</v>
      </c>
      <c r="D988" s="11">
        <v>106</v>
      </c>
      <c r="E988" s="11">
        <v>129</v>
      </c>
      <c r="F988" s="11">
        <v>245</v>
      </c>
      <c r="G988" s="11">
        <v>266</v>
      </c>
      <c r="H988" s="11">
        <v>215</v>
      </c>
      <c r="I988" s="11">
        <f>SUM('PEPE SIERRA '!$B988:$H988)</f>
        <v>1117</v>
      </c>
      <c r="J988" s="60">
        <f t="shared" ref="J988:J993" si="466">I988/7</f>
        <v>159.57142857142858</v>
      </c>
    </row>
    <row r="989" spans="1:10" s="186" customFormat="1" x14ac:dyDescent="0.25">
      <c r="A989" s="212" t="s">
        <v>13</v>
      </c>
      <c r="B989" s="11">
        <v>0</v>
      </c>
      <c r="C989" s="11">
        <v>1</v>
      </c>
      <c r="D989" s="11">
        <v>0</v>
      </c>
      <c r="E989" s="11">
        <v>1</v>
      </c>
      <c r="F989" s="11">
        <v>5</v>
      </c>
      <c r="G989" s="11">
        <v>8</v>
      </c>
      <c r="H989" s="11">
        <v>9</v>
      </c>
      <c r="I989" s="11">
        <f>SUM('PEPE SIERRA '!$B989:$H989)</f>
        <v>24</v>
      </c>
      <c r="J989" s="60">
        <f t="shared" si="466"/>
        <v>3.4285714285714284</v>
      </c>
    </row>
    <row r="990" spans="1:10" s="186" customFormat="1" x14ac:dyDescent="0.25">
      <c r="A990" s="212" t="s">
        <v>14</v>
      </c>
      <c r="B990" s="11">
        <v>38</v>
      </c>
      <c r="C990" s="11">
        <v>47</v>
      </c>
      <c r="D990" s="11">
        <v>43</v>
      </c>
      <c r="E990" s="11">
        <v>28</v>
      </c>
      <c r="F990" s="11">
        <v>124</v>
      </c>
      <c r="G990" s="11">
        <v>90</v>
      </c>
      <c r="H990" s="86">
        <v>61</v>
      </c>
      <c r="I990" s="11">
        <f>SUM('PEPE SIERRA '!$B990:$H990)</f>
        <v>431</v>
      </c>
      <c r="J990" s="60">
        <f t="shared" si="466"/>
        <v>61.571428571428569</v>
      </c>
    </row>
    <row r="991" spans="1:10" s="186" customFormat="1" x14ac:dyDescent="0.25">
      <c r="A991" s="212" t="s">
        <v>15</v>
      </c>
      <c r="B991" s="11">
        <v>4</v>
      </c>
      <c r="C991" s="11">
        <v>0</v>
      </c>
      <c r="D991" s="11">
        <v>4</v>
      </c>
      <c r="E991" s="11">
        <v>2</v>
      </c>
      <c r="F991" s="11">
        <v>8</v>
      </c>
      <c r="G991" s="11">
        <v>2</v>
      </c>
      <c r="H991" s="11">
        <v>2</v>
      </c>
      <c r="I991" s="11">
        <f>SUM('PEPE SIERRA '!$B991:$H991)</f>
        <v>22</v>
      </c>
      <c r="J991" s="60">
        <f t="shared" si="466"/>
        <v>3.1428571428571428</v>
      </c>
    </row>
    <row r="992" spans="1:10" s="186" customFormat="1" x14ac:dyDescent="0.25">
      <c r="A992" s="212" t="s">
        <v>16</v>
      </c>
      <c r="B992" s="11">
        <v>0</v>
      </c>
      <c r="C992" s="11">
        <v>0</v>
      </c>
      <c r="D992" s="11">
        <v>2</v>
      </c>
      <c r="E992" s="11">
        <v>0</v>
      </c>
      <c r="F992" s="11">
        <v>2</v>
      </c>
      <c r="G992" s="11">
        <v>0</v>
      </c>
      <c r="H992" s="11">
        <v>1</v>
      </c>
      <c r="I992" s="11">
        <f>SUM('PEPE SIERRA '!$B992:$H992)</f>
        <v>5</v>
      </c>
      <c r="J992" s="60">
        <f t="shared" si="466"/>
        <v>0.7142857142857143</v>
      </c>
    </row>
    <row r="993" spans="1:10" s="186" customFormat="1" x14ac:dyDescent="0.25">
      <c r="A993" s="213" t="s">
        <v>17</v>
      </c>
      <c r="B993" s="192">
        <f>SUM(B988:B992)</f>
        <v>113</v>
      </c>
      <c r="C993" s="192">
        <f t="shared" ref="C993:I993" si="467">SUM(C988:C992)</f>
        <v>133</v>
      </c>
      <c r="D993" s="192">
        <f t="shared" si="467"/>
        <v>155</v>
      </c>
      <c r="E993" s="192">
        <f t="shared" si="467"/>
        <v>160</v>
      </c>
      <c r="F993" s="192">
        <f t="shared" si="467"/>
        <v>384</v>
      </c>
      <c r="G993" s="192">
        <f t="shared" si="467"/>
        <v>366</v>
      </c>
      <c r="H993" s="192">
        <f t="shared" si="467"/>
        <v>288</v>
      </c>
      <c r="I993" s="192">
        <f t="shared" si="467"/>
        <v>1599</v>
      </c>
      <c r="J993" s="214">
        <f t="shared" si="466"/>
        <v>228.42857142857142</v>
      </c>
    </row>
    <row r="994" spans="1:10" s="186" customFormat="1" x14ac:dyDescent="0.25">
      <c r="A994" s="212" t="s">
        <v>18</v>
      </c>
      <c r="B994" s="30">
        <v>0.69</v>
      </c>
      <c r="C994" s="30">
        <v>0.7</v>
      </c>
      <c r="D994" s="30">
        <v>0.75</v>
      </c>
      <c r="E994" s="30">
        <v>0.85</v>
      </c>
      <c r="F994" s="30">
        <v>0.68</v>
      </c>
      <c r="G994" s="30">
        <v>0.75</v>
      </c>
      <c r="H994" s="30">
        <v>0.77</v>
      </c>
      <c r="I994" s="30">
        <f>I1001/I1006</f>
        <v>0.74029365260972835</v>
      </c>
      <c r="J994" s="160">
        <f>J1001/J1006</f>
        <v>0.74029365260972846</v>
      </c>
    </row>
    <row r="995" spans="1:10" s="186" customFormat="1" x14ac:dyDescent="0.25">
      <c r="A995" s="212" t="s">
        <v>19</v>
      </c>
      <c r="B995" s="30">
        <v>0</v>
      </c>
      <c r="C995" s="30">
        <v>0.01</v>
      </c>
      <c r="D995" s="30">
        <v>0</v>
      </c>
      <c r="E995" s="30">
        <v>0</v>
      </c>
      <c r="F995" s="30">
        <v>0.02</v>
      </c>
      <c r="G995" s="30">
        <v>0.03</v>
      </c>
      <c r="H995" s="30">
        <v>0.04</v>
      </c>
      <c r="I995" s="30">
        <f>I1002/I1006</f>
        <v>2.0392342859630808E-2</v>
      </c>
      <c r="J995" s="160">
        <f>J1002/J1006</f>
        <v>2.0392342859630808E-2</v>
      </c>
    </row>
    <row r="996" spans="1:10" s="186" customFormat="1" x14ac:dyDescent="0.25">
      <c r="A996" s="212" t="s">
        <v>20</v>
      </c>
      <c r="B996" s="30">
        <v>0.28000000000000003</v>
      </c>
      <c r="C996" s="30">
        <v>0.28999999999999998</v>
      </c>
      <c r="D996" s="30">
        <v>0.19</v>
      </c>
      <c r="E996" s="30">
        <v>0.14000000000000001</v>
      </c>
      <c r="F996" s="30">
        <v>0.27</v>
      </c>
      <c r="G996" s="30">
        <v>0.22</v>
      </c>
      <c r="H996" s="30">
        <v>0.18</v>
      </c>
      <c r="I996" s="30">
        <f>I1003/I1006</f>
        <v>0.22212408580577039</v>
      </c>
      <c r="J996" s="160">
        <f>J1003/J1006</f>
        <v>0.22212408580577039</v>
      </c>
    </row>
    <row r="997" spans="1:10" s="186" customFormat="1" x14ac:dyDescent="0.25">
      <c r="A997" s="212" t="s">
        <v>21</v>
      </c>
      <c r="B997" s="30">
        <v>0.03</v>
      </c>
      <c r="C997" s="30">
        <v>0</v>
      </c>
      <c r="D997" s="30">
        <v>0.03</v>
      </c>
      <c r="E997" s="30">
        <v>0.01</v>
      </c>
      <c r="F997" s="30">
        <v>0.02</v>
      </c>
      <c r="G997" s="30">
        <v>0</v>
      </c>
      <c r="H997" s="30">
        <v>0.01</v>
      </c>
      <c r="I997" s="30">
        <f>I1004/I1006</f>
        <v>1.2199955089282144E-2</v>
      </c>
      <c r="J997" s="160">
        <f>J1004/J1006</f>
        <v>1.2199955089282146E-2</v>
      </c>
    </row>
    <row r="998" spans="1:10" s="186" customFormat="1" x14ac:dyDescent="0.25">
      <c r="A998" s="212" t="s">
        <v>22</v>
      </c>
      <c r="B998" s="30">
        <v>0</v>
      </c>
      <c r="C998" s="30">
        <v>0</v>
      </c>
      <c r="D998" s="30">
        <v>0.03</v>
      </c>
      <c r="E998" s="30">
        <v>0</v>
      </c>
      <c r="F998" s="30">
        <v>0.01</v>
      </c>
      <c r="G998" s="30">
        <v>0</v>
      </c>
      <c r="H998" s="30">
        <v>0</v>
      </c>
      <c r="I998" s="30">
        <f>I1005/I1006</f>
        <v>4.9899636355883762E-3</v>
      </c>
      <c r="J998" s="160">
        <f>J1005/J1006</f>
        <v>4.9899636355883762E-3</v>
      </c>
    </row>
    <row r="999" spans="1:10" s="186" customFormat="1" x14ac:dyDescent="0.25">
      <c r="A999" s="215" t="s">
        <v>23</v>
      </c>
      <c r="B999" s="66">
        <f t="shared" ref="B999:J999" si="468">B1010/B993</f>
        <v>32791.150442477876</v>
      </c>
      <c r="C999" s="66">
        <f t="shared" si="468"/>
        <v>34012.781954887228</v>
      </c>
      <c r="D999" s="66">
        <f t="shared" si="468"/>
        <v>33941.290322580651</v>
      </c>
      <c r="E999" s="66">
        <f t="shared" si="468"/>
        <v>41107.5</v>
      </c>
      <c r="F999" s="66">
        <f t="shared" si="468"/>
        <v>38241.927083333336</v>
      </c>
      <c r="G999" s="66">
        <f t="shared" si="468"/>
        <v>40059.836065573771</v>
      </c>
      <c r="H999" s="66">
        <f t="shared" si="468"/>
        <v>40331.944444444445</v>
      </c>
      <c r="I999" s="66">
        <f t="shared" si="468"/>
        <v>38167.354596622892</v>
      </c>
      <c r="J999" s="67">
        <f t="shared" si="468"/>
        <v>38167.354596622892</v>
      </c>
    </row>
    <row r="1000" spans="1:10" s="186" customFormat="1" x14ac:dyDescent="0.25">
      <c r="A1000" s="215" t="s">
        <v>24</v>
      </c>
      <c r="B1000" s="66">
        <f t="shared" ref="B1000:I1000" si="469">+B1010/B987</f>
        <v>29643.200000000001</v>
      </c>
      <c r="C1000" s="66">
        <f t="shared" si="469"/>
        <v>28273.125000000007</v>
      </c>
      <c r="D1000" s="66">
        <f t="shared" si="469"/>
        <v>28133.15508021391</v>
      </c>
      <c r="E1000" s="66">
        <f t="shared" si="469"/>
        <v>30170.642201834864</v>
      </c>
      <c r="F1000" s="66">
        <f t="shared" si="469"/>
        <v>29428.657314629261</v>
      </c>
      <c r="G1000" s="66">
        <f t="shared" si="469"/>
        <v>29740.162271805275</v>
      </c>
      <c r="H1000" s="66">
        <f t="shared" si="469"/>
        <v>29039</v>
      </c>
      <c r="I1000" s="66">
        <f t="shared" si="469"/>
        <v>29312.968299711814</v>
      </c>
      <c r="J1000" s="67">
        <f>J1010/J987</f>
        <v>29312.968299711814</v>
      </c>
    </row>
    <row r="1001" spans="1:10" s="186" customFormat="1" x14ac:dyDescent="0.25">
      <c r="A1001" s="212" t="s">
        <v>25</v>
      </c>
      <c r="B1001" s="92">
        <f t="shared" ref="B1001:H1001" si="470">B1006*B994</f>
        <v>2098500.6879310342</v>
      </c>
      <c r="C1001" s="92">
        <f t="shared" si="470"/>
        <v>2601596.4655172415</v>
      </c>
      <c r="D1001" s="92">
        <f t="shared" si="470"/>
        <v>3230121.4655172415</v>
      </c>
      <c r="E1001" s="92">
        <f t="shared" si="470"/>
        <v>4583204.25</v>
      </c>
      <c r="F1001" s="92">
        <f t="shared" si="470"/>
        <v>8249366.6551724151</v>
      </c>
      <c r="G1001" s="31">
        <f t="shared" si="470"/>
        <v>9049754.2241379321</v>
      </c>
      <c r="H1001" s="31">
        <f t="shared" si="470"/>
        <v>7353594.9224137943</v>
      </c>
      <c r="I1001" s="31">
        <f t="shared" ref="I1001:I1006" si="471">SUM(B1001:H1001)</f>
        <v>37166138.670689657</v>
      </c>
      <c r="J1001" s="32">
        <f t="shared" ref="J1001:J1010" si="472">I1001/7</f>
        <v>5309448.3815270942</v>
      </c>
    </row>
    <row r="1002" spans="1:10" s="186" customFormat="1" x14ac:dyDescent="0.25">
      <c r="A1002" s="212" t="s">
        <v>26</v>
      </c>
      <c r="B1002" s="92">
        <f t="shared" ref="B1002:H1002" si="473">B1006*B995</f>
        <v>0</v>
      </c>
      <c r="C1002" s="92">
        <f t="shared" si="473"/>
        <v>37165.663793103457</v>
      </c>
      <c r="D1002" s="92">
        <f t="shared" si="473"/>
        <v>0</v>
      </c>
      <c r="E1002" s="92">
        <f t="shared" si="473"/>
        <v>0</v>
      </c>
      <c r="F1002" s="92">
        <f t="shared" si="473"/>
        <v>242628.43103448278</v>
      </c>
      <c r="G1002" s="31">
        <f t="shared" si="473"/>
        <v>361990.16896551725</v>
      </c>
      <c r="H1002" s="31">
        <f t="shared" si="473"/>
        <v>382004.93103448278</v>
      </c>
      <c r="I1002" s="31">
        <f t="shared" si="471"/>
        <v>1023789.1948275863</v>
      </c>
      <c r="J1002" s="32">
        <f t="shared" si="472"/>
        <v>146255.59926108376</v>
      </c>
    </row>
    <row r="1003" spans="1:10" s="186" customFormat="1" x14ac:dyDescent="0.25">
      <c r="A1003" s="212" t="s">
        <v>27</v>
      </c>
      <c r="B1003" s="92">
        <f t="shared" ref="B1003:H1003" si="474">B1006*B996</f>
        <v>851565.49655172427</v>
      </c>
      <c r="C1003" s="92">
        <f t="shared" si="474"/>
        <v>1077804.25</v>
      </c>
      <c r="D1003" s="92">
        <f t="shared" si="474"/>
        <v>818297.4379310346</v>
      </c>
      <c r="E1003" s="92">
        <f t="shared" si="474"/>
        <v>754880.70000000007</v>
      </c>
      <c r="F1003" s="92">
        <f t="shared" si="474"/>
        <v>3275483.8189655179</v>
      </c>
      <c r="G1003" s="31">
        <f t="shared" si="474"/>
        <v>2654594.5724137933</v>
      </c>
      <c r="H1003" s="31">
        <f t="shared" si="474"/>
        <v>1719022.1896551724</v>
      </c>
      <c r="I1003" s="31">
        <f t="shared" si="471"/>
        <v>11151648.465517242</v>
      </c>
      <c r="J1003" s="32">
        <f t="shared" si="472"/>
        <v>1593092.6379310344</v>
      </c>
    </row>
    <row r="1004" spans="1:10" s="186" customFormat="1" x14ac:dyDescent="0.25">
      <c r="A1004" s="212" t="s">
        <v>28</v>
      </c>
      <c r="B1004" s="92">
        <f t="shared" ref="B1004:H1004" si="475">B1006*B997</f>
        <v>91239.160344827586</v>
      </c>
      <c r="C1004" s="92">
        <f t="shared" si="475"/>
        <v>0</v>
      </c>
      <c r="D1004" s="92">
        <f t="shared" si="475"/>
        <v>129204.85862068966</v>
      </c>
      <c r="E1004" s="92">
        <f t="shared" si="475"/>
        <v>53920.05</v>
      </c>
      <c r="F1004" s="92">
        <f t="shared" si="475"/>
        <v>242628.43103448278</v>
      </c>
      <c r="G1004" s="31">
        <f t="shared" si="475"/>
        <v>0</v>
      </c>
      <c r="H1004" s="31">
        <f t="shared" si="475"/>
        <v>95501.232758620696</v>
      </c>
      <c r="I1004" s="31">
        <f t="shared" si="471"/>
        <v>612493.73275862075</v>
      </c>
      <c r="J1004" s="32">
        <f t="shared" si="472"/>
        <v>87499.104679802971</v>
      </c>
    </row>
    <row r="1005" spans="1:10" s="186" customFormat="1" x14ac:dyDescent="0.25">
      <c r="A1005" s="212" t="s">
        <v>29</v>
      </c>
      <c r="B1005" s="92">
        <f>B1006*B998</f>
        <v>0</v>
      </c>
      <c r="C1005" s="92">
        <f t="shared" ref="C1005:H1005" si="476">C1006*C998</f>
        <v>0</v>
      </c>
      <c r="D1005" s="92">
        <f t="shared" si="476"/>
        <v>129204.85862068966</v>
      </c>
      <c r="E1005" s="92">
        <f t="shared" si="476"/>
        <v>0</v>
      </c>
      <c r="F1005" s="92">
        <f t="shared" si="476"/>
        <v>121314.21551724139</v>
      </c>
      <c r="G1005" s="31">
        <f t="shared" si="476"/>
        <v>0</v>
      </c>
      <c r="H1005" s="31">
        <f t="shared" si="476"/>
        <v>0</v>
      </c>
      <c r="I1005" s="31">
        <f t="shared" si="471"/>
        <v>250519.07413793105</v>
      </c>
      <c r="J1005" s="32">
        <f t="shared" si="472"/>
        <v>35788.439162561575</v>
      </c>
    </row>
    <row r="1006" spans="1:10" s="186" customFormat="1" x14ac:dyDescent="0.25">
      <c r="A1006" s="216" t="s">
        <v>30</v>
      </c>
      <c r="B1006" s="222">
        <f>(3705400/1.16)-B1007</f>
        <v>3041305.3448275863</v>
      </c>
      <c r="C1006" s="222">
        <f>(4523700/1.16)-C1007</f>
        <v>3716566.3793103453</v>
      </c>
      <c r="D1006" s="222">
        <f>(5260900/1.16)-D1007</f>
        <v>4306828.6206896557</v>
      </c>
      <c r="E1006" s="222">
        <f>(6577200/1.16)-E1007</f>
        <v>5392005</v>
      </c>
      <c r="F1006" s="222">
        <f>(14684900/1.16)-F1007</f>
        <v>12131421.55172414</v>
      </c>
      <c r="G1006" s="222">
        <f>(14661900/1.16)-G1007</f>
        <v>12066338.965517242</v>
      </c>
      <c r="H1006" s="222">
        <f>(11615600/1.16)-H1007</f>
        <v>9550123.2758620698</v>
      </c>
      <c r="I1006" s="197">
        <f t="shared" si="471"/>
        <v>50204589.137931034</v>
      </c>
      <c r="J1006" s="217">
        <f t="shared" si="472"/>
        <v>7172084.1625615759</v>
      </c>
    </row>
    <row r="1007" spans="1:10" s="186" customFormat="1" x14ac:dyDescent="0.25">
      <c r="A1007" s="212" t="s">
        <v>31</v>
      </c>
      <c r="B1007" s="92">
        <f t="shared" ref="B1007:I1007" si="477">2155*B988</f>
        <v>153005</v>
      </c>
      <c r="C1007" s="92">
        <f t="shared" si="477"/>
        <v>183175</v>
      </c>
      <c r="D1007" s="92">
        <f t="shared" si="477"/>
        <v>228430</v>
      </c>
      <c r="E1007" s="92">
        <f t="shared" si="477"/>
        <v>277995</v>
      </c>
      <c r="F1007" s="92">
        <f t="shared" si="477"/>
        <v>527975</v>
      </c>
      <c r="G1007" s="31">
        <f t="shared" si="477"/>
        <v>573230</v>
      </c>
      <c r="H1007" s="31">
        <f t="shared" si="477"/>
        <v>463325</v>
      </c>
      <c r="I1007" s="31">
        <f t="shared" si="477"/>
        <v>2407135</v>
      </c>
      <c r="J1007" s="32">
        <f t="shared" si="472"/>
        <v>343876.42857142858</v>
      </c>
    </row>
    <row r="1008" spans="1:10" s="186" customFormat="1" x14ac:dyDescent="0.25">
      <c r="A1008" s="218" t="s">
        <v>32</v>
      </c>
      <c r="B1008" s="199">
        <f>B1007+B1006</f>
        <v>3194310.3448275863</v>
      </c>
      <c r="C1008" s="199">
        <f>C1007+C1006</f>
        <v>3899741.3793103453</v>
      </c>
      <c r="D1008" s="199">
        <f>D1007+D1006</f>
        <v>4535258.6206896557</v>
      </c>
      <c r="E1008" s="199">
        <f>E1007+E1006</f>
        <v>5670000</v>
      </c>
      <c r="F1008" s="199">
        <f>F1006+F1007</f>
        <v>12659396.55172414</v>
      </c>
      <c r="G1008" s="199">
        <f>G1007+G1006</f>
        <v>12639568.965517242</v>
      </c>
      <c r="H1008" s="199">
        <f>H1007+H1006</f>
        <v>10013448.27586207</v>
      </c>
      <c r="I1008" s="199">
        <f>I1006+I1007</f>
        <v>52611724.137931034</v>
      </c>
      <c r="J1008" s="219">
        <f t="shared" si="472"/>
        <v>7515960.591133005</v>
      </c>
    </row>
    <row r="1009" spans="1:10" s="186" customFormat="1" x14ac:dyDescent="0.25">
      <c r="A1009" s="212" t="s">
        <v>33</v>
      </c>
      <c r="B1009" s="94">
        <f>B1008*16%</f>
        <v>511089.6551724138</v>
      </c>
      <c r="C1009" s="94">
        <f t="shared" ref="C1009:H1009" si="478">C1008*16%</f>
        <v>623958.6206896553</v>
      </c>
      <c r="D1009" s="94">
        <f t="shared" si="478"/>
        <v>725641.37931034493</v>
      </c>
      <c r="E1009" s="94">
        <f t="shared" si="478"/>
        <v>907200</v>
      </c>
      <c r="F1009" s="94">
        <f t="shared" si="478"/>
        <v>2025503.4482758625</v>
      </c>
      <c r="G1009" s="94">
        <f t="shared" si="478"/>
        <v>2022331.0344827587</v>
      </c>
      <c r="H1009" s="94">
        <f t="shared" si="478"/>
        <v>1602151.7241379311</v>
      </c>
      <c r="I1009" s="94">
        <f>I1008*16%</f>
        <v>8417875.862068966</v>
      </c>
      <c r="J1009" s="32">
        <f t="shared" si="472"/>
        <v>1202553.6945812809</v>
      </c>
    </row>
    <row r="1010" spans="1:10" s="186" customFormat="1" x14ac:dyDescent="0.25">
      <c r="A1010" s="220" t="s">
        <v>34</v>
      </c>
      <c r="B1010" s="202">
        <f>B1008+B1009</f>
        <v>3705400</v>
      </c>
      <c r="C1010" s="202">
        <f t="shared" ref="C1010:H1010" si="479">C1008+C1009</f>
        <v>4523700.0000000009</v>
      </c>
      <c r="D1010" s="202">
        <f t="shared" si="479"/>
        <v>5260900.0000000009</v>
      </c>
      <c r="E1010" s="202">
        <f t="shared" si="479"/>
        <v>6577200</v>
      </c>
      <c r="F1010" s="202">
        <f t="shared" si="479"/>
        <v>14684900.000000002</v>
      </c>
      <c r="G1010" s="202">
        <f t="shared" si="479"/>
        <v>14661900</v>
      </c>
      <c r="H1010" s="202">
        <f t="shared" si="479"/>
        <v>11615600</v>
      </c>
      <c r="I1010" s="202">
        <f>I1008+I1009</f>
        <v>61029600</v>
      </c>
      <c r="J1010" s="221">
        <f t="shared" si="472"/>
        <v>8718514.2857142854</v>
      </c>
    </row>
    <row r="1011" spans="1:10" s="186" customFormat="1" ht="15.75" thickBot="1" x14ac:dyDescent="0.3">
      <c r="A1011" s="204"/>
      <c r="B1011" s="112"/>
      <c r="C1011" s="112"/>
      <c r="D1011" s="112"/>
      <c r="E1011" s="112"/>
      <c r="F1011" s="112"/>
      <c r="G1011" s="112"/>
      <c r="H1011" s="112"/>
      <c r="I1011" s="112"/>
      <c r="J1011" s="205"/>
    </row>
    <row r="1012" spans="1:10" s="186" customFormat="1" ht="26.25" x14ac:dyDescent="0.25">
      <c r="A1012"/>
      <c r="B1012" s="1002" t="s">
        <v>269</v>
      </c>
      <c r="C1012" s="1002"/>
      <c r="D1012" s="1002"/>
      <c r="E1012" s="1002"/>
      <c r="F1012" s="1002"/>
      <c r="G1012" s="1002"/>
      <c r="H1012" s="1002"/>
      <c r="I1012"/>
      <c r="J1012"/>
    </row>
    <row r="1013" spans="1:10" s="186" customFormat="1" ht="15.75" x14ac:dyDescent="0.25">
      <c r="A1013" s="207" t="s">
        <v>2</v>
      </c>
      <c r="B1013" s="121" t="s">
        <v>270</v>
      </c>
      <c r="C1013" s="121" t="s">
        <v>116</v>
      </c>
      <c r="D1013" s="121" t="s">
        <v>117</v>
      </c>
      <c r="E1013" s="121" t="s">
        <v>118</v>
      </c>
      <c r="F1013" s="121" t="s">
        <v>119</v>
      </c>
      <c r="G1013" s="121" t="s">
        <v>120</v>
      </c>
      <c r="H1013" s="121" t="s">
        <v>121</v>
      </c>
      <c r="I1013" s="121" t="s">
        <v>96</v>
      </c>
      <c r="J1013" s="209" t="s">
        <v>97</v>
      </c>
    </row>
    <row r="1014" spans="1:10" s="186" customFormat="1" x14ac:dyDescent="0.25">
      <c r="A1014" s="210" t="s">
        <v>11</v>
      </c>
      <c r="B1014" s="189">
        <v>177</v>
      </c>
      <c r="C1014" s="189">
        <v>205</v>
      </c>
      <c r="D1014" s="189">
        <v>293</v>
      </c>
      <c r="E1014" s="190">
        <v>300</v>
      </c>
      <c r="F1014" s="190">
        <v>215</v>
      </c>
      <c r="G1014" s="190">
        <v>393</v>
      </c>
      <c r="H1014" s="190">
        <v>485</v>
      </c>
      <c r="I1014" s="190">
        <f>SUM(B1014:H1014)</f>
        <v>2068</v>
      </c>
      <c r="J1014" s="211">
        <f>+I1014/7</f>
        <v>295.42857142857144</v>
      </c>
    </row>
    <row r="1015" spans="1:10" s="186" customFormat="1" x14ac:dyDescent="0.25">
      <c r="A1015" s="212" t="s">
        <v>12</v>
      </c>
      <c r="B1015" s="11">
        <v>81</v>
      </c>
      <c r="C1015" s="11">
        <v>107</v>
      </c>
      <c r="D1015" s="11">
        <v>150</v>
      </c>
      <c r="E1015" s="11">
        <v>124</v>
      </c>
      <c r="F1015" s="11">
        <v>105</v>
      </c>
      <c r="G1015" s="11">
        <v>184</v>
      </c>
      <c r="H1015" s="11">
        <v>266</v>
      </c>
      <c r="I1015" s="11">
        <f>SUM('PEPE SIERRA '!$B1015:$H1015)</f>
        <v>1017</v>
      </c>
      <c r="J1015" s="60">
        <f t="shared" ref="J1015:J1020" si="480">I1015/7</f>
        <v>145.28571428571428</v>
      </c>
    </row>
    <row r="1016" spans="1:10" s="186" customFormat="1" x14ac:dyDescent="0.25">
      <c r="A1016" s="212" t="s">
        <v>13</v>
      </c>
      <c r="B1016" s="11">
        <v>4</v>
      </c>
      <c r="C1016" s="11">
        <v>1</v>
      </c>
      <c r="D1016" s="11">
        <v>6</v>
      </c>
      <c r="E1016" s="11">
        <v>5</v>
      </c>
      <c r="F1016" s="11">
        <v>1</v>
      </c>
      <c r="G1016" s="11">
        <v>5</v>
      </c>
      <c r="H1016" s="11">
        <v>7</v>
      </c>
      <c r="I1016" s="11">
        <f>SUM('PEPE SIERRA '!$B1016:$H1016)</f>
        <v>29</v>
      </c>
      <c r="J1016" s="60">
        <f t="shared" si="480"/>
        <v>4.1428571428571432</v>
      </c>
    </row>
    <row r="1017" spans="1:10" s="186" customFormat="1" x14ac:dyDescent="0.25">
      <c r="A1017" s="212" t="s">
        <v>14</v>
      </c>
      <c r="B1017" s="11">
        <v>51</v>
      </c>
      <c r="C1017" s="11">
        <v>42</v>
      </c>
      <c r="D1017" s="11">
        <v>69</v>
      </c>
      <c r="E1017" s="11">
        <v>79</v>
      </c>
      <c r="F1017" s="11">
        <v>49</v>
      </c>
      <c r="G1017" s="11">
        <v>95</v>
      </c>
      <c r="H1017" s="86">
        <v>100</v>
      </c>
      <c r="I1017" s="11">
        <f>SUM('PEPE SIERRA '!$B1017:$H1017)</f>
        <v>485</v>
      </c>
      <c r="J1017" s="60">
        <f t="shared" si="480"/>
        <v>69.285714285714292</v>
      </c>
    </row>
    <row r="1018" spans="1:10" s="186" customFormat="1" x14ac:dyDescent="0.25">
      <c r="A1018" s="212" t="s">
        <v>15</v>
      </c>
      <c r="B1018" s="11">
        <v>2</v>
      </c>
      <c r="C1018" s="11">
        <v>7</v>
      </c>
      <c r="D1018" s="11">
        <v>3</v>
      </c>
      <c r="E1018" s="11">
        <v>20</v>
      </c>
      <c r="F1018" s="11">
        <v>11</v>
      </c>
      <c r="G1018" s="11">
        <v>6</v>
      </c>
      <c r="H1018" s="11">
        <v>3</v>
      </c>
      <c r="I1018" s="11">
        <f>SUM('PEPE SIERRA '!$B1018:$H1018)</f>
        <v>52</v>
      </c>
      <c r="J1018" s="60">
        <f t="shared" si="480"/>
        <v>7.4285714285714288</v>
      </c>
    </row>
    <row r="1019" spans="1:10" s="186" customFormat="1" x14ac:dyDescent="0.25">
      <c r="A1019" s="212" t="s">
        <v>16</v>
      </c>
      <c r="B1019" s="11">
        <v>0</v>
      </c>
      <c r="C1019" s="11">
        <v>0</v>
      </c>
      <c r="D1019" s="11">
        <v>1</v>
      </c>
      <c r="E1019" s="11">
        <v>0</v>
      </c>
      <c r="F1019" s="11">
        <v>0</v>
      </c>
      <c r="G1019" s="11">
        <v>0</v>
      </c>
      <c r="H1019" s="11">
        <v>0</v>
      </c>
      <c r="I1019" s="11">
        <f>SUM('PEPE SIERRA '!$B1019:$H1019)</f>
        <v>1</v>
      </c>
      <c r="J1019" s="60">
        <f t="shared" si="480"/>
        <v>0.14285714285714285</v>
      </c>
    </row>
    <row r="1020" spans="1:10" s="186" customFormat="1" x14ac:dyDescent="0.25">
      <c r="A1020" s="213" t="s">
        <v>17</v>
      </c>
      <c r="B1020" s="192">
        <f>SUM(B1015:B1019)</f>
        <v>138</v>
      </c>
      <c r="C1020" s="192">
        <f t="shared" ref="C1020:I1020" si="481">SUM(C1015:C1019)</f>
        <v>157</v>
      </c>
      <c r="D1020" s="192">
        <f t="shared" si="481"/>
        <v>229</v>
      </c>
      <c r="E1020" s="192">
        <f t="shared" si="481"/>
        <v>228</v>
      </c>
      <c r="F1020" s="192">
        <f t="shared" si="481"/>
        <v>166</v>
      </c>
      <c r="G1020" s="192">
        <f t="shared" si="481"/>
        <v>290</v>
      </c>
      <c r="H1020" s="192">
        <f t="shared" si="481"/>
        <v>376</v>
      </c>
      <c r="I1020" s="192">
        <f t="shared" si="481"/>
        <v>1584</v>
      </c>
      <c r="J1020" s="214">
        <f t="shared" si="480"/>
        <v>226.28571428571428</v>
      </c>
    </row>
    <row r="1021" spans="1:10" s="186" customFormat="1" x14ac:dyDescent="0.25">
      <c r="A1021" s="212" t="s">
        <v>18</v>
      </c>
      <c r="B1021" s="30">
        <v>0.66</v>
      </c>
      <c r="C1021" s="30">
        <v>0.72</v>
      </c>
      <c r="D1021" s="30">
        <v>0.69</v>
      </c>
      <c r="E1021" s="30">
        <v>0.59</v>
      </c>
      <c r="F1021" s="30">
        <v>0.68</v>
      </c>
      <c r="G1021" s="30">
        <v>0.67</v>
      </c>
      <c r="H1021" s="30">
        <v>0.73</v>
      </c>
      <c r="I1021" s="30">
        <f>I1028/I1033</f>
        <v>0.68155018272628953</v>
      </c>
      <c r="J1021" s="160">
        <f>J1028/J1033</f>
        <v>0.68155018272628953</v>
      </c>
    </row>
    <row r="1022" spans="1:10" s="186" customFormat="1" x14ac:dyDescent="0.25">
      <c r="A1022" s="212" t="s">
        <v>19</v>
      </c>
      <c r="B1022" s="30">
        <v>0.01</v>
      </c>
      <c r="C1022" s="30">
        <v>0.01</v>
      </c>
      <c r="D1022" s="30">
        <v>0.02</v>
      </c>
      <c r="E1022" s="30">
        <v>0.03</v>
      </c>
      <c r="F1022" s="30">
        <v>0.01</v>
      </c>
      <c r="G1022" s="30">
        <v>0.03</v>
      </c>
      <c r="H1022" s="30">
        <v>0.02</v>
      </c>
      <c r="I1022" s="30">
        <f>I1029/I1033</f>
        <v>2.0533002440853876E-2</v>
      </c>
      <c r="J1022" s="160">
        <f>J1029/J1033</f>
        <v>2.0533002440853876E-2</v>
      </c>
    </row>
    <row r="1023" spans="1:10" s="186" customFormat="1" x14ac:dyDescent="0.25">
      <c r="A1023" s="212" t="s">
        <v>20</v>
      </c>
      <c r="B1023" s="30">
        <v>0.31</v>
      </c>
      <c r="C1023" s="30">
        <v>0.24</v>
      </c>
      <c r="D1023" s="30">
        <v>0.27</v>
      </c>
      <c r="E1023" s="30">
        <v>0.31</v>
      </c>
      <c r="F1023" s="30">
        <v>0.23</v>
      </c>
      <c r="G1023" s="30">
        <v>0.28000000000000003</v>
      </c>
      <c r="H1023" s="30">
        <v>0.24</v>
      </c>
      <c r="I1023" s="30">
        <f>I1030/I1033</f>
        <v>0.26595766916461133</v>
      </c>
      <c r="J1023" s="160">
        <f>J1030/J1033</f>
        <v>0.26595766916461139</v>
      </c>
    </row>
    <row r="1024" spans="1:10" s="186" customFormat="1" x14ac:dyDescent="0.25">
      <c r="A1024" s="212" t="s">
        <v>21</v>
      </c>
      <c r="B1024" s="30">
        <v>0.02</v>
      </c>
      <c r="C1024" s="30">
        <v>0.03</v>
      </c>
      <c r="D1024" s="30">
        <v>0.01</v>
      </c>
      <c r="E1024" s="30">
        <v>7.0000000000000007E-2</v>
      </c>
      <c r="F1024" s="30">
        <v>0.08</v>
      </c>
      <c r="G1024" s="30">
        <v>0.02</v>
      </c>
      <c r="H1024" s="30">
        <v>0.01</v>
      </c>
      <c r="I1024" s="30">
        <f>I1031/I1033</f>
        <v>3.0515478137569971E-2</v>
      </c>
      <c r="J1024" s="160">
        <f>J1031/J1033</f>
        <v>3.0515478137569975E-2</v>
      </c>
    </row>
    <row r="1025" spans="1:10" s="186" customFormat="1" x14ac:dyDescent="0.25">
      <c r="A1025" s="212" t="s">
        <v>22</v>
      </c>
      <c r="B1025" s="30">
        <v>0</v>
      </c>
      <c r="C1025" s="30">
        <v>0</v>
      </c>
      <c r="D1025" s="30">
        <v>0.01</v>
      </c>
      <c r="E1025" s="30">
        <v>0</v>
      </c>
      <c r="F1025" s="30">
        <v>0</v>
      </c>
      <c r="G1025" s="30">
        <v>0</v>
      </c>
      <c r="H1025" s="30">
        <v>0</v>
      </c>
      <c r="I1025" s="30">
        <f>I1032/I1033</f>
        <v>1.44366753067539E-3</v>
      </c>
      <c r="J1025" s="160">
        <f>J1032/J1033</f>
        <v>1.44366753067539E-3</v>
      </c>
    </row>
    <row r="1026" spans="1:10" s="186" customFormat="1" x14ac:dyDescent="0.25">
      <c r="A1026" s="215" t="s">
        <v>23</v>
      </c>
      <c r="B1026" s="66">
        <f t="shared" ref="B1026:J1026" si="482">B1037/B1020</f>
        <v>32881.159420289856</v>
      </c>
      <c r="C1026" s="66">
        <f t="shared" si="482"/>
        <v>38756.050955414015</v>
      </c>
      <c r="D1026" s="66">
        <f t="shared" si="482"/>
        <v>38697.379912663753</v>
      </c>
      <c r="E1026" s="66">
        <f t="shared" si="482"/>
        <v>37971.052631578947</v>
      </c>
      <c r="F1026" s="66">
        <f t="shared" si="482"/>
        <v>38937.951807228914</v>
      </c>
      <c r="G1026" s="66">
        <f t="shared" si="482"/>
        <v>39997.931034482768</v>
      </c>
      <c r="H1026" s="66">
        <f t="shared" si="482"/>
        <v>40222.606382978724</v>
      </c>
      <c r="I1026" s="66">
        <f t="shared" si="482"/>
        <v>38717.297979797979</v>
      </c>
      <c r="J1026" s="67">
        <f t="shared" si="482"/>
        <v>38717.297979797986</v>
      </c>
    </row>
    <row r="1027" spans="1:10" s="186" customFormat="1" x14ac:dyDescent="0.25">
      <c r="A1027" s="215" t="s">
        <v>24</v>
      </c>
      <c r="B1027" s="66">
        <f t="shared" ref="B1027:I1027" si="483">+B1037/B1014</f>
        <v>25636.158192090395</v>
      </c>
      <c r="C1027" s="66">
        <f t="shared" si="483"/>
        <v>29681.463414634152</v>
      </c>
      <c r="D1027" s="66">
        <f t="shared" si="483"/>
        <v>30244.709897610923</v>
      </c>
      <c r="E1027" s="66">
        <f t="shared" si="483"/>
        <v>28858</v>
      </c>
      <c r="F1027" s="66">
        <f t="shared" si="483"/>
        <v>30063.720930232557</v>
      </c>
      <c r="G1027" s="66">
        <f t="shared" si="483"/>
        <v>29515.012722646316</v>
      </c>
      <c r="H1027" s="66">
        <f t="shared" si="483"/>
        <v>31182.886597938144</v>
      </c>
      <c r="I1027" s="66">
        <f t="shared" si="483"/>
        <v>29655.802707930368</v>
      </c>
      <c r="J1027" s="67">
        <f>J1037/J1014</f>
        <v>29655.802707930368</v>
      </c>
    </row>
    <row r="1028" spans="1:10" s="186" customFormat="1" x14ac:dyDescent="0.25">
      <c r="A1028" s="212" t="s">
        <v>25</v>
      </c>
      <c r="B1028" s="92">
        <f t="shared" ref="B1028:H1028" si="484">B1033*B1021</f>
        <v>2466531.6310344832</v>
      </c>
      <c r="C1028" s="92">
        <f t="shared" si="484"/>
        <v>3610689.1448275866</v>
      </c>
      <c r="D1028" s="92">
        <f t="shared" si="484"/>
        <v>5048141.1206896557</v>
      </c>
      <c r="E1028" s="92">
        <f t="shared" si="484"/>
        <v>4245672.9586206898</v>
      </c>
      <c r="F1028" s="92">
        <f t="shared" si="484"/>
        <v>3635198.5172413797</v>
      </c>
      <c r="G1028" s="31">
        <f t="shared" si="484"/>
        <v>6433985.0482758628</v>
      </c>
      <c r="H1028" s="31">
        <f t="shared" si="484"/>
        <v>9099042.9620689657</v>
      </c>
      <c r="I1028" s="31">
        <f t="shared" ref="I1028:I1033" si="485">SUM(B1028:H1028)</f>
        <v>34539261.382758625</v>
      </c>
      <c r="J1028" s="32">
        <f t="shared" ref="J1028:J1037" si="486">I1028/7</f>
        <v>4934180.1975369463</v>
      </c>
    </row>
    <row r="1029" spans="1:10" s="186" customFormat="1" x14ac:dyDescent="0.25">
      <c r="A1029" s="212" t="s">
        <v>26</v>
      </c>
      <c r="B1029" s="92">
        <f t="shared" ref="B1029:H1029" si="487">B1033*B1022</f>
        <v>37371.691379310352</v>
      </c>
      <c r="C1029" s="92">
        <f t="shared" si="487"/>
        <v>50148.460344827596</v>
      </c>
      <c r="D1029" s="92">
        <f t="shared" si="487"/>
        <v>146322.93103448278</v>
      </c>
      <c r="E1029" s="92">
        <f t="shared" si="487"/>
        <v>215881.67586206898</v>
      </c>
      <c r="F1029" s="92">
        <f t="shared" si="487"/>
        <v>53458.801724137935</v>
      </c>
      <c r="G1029" s="31">
        <f t="shared" si="487"/>
        <v>288088.88275862072</v>
      </c>
      <c r="H1029" s="31">
        <f t="shared" si="487"/>
        <v>249288.84827586208</v>
      </c>
      <c r="I1029" s="31">
        <f t="shared" si="485"/>
        <v>1040561.2913793104</v>
      </c>
      <c r="J1029" s="32">
        <f t="shared" si="486"/>
        <v>148651.61305418721</v>
      </c>
    </row>
    <row r="1030" spans="1:10" s="186" customFormat="1" x14ac:dyDescent="0.25">
      <c r="A1030" s="212" t="s">
        <v>27</v>
      </c>
      <c r="B1030" s="92">
        <f t="shared" ref="B1030:H1030" si="488">B1033*B1023</f>
        <v>1158522.4327586207</v>
      </c>
      <c r="C1030" s="92">
        <f t="shared" si="488"/>
        <v>1203563.0482758621</v>
      </c>
      <c r="D1030" s="92">
        <f t="shared" si="488"/>
        <v>1975359.5689655177</v>
      </c>
      <c r="E1030" s="92">
        <f t="shared" si="488"/>
        <v>2230777.3172413795</v>
      </c>
      <c r="F1030" s="92">
        <f t="shared" si="488"/>
        <v>1229552.4396551726</v>
      </c>
      <c r="G1030" s="31">
        <f t="shared" si="488"/>
        <v>2688829.5724137938</v>
      </c>
      <c r="H1030" s="31">
        <f t="shared" si="488"/>
        <v>2991466.1793103446</v>
      </c>
      <c r="I1030" s="31">
        <f t="shared" si="485"/>
        <v>13478070.558620691</v>
      </c>
      <c r="J1030" s="32">
        <f t="shared" si="486"/>
        <v>1925438.6512315273</v>
      </c>
    </row>
    <row r="1031" spans="1:10" s="186" customFormat="1" x14ac:dyDescent="0.25">
      <c r="A1031" s="212" t="s">
        <v>28</v>
      </c>
      <c r="B1031" s="92">
        <f t="shared" ref="B1031:H1031" si="489">B1033*B1024</f>
        <v>74743.382758620704</v>
      </c>
      <c r="C1031" s="92">
        <f t="shared" si="489"/>
        <v>150445.38103448277</v>
      </c>
      <c r="D1031" s="92">
        <f t="shared" si="489"/>
        <v>73161.465517241391</v>
      </c>
      <c r="E1031" s="92">
        <f t="shared" si="489"/>
        <v>503723.91034482769</v>
      </c>
      <c r="F1031" s="92">
        <f t="shared" si="489"/>
        <v>427670.41379310348</v>
      </c>
      <c r="G1031" s="31">
        <f t="shared" si="489"/>
        <v>192059.2551724138</v>
      </c>
      <c r="H1031" s="31">
        <f t="shared" si="489"/>
        <v>124644.42413793104</v>
      </c>
      <c r="I1031" s="31">
        <f t="shared" si="485"/>
        <v>1546448.232758621</v>
      </c>
      <c r="J1031" s="32">
        <f t="shared" si="486"/>
        <v>220921.17610837443</v>
      </c>
    </row>
    <row r="1032" spans="1:10" s="186" customFormat="1" x14ac:dyDescent="0.25">
      <c r="A1032" s="212" t="s">
        <v>29</v>
      </c>
      <c r="B1032" s="92">
        <f>B1033*B1025</f>
        <v>0</v>
      </c>
      <c r="C1032" s="92">
        <f t="shared" ref="C1032:H1032" si="490">C1033*C1025</f>
        <v>0</v>
      </c>
      <c r="D1032" s="92">
        <f t="shared" si="490"/>
        <v>73161.465517241391</v>
      </c>
      <c r="E1032" s="92">
        <f t="shared" si="490"/>
        <v>0</v>
      </c>
      <c r="F1032" s="92">
        <f t="shared" si="490"/>
        <v>0</v>
      </c>
      <c r="G1032" s="31">
        <f t="shared" si="490"/>
        <v>0</v>
      </c>
      <c r="H1032" s="31">
        <f t="shared" si="490"/>
        <v>0</v>
      </c>
      <c r="I1032" s="31">
        <f t="shared" si="485"/>
        <v>73161.465517241391</v>
      </c>
      <c r="J1032" s="32">
        <f t="shared" si="486"/>
        <v>10451.637931034484</v>
      </c>
    </row>
    <row r="1033" spans="1:10" s="186" customFormat="1" x14ac:dyDescent="0.25">
      <c r="A1033" s="216" t="s">
        <v>30</v>
      </c>
      <c r="B1033" s="222">
        <f>(4537600/1.16)-B1034</f>
        <v>3737169.1379310349</v>
      </c>
      <c r="C1033" s="222">
        <f>(6084700/1.16)-C1034</f>
        <v>5014846.0344827594</v>
      </c>
      <c r="D1033" s="222">
        <f>(8861700/1.16)-D1034</f>
        <v>7316146.5517241387</v>
      </c>
      <c r="E1033" s="222">
        <f>(8657400/1.16)-E1034</f>
        <v>7196055.862068966</v>
      </c>
      <c r="F1033" s="222">
        <f>(6463700/1.16)-F1034</f>
        <v>5345880.1724137934</v>
      </c>
      <c r="G1033" s="222">
        <f>(11599400/1.16)-G1034</f>
        <v>9602962.7586206906</v>
      </c>
      <c r="H1033" s="222">
        <f>(15123700/1.16)-H1034</f>
        <v>12464442.413793104</v>
      </c>
      <c r="I1033" s="197">
        <f t="shared" si="485"/>
        <v>50677502.931034483</v>
      </c>
      <c r="J1033" s="217">
        <f t="shared" si="486"/>
        <v>7239643.2758620689</v>
      </c>
    </row>
    <row r="1034" spans="1:10" s="186" customFormat="1" x14ac:dyDescent="0.25">
      <c r="A1034" s="212" t="s">
        <v>31</v>
      </c>
      <c r="B1034" s="92">
        <f t="shared" ref="B1034:I1034" si="491">2155*B1015</f>
        <v>174555</v>
      </c>
      <c r="C1034" s="92">
        <f t="shared" si="491"/>
        <v>230585</v>
      </c>
      <c r="D1034" s="92">
        <f t="shared" si="491"/>
        <v>323250</v>
      </c>
      <c r="E1034" s="92">
        <f t="shared" si="491"/>
        <v>267220</v>
      </c>
      <c r="F1034" s="92">
        <f t="shared" si="491"/>
        <v>226275</v>
      </c>
      <c r="G1034" s="31">
        <f t="shared" si="491"/>
        <v>396520</v>
      </c>
      <c r="H1034" s="31">
        <f t="shared" si="491"/>
        <v>573230</v>
      </c>
      <c r="I1034" s="31">
        <f t="shared" si="491"/>
        <v>2191635</v>
      </c>
      <c r="J1034" s="32">
        <f t="shared" si="486"/>
        <v>313090.71428571426</v>
      </c>
    </row>
    <row r="1035" spans="1:10" s="186" customFormat="1" x14ac:dyDescent="0.25">
      <c r="A1035" s="218" t="s">
        <v>32</v>
      </c>
      <c r="B1035" s="199">
        <f>B1034+B1033</f>
        <v>3911724.1379310349</v>
      </c>
      <c r="C1035" s="199">
        <f>C1034+C1033</f>
        <v>5245431.0344827594</v>
      </c>
      <c r="D1035" s="199">
        <f>D1034+D1033</f>
        <v>7639396.5517241387</v>
      </c>
      <c r="E1035" s="199">
        <f>E1034+E1033</f>
        <v>7463275.862068966</v>
      </c>
      <c r="F1035" s="199">
        <f>F1033+F1034</f>
        <v>5572155.1724137934</v>
      </c>
      <c r="G1035" s="199">
        <f>G1034+G1033</f>
        <v>9999482.7586206906</v>
      </c>
      <c r="H1035" s="199">
        <f>H1034+H1033</f>
        <v>13037672.413793104</v>
      </c>
      <c r="I1035" s="199">
        <f>I1033+I1034</f>
        <v>52869137.931034483</v>
      </c>
      <c r="J1035" s="219">
        <f t="shared" si="486"/>
        <v>7552733.9901477834</v>
      </c>
    </row>
    <row r="1036" spans="1:10" s="186" customFormat="1" x14ac:dyDescent="0.25">
      <c r="A1036" s="212" t="s">
        <v>33</v>
      </c>
      <c r="B1036" s="94">
        <f>B1035*16%</f>
        <v>625875.86206896557</v>
      </c>
      <c r="C1036" s="94">
        <f t="shared" ref="C1036:H1036" si="492">C1035*16%</f>
        <v>839268.96551724151</v>
      </c>
      <c r="D1036" s="94">
        <f t="shared" si="492"/>
        <v>1222303.4482758623</v>
      </c>
      <c r="E1036" s="94">
        <f t="shared" si="492"/>
        <v>1194124.1379310347</v>
      </c>
      <c r="F1036" s="94">
        <f t="shared" si="492"/>
        <v>891544.82758620696</v>
      </c>
      <c r="G1036" s="94">
        <f t="shared" si="492"/>
        <v>1599917.2413793106</v>
      </c>
      <c r="H1036" s="94">
        <f t="shared" si="492"/>
        <v>2086027.5862068967</v>
      </c>
      <c r="I1036" s="94">
        <f>I1035*16%</f>
        <v>8459062.068965517</v>
      </c>
      <c r="J1036" s="32">
        <f t="shared" si="486"/>
        <v>1208437.4384236452</v>
      </c>
    </row>
    <row r="1037" spans="1:10" s="186" customFormat="1" x14ac:dyDescent="0.25">
      <c r="A1037" s="220" t="s">
        <v>34</v>
      </c>
      <c r="B1037" s="202">
        <f>B1035+B1036</f>
        <v>4537600</v>
      </c>
      <c r="C1037" s="202">
        <f t="shared" ref="C1037:H1037" si="493">C1035+C1036</f>
        <v>6084700.0000000009</v>
      </c>
      <c r="D1037" s="202">
        <f t="shared" si="493"/>
        <v>8861700</v>
      </c>
      <c r="E1037" s="202">
        <f t="shared" si="493"/>
        <v>8657400</v>
      </c>
      <c r="F1037" s="202">
        <f t="shared" si="493"/>
        <v>6463700</v>
      </c>
      <c r="G1037" s="202">
        <f t="shared" si="493"/>
        <v>11599400.000000002</v>
      </c>
      <c r="H1037" s="202">
        <f t="shared" si="493"/>
        <v>15123700</v>
      </c>
      <c r="I1037" s="202">
        <f>I1035+I1036</f>
        <v>61328200</v>
      </c>
      <c r="J1037" s="221">
        <f t="shared" si="486"/>
        <v>8761171.4285714291</v>
      </c>
    </row>
    <row r="1038" spans="1:10" s="186" customFormat="1" ht="15.75" thickBot="1" x14ac:dyDescent="0.3">
      <c r="A1038" s="204"/>
      <c r="B1038" s="112"/>
      <c r="C1038" s="112"/>
      <c r="D1038" s="112"/>
      <c r="E1038" s="112"/>
      <c r="F1038" s="112"/>
      <c r="G1038" s="112"/>
      <c r="H1038" s="112"/>
      <c r="I1038" s="112"/>
      <c r="J1038" s="205"/>
    </row>
    <row r="1039" spans="1:10" s="186" customFormat="1" ht="26.25" x14ac:dyDescent="0.25">
      <c r="A1039"/>
      <c r="B1039" s="1002" t="s">
        <v>271</v>
      </c>
      <c r="C1039" s="1002"/>
      <c r="D1039" s="1002"/>
      <c r="E1039" s="1002"/>
      <c r="F1039" s="1002"/>
      <c r="G1039" s="1002"/>
      <c r="H1039" s="1002"/>
      <c r="I1039"/>
      <c r="J1039"/>
    </row>
    <row r="1040" spans="1:10" s="186" customFormat="1" ht="15.75" x14ac:dyDescent="0.25">
      <c r="A1040" s="207" t="s">
        <v>2</v>
      </c>
      <c r="B1040" s="121" t="s">
        <v>123</v>
      </c>
      <c r="C1040" s="121" t="s">
        <v>124</v>
      </c>
      <c r="D1040" s="121" t="s">
        <v>125</v>
      </c>
      <c r="E1040" s="121" t="s">
        <v>126</v>
      </c>
      <c r="F1040" s="121" t="s">
        <v>127</v>
      </c>
      <c r="G1040" s="121" t="s">
        <v>128</v>
      </c>
      <c r="H1040" s="121" t="s">
        <v>272</v>
      </c>
      <c r="I1040" s="121" t="s">
        <v>96</v>
      </c>
      <c r="J1040" s="209" t="s">
        <v>97</v>
      </c>
    </row>
    <row r="1041" spans="1:10" s="186" customFormat="1" x14ac:dyDescent="0.25">
      <c r="A1041" s="210" t="s">
        <v>11</v>
      </c>
      <c r="B1041" s="189">
        <v>122</v>
      </c>
      <c r="C1041" s="189">
        <v>164</v>
      </c>
      <c r="D1041" s="189">
        <v>177</v>
      </c>
      <c r="E1041" s="190">
        <v>176</v>
      </c>
      <c r="F1041" s="190">
        <v>441</v>
      </c>
      <c r="G1041" s="190">
        <v>332</v>
      </c>
      <c r="H1041" s="190">
        <v>430</v>
      </c>
      <c r="I1041" s="190">
        <f>SUM(B1041:H1041)</f>
        <v>1842</v>
      </c>
      <c r="J1041" s="211">
        <f>+I1041/7</f>
        <v>263.14285714285717</v>
      </c>
    </row>
    <row r="1042" spans="1:10" s="186" customFormat="1" x14ac:dyDescent="0.25">
      <c r="A1042" s="212" t="s">
        <v>12</v>
      </c>
      <c r="B1042" s="11">
        <v>73</v>
      </c>
      <c r="C1042" s="11">
        <v>74</v>
      </c>
      <c r="D1042" s="11">
        <v>99</v>
      </c>
      <c r="E1042" s="11">
        <v>100</v>
      </c>
      <c r="F1042" s="11">
        <v>238</v>
      </c>
      <c r="G1042" s="11">
        <v>159</v>
      </c>
      <c r="H1042" s="11">
        <v>241</v>
      </c>
      <c r="I1042" s="11">
        <f>SUM('PEPE SIERRA '!$B1042:$H1042)</f>
        <v>984</v>
      </c>
      <c r="J1042" s="60">
        <f t="shared" ref="J1042:J1047" si="494">I1042/7</f>
        <v>140.57142857142858</v>
      </c>
    </row>
    <row r="1043" spans="1:10" s="186" customFormat="1" x14ac:dyDescent="0.25">
      <c r="A1043" s="212" t="s">
        <v>13</v>
      </c>
      <c r="B1043" s="11">
        <v>4</v>
      </c>
      <c r="C1043" s="11">
        <v>4</v>
      </c>
      <c r="D1043" s="11">
        <v>2</v>
      </c>
      <c r="E1043" s="11">
        <v>0</v>
      </c>
      <c r="F1043" s="11">
        <v>5</v>
      </c>
      <c r="G1043" s="11">
        <v>8</v>
      </c>
      <c r="H1043" s="11">
        <v>7</v>
      </c>
      <c r="I1043" s="11">
        <f>SUM('PEPE SIERRA '!$B1043:$H1043)</f>
        <v>30</v>
      </c>
      <c r="J1043" s="60">
        <f t="shared" si="494"/>
        <v>4.2857142857142856</v>
      </c>
    </row>
    <row r="1044" spans="1:10" s="186" customFormat="1" x14ac:dyDescent="0.25">
      <c r="A1044" s="212" t="s">
        <v>14</v>
      </c>
      <c r="B1044" s="11">
        <v>33</v>
      </c>
      <c r="C1044" s="11">
        <v>45</v>
      </c>
      <c r="D1044" s="11">
        <v>39</v>
      </c>
      <c r="E1044" s="11">
        <v>33</v>
      </c>
      <c r="F1044" s="11">
        <v>75</v>
      </c>
      <c r="G1044" s="11">
        <v>106</v>
      </c>
      <c r="H1044" s="86">
        <v>71</v>
      </c>
      <c r="I1044" s="11">
        <f>SUM('PEPE SIERRA '!$B1044:$H1044)</f>
        <v>402</v>
      </c>
      <c r="J1044" s="60">
        <f t="shared" si="494"/>
        <v>57.428571428571431</v>
      </c>
    </row>
    <row r="1045" spans="1:10" s="186" customFormat="1" x14ac:dyDescent="0.25">
      <c r="A1045" s="212" t="s">
        <v>15</v>
      </c>
      <c r="B1045" s="11">
        <v>1</v>
      </c>
      <c r="C1045" s="11">
        <v>1</v>
      </c>
      <c r="D1045" s="11">
        <v>1</v>
      </c>
      <c r="E1045" s="11">
        <v>5</v>
      </c>
      <c r="F1045" s="11">
        <v>16</v>
      </c>
      <c r="G1045" s="11">
        <v>1</v>
      </c>
      <c r="H1045" s="11">
        <v>17</v>
      </c>
      <c r="I1045" s="11">
        <f>SUM('PEPE SIERRA '!$B1045:$H1045)</f>
        <v>42</v>
      </c>
      <c r="J1045" s="60">
        <f t="shared" si="494"/>
        <v>6</v>
      </c>
    </row>
    <row r="1046" spans="1:10" s="186" customFormat="1" x14ac:dyDescent="0.25">
      <c r="A1046" s="212" t="s">
        <v>16</v>
      </c>
      <c r="B1046" s="11">
        <v>1</v>
      </c>
      <c r="C1046" s="11">
        <v>0</v>
      </c>
      <c r="D1046" s="11">
        <v>0</v>
      </c>
      <c r="E1046" s="11">
        <v>0</v>
      </c>
      <c r="F1046" s="11">
        <v>0</v>
      </c>
      <c r="G1046" s="11">
        <v>0</v>
      </c>
      <c r="H1046" s="11">
        <v>1</v>
      </c>
      <c r="I1046" s="11">
        <f>SUM('PEPE SIERRA '!$B1046:$H1046)</f>
        <v>2</v>
      </c>
      <c r="J1046" s="60">
        <f t="shared" si="494"/>
        <v>0.2857142857142857</v>
      </c>
    </row>
    <row r="1047" spans="1:10" s="186" customFormat="1" x14ac:dyDescent="0.25">
      <c r="A1047" s="213" t="s">
        <v>17</v>
      </c>
      <c r="B1047" s="192">
        <f>SUM(B1042:B1046)</f>
        <v>112</v>
      </c>
      <c r="C1047" s="192">
        <f t="shared" ref="C1047:I1047" si="495">SUM(C1042:C1046)</f>
        <v>124</v>
      </c>
      <c r="D1047" s="192">
        <f t="shared" si="495"/>
        <v>141</v>
      </c>
      <c r="E1047" s="192">
        <f t="shared" si="495"/>
        <v>138</v>
      </c>
      <c r="F1047" s="192">
        <f t="shared" si="495"/>
        <v>334</v>
      </c>
      <c r="G1047" s="192">
        <f t="shared" si="495"/>
        <v>274</v>
      </c>
      <c r="H1047" s="192">
        <f t="shared" si="495"/>
        <v>337</v>
      </c>
      <c r="I1047" s="192">
        <f t="shared" si="495"/>
        <v>1460</v>
      </c>
      <c r="J1047" s="214">
        <f t="shared" si="494"/>
        <v>208.57142857142858</v>
      </c>
    </row>
    <row r="1048" spans="1:10" s="186" customFormat="1" x14ac:dyDescent="0.25">
      <c r="A1048" s="212" t="s">
        <v>18</v>
      </c>
      <c r="B1048" s="30">
        <v>0.73</v>
      </c>
      <c r="C1048" s="30">
        <v>0.68</v>
      </c>
      <c r="D1048" s="30">
        <v>0.7</v>
      </c>
      <c r="E1048" s="30">
        <v>0.77</v>
      </c>
      <c r="F1048" s="30">
        <v>0.75</v>
      </c>
      <c r="G1048" s="30">
        <v>0.65</v>
      </c>
      <c r="H1048" s="30">
        <v>0.73</v>
      </c>
      <c r="I1048" s="30">
        <f>I1055/I1060</f>
        <v>0.71564836140861487</v>
      </c>
      <c r="J1048" s="160">
        <f>J1055/J1060</f>
        <v>0.71564836140861487</v>
      </c>
    </row>
    <row r="1049" spans="1:10" s="186" customFormat="1" x14ac:dyDescent="0.25">
      <c r="A1049" s="212" t="s">
        <v>19</v>
      </c>
      <c r="B1049" s="30">
        <v>0.03</v>
      </c>
      <c r="C1049" s="30">
        <v>0.04</v>
      </c>
      <c r="D1049" s="30">
        <v>0.01</v>
      </c>
      <c r="E1049" s="30">
        <v>0</v>
      </c>
      <c r="F1049" s="30">
        <v>0.01</v>
      </c>
      <c r="G1049" s="30">
        <v>0.04</v>
      </c>
      <c r="H1049" s="30">
        <v>0.02</v>
      </c>
      <c r="I1049" s="30">
        <f>I1056/I1060</f>
        <v>2.122393439163445E-2</v>
      </c>
      <c r="J1049" s="160">
        <f>J1056/J1060</f>
        <v>2.1223934391634454E-2</v>
      </c>
    </row>
    <row r="1050" spans="1:10" s="186" customFormat="1" x14ac:dyDescent="0.25">
      <c r="A1050" s="212" t="s">
        <v>20</v>
      </c>
      <c r="B1050" s="30">
        <v>0.22</v>
      </c>
      <c r="C1050" s="30">
        <v>0.27</v>
      </c>
      <c r="D1050" s="30">
        <v>0.28000000000000003</v>
      </c>
      <c r="E1050" s="30">
        <v>0.2</v>
      </c>
      <c r="F1050" s="30">
        <v>0.19</v>
      </c>
      <c r="G1050" s="30">
        <v>0.31</v>
      </c>
      <c r="H1050" s="30">
        <v>0.2</v>
      </c>
      <c r="I1050" s="30">
        <f>I1057/I1060</f>
        <v>0.23369657513129602</v>
      </c>
      <c r="J1050" s="160">
        <f>J1057/J1060</f>
        <v>0.23369657513129602</v>
      </c>
    </row>
    <row r="1051" spans="1:10" s="186" customFormat="1" x14ac:dyDescent="0.25">
      <c r="A1051" s="212" t="s">
        <v>21</v>
      </c>
      <c r="B1051" s="30">
        <v>0.01</v>
      </c>
      <c r="C1051" s="30">
        <v>0.01</v>
      </c>
      <c r="D1051" s="30">
        <v>0.01</v>
      </c>
      <c r="E1051" s="30">
        <v>0.03</v>
      </c>
      <c r="F1051" s="30">
        <v>0.05</v>
      </c>
      <c r="G1051" s="30">
        <v>0</v>
      </c>
      <c r="H1051" s="30">
        <v>0.05</v>
      </c>
      <c r="I1051" s="30">
        <f>I1058/I1060</f>
        <v>2.8782106196944577E-2</v>
      </c>
      <c r="J1051" s="160">
        <f>J1058/J1060</f>
        <v>2.8782106196944577E-2</v>
      </c>
    </row>
    <row r="1052" spans="1:10" s="186" customFormat="1" x14ac:dyDescent="0.25">
      <c r="A1052" s="212" t="s">
        <v>22</v>
      </c>
      <c r="B1052" s="30">
        <v>0.01</v>
      </c>
      <c r="C1052" s="30">
        <v>0</v>
      </c>
      <c r="D1052" s="30">
        <v>0</v>
      </c>
      <c r="E1052" s="30">
        <v>0</v>
      </c>
      <c r="F1052" s="30">
        <v>0</v>
      </c>
      <c r="G1052" s="30">
        <v>0</v>
      </c>
      <c r="H1052" s="30">
        <v>0</v>
      </c>
      <c r="I1052" s="30">
        <f>I1059/I1060</f>
        <v>6.4902287151004617E-4</v>
      </c>
      <c r="J1052" s="160">
        <f>J1059/J1060</f>
        <v>6.4902287151004617E-4</v>
      </c>
    </row>
    <row r="1053" spans="1:10" s="186" customFormat="1" x14ac:dyDescent="0.25">
      <c r="A1053" s="215" t="s">
        <v>23</v>
      </c>
      <c r="B1053" s="66">
        <f t="shared" ref="B1053:J1053" si="496">B1064/B1047</f>
        <v>32133.928571428572</v>
      </c>
      <c r="C1053" s="66">
        <f t="shared" si="496"/>
        <v>38283.870967741932</v>
      </c>
      <c r="D1053" s="66">
        <f t="shared" si="496"/>
        <v>36151.773049645395</v>
      </c>
      <c r="E1053" s="66">
        <f t="shared" si="496"/>
        <v>36317.391304347824</v>
      </c>
      <c r="F1053" s="66">
        <f t="shared" si="496"/>
        <v>37908.083832335331</v>
      </c>
      <c r="G1053" s="66">
        <f t="shared" si="496"/>
        <v>38570.80291970804</v>
      </c>
      <c r="H1053" s="66">
        <f t="shared" si="496"/>
        <v>39808.902077151339</v>
      </c>
      <c r="I1053" s="66">
        <f t="shared" si="496"/>
        <v>37740.205479452052</v>
      </c>
      <c r="J1053" s="67">
        <f t="shared" si="496"/>
        <v>37740.205479452052</v>
      </c>
    </row>
    <row r="1054" spans="1:10" s="186" customFormat="1" x14ac:dyDescent="0.25">
      <c r="A1054" s="215" t="s">
        <v>24</v>
      </c>
      <c r="B1054" s="66">
        <f t="shared" ref="B1054:I1054" si="497">+B1064/B1041</f>
        <v>29500</v>
      </c>
      <c r="C1054" s="66">
        <f t="shared" si="497"/>
        <v>28946.341463414636</v>
      </c>
      <c r="D1054" s="66">
        <f t="shared" si="497"/>
        <v>28798.87005649718</v>
      </c>
      <c r="E1054" s="66">
        <f t="shared" si="497"/>
        <v>28476.136363636364</v>
      </c>
      <c r="F1054" s="66">
        <f t="shared" si="497"/>
        <v>28710.430839002267</v>
      </c>
      <c r="G1054" s="66">
        <f t="shared" si="497"/>
        <v>31832.530120481933</v>
      </c>
      <c r="H1054" s="66">
        <f t="shared" si="497"/>
        <v>31199.069767441859</v>
      </c>
      <c r="I1054" s="66">
        <f t="shared" si="497"/>
        <v>29913.517915309447</v>
      </c>
      <c r="J1054" s="67">
        <f>J1064/J1041</f>
        <v>29913.517915309443</v>
      </c>
    </row>
    <row r="1055" spans="1:10" s="186" customFormat="1" x14ac:dyDescent="0.25">
      <c r="A1055" s="212" t="s">
        <v>25</v>
      </c>
      <c r="B1055" s="92">
        <f t="shared" ref="B1055:H1055" si="498">B1060*B1048</f>
        <v>2150047.9810344828</v>
      </c>
      <c r="C1055" s="92">
        <f t="shared" si="498"/>
        <v>2674401.7793103452</v>
      </c>
      <c r="D1055" s="92">
        <f t="shared" si="498"/>
        <v>2926675.7413793104</v>
      </c>
      <c r="E1055" s="92">
        <f t="shared" si="498"/>
        <v>3160863.2758620689</v>
      </c>
      <c r="F1055" s="92">
        <f t="shared" si="498"/>
        <v>7801517.8448275868</v>
      </c>
      <c r="G1055" s="31">
        <f t="shared" si="498"/>
        <v>5699229.0258620698</v>
      </c>
      <c r="H1055" s="31">
        <f t="shared" si="498"/>
        <v>8063446.7120689657</v>
      </c>
      <c r="I1055" s="31">
        <f t="shared" ref="I1055:I1060" si="499">SUM(B1055:H1055)</f>
        <v>32476182.360344827</v>
      </c>
      <c r="J1055" s="32">
        <f t="shared" ref="J1055:J1064" si="500">I1055/7</f>
        <v>4639454.6229064036</v>
      </c>
    </row>
    <row r="1056" spans="1:10" s="186" customFormat="1" x14ac:dyDescent="0.25">
      <c r="A1056" s="212" t="s">
        <v>26</v>
      </c>
      <c r="B1056" s="92">
        <f t="shared" ref="B1056:H1056" si="501">B1060*B1049</f>
        <v>88358.136206896554</v>
      </c>
      <c r="C1056" s="92">
        <f t="shared" si="501"/>
        <v>157317.75172413795</v>
      </c>
      <c r="D1056" s="92">
        <f t="shared" si="501"/>
        <v>41809.653448275865</v>
      </c>
      <c r="E1056" s="92">
        <f t="shared" si="501"/>
        <v>0</v>
      </c>
      <c r="F1056" s="92">
        <f t="shared" si="501"/>
        <v>104020.2379310345</v>
      </c>
      <c r="G1056" s="31">
        <f t="shared" si="501"/>
        <v>350721.78620689659</v>
      </c>
      <c r="H1056" s="31">
        <f t="shared" si="501"/>
        <v>220916.34827586208</v>
      </c>
      <c r="I1056" s="31">
        <f t="shared" si="499"/>
        <v>963143.91379310342</v>
      </c>
      <c r="J1056" s="32">
        <f t="shared" si="500"/>
        <v>137591.98768472907</v>
      </c>
    </row>
    <row r="1057" spans="1:10" s="186" customFormat="1" x14ac:dyDescent="0.25">
      <c r="A1057" s="212" t="s">
        <v>27</v>
      </c>
      <c r="B1057" s="92">
        <f t="shared" ref="B1057:H1057" si="502">B1060*B1050</f>
        <v>647959.66551724146</v>
      </c>
      <c r="C1057" s="92">
        <f t="shared" si="502"/>
        <v>1061894.8241379312</v>
      </c>
      <c r="D1057" s="92">
        <f t="shared" si="502"/>
        <v>1170670.2965517244</v>
      </c>
      <c r="E1057" s="92">
        <f t="shared" si="502"/>
        <v>821003.44827586215</v>
      </c>
      <c r="F1057" s="92">
        <f t="shared" si="502"/>
        <v>1976384.5206896553</v>
      </c>
      <c r="G1057" s="31">
        <f t="shared" si="502"/>
        <v>2718093.8431034489</v>
      </c>
      <c r="H1057" s="31">
        <f t="shared" si="502"/>
        <v>2209163.4827586208</v>
      </c>
      <c r="I1057" s="31">
        <f t="shared" si="499"/>
        <v>10605170.081034483</v>
      </c>
      <c r="J1057" s="32">
        <f t="shared" si="500"/>
        <v>1515024.2972906404</v>
      </c>
    </row>
    <row r="1058" spans="1:10" s="186" customFormat="1" x14ac:dyDescent="0.25">
      <c r="A1058" s="212" t="s">
        <v>28</v>
      </c>
      <c r="B1058" s="92">
        <f t="shared" ref="B1058:H1058" si="503">B1060*B1051</f>
        <v>29452.71206896552</v>
      </c>
      <c r="C1058" s="92">
        <f t="shared" si="503"/>
        <v>39329.437931034488</v>
      </c>
      <c r="D1058" s="92">
        <f t="shared" si="503"/>
        <v>41809.653448275865</v>
      </c>
      <c r="E1058" s="92">
        <f t="shared" si="503"/>
        <v>123150.5172413793</v>
      </c>
      <c r="F1058" s="92">
        <f t="shared" si="503"/>
        <v>520101.18965517246</v>
      </c>
      <c r="G1058" s="31">
        <f t="shared" si="503"/>
        <v>0</v>
      </c>
      <c r="H1058" s="31">
        <f t="shared" si="503"/>
        <v>552290.87068965519</v>
      </c>
      <c r="I1058" s="31">
        <f t="shared" si="499"/>
        <v>1306134.3810344827</v>
      </c>
      <c r="J1058" s="32">
        <f t="shared" si="500"/>
        <v>186590.62586206896</v>
      </c>
    </row>
    <row r="1059" spans="1:10" s="186" customFormat="1" x14ac:dyDescent="0.25">
      <c r="A1059" s="212" t="s">
        <v>29</v>
      </c>
      <c r="B1059" s="92">
        <f>B1060*B1052</f>
        <v>29452.71206896552</v>
      </c>
      <c r="C1059" s="92">
        <f t="shared" ref="C1059:H1059" si="504">C1060*C1052</f>
        <v>0</v>
      </c>
      <c r="D1059" s="92">
        <f t="shared" si="504"/>
        <v>0</v>
      </c>
      <c r="E1059" s="92">
        <f t="shared" si="504"/>
        <v>0</v>
      </c>
      <c r="F1059" s="92">
        <f t="shared" si="504"/>
        <v>0</v>
      </c>
      <c r="G1059" s="31">
        <f t="shared" si="504"/>
        <v>0</v>
      </c>
      <c r="H1059" s="31">
        <f t="shared" si="504"/>
        <v>0</v>
      </c>
      <c r="I1059" s="31">
        <f t="shared" si="499"/>
        <v>29452.71206896552</v>
      </c>
      <c r="J1059" s="32">
        <f t="shared" si="500"/>
        <v>4207.5302955665029</v>
      </c>
    </row>
    <row r="1060" spans="1:10" s="186" customFormat="1" x14ac:dyDescent="0.25">
      <c r="A1060" s="216" t="s">
        <v>30</v>
      </c>
      <c r="B1060" s="222">
        <f>(3599000/1.16)-B1061</f>
        <v>2945271.2068965519</v>
      </c>
      <c r="C1060" s="222">
        <f>(4747200/1.16)-C1061</f>
        <v>3932943.7931034486</v>
      </c>
      <c r="D1060" s="222">
        <f>(5097400/1.16)-D1061</f>
        <v>4180965.3448275868</v>
      </c>
      <c r="E1060" s="222">
        <f>(5011800/1.16)-E1061</f>
        <v>4105017.2413793104</v>
      </c>
      <c r="F1060" s="222">
        <f>(12661300/1.16)-F1061</f>
        <v>10402023.793103449</v>
      </c>
      <c r="G1060" s="222">
        <f>(10568400/1.16)-G1061</f>
        <v>8768044.6551724151</v>
      </c>
      <c r="H1060" s="222">
        <f>(13415600/1.16)-H1061</f>
        <v>11045817.413793104</v>
      </c>
      <c r="I1060" s="197">
        <f t="shared" si="499"/>
        <v>45380083.448275864</v>
      </c>
      <c r="J1060" s="217">
        <f t="shared" si="500"/>
        <v>6482869.0640394092</v>
      </c>
    </row>
    <row r="1061" spans="1:10" s="186" customFormat="1" x14ac:dyDescent="0.25">
      <c r="A1061" s="212" t="s">
        <v>31</v>
      </c>
      <c r="B1061" s="92">
        <f t="shared" ref="B1061:I1061" si="505">2155*B1042</f>
        <v>157315</v>
      </c>
      <c r="C1061" s="92">
        <f t="shared" si="505"/>
        <v>159470</v>
      </c>
      <c r="D1061" s="92">
        <f t="shared" si="505"/>
        <v>213345</v>
      </c>
      <c r="E1061" s="92">
        <f t="shared" si="505"/>
        <v>215500</v>
      </c>
      <c r="F1061" s="92">
        <f t="shared" si="505"/>
        <v>512890</v>
      </c>
      <c r="G1061" s="31">
        <f t="shared" si="505"/>
        <v>342645</v>
      </c>
      <c r="H1061" s="31">
        <f t="shared" si="505"/>
        <v>519355</v>
      </c>
      <c r="I1061" s="31">
        <f t="shared" si="505"/>
        <v>2120520</v>
      </c>
      <c r="J1061" s="32">
        <f t="shared" si="500"/>
        <v>302931.42857142858</v>
      </c>
    </row>
    <row r="1062" spans="1:10" s="186" customFormat="1" x14ac:dyDescent="0.25">
      <c r="A1062" s="218" t="s">
        <v>32</v>
      </c>
      <c r="B1062" s="199">
        <f>B1061+B1060</f>
        <v>3102586.2068965519</v>
      </c>
      <c r="C1062" s="199">
        <f>C1061+C1060</f>
        <v>4092413.7931034486</v>
      </c>
      <c r="D1062" s="199">
        <f>D1061+D1060</f>
        <v>4394310.3448275868</v>
      </c>
      <c r="E1062" s="199">
        <f>E1061+E1060</f>
        <v>4320517.2413793104</v>
      </c>
      <c r="F1062" s="199">
        <f>F1060+F1061</f>
        <v>10914913.793103449</v>
      </c>
      <c r="G1062" s="199">
        <f>G1061+G1060</f>
        <v>9110689.6551724151</v>
      </c>
      <c r="H1062" s="199">
        <f>H1061+H1060</f>
        <v>11565172.413793104</v>
      </c>
      <c r="I1062" s="199">
        <f>I1060+I1061</f>
        <v>47500603.448275864</v>
      </c>
      <c r="J1062" s="219">
        <f t="shared" si="500"/>
        <v>6785800.4926108373</v>
      </c>
    </row>
    <row r="1063" spans="1:10" s="186" customFormat="1" x14ac:dyDescent="0.25">
      <c r="A1063" s="212" t="s">
        <v>33</v>
      </c>
      <c r="B1063" s="94">
        <f>B1062*16%</f>
        <v>496413.79310344829</v>
      </c>
      <c r="C1063" s="94">
        <f t="shared" ref="C1063:H1063" si="506">C1062*16%</f>
        <v>654786.20689655177</v>
      </c>
      <c r="D1063" s="94">
        <f t="shared" si="506"/>
        <v>703089.65517241391</v>
      </c>
      <c r="E1063" s="94">
        <f t="shared" si="506"/>
        <v>691282.75862068962</v>
      </c>
      <c r="F1063" s="94">
        <f t="shared" si="506"/>
        <v>1746386.2068965519</v>
      </c>
      <c r="G1063" s="94">
        <f t="shared" si="506"/>
        <v>1457710.3448275866</v>
      </c>
      <c r="H1063" s="94">
        <f t="shared" si="506"/>
        <v>1850427.5862068967</v>
      </c>
      <c r="I1063" s="94">
        <f>I1062*16%</f>
        <v>7600096.5517241387</v>
      </c>
      <c r="J1063" s="32">
        <f t="shared" si="500"/>
        <v>1085728.078817734</v>
      </c>
    </row>
    <row r="1064" spans="1:10" s="186" customFormat="1" x14ac:dyDescent="0.25">
      <c r="A1064" s="220" t="s">
        <v>34</v>
      </c>
      <c r="B1064" s="202">
        <f>B1062+B1063</f>
        <v>3599000</v>
      </c>
      <c r="C1064" s="202">
        <f t="shared" ref="C1064:H1064" si="507">C1062+C1063</f>
        <v>4747200</v>
      </c>
      <c r="D1064" s="202">
        <f t="shared" si="507"/>
        <v>5097400.0000000009</v>
      </c>
      <c r="E1064" s="202">
        <f t="shared" si="507"/>
        <v>5011800</v>
      </c>
      <c r="F1064" s="202">
        <f t="shared" si="507"/>
        <v>12661300</v>
      </c>
      <c r="G1064" s="202">
        <f t="shared" si="507"/>
        <v>10568400.000000002</v>
      </c>
      <c r="H1064" s="202">
        <f t="shared" si="507"/>
        <v>13415600</v>
      </c>
      <c r="I1064" s="202">
        <f>I1062+I1063</f>
        <v>55100700</v>
      </c>
      <c r="J1064" s="221">
        <f t="shared" si="500"/>
        <v>7871528.5714285718</v>
      </c>
    </row>
    <row r="1065" spans="1:10" s="186" customFormat="1" ht="15.75" thickBot="1" x14ac:dyDescent="0.3">
      <c r="A1065" s="204"/>
      <c r="B1065" s="112"/>
      <c r="C1065" s="112"/>
      <c r="D1065" s="112"/>
      <c r="E1065" s="112"/>
      <c r="F1065" s="112"/>
      <c r="G1065" s="112"/>
      <c r="H1065" s="112"/>
      <c r="I1065" s="112"/>
      <c r="J1065" s="205"/>
    </row>
    <row r="1066" spans="1:10" s="186" customFormat="1" ht="26.25" x14ac:dyDescent="0.25">
      <c r="A1066"/>
      <c r="B1066" s="1002" t="s">
        <v>273</v>
      </c>
      <c r="C1066" s="1002"/>
      <c r="D1066" s="1002"/>
      <c r="E1066" s="1002"/>
      <c r="F1066" s="1002"/>
      <c r="G1066" s="1002"/>
      <c r="H1066" s="1002"/>
      <c r="I1066"/>
      <c r="J1066"/>
    </row>
    <row r="1067" spans="1:10" s="186" customFormat="1" ht="15.75" x14ac:dyDescent="0.25">
      <c r="A1067" s="207" t="s">
        <v>2</v>
      </c>
      <c r="B1067" s="121" t="s">
        <v>274</v>
      </c>
      <c r="C1067" s="121" t="s">
        <v>275</v>
      </c>
      <c r="D1067" s="121" t="s">
        <v>276</v>
      </c>
      <c r="E1067" s="121" t="s">
        <v>277</v>
      </c>
      <c r="F1067" s="121" t="s">
        <v>278</v>
      </c>
      <c r="G1067" s="121" t="s">
        <v>279</v>
      </c>
      <c r="H1067" s="121" t="s">
        <v>280</v>
      </c>
      <c r="I1067" s="121" t="s">
        <v>96</v>
      </c>
      <c r="J1067" s="209" t="s">
        <v>97</v>
      </c>
    </row>
    <row r="1068" spans="1:10" s="186" customFormat="1" x14ac:dyDescent="0.25">
      <c r="A1068" s="210" t="s">
        <v>11</v>
      </c>
      <c r="B1068" s="189">
        <v>144</v>
      </c>
      <c r="C1068" s="189">
        <v>156</v>
      </c>
      <c r="D1068" s="189">
        <v>162</v>
      </c>
      <c r="E1068" s="190">
        <v>171</v>
      </c>
      <c r="F1068" s="190">
        <v>397</v>
      </c>
      <c r="G1068" s="190">
        <v>430</v>
      </c>
      <c r="H1068" s="190">
        <v>320</v>
      </c>
      <c r="I1068" s="190">
        <f>SUM(B1068:H1068)</f>
        <v>1780</v>
      </c>
      <c r="J1068" s="211">
        <f>+I1068/7</f>
        <v>254.28571428571428</v>
      </c>
    </row>
    <row r="1069" spans="1:10" s="186" customFormat="1" x14ac:dyDescent="0.25">
      <c r="A1069" s="212" t="s">
        <v>12</v>
      </c>
      <c r="B1069" s="11">
        <v>72</v>
      </c>
      <c r="C1069" s="11">
        <v>81</v>
      </c>
      <c r="D1069" s="11">
        <v>83</v>
      </c>
      <c r="E1069" s="11">
        <v>96</v>
      </c>
      <c r="F1069" s="11">
        <v>205</v>
      </c>
      <c r="G1069" s="11">
        <v>223</v>
      </c>
      <c r="H1069" s="11">
        <v>173</v>
      </c>
      <c r="I1069" s="11">
        <f>SUM('PEPE SIERRA '!$B1069:$H1069)</f>
        <v>933</v>
      </c>
      <c r="J1069" s="60">
        <f t="shared" ref="J1069:J1074" si="508">I1069/7</f>
        <v>133.28571428571428</v>
      </c>
    </row>
    <row r="1070" spans="1:10" s="186" customFormat="1" x14ac:dyDescent="0.25">
      <c r="A1070" s="212" t="s">
        <v>13</v>
      </c>
      <c r="B1070" s="11">
        <v>2</v>
      </c>
      <c r="C1070" s="11">
        <v>3</v>
      </c>
      <c r="D1070" s="11">
        <v>2</v>
      </c>
      <c r="E1070" s="11">
        <v>2</v>
      </c>
      <c r="F1070" s="11">
        <v>9</v>
      </c>
      <c r="G1070" s="11">
        <v>8</v>
      </c>
      <c r="H1070" s="11">
        <v>4</v>
      </c>
      <c r="I1070" s="11">
        <f>SUM('PEPE SIERRA '!$B1070:$H1070)</f>
        <v>30</v>
      </c>
      <c r="J1070" s="60">
        <f t="shared" si="508"/>
        <v>4.2857142857142856</v>
      </c>
    </row>
    <row r="1071" spans="1:10" s="186" customFormat="1" x14ac:dyDescent="0.25">
      <c r="A1071" s="212" t="s">
        <v>14</v>
      </c>
      <c r="B1071" s="11">
        <v>30</v>
      </c>
      <c r="C1071" s="11">
        <v>37</v>
      </c>
      <c r="D1071" s="11">
        <v>44</v>
      </c>
      <c r="E1071" s="11">
        <v>34</v>
      </c>
      <c r="F1071" s="11">
        <v>88</v>
      </c>
      <c r="G1071" s="11">
        <v>79</v>
      </c>
      <c r="H1071" s="86">
        <v>57</v>
      </c>
      <c r="I1071" s="11">
        <f>SUM('PEPE SIERRA '!$B1071:$H1071)</f>
        <v>369</v>
      </c>
      <c r="J1071" s="60">
        <f t="shared" si="508"/>
        <v>52.714285714285715</v>
      </c>
    </row>
    <row r="1072" spans="1:10" s="186" customFormat="1" x14ac:dyDescent="0.25">
      <c r="A1072" s="212" t="s">
        <v>15</v>
      </c>
      <c r="B1072" s="11">
        <v>3</v>
      </c>
      <c r="C1072" s="11">
        <v>1</v>
      </c>
      <c r="D1072" s="11">
        <v>0</v>
      </c>
      <c r="E1072" s="11">
        <v>1</v>
      </c>
      <c r="F1072" s="11">
        <v>4</v>
      </c>
      <c r="G1072" s="11">
        <v>30</v>
      </c>
      <c r="H1072" s="11">
        <v>4</v>
      </c>
      <c r="I1072" s="11">
        <f>SUM('PEPE SIERRA '!$B1072:$H1072)</f>
        <v>43</v>
      </c>
      <c r="J1072" s="60">
        <f t="shared" si="508"/>
        <v>6.1428571428571432</v>
      </c>
    </row>
    <row r="1073" spans="1:10" s="186" customFormat="1" x14ac:dyDescent="0.25">
      <c r="A1073" s="212" t="s">
        <v>16</v>
      </c>
      <c r="B1073" s="11">
        <v>2</v>
      </c>
      <c r="C1073" s="11">
        <v>1</v>
      </c>
      <c r="D1073" s="11">
        <v>2</v>
      </c>
      <c r="E1073" s="11">
        <v>1</v>
      </c>
      <c r="F1073" s="11">
        <v>1</v>
      </c>
      <c r="G1073" s="11">
        <v>1</v>
      </c>
      <c r="H1073" s="11">
        <v>0</v>
      </c>
      <c r="I1073" s="11">
        <f>SUM('PEPE SIERRA '!$B1073:$H1073)</f>
        <v>8</v>
      </c>
      <c r="J1073" s="60">
        <f t="shared" si="508"/>
        <v>1.1428571428571428</v>
      </c>
    </row>
    <row r="1074" spans="1:10" s="186" customFormat="1" x14ac:dyDescent="0.25">
      <c r="A1074" s="213" t="s">
        <v>17</v>
      </c>
      <c r="B1074" s="192">
        <f>SUM(B1069:B1073)</f>
        <v>109</v>
      </c>
      <c r="C1074" s="192">
        <f t="shared" ref="C1074:I1074" si="509">SUM(C1069:C1073)</f>
        <v>123</v>
      </c>
      <c r="D1074" s="192">
        <f t="shared" si="509"/>
        <v>131</v>
      </c>
      <c r="E1074" s="192">
        <f t="shared" si="509"/>
        <v>134</v>
      </c>
      <c r="F1074" s="192">
        <f t="shared" si="509"/>
        <v>307</v>
      </c>
      <c r="G1074" s="192">
        <f t="shared" si="509"/>
        <v>341</v>
      </c>
      <c r="H1074" s="192">
        <f t="shared" si="509"/>
        <v>238</v>
      </c>
      <c r="I1074" s="192">
        <f t="shared" si="509"/>
        <v>1383</v>
      </c>
      <c r="J1074" s="214">
        <f t="shared" si="508"/>
        <v>197.57142857142858</v>
      </c>
    </row>
    <row r="1075" spans="1:10" s="186" customFormat="1" x14ac:dyDescent="0.25">
      <c r="A1075" s="212" t="s">
        <v>18</v>
      </c>
      <c r="B1075" s="30">
        <v>0.71</v>
      </c>
      <c r="C1075" s="30">
        <v>0.7</v>
      </c>
      <c r="D1075" s="30">
        <v>0.7</v>
      </c>
      <c r="E1075" s="30">
        <v>0.8</v>
      </c>
      <c r="F1075" s="30">
        <v>0.73</v>
      </c>
      <c r="G1075" s="30">
        <v>0.7</v>
      </c>
      <c r="H1075" s="30">
        <v>0.75</v>
      </c>
      <c r="I1075" s="30">
        <f>I1082/I1087</f>
        <v>0.72566088400693463</v>
      </c>
      <c r="J1075" s="160">
        <f>J1082/J1087</f>
        <v>0.72566088400693463</v>
      </c>
    </row>
    <row r="1076" spans="1:10" s="186" customFormat="1" x14ac:dyDescent="0.25">
      <c r="A1076" s="212" t="s">
        <v>19</v>
      </c>
      <c r="B1076" s="30">
        <v>0.01</v>
      </c>
      <c r="C1076" s="30">
        <v>0.03</v>
      </c>
      <c r="D1076" s="30">
        <v>0.01</v>
      </c>
      <c r="E1076" s="30">
        <v>0.01</v>
      </c>
      <c r="F1076" s="30">
        <v>0.02</v>
      </c>
      <c r="G1076" s="30">
        <v>0.04</v>
      </c>
      <c r="H1076" s="30">
        <v>0.02</v>
      </c>
      <c r="I1076" s="30">
        <f>I1083/I1087</f>
        <v>2.3459705377060273E-2</v>
      </c>
      <c r="J1076" s="160">
        <f>J1083/J1087</f>
        <v>2.3459705377060276E-2</v>
      </c>
    </row>
    <row r="1077" spans="1:10" s="186" customFormat="1" x14ac:dyDescent="0.25">
      <c r="A1077" s="212" t="s">
        <v>20</v>
      </c>
      <c r="B1077" s="30">
        <v>0.2</v>
      </c>
      <c r="C1077" s="30">
        <v>0.25</v>
      </c>
      <c r="D1077" s="30">
        <v>0.27</v>
      </c>
      <c r="E1077" s="30">
        <v>0.17</v>
      </c>
      <c r="F1077" s="30">
        <v>0.24</v>
      </c>
      <c r="G1077" s="30">
        <v>0.18</v>
      </c>
      <c r="H1077" s="30">
        <v>0.22</v>
      </c>
      <c r="I1077" s="30">
        <f>I1084/I1087</f>
        <v>0.21503119418023897</v>
      </c>
      <c r="J1077" s="160">
        <f>J1084/J1087</f>
        <v>0.21503119418023897</v>
      </c>
    </row>
    <row r="1078" spans="1:10" s="186" customFormat="1" x14ac:dyDescent="0.25">
      <c r="A1078" s="212" t="s">
        <v>21</v>
      </c>
      <c r="B1078" s="30">
        <v>0.05</v>
      </c>
      <c r="C1078" s="30">
        <v>0.01</v>
      </c>
      <c r="D1078" s="30">
        <v>0</v>
      </c>
      <c r="E1078" s="30">
        <v>0.01</v>
      </c>
      <c r="F1078" s="30">
        <v>0.01</v>
      </c>
      <c r="G1078" s="30">
        <v>7.0000000000000007E-2</v>
      </c>
      <c r="H1078" s="30">
        <v>0.01</v>
      </c>
      <c r="I1078" s="30">
        <f>I1085/I1087</f>
        <v>2.7496745656643059E-2</v>
      </c>
      <c r="J1078" s="160">
        <f>J1085/J1087</f>
        <v>2.7496745656643062E-2</v>
      </c>
    </row>
    <row r="1079" spans="1:10" s="186" customFormat="1" x14ac:dyDescent="0.25">
      <c r="A1079" s="212" t="s">
        <v>22</v>
      </c>
      <c r="B1079" s="30">
        <v>0.03</v>
      </c>
      <c r="C1079" s="30">
        <v>0.01</v>
      </c>
      <c r="D1079" s="30">
        <v>0.02</v>
      </c>
      <c r="E1079" s="30">
        <v>0.01</v>
      </c>
      <c r="F1079" s="30">
        <v>0</v>
      </c>
      <c r="G1079" s="30">
        <v>0.01</v>
      </c>
      <c r="H1079" s="30">
        <v>0</v>
      </c>
      <c r="I1079" s="30">
        <f>I1086/I1087</f>
        <v>8.3514707791231685E-3</v>
      </c>
      <c r="J1079" s="160">
        <f>J1086/J1087</f>
        <v>8.3514707791231685E-3</v>
      </c>
    </row>
    <row r="1080" spans="1:10" s="186" customFormat="1" x14ac:dyDescent="0.25">
      <c r="A1080" s="215" t="s">
        <v>23</v>
      </c>
      <c r="B1080" s="66">
        <f t="shared" ref="B1080:J1080" si="510">B1091/B1074</f>
        <v>34874.311926605507</v>
      </c>
      <c r="C1080" s="66">
        <f t="shared" si="510"/>
        <v>37017.07317073171</v>
      </c>
      <c r="D1080" s="66">
        <f t="shared" si="510"/>
        <v>35577.862595419851</v>
      </c>
      <c r="E1080" s="66">
        <f t="shared" si="510"/>
        <v>37960.447761194031</v>
      </c>
      <c r="F1080" s="66">
        <f t="shared" si="510"/>
        <v>39283.713355048858</v>
      </c>
      <c r="G1080" s="66">
        <f t="shared" si="510"/>
        <v>39677.126099706744</v>
      </c>
      <c r="H1080" s="66">
        <f t="shared" si="510"/>
        <v>37224.36974789916</v>
      </c>
      <c r="I1080" s="66">
        <f t="shared" si="510"/>
        <v>37997.975415762834</v>
      </c>
      <c r="J1080" s="67">
        <f t="shared" si="510"/>
        <v>37997.975415762834</v>
      </c>
    </row>
    <row r="1081" spans="1:10" s="186" customFormat="1" x14ac:dyDescent="0.25">
      <c r="A1081" s="215" t="s">
        <v>24</v>
      </c>
      <c r="B1081" s="66">
        <f t="shared" ref="B1081:I1081" si="511">+B1091/B1068</f>
        <v>26397.916666666672</v>
      </c>
      <c r="C1081" s="66">
        <f t="shared" si="511"/>
        <v>29186.538461538461</v>
      </c>
      <c r="D1081" s="66">
        <f t="shared" si="511"/>
        <v>28769.753086419754</v>
      </c>
      <c r="E1081" s="66">
        <f t="shared" si="511"/>
        <v>29746.783625730994</v>
      </c>
      <c r="F1081" s="66">
        <f t="shared" si="511"/>
        <v>30378.085642317379</v>
      </c>
      <c r="G1081" s="66">
        <f t="shared" si="511"/>
        <v>31464.883720930233</v>
      </c>
      <c r="H1081" s="66">
        <f t="shared" si="511"/>
        <v>27685.625</v>
      </c>
      <c r="I1081" s="66">
        <f t="shared" si="511"/>
        <v>29523.146067415732</v>
      </c>
      <c r="J1081" s="67">
        <f>J1091/J1068</f>
        <v>29523.146067415732</v>
      </c>
    </row>
    <row r="1082" spans="1:10" s="186" customFormat="1" x14ac:dyDescent="0.25">
      <c r="A1082" s="212" t="s">
        <v>25</v>
      </c>
      <c r="B1082" s="92">
        <f t="shared" ref="B1082:H1082" si="512">B1087*B1075</f>
        <v>2216494.15862069</v>
      </c>
      <c r="C1082" s="92">
        <f t="shared" si="512"/>
        <v>2625371.8448275863</v>
      </c>
      <c r="D1082" s="92">
        <f t="shared" si="512"/>
        <v>2687285.8793103448</v>
      </c>
      <c r="E1082" s="92">
        <f t="shared" si="512"/>
        <v>3342564.9655172415</v>
      </c>
      <c r="F1082" s="92">
        <f t="shared" si="512"/>
        <v>7267049.9396551726</v>
      </c>
      <c r="G1082" s="31">
        <f t="shared" si="512"/>
        <v>7828199.3275862066</v>
      </c>
      <c r="H1082" s="31">
        <f t="shared" si="512"/>
        <v>5448449.0948275868</v>
      </c>
      <c r="I1082" s="31">
        <f t="shared" ref="I1082:I1087" si="513">SUM(B1082:H1082)</f>
        <v>31415415.210344829</v>
      </c>
      <c r="J1082" s="32">
        <f t="shared" ref="J1082:J1091" si="514">I1082/7</f>
        <v>4487916.4586206898</v>
      </c>
    </row>
    <row r="1083" spans="1:10" s="186" customFormat="1" x14ac:dyDescent="0.25">
      <c r="A1083" s="212" t="s">
        <v>26</v>
      </c>
      <c r="B1083" s="92">
        <f t="shared" ref="B1083:H1083" si="515">B1087*B1076</f>
        <v>31218.2275862069</v>
      </c>
      <c r="C1083" s="92">
        <f t="shared" si="515"/>
        <v>112515.93620689656</v>
      </c>
      <c r="D1083" s="92">
        <f t="shared" si="515"/>
        <v>38389.798275862071</v>
      </c>
      <c r="E1083" s="92">
        <f t="shared" si="515"/>
        <v>41782.062068965519</v>
      </c>
      <c r="F1083" s="92">
        <f t="shared" si="515"/>
        <v>199097.25862068965</v>
      </c>
      <c r="G1083" s="31">
        <f t="shared" si="515"/>
        <v>447325.67586206901</v>
      </c>
      <c r="H1083" s="31">
        <f t="shared" si="515"/>
        <v>145291.975862069</v>
      </c>
      <c r="I1083" s="31">
        <f t="shared" si="513"/>
        <v>1015620.9344827586</v>
      </c>
      <c r="J1083" s="32">
        <f t="shared" si="514"/>
        <v>145088.70492610839</v>
      </c>
    </row>
    <row r="1084" spans="1:10" s="186" customFormat="1" x14ac:dyDescent="0.25">
      <c r="A1084" s="212" t="s">
        <v>27</v>
      </c>
      <c r="B1084" s="92">
        <f t="shared" ref="B1084:H1084" si="516">B1087*B1077</f>
        <v>624364.55172413809</v>
      </c>
      <c r="C1084" s="92">
        <f t="shared" si="516"/>
        <v>937632.80172413797</v>
      </c>
      <c r="D1084" s="92">
        <f t="shared" si="516"/>
        <v>1036524.553448276</v>
      </c>
      <c r="E1084" s="92">
        <f t="shared" si="516"/>
        <v>710295.05517241382</v>
      </c>
      <c r="F1084" s="92">
        <f t="shared" si="516"/>
        <v>2389167.1034482759</v>
      </c>
      <c r="G1084" s="31">
        <f t="shared" si="516"/>
        <v>2012965.5413793104</v>
      </c>
      <c r="H1084" s="31">
        <f t="shared" si="516"/>
        <v>1598211.7344827589</v>
      </c>
      <c r="I1084" s="31">
        <f t="shared" si="513"/>
        <v>9309161.3413793109</v>
      </c>
      <c r="J1084" s="32">
        <f t="shared" si="514"/>
        <v>1329880.1916256158</v>
      </c>
    </row>
    <row r="1085" spans="1:10" s="186" customFormat="1" x14ac:dyDescent="0.25">
      <c r="A1085" s="212" t="s">
        <v>28</v>
      </c>
      <c r="B1085" s="92">
        <f t="shared" ref="B1085:H1085" si="517">B1087*B1078</f>
        <v>156091.13793103452</v>
      </c>
      <c r="C1085" s="92">
        <f t="shared" si="517"/>
        <v>37505.312068965519</v>
      </c>
      <c r="D1085" s="92">
        <f t="shared" si="517"/>
        <v>0</v>
      </c>
      <c r="E1085" s="92">
        <f t="shared" si="517"/>
        <v>41782.062068965519</v>
      </c>
      <c r="F1085" s="92">
        <f t="shared" si="517"/>
        <v>99548.629310344826</v>
      </c>
      <c r="G1085" s="31">
        <f t="shared" si="517"/>
        <v>782819.93275862082</v>
      </c>
      <c r="H1085" s="31">
        <f t="shared" si="517"/>
        <v>72645.987931034499</v>
      </c>
      <c r="I1085" s="31">
        <f t="shared" si="513"/>
        <v>1190393.0620689658</v>
      </c>
      <c r="J1085" s="32">
        <f t="shared" si="514"/>
        <v>170056.15172413798</v>
      </c>
    </row>
    <row r="1086" spans="1:10" s="186" customFormat="1" x14ac:dyDescent="0.25">
      <c r="A1086" s="212" t="s">
        <v>29</v>
      </c>
      <c r="B1086" s="92">
        <f>B1087*B1079</f>
        <v>93654.682758620693</v>
      </c>
      <c r="C1086" s="92">
        <f t="shared" ref="C1086:H1086" si="518">C1087*C1079</f>
        <v>37505.312068965519</v>
      </c>
      <c r="D1086" s="92">
        <f t="shared" si="518"/>
        <v>76779.596551724142</v>
      </c>
      <c r="E1086" s="92">
        <f t="shared" si="518"/>
        <v>41782.062068965519</v>
      </c>
      <c r="F1086" s="92">
        <f t="shared" si="518"/>
        <v>0</v>
      </c>
      <c r="G1086" s="31">
        <f t="shared" si="518"/>
        <v>111831.41896551725</v>
      </c>
      <c r="H1086" s="31">
        <f t="shared" si="518"/>
        <v>0</v>
      </c>
      <c r="I1086" s="31">
        <f t="shared" si="513"/>
        <v>361553.07241379312</v>
      </c>
      <c r="J1086" s="32">
        <f t="shared" si="514"/>
        <v>51650.438916256164</v>
      </c>
    </row>
    <row r="1087" spans="1:10" s="186" customFormat="1" x14ac:dyDescent="0.25">
      <c r="A1087" s="216" t="s">
        <v>30</v>
      </c>
      <c r="B1087" s="222">
        <f>(3801300/1.16)-B1088</f>
        <v>3121822.7586206901</v>
      </c>
      <c r="C1087" s="222">
        <f>(4553100/1.16)-C1088</f>
        <v>3750531.2068965519</v>
      </c>
      <c r="D1087" s="222">
        <f>(4660700/1.16)-D1088</f>
        <v>3838979.8275862071</v>
      </c>
      <c r="E1087" s="222">
        <f>(5086700/1.16)-E1088</f>
        <v>4178206.2068965519</v>
      </c>
      <c r="F1087" s="222">
        <f>(12060100/1.16)-F1088</f>
        <v>9954862.931034483</v>
      </c>
      <c r="G1087" s="222">
        <f>(13529900/1.16)-G1088</f>
        <v>11183141.896551725</v>
      </c>
      <c r="H1087" s="222">
        <f>(8859400/1.16)-H1088</f>
        <v>7264598.793103449</v>
      </c>
      <c r="I1087" s="197">
        <f t="shared" si="513"/>
        <v>43292143.620689653</v>
      </c>
      <c r="J1087" s="217">
        <f t="shared" si="514"/>
        <v>6184591.9458128074</v>
      </c>
    </row>
    <row r="1088" spans="1:10" s="186" customFormat="1" x14ac:dyDescent="0.25">
      <c r="A1088" s="212" t="s">
        <v>31</v>
      </c>
      <c r="B1088" s="92">
        <f t="shared" ref="B1088:I1088" si="519">2155*B1069</f>
        <v>155160</v>
      </c>
      <c r="C1088" s="92">
        <f t="shared" si="519"/>
        <v>174555</v>
      </c>
      <c r="D1088" s="92">
        <f t="shared" si="519"/>
        <v>178865</v>
      </c>
      <c r="E1088" s="92">
        <f t="shared" si="519"/>
        <v>206880</v>
      </c>
      <c r="F1088" s="92">
        <f t="shared" si="519"/>
        <v>441775</v>
      </c>
      <c r="G1088" s="31">
        <f t="shared" si="519"/>
        <v>480565</v>
      </c>
      <c r="H1088" s="31">
        <f t="shared" si="519"/>
        <v>372815</v>
      </c>
      <c r="I1088" s="31">
        <f t="shared" si="519"/>
        <v>2010615</v>
      </c>
      <c r="J1088" s="32">
        <f t="shared" si="514"/>
        <v>287230.71428571426</v>
      </c>
    </row>
    <row r="1089" spans="1:10" s="186" customFormat="1" x14ac:dyDescent="0.25">
      <c r="A1089" s="218" t="s">
        <v>32</v>
      </c>
      <c r="B1089" s="199">
        <f>B1088+B1087</f>
        <v>3276982.7586206901</v>
      </c>
      <c r="C1089" s="199">
        <f>C1088+C1087</f>
        <v>3925086.2068965519</v>
      </c>
      <c r="D1089" s="199">
        <f>D1088+D1087</f>
        <v>4017844.8275862071</v>
      </c>
      <c r="E1089" s="199">
        <f>E1088+E1087</f>
        <v>4385086.2068965519</v>
      </c>
      <c r="F1089" s="199">
        <f>F1087+F1088</f>
        <v>10396637.931034483</v>
      </c>
      <c r="G1089" s="199">
        <f>G1088+G1087</f>
        <v>11663706.896551725</v>
      </c>
      <c r="H1089" s="199">
        <f>H1088+H1087</f>
        <v>7637413.793103449</v>
      </c>
      <c r="I1089" s="199">
        <f>I1087+I1088</f>
        <v>45302758.620689653</v>
      </c>
      <c r="J1089" s="219">
        <f t="shared" si="514"/>
        <v>6471822.660098522</v>
      </c>
    </row>
    <row r="1090" spans="1:10" s="186" customFormat="1" x14ac:dyDescent="0.25">
      <c r="A1090" s="212" t="s">
        <v>33</v>
      </c>
      <c r="B1090" s="94">
        <f>B1089*16%</f>
        <v>524317.24137931038</v>
      </c>
      <c r="C1090" s="94">
        <f t="shared" ref="C1090:H1090" si="520">C1089*16%</f>
        <v>628013.79310344835</v>
      </c>
      <c r="D1090" s="94">
        <f t="shared" si="520"/>
        <v>642855.17241379316</v>
      </c>
      <c r="E1090" s="94">
        <f t="shared" si="520"/>
        <v>701613.79310344835</v>
      </c>
      <c r="F1090" s="94">
        <f t="shared" si="520"/>
        <v>1663462.0689655172</v>
      </c>
      <c r="G1090" s="94">
        <f t="shared" si="520"/>
        <v>1866193.1034482759</v>
      </c>
      <c r="H1090" s="94">
        <f t="shared" si="520"/>
        <v>1221986.2068965519</v>
      </c>
      <c r="I1090" s="94">
        <f>I1089*16%</f>
        <v>7248441.3793103443</v>
      </c>
      <c r="J1090" s="32">
        <f t="shared" si="514"/>
        <v>1035491.6256157635</v>
      </c>
    </row>
    <row r="1091" spans="1:10" s="186" customFormat="1" x14ac:dyDescent="0.25">
      <c r="A1091" s="220" t="s">
        <v>34</v>
      </c>
      <c r="B1091" s="202">
        <f>B1089+B1090</f>
        <v>3801300.0000000005</v>
      </c>
      <c r="C1091" s="202">
        <f t="shared" ref="C1091:H1091" si="521">C1089+C1090</f>
        <v>4553100</v>
      </c>
      <c r="D1091" s="202">
        <f t="shared" si="521"/>
        <v>4660700</v>
      </c>
      <c r="E1091" s="202">
        <f t="shared" si="521"/>
        <v>5086700</v>
      </c>
      <c r="F1091" s="202">
        <f t="shared" si="521"/>
        <v>12060100</v>
      </c>
      <c r="G1091" s="202">
        <f t="shared" si="521"/>
        <v>13529900</v>
      </c>
      <c r="H1091" s="202">
        <f t="shared" si="521"/>
        <v>8859400</v>
      </c>
      <c r="I1091" s="202">
        <f>I1089+I1090</f>
        <v>52551200</v>
      </c>
      <c r="J1091" s="221">
        <f t="shared" si="514"/>
        <v>7507314.2857142854</v>
      </c>
    </row>
    <row r="1092" spans="1:10" s="186" customFormat="1" ht="15.75" thickBot="1" x14ac:dyDescent="0.3">
      <c r="A1092" s="204"/>
      <c r="B1092" s="112"/>
      <c r="C1092" s="112"/>
      <c r="D1092" s="112"/>
      <c r="E1092" s="112"/>
      <c r="F1092" s="112"/>
      <c r="G1092" s="112"/>
      <c r="H1092" s="112"/>
      <c r="I1092" s="112"/>
      <c r="J1092" s="205"/>
    </row>
    <row r="1093" spans="1:10" s="186" customFormat="1" ht="26.25" x14ac:dyDescent="0.25">
      <c r="A1093"/>
      <c r="B1093" s="1002" t="s">
        <v>281</v>
      </c>
      <c r="C1093" s="1002"/>
      <c r="D1093" s="1002"/>
      <c r="E1093" s="1002"/>
      <c r="F1093" s="1002"/>
      <c r="G1093" s="1002"/>
      <c r="H1093" s="1002"/>
      <c r="I1093"/>
      <c r="J1093"/>
    </row>
    <row r="1094" spans="1:10" s="186" customFormat="1" ht="15.75" x14ac:dyDescent="0.25">
      <c r="A1094" s="207" t="s">
        <v>2</v>
      </c>
      <c r="B1094" s="121" t="s">
        <v>282</v>
      </c>
      <c r="C1094" s="121" t="s">
        <v>4</v>
      </c>
      <c r="D1094" s="121" t="s">
        <v>5</v>
      </c>
      <c r="E1094" s="121" t="s">
        <v>6</v>
      </c>
      <c r="F1094" s="121" t="s">
        <v>7</v>
      </c>
      <c r="G1094" s="121" t="s">
        <v>283</v>
      </c>
      <c r="H1094" s="121" t="s">
        <v>9</v>
      </c>
      <c r="I1094" s="121" t="s">
        <v>96</v>
      </c>
      <c r="J1094" s="209" t="s">
        <v>97</v>
      </c>
    </row>
    <row r="1095" spans="1:10" s="186" customFormat="1" x14ac:dyDescent="0.25">
      <c r="A1095" s="210" t="s">
        <v>11</v>
      </c>
      <c r="B1095" s="189">
        <v>139</v>
      </c>
      <c r="C1095" s="189">
        <v>117</v>
      </c>
      <c r="D1095" s="189">
        <v>151</v>
      </c>
      <c r="E1095" s="190">
        <v>162</v>
      </c>
      <c r="F1095" s="190">
        <v>384</v>
      </c>
      <c r="G1095" s="190">
        <v>484</v>
      </c>
      <c r="H1095" s="190">
        <v>463</v>
      </c>
      <c r="I1095" s="190">
        <f>SUM(B1095:H1095)</f>
        <v>1900</v>
      </c>
      <c r="J1095" s="211">
        <f>+I1095/7</f>
        <v>271.42857142857144</v>
      </c>
    </row>
    <row r="1096" spans="1:10" s="186" customFormat="1" x14ac:dyDescent="0.25">
      <c r="A1096" s="212" t="s">
        <v>12</v>
      </c>
      <c r="B1096" s="11">
        <v>68</v>
      </c>
      <c r="C1096" s="11">
        <v>62</v>
      </c>
      <c r="D1096" s="11">
        <v>72</v>
      </c>
      <c r="E1096" s="11">
        <v>105</v>
      </c>
      <c r="F1096" s="11">
        <v>255</v>
      </c>
      <c r="G1096" s="11">
        <v>236</v>
      </c>
      <c r="H1096" s="11">
        <v>218</v>
      </c>
      <c r="I1096" s="11">
        <f>SUM('PEPE SIERRA '!$B1096:$H1096)</f>
        <v>1016</v>
      </c>
      <c r="J1096" s="60">
        <f t="shared" ref="J1096:J1101" si="522">I1096/7</f>
        <v>145.14285714285714</v>
      </c>
    </row>
    <row r="1097" spans="1:10" s="186" customFormat="1" x14ac:dyDescent="0.25">
      <c r="A1097" s="212" t="s">
        <v>13</v>
      </c>
      <c r="B1097" s="11">
        <v>1</v>
      </c>
      <c r="C1097" s="11">
        <v>3</v>
      </c>
      <c r="D1097" s="11">
        <v>2</v>
      </c>
      <c r="E1097" s="11">
        <v>3</v>
      </c>
      <c r="F1097" s="11">
        <v>3</v>
      </c>
      <c r="G1097" s="11">
        <v>13</v>
      </c>
      <c r="H1097" s="11">
        <v>2</v>
      </c>
      <c r="I1097" s="11">
        <f>SUM('PEPE SIERRA '!$B1097:$H1097)</f>
        <v>27</v>
      </c>
      <c r="J1097" s="60">
        <f t="shared" si="522"/>
        <v>3.8571428571428572</v>
      </c>
    </row>
    <row r="1098" spans="1:10" s="186" customFormat="1" x14ac:dyDescent="0.25">
      <c r="A1098" s="212" t="s">
        <v>14</v>
      </c>
      <c r="B1098" s="11">
        <v>43</v>
      </c>
      <c r="C1098" s="11">
        <v>37</v>
      </c>
      <c r="D1098" s="11">
        <v>42</v>
      </c>
      <c r="E1098" s="11">
        <v>27</v>
      </c>
      <c r="F1098" s="11">
        <v>60</v>
      </c>
      <c r="G1098" s="11">
        <v>76</v>
      </c>
      <c r="H1098" s="86">
        <v>76</v>
      </c>
      <c r="I1098" s="11">
        <f>SUM('PEPE SIERRA '!$B1098:$H1098)</f>
        <v>361</v>
      </c>
      <c r="J1098" s="60">
        <f t="shared" si="522"/>
        <v>51.571428571428569</v>
      </c>
    </row>
    <row r="1099" spans="1:10" s="186" customFormat="1" x14ac:dyDescent="0.25">
      <c r="A1099" s="212" t="s">
        <v>15</v>
      </c>
      <c r="B1099" s="11">
        <v>2</v>
      </c>
      <c r="C1099" s="11">
        <v>1</v>
      </c>
      <c r="D1099" s="11">
        <v>2</v>
      </c>
      <c r="E1099" s="11">
        <v>4</v>
      </c>
      <c r="F1099" s="11">
        <v>6</v>
      </c>
      <c r="G1099" s="11">
        <v>13</v>
      </c>
      <c r="H1099" s="11">
        <v>3</v>
      </c>
      <c r="I1099" s="11">
        <f>SUM('PEPE SIERRA '!$B1099:$H1099)</f>
        <v>31</v>
      </c>
      <c r="J1099" s="60">
        <f t="shared" si="522"/>
        <v>4.4285714285714288</v>
      </c>
    </row>
    <row r="1100" spans="1:10" s="186" customFormat="1" x14ac:dyDescent="0.25">
      <c r="A1100" s="212" t="s">
        <v>16</v>
      </c>
      <c r="B1100" s="11">
        <v>1</v>
      </c>
      <c r="C1100" s="11">
        <v>0</v>
      </c>
      <c r="D1100" s="11">
        <v>0</v>
      </c>
      <c r="E1100" s="11">
        <v>0</v>
      </c>
      <c r="F1100" s="11">
        <v>0</v>
      </c>
      <c r="G1100" s="11">
        <v>0</v>
      </c>
      <c r="H1100" s="11">
        <v>0</v>
      </c>
      <c r="I1100" s="11">
        <f>SUM('PEPE SIERRA '!$B1100:$H1100)</f>
        <v>1</v>
      </c>
      <c r="J1100" s="60">
        <f t="shared" si="522"/>
        <v>0.14285714285714285</v>
      </c>
    </row>
    <row r="1101" spans="1:10" s="186" customFormat="1" x14ac:dyDescent="0.25">
      <c r="A1101" s="213" t="s">
        <v>17</v>
      </c>
      <c r="B1101" s="192">
        <f>SUM(B1096:B1100)</f>
        <v>115</v>
      </c>
      <c r="C1101" s="192">
        <f t="shared" ref="C1101:I1101" si="523">SUM(C1096:C1100)</f>
        <v>103</v>
      </c>
      <c r="D1101" s="192">
        <f t="shared" si="523"/>
        <v>118</v>
      </c>
      <c r="E1101" s="192">
        <f t="shared" si="523"/>
        <v>139</v>
      </c>
      <c r="F1101" s="192">
        <f t="shared" si="523"/>
        <v>324</v>
      </c>
      <c r="G1101" s="192">
        <f t="shared" si="523"/>
        <v>338</v>
      </c>
      <c r="H1101" s="192">
        <f t="shared" si="523"/>
        <v>299</v>
      </c>
      <c r="I1101" s="192">
        <f t="shared" si="523"/>
        <v>1436</v>
      </c>
      <c r="J1101" s="214">
        <f t="shared" si="522"/>
        <v>205.14285714285714</v>
      </c>
    </row>
    <row r="1102" spans="1:10" s="186" customFormat="1" x14ac:dyDescent="0.25">
      <c r="A1102" s="212" t="s">
        <v>18</v>
      </c>
      <c r="B1102" s="30">
        <v>0.65</v>
      </c>
      <c r="C1102" s="30">
        <v>0.66</v>
      </c>
      <c r="D1102" s="30">
        <v>0.68</v>
      </c>
      <c r="E1102" s="30">
        <v>0.8</v>
      </c>
      <c r="F1102" s="30">
        <v>0.83</v>
      </c>
      <c r="G1102" s="30">
        <v>0.74</v>
      </c>
      <c r="H1102" s="30">
        <v>0.76</v>
      </c>
      <c r="I1102" s="30">
        <f>I1109/I1114</f>
        <v>0.75433226575462853</v>
      </c>
      <c r="J1102" s="160">
        <f>J1109/J1114</f>
        <v>0.75433226575462864</v>
      </c>
    </row>
    <row r="1103" spans="1:10" s="186" customFormat="1" x14ac:dyDescent="0.25">
      <c r="A1103" s="212" t="s">
        <v>19</v>
      </c>
      <c r="B1103" s="30">
        <v>0</v>
      </c>
      <c r="C1103" s="30">
        <v>0.03</v>
      </c>
      <c r="D1103" s="30">
        <v>0.01</v>
      </c>
      <c r="E1103" s="30">
        <v>0.01</v>
      </c>
      <c r="F1103" s="30">
        <v>0.01</v>
      </c>
      <c r="G1103" s="30">
        <v>0.05</v>
      </c>
      <c r="H1103" s="30">
        <v>0</v>
      </c>
      <c r="I1103" s="30">
        <f>I1110/I1114</f>
        <v>1.8205748005516269E-2</v>
      </c>
      <c r="J1103" s="160">
        <f>J1110/J1114</f>
        <v>1.8205748005516269E-2</v>
      </c>
    </row>
    <row r="1104" spans="1:10" s="186" customFormat="1" x14ac:dyDescent="0.25">
      <c r="A1104" s="212" t="s">
        <v>20</v>
      </c>
      <c r="B1104" s="30">
        <v>0.32</v>
      </c>
      <c r="C1104" s="30">
        <v>0.3</v>
      </c>
      <c r="D1104" s="30">
        <v>0.28999999999999998</v>
      </c>
      <c r="E1104" s="30">
        <v>0.17</v>
      </c>
      <c r="F1104" s="30">
        <v>0.14000000000000001</v>
      </c>
      <c r="G1104" s="30">
        <v>0.18</v>
      </c>
      <c r="H1104" s="30">
        <v>0.23</v>
      </c>
      <c r="I1104" s="30">
        <f>I1111/I1114</f>
        <v>0.20728957918535418</v>
      </c>
      <c r="J1104" s="160">
        <f>J1111/J1114</f>
        <v>0.20728957918535418</v>
      </c>
    </row>
    <row r="1105" spans="1:10" s="186" customFormat="1" x14ac:dyDescent="0.25">
      <c r="A1105" s="212" t="s">
        <v>21</v>
      </c>
      <c r="B1105" s="30">
        <v>0.01</v>
      </c>
      <c r="C1105" s="30">
        <v>0.01</v>
      </c>
      <c r="D1105" s="30">
        <v>0.02</v>
      </c>
      <c r="E1105" s="30">
        <v>0.02</v>
      </c>
      <c r="F1105" s="30">
        <v>0.02</v>
      </c>
      <c r="G1105" s="30">
        <v>0.03</v>
      </c>
      <c r="H1105" s="30">
        <v>0.01</v>
      </c>
      <c r="I1105" s="30">
        <f>I1112/I1114</f>
        <v>1.8827268426907264E-2</v>
      </c>
      <c r="J1105" s="160">
        <f>J1112/J1114</f>
        <v>1.8827268426907264E-2</v>
      </c>
    </row>
    <row r="1106" spans="1:10" s="186" customFormat="1" x14ac:dyDescent="0.25">
      <c r="A1106" s="212" t="s">
        <v>22</v>
      </c>
      <c r="B1106" s="30">
        <v>0.02</v>
      </c>
      <c r="C1106" s="30">
        <v>0</v>
      </c>
      <c r="D1106" s="30">
        <v>0</v>
      </c>
      <c r="E1106" s="30">
        <v>0</v>
      </c>
      <c r="F1106" s="30">
        <v>0</v>
      </c>
      <c r="G1106" s="30">
        <v>0</v>
      </c>
      <c r="H1106" s="30">
        <v>0</v>
      </c>
      <c r="I1106" s="30">
        <f>I1113/I1114</f>
        <v>1.3451386275937158E-3</v>
      </c>
      <c r="J1106" s="160">
        <f>J1113/J1114</f>
        <v>1.345138627593716E-3</v>
      </c>
    </row>
    <row r="1107" spans="1:10" s="186" customFormat="1" x14ac:dyDescent="0.25">
      <c r="A1107" s="215" t="s">
        <v>23</v>
      </c>
      <c r="B1107" s="66">
        <f t="shared" ref="B1107:J1107" si="524">B1118/B1101</f>
        <v>34769.565217391311</v>
      </c>
      <c r="C1107" s="66">
        <f t="shared" si="524"/>
        <v>31721.359223300977</v>
      </c>
      <c r="D1107" s="66">
        <f t="shared" si="524"/>
        <v>35900.847457627118</v>
      </c>
      <c r="E1107" s="66">
        <f t="shared" si="524"/>
        <v>37837.410071942446</v>
      </c>
      <c r="F1107" s="66">
        <f t="shared" si="524"/>
        <v>38476.543209876552</v>
      </c>
      <c r="G1107" s="66">
        <f t="shared" si="524"/>
        <v>45186.094674556218</v>
      </c>
      <c r="H1107" s="66">
        <f t="shared" si="524"/>
        <v>50042.474916387961</v>
      </c>
      <c r="I1107" s="66">
        <f t="shared" si="524"/>
        <v>41409.1225626741</v>
      </c>
      <c r="J1107" s="67">
        <f t="shared" si="524"/>
        <v>41409.1225626741</v>
      </c>
    </row>
    <row r="1108" spans="1:10" s="186" customFormat="1" x14ac:dyDescent="0.25">
      <c r="A1108" s="215" t="s">
        <v>24</v>
      </c>
      <c r="B1108" s="66">
        <f t="shared" ref="B1108:I1108" si="525">+B1118/B1095</f>
        <v>28766.187050359717</v>
      </c>
      <c r="C1108" s="66">
        <f t="shared" si="525"/>
        <v>27925.641025641031</v>
      </c>
      <c r="D1108" s="66">
        <f t="shared" si="525"/>
        <v>28054.96688741722</v>
      </c>
      <c r="E1108" s="66">
        <f t="shared" si="525"/>
        <v>32465.432098765432</v>
      </c>
      <c r="F1108" s="66">
        <f t="shared" si="525"/>
        <v>32464.583333333339</v>
      </c>
      <c r="G1108" s="66">
        <f t="shared" si="525"/>
        <v>31555.5785123967</v>
      </c>
      <c r="H1108" s="66">
        <f t="shared" si="525"/>
        <v>32316.846652267817</v>
      </c>
      <c r="I1108" s="66">
        <f t="shared" si="525"/>
        <v>31296.578947368424</v>
      </c>
      <c r="J1108" s="67">
        <f>J1118/J1095</f>
        <v>31296.57894736842</v>
      </c>
    </row>
    <row r="1109" spans="1:10" s="186" customFormat="1" x14ac:dyDescent="0.25">
      <c r="A1109" s="212" t="s">
        <v>25</v>
      </c>
      <c r="B1109" s="92">
        <f t="shared" ref="B1109:H1109" si="526">B1114*B1102</f>
        <v>2145287.7931034486</v>
      </c>
      <c r="C1109" s="92">
        <f t="shared" si="526"/>
        <v>1770798.4344827589</v>
      </c>
      <c r="D1109" s="92">
        <f t="shared" si="526"/>
        <v>2377839.4758620695</v>
      </c>
      <c r="E1109" s="92">
        <f t="shared" si="526"/>
        <v>3446152.4137931038</v>
      </c>
      <c r="F1109" s="92">
        <f t="shared" si="526"/>
        <v>8463818.3879310358</v>
      </c>
      <c r="G1109" s="31">
        <f t="shared" si="526"/>
        <v>9366707.6965517253</v>
      </c>
      <c r="H1109" s="31">
        <f t="shared" si="526"/>
        <v>9446107.8758620694</v>
      </c>
      <c r="I1109" s="31">
        <f t="shared" ref="I1109:I1114" si="527">SUM(B1109:H1109)</f>
        <v>37016712.077586211</v>
      </c>
      <c r="J1109" s="32">
        <f t="shared" ref="J1109:J1118" si="528">I1109/7</f>
        <v>5288101.725369459</v>
      </c>
    </row>
    <row r="1110" spans="1:10" s="186" customFormat="1" x14ac:dyDescent="0.25">
      <c r="A1110" s="212" t="s">
        <v>26</v>
      </c>
      <c r="B1110" s="92">
        <f t="shared" ref="B1110:H1110" si="529">B1114*B1103</f>
        <v>0</v>
      </c>
      <c r="C1110" s="92">
        <f t="shared" si="529"/>
        <v>80490.83793103449</v>
      </c>
      <c r="D1110" s="92">
        <f t="shared" si="529"/>
        <v>34968.2275862069</v>
      </c>
      <c r="E1110" s="92">
        <f t="shared" si="529"/>
        <v>43076.90517241379</v>
      </c>
      <c r="F1110" s="92">
        <f t="shared" si="529"/>
        <v>101973.71551724139</v>
      </c>
      <c r="G1110" s="31">
        <f t="shared" si="529"/>
        <v>632885.65517241391</v>
      </c>
      <c r="H1110" s="31">
        <f t="shared" si="529"/>
        <v>0</v>
      </c>
      <c r="I1110" s="31">
        <f t="shared" si="527"/>
        <v>893395.34137931047</v>
      </c>
      <c r="J1110" s="32">
        <f t="shared" si="528"/>
        <v>127627.90591133006</v>
      </c>
    </row>
    <row r="1111" spans="1:10" s="186" customFormat="1" x14ac:dyDescent="0.25">
      <c r="A1111" s="212" t="s">
        <v>27</v>
      </c>
      <c r="B1111" s="92">
        <f t="shared" ref="B1111:H1111" si="530">B1114*B1104</f>
        <v>1056141.6827586209</v>
      </c>
      <c r="C1111" s="92">
        <f t="shared" si="530"/>
        <v>804908.37931034493</v>
      </c>
      <c r="D1111" s="92">
        <f t="shared" si="530"/>
        <v>1014078.6000000001</v>
      </c>
      <c r="E1111" s="92">
        <f t="shared" si="530"/>
        <v>732307.38793103455</v>
      </c>
      <c r="F1111" s="92">
        <f t="shared" si="530"/>
        <v>1427632.0172413797</v>
      </c>
      <c r="G1111" s="31">
        <f t="shared" si="530"/>
        <v>2278388.3586206897</v>
      </c>
      <c r="H1111" s="31">
        <f t="shared" si="530"/>
        <v>2858690.5413793107</v>
      </c>
      <c r="I1111" s="31">
        <f t="shared" si="527"/>
        <v>10172146.96724138</v>
      </c>
      <c r="J1111" s="32">
        <f t="shared" si="528"/>
        <v>1453163.8524630542</v>
      </c>
    </row>
    <row r="1112" spans="1:10" s="186" customFormat="1" x14ac:dyDescent="0.25">
      <c r="A1112" s="212" t="s">
        <v>28</v>
      </c>
      <c r="B1112" s="92">
        <f t="shared" ref="B1112:H1112" si="531">B1114*B1105</f>
        <v>33004.427586206904</v>
      </c>
      <c r="C1112" s="92">
        <f t="shared" si="531"/>
        <v>26830.279310344831</v>
      </c>
      <c r="D1112" s="92">
        <f t="shared" si="531"/>
        <v>69936.4551724138</v>
      </c>
      <c r="E1112" s="92">
        <f t="shared" si="531"/>
        <v>86153.81034482758</v>
      </c>
      <c r="F1112" s="92">
        <f t="shared" si="531"/>
        <v>203947.43103448278</v>
      </c>
      <c r="G1112" s="31">
        <f t="shared" si="531"/>
        <v>379731.39310344832</v>
      </c>
      <c r="H1112" s="31">
        <f t="shared" si="531"/>
        <v>124290.89310344828</v>
      </c>
      <c r="I1112" s="31">
        <f t="shared" si="527"/>
        <v>923894.68965517252</v>
      </c>
      <c r="J1112" s="32">
        <f t="shared" si="528"/>
        <v>131984.95566502464</v>
      </c>
    </row>
    <row r="1113" spans="1:10" s="186" customFormat="1" x14ac:dyDescent="0.25">
      <c r="A1113" s="212" t="s">
        <v>29</v>
      </c>
      <c r="B1113" s="92">
        <f>B1114*B1106</f>
        <v>66008.855172413809</v>
      </c>
      <c r="C1113" s="92">
        <f t="shared" ref="C1113:H1113" si="532">C1114*C1106</f>
        <v>0</v>
      </c>
      <c r="D1113" s="92">
        <f t="shared" si="532"/>
        <v>0</v>
      </c>
      <c r="E1113" s="92">
        <f t="shared" si="532"/>
        <v>0</v>
      </c>
      <c r="F1113" s="92">
        <f t="shared" si="532"/>
        <v>0</v>
      </c>
      <c r="G1113" s="31">
        <f t="shared" si="532"/>
        <v>0</v>
      </c>
      <c r="H1113" s="31">
        <f t="shared" si="532"/>
        <v>0</v>
      </c>
      <c r="I1113" s="31">
        <f t="shared" si="527"/>
        <v>66008.855172413809</v>
      </c>
      <c r="J1113" s="32">
        <f t="shared" si="528"/>
        <v>9429.8364532019732</v>
      </c>
    </row>
    <row r="1114" spans="1:10" s="186" customFormat="1" x14ac:dyDescent="0.25">
      <c r="A1114" s="216" t="s">
        <v>30</v>
      </c>
      <c r="B1114" s="222">
        <f>(3998500/1.16)-B1115</f>
        <v>3300442.7586206901</v>
      </c>
      <c r="C1114" s="222">
        <f>(3267300/1.16)-C1115</f>
        <v>2683027.931034483</v>
      </c>
      <c r="D1114" s="222">
        <f>(4236300/1.16)-D1115</f>
        <v>3496822.7586206901</v>
      </c>
      <c r="E1114" s="222">
        <f>(5259400/1.16)-E1115</f>
        <v>4307690.5172413792</v>
      </c>
      <c r="F1114" s="222">
        <f>(12466400/1.16)-F1115</f>
        <v>10197371.55172414</v>
      </c>
      <c r="G1114" s="222">
        <f>(15272900/1.16)-G1115</f>
        <v>12657713.103448277</v>
      </c>
      <c r="H1114" s="222">
        <f>(14962700/1.16)-H1115</f>
        <v>12429089.310344828</v>
      </c>
      <c r="I1114" s="197">
        <f t="shared" si="527"/>
        <v>49072157.93103449</v>
      </c>
      <c r="J1114" s="217">
        <f t="shared" si="528"/>
        <v>7010308.2758620698</v>
      </c>
    </row>
    <row r="1115" spans="1:10" s="186" customFormat="1" x14ac:dyDescent="0.25">
      <c r="A1115" s="212" t="s">
        <v>31</v>
      </c>
      <c r="B1115" s="92">
        <f t="shared" ref="B1115:I1115" si="533">2155*B1096</f>
        <v>146540</v>
      </c>
      <c r="C1115" s="92">
        <f t="shared" si="533"/>
        <v>133610</v>
      </c>
      <c r="D1115" s="92">
        <f t="shared" si="533"/>
        <v>155160</v>
      </c>
      <c r="E1115" s="92">
        <f t="shared" si="533"/>
        <v>226275</v>
      </c>
      <c r="F1115" s="92">
        <f t="shared" si="533"/>
        <v>549525</v>
      </c>
      <c r="G1115" s="31">
        <f t="shared" si="533"/>
        <v>508580</v>
      </c>
      <c r="H1115" s="31">
        <f t="shared" si="533"/>
        <v>469790</v>
      </c>
      <c r="I1115" s="31">
        <f t="shared" si="533"/>
        <v>2189480</v>
      </c>
      <c r="J1115" s="32">
        <f t="shared" si="528"/>
        <v>312782.85714285716</v>
      </c>
    </row>
    <row r="1116" spans="1:10" s="186" customFormat="1" x14ac:dyDescent="0.25">
      <c r="A1116" s="218" t="s">
        <v>32</v>
      </c>
      <c r="B1116" s="199">
        <f>B1115+B1114</f>
        <v>3446982.7586206901</v>
      </c>
      <c r="C1116" s="199">
        <f>C1115+C1114</f>
        <v>2816637.931034483</v>
      </c>
      <c r="D1116" s="199">
        <f>D1115+D1114</f>
        <v>3651982.7586206901</v>
      </c>
      <c r="E1116" s="199">
        <f>E1115+E1114</f>
        <v>4533965.5172413792</v>
      </c>
      <c r="F1116" s="199">
        <f>F1114+F1115</f>
        <v>10746896.55172414</v>
      </c>
      <c r="G1116" s="199">
        <f>G1115+G1114</f>
        <v>13166293.103448277</v>
      </c>
      <c r="H1116" s="199">
        <f>H1115+H1114</f>
        <v>12898879.310344828</v>
      </c>
      <c r="I1116" s="199">
        <f>I1114+I1115</f>
        <v>51261637.93103449</v>
      </c>
      <c r="J1116" s="219">
        <f t="shared" si="528"/>
        <v>7323091.1330049271</v>
      </c>
    </row>
    <row r="1117" spans="1:10" s="186" customFormat="1" x14ac:dyDescent="0.25">
      <c r="A1117" s="212" t="s">
        <v>33</v>
      </c>
      <c r="B1117" s="94">
        <f>B1116*16%</f>
        <v>551517.24137931038</v>
      </c>
      <c r="C1117" s="94">
        <f t="shared" ref="C1117:H1117" si="534">C1116*16%</f>
        <v>450662.06896551728</v>
      </c>
      <c r="D1117" s="94">
        <f t="shared" si="534"/>
        <v>584317.24137931038</v>
      </c>
      <c r="E1117" s="94">
        <f t="shared" si="534"/>
        <v>725434.48275862064</v>
      </c>
      <c r="F1117" s="94">
        <f t="shared" si="534"/>
        <v>1719503.4482758623</v>
      </c>
      <c r="G1117" s="94">
        <f t="shared" si="534"/>
        <v>2106606.8965517245</v>
      </c>
      <c r="H1117" s="94">
        <f t="shared" si="534"/>
        <v>2063820.6896551726</v>
      </c>
      <c r="I1117" s="94">
        <f>I1116*16%</f>
        <v>8201862.0689655188</v>
      </c>
      <c r="J1117" s="32">
        <f t="shared" si="528"/>
        <v>1171694.5812807884</v>
      </c>
    </row>
    <row r="1118" spans="1:10" s="186" customFormat="1" x14ac:dyDescent="0.25">
      <c r="A1118" s="220" t="s">
        <v>34</v>
      </c>
      <c r="B1118" s="202">
        <f>B1116+B1117</f>
        <v>3998500.0000000005</v>
      </c>
      <c r="C1118" s="202">
        <f t="shared" ref="C1118:H1118" si="535">C1116+C1117</f>
        <v>3267300.0000000005</v>
      </c>
      <c r="D1118" s="202">
        <f t="shared" si="535"/>
        <v>4236300</v>
      </c>
      <c r="E1118" s="202">
        <f t="shared" si="535"/>
        <v>5259400</v>
      </c>
      <c r="F1118" s="202">
        <f t="shared" si="535"/>
        <v>12466400.000000002</v>
      </c>
      <c r="G1118" s="202">
        <f t="shared" si="535"/>
        <v>15272900.000000002</v>
      </c>
      <c r="H1118" s="202">
        <f t="shared" si="535"/>
        <v>14962700</v>
      </c>
      <c r="I1118" s="202">
        <f>I1116+I1117</f>
        <v>59463500.000000007</v>
      </c>
      <c r="J1118" s="221">
        <f t="shared" si="528"/>
        <v>8494785.7142857146</v>
      </c>
    </row>
    <row r="1119" spans="1:10" s="186" customFormat="1" ht="15.75" thickBot="1" x14ac:dyDescent="0.3">
      <c r="A1119" s="204"/>
      <c r="B1119" s="112"/>
      <c r="C1119" s="112"/>
      <c r="D1119" s="112"/>
      <c r="E1119" s="112"/>
      <c r="F1119" s="112"/>
      <c r="G1119" s="112"/>
      <c r="H1119" s="112"/>
      <c r="I1119" s="112"/>
      <c r="J1119" s="205"/>
    </row>
    <row r="1120" spans="1:10" s="186" customFormat="1" ht="26.25" x14ac:dyDescent="0.25">
      <c r="A1120"/>
      <c r="B1120" s="1002" t="s">
        <v>284</v>
      </c>
      <c r="C1120" s="1002"/>
      <c r="D1120" s="1002"/>
      <c r="E1120" s="1002"/>
      <c r="F1120" s="1002"/>
      <c r="G1120" s="1002"/>
      <c r="H1120" s="1002"/>
      <c r="I1120"/>
      <c r="J1120"/>
    </row>
    <row r="1121" spans="1:10" s="186" customFormat="1" ht="15.75" x14ac:dyDescent="0.25">
      <c r="A1121" s="207" t="s">
        <v>2</v>
      </c>
      <c r="B1121" s="121" t="s">
        <v>285</v>
      </c>
      <c r="C1121" s="121" t="s">
        <v>37</v>
      </c>
      <c r="D1121" s="121" t="s">
        <v>286</v>
      </c>
      <c r="E1121" s="121" t="s">
        <v>39</v>
      </c>
      <c r="F1121" s="121" t="s">
        <v>40</v>
      </c>
      <c r="G1121" s="121" t="s">
        <v>287</v>
      </c>
      <c r="H1121" s="121" t="s">
        <v>42</v>
      </c>
      <c r="I1121" s="121" t="s">
        <v>96</v>
      </c>
      <c r="J1121" s="209" t="s">
        <v>97</v>
      </c>
    </row>
    <row r="1122" spans="1:10" s="186" customFormat="1" x14ac:dyDescent="0.25">
      <c r="A1122" s="210" t="s">
        <v>11</v>
      </c>
      <c r="B1122" s="189">
        <v>110</v>
      </c>
      <c r="C1122" s="189">
        <v>175</v>
      </c>
      <c r="D1122" s="189">
        <v>168</v>
      </c>
      <c r="E1122" s="190">
        <v>174</v>
      </c>
      <c r="F1122" s="190">
        <v>413</v>
      </c>
      <c r="G1122" s="190">
        <v>525</v>
      </c>
      <c r="H1122" s="190">
        <v>447</v>
      </c>
      <c r="I1122" s="190">
        <f>SUM(B1122:H1122)</f>
        <v>2012</v>
      </c>
      <c r="J1122" s="211">
        <f>+I1122/7</f>
        <v>287.42857142857144</v>
      </c>
    </row>
    <row r="1123" spans="1:10" s="186" customFormat="1" x14ac:dyDescent="0.25">
      <c r="A1123" s="212" t="s">
        <v>12</v>
      </c>
      <c r="B1123" s="11">
        <v>57</v>
      </c>
      <c r="C1123" s="11">
        <v>92</v>
      </c>
      <c r="D1123" s="11">
        <v>101</v>
      </c>
      <c r="E1123" s="11">
        <v>97</v>
      </c>
      <c r="F1123" s="11">
        <v>213</v>
      </c>
      <c r="G1123" s="11">
        <v>177</v>
      </c>
      <c r="H1123" s="11">
        <v>250</v>
      </c>
      <c r="I1123" s="11">
        <f>SUM('PEPE SIERRA '!$B1123:$H1123)</f>
        <v>987</v>
      </c>
      <c r="J1123" s="60">
        <f t="shared" ref="J1123:J1128" si="536">I1123/7</f>
        <v>141</v>
      </c>
    </row>
    <row r="1124" spans="1:10" s="186" customFormat="1" x14ac:dyDescent="0.25">
      <c r="A1124" s="212" t="s">
        <v>13</v>
      </c>
      <c r="B1124" s="11">
        <v>2</v>
      </c>
      <c r="C1124" s="11">
        <v>1</v>
      </c>
      <c r="D1124" s="11">
        <v>1</v>
      </c>
      <c r="E1124" s="11">
        <v>1</v>
      </c>
      <c r="F1124" s="11">
        <v>6</v>
      </c>
      <c r="G1124" s="11">
        <v>7</v>
      </c>
      <c r="H1124" s="11">
        <v>8</v>
      </c>
      <c r="I1124" s="11">
        <f>SUM('PEPE SIERRA '!$B1124:$H1124)</f>
        <v>26</v>
      </c>
      <c r="J1124" s="60">
        <f t="shared" si="536"/>
        <v>3.7142857142857144</v>
      </c>
    </row>
    <row r="1125" spans="1:10" s="186" customFormat="1" x14ac:dyDescent="0.25">
      <c r="A1125" s="212" t="s">
        <v>14</v>
      </c>
      <c r="B1125" s="11">
        <v>32</v>
      </c>
      <c r="C1125" s="11">
        <v>34</v>
      </c>
      <c r="D1125" s="11">
        <v>32</v>
      </c>
      <c r="E1125" s="11">
        <v>37</v>
      </c>
      <c r="F1125" s="11">
        <v>69</v>
      </c>
      <c r="G1125" s="11">
        <v>60</v>
      </c>
      <c r="H1125" s="86">
        <v>64</v>
      </c>
      <c r="I1125" s="11">
        <f>SUM('PEPE SIERRA '!$B1125:$H1125)</f>
        <v>328</v>
      </c>
      <c r="J1125" s="60">
        <f t="shared" si="536"/>
        <v>46.857142857142854</v>
      </c>
    </row>
    <row r="1126" spans="1:10" s="186" customFormat="1" x14ac:dyDescent="0.25">
      <c r="A1126" s="212" t="s">
        <v>15</v>
      </c>
      <c r="B1126" s="11">
        <v>5</v>
      </c>
      <c r="C1126" s="11">
        <v>5</v>
      </c>
      <c r="D1126" s="11">
        <v>3</v>
      </c>
      <c r="E1126" s="11">
        <v>0</v>
      </c>
      <c r="F1126" s="11">
        <v>19</v>
      </c>
      <c r="G1126" s="11">
        <v>30</v>
      </c>
      <c r="H1126" s="11">
        <v>19</v>
      </c>
      <c r="I1126" s="11">
        <f>SUM('PEPE SIERRA '!$B1126:$H1126)</f>
        <v>81</v>
      </c>
      <c r="J1126" s="60">
        <f t="shared" si="536"/>
        <v>11.571428571428571</v>
      </c>
    </row>
    <row r="1127" spans="1:10" s="186" customFormat="1" x14ac:dyDescent="0.25">
      <c r="A1127" s="212" t="s">
        <v>16</v>
      </c>
      <c r="B1127" s="11">
        <v>0</v>
      </c>
      <c r="C1127" s="11">
        <v>1</v>
      </c>
      <c r="D1127" s="11">
        <v>1</v>
      </c>
      <c r="E1127" s="11">
        <v>0</v>
      </c>
      <c r="F1127" s="11">
        <v>0</v>
      </c>
      <c r="G1127" s="11">
        <v>0</v>
      </c>
      <c r="H1127" s="11">
        <v>0</v>
      </c>
      <c r="I1127" s="11">
        <f>SUM('PEPE SIERRA '!$B1127:$H1127)</f>
        <v>2</v>
      </c>
      <c r="J1127" s="60">
        <f t="shared" si="536"/>
        <v>0.2857142857142857</v>
      </c>
    </row>
    <row r="1128" spans="1:10" s="186" customFormat="1" x14ac:dyDescent="0.25">
      <c r="A1128" s="213" t="s">
        <v>17</v>
      </c>
      <c r="B1128" s="192">
        <f>SUM(B1123:B1127)</f>
        <v>96</v>
      </c>
      <c r="C1128" s="192">
        <f t="shared" ref="C1128:I1128" si="537">SUM(C1123:C1127)</f>
        <v>133</v>
      </c>
      <c r="D1128" s="192">
        <f t="shared" si="537"/>
        <v>138</v>
      </c>
      <c r="E1128" s="192">
        <f t="shared" si="537"/>
        <v>135</v>
      </c>
      <c r="F1128" s="192">
        <f t="shared" si="537"/>
        <v>307</v>
      </c>
      <c r="G1128" s="192">
        <f t="shared" si="537"/>
        <v>274</v>
      </c>
      <c r="H1128" s="192">
        <f t="shared" si="537"/>
        <v>341</v>
      </c>
      <c r="I1128" s="192">
        <f t="shared" si="537"/>
        <v>1424</v>
      </c>
      <c r="J1128" s="214">
        <f t="shared" si="536"/>
        <v>203.42857142857142</v>
      </c>
    </row>
    <row r="1129" spans="1:10" s="186" customFormat="1" x14ac:dyDescent="0.25">
      <c r="A1129" s="212" t="s">
        <v>18</v>
      </c>
      <c r="B1129" s="30">
        <v>0.65</v>
      </c>
      <c r="C1129" s="30">
        <v>0.74</v>
      </c>
      <c r="D1129" s="30">
        <v>0.79</v>
      </c>
      <c r="E1129" s="30">
        <v>0.82</v>
      </c>
      <c r="F1129" s="30">
        <v>0.76</v>
      </c>
      <c r="G1129" s="30">
        <v>0.67</v>
      </c>
      <c r="H1129" s="30">
        <v>0.76</v>
      </c>
      <c r="I1129" s="30">
        <f>I1136/I1141</f>
        <v>0.73524696021337388</v>
      </c>
      <c r="J1129" s="160">
        <f>J1136/J1141</f>
        <v>0.73524696021337377</v>
      </c>
    </row>
    <row r="1130" spans="1:10" s="186" customFormat="1" x14ac:dyDescent="0.25">
      <c r="A1130" s="212" t="s">
        <v>19</v>
      </c>
      <c r="B1130" s="30">
        <v>0.02</v>
      </c>
      <c r="C1130" s="30">
        <v>0.01</v>
      </c>
      <c r="D1130" s="30">
        <v>0.01</v>
      </c>
      <c r="E1130" s="30">
        <v>0</v>
      </c>
      <c r="F1130" s="30">
        <v>0.01</v>
      </c>
      <c r="G1130" s="30">
        <v>0.04</v>
      </c>
      <c r="H1130" s="30">
        <v>0.02</v>
      </c>
      <c r="I1130" s="30">
        <f>I1137/I1141</f>
        <v>2.0137751635392807E-2</v>
      </c>
      <c r="J1130" s="160">
        <f>J1137/J1141</f>
        <v>2.0137751635392807E-2</v>
      </c>
    </row>
    <row r="1131" spans="1:10" s="186" customFormat="1" x14ac:dyDescent="0.25">
      <c r="A1131" s="212" t="s">
        <v>20</v>
      </c>
      <c r="B1131" s="30">
        <v>0.26</v>
      </c>
      <c r="C1131" s="30">
        <v>0.21</v>
      </c>
      <c r="D1131" s="30">
        <v>0.17</v>
      </c>
      <c r="E1131" s="30">
        <v>0.18</v>
      </c>
      <c r="F1131" s="30">
        <v>0.18</v>
      </c>
      <c r="G1131" s="30">
        <v>0.19</v>
      </c>
      <c r="H1131" s="30">
        <v>0.17</v>
      </c>
      <c r="I1131" s="30">
        <f>I1138/I1141</f>
        <v>0.18633932952929497</v>
      </c>
      <c r="J1131" s="160">
        <f>J1138/J1141</f>
        <v>0.18633932952929494</v>
      </c>
    </row>
    <row r="1132" spans="1:10" s="186" customFormat="1" x14ac:dyDescent="0.25">
      <c r="A1132" s="212" t="s">
        <v>21</v>
      </c>
      <c r="B1132" s="30">
        <v>7.0000000000000007E-2</v>
      </c>
      <c r="C1132" s="30">
        <v>0.03</v>
      </c>
      <c r="D1132" s="30">
        <v>0.02</v>
      </c>
      <c r="E1132" s="30">
        <v>0</v>
      </c>
      <c r="F1132" s="30">
        <v>0.05</v>
      </c>
      <c r="G1132" s="30">
        <v>0.1</v>
      </c>
      <c r="H1132" s="30">
        <v>0.05</v>
      </c>
      <c r="I1132" s="30">
        <f>I1139/I1141</f>
        <v>5.6683260428765106E-2</v>
      </c>
      <c r="J1132" s="160">
        <f>J1139/J1141</f>
        <v>5.6683260428765099E-2</v>
      </c>
    </row>
    <row r="1133" spans="1:10" s="186" customFormat="1" x14ac:dyDescent="0.25">
      <c r="A1133" s="212" t="s">
        <v>22</v>
      </c>
      <c r="B1133" s="30">
        <v>0</v>
      </c>
      <c r="C1133" s="30">
        <v>0.01</v>
      </c>
      <c r="D1133" s="30">
        <v>0.01</v>
      </c>
      <c r="E1133" s="30">
        <v>0</v>
      </c>
      <c r="F1133" s="30">
        <v>0</v>
      </c>
      <c r="G1133" s="30">
        <v>0</v>
      </c>
      <c r="H1133" s="30">
        <v>0</v>
      </c>
      <c r="I1133" s="30">
        <f>I1140/I1141</f>
        <v>1.5926981931733298E-3</v>
      </c>
      <c r="J1133" s="160">
        <f>J1140/J1141</f>
        <v>1.5926981931733296E-3</v>
      </c>
    </row>
    <row r="1134" spans="1:10" s="186" customFormat="1" x14ac:dyDescent="0.25">
      <c r="A1134" s="215" t="s">
        <v>23</v>
      </c>
      <c r="B1134" s="66">
        <f t="shared" ref="B1134:J1134" si="538">B1145/B1128</f>
        <v>32486.458333333332</v>
      </c>
      <c r="C1134" s="66">
        <f t="shared" si="538"/>
        <v>37151.12781954887</v>
      </c>
      <c r="D1134" s="66">
        <f t="shared" si="538"/>
        <v>34210.869565217392</v>
      </c>
      <c r="E1134" s="66">
        <f t="shared" si="538"/>
        <v>36860.000000000007</v>
      </c>
      <c r="F1134" s="66">
        <f t="shared" si="538"/>
        <v>41423.452768729643</v>
      </c>
      <c r="G1134" s="66">
        <f t="shared" si="538"/>
        <v>59325.547445255477</v>
      </c>
      <c r="H1134" s="66">
        <f t="shared" si="538"/>
        <v>39221.40762463343</v>
      </c>
      <c r="I1134" s="66">
        <f t="shared" si="538"/>
        <v>42207.654494382026</v>
      </c>
      <c r="J1134" s="67">
        <f t="shared" si="538"/>
        <v>42207.654494382034</v>
      </c>
    </row>
    <row r="1135" spans="1:10" s="186" customFormat="1" x14ac:dyDescent="0.25">
      <c r="A1135" s="215" t="s">
        <v>24</v>
      </c>
      <c r="B1135" s="66">
        <f t="shared" ref="B1135:I1135" si="539">+B1145/B1122</f>
        <v>28351.81818181818</v>
      </c>
      <c r="C1135" s="66">
        <f t="shared" si="539"/>
        <v>28234.857142857141</v>
      </c>
      <c r="D1135" s="66">
        <f t="shared" si="539"/>
        <v>28101.785714285714</v>
      </c>
      <c r="E1135" s="66">
        <f t="shared" si="539"/>
        <v>28598.275862068971</v>
      </c>
      <c r="F1135" s="66">
        <f t="shared" si="539"/>
        <v>30791.767554479418</v>
      </c>
      <c r="G1135" s="66">
        <f t="shared" si="539"/>
        <v>30962.285714285714</v>
      </c>
      <c r="H1135" s="66">
        <f t="shared" si="539"/>
        <v>29920.581655480983</v>
      </c>
      <c r="I1135" s="66">
        <f t="shared" si="539"/>
        <v>29872.614314115312</v>
      </c>
      <c r="J1135" s="67">
        <f>J1145/J1122</f>
        <v>29872.614314115312</v>
      </c>
    </row>
    <row r="1136" spans="1:10" s="186" customFormat="1" x14ac:dyDescent="0.25">
      <c r="A1136" s="212" t="s">
        <v>25</v>
      </c>
      <c r="B1136" s="92">
        <f t="shared" ref="B1136:H1136" si="540">B1141*B1129</f>
        <v>1667704.6637931035</v>
      </c>
      <c r="C1136" s="92">
        <f t="shared" si="540"/>
        <v>3005368.6344827586</v>
      </c>
      <c r="D1136" s="92">
        <f t="shared" si="540"/>
        <v>3043284.4465517243</v>
      </c>
      <c r="E1136" s="92">
        <f t="shared" si="540"/>
        <v>3346179.2310344828</v>
      </c>
      <c r="F1136" s="92">
        <f t="shared" si="540"/>
        <v>7982976.1862068968</v>
      </c>
      <c r="G1136" s="31">
        <f t="shared" si="540"/>
        <v>9133217.860344829</v>
      </c>
      <c r="H1136" s="31">
        <f t="shared" si="540"/>
        <v>8353153.4482758623</v>
      </c>
      <c r="I1136" s="31">
        <f t="shared" ref="I1136:I1141" si="541">SUM(B1136:H1136)</f>
        <v>36531884.470689662</v>
      </c>
      <c r="J1136" s="32">
        <f t="shared" ref="J1136:J1145" si="542">I1136/7</f>
        <v>5218840.6386699518</v>
      </c>
    </row>
    <row r="1137" spans="1:10" s="186" customFormat="1" x14ac:dyDescent="0.25">
      <c r="A1137" s="212" t="s">
        <v>26</v>
      </c>
      <c r="B1137" s="92">
        <f t="shared" ref="B1137:H1137" si="543">B1141*B1130</f>
        <v>51313.989655172416</v>
      </c>
      <c r="C1137" s="92">
        <f t="shared" si="543"/>
        <v>40613.089655172414</v>
      </c>
      <c r="D1137" s="92">
        <f t="shared" si="543"/>
        <v>38522.58793103449</v>
      </c>
      <c r="E1137" s="92">
        <f t="shared" si="543"/>
        <v>0</v>
      </c>
      <c r="F1137" s="92">
        <f t="shared" si="543"/>
        <v>105039.16034482759</v>
      </c>
      <c r="G1137" s="31">
        <f t="shared" si="543"/>
        <v>545266.73793103453</v>
      </c>
      <c r="H1137" s="31">
        <f t="shared" si="543"/>
        <v>219819.8275862069</v>
      </c>
      <c r="I1137" s="31">
        <f t="shared" si="541"/>
        <v>1000575.3931034482</v>
      </c>
      <c r="J1137" s="32">
        <f t="shared" si="542"/>
        <v>142939.34187192118</v>
      </c>
    </row>
    <row r="1138" spans="1:10" s="186" customFormat="1" x14ac:dyDescent="0.25">
      <c r="A1138" s="212" t="s">
        <v>27</v>
      </c>
      <c r="B1138" s="92">
        <f t="shared" ref="B1138:H1138" si="544">B1141*B1131</f>
        <v>667081.86551724141</v>
      </c>
      <c r="C1138" s="92">
        <f t="shared" si="544"/>
        <v>852874.88275862066</v>
      </c>
      <c r="D1138" s="92">
        <f t="shared" si="544"/>
        <v>654883.99482758634</v>
      </c>
      <c r="E1138" s="92">
        <f t="shared" si="544"/>
        <v>734527.1482758621</v>
      </c>
      <c r="F1138" s="92">
        <f t="shared" si="544"/>
        <v>1890704.8862068965</v>
      </c>
      <c r="G1138" s="31">
        <f t="shared" si="544"/>
        <v>2590017.0051724138</v>
      </c>
      <c r="H1138" s="31">
        <f t="shared" si="544"/>
        <v>1868468.5344827587</v>
      </c>
      <c r="I1138" s="31">
        <f t="shared" si="541"/>
        <v>9258558.31724138</v>
      </c>
      <c r="J1138" s="32">
        <f t="shared" si="542"/>
        <v>1322651.18817734</v>
      </c>
    </row>
    <row r="1139" spans="1:10" s="186" customFormat="1" x14ac:dyDescent="0.25">
      <c r="A1139" s="212" t="s">
        <v>28</v>
      </c>
      <c r="B1139" s="92">
        <f t="shared" ref="B1139:H1139" si="545">B1141*B1132</f>
        <v>179598.96379310347</v>
      </c>
      <c r="C1139" s="92">
        <f t="shared" si="545"/>
        <v>121839.26896551724</v>
      </c>
      <c r="D1139" s="92">
        <f t="shared" si="545"/>
        <v>77045.17586206898</v>
      </c>
      <c r="E1139" s="92">
        <f t="shared" si="545"/>
        <v>0</v>
      </c>
      <c r="F1139" s="92">
        <f t="shared" si="545"/>
        <v>525195.80172413797</v>
      </c>
      <c r="G1139" s="31">
        <f t="shared" si="545"/>
        <v>1363166.8448275863</v>
      </c>
      <c r="H1139" s="31">
        <f t="shared" si="545"/>
        <v>549549.56896551733</v>
      </c>
      <c r="I1139" s="31">
        <f t="shared" si="541"/>
        <v>2816395.6241379315</v>
      </c>
      <c r="J1139" s="32">
        <f t="shared" si="542"/>
        <v>402342.23201970448</v>
      </c>
    </row>
    <row r="1140" spans="1:10" s="186" customFormat="1" x14ac:dyDescent="0.25">
      <c r="A1140" s="212" t="s">
        <v>29</v>
      </c>
      <c r="B1140" s="92">
        <f>B1141*B1133</f>
        <v>0</v>
      </c>
      <c r="C1140" s="92">
        <f t="shared" ref="C1140:H1140" si="546">C1141*C1133</f>
        <v>40613.089655172414</v>
      </c>
      <c r="D1140" s="92">
        <f t="shared" si="546"/>
        <v>38522.58793103449</v>
      </c>
      <c r="E1140" s="92">
        <f t="shared" si="546"/>
        <v>0</v>
      </c>
      <c r="F1140" s="92">
        <f t="shared" si="546"/>
        <v>0</v>
      </c>
      <c r="G1140" s="31">
        <f t="shared" si="546"/>
        <v>0</v>
      </c>
      <c r="H1140" s="31">
        <f t="shared" si="546"/>
        <v>0</v>
      </c>
      <c r="I1140" s="31">
        <f t="shared" si="541"/>
        <v>79135.677586206904</v>
      </c>
      <c r="J1140" s="32">
        <f t="shared" si="542"/>
        <v>11305.096798029557</v>
      </c>
    </row>
    <row r="1141" spans="1:10" s="186" customFormat="1" x14ac:dyDescent="0.25">
      <c r="A1141" s="216" t="s">
        <v>30</v>
      </c>
      <c r="B1141" s="222">
        <f>(3118700/1.16)-B1142</f>
        <v>2565699.4827586208</v>
      </c>
      <c r="C1141" s="222">
        <f>(4941100/1.16)-C1142</f>
        <v>4061308.9655172415</v>
      </c>
      <c r="D1141" s="222">
        <f>(4721100/1.16)-D1142</f>
        <v>3852258.7931034486</v>
      </c>
      <c r="E1141" s="222">
        <f>(4976100/1.16)-E1142</f>
        <v>4080706.3793103453</v>
      </c>
      <c r="F1141" s="222">
        <f>(12717000/1.16)-F1142</f>
        <v>10503916.034482758</v>
      </c>
      <c r="G1141" s="222">
        <f>(16255200/1.16)-G1142</f>
        <v>13631668.448275862</v>
      </c>
      <c r="H1141" s="222">
        <f>(13374500/1.16)-H1142</f>
        <v>10990991.379310345</v>
      </c>
      <c r="I1141" s="197">
        <f t="shared" si="541"/>
        <v>49686549.482758626</v>
      </c>
      <c r="J1141" s="217">
        <f t="shared" si="542"/>
        <v>7098078.497536947</v>
      </c>
    </row>
    <row r="1142" spans="1:10" s="186" customFormat="1" x14ac:dyDescent="0.25">
      <c r="A1142" s="212" t="s">
        <v>31</v>
      </c>
      <c r="B1142" s="92">
        <f t="shared" ref="B1142:I1142" si="547">2155*B1123</f>
        <v>122835</v>
      </c>
      <c r="C1142" s="92">
        <f t="shared" si="547"/>
        <v>198260</v>
      </c>
      <c r="D1142" s="92">
        <f t="shared" si="547"/>
        <v>217655</v>
      </c>
      <c r="E1142" s="92">
        <f t="shared" si="547"/>
        <v>209035</v>
      </c>
      <c r="F1142" s="92">
        <f t="shared" si="547"/>
        <v>459015</v>
      </c>
      <c r="G1142" s="31">
        <f t="shared" si="547"/>
        <v>381435</v>
      </c>
      <c r="H1142" s="31">
        <f t="shared" si="547"/>
        <v>538750</v>
      </c>
      <c r="I1142" s="31">
        <f t="shared" si="547"/>
        <v>2126985</v>
      </c>
      <c r="J1142" s="32">
        <f t="shared" si="542"/>
        <v>303855</v>
      </c>
    </row>
    <row r="1143" spans="1:10" s="186" customFormat="1" x14ac:dyDescent="0.25">
      <c r="A1143" s="218" t="s">
        <v>32</v>
      </c>
      <c r="B1143" s="199">
        <f>B1142+B1141</f>
        <v>2688534.4827586208</v>
      </c>
      <c r="C1143" s="199">
        <f>C1142+C1141</f>
        <v>4259568.9655172415</v>
      </c>
      <c r="D1143" s="199">
        <f>D1142+D1141</f>
        <v>4069913.7931034486</v>
      </c>
      <c r="E1143" s="199">
        <f>E1142+E1141</f>
        <v>4289741.3793103453</v>
      </c>
      <c r="F1143" s="199">
        <f>F1141+F1142</f>
        <v>10962931.034482758</v>
      </c>
      <c r="G1143" s="199">
        <f>G1142+G1141</f>
        <v>14013103.448275862</v>
      </c>
      <c r="H1143" s="199">
        <f>H1142+H1141</f>
        <v>11529741.379310345</v>
      </c>
      <c r="I1143" s="199">
        <f>I1141+I1142</f>
        <v>51813534.482758626</v>
      </c>
      <c r="J1143" s="219">
        <f t="shared" si="542"/>
        <v>7401933.497536947</v>
      </c>
    </row>
    <row r="1144" spans="1:10" s="186" customFormat="1" x14ac:dyDescent="0.25">
      <c r="A1144" s="212" t="s">
        <v>33</v>
      </c>
      <c r="B1144" s="94">
        <f>B1143*16%</f>
        <v>430165.5172413793</v>
      </c>
      <c r="C1144" s="94">
        <f t="shared" ref="C1144:H1144" si="548">C1143*16%</f>
        <v>681531.03448275861</v>
      </c>
      <c r="D1144" s="94">
        <f t="shared" si="548"/>
        <v>651186.20689655177</v>
      </c>
      <c r="E1144" s="94">
        <f t="shared" si="548"/>
        <v>686358.6206896553</v>
      </c>
      <c r="F1144" s="94">
        <f t="shared" si="548"/>
        <v>1754068.9655172415</v>
      </c>
      <c r="G1144" s="94">
        <f t="shared" si="548"/>
        <v>2242096.5517241382</v>
      </c>
      <c r="H1144" s="94">
        <f t="shared" si="548"/>
        <v>1844758.6206896552</v>
      </c>
      <c r="I1144" s="94">
        <f>I1143*16%</f>
        <v>8290165.5172413802</v>
      </c>
      <c r="J1144" s="32">
        <f t="shared" si="542"/>
        <v>1184309.3596059114</v>
      </c>
    </row>
    <row r="1145" spans="1:10" s="186" customFormat="1" x14ac:dyDescent="0.25">
      <c r="A1145" s="220" t="s">
        <v>34</v>
      </c>
      <c r="B1145" s="202">
        <f>B1143+B1144</f>
        <v>3118700</v>
      </c>
      <c r="C1145" s="202">
        <f t="shared" ref="C1145:H1145" si="549">C1143+C1144</f>
        <v>4941100</v>
      </c>
      <c r="D1145" s="202">
        <f t="shared" si="549"/>
        <v>4721100</v>
      </c>
      <c r="E1145" s="202">
        <f t="shared" si="549"/>
        <v>4976100.0000000009</v>
      </c>
      <c r="F1145" s="202">
        <f t="shared" si="549"/>
        <v>12717000</v>
      </c>
      <c r="G1145" s="202">
        <f t="shared" si="549"/>
        <v>16255200</v>
      </c>
      <c r="H1145" s="202">
        <f t="shared" si="549"/>
        <v>13374500</v>
      </c>
      <c r="I1145" s="202">
        <f>I1143+I1144</f>
        <v>60103700.000000007</v>
      </c>
      <c r="J1145" s="221">
        <f t="shared" si="542"/>
        <v>8586242.8571428582</v>
      </c>
    </row>
    <row r="1146" spans="1:10" s="186" customFormat="1" ht="15.75" thickBot="1" x14ac:dyDescent="0.3">
      <c r="A1146" s="204"/>
      <c r="B1146" s="112"/>
      <c r="C1146" s="112"/>
      <c r="D1146" s="112"/>
      <c r="E1146" s="112"/>
      <c r="F1146" s="112"/>
      <c r="G1146" s="112"/>
      <c r="H1146" s="112"/>
      <c r="I1146" s="112"/>
      <c r="J1146" s="205"/>
    </row>
    <row r="1147" spans="1:10" s="186" customFormat="1" ht="26.25" x14ac:dyDescent="0.25">
      <c r="A1147"/>
      <c r="B1147" s="1002" t="s">
        <v>288</v>
      </c>
      <c r="C1147" s="1002"/>
      <c r="D1147" s="1002"/>
      <c r="E1147" s="1002"/>
      <c r="F1147" s="1002"/>
      <c r="G1147" s="1002"/>
      <c r="H1147" s="1002"/>
      <c r="I1147"/>
      <c r="J1147"/>
    </row>
    <row r="1148" spans="1:10" s="186" customFormat="1" ht="15.75" x14ac:dyDescent="0.25">
      <c r="A1148" s="207" t="s">
        <v>2</v>
      </c>
      <c r="B1148" s="121" t="s">
        <v>45</v>
      </c>
      <c r="C1148" s="121" t="s">
        <v>289</v>
      </c>
      <c r="D1148" s="121" t="s">
        <v>47</v>
      </c>
      <c r="E1148" s="121" t="s">
        <v>48</v>
      </c>
      <c r="F1148" s="121" t="s">
        <v>49</v>
      </c>
      <c r="G1148" s="121" t="s">
        <v>50</v>
      </c>
      <c r="H1148" s="121" t="s">
        <v>290</v>
      </c>
      <c r="I1148" s="121" t="s">
        <v>96</v>
      </c>
      <c r="J1148" s="209" t="s">
        <v>97</v>
      </c>
    </row>
    <row r="1149" spans="1:10" s="186" customFormat="1" x14ac:dyDescent="0.25">
      <c r="A1149" s="210" t="s">
        <v>11</v>
      </c>
      <c r="B1149" s="189">
        <f>68+37+15</f>
        <v>120</v>
      </c>
      <c r="C1149" s="189">
        <f>70+42+17</f>
        <v>129</v>
      </c>
      <c r="D1149" s="189">
        <f>94+54+22</f>
        <v>170</v>
      </c>
      <c r="E1149" s="190">
        <f>88+55+17</f>
        <v>160</v>
      </c>
      <c r="F1149" s="190">
        <f>219+103+37</f>
        <v>359</v>
      </c>
      <c r="G1149" s="190">
        <f>326+197+71</f>
        <v>594</v>
      </c>
      <c r="H1149" s="190">
        <f>245+149+49</f>
        <v>443</v>
      </c>
      <c r="I1149" s="190">
        <f>SUM(B1149:H1149)</f>
        <v>1975</v>
      </c>
      <c r="J1149" s="211">
        <f>+I1149/7</f>
        <v>282.14285714285717</v>
      </c>
    </row>
    <row r="1150" spans="1:10" s="186" customFormat="1" x14ac:dyDescent="0.25">
      <c r="A1150" s="212" t="s">
        <v>12</v>
      </c>
      <c r="B1150" s="11">
        <v>68</v>
      </c>
      <c r="C1150" s="11">
        <v>67</v>
      </c>
      <c r="D1150" s="11">
        <v>84</v>
      </c>
      <c r="E1150" s="11">
        <v>84</v>
      </c>
      <c r="F1150" s="11">
        <v>186</v>
      </c>
      <c r="G1150" s="11">
        <v>335</v>
      </c>
      <c r="H1150" s="11">
        <v>283</v>
      </c>
      <c r="I1150" s="11">
        <f>SUM('PEPE SIERRA '!$B1150:$H1150)</f>
        <v>1107</v>
      </c>
      <c r="J1150" s="60">
        <f t="shared" ref="J1150:J1155" si="550">I1150/7</f>
        <v>158.14285714285714</v>
      </c>
    </row>
    <row r="1151" spans="1:10" s="186" customFormat="1" x14ac:dyDescent="0.25">
      <c r="A1151" s="212" t="s">
        <v>13</v>
      </c>
      <c r="B1151" s="11">
        <v>0</v>
      </c>
      <c r="C1151" s="11">
        <v>2</v>
      </c>
      <c r="D1151" s="11">
        <v>1</v>
      </c>
      <c r="E1151" s="11">
        <v>4</v>
      </c>
      <c r="F1151" s="11">
        <v>5</v>
      </c>
      <c r="G1151" s="11">
        <v>9</v>
      </c>
      <c r="H1151" s="11">
        <v>8</v>
      </c>
      <c r="I1151" s="11">
        <f>SUM('PEPE SIERRA '!$B1151:$H1151)</f>
        <v>29</v>
      </c>
      <c r="J1151" s="60">
        <f t="shared" si="550"/>
        <v>4.1428571428571432</v>
      </c>
    </row>
    <row r="1152" spans="1:10" s="186" customFormat="1" x14ac:dyDescent="0.25">
      <c r="A1152" s="212" t="s">
        <v>14</v>
      </c>
      <c r="B1152" s="11">
        <v>32</v>
      </c>
      <c r="C1152" s="11">
        <v>29</v>
      </c>
      <c r="D1152" s="11">
        <v>41</v>
      </c>
      <c r="E1152" s="11">
        <v>36</v>
      </c>
      <c r="F1152" s="11">
        <v>77</v>
      </c>
      <c r="G1152" s="11">
        <v>94</v>
      </c>
      <c r="H1152" s="86">
        <v>68</v>
      </c>
      <c r="I1152" s="11">
        <f>SUM('PEPE SIERRA '!$B1152:$H1152)</f>
        <v>377</v>
      </c>
      <c r="J1152" s="60">
        <f t="shared" si="550"/>
        <v>53.857142857142854</v>
      </c>
    </row>
    <row r="1153" spans="1:10" s="186" customFormat="1" x14ac:dyDescent="0.25">
      <c r="A1153" s="212" t="s">
        <v>15</v>
      </c>
      <c r="B1153" s="11">
        <v>0</v>
      </c>
      <c r="C1153" s="11">
        <v>2</v>
      </c>
      <c r="D1153" s="11">
        <v>1</v>
      </c>
      <c r="E1153" s="11">
        <v>5</v>
      </c>
      <c r="F1153" s="11">
        <v>25</v>
      </c>
      <c r="G1153" s="11">
        <v>9</v>
      </c>
      <c r="H1153" s="11">
        <v>8</v>
      </c>
      <c r="I1153" s="11">
        <f>SUM('PEPE SIERRA '!$B1153:$H1153)</f>
        <v>50</v>
      </c>
      <c r="J1153" s="60">
        <f t="shared" si="550"/>
        <v>7.1428571428571432</v>
      </c>
    </row>
    <row r="1154" spans="1:10" s="186" customFormat="1" x14ac:dyDescent="0.25">
      <c r="A1154" s="212" t="s">
        <v>16</v>
      </c>
      <c r="B1154" s="11">
        <v>1</v>
      </c>
      <c r="C1154" s="11">
        <v>1</v>
      </c>
      <c r="D1154" s="11">
        <v>0</v>
      </c>
      <c r="E1154" s="11">
        <v>0</v>
      </c>
      <c r="F1154" s="11">
        <v>0</v>
      </c>
      <c r="G1154" s="11">
        <v>2</v>
      </c>
      <c r="H1154" s="11">
        <v>0</v>
      </c>
      <c r="I1154" s="11">
        <f>SUM('PEPE SIERRA '!$B1154:$H1154)</f>
        <v>4</v>
      </c>
      <c r="J1154" s="60">
        <f t="shared" si="550"/>
        <v>0.5714285714285714</v>
      </c>
    </row>
    <row r="1155" spans="1:10" s="186" customFormat="1" x14ac:dyDescent="0.25">
      <c r="A1155" s="213" t="s">
        <v>17</v>
      </c>
      <c r="B1155" s="192">
        <f>SUM(B1150:B1154)</f>
        <v>101</v>
      </c>
      <c r="C1155" s="192">
        <f t="shared" ref="C1155:I1155" si="551">SUM(C1150:C1154)</f>
        <v>101</v>
      </c>
      <c r="D1155" s="192">
        <f t="shared" si="551"/>
        <v>127</v>
      </c>
      <c r="E1155" s="192">
        <f t="shared" si="551"/>
        <v>129</v>
      </c>
      <c r="F1155" s="192">
        <f t="shared" si="551"/>
        <v>293</v>
      </c>
      <c r="G1155" s="192">
        <f t="shared" si="551"/>
        <v>449</v>
      </c>
      <c r="H1155" s="192">
        <f t="shared" si="551"/>
        <v>367</v>
      </c>
      <c r="I1155" s="192">
        <f t="shared" si="551"/>
        <v>1567</v>
      </c>
      <c r="J1155" s="214">
        <f t="shared" si="550"/>
        <v>223.85714285714286</v>
      </c>
    </row>
    <row r="1156" spans="1:10" s="186" customFormat="1" x14ac:dyDescent="0.25">
      <c r="A1156" s="212" t="s">
        <v>18</v>
      </c>
      <c r="B1156" s="30">
        <v>0.76</v>
      </c>
      <c r="C1156" s="30">
        <v>0.7</v>
      </c>
      <c r="D1156" s="30">
        <v>0.76</v>
      </c>
      <c r="E1156" s="30">
        <v>0.71</v>
      </c>
      <c r="F1156" s="30">
        <v>0.7</v>
      </c>
      <c r="G1156" s="30">
        <v>0.8</v>
      </c>
      <c r="H1156" s="30">
        <v>0.81</v>
      </c>
      <c r="I1156" s="30">
        <f>I1163/I1168</f>
        <v>0.76535020938567044</v>
      </c>
      <c r="J1156" s="160">
        <f>J1163/J1168</f>
        <v>0.76535020938567044</v>
      </c>
    </row>
    <row r="1157" spans="1:10" s="186" customFormat="1" x14ac:dyDescent="0.25">
      <c r="A1157" s="212" t="s">
        <v>19</v>
      </c>
      <c r="B1157" s="30">
        <v>0</v>
      </c>
      <c r="C1157" s="30">
        <v>0.02</v>
      </c>
      <c r="D1157" s="30">
        <v>0</v>
      </c>
      <c r="E1157" s="30">
        <v>0.02</v>
      </c>
      <c r="F1157" s="30">
        <v>0.02</v>
      </c>
      <c r="G1157" s="30">
        <v>0.02</v>
      </c>
      <c r="H1157" s="30">
        <v>0.01</v>
      </c>
      <c r="I1157" s="30">
        <f>I1164/I1168</f>
        <v>1.4913806762031032E-2</v>
      </c>
      <c r="J1157" s="160">
        <f>J1164/J1168</f>
        <v>1.4913806762031032E-2</v>
      </c>
    </row>
    <row r="1158" spans="1:10" s="186" customFormat="1" x14ac:dyDescent="0.25">
      <c r="A1158" s="212" t="s">
        <v>20</v>
      </c>
      <c r="B1158" s="30">
        <v>0.24</v>
      </c>
      <c r="C1158" s="30">
        <v>0.22</v>
      </c>
      <c r="D1158" s="30">
        <v>0.23</v>
      </c>
      <c r="E1158" s="30">
        <v>0.22</v>
      </c>
      <c r="F1158" s="30">
        <v>0.2</v>
      </c>
      <c r="G1158" s="30">
        <v>0.15</v>
      </c>
      <c r="H1158" s="30">
        <v>0.17</v>
      </c>
      <c r="I1158" s="30">
        <f>I1165/I1168</f>
        <v>0.18515049046557949</v>
      </c>
      <c r="J1158" s="160">
        <f>J1165/J1168</f>
        <v>0.18515049046557949</v>
      </c>
    </row>
    <row r="1159" spans="1:10" s="186" customFormat="1" x14ac:dyDescent="0.25">
      <c r="A1159" s="212" t="s">
        <v>21</v>
      </c>
      <c r="B1159" s="30">
        <v>0</v>
      </c>
      <c r="C1159" s="30">
        <v>0.05</v>
      </c>
      <c r="D1159" s="30">
        <v>0.01</v>
      </c>
      <c r="E1159" s="30">
        <v>0.05</v>
      </c>
      <c r="F1159" s="30">
        <v>0.08</v>
      </c>
      <c r="G1159" s="30">
        <v>0.02</v>
      </c>
      <c r="H1159" s="30">
        <v>0.01</v>
      </c>
      <c r="I1159" s="30">
        <f>I1166/I1168</f>
        <v>3.0843986130576352E-2</v>
      </c>
      <c r="J1159" s="160">
        <f>J1166/J1168</f>
        <v>3.0843986130576356E-2</v>
      </c>
    </row>
    <row r="1160" spans="1:10" s="186" customFormat="1" x14ac:dyDescent="0.25">
      <c r="A1160" s="212" t="s">
        <v>22</v>
      </c>
      <c r="B1160" s="30">
        <v>0</v>
      </c>
      <c r="C1160" s="30">
        <v>0.01</v>
      </c>
      <c r="D1160" s="30">
        <v>0</v>
      </c>
      <c r="E1160" s="30">
        <v>0</v>
      </c>
      <c r="F1160" s="30">
        <v>0</v>
      </c>
      <c r="G1160" s="30">
        <v>0.01</v>
      </c>
      <c r="H1160" s="30">
        <v>0</v>
      </c>
      <c r="I1160" s="30">
        <f>I1167/I1168</f>
        <v>3.7415072561426876E-3</v>
      </c>
      <c r="J1160" s="160">
        <f>J1167/J1168</f>
        <v>3.741507256142688E-3</v>
      </c>
    </row>
    <row r="1161" spans="1:10" s="186" customFormat="1" x14ac:dyDescent="0.25">
      <c r="A1161" s="215" t="s">
        <v>23</v>
      </c>
      <c r="B1161" s="66">
        <f t="shared" ref="B1161:J1161" si="552">B1172/B1155</f>
        <v>36013.861386138618</v>
      </c>
      <c r="C1161" s="66">
        <f t="shared" si="552"/>
        <v>36786.138613861389</v>
      </c>
      <c r="D1161" s="66">
        <f t="shared" si="552"/>
        <v>38575.590551181107</v>
      </c>
      <c r="E1161" s="66">
        <f t="shared" si="552"/>
        <v>35031.782945736435</v>
      </c>
      <c r="F1161" s="66">
        <f t="shared" si="552"/>
        <v>37809.556313993176</v>
      </c>
      <c r="G1161" s="66">
        <f t="shared" si="552"/>
        <v>42056.347438752782</v>
      </c>
      <c r="H1161" s="66">
        <f t="shared" si="552"/>
        <v>37462.942779291552</v>
      </c>
      <c r="I1161" s="66">
        <f t="shared" si="552"/>
        <v>38596.936821952782</v>
      </c>
      <c r="J1161" s="67">
        <f t="shared" si="552"/>
        <v>38596.936821952782</v>
      </c>
    </row>
    <row r="1162" spans="1:10" s="186" customFormat="1" x14ac:dyDescent="0.25">
      <c r="A1162" s="215" t="s">
        <v>24</v>
      </c>
      <c r="B1162" s="66">
        <f t="shared" ref="B1162:I1162" si="553">+B1172/B1149</f>
        <v>30311.666666666672</v>
      </c>
      <c r="C1162" s="66">
        <f t="shared" si="553"/>
        <v>28801.550387596904</v>
      </c>
      <c r="D1162" s="66">
        <f t="shared" si="553"/>
        <v>28818.235294117654</v>
      </c>
      <c r="E1162" s="66">
        <f t="shared" si="553"/>
        <v>28244.375</v>
      </c>
      <c r="F1162" s="66">
        <f t="shared" si="553"/>
        <v>30858.495821727018</v>
      </c>
      <c r="G1162" s="66">
        <f t="shared" si="553"/>
        <v>31790.06734006734</v>
      </c>
      <c r="H1162" s="66">
        <f t="shared" si="553"/>
        <v>31035.891647855529</v>
      </c>
      <c r="I1162" s="66">
        <f t="shared" si="553"/>
        <v>30623.493670886081</v>
      </c>
      <c r="J1162" s="67">
        <f>J1172/J1149</f>
        <v>30623.493670886081</v>
      </c>
    </row>
    <row r="1163" spans="1:10" s="186" customFormat="1" x14ac:dyDescent="0.25">
      <c r="A1163" s="212" t="s">
        <v>25</v>
      </c>
      <c r="B1163" s="92">
        <f t="shared" ref="B1163:H1163" si="554">B1168*B1156</f>
        <v>2271753.737931035</v>
      </c>
      <c r="C1163" s="92">
        <f t="shared" si="554"/>
        <v>2140982.2241379311</v>
      </c>
      <c r="D1163" s="92">
        <f t="shared" si="554"/>
        <v>3072179.9724137937</v>
      </c>
      <c r="E1163" s="92">
        <f t="shared" si="554"/>
        <v>2637476.6620689654</v>
      </c>
      <c r="F1163" s="92">
        <f t="shared" si="554"/>
        <v>6404539.6896551726</v>
      </c>
      <c r="G1163" s="92">
        <f t="shared" si="554"/>
        <v>12445425.517241381</v>
      </c>
      <c r="H1163" s="92">
        <f t="shared" si="554"/>
        <v>9106534.3500000015</v>
      </c>
      <c r="I1163" s="31">
        <f t="shared" ref="I1163:I1168" si="555">SUM(B1163:H1163)</f>
        <v>38078892.153448284</v>
      </c>
      <c r="J1163" s="32">
        <f t="shared" ref="J1163:J1172" si="556">I1163/7</f>
        <v>5439841.7362068975</v>
      </c>
    </row>
    <row r="1164" spans="1:10" s="186" customFormat="1" x14ac:dyDescent="0.25">
      <c r="A1164" s="212" t="s">
        <v>26</v>
      </c>
      <c r="B1164" s="92">
        <f t="shared" ref="B1164:H1164" si="557">B1168*B1157</f>
        <v>0</v>
      </c>
      <c r="C1164" s="92">
        <f t="shared" si="557"/>
        <v>61170.920689655177</v>
      </c>
      <c r="D1164" s="92">
        <f t="shared" si="557"/>
        <v>0</v>
      </c>
      <c r="E1164" s="92">
        <f t="shared" si="557"/>
        <v>74295.11724137931</v>
      </c>
      <c r="F1164" s="92">
        <f t="shared" si="557"/>
        <v>182986.84827586208</v>
      </c>
      <c r="G1164" s="92">
        <f t="shared" si="557"/>
        <v>311135.63793103449</v>
      </c>
      <c r="H1164" s="92">
        <f t="shared" si="557"/>
        <v>112426.35</v>
      </c>
      <c r="I1164" s="31">
        <f t="shared" si="555"/>
        <v>742014.87413793104</v>
      </c>
      <c r="J1164" s="32">
        <f t="shared" si="556"/>
        <v>106002.12487684729</v>
      </c>
    </row>
    <row r="1165" spans="1:10" s="186" customFormat="1" x14ac:dyDescent="0.25">
      <c r="A1165" s="212" t="s">
        <v>27</v>
      </c>
      <c r="B1165" s="92">
        <f t="shared" ref="B1165:H1165" si="558">B1168*B1158</f>
        <v>717395.91724137939</v>
      </c>
      <c r="C1165" s="92">
        <f t="shared" si="558"/>
        <v>672880.127586207</v>
      </c>
      <c r="D1165" s="92">
        <f t="shared" si="558"/>
        <v>929738.67586206913</v>
      </c>
      <c r="E1165" s="92">
        <f t="shared" si="558"/>
        <v>817246.28965517238</v>
      </c>
      <c r="F1165" s="92">
        <f t="shared" si="558"/>
        <v>1829868.4827586208</v>
      </c>
      <c r="G1165" s="92">
        <f t="shared" si="558"/>
        <v>2333517.2844827585</v>
      </c>
      <c r="H1165" s="92">
        <f t="shared" si="558"/>
        <v>1911247.9500000002</v>
      </c>
      <c r="I1165" s="31">
        <f t="shared" si="555"/>
        <v>9211894.727586206</v>
      </c>
      <c r="J1165" s="32">
        <f t="shared" si="556"/>
        <v>1315984.9610837437</v>
      </c>
    </row>
    <row r="1166" spans="1:10" s="186" customFormat="1" x14ac:dyDescent="0.25">
      <c r="A1166" s="212" t="s">
        <v>28</v>
      </c>
      <c r="B1166" s="92">
        <f t="shared" ref="B1166:H1166" si="559">B1168*B1159</f>
        <v>0</v>
      </c>
      <c r="C1166" s="92">
        <f t="shared" si="559"/>
        <v>152927.30172413794</v>
      </c>
      <c r="D1166" s="92">
        <f t="shared" si="559"/>
        <v>40423.420689655177</v>
      </c>
      <c r="E1166" s="92">
        <f t="shared" si="559"/>
        <v>185737.79310344829</v>
      </c>
      <c r="F1166" s="92">
        <f t="shared" si="559"/>
        <v>731947.39310344832</v>
      </c>
      <c r="G1166" s="92">
        <f t="shared" si="559"/>
        <v>311135.63793103449</v>
      </c>
      <c r="H1166" s="92">
        <f t="shared" si="559"/>
        <v>112426.35</v>
      </c>
      <c r="I1166" s="31">
        <f t="shared" si="555"/>
        <v>1534597.8965517243</v>
      </c>
      <c r="J1166" s="32">
        <f t="shared" si="556"/>
        <v>219228.27093596061</v>
      </c>
    </row>
    <row r="1167" spans="1:10" s="186" customFormat="1" x14ac:dyDescent="0.25">
      <c r="A1167" s="212" t="s">
        <v>29</v>
      </c>
      <c r="B1167" s="92">
        <f t="shared" ref="B1167:H1167" si="560">B1168*B1160</f>
        <v>0</v>
      </c>
      <c r="C1167" s="92">
        <f t="shared" si="560"/>
        <v>30585.460344827588</v>
      </c>
      <c r="D1167" s="92">
        <f t="shared" si="560"/>
        <v>0</v>
      </c>
      <c r="E1167" s="92">
        <f t="shared" si="560"/>
        <v>0</v>
      </c>
      <c r="F1167" s="92">
        <f t="shared" si="560"/>
        <v>0</v>
      </c>
      <c r="G1167" s="92">
        <f t="shared" si="560"/>
        <v>155567.81896551725</v>
      </c>
      <c r="H1167" s="92">
        <f t="shared" si="560"/>
        <v>0</v>
      </c>
      <c r="I1167" s="31">
        <f t="shared" si="555"/>
        <v>186153.27931034483</v>
      </c>
      <c r="J1167" s="32">
        <f t="shared" si="556"/>
        <v>26593.325615763548</v>
      </c>
    </row>
    <row r="1168" spans="1:10" s="186" customFormat="1" x14ac:dyDescent="0.25">
      <c r="A1168" s="216" t="s">
        <v>30</v>
      </c>
      <c r="B1168" s="222">
        <f>(3637400/1.16)-B1169</f>
        <v>2989149.6551724141</v>
      </c>
      <c r="C1168" s="222">
        <f>(3715400/1.16)-C1169</f>
        <v>3058546.034482759</v>
      </c>
      <c r="D1168" s="222">
        <f>(4899100/1.16)-D1169</f>
        <v>4042342.0689655179</v>
      </c>
      <c r="E1168" s="222">
        <f>(4519100/1.16)-E1169</f>
        <v>3714755.8620689656</v>
      </c>
      <c r="F1168" s="222">
        <f>(11078200/1.16)-F1169</f>
        <v>9149342.4137931038</v>
      </c>
      <c r="G1168" s="222">
        <f>(18883300/1.16)-G1169</f>
        <v>15556781.896551725</v>
      </c>
      <c r="H1168" s="222">
        <f>(13748900/1.16)-H1169</f>
        <v>11242635</v>
      </c>
      <c r="I1168" s="197">
        <f t="shared" si="555"/>
        <v>49753552.93103449</v>
      </c>
      <c r="J1168" s="217">
        <f t="shared" si="556"/>
        <v>7107650.4187192125</v>
      </c>
    </row>
    <row r="1169" spans="1:10" s="186" customFormat="1" x14ac:dyDescent="0.25">
      <c r="A1169" s="212" t="s">
        <v>31</v>
      </c>
      <c r="B1169" s="92">
        <f t="shared" ref="B1169:I1169" si="561">2155*B1150</f>
        <v>146540</v>
      </c>
      <c r="C1169" s="92">
        <f t="shared" si="561"/>
        <v>144385</v>
      </c>
      <c r="D1169" s="92">
        <f t="shared" si="561"/>
        <v>181020</v>
      </c>
      <c r="E1169" s="92">
        <f t="shared" si="561"/>
        <v>181020</v>
      </c>
      <c r="F1169" s="92">
        <f t="shared" si="561"/>
        <v>400830</v>
      </c>
      <c r="G1169" s="31">
        <f t="shared" si="561"/>
        <v>721925</v>
      </c>
      <c r="H1169" s="31">
        <f t="shared" si="561"/>
        <v>609865</v>
      </c>
      <c r="I1169" s="31">
        <f t="shared" si="561"/>
        <v>2385585</v>
      </c>
      <c r="J1169" s="32">
        <f t="shared" si="556"/>
        <v>340797.85714285716</v>
      </c>
    </row>
    <row r="1170" spans="1:10" s="186" customFormat="1" x14ac:dyDescent="0.25">
      <c r="A1170" s="218" t="s">
        <v>32</v>
      </c>
      <c r="B1170" s="199">
        <f>B1169+B1168</f>
        <v>3135689.6551724141</v>
      </c>
      <c r="C1170" s="199">
        <f>C1169+C1168</f>
        <v>3202931.034482759</v>
      </c>
      <c r="D1170" s="199">
        <f>D1169+D1168</f>
        <v>4223362.0689655179</v>
      </c>
      <c r="E1170" s="199">
        <f>E1169+E1168</f>
        <v>3895775.8620689656</v>
      </c>
      <c r="F1170" s="199">
        <f>F1168+F1169</f>
        <v>9550172.4137931038</v>
      </c>
      <c r="G1170" s="199">
        <f>G1169+G1168</f>
        <v>16278706.896551725</v>
      </c>
      <c r="H1170" s="199">
        <f>H1169+H1168</f>
        <v>11852500</v>
      </c>
      <c r="I1170" s="199">
        <f>I1168+I1169</f>
        <v>52139137.93103449</v>
      </c>
      <c r="J1170" s="219">
        <f t="shared" si="556"/>
        <v>7448448.2758620698</v>
      </c>
    </row>
    <row r="1171" spans="1:10" s="186" customFormat="1" x14ac:dyDescent="0.25">
      <c r="A1171" s="212" t="s">
        <v>33</v>
      </c>
      <c r="B1171" s="94">
        <f>B1170*16%</f>
        <v>501710.34482758626</v>
      </c>
      <c r="C1171" s="94">
        <f t="shared" ref="C1171:H1171" si="562">C1170*16%</f>
        <v>512468.96551724145</v>
      </c>
      <c r="D1171" s="94">
        <f t="shared" si="562"/>
        <v>675737.9310344829</v>
      </c>
      <c r="E1171" s="94">
        <f t="shared" si="562"/>
        <v>623324.13793103455</v>
      </c>
      <c r="F1171" s="94">
        <f t="shared" si="562"/>
        <v>1528027.5862068967</v>
      </c>
      <c r="G1171" s="94">
        <f t="shared" si="562"/>
        <v>2604593.1034482759</v>
      </c>
      <c r="H1171" s="94">
        <f t="shared" si="562"/>
        <v>1896400</v>
      </c>
      <c r="I1171" s="94">
        <f>I1170*16%</f>
        <v>8342262.0689655188</v>
      </c>
      <c r="J1171" s="32">
        <f t="shared" si="556"/>
        <v>1191751.7241379314</v>
      </c>
    </row>
    <row r="1172" spans="1:10" s="186" customFormat="1" x14ac:dyDescent="0.25">
      <c r="A1172" s="220" t="s">
        <v>34</v>
      </c>
      <c r="B1172" s="202">
        <f>B1170+B1171</f>
        <v>3637400.0000000005</v>
      </c>
      <c r="C1172" s="202">
        <f t="shared" ref="C1172:H1172" si="563">C1170+C1171</f>
        <v>3715400.0000000005</v>
      </c>
      <c r="D1172" s="202">
        <f t="shared" si="563"/>
        <v>4899100.0000000009</v>
      </c>
      <c r="E1172" s="202">
        <f t="shared" si="563"/>
        <v>4519100</v>
      </c>
      <c r="F1172" s="202">
        <f t="shared" si="563"/>
        <v>11078200</v>
      </c>
      <c r="G1172" s="202">
        <f t="shared" si="563"/>
        <v>18883300</v>
      </c>
      <c r="H1172" s="202">
        <f t="shared" si="563"/>
        <v>13748900</v>
      </c>
      <c r="I1172" s="202">
        <f>I1170+I1171</f>
        <v>60481400.000000007</v>
      </c>
      <c r="J1172" s="221">
        <f t="shared" si="556"/>
        <v>8640200.0000000019</v>
      </c>
    </row>
    <row r="1173" spans="1:10" s="186" customFormat="1" ht="15.75" thickBot="1" x14ac:dyDescent="0.3">
      <c r="A1173" s="204"/>
      <c r="B1173" s="112"/>
      <c r="C1173" s="112"/>
      <c r="D1173" s="112"/>
      <c r="E1173" s="112"/>
      <c r="F1173" s="112"/>
      <c r="G1173" s="112"/>
      <c r="H1173" s="112"/>
      <c r="I1173" s="112"/>
      <c r="J1173" s="205"/>
    </row>
    <row r="1174" spans="1:10" s="186" customFormat="1" ht="26.25" x14ac:dyDescent="0.25">
      <c r="A1174"/>
      <c r="B1174" s="1002" t="s">
        <v>291</v>
      </c>
      <c r="C1174" s="1002"/>
      <c r="D1174" s="1002"/>
      <c r="E1174" s="1002"/>
      <c r="F1174" s="1002"/>
      <c r="G1174" s="1002"/>
      <c r="H1174" s="1002"/>
      <c r="I1174"/>
      <c r="J1174"/>
    </row>
    <row r="1175" spans="1:10" s="186" customFormat="1" ht="15.75" x14ac:dyDescent="0.25">
      <c r="A1175" s="207" t="s">
        <v>2</v>
      </c>
      <c r="B1175" s="121" t="s">
        <v>53</v>
      </c>
      <c r="C1175" s="121" t="s">
        <v>54</v>
      </c>
      <c r="D1175" s="121" t="s">
        <v>292</v>
      </c>
      <c r="E1175" s="121" t="s">
        <v>293</v>
      </c>
      <c r="F1175" s="121" t="s">
        <v>294</v>
      </c>
      <c r="G1175" s="121" t="s">
        <v>295</v>
      </c>
      <c r="H1175" s="121" t="s">
        <v>296</v>
      </c>
      <c r="I1175" s="121" t="s">
        <v>96</v>
      </c>
      <c r="J1175" s="209" t="s">
        <v>97</v>
      </c>
    </row>
    <row r="1176" spans="1:10" s="186" customFormat="1" x14ac:dyDescent="0.25">
      <c r="A1176" s="210" t="s">
        <v>11</v>
      </c>
      <c r="B1176" s="189">
        <v>119</v>
      </c>
      <c r="C1176" s="189">
        <f>89+44+23</f>
        <v>156</v>
      </c>
      <c r="D1176" s="189">
        <f>93+59+20</f>
        <v>172</v>
      </c>
      <c r="E1176" s="190">
        <f>130+71+19</f>
        <v>220</v>
      </c>
      <c r="F1176" s="190">
        <f>216+130+49</f>
        <v>395</v>
      </c>
      <c r="G1176" s="190">
        <f>234+138+41</f>
        <v>413</v>
      </c>
      <c r="H1176" s="190">
        <f>206+141+47</f>
        <v>394</v>
      </c>
      <c r="I1176" s="190">
        <f>SUM(B1176:H1176)</f>
        <v>1869</v>
      </c>
      <c r="J1176" s="211">
        <f>+I1176/7</f>
        <v>267</v>
      </c>
    </row>
    <row r="1177" spans="1:10" s="186" customFormat="1" x14ac:dyDescent="0.25">
      <c r="A1177" s="212" t="s">
        <v>12</v>
      </c>
      <c r="B1177" s="11">
        <v>64</v>
      </c>
      <c r="C1177" s="11">
        <v>77</v>
      </c>
      <c r="D1177" s="11">
        <v>90</v>
      </c>
      <c r="E1177" s="11">
        <v>115</v>
      </c>
      <c r="F1177" s="11">
        <v>221</v>
      </c>
      <c r="G1177" s="11">
        <v>228</v>
      </c>
      <c r="H1177" s="11">
        <v>206</v>
      </c>
      <c r="I1177" s="11">
        <f>SUM('PEPE SIERRA '!$B1177:$H1177)</f>
        <v>1001</v>
      </c>
      <c r="J1177" s="60">
        <f t="shared" ref="J1177:J1182" si="564">I1177/7</f>
        <v>143</v>
      </c>
    </row>
    <row r="1178" spans="1:10" s="186" customFormat="1" x14ac:dyDescent="0.25">
      <c r="A1178" s="212" t="s">
        <v>13</v>
      </c>
      <c r="B1178" s="11">
        <v>4</v>
      </c>
      <c r="C1178" s="11">
        <v>4</v>
      </c>
      <c r="D1178" s="11">
        <v>2</v>
      </c>
      <c r="E1178" s="11">
        <v>2</v>
      </c>
      <c r="F1178" s="11">
        <v>7</v>
      </c>
      <c r="G1178" s="11">
        <v>5</v>
      </c>
      <c r="H1178" s="11">
        <v>7</v>
      </c>
      <c r="I1178" s="11">
        <f>SUM('PEPE SIERRA '!$B1178:$H1178)</f>
        <v>31</v>
      </c>
      <c r="J1178" s="60">
        <f t="shared" si="564"/>
        <v>4.4285714285714288</v>
      </c>
    </row>
    <row r="1179" spans="1:10" s="186" customFormat="1" x14ac:dyDescent="0.25">
      <c r="A1179" s="212" t="s">
        <v>14</v>
      </c>
      <c r="B1179" s="11">
        <v>33</v>
      </c>
      <c r="C1179" s="11">
        <v>44</v>
      </c>
      <c r="D1179" s="11">
        <v>33</v>
      </c>
      <c r="E1179" s="11">
        <v>50</v>
      </c>
      <c r="F1179" s="11">
        <v>77</v>
      </c>
      <c r="G1179" s="11">
        <v>66</v>
      </c>
      <c r="H1179" s="86">
        <v>80</v>
      </c>
      <c r="I1179" s="11">
        <f>SUM('PEPE SIERRA '!$B1179:$H1179)</f>
        <v>383</v>
      </c>
      <c r="J1179" s="60">
        <f t="shared" si="564"/>
        <v>54.714285714285715</v>
      </c>
    </row>
    <row r="1180" spans="1:10" s="186" customFormat="1" x14ac:dyDescent="0.25">
      <c r="A1180" s="212" t="s">
        <v>15</v>
      </c>
      <c r="B1180" s="11">
        <v>2</v>
      </c>
      <c r="C1180" s="11">
        <v>2</v>
      </c>
      <c r="D1180" s="11">
        <v>15</v>
      </c>
      <c r="E1180" s="11">
        <v>5</v>
      </c>
      <c r="F1180" s="11">
        <v>5</v>
      </c>
      <c r="G1180" s="11">
        <v>20</v>
      </c>
      <c r="H1180" s="11">
        <v>6</v>
      </c>
      <c r="I1180" s="11">
        <f>SUM('PEPE SIERRA '!$B1180:$H1180)</f>
        <v>55</v>
      </c>
      <c r="J1180" s="60">
        <f t="shared" si="564"/>
        <v>7.8571428571428568</v>
      </c>
    </row>
    <row r="1181" spans="1:10" s="186" customFormat="1" x14ac:dyDescent="0.25">
      <c r="A1181" s="212" t="s">
        <v>16</v>
      </c>
      <c r="B1181" s="11">
        <v>0</v>
      </c>
      <c r="C1181" s="11">
        <v>0</v>
      </c>
      <c r="D1181" s="11">
        <v>0</v>
      </c>
      <c r="E1181" s="11">
        <v>0</v>
      </c>
      <c r="F1181" s="11">
        <v>0</v>
      </c>
      <c r="G1181" s="11">
        <v>1</v>
      </c>
      <c r="H1181" s="11">
        <v>0</v>
      </c>
      <c r="I1181" s="11">
        <f>SUM('PEPE SIERRA '!$B1181:$H1181)</f>
        <v>1</v>
      </c>
      <c r="J1181" s="60">
        <f t="shared" si="564"/>
        <v>0.14285714285714285</v>
      </c>
    </row>
    <row r="1182" spans="1:10" s="186" customFormat="1" x14ac:dyDescent="0.25">
      <c r="A1182" s="213" t="s">
        <v>17</v>
      </c>
      <c r="B1182" s="192">
        <f>SUM(B1177:B1181)</f>
        <v>103</v>
      </c>
      <c r="C1182" s="192">
        <f t="shared" ref="C1182:I1182" si="565">SUM(C1177:C1181)</f>
        <v>127</v>
      </c>
      <c r="D1182" s="192">
        <f t="shared" si="565"/>
        <v>140</v>
      </c>
      <c r="E1182" s="192">
        <f t="shared" si="565"/>
        <v>172</v>
      </c>
      <c r="F1182" s="192">
        <f t="shared" si="565"/>
        <v>310</v>
      </c>
      <c r="G1182" s="192">
        <f t="shared" si="565"/>
        <v>320</v>
      </c>
      <c r="H1182" s="192">
        <f t="shared" si="565"/>
        <v>299</v>
      </c>
      <c r="I1182" s="192">
        <f t="shared" si="565"/>
        <v>1471</v>
      </c>
      <c r="J1182" s="214">
        <f t="shared" si="564"/>
        <v>210.14285714285714</v>
      </c>
    </row>
    <row r="1183" spans="1:10" s="186" customFormat="1" x14ac:dyDescent="0.25">
      <c r="A1183" s="212" t="s">
        <v>18</v>
      </c>
      <c r="B1183" s="30">
        <v>0.68</v>
      </c>
      <c r="C1183" s="30">
        <v>0.71</v>
      </c>
      <c r="D1183" s="30">
        <v>0.67</v>
      </c>
      <c r="E1183" s="30">
        <v>0.72</v>
      </c>
      <c r="F1183" s="30">
        <v>0.76</v>
      </c>
      <c r="G1183" s="30">
        <v>0.76</v>
      </c>
      <c r="H1183" s="30">
        <v>0.74</v>
      </c>
      <c r="I1183" s="30">
        <f>I1190/I1195</f>
        <v>0.7346512146107177</v>
      </c>
      <c r="J1183" s="160">
        <f>J1190/J1195</f>
        <v>0.7346512146107177</v>
      </c>
    </row>
    <row r="1184" spans="1:10" s="186" customFormat="1" x14ac:dyDescent="0.25">
      <c r="A1184" s="212" t="s">
        <v>19</v>
      </c>
      <c r="B1184" s="30">
        <v>0.04</v>
      </c>
      <c r="C1184" s="30">
        <v>0.02</v>
      </c>
      <c r="D1184" s="30">
        <v>0.02</v>
      </c>
      <c r="E1184" s="30">
        <v>0.01</v>
      </c>
      <c r="F1184" s="30">
        <v>0.03</v>
      </c>
      <c r="G1184" s="30">
        <v>0.02</v>
      </c>
      <c r="H1184" s="30">
        <v>0.02</v>
      </c>
      <c r="I1184" s="30">
        <f>I1191/I1195</f>
        <v>2.2306831194184057E-2</v>
      </c>
      <c r="J1184" s="160">
        <f>J1191/J1195</f>
        <v>2.2306831194184057E-2</v>
      </c>
    </row>
    <row r="1185" spans="1:10" s="186" customFormat="1" x14ac:dyDescent="0.25">
      <c r="A1185" s="212" t="s">
        <v>20</v>
      </c>
      <c r="B1185" s="30">
        <v>0.27</v>
      </c>
      <c r="C1185" s="30">
        <v>0.26</v>
      </c>
      <c r="D1185" s="30">
        <v>0.18</v>
      </c>
      <c r="E1185" s="30">
        <v>0.24</v>
      </c>
      <c r="F1185" s="30">
        <v>0.2</v>
      </c>
      <c r="G1185" s="30">
        <v>0.16</v>
      </c>
      <c r="H1185" s="30">
        <v>0.22</v>
      </c>
      <c r="I1185" s="30">
        <f>I1192/I1195</f>
        <v>0.20702283175316205</v>
      </c>
      <c r="J1185" s="160">
        <f>J1192/J1195</f>
        <v>0.20702283175316202</v>
      </c>
    </row>
    <row r="1186" spans="1:10" s="186" customFormat="1" x14ac:dyDescent="0.25">
      <c r="A1186" s="212" t="s">
        <v>21</v>
      </c>
      <c r="B1186" s="30">
        <v>0.01</v>
      </c>
      <c r="C1186" s="30">
        <v>0.01</v>
      </c>
      <c r="D1186" s="30">
        <v>0.13</v>
      </c>
      <c r="E1186" s="30">
        <v>0.03</v>
      </c>
      <c r="F1186" s="30">
        <v>0.01</v>
      </c>
      <c r="G1186" s="30">
        <v>0.06</v>
      </c>
      <c r="H1186" s="30">
        <v>0.02</v>
      </c>
      <c r="I1186" s="30">
        <f>I1193/I1195</f>
        <v>3.6019122441936169E-2</v>
      </c>
      <c r="J1186" s="160">
        <f>J1193/J1195</f>
        <v>3.6019122441936169E-2</v>
      </c>
    </row>
    <row r="1187" spans="1:10" s="186" customFormat="1" x14ac:dyDescent="0.25">
      <c r="A1187" s="212" t="s">
        <v>22</v>
      </c>
      <c r="B1187" s="30">
        <v>0</v>
      </c>
      <c r="C1187" s="30">
        <v>0</v>
      </c>
      <c r="D1187" s="30">
        <v>0</v>
      </c>
      <c r="E1187" s="30">
        <v>0</v>
      </c>
      <c r="F1187" s="30">
        <v>0</v>
      </c>
      <c r="G1187" s="30">
        <v>0</v>
      </c>
      <c r="H1187" s="30">
        <v>0</v>
      </c>
      <c r="I1187" s="30">
        <f>I1194/I1195</f>
        <v>0</v>
      </c>
      <c r="J1187" s="160">
        <f>J1194/J1195</f>
        <v>0</v>
      </c>
    </row>
    <row r="1188" spans="1:10" s="186" customFormat="1" x14ac:dyDescent="0.25">
      <c r="A1188" s="215" t="s">
        <v>23</v>
      </c>
      <c r="B1188" s="66">
        <f t="shared" ref="B1188:J1188" si="566">B1199/B1182</f>
        <v>33325.2427184466</v>
      </c>
      <c r="C1188" s="66">
        <f t="shared" si="566"/>
        <v>33396.850393700784</v>
      </c>
      <c r="D1188" s="66">
        <f t="shared" si="566"/>
        <v>33780</v>
      </c>
      <c r="E1188" s="66">
        <f t="shared" si="566"/>
        <v>35264.534883720939</v>
      </c>
      <c r="F1188" s="66">
        <f t="shared" si="566"/>
        <v>38522.258064516129</v>
      </c>
      <c r="G1188" s="66">
        <f t="shared" si="566"/>
        <v>39127.500000000007</v>
      </c>
      <c r="H1188" s="66">
        <f t="shared" si="566"/>
        <v>41032.107023411372</v>
      </c>
      <c r="I1188" s="66">
        <f t="shared" si="566"/>
        <v>37525.424881033316</v>
      </c>
      <c r="J1188" s="67">
        <f t="shared" si="566"/>
        <v>37525.424881033316</v>
      </c>
    </row>
    <row r="1189" spans="1:10" s="186" customFormat="1" x14ac:dyDescent="0.25">
      <c r="A1189" s="215" t="s">
        <v>24</v>
      </c>
      <c r="B1189" s="66">
        <f t="shared" ref="B1189:I1189" si="567">+B1199/B1176</f>
        <v>28844.537815126052</v>
      </c>
      <c r="C1189" s="66">
        <f t="shared" si="567"/>
        <v>27188.461538461539</v>
      </c>
      <c r="D1189" s="66">
        <f t="shared" si="567"/>
        <v>27495.348837209302</v>
      </c>
      <c r="E1189" s="66">
        <f t="shared" si="567"/>
        <v>27570.454545454551</v>
      </c>
      <c r="F1189" s="66">
        <f t="shared" si="567"/>
        <v>30232.6582278481</v>
      </c>
      <c r="G1189" s="66">
        <f t="shared" si="567"/>
        <v>30316.707021791772</v>
      </c>
      <c r="H1189" s="66">
        <f t="shared" si="567"/>
        <v>31138.578680203045</v>
      </c>
      <c r="I1189" s="66">
        <f t="shared" si="567"/>
        <v>29534.456928838954</v>
      </c>
      <c r="J1189" s="67">
        <f>J1199/J1176</f>
        <v>29534.456928838954</v>
      </c>
    </row>
    <row r="1190" spans="1:10" s="186" customFormat="1" x14ac:dyDescent="0.25">
      <c r="A1190" s="212" t="s">
        <v>25</v>
      </c>
      <c r="B1190" s="92">
        <f t="shared" ref="B1190:H1190" si="568">B1195*B1183</f>
        <v>1918369.5724137933</v>
      </c>
      <c r="C1190" s="92">
        <f t="shared" si="568"/>
        <v>2478215.4603448277</v>
      </c>
      <c r="D1190" s="92">
        <f t="shared" si="568"/>
        <v>2601574.1896551726</v>
      </c>
      <c r="E1190" s="92">
        <f t="shared" si="568"/>
        <v>3586359.1034482764</v>
      </c>
      <c r="F1190" s="92">
        <f t="shared" si="568"/>
        <v>7462049.6482758624</v>
      </c>
      <c r="G1190" s="92">
        <f t="shared" si="568"/>
        <v>7829864.3586206911</v>
      </c>
      <c r="H1190" s="92">
        <f t="shared" si="568"/>
        <v>7498012.4896551725</v>
      </c>
      <c r="I1190" s="31">
        <f t="shared" ref="I1190:I1195" si="569">SUM(B1190:H1190)</f>
        <v>33374444.822413795</v>
      </c>
      <c r="J1190" s="32">
        <f t="shared" ref="J1190:J1199" si="570">I1190/7</f>
        <v>4767777.8317733994</v>
      </c>
    </row>
    <row r="1191" spans="1:10" s="186" customFormat="1" x14ac:dyDescent="0.25">
      <c r="A1191" s="212" t="s">
        <v>26</v>
      </c>
      <c r="B1191" s="92">
        <f t="shared" ref="B1191:H1191" si="571">B1195*B1184</f>
        <v>112845.26896551724</v>
      </c>
      <c r="C1191" s="92">
        <f t="shared" si="571"/>
        <v>69808.886206896554</v>
      </c>
      <c r="D1191" s="92">
        <f t="shared" si="571"/>
        <v>77658.931034482768</v>
      </c>
      <c r="E1191" s="92">
        <f t="shared" si="571"/>
        <v>49810.543103448283</v>
      </c>
      <c r="F1191" s="92">
        <f t="shared" si="571"/>
        <v>294554.59137931035</v>
      </c>
      <c r="G1191" s="92">
        <f t="shared" si="571"/>
        <v>206049.06206896555</v>
      </c>
      <c r="H1191" s="92">
        <f t="shared" si="571"/>
        <v>202648.98620689657</v>
      </c>
      <c r="I1191" s="31">
        <f t="shared" si="569"/>
        <v>1013376.2689655174</v>
      </c>
      <c r="J1191" s="32">
        <f t="shared" si="570"/>
        <v>144768.03842364534</v>
      </c>
    </row>
    <row r="1192" spans="1:10" s="186" customFormat="1" x14ac:dyDescent="0.25">
      <c r="A1192" s="212" t="s">
        <v>27</v>
      </c>
      <c r="B1192" s="92">
        <f t="shared" ref="B1192:H1192" si="572">B1195*B1185</f>
        <v>761705.56551724148</v>
      </c>
      <c r="C1192" s="92">
        <f t="shared" si="572"/>
        <v>907515.52068965521</v>
      </c>
      <c r="D1192" s="92">
        <f t="shared" si="572"/>
        <v>698930.37931034481</v>
      </c>
      <c r="E1192" s="92">
        <f t="shared" si="572"/>
        <v>1195453.0344827587</v>
      </c>
      <c r="F1192" s="92">
        <f t="shared" si="572"/>
        <v>1963697.2758620691</v>
      </c>
      <c r="G1192" s="92">
        <f t="shared" si="572"/>
        <v>1648392.4965517244</v>
      </c>
      <c r="H1192" s="92">
        <f t="shared" si="572"/>
        <v>2229138.8482758622</v>
      </c>
      <c r="I1192" s="31">
        <f t="shared" si="569"/>
        <v>9404833.1206896547</v>
      </c>
      <c r="J1192" s="32">
        <f t="shared" si="570"/>
        <v>1343547.5886699506</v>
      </c>
    </row>
    <row r="1193" spans="1:10" s="186" customFormat="1" x14ac:dyDescent="0.25">
      <c r="A1193" s="212" t="s">
        <v>28</v>
      </c>
      <c r="B1193" s="92">
        <f t="shared" ref="B1193:H1193" si="573">B1195*B1186</f>
        <v>28211.317241379311</v>
      </c>
      <c r="C1193" s="92">
        <f t="shared" si="573"/>
        <v>34904.443103448277</v>
      </c>
      <c r="D1193" s="92">
        <f t="shared" si="573"/>
        <v>504783.05172413797</v>
      </c>
      <c r="E1193" s="92">
        <f t="shared" si="573"/>
        <v>149431.62931034484</v>
      </c>
      <c r="F1193" s="92">
        <f t="shared" si="573"/>
        <v>98184.863793103461</v>
      </c>
      <c r="G1193" s="92">
        <f t="shared" si="573"/>
        <v>618147.18620689667</v>
      </c>
      <c r="H1193" s="92">
        <f t="shared" si="573"/>
        <v>202648.98620689657</v>
      </c>
      <c r="I1193" s="31">
        <f t="shared" si="569"/>
        <v>1636311.477586207</v>
      </c>
      <c r="J1193" s="32">
        <f t="shared" si="570"/>
        <v>233758.78251231529</v>
      </c>
    </row>
    <row r="1194" spans="1:10" s="186" customFormat="1" x14ac:dyDescent="0.25">
      <c r="A1194" s="212" t="s">
        <v>29</v>
      </c>
      <c r="B1194" s="92">
        <f t="shared" ref="B1194:H1194" si="574">B1195*B1187</f>
        <v>0</v>
      </c>
      <c r="C1194" s="92">
        <f t="shared" si="574"/>
        <v>0</v>
      </c>
      <c r="D1194" s="92">
        <f t="shared" si="574"/>
        <v>0</v>
      </c>
      <c r="E1194" s="92">
        <f t="shared" si="574"/>
        <v>0</v>
      </c>
      <c r="F1194" s="92">
        <f t="shared" si="574"/>
        <v>0</v>
      </c>
      <c r="G1194" s="92">
        <f t="shared" si="574"/>
        <v>0</v>
      </c>
      <c r="H1194" s="92">
        <f t="shared" si="574"/>
        <v>0</v>
      </c>
      <c r="I1194" s="31">
        <f t="shared" si="569"/>
        <v>0</v>
      </c>
      <c r="J1194" s="32">
        <f t="shared" si="570"/>
        <v>0</v>
      </c>
    </row>
    <row r="1195" spans="1:10" s="186" customFormat="1" x14ac:dyDescent="0.25">
      <c r="A1195" s="216" t="s">
        <v>30</v>
      </c>
      <c r="B1195" s="222">
        <f>(3432500/1.16)-B1196</f>
        <v>2821131.7241379311</v>
      </c>
      <c r="C1195" s="222">
        <f>(4241400/1.16)-C1196</f>
        <v>3490444.3103448278</v>
      </c>
      <c r="D1195" s="222">
        <f>(4729200/1.16)-D1196</f>
        <v>3882946.5517241382</v>
      </c>
      <c r="E1195" s="222">
        <f>(6065500/1.16)-E1196</f>
        <v>4981054.3103448283</v>
      </c>
      <c r="F1195" s="222">
        <f>(11941900/1.16)-F1196</f>
        <v>9818486.3793103453</v>
      </c>
      <c r="G1195" s="222">
        <f>(12520800/1.16)-G1196</f>
        <v>10302453.103448277</v>
      </c>
      <c r="H1195" s="222">
        <f>(12268600/1.16)-H1196</f>
        <v>10132449.310344828</v>
      </c>
      <c r="I1195" s="197">
        <f t="shared" si="569"/>
        <v>45428965.689655177</v>
      </c>
      <c r="J1195" s="217">
        <f t="shared" si="570"/>
        <v>6489852.2413793113</v>
      </c>
    </row>
    <row r="1196" spans="1:10" s="186" customFormat="1" x14ac:dyDescent="0.25">
      <c r="A1196" s="212" t="s">
        <v>31</v>
      </c>
      <c r="B1196" s="92">
        <f t="shared" ref="B1196:I1196" si="575">2155*B1177</f>
        <v>137920</v>
      </c>
      <c r="C1196" s="92">
        <f t="shared" si="575"/>
        <v>165935</v>
      </c>
      <c r="D1196" s="92">
        <f t="shared" si="575"/>
        <v>193950</v>
      </c>
      <c r="E1196" s="92">
        <f t="shared" si="575"/>
        <v>247825</v>
      </c>
      <c r="F1196" s="92">
        <f t="shared" si="575"/>
        <v>476255</v>
      </c>
      <c r="G1196" s="31">
        <f t="shared" si="575"/>
        <v>491340</v>
      </c>
      <c r="H1196" s="31">
        <f t="shared" si="575"/>
        <v>443930</v>
      </c>
      <c r="I1196" s="31">
        <f t="shared" si="575"/>
        <v>2157155</v>
      </c>
      <c r="J1196" s="32">
        <f t="shared" si="570"/>
        <v>308165</v>
      </c>
    </row>
    <row r="1197" spans="1:10" s="186" customFormat="1" x14ac:dyDescent="0.25">
      <c r="A1197" s="218" t="s">
        <v>32</v>
      </c>
      <c r="B1197" s="199">
        <f>B1196+B1195</f>
        <v>2959051.7241379311</v>
      </c>
      <c r="C1197" s="199">
        <f>C1196+C1195</f>
        <v>3656379.3103448278</v>
      </c>
      <c r="D1197" s="199">
        <f>D1196+D1195</f>
        <v>4076896.5517241382</v>
      </c>
      <c r="E1197" s="199">
        <f>E1196+E1195</f>
        <v>5228879.3103448283</v>
      </c>
      <c r="F1197" s="199">
        <f>F1195+F1196</f>
        <v>10294741.379310345</v>
      </c>
      <c r="G1197" s="199">
        <f>G1196+G1195</f>
        <v>10793793.103448277</v>
      </c>
      <c r="H1197" s="199">
        <f>H1196+H1195</f>
        <v>10576379.310344828</v>
      </c>
      <c r="I1197" s="199">
        <f>I1195+I1196</f>
        <v>47586120.689655177</v>
      </c>
      <c r="J1197" s="219">
        <f t="shared" si="570"/>
        <v>6798017.2413793113</v>
      </c>
    </row>
    <row r="1198" spans="1:10" s="186" customFormat="1" x14ac:dyDescent="0.25">
      <c r="A1198" s="212" t="s">
        <v>33</v>
      </c>
      <c r="B1198" s="94">
        <f>B1197*16%</f>
        <v>473448.27586206899</v>
      </c>
      <c r="C1198" s="94">
        <f t="shared" ref="C1198:H1198" si="576">C1197*16%</f>
        <v>585020.68965517252</v>
      </c>
      <c r="D1198" s="94">
        <f t="shared" si="576"/>
        <v>652303.44827586215</v>
      </c>
      <c r="E1198" s="94">
        <f t="shared" si="576"/>
        <v>836620.68965517252</v>
      </c>
      <c r="F1198" s="94">
        <f t="shared" si="576"/>
        <v>1647158.6206896552</v>
      </c>
      <c r="G1198" s="94">
        <f t="shared" si="576"/>
        <v>1727006.8965517245</v>
      </c>
      <c r="H1198" s="94">
        <f t="shared" si="576"/>
        <v>1692220.6896551726</v>
      </c>
      <c r="I1198" s="94">
        <f>I1197*16%</f>
        <v>7613779.3103448283</v>
      </c>
      <c r="J1198" s="32">
        <f t="shared" si="570"/>
        <v>1087682.7586206899</v>
      </c>
    </row>
    <row r="1199" spans="1:10" s="186" customFormat="1" x14ac:dyDescent="0.25">
      <c r="A1199" s="220" t="s">
        <v>34</v>
      </c>
      <c r="B1199" s="202">
        <f>B1197+B1198</f>
        <v>3432500</v>
      </c>
      <c r="C1199" s="202">
        <f t="shared" ref="C1199:H1199" si="577">C1197+C1198</f>
        <v>4241400</v>
      </c>
      <c r="D1199" s="202">
        <f t="shared" si="577"/>
        <v>4729200</v>
      </c>
      <c r="E1199" s="202">
        <f t="shared" si="577"/>
        <v>6065500.0000000009</v>
      </c>
      <c r="F1199" s="202">
        <f t="shared" si="577"/>
        <v>11941900</v>
      </c>
      <c r="G1199" s="202">
        <f t="shared" si="577"/>
        <v>12520800.000000002</v>
      </c>
      <c r="H1199" s="202">
        <f t="shared" si="577"/>
        <v>12268600</v>
      </c>
      <c r="I1199" s="202">
        <f>I1197+I1198</f>
        <v>55199900.000000007</v>
      </c>
      <c r="J1199" s="221">
        <f t="shared" si="570"/>
        <v>7885700.0000000009</v>
      </c>
    </row>
    <row r="1200" spans="1:10" s="186" customFormat="1" ht="15.75" thickBot="1" x14ac:dyDescent="0.3">
      <c r="A1200" s="204"/>
      <c r="B1200" s="112"/>
      <c r="C1200" s="112"/>
      <c r="D1200" s="112"/>
      <c r="E1200" s="112"/>
      <c r="F1200" s="112"/>
      <c r="G1200" s="112"/>
      <c r="H1200" s="112"/>
      <c r="I1200" s="112"/>
      <c r="J1200" s="205"/>
    </row>
    <row r="1201" spans="1:12" s="186" customFormat="1" ht="26.25" x14ac:dyDescent="0.25">
      <c r="A1201"/>
      <c r="B1201" s="1002" t="s">
        <v>297</v>
      </c>
      <c r="C1201" s="1002"/>
      <c r="D1201" s="1002"/>
      <c r="E1201" s="1002"/>
      <c r="F1201" s="1002"/>
      <c r="G1201" s="1002"/>
      <c r="H1201" s="1002"/>
      <c r="I1201"/>
      <c r="J1201"/>
    </row>
    <row r="1202" spans="1:12" s="186" customFormat="1" ht="15.75" x14ac:dyDescent="0.25">
      <c r="A1202" s="207" t="s">
        <v>2</v>
      </c>
      <c r="B1202" s="121" t="s">
        <v>298</v>
      </c>
      <c r="C1202" s="121" t="s">
        <v>299</v>
      </c>
      <c r="D1202" s="121" t="s">
        <v>300</v>
      </c>
      <c r="E1202" s="121" t="s">
        <v>301</v>
      </c>
      <c r="F1202" s="121" t="s">
        <v>65</v>
      </c>
      <c r="G1202" s="121" t="s">
        <v>66</v>
      </c>
      <c r="H1202" s="121" t="s">
        <v>67</v>
      </c>
      <c r="I1202" s="121" t="s">
        <v>96</v>
      </c>
      <c r="J1202" s="209" t="s">
        <v>97</v>
      </c>
    </row>
    <row r="1203" spans="1:12" s="186" customFormat="1" x14ac:dyDescent="0.25">
      <c r="A1203" s="210" t="s">
        <v>11</v>
      </c>
      <c r="B1203" s="189">
        <f>165+137+46</f>
        <v>348</v>
      </c>
      <c r="C1203" s="189">
        <f>69+29+11</f>
        <v>109</v>
      </c>
      <c r="D1203" s="189">
        <f>105+52+17</f>
        <v>174</v>
      </c>
      <c r="E1203" s="190">
        <f>114+48+33</f>
        <v>195</v>
      </c>
      <c r="F1203" s="190">
        <v>340</v>
      </c>
      <c r="G1203" s="190">
        <f>241+137+52</f>
        <v>430</v>
      </c>
      <c r="H1203" s="190">
        <f>222+150+43</f>
        <v>415</v>
      </c>
      <c r="I1203" s="190">
        <f>SUM(B1203:H1203)</f>
        <v>2011</v>
      </c>
      <c r="J1203" s="211">
        <f>+I1203/7</f>
        <v>287.28571428571428</v>
      </c>
    </row>
    <row r="1204" spans="1:12" s="186" customFormat="1" x14ac:dyDescent="0.25">
      <c r="A1204" s="212" t="s">
        <v>12</v>
      </c>
      <c r="B1204" s="11">
        <v>212</v>
      </c>
      <c r="C1204" s="11">
        <v>54</v>
      </c>
      <c r="D1204" s="11">
        <v>105</v>
      </c>
      <c r="E1204" s="11">
        <v>92</v>
      </c>
      <c r="F1204" s="11">
        <v>165</v>
      </c>
      <c r="G1204" s="11">
        <v>226</v>
      </c>
      <c r="H1204" s="11">
        <v>242</v>
      </c>
      <c r="I1204" s="11">
        <f>SUM('PEPE SIERRA '!$B1204:$H1204)</f>
        <v>1096</v>
      </c>
      <c r="J1204" s="60">
        <f t="shared" ref="J1204:J1209" si="578">I1204/7</f>
        <v>156.57142857142858</v>
      </c>
      <c r="L1204" s="223">
        <f>+I1204/$I$1209</f>
        <v>0.67198038013488659</v>
      </c>
    </row>
    <row r="1205" spans="1:12" s="186" customFormat="1" x14ac:dyDescent="0.25">
      <c r="A1205" s="212" t="s">
        <v>13</v>
      </c>
      <c r="B1205" s="11">
        <v>6</v>
      </c>
      <c r="C1205" s="11">
        <v>4</v>
      </c>
      <c r="D1205" s="11">
        <v>2</v>
      </c>
      <c r="E1205" s="11">
        <v>2</v>
      </c>
      <c r="F1205" s="11">
        <v>8</v>
      </c>
      <c r="G1205" s="11">
        <v>8</v>
      </c>
      <c r="H1205" s="11">
        <v>4</v>
      </c>
      <c r="I1205" s="11">
        <f>SUM('PEPE SIERRA '!$B1205:$H1205)</f>
        <v>34</v>
      </c>
      <c r="J1205" s="60">
        <f t="shared" si="578"/>
        <v>4.8571428571428568</v>
      </c>
      <c r="L1205" s="223">
        <f>+I1205/$I$1209</f>
        <v>2.0846106683016553E-2</v>
      </c>
    </row>
    <row r="1206" spans="1:12" s="186" customFormat="1" x14ac:dyDescent="0.25">
      <c r="A1206" s="212" t="s">
        <v>14</v>
      </c>
      <c r="B1206" s="11">
        <v>68</v>
      </c>
      <c r="C1206" s="11">
        <v>30</v>
      </c>
      <c r="D1206" s="11">
        <v>40</v>
      </c>
      <c r="E1206" s="11">
        <v>50</v>
      </c>
      <c r="F1206" s="11">
        <v>111</v>
      </c>
      <c r="G1206" s="11">
        <v>84</v>
      </c>
      <c r="H1206" s="86">
        <v>84</v>
      </c>
      <c r="I1206" s="11">
        <f>SUM('PEPE SIERRA '!$B1206:$H1206)</f>
        <v>467</v>
      </c>
      <c r="J1206" s="60">
        <f t="shared" si="578"/>
        <v>66.714285714285708</v>
      </c>
      <c r="L1206" s="223">
        <f>+I1206/$I$1209</f>
        <v>0.28632740649908034</v>
      </c>
    </row>
    <row r="1207" spans="1:12" s="186" customFormat="1" x14ac:dyDescent="0.25">
      <c r="A1207" s="212" t="s">
        <v>15</v>
      </c>
      <c r="B1207" s="11">
        <v>7</v>
      </c>
      <c r="C1207" s="11">
        <v>6</v>
      </c>
      <c r="D1207" s="11">
        <v>4</v>
      </c>
      <c r="E1207" s="11">
        <v>4</v>
      </c>
      <c r="F1207" s="11">
        <v>1</v>
      </c>
      <c r="G1207" s="11">
        <v>3</v>
      </c>
      <c r="H1207" s="11">
        <v>8</v>
      </c>
      <c r="I1207" s="11">
        <f>SUM('PEPE SIERRA '!$B1207:$H1207)</f>
        <v>33</v>
      </c>
      <c r="J1207" s="60">
        <f t="shared" si="578"/>
        <v>4.7142857142857144</v>
      </c>
      <c r="L1207" s="223">
        <f>+I1207/$I$1209</f>
        <v>2.023298589822195E-2</v>
      </c>
    </row>
    <row r="1208" spans="1:12" s="186" customFormat="1" x14ac:dyDescent="0.25">
      <c r="A1208" s="212" t="s">
        <v>16</v>
      </c>
      <c r="B1208" s="11">
        <v>0</v>
      </c>
      <c r="C1208" s="11">
        <v>0</v>
      </c>
      <c r="D1208" s="11">
        <v>0</v>
      </c>
      <c r="E1208" s="11">
        <v>0</v>
      </c>
      <c r="F1208" s="11">
        <v>0</v>
      </c>
      <c r="G1208" s="11">
        <v>1</v>
      </c>
      <c r="H1208" s="11">
        <v>0</v>
      </c>
      <c r="I1208" s="11">
        <f>SUM('PEPE SIERRA '!$B1208:$H1208)</f>
        <v>1</v>
      </c>
      <c r="J1208" s="60">
        <f t="shared" si="578"/>
        <v>0.14285714285714285</v>
      </c>
      <c r="L1208" s="223">
        <f>+I1208/$I$1209</f>
        <v>6.131207847946045E-4</v>
      </c>
    </row>
    <row r="1209" spans="1:12" s="186" customFormat="1" x14ac:dyDescent="0.25">
      <c r="A1209" s="213" t="s">
        <v>17</v>
      </c>
      <c r="B1209" s="192">
        <f>SUM(B1204:B1208)</f>
        <v>293</v>
      </c>
      <c r="C1209" s="192">
        <f t="shared" ref="C1209:I1209" si="579">SUM(C1204:C1208)</f>
        <v>94</v>
      </c>
      <c r="D1209" s="192">
        <f t="shared" si="579"/>
        <v>151</v>
      </c>
      <c r="E1209" s="192">
        <f t="shared" si="579"/>
        <v>148</v>
      </c>
      <c r="F1209" s="192">
        <f t="shared" si="579"/>
        <v>285</v>
      </c>
      <c r="G1209" s="192">
        <f t="shared" si="579"/>
        <v>322</v>
      </c>
      <c r="H1209" s="192">
        <f t="shared" si="579"/>
        <v>338</v>
      </c>
      <c r="I1209" s="192">
        <f t="shared" si="579"/>
        <v>1631</v>
      </c>
      <c r="J1209" s="214">
        <f t="shared" si="578"/>
        <v>233</v>
      </c>
      <c r="L1209" s="223"/>
    </row>
    <row r="1210" spans="1:12" s="186" customFormat="1" x14ac:dyDescent="0.25">
      <c r="A1210" s="212" t="s">
        <v>18</v>
      </c>
      <c r="B1210" s="30">
        <v>0.75</v>
      </c>
      <c r="C1210" s="30">
        <v>0.65</v>
      </c>
      <c r="D1210" s="30">
        <v>0.77</v>
      </c>
      <c r="E1210" s="30">
        <v>0.67</v>
      </c>
      <c r="F1210" s="30">
        <v>0.65</v>
      </c>
      <c r="G1210" s="30">
        <v>0.75</v>
      </c>
      <c r="H1210" s="30">
        <v>0.74</v>
      </c>
      <c r="I1210" s="30">
        <f>I1217/I1222</f>
        <v>0.72005471489250938</v>
      </c>
      <c r="J1210" s="160">
        <f>J1217/J1222</f>
        <v>0.72005471489250927</v>
      </c>
    </row>
    <row r="1211" spans="1:12" s="186" customFormat="1" x14ac:dyDescent="0.25">
      <c r="A1211" s="212" t="s">
        <v>19</v>
      </c>
      <c r="B1211" s="30">
        <v>0.02</v>
      </c>
      <c r="C1211" s="30">
        <v>0.03</v>
      </c>
      <c r="D1211" s="30">
        <v>0.02</v>
      </c>
      <c r="E1211" s="30">
        <v>0.01</v>
      </c>
      <c r="F1211" s="30">
        <v>0.04</v>
      </c>
      <c r="G1211" s="30">
        <v>0.01</v>
      </c>
      <c r="H1211" s="30">
        <v>0.01</v>
      </c>
      <c r="I1211" s="30">
        <f>I1218/I1222</f>
        <v>1.8892782000937046E-2</v>
      </c>
      <c r="J1211" s="160">
        <f>J1218/J1222</f>
        <v>1.8892782000937042E-2</v>
      </c>
    </row>
    <row r="1212" spans="1:12" s="186" customFormat="1" x14ac:dyDescent="0.25">
      <c r="A1212" s="212" t="s">
        <v>20</v>
      </c>
      <c r="B1212" s="30">
        <v>0.21</v>
      </c>
      <c r="C1212" s="30">
        <v>0.26</v>
      </c>
      <c r="D1212" s="30">
        <v>0.19</v>
      </c>
      <c r="E1212" s="30">
        <v>0.27</v>
      </c>
      <c r="F1212" s="30">
        <v>0.31</v>
      </c>
      <c r="G1212" s="30">
        <v>0.22</v>
      </c>
      <c r="H1212" s="30">
        <v>0.23</v>
      </c>
      <c r="I1212" s="30">
        <f>I1219/I1222</f>
        <v>0.23992198967102477</v>
      </c>
      <c r="J1212" s="160">
        <f>J1219/J1222</f>
        <v>0.23992198967102477</v>
      </c>
    </row>
    <row r="1213" spans="1:12" s="186" customFormat="1" x14ac:dyDescent="0.25">
      <c r="A1213" s="212" t="s">
        <v>21</v>
      </c>
      <c r="B1213" s="30">
        <v>0.02</v>
      </c>
      <c r="C1213" s="30">
        <v>0.06</v>
      </c>
      <c r="D1213" s="30">
        <v>0.02</v>
      </c>
      <c r="E1213" s="30">
        <v>0.05</v>
      </c>
      <c r="F1213" s="30">
        <v>0</v>
      </c>
      <c r="G1213" s="30">
        <v>0.01</v>
      </c>
      <c r="H1213" s="30">
        <v>0.02</v>
      </c>
      <c r="I1213" s="30">
        <f>I1220/I1222</f>
        <v>1.8974909452345416E-2</v>
      </c>
      <c r="J1213" s="160">
        <f>J1220/J1222</f>
        <v>1.8974909452345416E-2</v>
      </c>
    </row>
    <row r="1214" spans="1:12" s="186" customFormat="1" x14ac:dyDescent="0.25">
      <c r="A1214" s="212" t="s">
        <v>22</v>
      </c>
      <c r="B1214" s="30">
        <v>0</v>
      </c>
      <c r="C1214" s="30">
        <v>0</v>
      </c>
      <c r="D1214" s="30">
        <v>0</v>
      </c>
      <c r="E1214" s="30">
        <v>0</v>
      </c>
      <c r="F1214" s="30">
        <v>0</v>
      </c>
      <c r="G1214" s="30">
        <v>0.01</v>
      </c>
      <c r="H1214" s="30">
        <v>0</v>
      </c>
      <c r="I1214" s="30">
        <f>I1221/I1222</f>
        <v>2.1556039831833701E-3</v>
      </c>
      <c r="J1214" s="160">
        <f>J1221/J1222</f>
        <v>2.1556039831833701E-3</v>
      </c>
    </row>
    <row r="1215" spans="1:12" s="186" customFormat="1" x14ac:dyDescent="0.25">
      <c r="A1215" s="215" t="s">
        <v>23</v>
      </c>
      <c r="B1215" s="66">
        <f t="shared" ref="B1215:J1215" si="580">B1226/B1209</f>
        <v>38345.733788395904</v>
      </c>
      <c r="C1215" s="66">
        <f t="shared" si="580"/>
        <v>32854.255319148935</v>
      </c>
      <c r="D1215" s="66">
        <f t="shared" si="580"/>
        <v>33420.529801324505</v>
      </c>
      <c r="E1215" s="66">
        <f t="shared" si="580"/>
        <v>36114.864864864874</v>
      </c>
      <c r="F1215" s="66">
        <f t="shared" si="580"/>
        <v>37455.087719298252</v>
      </c>
      <c r="G1215" s="66">
        <f t="shared" si="580"/>
        <v>41037.26708074534</v>
      </c>
      <c r="H1215" s="66">
        <f t="shared" si="580"/>
        <v>37916.568047337278</v>
      </c>
      <c r="I1215" s="66">
        <f t="shared" si="580"/>
        <v>37657.633353770696</v>
      </c>
      <c r="J1215" s="67">
        <f t="shared" si="580"/>
        <v>37657.633353770689</v>
      </c>
    </row>
    <row r="1216" spans="1:12" s="186" customFormat="1" x14ac:dyDescent="0.25">
      <c r="A1216" s="215" t="s">
        <v>24</v>
      </c>
      <c r="B1216" s="66">
        <f t="shared" ref="B1216:I1216" si="581">+B1226/B1203</f>
        <v>32285.344827586207</v>
      </c>
      <c r="C1216" s="66">
        <f t="shared" si="581"/>
        <v>28333.027522935779</v>
      </c>
      <c r="D1216" s="66">
        <f t="shared" si="581"/>
        <v>29002.873563218393</v>
      </c>
      <c r="E1216" s="66">
        <f t="shared" si="581"/>
        <v>27410.256410256414</v>
      </c>
      <c r="F1216" s="66">
        <f t="shared" si="581"/>
        <v>31396.176470588242</v>
      </c>
      <c r="G1216" s="66">
        <f t="shared" si="581"/>
        <v>30730.232558139534</v>
      </c>
      <c r="H1216" s="66">
        <f t="shared" si="581"/>
        <v>30881.445783132531</v>
      </c>
      <c r="I1216" s="66">
        <f t="shared" si="581"/>
        <v>30541.819990054701</v>
      </c>
      <c r="J1216" s="67">
        <f>J1226/J1203</f>
        <v>30541.819990054697</v>
      </c>
    </row>
    <row r="1217" spans="1:10" s="186" customFormat="1" x14ac:dyDescent="0.25">
      <c r="A1217" s="212" t="s">
        <v>25</v>
      </c>
      <c r="B1217" s="92">
        <f t="shared" ref="B1217:H1217" si="582">B1222*B1210</f>
        <v>6921557.5862068962</v>
      </c>
      <c r="C1217" s="92">
        <f t="shared" si="582"/>
        <v>1654872.431034483</v>
      </c>
      <c r="D1217" s="92">
        <f t="shared" si="582"/>
        <v>3175600.1465517241</v>
      </c>
      <c r="E1217" s="92">
        <f t="shared" si="582"/>
        <v>2954364.0758620696</v>
      </c>
      <c r="F1217" s="92">
        <f t="shared" si="582"/>
        <v>5750389.1810344839</v>
      </c>
      <c r="G1217" s="92">
        <f t="shared" si="582"/>
        <v>8178261.9827586208</v>
      </c>
      <c r="H1217" s="92">
        <f t="shared" si="582"/>
        <v>7789679.1517241383</v>
      </c>
      <c r="I1217" s="31">
        <f t="shared" ref="I1217:I1222" si="583">SUM(B1217:H1217)</f>
        <v>36424724.555172414</v>
      </c>
      <c r="J1217" s="32">
        <f t="shared" ref="J1217:J1226" si="584">I1217/7</f>
        <v>5203532.0793103445</v>
      </c>
    </row>
    <row r="1218" spans="1:10" s="186" customFormat="1" x14ac:dyDescent="0.25">
      <c r="A1218" s="212" t="s">
        <v>26</v>
      </c>
      <c r="B1218" s="92">
        <f t="shared" ref="B1218:H1218" si="585">B1222*B1211</f>
        <v>184574.86896551723</v>
      </c>
      <c r="C1218" s="92">
        <f t="shared" si="585"/>
        <v>76378.727586206893</v>
      </c>
      <c r="D1218" s="92">
        <f t="shared" si="585"/>
        <v>82483.120689655174</v>
      </c>
      <c r="E1218" s="92">
        <f t="shared" si="585"/>
        <v>44094.986206896559</v>
      </c>
      <c r="F1218" s="92">
        <f t="shared" si="585"/>
        <v>353870.10344827594</v>
      </c>
      <c r="G1218" s="92">
        <f t="shared" si="585"/>
        <v>109043.49310344829</v>
      </c>
      <c r="H1218" s="92">
        <f t="shared" si="585"/>
        <v>105265.93448275863</v>
      </c>
      <c r="I1218" s="31">
        <f t="shared" si="583"/>
        <v>955711.23448275868</v>
      </c>
      <c r="J1218" s="32">
        <f t="shared" si="584"/>
        <v>136530.1763546798</v>
      </c>
    </row>
    <row r="1219" spans="1:10" s="186" customFormat="1" x14ac:dyDescent="0.25">
      <c r="A1219" s="212" t="s">
        <v>27</v>
      </c>
      <c r="B1219" s="92">
        <f t="shared" ref="B1219:H1219" si="586">B1222*B1212</f>
        <v>1938036.124137931</v>
      </c>
      <c r="C1219" s="92">
        <f t="shared" si="586"/>
        <v>661948.97241379321</v>
      </c>
      <c r="D1219" s="92">
        <f t="shared" si="586"/>
        <v>783589.64655172417</v>
      </c>
      <c r="E1219" s="92">
        <f t="shared" si="586"/>
        <v>1190564.6275862071</v>
      </c>
      <c r="F1219" s="92">
        <f t="shared" si="586"/>
        <v>2742493.3017241382</v>
      </c>
      <c r="G1219" s="92">
        <f t="shared" si="586"/>
        <v>2398956.8482758622</v>
      </c>
      <c r="H1219" s="92">
        <f t="shared" si="586"/>
        <v>2421116.4931034483</v>
      </c>
      <c r="I1219" s="31">
        <f t="shared" si="583"/>
        <v>12136706.013793105</v>
      </c>
      <c r="J1219" s="32">
        <f t="shared" si="584"/>
        <v>1733815.1448275864</v>
      </c>
    </row>
    <row r="1220" spans="1:10" s="186" customFormat="1" x14ac:dyDescent="0.25">
      <c r="A1220" s="212" t="s">
        <v>28</v>
      </c>
      <c r="B1220" s="92">
        <f t="shared" ref="B1220:H1220" si="587">B1222*B1213</f>
        <v>184574.86896551723</v>
      </c>
      <c r="C1220" s="92">
        <f t="shared" si="587"/>
        <v>152757.45517241379</v>
      </c>
      <c r="D1220" s="92">
        <f t="shared" si="587"/>
        <v>82483.120689655174</v>
      </c>
      <c r="E1220" s="92">
        <f t="shared" si="587"/>
        <v>220474.93103448278</v>
      </c>
      <c r="F1220" s="92">
        <f t="shared" si="587"/>
        <v>0</v>
      </c>
      <c r="G1220" s="92">
        <f t="shared" si="587"/>
        <v>109043.49310344829</v>
      </c>
      <c r="H1220" s="92">
        <f t="shared" si="587"/>
        <v>210531.86896551726</v>
      </c>
      <c r="I1220" s="31">
        <f t="shared" si="583"/>
        <v>959865.73793103453</v>
      </c>
      <c r="J1220" s="32">
        <f t="shared" si="584"/>
        <v>137123.67684729066</v>
      </c>
    </row>
    <row r="1221" spans="1:10" s="186" customFormat="1" x14ac:dyDescent="0.25">
      <c r="A1221" s="212" t="s">
        <v>29</v>
      </c>
      <c r="B1221" s="92">
        <f t="shared" ref="B1221:H1221" si="588">B1222*B1214</f>
        <v>0</v>
      </c>
      <c r="C1221" s="92">
        <f t="shared" si="588"/>
        <v>0</v>
      </c>
      <c r="D1221" s="92">
        <f t="shared" si="588"/>
        <v>0</v>
      </c>
      <c r="E1221" s="92">
        <f t="shared" si="588"/>
        <v>0</v>
      </c>
      <c r="F1221" s="92">
        <f t="shared" si="588"/>
        <v>0</v>
      </c>
      <c r="G1221" s="92">
        <f t="shared" si="588"/>
        <v>109043.49310344829</v>
      </c>
      <c r="H1221" s="92">
        <f t="shared" si="588"/>
        <v>0</v>
      </c>
      <c r="I1221" s="31">
        <f t="shared" si="583"/>
        <v>109043.49310344829</v>
      </c>
      <c r="J1221" s="32">
        <f t="shared" si="584"/>
        <v>15577.641871921183</v>
      </c>
    </row>
    <row r="1222" spans="1:10" s="186" customFormat="1" x14ac:dyDescent="0.25">
      <c r="A1222" s="216" t="s">
        <v>30</v>
      </c>
      <c r="B1222" s="222">
        <f>(11235300/1.16)-B1223</f>
        <v>9228743.4482758623</v>
      </c>
      <c r="C1222" s="222">
        <f>(3088300/1.16)-C1223</f>
        <v>2545957.5862068967</v>
      </c>
      <c r="D1222" s="222">
        <f>(5046500/1.16)-D1223</f>
        <v>4124156.0344827585</v>
      </c>
      <c r="E1222" s="222">
        <f>(5345000/1.16)-E1223</f>
        <v>4409498.6206896557</v>
      </c>
      <c r="F1222" s="222">
        <f>(10674700/1.16)-F1223</f>
        <v>8846752.5862068981</v>
      </c>
      <c r="G1222" s="222">
        <f>(13214000/1.16)-G1223</f>
        <v>10904349.310344828</v>
      </c>
      <c r="H1222" s="222">
        <f>(12815800/1.16)-H1223</f>
        <v>10526593.448275862</v>
      </c>
      <c r="I1222" s="197">
        <f t="shared" si="583"/>
        <v>50586051.034482762</v>
      </c>
      <c r="J1222" s="217">
        <f t="shared" si="584"/>
        <v>7226578.7192118233</v>
      </c>
    </row>
    <row r="1223" spans="1:10" s="186" customFormat="1" x14ac:dyDescent="0.25">
      <c r="A1223" s="212" t="s">
        <v>31</v>
      </c>
      <c r="B1223" s="92">
        <f t="shared" ref="B1223:I1223" si="589">2155*B1204</f>
        <v>456860</v>
      </c>
      <c r="C1223" s="92">
        <f t="shared" si="589"/>
        <v>116370</v>
      </c>
      <c r="D1223" s="92">
        <f t="shared" si="589"/>
        <v>226275</v>
      </c>
      <c r="E1223" s="92">
        <f t="shared" si="589"/>
        <v>198260</v>
      </c>
      <c r="F1223" s="92">
        <f t="shared" si="589"/>
        <v>355575</v>
      </c>
      <c r="G1223" s="31">
        <f t="shared" si="589"/>
        <v>487030</v>
      </c>
      <c r="H1223" s="31">
        <f t="shared" si="589"/>
        <v>521510</v>
      </c>
      <c r="I1223" s="31">
        <f t="shared" si="589"/>
        <v>2361880</v>
      </c>
      <c r="J1223" s="32">
        <f t="shared" si="584"/>
        <v>337411.42857142858</v>
      </c>
    </row>
    <row r="1224" spans="1:10" s="186" customFormat="1" x14ac:dyDescent="0.25">
      <c r="A1224" s="218" t="s">
        <v>32</v>
      </c>
      <c r="B1224" s="199">
        <f>B1223+B1222</f>
        <v>9685603.4482758623</v>
      </c>
      <c r="C1224" s="199">
        <f>C1223+C1222</f>
        <v>2662327.5862068967</v>
      </c>
      <c r="D1224" s="199">
        <f>D1223+D1222</f>
        <v>4350431.0344827585</v>
      </c>
      <c r="E1224" s="199">
        <f>E1223+E1222</f>
        <v>4607758.6206896557</v>
      </c>
      <c r="F1224" s="199">
        <f>F1222+F1223</f>
        <v>9202327.5862068981</v>
      </c>
      <c r="G1224" s="199">
        <f>G1223+G1222</f>
        <v>11391379.310344828</v>
      </c>
      <c r="H1224" s="199">
        <f>H1223+H1222</f>
        <v>11048103.448275862</v>
      </c>
      <c r="I1224" s="199">
        <f>I1222+I1223</f>
        <v>52947931.034482762</v>
      </c>
      <c r="J1224" s="219">
        <f t="shared" si="584"/>
        <v>7563990.1477832515</v>
      </c>
    </row>
    <row r="1225" spans="1:10" s="186" customFormat="1" x14ac:dyDescent="0.25">
      <c r="A1225" s="212" t="s">
        <v>33</v>
      </c>
      <c r="B1225" s="94">
        <f>B1224*16%</f>
        <v>1549696.551724138</v>
      </c>
      <c r="C1225" s="94">
        <f t="shared" ref="C1225:H1225" si="590">C1224*16%</f>
        <v>425972.41379310348</v>
      </c>
      <c r="D1225" s="94">
        <f t="shared" si="590"/>
        <v>696068.96551724139</v>
      </c>
      <c r="E1225" s="94">
        <f t="shared" si="590"/>
        <v>737241.37931034493</v>
      </c>
      <c r="F1225" s="94">
        <f t="shared" si="590"/>
        <v>1472372.4137931038</v>
      </c>
      <c r="G1225" s="94">
        <f t="shared" si="590"/>
        <v>1822620.6896551726</v>
      </c>
      <c r="H1225" s="94">
        <f t="shared" si="590"/>
        <v>1767696.551724138</v>
      </c>
      <c r="I1225" s="94">
        <f>I1224*16%</f>
        <v>8471668.9655172415</v>
      </c>
      <c r="J1225" s="32">
        <f t="shared" si="584"/>
        <v>1210238.4236453201</v>
      </c>
    </row>
    <row r="1226" spans="1:10" s="186" customFormat="1" x14ac:dyDescent="0.25">
      <c r="A1226" s="220" t="s">
        <v>34</v>
      </c>
      <c r="B1226" s="202">
        <f>B1224+B1225</f>
        <v>11235300</v>
      </c>
      <c r="C1226" s="202">
        <f t="shared" ref="C1226:H1226" si="591">C1224+C1225</f>
        <v>3088300</v>
      </c>
      <c r="D1226" s="202">
        <f t="shared" si="591"/>
        <v>5046500</v>
      </c>
      <c r="E1226" s="202">
        <f t="shared" si="591"/>
        <v>5345000.0000000009</v>
      </c>
      <c r="F1226" s="202">
        <f t="shared" si="591"/>
        <v>10674700.000000002</v>
      </c>
      <c r="G1226" s="202">
        <f t="shared" si="591"/>
        <v>13214000</v>
      </c>
      <c r="H1226" s="202">
        <f t="shared" si="591"/>
        <v>12815800</v>
      </c>
      <c r="I1226" s="202">
        <f>I1224+I1225</f>
        <v>61419600</v>
      </c>
      <c r="J1226" s="221">
        <f t="shared" si="584"/>
        <v>8774228.5714285709</v>
      </c>
    </row>
    <row r="1227" spans="1:10" s="186" customFormat="1" x14ac:dyDescent="0.25">
      <c r="A1227" s="224"/>
      <c r="B1227" s="225"/>
      <c r="C1227" s="225"/>
      <c r="D1227" s="225"/>
      <c r="E1227" s="225"/>
      <c r="F1227" s="225"/>
      <c r="G1227" s="225"/>
      <c r="H1227" s="225"/>
      <c r="I1227" s="225"/>
      <c r="J1227" s="226"/>
    </row>
    <row r="1228" spans="1:10" s="186" customFormat="1" ht="15.75" thickBot="1" x14ac:dyDescent="0.3">
      <c r="A1228" s="204"/>
      <c r="B1228" s="112"/>
      <c r="C1228" s="112"/>
      <c r="D1228" s="112"/>
      <c r="E1228" s="112"/>
      <c r="F1228" s="112"/>
      <c r="G1228" s="112"/>
      <c r="H1228" s="112"/>
      <c r="I1228" s="112"/>
      <c r="J1228" s="205"/>
    </row>
    <row r="1229" spans="1:10" s="186" customFormat="1" ht="26.25" x14ac:dyDescent="0.25">
      <c r="A1229"/>
      <c r="B1229" s="1002" t="s">
        <v>302</v>
      </c>
      <c r="C1229" s="1002"/>
      <c r="D1229" s="1002"/>
      <c r="E1229" s="1002"/>
      <c r="F1229" s="1002"/>
      <c r="G1229" s="1002"/>
      <c r="H1229" s="1002"/>
      <c r="I1229"/>
      <c r="J1229"/>
    </row>
    <row r="1230" spans="1:10" s="186" customFormat="1" ht="15.75" x14ac:dyDescent="0.25">
      <c r="A1230" s="227" t="s">
        <v>2</v>
      </c>
      <c r="B1230" s="228" t="s">
        <v>70</v>
      </c>
      <c r="C1230" s="228" t="s">
        <v>71</v>
      </c>
      <c r="D1230" s="228" t="s">
        <v>72</v>
      </c>
      <c r="E1230" s="228" t="s">
        <v>73</v>
      </c>
      <c r="F1230" s="228" t="s">
        <v>74</v>
      </c>
      <c r="G1230" s="228" t="s">
        <v>75</v>
      </c>
      <c r="H1230" s="228" t="s">
        <v>76</v>
      </c>
      <c r="I1230" s="228" t="s">
        <v>96</v>
      </c>
      <c r="J1230" s="228" t="s">
        <v>97</v>
      </c>
    </row>
    <row r="1231" spans="1:10" s="186" customFormat="1" x14ac:dyDescent="0.25">
      <c r="A1231" s="188" t="s">
        <v>11</v>
      </c>
      <c r="B1231" s="189">
        <f>72+37+17</f>
        <v>126</v>
      </c>
      <c r="C1231" s="189">
        <f>90+56+19</f>
        <v>165</v>
      </c>
      <c r="D1231" s="189">
        <f>107+47+17</f>
        <v>171</v>
      </c>
      <c r="E1231" s="190">
        <f>119+41+22</f>
        <v>182</v>
      </c>
      <c r="F1231" s="190">
        <f>231+111+42</f>
        <v>384</v>
      </c>
      <c r="G1231" s="190">
        <f>263+129+52</f>
        <v>444</v>
      </c>
      <c r="H1231" s="190">
        <f>221+109+56</f>
        <v>386</v>
      </c>
      <c r="I1231" s="190">
        <f>SUM(B1231:H1231)</f>
        <v>1858</v>
      </c>
      <c r="J1231" s="191">
        <f>+I1231/7</f>
        <v>265.42857142857144</v>
      </c>
    </row>
    <row r="1232" spans="1:10" s="186" customFormat="1" x14ac:dyDescent="0.25">
      <c r="A1232" s="146" t="s">
        <v>12</v>
      </c>
      <c r="B1232" s="11">
        <v>59</v>
      </c>
      <c r="C1232" s="11">
        <v>82</v>
      </c>
      <c r="D1232" s="11">
        <v>84</v>
      </c>
      <c r="E1232" s="11">
        <v>97</v>
      </c>
      <c r="F1232" s="11">
        <v>180</v>
      </c>
      <c r="G1232" s="11">
        <v>237</v>
      </c>
      <c r="H1232" s="11">
        <v>199</v>
      </c>
      <c r="I1232" s="11">
        <f>SUM('PEPE SIERRA '!$B1232:$H1232)</f>
        <v>938</v>
      </c>
      <c r="J1232" s="78">
        <f t="shared" ref="J1232:J1237" si="592">I1232/7</f>
        <v>134</v>
      </c>
    </row>
    <row r="1233" spans="1:10" s="186" customFormat="1" x14ac:dyDescent="0.25">
      <c r="A1233" s="146" t="s">
        <v>13</v>
      </c>
      <c r="B1233" s="11">
        <v>2</v>
      </c>
      <c r="C1233" s="11">
        <v>4</v>
      </c>
      <c r="D1233" s="11">
        <v>3</v>
      </c>
      <c r="E1233" s="11">
        <v>2</v>
      </c>
      <c r="F1233" s="11">
        <v>7</v>
      </c>
      <c r="G1233" s="11">
        <v>6</v>
      </c>
      <c r="H1233" s="11">
        <v>6</v>
      </c>
      <c r="I1233" s="11">
        <f>SUM('PEPE SIERRA '!$B1233:$H1233)</f>
        <v>30</v>
      </c>
      <c r="J1233" s="78">
        <f t="shared" si="592"/>
        <v>4.2857142857142856</v>
      </c>
    </row>
    <row r="1234" spans="1:10" s="186" customFormat="1" x14ac:dyDescent="0.25">
      <c r="A1234" s="146" t="s">
        <v>14</v>
      </c>
      <c r="B1234" s="11">
        <v>31</v>
      </c>
      <c r="C1234" s="11">
        <v>41</v>
      </c>
      <c r="D1234" s="11">
        <v>54</v>
      </c>
      <c r="E1234" s="11">
        <v>46</v>
      </c>
      <c r="F1234" s="11">
        <v>78</v>
      </c>
      <c r="G1234" s="11">
        <v>96</v>
      </c>
      <c r="H1234" s="86">
        <v>58</v>
      </c>
      <c r="I1234" s="11">
        <f>SUM('PEPE SIERRA '!$B1234:$H1234)</f>
        <v>404</v>
      </c>
      <c r="J1234" s="78">
        <f t="shared" si="592"/>
        <v>57.714285714285715</v>
      </c>
    </row>
    <row r="1235" spans="1:10" s="186" customFormat="1" x14ac:dyDescent="0.25">
      <c r="A1235" s="146" t="s">
        <v>15</v>
      </c>
      <c r="B1235" s="11">
        <v>7</v>
      </c>
      <c r="C1235" s="11">
        <v>1</v>
      </c>
      <c r="D1235" s="11">
        <v>3</v>
      </c>
      <c r="E1235" s="11">
        <v>3</v>
      </c>
      <c r="F1235" s="11">
        <v>18</v>
      </c>
      <c r="G1235" s="11">
        <v>7</v>
      </c>
      <c r="H1235" s="11">
        <v>28</v>
      </c>
      <c r="I1235" s="11">
        <f>SUM('PEPE SIERRA '!$B1235:$H1235)</f>
        <v>67</v>
      </c>
      <c r="J1235" s="78">
        <f t="shared" si="592"/>
        <v>9.5714285714285712</v>
      </c>
    </row>
    <row r="1236" spans="1:10" s="186" customFormat="1" x14ac:dyDescent="0.25">
      <c r="A1236" s="146" t="s">
        <v>16</v>
      </c>
      <c r="B1236" s="11">
        <v>1</v>
      </c>
      <c r="C1236" s="11">
        <v>1</v>
      </c>
      <c r="D1236" s="11">
        <v>1</v>
      </c>
      <c r="E1236" s="11">
        <v>1</v>
      </c>
      <c r="F1236" s="11">
        <v>0</v>
      </c>
      <c r="G1236" s="11">
        <v>0</v>
      </c>
      <c r="H1236" s="11">
        <v>2</v>
      </c>
      <c r="I1236" s="11">
        <f>SUM('PEPE SIERRA '!$B1236:$H1236)</f>
        <v>6</v>
      </c>
      <c r="J1236" s="78">
        <f t="shared" si="592"/>
        <v>0.8571428571428571</v>
      </c>
    </row>
    <row r="1237" spans="1:10" s="186" customFormat="1" x14ac:dyDescent="0.25">
      <c r="A1237" s="103" t="s">
        <v>17</v>
      </c>
      <c r="B1237" s="192">
        <f>SUM(B1232:B1236)</f>
        <v>100</v>
      </c>
      <c r="C1237" s="192">
        <f t="shared" ref="C1237:I1237" si="593">SUM(C1232:C1236)</f>
        <v>129</v>
      </c>
      <c r="D1237" s="192">
        <f t="shared" si="593"/>
        <v>145</v>
      </c>
      <c r="E1237" s="192">
        <f t="shared" si="593"/>
        <v>149</v>
      </c>
      <c r="F1237" s="192">
        <f t="shared" si="593"/>
        <v>283</v>
      </c>
      <c r="G1237" s="192">
        <f t="shared" si="593"/>
        <v>346</v>
      </c>
      <c r="H1237" s="192">
        <f t="shared" si="593"/>
        <v>293</v>
      </c>
      <c r="I1237" s="192">
        <f t="shared" si="593"/>
        <v>1445</v>
      </c>
      <c r="J1237" s="193">
        <f t="shared" si="592"/>
        <v>206.42857142857142</v>
      </c>
    </row>
    <row r="1238" spans="1:10" s="186" customFormat="1" x14ac:dyDescent="0.25">
      <c r="A1238" s="146" t="s">
        <v>18</v>
      </c>
      <c r="B1238" s="30">
        <v>0.65</v>
      </c>
      <c r="C1238" s="30">
        <v>0.71</v>
      </c>
      <c r="D1238" s="30">
        <v>0.64</v>
      </c>
      <c r="E1238" s="30">
        <v>0.73</v>
      </c>
      <c r="F1238" s="30">
        <v>0.72</v>
      </c>
      <c r="G1238" s="30">
        <v>0.74</v>
      </c>
      <c r="H1238" s="30">
        <v>0.73</v>
      </c>
      <c r="I1238" s="30">
        <f>I1245/I1250</f>
        <v>0.71551572232978777</v>
      </c>
      <c r="J1238" s="30">
        <f>J1245/J1250</f>
        <v>0.71551572232978788</v>
      </c>
    </row>
    <row r="1239" spans="1:10" s="186" customFormat="1" x14ac:dyDescent="0.25">
      <c r="A1239" s="146" t="s">
        <v>19</v>
      </c>
      <c r="B1239" s="30">
        <v>0.02</v>
      </c>
      <c r="C1239" s="30">
        <v>0.03</v>
      </c>
      <c r="D1239" s="30">
        <v>0.02</v>
      </c>
      <c r="E1239" s="30">
        <v>0.02</v>
      </c>
      <c r="F1239" s="30">
        <v>0.02</v>
      </c>
      <c r="G1239" s="30">
        <v>0.03</v>
      </c>
      <c r="H1239" s="30">
        <v>0.02</v>
      </c>
      <c r="I1239" s="30">
        <f>I1246/I1250</f>
        <v>2.3401842661210443E-2</v>
      </c>
      <c r="J1239" s="30">
        <f>J1246/J1250</f>
        <v>2.3401842661210443E-2</v>
      </c>
    </row>
    <row r="1240" spans="1:10" s="186" customFormat="1" x14ac:dyDescent="0.25">
      <c r="A1240" s="146" t="s">
        <v>20</v>
      </c>
      <c r="B1240" s="30">
        <v>0.27</v>
      </c>
      <c r="C1240" s="30">
        <v>0.24</v>
      </c>
      <c r="D1240" s="30">
        <v>0.31</v>
      </c>
      <c r="E1240" s="30">
        <v>0.23</v>
      </c>
      <c r="F1240" s="30">
        <v>0.2</v>
      </c>
      <c r="G1240" s="30">
        <v>0.22</v>
      </c>
      <c r="H1240" s="30">
        <v>0.16</v>
      </c>
      <c r="I1240" s="30">
        <f>I1247/I1250</f>
        <v>0.21766530404715875</v>
      </c>
      <c r="J1240" s="30">
        <f>J1247/J1250</f>
        <v>0.21766530404715875</v>
      </c>
    </row>
    <row r="1241" spans="1:10" s="186" customFormat="1" x14ac:dyDescent="0.25">
      <c r="A1241" s="146" t="s">
        <v>21</v>
      </c>
      <c r="B1241" s="30">
        <v>0.05</v>
      </c>
      <c r="C1241" s="30">
        <v>0.01</v>
      </c>
      <c r="D1241" s="30">
        <v>0.02</v>
      </c>
      <c r="E1241" s="30">
        <v>0.01</v>
      </c>
      <c r="F1241" s="30">
        <v>0.06</v>
      </c>
      <c r="G1241" s="30">
        <v>0.01</v>
      </c>
      <c r="H1241" s="30">
        <v>0.08</v>
      </c>
      <c r="I1241" s="30">
        <f>I1248/I1250</f>
        <v>3.7987607542073129E-2</v>
      </c>
      <c r="J1241" s="30">
        <f>J1248/J1250</f>
        <v>3.7987607542073129E-2</v>
      </c>
    </row>
    <row r="1242" spans="1:10" s="186" customFormat="1" x14ac:dyDescent="0.25">
      <c r="A1242" s="146" t="s">
        <v>22</v>
      </c>
      <c r="B1242" s="30">
        <v>0.01</v>
      </c>
      <c r="C1242" s="30">
        <v>0.01</v>
      </c>
      <c r="D1242" s="30">
        <v>0.01</v>
      </c>
      <c r="E1242" s="30">
        <v>0.01</v>
      </c>
      <c r="F1242" s="30">
        <v>0</v>
      </c>
      <c r="G1242" s="30">
        <v>0</v>
      </c>
      <c r="H1242" s="30">
        <v>0.01</v>
      </c>
      <c r="I1242" s="30">
        <f>I1249/I1250</f>
        <v>5.4295234197700697E-3</v>
      </c>
      <c r="J1242" s="30">
        <f>J1249/J1250</f>
        <v>5.4295234197700706E-3</v>
      </c>
    </row>
    <row r="1243" spans="1:10" s="186" customFormat="1" x14ac:dyDescent="0.25">
      <c r="A1243" s="195" t="s">
        <v>23</v>
      </c>
      <c r="B1243" s="66">
        <f t="shared" ref="B1243:J1243" si="594">B1254/B1237</f>
        <v>34135.000000000007</v>
      </c>
      <c r="C1243" s="66">
        <f t="shared" si="594"/>
        <v>36993.023255813954</v>
      </c>
      <c r="D1243" s="66">
        <f t="shared" si="594"/>
        <v>34126.206896551732</v>
      </c>
      <c r="E1243" s="66">
        <f t="shared" si="594"/>
        <v>35401.342281879202</v>
      </c>
      <c r="F1243" s="66">
        <f t="shared" si="594"/>
        <v>39228.621908127207</v>
      </c>
      <c r="G1243" s="66">
        <f t="shared" si="594"/>
        <v>39703.46820809249</v>
      </c>
      <c r="H1243" s="66">
        <f t="shared" si="594"/>
        <v>38099.317406143346</v>
      </c>
      <c r="I1243" s="66">
        <f t="shared" si="594"/>
        <v>37654.602076124567</v>
      </c>
      <c r="J1243" s="66">
        <f t="shared" si="594"/>
        <v>37654.602076124575</v>
      </c>
    </row>
    <row r="1244" spans="1:10" s="186" customFormat="1" x14ac:dyDescent="0.25">
      <c r="A1244" s="195" t="s">
        <v>24</v>
      </c>
      <c r="B1244" s="66">
        <f t="shared" ref="B1244:I1244" si="595">+B1254/B1231</f>
        <v>27091.269841269845</v>
      </c>
      <c r="C1244" s="66">
        <f t="shared" si="595"/>
        <v>28921.81818181818</v>
      </c>
      <c r="D1244" s="66">
        <f t="shared" si="595"/>
        <v>28937.4269005848</v>
      </c>
      <c r="E1244" s="66">
        <f t="shared" si="595"/>
        <v>28982.417582417587</v>
      </c>
      <c r="F1244" s="66">
        <f t="shared" si="595"/>
        <v>28910.677083333332</v>
      </c>
      <c r="G1244" s="66">
        <f t="shared" si="595"/>
        <v>30940.090090090096</v>
      </c>
      <c r="H1244" s="66">
        <f t="shared" si="595"/>
        <v>28919.948186528498</v>
      </c>
      <c r="I1244" s="66">
        <f t="shared" si="595"/>
        <v>29284.660925726588</v>
      </c>
      <c r="J1244" s="66">
        <f>J1254/J1231</f>
        <v>29284.660925726588</v>
      </c>
    </row>
    <row r="1245" spans="1:10" s="186" customFormat="1" x14ac:dyDescent="0.25">
      <c r="A1245" s="146" t="s">
        <v>25</v>
      </c>
      <c r="B1245" s="92">
        <f t="shared" ref="B1245:H1245" si="596">B1250*B1238</f>
        <v>1830092.8189655175</v>
      </c>
      <c r="C1245" s="92">
        <f t="shared" si="596"/>
        <v>2795390.2103448277</v>
      </c>
      <c r="D1245" s="92">
        <f t="shared" si="596"/>
        <v>2614243.7517241384</v>
      </c>
      <c r="E1245" s="92">
        <f t="shared" si="596"/>
        <v>3166890.6568965521</v>
      </c>
      <c r="F1245" s="92">
        <f t="shared" si="596"/>
        <v>6611422.3448275859</v>
      </c>
      <c r="G1245" s="92">
        <f t="shared" si="596"/>
        <v>8385569.8931034487</v>
      </c>
      <c r="H1245" s="92">
        <f t="shared" si="596"/>
        <v>6711997.4603448268</v>
      </c>
      <c r="I1245" s="31">
        <f t="shared" ref="I1245:I1250" si="597">SUM(B1245:H1245)</f>
        <v>32115607.136206903</v>
      </c>
      <c r="J1245" s="31">
        <f t="shared" ref="J1245:J1254" si="598">I1245/7</f>
        <v>4587943.8766009863</v>
      </c>
    </row>
    <row r="1246" spans="1:10" s="186" customFormat="1" x14ac:dyDescent="0.25">
      <c r="A1246" s="146" t="s">
        <v>26</v>
      </c>
      <c r="B1246" s="92">
        <f t="shared" ref="B1246:H1246" si="599">B1250*B1239</f>
        <v>56310.548275862078</v>
      </c>
      <c r="C1246" s="92">
        <f t="shared" si="599"/>
        <v>118115.07931034482</v>
      </c>
      <c r="D1246" s="92">
        <f t="shared" si="599"/>
        <v>81695.117241379325</v>
      </c>
      <c r="E1246" s="92">
        <f t="shared" si="599"/>
        <v>86764.127586206901</v>
      </c>
      <c r="F1246" s="92">
        <f t="shared" si="599"/>
        <v>183650.62068965516</v>
      </c>
      <c r="G1246" s="92">
        <f t="shared" si="599"/>
        <v>339955.53620689659</v>
      </c>
      <c r="H1246" s="92">
        <f t="shared" si="599"/>
        <v>183890.34137931035</v>
      </c>
      <c r="I1246" s="31">
        <f t="shared" si="597"/>
        <v>1050381.3706896552</v>
      </c>
      <c r="J1246" s="31">
        <f t="shared" si="598"/>
        <v>150054.48152709359</v>
      </c>
    </row>
    <row r="1247" spans="1:10" s="186" customFormat="1" x14ac:dyDescent="0.25">
      <c r="A1247" s="146" t="s">
        <v>27</v>
      </c>
      <c r="B1247" s="92">
        <f t="shared" ref="B1247:H1247" si="600">B1250*B1240</f>
        <v>760192.40172413806</v>
      </c>
      <c r="C1247" s="92">
        <f t="shared" si="600"/>
        <v>944920.63448275859</v>
      </c>
      <c r="D1247" s="92">
        <f t="shared" si="600"/>
        <v>1266274.3172413795</v>
      </c>
      <c r="E1247" s="92">
        <f t="shared" si="600"/>
        <v>997787.46724137943</v>
      </c>
      <c r="F1247" s="92">
        <f t="shared" si="600"/>
        <v>1836506.2068965519</v>
      </c>
      <c r="G1247" s="92">
        <f t="shared" si="600"/>
        <v>2493007.2655172418</v>
      </c>
      <c r="H1247" s="92">
        <f t="shared" si="600"/>
        <v>1471122.7310344828</v>
      </c>
      <c r="I1247" s="31">
        <f t="shared" si="597"/>
        <v>9769811.0241379328</v>
      </c>
      <c r="J1247" s="31">
        <f t="shared" si="598"/>
        <v>1395687.2891625618</v>
      </c>
    </row>
    <row r="1248" spans="1:10" s="186" customFormat="1" x14ac:dyDescent="0.25">
      <c r="A1248" s="146" t="s">
        <v>28</v>
      </c>
      <c r="B1248" s="92">
        <f t="shared" ref="B1248:H1248" si="601">B1250*B1241</f>
        <v>140776.37068965519</v>
      </c>
      <c r="C1248" s="92">
        <f t="shared" si="601"/>
        <v>39371.693103448277</v>
      </c>
      <c r="D1248" s="92">
        <f t="shared" si="601"/>
        <v>81695.117241379325</v>
      </c>
      <c r="E1248" s="92">
        <f t="shared" si="601"/>
        <v>43382.063793103451</v>
      </c>
      <c r="F1248" s="92">
        <f t="shared" si="601"/>
        <v>550951.86206896545</v>
      </c>
      <c r="G1248" s="92">
        <f t="shared" si="601"/>
        <v>113318.51206896553</v>
      </c>
      <c r="H1248" s="92">
        <f t="shared" si="601"/>
        <v>735561.36551724141</v>
      </c>
      <c r="I1248" s="31">
        <f t="shared" si="597"/>
        <v>1705056.9844827587</v>
      </c>
      <c r="J1248" s="31">
        <f t="shared" si="598"/>
        <v>243579.56921182267</v>
      </c>
    </row>
    <row r="1249" spans="1:10" s="186" customFormat="1" x14ac:dyDescent="0.25">
      <c r="A1249" s="146" t="s">
        <v>29</v>
      </c>
      <c r="B1249" s="92">
        <f t="shared" ref="B1249:H1249" si="602">B1250*B1242</f>
        <v>28155.274137931039</v>
      </c>
      <c r="C1249" s="92">
        <f t="shared" si="602"/>
        <v>39371.693103448277</v>
      </c>
      <c r="D1249" s="92">
        <f t="shared" si="602"/>
        <v>40847.558620689662</v>
      </c>
      <c r="E1249" s="92">
        <f t="shared" si="602"/>
        <v>43382.063793103451</v>
      </c>
      <c r="F1249" s="92">
        <f t="shared" si="602"/>
        <v>0</v>
      </c>
      <c r="G1249" s="92">
        <f t="shared" si="602"/>
        <v>0</v>
      </c>
      <c r="H1249" s="92">
        <f t="shared" si="602"/>
        <v>91945.170689655177</v>
      </c>
      <c r="I1249" s="31">
        <f t="shared" si="597"/>
        <v>243701.76034482761</v>
      </c>
      <c r="J1249" s="31">
        <f t="shared" si="598"/>
        <v>34814.53719211823</v>
      </c>
    </row>
    <row r="1250" spans="1:10" s="186" customFormat="1" x14ac:dyDescent="0.25">
      <c r="A1250" s="196" t="s">
        <v>30</v>
      </c>
      <c r="B1250" s="222">
        <f>(3413500/1.16)-B1251</f>
        <v>2815527.4137931038</v>
      </c>
      <c r="C1250" s="222">
        <f>(4772100/1.16)-C1251</f>
        <v>3937169.3103448278</v>
      </c>
      <c r="D1250" s="222">
        <f>(4948300/1.16)-D1251</f>
        <v>4084755.862068966</v>
      </c>
      <c r="E1250" s="222">
        <f>(5274800/1.16)-E1251</f>
        <v>4338206.3793103453</v>
      </c>
      <c r="F1250" s="222">
        <f>(11101700/1.16)-F1251</f>
        <v>9182531.0344827585</v>
      </c>
      <c r="G1250" s="222">
        <f>(13737400/1.16)-G1251</f>
        <v>11331851.206896553</v>
      </c>
      <c r="H1250" s="222">
        <f>(11163100/1.16)-H1251</f>
        <v>9194517.068965517</v>
      </c>
      <c r="I1250" s="197">
        <f t="shared" si="597"/>
        <v>44884558.275862068</v>
      </c>
      <c r="J1250" s="197">
        <f t="shared" si="598"/>
        <v>6412079.7536945809</v>
      </c>
    </row>
    <row r="1251" spans="1:10" s="186" customFormat="1" x14ac:dyDescent="0.25">
      <c r="A1251" s="146" t="s">
        <v>31</v>
      </c>
      <c r="B1251" s="92">
        <f t="shared" ref="B1251:I1251" si="603">2155*B1232</f>
        <v>127145</v>
      </c>
      <c r="C1251" s="92">
        <f t="shared" si="603"/>
        <v>176710</v>
      </c>
      <c r="D1251" s="92">
        <f t="shared" si="603"/>
        <v>181020</v>
      </c>
      <c r="E1251" s="92">
        <f t="shared" si="603"/>
        <v>209035</v>
      </c>
      <c r="F1251" s="92">
        <f t="shared" si="603"/>
        <v>387900</v>
      </c>
      <c r="G1251" s="31">
        <f t="shared" si="603"/>
        <v>510735</v>
      </c>
      <c r="H1251" s="31">
        <f t="shared" si="603"/>
        <v>428845</v>
      </c>
      <c r="I1251" s="31">
        <f t="shared" si="603"/>
        <v>2021390</v>
      </c>
      <c r="J1251" s="31">
        <f t="shared" si="598"/>
        <v>288770</v>
      </c>
    </row>
    <row r="1252" spans="1:10" s="186" customFormat="1" x14ac:dyDescent="0.25">
      <c r="A1252" s="198" t="s">
        <v>32</v>
      </c>
      <c r="B1252" s="199">
        <f>B1251+B1250</f>
        <v>2942672.4137931038</v>
      </c>
      <c r="C1252" s="199">
        <f>C1251+C1250</f>
        <v>4113879.3103448278</v>
      </c>
      <c r="D1252" s="199">
        <f>D1251+D1250</f>
        <v>4265775.862068966</v>
      </c>
      <c r="E1252" s="199">
        <f>E1251+E1250</f>
        <v>4547241.3793103453</v>
      </c>
      <c r="F1252" s="199">
        <f>F1250+F1251</f>
        <v>9570431.0344827585</v>
      </c>
      <c r="G1252" s="199">
        <f>G1251+G1250</f>
        <v>11842586.206896553</v>
      </c>
      <c r="H1252" s="199">
        <f>H1251+H1250</f>
        <v>9623362.068965517</v>
      </c>
      <c r="I1252" s="199">
        <f>I1250+I1251</f>
        <v>46905948.275862068</v>
      </c>
      <c r="J1252" s="200">
        <f t="shared" si="598"/>
        <v>6700849.7536945809</v>
      </c>
    </row>
    <row r="1253" spans="1:10" s="186" customFormat="1" x14ac:dyDescent="0.25">
      <c r="A1253" s="146" t="s">
        <v>33</v>
      </c>
      <c r="B1253" s="94">
        <f>B1252*16%</f>
        <v>470827.58620689664</v>
      </c>
      <c r="C1253" s="94">
        <f t="shared" ref="C1253:H1253" si="604">C1252*16%</f>
        <v>658220.68965517252</v>
      </c>
      <c r="D1253" s="94">
        <f t="shared" si="604"/>
        <v>682524.13793103455</v>
      </c>
      <c r="E1253" s="94">
        <f t="shared" si="604"/>
        <v>727558.6206896553</v>
      </c>
      <c r="F1253" s="94">
        <f t="shared" si="604"/>
        <v>1531268.9655172413</v>
      </c>
      <c r="G1253" s="94">
        <f t="shared" si="604"/>
        <v>1894813.7931034486</v>
      </c>
      <c r="H1253" s="94">
        <f t="shared" si="604"/>
        <v>1539737.9310344828</v>
      </c>
      <c r="I1253" s="94">
        <f>I1252*16%</f>
        <v>7504951.7241379311</v>
      </c>
      <c r="J1253" s="31">
        <f t="shared" si="598"/>
        <v>1072135.960591133</v>
      </c>
    </row>
    <row r="1254" spans="1:10" s="186" customFormat="1" x14ac:dyDescent="0.25">
      <c r="A1254" s="229" t="s">
        <v>34</v>
      </c>
      <c r="B1254" s="230">
        <f>B1252+B1253</f>
        <v>3413500.0000000005</v>
      </c>
      <c r="C1254" s="230">
        <f t="shared" ref="C1254:H1254" si="605">C1252+C1253</f>
        <v>4772100</v>
      </c>
      <c r="D1254" s="230">
        <f t="shared" si="605"/>
        <v>4948300.0000000009</v>
      </c>
      <c r="E1254" s="230">
        <f t="shared" si="605"/>
        <v>5274800.0000000009</v>
      </c>
      <c r="F1254" s="230">
        <f t="shared" si="605"/>
        <v>11101700</v>
      </c>
      <c r="G1254" s="230">
        <f t="shared" si="605"/>
        <v>13737400.000000002</v>
      </c>
      <c r="H1254" s="230">
        <f t="shared" si="605"/>
        <v>11163100</v>
      </c>
      <c r="I1254" s="230">
        <f>I1252+I1253</f>
        <v>54410900</v>
      </c>
      <c r="J1254" s="231">
        <f t="shared" si="598"/>
        <v>7772985.7142857146</v>
      </c>
    </row>
    <row r="1255" spans="1:10" s="186" customFormat="1" ht="15.75" thickBot="1" x14ac:dyDescent="0.3">
      <c r="A1255" s="204"/>
      <c r="B1255" s="112"/>
      <c r="C1255" s="112"/>
      <c r="D1255" s="112"/>
      <c r="E1255" s="112"/>
      <c r="F1255" s="112"/>
      <c r="G1255" s="112"/>
      <c r="H1255" s="112"/>
      <c r="I1255" s="112"/>
      <c r="J1255" s="205"/>
    </row>
    <row r="1256" spans="1:10" s="186" customFormat="1" ht="26.25" x14ac:dyDescent="0.25">
      <c r="A1256"/>
      <c r="B1256" s="1002" t="s">
        <v>303</v>
      </c>
      <c r="C1256" s="1002"/>
      <c r="D1256" s="1002"/>
      <c r="E1256" s="1002"/>
      <c r="F1256" s="1002"/>
      <c r="G1256" s="1002"/>
      <c r="H1256" s="1002"/>
      <c r="I1256"/>
      <c r="J1256"/>
    </row>
    <row r="1257" spans="1:10" s="186" customFormat="1" ht="15.75" x14ac:dyDescent="0.25">
      <c r="A1257" s="227" t="s">
        <v>2</v>
      </c>
      <c r="B1257" s="228" t="s">
        <v>81</v>
      </c>
      <c r="C1257" s="228" t="s">
        <v>82</v>
      </c>
      <c r="D1257" s="228" t="s">
        <v>83</v>
      </c>
      <c r="E1257" s="228" t="s">
        <v>84</v>
      </c>
      <c r="F1257" s="228" t="s">
        <v>85</v>
      </c>
      <c r="G1257" s="228" t="s">
        <v>86</v>
      </c>
      <c r="H1257" s="228" t="s">
        <v>87</v>
      </c>
      <c r="I1257" s="228" t="s">
        <v>96</v>
      </c>
      <c r="J1257" s="228" t="s">
        <v>97</v>
      </c>
    </row>
    <row r="1258" spans="1:10" s="186" customFormat="1" x14ac:dyDescent="0.25">
      <c r="A1258" s="188" t="s">
        <v>11</v>
      </c>
      <c r="B1258" s="189">
        <f>88+41+14</f>
        <v>143</v>
      </c>
      <c r="C1258" s="189">
        <f>39+8+14</f>
        <v>61</v>
      </c>
      <c r="D1258" s="189">
        <f>121+49+12</f>
        <v>182</v>
      </c>
      <c r="E1258" s="190">
        <f>141+55+22</f>
        <v>218</v>
      </c>
      <c r="F1258" s="190">
        <f>207+107+34</f>
        <v>348</v>
      </c>
      <c r="G1258" s="190">
        <f>206+114+28</f>
        <v>348</v>
      </c>
      <c r="H1258" s="190">
        <f>186+100+36</f>
        <v>322</v>
      </c>
      <c r="I1258" s="190">
        <f>SUM(B1258:H1258)</f>
        <v>1622</v>
      </c>
      <c r="J1258" s="191">
        <f>+I1258/7</f>
        <v>231.71428571428572</v>
      </c>
    </row>
    <row r="1259" spans="1:10" s="186" customFormat="1" x14ac:dyDescent="0.25">
      <c r="A1259" s="146" t="s">
        <v>12</v>
      </c>
      <c r="B1259" s="11">
        <v>76</v>
      </c>
      <c r="C1259" s="11">
        <v>29</v>
      </c>
      <c r="D1259" s="11">
        <v>87</v>
      </c>
      <c r="E1259" s="11">
        <v>104</v>
      </c>
      <c r="F1259" s="11">
        <v>207</v>
      </c>
      <c r="G1259" s="11">
        <v>174</v>
      </c>
      <c r="H1259" s="11">
        <v>165</v>
      </c>
      <c r="I1259" s="11">
        <f>SUM('PEPE SIERRA '!$B1259:$H1259)</f>
        <v>842</v>
      </c>
      <c r="J1259" s="78">
        <f t="shared" ref="J1259:J1264" si="606">I1259/7</f>
        <v>120.28571428571429</v>
      </c>
    </row>
    <row r="1260" spans="1:10" s="186" customFormat="1" x14ac:dyDescent="0.25">
      <c r="A1260" s="146" t="s">
        <v>13</v>
      </c>
      <c r="B1260" s="11">
        <v>0</v>
      </c>
      <c r="C1260" s="11">
        <v>0</v>
      </c>
      <c r="D1260" s="11">
        <v>4</v>
      </c>
      <c r="E1260" s="11">
        <v>3</v>
      </c>
      <c r="F1260" s="11">
        <v>7</v>
      </c>
      <c r="G1260" s="11">
        <v>2</v>
      </c>
      <c r="H1260" s="11">
        <v>11</v>
      </c>
      <c r="I1260" s="11">
        <f>SUM('PEPE SIERRA '!$B1260:$H1260)</f>
        <v>27</v>
      </c>
      <c r="J1260" s="78">
        <f t="shared" si="606"/>
        <v>3.8571428571428572</v>
      </c>
    </row>
    <row r="1261" spans="1:10" s="186" customFormat="1" x14ac:dyDescent="0.25">
      <c r="A1261" s="146" t="s">
        <v>14</v>
      </c>
      <c r="B1261" s="11">
        <v>41</v>
      </c>
      <c r="C1261" s="11">
        <v>12</v>
      </c>
      <c r="D1261" s="11">
        <v>58</v>
      </c>
      <c r="E1261" s="11">
        <v>47</v>
      </c>
      <c r="F1261" s="11">
        <v>68</v>
      </c>
      <c r="G1261" s="11">
        <v>58</v>
      </c>
      <c r="H1261" s="86">
        <v>88</v>
      </c>
      <c r="I1261" s="11">
        <f>SUM('PEPE SIERRA '!$B1261:$H1261)</f>
        <v>372</v>
      </c>
      <c r="J1261" s="78">
        <f t="shared" si="606"/>
        <v>53.142857142857146</v>
      </c>
    </row>
    <row r="1262" spans="1:10" s="186" customFormat="1" x14ac:dyDescent="0.25">
      <c r="A1262" s="146" t="s">
        <v>15</v>
      </c>
      <c r="B1262" s="11">
        <v>3</v>
      </c>
      <c r="C1262" s="11">
        <v>0</v>
      </c>
      <c r="D1262" s="11">
        <v>7</v>
      </c>
      <c r="E1262" s="11">
        <v>5</v>
      </c>
      <c r="F1262" s="11">
        <v>4</v>
      </c>
      <c r="G1262" s="11">
        <v>25</v>
      </c>
      <c r="H1262" s="11">
        <v>14</v>
      </c>
      <c r="I1262" s="11">
        <f>SUM('PEPE SIERRA '!$B1262:$H1262)</f>
        <v>58</v>
      </c>
      <c r="J1262" s="78">
        <f t="shared" si="606"/>
        <v>8.2857142857142865</v>
      </c>
    </row>
    <row r="1263" spans="1:10" s="186" customFormat="1" x14ac:dyDescent="0.25">
      <c r="A1263" s="146" t="s">
        <v>16</v>
      </c>
      <c r="B1263" s="11">
        <v>0</v>
      </c>
      <c r="C1263" s="11">
        <v>1</v>
      </c>
      <c r="D1263" s="11">
        <v>0</v>
      </c>
      <c r="E1263" s="11">
        <v>0</v>
      </c>
      <c r="F1263" s="11">
        <v>0</v>
      </c>
      <c r="G1263" s="11">
        <v>0</v>
      </c>
      <c r="H1263" s="11">
        <v>0</v>
      </c>
      <c r="I1263" s="11">
        <f>SUM('PEPE SIERRA '!$B1263:$H1263)</f>
        <v>1</v>
      </c>
      <c r="J1263" s="78">
        <f t="shared" si="606"/>
        <v>0.14285714285714285</v>
      </c>
    </row>
    <row r="1264" spans="1:10" s="186" customFormat="1" x14ac:dyDescent="0.25">
      <c r="A1264" s="103" t="s">
        <v>17</v>
      </c>
      <c r="B1264" s="192">
        <f>SUM(B1259:B1263)</f>
        <v>120</v>
      </c>
      <c r="C1264" s="192">
        <f t="shared" ref="C1264:I1264" si="607">SUM(C1259:C1263)</f>
        <v>42</v>
      </c>
      <c r="D1264" s="192">
        <f t="shared" si="607"/>
        <v>156</v>
      </c>
      <c r="E1264" s="192">
        <f t="shared" si="607"/>
        <v>159</v>
      </c>
      <c r="F1264" s="192">
        <f t="shared" si="607"/>
        <v>286</v>
      </c>
      <c r="G1264" s="192">
        <f t="shared" si="607"/>
        <v>259</v>
      </c>
      <c r="H1264" s="192">
        <f t="shared" si="607"/>
        <v>278</v>
      </c>
      <c r="I1264" s="192">
        <f t="shared" si="607"/>
        <v>1300</v>
      </c>
      <c r="J1264" s="193">
        <f t="shared" si="606"/>
        <v>185.71428571428572</v>
      </c>
    </row>
    <row r="1265" spans="1:10" s="186" customFormat="1" x14ac:dyDescent="0.25">
      <c r="A1265" s="146" t="s">
        <v>18</v>
      </c>
      <c r="B1265" s="30">
        <v>0.69</v>
      </c>
      <c r="C1265" s="30">
        <v>0.76</v>
      </c>
      <c r="D1265" s="30">
        <v>0.66</v>
      </c>
      <c r="E1265" s="30">
        <v>0.69</v>
      </c>
      <c r="F1265" s="30">
        <v>0.76</v>
      </c>
      <c r="G1265" s="30">
        <v>0.71</v>
      </c>
      <c r="H1265" s="30">
        <v>0.67</v>
      </c>
      <c r="I1265" s="30">
        <f>I1272/I1277</f>
        <v>0.70488458323308223</v>
      </c>
      <c r="J1265" s="30">
        <f>J1272/J1277</f>
        <v>0.70488458323308212</v>
      </c>
    </row>
    <row r="1266" spans="1:10" s="186" customFormat="1" x14ac:dyDescent="0.25">
      <c r="A1266" s="146" t="s">
        <v>19</v>
      </c>
      <c r="B1266" s="30">
        <v>0</v>
      </c>
      <c r="C1266" s="30">
        <v>0</v>
      </c>
      <c r="D1266" s="30">
        <v>0.02</v>
      </c>
      <c r="E1266" s="30">
        <v>0.01</v>
      </c>
      <c r="F1266" s="30">
        <v>0.03</v>
      </c>
      <c r="G1266" s="30">
        <v>0.01</v>
      </c>
      <c r="H1266" s="30">
        <v>0.04</v>
      </c>
      <c r="I1266" s="30">
        <f>I1273/I1277</f>
        <v>2.0705971530260325E-2</v>
      </c>
      <c r="J1266" s="30">
        <f>J1273/J1277</f>
        <v>2.0705971530260322E-2</v>
      </c>
    </row>
    <row r="1267" spans="1:10" s="186" customFormat="1" x14ac:dyDescent="0.25">
      <c r="A1267" s="146" t="s">
        <v>20</v>
      </c>
      <c r="B1267" s="30">
        <v>0.28000000000000003</v>
      </c>
      <c r="C1267" s="30">
        <v>0.22</v>
      </c>
      <c r="D1267" s="30">
        <v>0.28000000000000003</v>
      </c>
      <c r="E1267" s="30">
        <v>0.26</v>
      </c>
      <c r="F1267" s="30">
        <v>0.2</v>
      </c>
      <c r="G1267" s="30">
        <v>0.19</v>
      </c>
      <c r="H1267" s="30">
        <v>0.25</v>
      </c>
      <c r="I1267" s="30">
        <f>I1274/I1277</f>
        <v>0.23205067266005777</v>
      </c>
      <c r="J1267" s="30">
        <f>J1274/J1277</f>
        <v>0.23205067266005774</v>
      </c>
    </row>
    <row r="1268" spans="1:10" s="186" customFormat="1" x14ac:dyDescent="0.25">
      <c r="A1268" s="146" t="s">
        <v>21</v>
      </c>
      <c r="B1268" s="30">
        <v>0.03</v>
      </c>
      <c r="C1268" s="30">
        <v>0</v>
      </c>
      <c r="D1268" s="30">
        <v>0.04</v>
      </c>
      <c r="E1268" s="30">
        <v>0.04</v>
      </c>
      <c r="F1268" s="30">
        <v>0.01</v>
      </c>
      <c r="G1268" s="30">
        <v>0.09</v>
      </c>
      <c r="H1268" s="30">
        <v>0.04</v>
      </c>
      <c r="I1268" s="30">
        <f>I1275/I1277</f>
        <v>4.1743658950746797E-2</v>
      </c>
      <c r="J1268" s="30">
        <f>J1275/J1277</f>
        <v>4.1743658950746797E-2</v>
      </c>
    </row>
    <row r="1269" spans="1:10" s="186" customFormat="1" x14ac:dyDescent="0.25">
      <c r="A1269" s="146" t="s">
        <v>22</v>
      </c>
      <c r="B1269" s="30">
        <v>0</v>
      </c>
      <c r="C1269" s="30">
        <v>0.02</v>
      </c>
      <c r="D1269" s="30">
        <v>0</v>
      </c>
      <c r="E1269" s="30">
        <v>0</v>
      </c>
      <c r="F1269" s="30">
        <v>0</v>
      </c>
      <c r="G1269" s="30">
        <v>0</v>
      </c>
      <c r="H1269" s="30">
        <v>0</v>
      </c>
      <c r="I1269" s="30">
        <f>I1276/I1277</f>
        <v>6.1511362585281524E-4</v>
      </c>
      <c r="J1269" s="30">
        <f>J1276/J1277</f>
        <v>6.1511362585281513E-4</v>
      </c>
    </row>
    <row r="1270" spans="1:10" s="186" customFormat="1" x14ac:dyDescent="0.25">
      <c r="A1270" s="195" t="s">
        <v>23</v>
      </c>
      <c r="B1270" s="66">
        <f t="shared" ref="B1270:J1270" si="608">B1281/B1264</f>
        <v>34766.666666666664</v>
      </c>
      <c r="C1270" s="66">
        <f t="shared" si="608"/>
        <v>35366.666666666664</v>
      </c>
      <c r="D1270" s="66">
        <f t="shared" si="608"/>
        <v>34321.153846153844</v>
      </c>
      <c r="E1270" s="66">
        <f t="shared" si="608"/>
        <v>37032.07547169811</v>
      </c>
      <c r="F1270" s="66">
        <f t="shared" si="608"/>
        <v>38413.28671328671</v>
      </c>
      <c r="G1270" s="66">
        <f t="shared" si="608"/>
        <v>39555.984555984556</v>
      </c>
      <c r="H1270" s="66">
        <f t="shared" si="608"/>
        <v>35660.79136690648</v>
      </c>
      <c r="I1270" s="66">
        <f t="shared" si="608"/>
        <v>36957.307692307695</v>
      </c>
      <c r="J1270" s="66">
        <f t="shared" si="608"/>
        <v>36957.307692307695</v>
      </c>
    </row>
    <row r="1271" spans="1:10" s="186" customFormat="1" x14ac:dyDescent="0.25">
      <c r="A1271" s="195" t="s">
        <v>24</v>
      </c>
      <c r="B1271" s="66">
        <f t="shared" ref="B1271:I1271" si="609">+B1281/B1258</f>
        <v>29174.825174825175</v>
      </c>
      <c r="C1271" s="66">
        <f t="shared" si="609"/>
        <v>24350.819672131147</v>
      </c>
      <c r="D1271" s="66">
        <f t="shared" si="609"/>
        <v>29418.13186813187</v>
      </c>
      <c r="E1271" s="66">
        <f t="shared" si="609"/>
        <v>27009.633027522937</v>
      </c>
      <c r="F1271" s="66">
        <f t="shared" si="609"/>
        <v>31569.540229885057</v>
      </c>
      <c r="G1271" s="66">
        <f t="shared" si="609"/>
        <v>29439.655172413793</v>
      </c>
      <c r="H1271" s="66">
        <f t="shared" si="609"/>
        <v>30787.88819875777</v>
      </c>
      <c r="I1271" s="66">
        <f t="shared" si="609"/>
        <v>29620.530209617762</v>
      </c>
      <c r="J1271" s="66">
        <f>J1281/J1258</f>
        <v>29620.530209617758</v>
      </c>
    </row>
    <row r="1272" spans="1:10" s="186" customFormat="1" x14ac:dyDescent="0.25">
      <c r="A1272" s="146" t="s">
        <v>25</v>
      </c>
      <c r="B1272" s="92">
        <f t="shared" ref="B1272:H1272" si="610">B1277*B1265</f>
        <v>2368612.4896551725</v>
      </c>
      <c r="C1272" s="92">
        <f t="shared" si="610"/>
        <v>925696.90344827587</v>
      </c>
      <c r="D1272" s="92">
        <f t="shared" si="610"/>
        <v>2922558.1758620692</v>
      </c>
      <c r="E1272" s="92">
        <f t="shared" si="610"/>
        <v>3347761.5103448271</v>
      </c>
      <c r="F1272" s="92">
        <f t="shared" si="610"/>
        <v>6858830.5724137928</v>
      </c>
      <c r="G1272" s="92">
        <f t="shared" si="610"/>
        <v>6004417.8517241376</v>
      </c>
      <c r="H1272" s="92">
        <f t="shared" si="610"/>
        <v>5487781.1293103462</v>
      </c>
      <c r="I1272" s="31">
        <f t="shared" ref="I1272:I1277" si="611">SUM(B1272:H1272)</f>
        <v>27915658.632758621</v>
      </c>
      <c r="J1272" s="31">
        <f t="shared" ref="J1272:J1281" si="612">I1272/7</f>
        <v>3987951.2332512317</v>
      </c>
    </row>
    <row r="1273" spans="1:10" s="186" customFormat="1" x14ac:dyDescent="0.25">
      <c r="A1273" s="146" t="s">
        <v>26</v>
      </c>
      <c r="B1273" s="92">
        <f t="shared" ref="B1273:H1273" si="613">B1277*B1266</f>
        <v>0</v>
      </c>
      <c r="C1273" s="92">
        <f t="shared" si="613"/>
        <v>0</v>
      </c>
      <c r="D1273" s="92">
        <f t="shared" si="613"/>
        <v>88562.368965517249</v>
      </c>
      <c r="E1273" s="92">
        <f t="shared" si="613"/>
        <v>48518.282758620691</v>
      </c>
      <c r="F1273" s="92">
        <f t="shared" si="613"/>
        <v>270743.31206896552</v>
      </c>
      <c r="G1273" s="92">
        <f t="shared" si="613"/>
        <v>84569.26551724138</v>
      </c>
      <c r="H1273" s="92">
        <f t="shared" si="613"/>
        <v>327628.72413793107</v>
      </c>
      <c r="I1273" s="31">
        <f t="shared" si="611"/>
        <v>820021.95344827592</v>
      </c>
      <c r="J1273" s="31">
        <f t="shared" si="612"/>
        <v>117145.9933497537</v>
      </c>
    </row>
    <row r="1274" spans="1:10" s="186" customFormat="1" x14ac:dyDescent="0.25">
      <c r="A1274" s="146" t="s">
        <v>27</v>
      </c>
      <c r="B1274" s="92">
        <f t="shared" ref="B1274:H1274" si="614">B1277*B1267</f>
        <v>961176.08275862085</v>
      </c>
      <c r="C1274" s="92">
        <f t="shared" si="614"/>
        <v>267964.89310344827</v>
      </c>
      <c r="D1274" s="92">
        <f t="shared" si="614"/>
        <v>1239873.1655172415</v>
      </c>
      <c r="E1274" s="92">
        <f t="shared" si="614"/>
        <v>1261475.351724138</v>
      </c>
      <c r="F1274" s="92">
        <f t="shared" si="614"/>
        <v>1804955.4137931035</v>
      </c>
      <c r="G1274" s="92">
        <f t="shared" si="614"/>
        <v>1606816.0448275863</v>
      </c>
      <c r="H1274" s="92">
        <f t="shared" si="614"/>
        <v>2047679.5258620693</v>
      </c>
      <c r="I1274" s="31">
        <f t="shared" si="611"/>
        <v>9189940.4775862079</v>
      </c>
      <c r="J1274" s="31">
        <f t="shared" si="612"/>
        <v>1312848.6396551726</v>
      </c>
    </row>
    <row r="1275" spans="1:10" s="186" customFormat="1" x14ac:dyDescent="0.25">
      <c r="A1275" s="146" t="s">
        <v>28</v>
      </c>
      <c r="B1275" s="92">
        <f t="shared" ref="B1275:H1275" si="615">B1277*B1268</f>
        <v>102983.15172413793</v>
      </c>
      <c r="C1275" s="92">
        <f t="shared" si="615"/>
        <v>0</v>
      </c>
      <c r="D1275" s="92">
        <f t="shared" si="615"/>
        <v>177124.7379310345</v>
      </c>
      <c r="E1275" s="92">
        <f t="shared" si="615"/>
        <v>194073.13103448277</v>
      </c>
      <c r="F1275" s="92">
        <f t="shared" si="615"/>
        <v>90247.770689655168</v>
      </c>
      <c r="G1275" s="92">
        <f t="shared" si="615"/>
        <v>761123.38965517236</v>
      </c>
      <c r="H1275" s="92">
        <f t="shared" si="615"/>
        <v>327628.72413793107</v>
      </c>
      <c r="I1275" s="31">
        <f t="shared" si="611"/>
        <v>1653180.9051724139</v>
      </c>
      <c r="J1275" s="31">
        <f t="shared" si="612"/>
        <v>236168.70073891626</v>
      </c>
    </row>
    <row r="1276" spans="1:10" s="186" customFormat="1" x14ac:dyDescent="0.25">
      <c r="A1276" s="146" t="s">
        <v>29</v>
      </c>
      <c r="B1276" s="92">
        <f t="shared" ref="B1276:H1276" si="616">B1277*B1269</f>
        <v>0</v>
      </c>
      <c r="C1276" s="92">
        <f t="shared" si="616"/>
        <v>24360.444827586209</v>
      </c>
      <c r="D1276" s="92">
        <f t="shared" si="616"/>
        <v>0</v>
      </c>
      <c r="E1276" s="92">
        <f t="shared" si="616"/>
        <v>0</v>
      </c>
      <c r="F1276" s="92">
        <f t="shared" si="616"/>
        <v>0</v>
      </c>
      <c r="G1276" s="92">
        <f t="shared" si="616"/>
        <v>0</v>
      </c>
      <c r="H1276" s="92">
        <f t="shared" si="616"/>
        <v>0</v>
      </c>
      <c r="I1276" s="31">
        <f t="shared" si="611"/>
        <v>24360.444827586209</v>
      </c>
      <c r="J1276" s="31">
        <f t="shared" si="612"/>
        <v>3480.0635467980296</v>
      </c>
    </row>
    <row r="1277" spans="1:10" s="186" customFormat="1" x14ac:dyDescent="0.25">
      <c r="A1277" s="196" t="s">
        <v>30</v>
      </c>
      <c r="B1277" s="222">
        <f>(4172000/1.16)-B1278</f>
        <v>3432771.7241379311</v>
      </c>
      <c r="C1277" s="222">
        <f>(1485400/1.16)-C1278</f>
        <v>1218022.2413793104</v>
      </c>
      <c r="D1277" s="222">
        <f>(5354100/1.16)-D1278</f>
        <v>4428118.4482758623</v>
      </c>
      <c r="E1277" s="222">
        <f>(5888100/1.16)-E1278</f>
        <v>4851828.2758620689</v>
      </c>
      <c r="F1277" s="222">
        <f>(10986200/1.16)-F1278</f>
        <v>9024777.068965517</v>
      </c>
      <c r="G1277" s="222">
        <f>(10245000/1.16)-G1278</f>
        <v>8456926.5517241377</v>
      </c>
      <c r="H1277" s="222">
        <f>(9913700/1.16)-H1278</f>
        <v>8190718.1034482773</v>
      </c>
      <c r="I1277" s="197">
        <f t="shared" si="611"/>
        <v>39603162.413793109</v>
      </c>
      <c r="J1277" s="197">
        <f t="shared" si="612"/>
        <v>5657594.6305418732</v>
      </c>
    </row>
    <row r="1278" spans="1:10" s="186" customFormat="1" x14ac:dyDescent="0.25">
      <c r="A1278" s="146" t="s">
        <v>31</v>
      </c>
      <c r="B1278" s="92">
        <f t="shared" ref="B1278:I1278" si="617">2155*B1259</f>
        <v>163780</v>
      </c>
      <c r="C1278" s="92">
        <f t="shared" si="617"/>
        <v>62495</v>
      </c>
      <c r="D1278" s="92">
        <f t="shared" si="617"/>
        <v>187485</v>
      </c>
      <c r="E1278" s="92">
        <f t="shared" si="617"/>
        <v>224120</v>
      </c>
      <c r="F1278" s="92">
        <f t="shared" si="617"/>
        <v>446085</v>
      </c>
      <c r="G1278" s="31">
        <f t="shared" si="617"/>
        <v>374970</v>
      </c>
      <c r="H1278" s="31">
        <f t="shared" si="617"/>
        <v>355575</v>
      </c>
      <c r="I1278" s="31">
        <f t="shared" si="617"/>
        <v>1814510</v>
      </c>
      <c r="J1278" s="31">
        <f t="shared" si="612"/>
        <v>259215.71428571429</v>
      </c>
    </row>
    <row r="1279" spans="1:10" s="186" customFormat="1" x14ac:dyDescent="0.25">
      <c r="A1279" s="198" t="s">
        <v>32</v>
      </c>
      <c r="B1279" s="199">
        <f>B1278+B1277</f>
        <v>3596551.7241379311</v>
      </c>
      <c r="C1279" s="199">
        <f>C1278+C1277</f>
        <v>1280517.2413793104</v>
      </c>
      <c r="D1279" s="199">
        <f>D1278+D1277</f>
        <v>4615603.4482758623</v>
      </c>
      <c r="E1279" s="199">
        <f>E1278+E1277</f>
        <v>5075948.2758620689</v>
      </c>
      <c r="F1279" s="199">
        <f>F1277+F1278</f>
        <v>9470862.068965517</v>
      </c>
      <c r="G1279" s="199">
        <f>G1278+G1277</f>
        <v>8831896.5517241377</v>
      </c>
      <c r="H1279" s="199">
        <f>H1278+H1277</f>
        <v>8546293.1034482773</v>
      </c>
      <c r="I1279" s="199">
        <f>I1277+I1278</f>
        <v>41417672.413793109</v>
      </c>
      <c r="J1279" s="200">
        <f t="shared" si="612"/>
        <v>5916810.3448275868</v>
      </c>
    </row>
    <row r="1280" spans="1:10" s="186" customFormat="1" x14ac:dyDescent="0.25">
      <c r="A1280" s="146" t="s">
        <v>33</v>
      </c>
      <c r="B1280" s="94">
        <f>B1279*16%</f>
        <v>575448.27586206899</v>
      </c>
      <c r="C1280" s="94">
        <f t="shared" ref="C1280:H1280" si="618">C1279*16%</f>
        <v>204882.75862068965</v>
      </c>
      <c r="D1280" s="94">
        <f t="shared" si="618"/>
        <v>738496.55172413797</v>
      </c>
      <c r="E1280" s="94">
        <f t="shared" si="618"/>
        <v>812151.72413793101</v>
      </c>
      <c r="F1280" s="94">
        <f t="shared" si="618"/>
        <v>1515337.9310344828</v>
      </c>
      <c r="G1280" s="94">
        <f t="shared" si="618"/>
        <v>1413103.448275862</v>
      </c>
      <c r="H1280" s="94">
        <f t="shared" si="618"/>
        <v>1367406.8965517243</v>
      </c>
      <c r="I1280" s="94">
        <f>I1279*16%</f>
        <v>6626827.5862068981</v>
      </c>
      <c r="J1280" s="31">
        <f t="shared" si="612"/>
        <v>946689.65517241403</v>
      </c>
    </row>
    <row r="1281" spans="1:11" s="186" customFormat="1" x14ac:dyDescent="0.25">
      <c r="A1281" s="229" t="s">
        <v>34</v>
      </c>
      <c r="B1281" s="230">
        <f>B1279+B1280</f>
        <v>4172000</v>
      </c>
      <c r="C1281" s="230">
        <f t="shared" ref="C1281:H1281" si="619">C1279+C1280</f>
        <v>1485400</v>
      </c>
      <c r="D1281" s="230">
        <f t="shared" si="619"/>
        <v>5354100</v>
      </c>
      <c r="E1281" s="230">
        <f t="shared" si="619"/>
        <v>5888100</v>
      </c>
      <c r="F1281" s="230">
        <f t="shared" si="619"/>
        <v>10986200</v>
      </c>
      <c r="G1281" s="230">
        <f t="shared" si="619"/>
        <v>10245000</v>
      </c>
      <c r="H1281" s="230">
        <f t="shared" si="619"/>
        <v>9913700.0000000019</v>
      </c>
      <c r="I1281" s="230">
        <f>I1279+I1280</f>
        <v>48044500.000000007</v>
      </c>
      <c r="J1281" s="231">
        <f t="shared" si="612"/>
        <v>6863500.0000000009</v>
      </c>
    </row>
    <row r="1282" spans="1:11" s="186" customFormat="1" ht="15.75" thickBot="1" x14ac:dyDescent="0.3">
      <c r="A1282" s="204"/>
      <c r="B1282" s="112"/>
      <c r="C1282" s="112"/>
      <c r="D1282" s="112"/>
      <c r="E1282" s="112"/>
      <c r="F1282" s="112"/>
      <c r="G1282" s="112"/>
      <c r="H1282" s="112"/>
      <c r="I1282" s="112"/>
      <c r="J1282" s="205"/>
    </row>
    <row r="1283" spans="1:11" s="186" customFormat="1" ht="26.25" x14ac:dyDescent="0.25">
      <c r="A1283"/>
      <c r="B1283" s="1002" t="s">
        <v>304</v>
      </c>
      <c r="C1283" s="1002"/>
      <c r="D1283" s="1002"/>
      <c r="E1283" s="1002"/>
      <c r="F1283" s="1002"/>
      <c r="G1283" s="1002"/>
      <c r="H1283" s="1002"/>
      <c r="I1283"/>
      <c r="J1283"/>
    </row>
    <row r="1284" spans="1:11" s="186" customFormat="1" ht="15.75" x14ac:dyDescent="0.25">
      <c r="A1284" s="227" t="s">
        <v>2</v>
      </c>
      <c r="B1284" s="228" t="s">
        <v>89</v>
      </c>
      <c r="C1284" s="228" t="s">
        <v>90</v>
      </c>
      <c r="D1284" s="228" t="s">
        <v>172</v>
      </c>
      <c r="E1284" s="228" t="s">
        <v>92</v>
      </c>
      <c r="F1284" s="228" t="s">
        <v>258</v>
      </c>
      <c r="G1284" s="228" t="s">
        <v>259</v>
      </c>
      <c r="H1284" s="228" t="s">
        <v>260</v>
      </c>
      <c r="I1284" s="228" t="s">
        <v>96</v>
      </c>
      <c r="J1284" s="228" t="s">
        <v>97</v>
      </c>
    </row>
    <row r="1285" spans="1:11" s="186" customFormat="1" x14ac:dyDescent="0.25">
      <c r="A1285" s="188" t="s">
        <v>11</v>
      </c>
      <c r="B1285" s="189">
        <f>186+119+46</f>
        <v>351</v>
      </c>
      <c r="C1285" s="189">
        <f>115+55+23</f>
        <v>193</v>
      </c>
      <c r="D1285" s="189">
        <f>107+61+28</f>
        <v>196</v>
      </c>
      <c r="E1285" s="190">
        <f>127+77+20</f>
        <v>224</v>
      </c>
      <c r="F1285" s="190">
        <f>178+115+27</f>
        <v>320</v>
      </c>
      <c r="G1285" s="190">
        <f>217+109+33</f>
        <v>359</v>
      </c>
      <c r="H1285" s="190">
        <f>192+108+39</f>
        <v>339</v>
      </c>
      <c r="I1285" s="190">
        <f>SUM(B1285:H1285)</f>
        <v>1982</v>
      </c>
      <c r="J1285" s="191">
        <f>+I1285/7</f>
        <v>283.14285714285717</v>
      </c>
    </row>
    <row r="1286" spans="1:11" s="186" customFormat="1" x14ac:dyDescent="0.25">
      <c r="A1286" s="146" t="s">
        <v>12</v>
      </c>
      <c r="B1286" s="11">
        <v>211</v>
      </c>
      <c r="C1286" s="11">
        <v>85</v>
      </c>
      <c r="D1286" s="11">
        <v>89</v>
      </c>
      <c r="E1286" s="11">
        <v>121</v>
      </c>
      <c r="F1286" s="86">
        <v>169</v>
      </c>
      <c r="G1286" s="11">
        <v>203</v>
      </c>
      <c r="H1286" s="11">
        <v>193</v>
      </c>
      <c r="I1286" s="11">
        <f>SUM('PEPE SIERRA '!$B1286:$H1286)</f>
        <v>1071</v>
      </c>
      <c r="J1286" s="78">
        <f t="shared" ref="J1286:J1291" si="620">I1286/7</f>
        <v>153</v>
      </c>
      <c r="K1286" s="223"/>
    </row>
    <row r="1287" spans="1:11" s="186" customFormat="1" x14ac:dyDescent="0.25">
      <c r="A1287" s="146" t="s">
        <v>13</v>
      </c>
      <c r="B1287" s="11">
        <v>5</v>
      </c>
      <c r="C1287" s="11">
        <v>2</v>
      </c>
      <c r="D1287" s="11">
        <v>4</v>
      </c>
      <c r="E1287" s="11">
        <v>2</v>
      </c>
      <c r="F1287" s="11">
        <v>6</v>
      </c>
      <c r="G1287" s="11">
        <v>6</v>
      </c>
      <c r="H1287" s="11">
        <v>4</v>
      </c>
      <c r="I1287" s="11">
        <f>SUM('PEPE SIERRA '!$B1287:$H1287)</f>
        <v>29</v>
      </c>
      <c r="J1287" s="78">
        <f t="shared" si="620"/>
        <v>4.1428571428571432</v>
      </c>
      <c r="K1287" s="223"/>
    </row>
    <row r="1288" spans="1:11" s="186" customFormat="1" x14ac:dyDescent="0.25">
      <c r="A1288" s="146" t="s">
        <v>14</v>
      </c>
      <c r="B1288" s="11">
        <v>63</v>
      </c>
      <c r="C1288" s="11">
        <v>55</v>
      </c>
      <c r="D1288" s="11">
        <v>47</v>
      </c>
      <c r="E1288" s="11">
        <v>43</v>
      </c>
      <c r="F1288" s="11">
        <v>89</v>
      </c>
      <c r="G1288" s="11">
        <v>63</v>
      </c>
      <c r="H1288" s="86">
        <v>62</v>
      </c>
      <c r="I1288" s="11">
        <f>SUM('PEPE SIERRA '!$B1288:$H1288)</f>
        <v>422</v>
      </c>
      <c r="J1288" s="78">
        <f t="shared" si="620"/>
        <v>60.285714285714285</v>
      </c>
      <c r="K1288" s="223"/>
    </row>
    <row r="1289" spans="1:11" s="186" customFormat="1" x14ac:dyDescent="0.25">
      <c r="A1289" s="146" t="s">
        <v>15</v>
      </c>
      <c r="B1289" s="11">
        <v>18</v>
      </c>
      <c r="C1289" s="11">
        <v>0</v>
      </c>
      <c r="D1289" s="11">
        <v>5</v>
      </c>
      <c r="E1289" s="11">
        <v>10</v>
      </c>
      <c r="F1289" s="11">
        <v>16</v>
      </c>
      <c r="G1289" s="11">
        <v>13</v>
      </c>
      <c r="H1289" s="11">
        <v>9</v>
      </c>
      <c r="I1289" s="11">
        <f>SUM('PEPE SIERRA '!$B1289:$H1289)</f>
        <v>71</v>
      </c>
      <c r="J1289" s="78">
        <f t="shared" si="620"/>
        <v>10.142857142857142</v>
      </c>
      <c r="K1289" s="223"/>
    </row>
    <row r="1290" spans="1:11" s="186" customFormat="1" x14ac:dyDescent="0.25">
      <c r="A1290" s="146" t="s">
        <v>16</v>
      </c>
      <c r="B1290" s="11">
        <v>1</v>
      </c>
      <c r="C1290" s="11">
        <v>1</v>
      </c>
      <c r="D1290" s="11">
        <v>0</v>
      </c>
      <c r="E1290" s="11">
        <v>2</v>
      </c>
      <c r="F1290" s="11">
        <v>0</v>
      </c>
      <c r="G1290" s="11">
        <v>0</v>
      </c>
      <c r="H1290" s="11">
        <v>0</v>
      </c>
      <c r="I1290" s="11">
        <f>SUM('PEPE SIERRA '!$B1290:$H1290)</f>
        <v>4</v>
      </c>
      <c r="J1290" s="78">
        <f t="shared" si="620"/>
        <v>0.5714285714285714</v>
      </c>
      <c r="K1290" s="223"/>
    </row>
    <row r="1291" spans="1:11" s="186" customFormat="1" x14ac:dyDescent="0.25">
      <c r="A1291" s="103" t="s">
        <v>17</v>
      </c>
      <c r="B1291" s="192">
        <f>SUM(B1286:B1290)</f>
        <v>298</v>
      </c>
      <c r="C1291" s="192">
        <f t="shared" ref="C1291:I1291" si="621">SUM(C1286:C1290)</f>
        <v>143</v>
      </c>
      <c r="D1291" s="192">
        <f t="shared" si="621"/>
        <v>145</v>
      </c>
      <c r="E1291" s="192">
        <f t="shared" si="621"/>
        <v>178</v>
      </c>
      <c r="F1291" s="192">
        <f t="shared" si="621"/>
        <v>280</v>
      </c>
      <c r="G1291" s="192">
        <f t="shared" si="621"/>
        <v>285</v>
      </c>
      <c r="H1291" s="192">
        <f t="shared" si="621"/>
        <v>268</v>
      </c>
      <c r="I1291" s="192">
        <f t="shared" si="621"/>
        <v>1597</v>
      </c>
      <c r="J1291" s="193">
        <f t="shared" si="620"/>
        <v>228.14285714285714</v>
      </c>
    </row>
    <row r="1292" spans="1:11" s="186" customFormat="1" x14ac:dyDescent="0.25">
      <c r="A1292" s="146" t="s">
        <v>18</v>
      </c>
      <c r="B1292" s="30">
        <v>0.78</v>
      </c>
      <c r="C1292" s="30">
        <v>0.65</v>
      </c>
      <c r="D1292" s="30">
        <v>0.71</v>
      </c>
      <c r="E1292" s="30">
        <v>0.72</v>
      </c>
      <c r="F1292" s="30">
        <v>0.67</v>
      </c>
      <c r="G1292" s="30">
        <v>0.75</v>
      </c>
      <c r="H1292" s="30">
        <v>0.76</v>
      </c>
      <c r="I1292" s="30">
        <f>I1299/I1304</f>
        <v>0.72754833401274643</v>
      </c>
      <c r="J1292" s="30">
        <f>J1299/J1304</f>
        <v>0.72754833401274643</v>
      </c>
    </row>
    <row r="1293" spans="1:11" s="186" customFormat="1" x14ac:dyDescent="0.25">
      <c r="A1293" s="146" t="s">
        <v>19</v>
      </c>
      <c r="B1293" s="30">
        <v>0.02</v>
      </c>
      <c r="C1293" s="30">
        <v>0.01</v>
      </c>
      <c r="D1293" s="30">
        <v>0.02</v>
      </c>
      <c r="E1293" s="30">
        <v>0.01</v>
      </c>
      <c r="F1293" s="30">
        <v>0.02</v>
      </c>
      <c r="G1293" s="30">
        <v>0.03</v>
      </c>
      <c r="H1293" s="30">
        <v>0.03</v>
      </c>
      <c r="I1293" s="30">
        <f>I1300/I1304</f>
        <v>2.1582397478503306E-2</v>
      </c>
      <c r="J1293" s="30">
        <f>J1300/J1304</f>
        <v>2.1582397478503306E-2</v>
      </c>
    </row>
    <row r="1294" spans="1:11" s="186" customFormat="1" x14ac:dyDescent="0.25">
      <c r="A1294" s="146" t="s">
        <v>20</v>
      </c>
      <c r="B1294" s="30">
        <v>0.15</v>
      </c>
      <c r="C1294" s="30">
        <v>0.28999999999999998</v>
      </c>
      <c r="D1294" s="30">
        <v>0.25</v>
      </c>
      <c r="E1294" s="30">
        <v>0.2</v>
      </c>
      <c r="F1294" s="30">
        <v>0.25</v>
      </c>
      <c r="G1294" s="30">
        <v>0.18</v>
      </c>
      <c r="H1294" s="30">
        <v>0.18</v>
      </c>
      <c r="I1294" s="30">
        <f>I1301/I1304</f>
        <v>0.20483750560023167</v>
      </c>
      <c r="J1294" s="30">
        <f>J1301/J1304</f>
        <v>0.20483750560023167</v>
      </c>
    </row>
    <row r="1295" spans="1:11" s="186" customFormat="1" x14ac:dyDescent="0.25">
      <c r="A1295" s="146" t="s">
        <v>21</v>
      </c>
      <c r="B1295" s="30">
        <v>0.05</v>
      </c>
      <c r="C1295" s="30">
        <v>0</v>
      </c>
      <c r="D1295" s="30">
        <v>0.02</v>
      </c>
      <c r="E1295" s="30">
        <v>0.06</v>
      </c>
      <c r="F1295" s="30">
        <v>0.06</v>
      </c>
      <c r="G1295" s="30">
        <v>0.04</v>
      </c>
      <c r="H1295" s="30">
        <v>0.03</v>
      </c>
      <c r="I1295" s="30">
        <f>I1302/I1304</f>
        <v>4.0407612027725533E-2</v>
      </c>
      <c r="J1295" s="30">
        <f>J1302/J1304</f>
        <v>4.0407612027725533E-2</v>
      </c>
    </row>
    <row r="1296" spans="1:11" s="186" customFormat="1" x14ac:dyDescent="0.25">
      <c r="A1296" s="146" t="s">
        <v>22</v>
      </c>
      <c r="B1296" s="30">
        <v>0</v>
      </c>
      <c r="C1296" s="30">
        <v>0.05</v>
      </c>
      <c r="D1296" s="30">
        <v>0</v>
      </c>
      <c r="E1296" s="30">
        <v>0.01</v>
      </c>
      <c r="F1296" s="30">
        <v>0</v>
      </c>
      <c r="G1296" s="30">
        <v>0</v>
      </c>
      <c r="H1296" s="30">
        <v>0</v>
      </c>
      <c r="I1296" s="30">
        <f>I1303/I1304</f>
        <v>5.6241508807929521E-3</v>
      </c>
      <c r="J1296" s="30">
        <f>J1303/J1304</f>
        <v>5.624150880792953E-3</v>
      </c>
    </row>
    <row r="1297" spans="1:10" s="186" customFormat="1" x14ac:dyDescent="0.25">
      <c r="A1297" s="195" t="s">
        <v>23</v>
      </c>
      <c r="B1297" s="66">
        <f t="shared" ref="B1297:J1297" si="622">B1308/B1291</f>
        <v>35196.644295302016</v>
      </c>
      <c r="C1297" s="66">
        <f t="shared" si="622"/>
        <v>37018.181818181816</v>
      </c>
      <c r="D1297" s="66">
        <f t="shared" si="622"/>
        <v>36270.34482758621</v>
      </c>
      <c r="E1297" s="66">
        <f t="shared" si="622"/>
        <v>38700.561797752809</v>
      </c>
      <c r="F1297" s="66">
        <f t="shared" si="622"/>
        <v>35613.21428571429</v>
      </c>
      <c r="G1297" s="66">
        <f t="shared" si="622"/>
        <v>40913.684210526313</v>
      </c>
      <c r="H1297" s="66">
        <f t="shared" si="622"/>
        <v>37305.970149253728</v>
      </c>
      <c r="I1297" s="66">
        <f t="shared" si="622"/>
        <v>37295.053224796495</v>
      </c>
      <c r="J1297" s="66">
        <f t="shared" si="622"/>
        <v>37295.053224796502</v>
      </c>
    </row>
    <row r="1298" spans="1:10" s="186" customFormat="1" x14ac:dyDescent="0.25">
      <c r="A1298" s="195" t="s">
        <v>24</v>
      </c>
      <c r="B1298" s="66">
        <f t="shared" ref="B1298:I1298" si="623">+B1308/B1285</f>
        <v>29882.051282051281</v>
      </c>
      <c r="C1298" s="66">
        <f t="shared" si="623"/>
        <v>27427.9792746114</v>
      </c>
      <c r="D1298" s="66">
        <f t="shared" si="623"/>
        <v>26832.653061224493</v>
      </c>
      <c r="E1298" s="66">
        <f t="shared" si="623"/>
        <v>30753.125</v>
      </c>
      <c r="F1298" s="66">
        <f t="shared" si="623"/>
        <v>31161.562500000007</v>
      </c>
      <c r="G1298" s="66">
        <f t="shared" si="623"/>
        <v>32480.222841225626</v>
      </c>
      <c r="H1298" s="66">
        <f t="shared" si="623"/>
        <v>29492.625368731562</v>
      </c>
      <c r="I1298" s="66">
        <f t="shared" si="623"/>
        <v>30050.554994954597</v>
      </c>
      <c r="J1298" s="66">
        <f>J1308/J1285</f>
        <v>30050.554994954597</v>
      </c>
    </row>
    <row r="1299" spans="1:10" s="186" customFormat="1" x14ac:dyDescent="0.25">
      <c r="A1299" s="146" t="s">
        <v>25</v>
      </c>
      <c r="B1299" s="92">
        <f t="shared" ref="B1299:H1299" si="624">B1304*B1292</f>
        <v>6698009.4103448279</v>
      </c>
      <c r="C1299" s="92">
        <f t="shared" si="624"/>
        <v>2847177.6293103448</v>
      </c>
      <c r="D1299" s="92">
        <f t="shared" si="624"/>
        <v>3082818.6534482762</v>
      </c>
      <c r="E1299" s="92">
        <f t="shared" si="624"/>
        <v>4088001.227586207</v>
      </c>
      <c r="F1299" s="92">
        <f t="shared" si="624"/>
        <v>5515505.7293103458</v>
      </c>
      <c r="G1299" s="92">
        <f t="shared" si="624"/>
        <v>7210952.9741379311</v>
      </c>
      <c r="H1299" s="92">
        <f t="shared" si="624"/>
        <v>6234318.3931034487</v>
      </c>
      <c r="I1299" s="31">
        <f t="shared" ref="I1299:I1304" si="625">SUM(B1299:H1299)</f>
        <v>35676784.017241381</v>
      </c>
      <c r="J1299" s="31">
        <f t="shared" ref="J1299:J1308" si="626">I1299/7</f>
        <v>5096683.431034483</v>
      </c>
    </row>
    <row r="1300" spans="1:10" s="186" customFormat="1" x14ac:dyDescent="0.25">
      <c r="A1300" s="146" t="s">
        <v>26</v>
      </c>
      <c r="B1300" s="92">
        <f t="shared" ref="B1300:H1300" si="627">B1304*B1293</f>
        <v>171743.83103448275</v>
      </c>
      <c r="C1300" s="92">
        <f t="shared" si="627"/>
        <v>43802.732758620688</v>
      </c>
      <c r="D1300" s="92">
        <f t="shared" si="627"/>
        <v>86839.962068965528</v>
      </c>
      <c r="E1300" s="92">
        <f t="shared" si="627"/>
        <v>56777.794827586207</v>
      </c>
      <c r="F1300" s="92">
        <f t="shared" si="627"/>
        <v>164641.96206896554</v>
      </c>
      <c r="G1300" s="92">
        <f t="shared" si="627"/>
        <v>288438.11896551721</v>
      </c>
      <c r="H1300" s="92">
        <f t="shared" si="627"/>
        <v>246091.51551724138</v>
      </c>
      <c r="I1300" s="31">
        <f t="shared" si="625"/>
        <v>1058335.9172413794</v>
      </c>
      <c r="J1300" s="31">
        <f t="shared" si="626"/>
        <v>151190.84532019706</v>
      </c>
    </row>
    <row r="1301" spans="1:10" s="186" customFormat="1" x14ac:dyDescent="0.25">
      <c r="A1301" s="146" t="s">
        <v>27</v>
      </c>
      <c r="B1301" s="92">
        <f t="shared" ref="B1301:H1301" si="628">B1304*B1294</f>
        <v>1288078.7327586205</v>
      </c>
      <c r="C1301" s="92">
        <f t="shared" si="628"/>
        <v>1270279.25</v>
      </c>
      <c r="D1301" s="92">
        <f t="shared" si="628"/>
        <v>1085499.5258620691</v>
      </c>
      <c r="E1301" s="92">
        <f t="shared" si="628"/>
        <v>1135555.8965517243</v>
      </c>
      <c r="F1301" s="92">
        <f t="shared" si="628"/>
        <v>2058024.5258620693</v>
      </c>
      <c r="G1301" s="92">
        <f t="shared" si="628"/>
        <v>1730628.7137931034</v>
      </c>
      <c r="H1301" s="92">
        <f t="shared" si="628"/>
        <v>1476549.0931034482</v>
      </c>
      <c r="I1301" s="31">
        <f t="shared" si="625"/>
        <v>10044615.737931034</v>
      </c>
      <c r="J1301" s="31">
        <f t="shared" si="626"/>
        <v>1434945.1054187191</v>
      </c>
    </row>
    <row r="1302" spans="1:10" s="186" customFormat="1" x14ac:dyDescent="0.25">
      <c r="A1302" s="146" t="s">
        <v>28</v>
      </c>
      <c r="B1302" s="92">
        <f t="shared" ref="B1302:H1302" si="629">B1304*B1295</f>
        <v>429359.5775862069</v>
      </c>
      <c r="C1302" s="92">
        <f t="shared" si="629"/>
        <v>0</v>
      </c>
      <c r="D1302" s="92">
        <f t="shared" si="629"/>
        <v>86839.962068965528</v>
      </c>
      <c r="E1302" s="92">
        <f t="shared" si="629"/>
        <v>340666.76896551723</v>
      </c>
      <c r="F1302" s="92">
        <f t="shared" si="629"/>
        <v>493925.88620689663</v>
      </c>
      <c r="G1302" s="92">
        <f t="shared" si="629"/>
        <v>384584.15862068965</v>
      </c>
      <c r="H1302" s="92">
        <f t="shared" si="629"/>
        <v>246091.51551724138</v>
      </c>
      <c r="I1302" s="31">
        <f t="shared" si="625"/>
        <v>1981467.8689655173</v>
      </c>
      <c r="J1302" s="31">
        <f t="shared" si="626"/>
        <v>283066.8384236453</v>
      </c>
    </row>
    <row r="1303" spans="1:10" s="186" customFormat="1" x14ac:dyDescent="0.25">
      <c r="A1303" s="146" t="s">
        <v>29</v>
      </c>
      <c r="B1303" s="92">
        <f t="shared" ref="B1303:H1303" si="630">B1304*B1296</f>
        <v>0</v>
      </c>
      <c r="C1303" s="92">
        <f t="shared" si="630"/>
        <v>219013.66379310345</v>
      </c>
      <c r="D1303" s="92">
        <f t="shared" si="630"/>
        <v>0</v>
      </c>
      <c r="E1303" s="92">
        <f t="shared" si="630"/>
        <v>56777.794827586207</v>
      </c>
      <c r="F1303" s="92">
        <f t="shared" si="630"/>
        <v>0</v>
      </c>
      <c r="G1303" s="92">
        <f t="shared" si="630"/>
        <v>0</v>
      </c>
      <c r="H1303" s="92">
        <f t="shared" si="630"/>
        <v>0</v>
      </c>
      <c r="I1303" s="31">
        <f t="shared" si="625"/>
        <v>275791.45862068963</v>
      </c>
      <c r="J1303" s="31">
        <f t="shared" si="626"/>
        <v>39398.779802955665</v>
      </c>
    </row>
    <row r="1304" spans="1:10" s="186" customFormat="1" x14ac:dyDescent="0.25">
      <c r="A1304" s="196" t="s">
        <v>30</v>
      </c>
      <c r="B1304" s="222">
        <f>(10488600/1.16)-B1305</f>
        <v>8587191.5517241377</v>
      </c>
      <c r="C1304" s="222">
        <f>(5293600/1.16)-C1305</f>
        <v>4380273.2758620689</v>
      </c>
      <c r="D1304" s="222">
        <f>(5259200/1.16)-D1305</f>
        <v>4341998.1034482764</v>
      </c>
      <c r="E1304" s="222">
        <f>(6888700/1.16)-E1305</f>
        <v>5677779.4827586208</v>
      </c>
      <c r="F1304" s="222">
        <f>(9971700/1.16)-F1305</f>
        <v>8232098.1034482773</v>
      </c>
      <c r="G1304" s="222">
        <f>(11660400/1.16)-G1305</f>
        <v>9614603.9655172415</v>
      </c>
      <c r="H1304" s="222">
        <f>(9998000/1.16)-H1305</f>
        <v>8203050.5172413792</v>
      </c>
      <c r="I1304" s="197">
        <f t="shared" si="625"/>
        <v>49036995.000000007</v>
      </c>
      <c r="J1304" s="197">
        <f t="shared" si="626"/>
        <v>7005285.0000000009</v>
      </c>
    </row>
    <row r="1305" spans="1:10" s="186" customFormat="1" x14ac:dyDescent="0.25">
      <c r="A1305" s="146" t="s">
        <v>31</v>
      </c>
      <c r="B1305" s="92">
        <f t="shared" ref="B1305:I1305" si="631">2155*B1286</f>
        <v>454705</v>
      </c>
      <c r="C1305" s="92">
        <f t="shared" si="631"/>
        <v>183175</v>
      </c>
      <c r="D1305" s="92">
        <f t="shared" si="631"/>
        <v>191795</v>
      </c>
      <c r="E1305" s="92">
        <f t="shared" si="631"/>
        <v>260755</v>
      </c>
      <c r="F1305" s="92">
        <f t="shared" si="631"/>
        <v>364195</v>
      </c>
      <c r="G1305" s="31">
        <f t="shared" si="631"/>
        <v>437465</v>
      </c>
      <c r="H1305" s="31">
        <f t="shared" si="631"/>
        <v>415915</v>
      </c>
      <c r="I1305" s="31">
        <f t="shared" si="631"/>
        <v>2308005</v>
      </c>
      <c r="J1305" s="31">
        <f t="shared" si="626"/>
        <v>329715</v>
      </c>
    </row>
    <row r="1306" spans="1:10" s="186" customFormat="1" x14ac:dyDescent="0.25">
      <c r="A1306" s="198" t="s">
        <v>32</v>
      </c>
      <c r="B1306" s="199">
        <f>B1305+B1304</f>
        <v>9041896.5517241377</v>
      </c>
      <c r="C1306" s="199">
        <f>C1305+C1304</f>
        <v>4563448.2758620689</v>
      </c>
      <c r="D1306" s="199">
        <f>D1305+D1304</f>
        <v>4533793.1034482764</v>
      </c>
      <c r="E1306" s="199">
        <f>E1305+E1304</f>
        <v>5938534.4827586208</v>
      </c>
      <c r="F1306" s="199">
        <f>F1304+F1305</f>
        <v>8596293.1034482773</v>
      </c>
      <c r="G1306" s="199">
        <f>G1305+G1304</f>
        <v>10052068.965517242</v>
      </c>
      <c r="H1306" s="199">
        <f>H1305+H1304</f>
        <v>8618965.5172413792</v>
      </c>
      <c r="I1306" s="199">
        <f>I1304+I1305</f>
        <v>51345000.000000007</v>
      </c>
      <c r="J1306" s="200">
        <f t="shared" si="626"/>
        <v>7335000.0000000009</v>
      </c>
    </row>
    <row r="1307" spans="1:10" s="186" customFormat="1" x14ac:dyDescent="0.25">
      <c r="A1307" s="146" t="s">
        <v>33</v>
      </c>
      <c r="B1307" s="94">
        <f>B1306*16%</f>
        <v>1446703.448275862</v>
      </c>
      <c r="C1307" s="94">
        <f t="shared" ref="C1307:H1307" si="632">C1306*16%</f>
        <v>730151.72413793101</v>
      </c>
      <c r="D1307" s="94">
        <f t="shared" si="632"/>
        <v>725406.89655172429</v>
      </c>
      <c r="E1307" s="94">
        <f t="shared" si="632"/>
        <v>950165.51724137936</v>
      </c>
      <c r="F1307" s="94">
        <f t="shared" si="632"/>
        <v>1375406.8965517243</v>
      </c>
      <c r="G1307" s="94">
        <f t="shared" si="632"/>
        <v>1608331.0344827587</v>
      </c>
      <c r="H1307" s="94">
        <f t="shared" si="632"/>
        <v>1379034.4827586208</v>
      </c>
      <c r="I1307" s="94">
        <f>I1306*16%</f>
        <v>8215200.0000000009</v>
      </c>
      <c r="J1307" s="31">
        <f t="shared" si="626"/>
        <v>1173600.0000000002</v>
      </c>
    </row>
    <row r="1308" spans="1:10" s="186" customFormat="1" x14ac:dyDescent="0.25">
      <c r="A1308" s="229" t="s">
        <v>34</v>
      </c>
      <c r="B1308" s="230">
        <f>B1306+B1307</f>
        <v>10488600</v>
      </c>
      <c r="C1308" s="230">
        <f t="shared" ref="C1308:H1308" si="633">C1306+C1307</f>
        <v>5293600</v>
      </c>
      <c r="D1308" s="230">
        <f t="shared" si="633"/>
        <v>5259200.0000000009</v>
      </c>
      <c r="E1308" s="230">
        <f t="shared" si="633"/>
        <v>6888700</v>
      </c>
      <c r="F1308" s="230">
        <f t="shared" si="633"/>
        <v>9971700.0000000019</v>
      </c>
      <c r="G1308" s="230">
        <f t="shared" si="633"/>
        <v>11660400</v>
      </c>
      <c r="H1308" s="230">
        <f t="shared" si="633"/>
        <v>9998000</v>
      </c>
      <c r="I1308" s="230">
        <f>I1306+I1307</f>
        <v>59560200.000000007</v>
      </c>
      <c r="J1308" s="231">
        <f t="shared" si="626"/>
        <v>8508600.0000000019</v>
      </c>
    </row>
    <row r="1309" spans="1:10" s="186" customFormat="1" ht="15.75" thickBot="1" x14ac:dyDescent="0.3">
      <c r="A1309" s="204"/>
      <c r="B1309" s="112"/>
      <c r="C1309" s="112"/>
      <c r="D1309" s="112"/>
      <c r="E1309" s="112"/>
      <c r="F1309" s="112"/>
      <c r="G1309" s="112"/>
      <c r="H1309" s="112"/>
      <c r="I1309" s="112"/>
      <c r="J1309" s="205"/>
    </row>
    <row r="1310" spans="1:10" s="186" customFormat="1" ht="27" thickBot="1" x14ac:dyDescent="0.3">
      <c r="A1310"/>
      <c r="B1310" s="1002" t="s">
        <v>305</v>
      </c>
      <c r="C1310" s="1002"/>
      <c r="D1310" s="1002"/>
      <c r="E1310" s="1002"/>
      <c r="F1310" s="1002"/>
      <c r="G1310" s="1002"/>
      <c r="H1310" s="1002"/>
      <c r="I1310"/>
      <c r="J1310"/>
    </row>
    <row r="1311" spans="1:10" s="186" customFormat="1" ht="16.5" thickBot="1" x14ac:dyDescent="0.3">
      <c r="A1311" s="227" t="s">
        <v>2</v>
      </c>
      <c r="B1311" s="232" t="s">
        <v>262</v>
      </c>
      <c r="C1311" s="232" t="s">
        <v>263</v>
      </c>
      <c r="D1311" s="232" t="s">
        <v>264</v>
      </c>
      <c r="E1311" s="232" t="s">
        <v>265</v>
      </c>
      <c r="F1311" s="232" t="s">
        <v>266</v>
      </c>
      <c r="G1311" s="232" t="s">
        <v>267</v>
      </c>
      <c r="H1311" s="232" t="s">
        <v>105</v>
      </c>
      <c r="I1311" s="228" t="s">
        <v>96</v>
      </c>
      <c r="J1311" s="228" t="s">
        <v>97</v>
      </c>
    </row>
    <row r="1312" spans="1:10" s="186" customFormat="1" ht="15.75" thickTop="1" x14ac:dyDescent="0.25">
      <c r="A1312" s="188" t="s">
        <v>11</v>
      </c>
      <c r="B1312" s="189">
        <f>169+126+55</f>
        <v>350</v>
      </c>
      <c r="C1312" s="189">
        <f>95+44+17</f>
        <v>156</v>
      </c>
      <c r="D1312" s="189">
        <f>145+67+26</f>
        <v>238</v>
      </c>
      <c r="E1312" s="190">
        <f>113+52+22</f>
        <v>187</v>
      </c>
      <c r="F1312" s="190">
        <f>227+107+23</f>
        <v>357</v>
      </c>
      <c r="G1312" s="190">
        <f>219+126+54</f>
        <v>399</v>
      </c>
      <c r="H1312" s="190">
        <f>273+136+52</f>
        <v>461</v>
      </c>
      <c r="I1312" s="190">
        <f>SUM(B1312:H1312)</f>
        <v>2148</v>
      </c>
      <c r="J1312" s="191">
        <f>+I1312/7</f>
        <v>306.85714285714283</v>
      </c>
    </row>
    <row r="1313" spans="1:10" s="186" customFormat="1" x14ac:dyDescent="0.25">
      <c r="A1313" s="146" t="s">
        <v>12</v>
      </c>
      <c r="B1313" s="11">
        <v>186</v>
      </c>
      <c r="C1313" s="11">
        <v>73</v>
      </c>
      <c r="D1313" s="11">
        <v>115</v>
      </c>
      <c r="E1313" s="11">
        <v>87</v>
      </c>
      <c r="F1313" s="86">
        <v>182</v>
      </c>
      <c r="G1313" s="11">
        <v>190</v>
      </c>
      <c r="H1313" s="11">
        <v>255</v>
      </c>
      <c r="I1313" s="11">
        <f>SUM('PEPE SIERRA '!$B1313:$H1313)</f>
        <v>1088</v>
      </c>
      <c r="J1313" s="78">
        <f t="shared" ref="J1313:J1318" si="634">I1313/7</f>
        <v>155.42857142857142</v>
      </c>
    </row>
    <row r="1314" spans="1:10" s="186" customFormat="1" x14ac:dyDescent="0.25">
      <c r="A1314" s="146" t="s">
        <v>13</v>
      </c>
      <c r="B1314" s="11">
        <v>10</v>
      </c>
      <c r="C1314" s="11">
        <v>3</v>
      </c>
      <c r="D1314" s="11">
        <v>2</v>
      </c>
      <c r="E1314" s="11">
        <v>2</v>
      </c>
      <c r="F1314" s="11">
        <v>6</v>
      </c>
      <c r="G1314" s="11">
        <v>5</v>
      </c>
      <c r="H1314" s="11">
        <v>7</v>
      </c>
      <c r="I1314" s="11">
        <f>SUM('PEPE SIERRA '!$B1314:$H1314)</f>
        <v>35</v>
      </c>
      <c r="J1314" s="78">
        <f t="shared" si="634"/>
        <v>5</v>
      </c>
    </row>
    <row r="1315" spans="1:10" s="186" customFormat="1" x14ac:dyDescent="0.25">
      <c r="A1315" s="146" t="s">
        <v>14</v>
      </c>
      <c r="B1315" s="11">
        <v>88</v>
      </c>
      <c r="C1315" s="11">
        <v>43</v>
      </c>
      <c r="D1315" s="11">
        <v>43</v>
      </c>
      <c r="E1315" s="11">
        <v>56</v>
      </c>
      <c r="F1315" s="11">
        <v>66</v>
      </c>
      <c r="G1315" s="11">
        <v>96</v>
      </c>
      <c r="H1315" s="86">
        <v>59</v>
      </c>
      <c r="I1315" s="11">
        <f>SUM('PEPE SIERRA '!$B1315:$H1315)</f>
        <v>451</v>
      </c>
      <c r="J1315" s="78">
        <f t="shared" si="634"/>
        <v>64.428571428571431</v>
      </c>
    </row>
    <row r="1316" spans="1:10" s="186" customFormat="1" x14ac:dyDescent="0.25">
      <c r="A1316" s="146" t="s">
        <v>15</v>
      </c>
      <c r="B1316" s="11">
        <v>6</v>
      </c>
      <c r="C1316" s="11">
        <v>6</v>
      </c>
      <c r="D1316" s="11">
        <v>13</v>
      </c>
      <c r="E1316" s="11">
        <v>3</v>
      </c>
      <c r="F1316" s="11">
        <v>23</v>
      </c>
      <c r="G1316" s="11">
        <v>14</v>
      </c>
      <c r="H1316" s="11">
        <v>14</v>
      </c>
      <c r="I1316" s="11">
        <f>SUM('PEPE SIERRA '!$B1316:$H1316)</f>
        <v>79</v>
      </c>
      <c r="J1316" s="78">
        <f t="shared" si="634"/>
        <v>11.285714285714286</v>
      </c>
    </row>
    <row r="1317" spans="1:10" s="186" customFormat="1" x14ac:dyDescent="0.25">
      <c r="A1317" s="146" t="s">
        <v>16</v>
      </c>
      <c r="B1317" s="11">
        <v>0</v>
      </c>
      <c r="C1317" s="11">
        <v>0</v>
      </c>
      <c r="D1317" s="11">
        <v>0</v>
      </c>
      <c r="E1317" s="11">
        <v>0</v>
      </c>
      <c r="F1317" s="11">
        <v>0</v>
      </c>
      <c r="G1317" s="11">
        <v>0</v>
      </c>
      <c r="H1317" s="11">
        <v>0</v>
      </c>
      <c r="I1317" s="11">
        <f>SUM('PEPE SIERRA '!$B1317:$H1317)</f>
        <v>0</v>
      </c>
      <c r="J1317" s="78">
        <f t="shared" si="634"/>
        <v>0</v>
      </c>
    </row>
    <row r="1318" spans="1:10" s="186" customFormat="1" x14ac:dyDescent="0.25">
      <c r="A1318" s="103" t="s">
        <v>17</v>
      </c>
      <c r="B1318" s="192">
        <f>SUM(B1313:B1317)</f>
        <v>290</v>
      </c>
      <c r="C1318" s="192">
        <f t="shared" ref="C1318:I1318" si="635">SUM(C1313:C1317)</f>
        <v>125</v>
      </c>
      <c r="D1318" s="192">
        <f t="shared" si="635"/>
        <v>173</v>
      </c>
      <c r="E1318" s="192">
        <f t="shared" si="635"/>
        <v>148</v>
      </c>
      <c r="F1318" s="192">
        <f t="shared" si="635"/>
        <v>277</v>
      </c>
      <c r="G1318" s="192">
        <f t="shared" si="635"/>
        <v>305</v>
      </c>
      <c r="H1318" s="192">
        <f t="shared" si="635"/>
        <v>335</v>
      </c>
      <c r="I1318" s="192">
        <f t="shared" si="635"/>
        <v>1653</v>
      </c>
      <c r="J1318" s="193">
        <f t="shared" si="634"/>
        <v>236.14285714285714</v>
      </c>
    </row>
    <row r="1319" spans="1:10" s="186" customFormat="1" x14ac:dyDescent="0.25">
      <c r="A1319" s="146" t="s">
        <v>18</v>
      </c>
      <c r="B1319" s="30">
        <v>0.68</v>
      </c>
      <c r="C1319" s="30">
        <v>0.67</v>
      </c>
      <c r="D1319" s="30">
        <v>0.75</v>
      </c>
      <c r="E1319" s="30">
        <v>0.68</v>
      </c>
      <c r="F1319" s="30">
        <v>0.71</v>
      </c>
      <c r="G1319" s="30">
        <v>0.68</v>
      </c>
      <c r="H1319" s="30">
        <v>0.81</v>
      </c>
      <c r="I1319" s="30">
        <f>I1326/I1331</f>
        <v>0.71999632568701843</v>
      </c>
      <c r="J1319" s="30">
        <f>J1326/J1331</f>
        <v>0.71999632568701855</v>
      </c>
    </row>
    <row r="1320" spans="1:10" s="186" customFormat="1" x14ac:dyDescent="0.25">
      <c r="A1320" s="146" t="s">
        <v>19</v>
      </c>
      <c r="B1320" s="30">
        <v>0.04</v>
      </c>
      <c r="C1320" s="30">
        <v>0.03</v>
      </c>
      <c r="D1320" s="30">
        <v>0.02</v>
      </c>
      <c r="E1320" s="30">
        <v>0.02</v>
      </c>
      <c r="F1320" s="30">
        <v>0.02</v>
      </c>
      <c r="G1320" s="30">
        <v>0.02</v>
      </c>
      <c r="H1320" s="30">
        <v>0.03</v>
      </c>
      <c r="I1320" s="30">
        <f>I1327/I1331</f>
        <v>2.607500809082659E-2</v>
      </c>
      <c r="J1320" s="30">
        <f>J1327/J1331</f>
        <v>2.607500809082659E-2</v>
      </c>
    </row>
    <row r="1321" spans="1:10" s="186" customFormat="1" x14ac:dyDescent="0.25">
      <c r="A1321" s="146" t="s">
        <v>20</v>
      </c>
      <c r="B1321" s="30">
        <v>0.26</v>
      </c>
      <c r="C1321" s="30">
        <v>0.26</v>
      </c>
      <c r="D1321" s="30">
        <v>0.16</v>
      </c>
      <c r="E1321" s="30">
        <v>0.28999999999999998</v>
      </c>
      <c r="F1321" s="30">
        <v>0.19</v>
      </c>
      <c r="G1321" s="30">
        <v>0.25</v>
      </c>
      <c r="H1321" s="30">
        <v>0.13</v>
      </c>
      <c r="I1321" s="30">
        <f>I1328/I1331</f>
        <v>0.2097472769548159</v>
      </c>
      <c r="J1321" s="30">
        <f>J1328/J1331</f>
        <v>0.20974727695481593</v>
      </c>
    </row>
    <row r="1322" spans="1:10" s="186" customFormat="1" x14ac:dyDescent="0.25">
      <c r="A1322" s="146" t="s">
        <v>21</v>
      </c>
      <c r="B1322" s="30">
        <v>0.02</v>
      </c>
      <c r="C1322" s="30">
        <v>0.04</v>
      </c>
      <c r="D1322" s="30">
        <v>7.0000000000000007E-2</v>
      </c>
      <c r="E1322" s="30">
        <v>0.01</v>
      </c>
      <c r="F1322" s="30">
        <v>0.08</v>
      </c>
      <c r="G1322" s="30">
        <v>0.05</v>
      </c>
      <c r="H1322" s="30">
        <v>0.03</v>
      </c>
      <c r="I1322" s="30">
        <f>I1329/I1331</f>
        <v>4.418138926733909E-2</v>
      </c>
      <c r="J1322" s="30">
        <f>J1329/J1331</f>
        <v>4.418138926733909E-2</v>
      </c>
    </row>
    <row r="1323" spans="1:10" s="186" customFormat="1" x14ac:dyDescent="0.25">
      <c r="A1323" s="146" t="s">
        <v>22</v>
      </c>
      <c r="B1323" s="30">
        <v>0</v>
      </c>
      <c r="C1323" s="30">
        <v>0</v>
      </c>
      <c r="D1323" s="30">
        <v>0</v>
      </c>
      <c r="E1323" s="30">
        <v>0</v>
      </c>
      <c r="F1323" s="30">
        <v>0</v>
      </c>
      <c r="G1323" s="30">
        <v>0</v>
      </c>
      <c r="H1323" s="30">
        <v>0</v>
      </c>
      <c r="I1323" s="30">
        <f>I1330/I1331</f>
        <v>0</v>
      </c>
      <c r="J1323" s="30">
        <f>J1330/J1331</f>
        <v>0</v>
      </c>
    </row>
    <row r="1324" spans="1:10" s="186" customFormat="1" x14ac:dyDescent="0.25">
      <c r="A1324" s="195" t="s">
        <v>23</v>
      </c>
      <c r="B1324" s="66">
        <f t="shared" ref="B1324:J1324" si="636">B1335/B1318</f>
        <v>34927.586206896551</v>
      </c>
      <c r="C1324" s="66">
        <f t="shared" si="636"/>
        <v>35670.400000000001</v>
      </c>
      <c r="D1324" s="66">
        <f t="shared" si="636"/>
        <v>39908.092485549139</v>
      </c>
      <c r="E1324" s="66">
        <f t="shared" si="636"/>
        <v>35348.648648648646</v>
      </c>
      <c r="F1324" s="66">
        <f t="shared" si="636"/>
        <v>38804.332129963899</v>
      </c>
      <c r="G1324" s="66">
        <f t="shared" si="636"/>
        <v>38592.459016393448</v>
      </c>
      <c r="H1324" s="66">
        <f t="shared" si="636"/>
        <v>40277.313432835821</v>
      </c>
      <c r="I1324" s="66">
        <f t="shared" si="636"/>
        <v>37952.752571082878</v>
      </c>
      <c r="J1324" s="66">
        <f t="shared" si="636"/>
        <v>37952.752571082885</v>
      </c>
    </row>
    <row r="1325" spans="1:10" s="186" customFormat="1" x14ac:dyDescent="0.25">
      <c r="A1325" s="195" t="s">
        <v>24</v>
      </c>
      <c r="B1325" s="66">
        <f t="shared" ref="B1325:I1325" si="637">+B1335/B1312</f>
        <v>28940</v>
      </c>
      <c r="C1325" s="66">
        <f t="shared" si="637"/>
        <v>28582.051282051281</v>
      </c>
      <c r="D1325" s="66">
        <f t="shared" si="637"/>
        <v>29008.823529411769</v>
      </c>
      <c r="E1325" s="66">
        <f t="shared" si="637"/>
        <v>27976.470588235294</v>
      </c>
      <c r="F1325" s="66">
        <f t="shared" si="637"/>
        <v>30108.683473389356</v>
      </c>
      <c r="G1325" s="66">
        <f t="shared" si="637"/>
        <v>29500.501253132836</v>
      </c>
      <c r="H1325" s="66">
        <f t="shared" si="637"/>
        <v>29268.76355748373</v>
      </c>
      <c r="I1325" s="66">
        <f t="shared" si="637"/>
        <v>29206.657355679701</v>
      </c>
      <c r="J1325" s="66">
        <f>J1335/J1312</f>
        <v>29206.657355679705</v>
      </c>
    </row>
    <row r="1326" spans="1:10" s="186" customFormat="1" x14ac:dyDescent="0.25">
      <c r="A1326" s="146" t="s">
        <v>25</v>
      </c>
      <c r="B1326" s="92">
        <f t="shared" ref="B1326:H1326" si="638">B1331*B1319</f>
        <v>5665125.2551724138</v>
      </c>
      <c r="C1326" s="92">
        <f t="shared" si="638"/>
        <v>2469940.329310345</v>
      </c>
      <c r="D1326" s="92">
        <f t="shared" si="638"/>
        <v>4277989.0086206906</v>
      </c>
      <c r="E1326" s="92">
        <f t="shared" si="638"/>
        <v>2939310.2</v>
      </c>
      <c r="F1326" s="92">
        <f t="shared" si="638"/>
        <v>6300537.796551724</v>
      </c>
      <c r="G1326" s="92">
        <f t="shared" si="638"/>
        <v>6621639.5172413802</v>
      </c>
      <c r="H1326" s="92">
        <f t="shared" si="638"/>
        <v>8976651.1293103453</v>
      </c>
      <c r="I1326" s="31">
        <f t="shared" ref="I1326:I1331" si="639">SUM(B1326:H1326)</f>
        <v>37251193.236206897</v>
      </c>
      <c r="J1326" s="31">
        <f t="shared" ref="J1326:J1335" si="640">I1326/7</f>
        <v>5321599.0337438425</v>
      </c>
    </row>
    <row r="1327" spans="1:10" s="186" customFormat="1" x14ac:dyDescent="0.25">
      <c r="A1327" s="146" t="s">
        <v>26</v>
      </c>
      <c r="B1327" s="92">
        <f t="shared" ref="B1327:H1327" si="641">B1331*B1320</f>
        <v>333242.6620689655</v>
      </c>
      <c r="C1327" s="92">
        <f t="shared" si="641"/>
        <v>110594.34310344828</v>
      </c>
      <c r="D1327" s="92">
        <f t="shared" si="641"/>
        <v>114079.70689655174</v>
      </c>
      <c r="E1327" s="92">
        <f t="shared" si="641"/>
        <v>86450.3</v>
      </c>
      <c r="F1327" s="92">
        <f t="shared" si="641"/>
        <v>177479.93793103448</v>
      </c>
      <c r="G1327" s="92">
        <f t="shared" si="641"/>
        <v>194754.10344827588</v>
      </c>
      <c r="H1327" s="92">
        <f t="shared" si="641"/>
        <v>332468.56034482759</v>
      </c>
      <c r="I1327" s="31">
        <f t="shared" si="639"/>
        <v>1349069.6137931035</v>
      </c>
      <c r="J1327" s="31">
        <f t="shared" si="640"/>
        <v>192724.23054187192</v>
      </c>
    </row>
    <row r="1328" spans="1:10" s="186" customFormat="1" x14ac:dyDescent="0.25">
      <c r="A1328" s="146" t="s">
        <v>27</v>
      </c>
      <c r="B1328" s="92">
        <f t="shared" ref="B1328:H1328" si="642">B1331*B1321</f>
        <v>2166077.3034482757</v>
      </c>
      <c r="C1328" s="92">
        <f t="shared" si="642"/>
        <v>958484.30689655175</v>
      </c>
      <c r="D1328" s="92">
        <f t="shared" si="642"/>
        <v>912637.65517241391</v>
      </c>
      <c r="E1328" s="92">
        <f t="shared" si="642"/>
        <v>1253529.3499999999</v>
      </c>
      <c r="F1328" s="92">
        <f t="shared" si="642"/>
        <v>1686059.4103448277</v>
      </c>
      <c r="G1328" s="92">
        <f t="shared" si="642"/>
        <v>2434426.2931034486</v>
      </c>
      <c r="H1328" s="92">
        <f t="shared" si="642"/>
        <v>1440697.0948275863</v>
      </c>
      <c r="I1328" s="31">
        <f t="shared" si="639"/>
        <v>10851911.413793104</v>
      </c>
      <c r="J1328" s="31">
        <f t="shared" si="640"/>
        <v>1550273.0591133006</v>
      </c>
    </row>
    <row r="1329" spans="1:10" s="186" customFormat="1" x14ac:dyDescent="0.25">
      <c r="A1329" s="146" t="s">
        <v>28</v>
      </c>
      <c r="B1329" s="92">
        <f t="shared" ref="B1329:H1329" si="643">B1331*B1322</f>
        <v>166621.33103448275</v>
      </c>
      <c r="C1329" s="92">
        <f t="shared" si="643"/>
        <v>147459.12413793104</v>
      </c>
      <c r="D1329" s="92">
        <f t="shared" si="643"/>
        <v>399278.97413793113</v>
      </c>
      <c r="E1329" s="92">
        <f t="shared" si="643"/>
        <v>43225.15</v>
      </c>
      <c r="F1329" s="92">
        <f t="shared" si="643"/>
        <v>709919.75172413792</v>
      </c>
      <c r="G1329" s="92">
        <f t="shared" si="643"/>
        <v>486885.25862068974</v>
      </c>
      <c r="H1329" s="92">
        <f t="shared" si="643"/>
        <v>332468.56034482759</v>
      </c>
      <c r="I1329" s="31">
        <f t="shared" si="639"/>
        <v>2285858.1500000004</v>
      </c>
      <c r="J1329" s="31">
        <f t="shared" si="640"/>
        <v>326551.16428571433</v>
      </c>
    </row>
    <row r="1330" spans="1:10" s="186" customFormat="1" x14ac:dyDescent="0.25">
      <c r="A1330" s="146" t="s">
        <v>29</v>
      </c>
      <c r="B1330" s="92">
        <f t="shared" ref="B1330:H1330" si="644">B1331*B1323</f>
        <v>0</v>
      </c>
      <c r="C1330" s="92">
        <f t="shared" si="644"/>
        <v>0</v>
      </c>
      <c r="D1330" s="92">
        <f t="shared" si="644"/>
        <v>0</v>
      </c>
      <c r="E1330" s="92">
        <f t="shared" si="644"/>
        <v>0</v>
      </c>
      <c r="F1330" s="92">
        <f t="shared" si="644"/>
        <v>0</v>
      </c>
      <c r="G1330" s="92">
        <f t="shared" si="644"/>
        <v>0</v>
      </c>
      <c r="H1330" s="92">
        <f t="shared" si="644"/>
        <v>0</v>
      </c>
      <c r="I1330" s="31">
        <f t="shared" si="639"/>
        <v>0</v>
      </c>
      <c r="J1330" s="31">
        <f t="shared" si="640"/>
        <v>0</v>
      </c>
    </row>
    <row r="1331" spans="1:10" s="186" customFormat="1" x14ac:dyDescent="0.25">
      <c r="A1331" s="196" t="s">
        <v>30</v>
      </c>
      <c r="B1331" s="222">
        <f>(10129000/1.16)-B1332</f>
        <v>8331066.5517241377</v>
      </c>
      <c r="C1331" s="222">
        <f>(4458800/1.16)-C1332</f>
        <v>3686478.1034482759</v>
      </c>
      <c r="D1331" s="222">
        <f>(6904100/1.16)-D1332</f>
        <v>5703985.3448275868</v>
      </c>
      <c r="E1331" s="222">
        <f>(5231600/1.16)-E1332</f>
        <v>4322515</v>
      </c>
      <c r="F1331" s="222">
        <f>(10748800/1.16)-F1332</f>
        <v>8873996.8965517245</v>
      </c>
      <c r="G1331" s="222">
        <f>(11770700/1.16)-G1332</f>
        <v>9737705.1724137943</v>
      </c>
      <c r="H1331" s="222">
        <f>(13492900/1.16)-H1332</f>
        <v>11082285.344827587</v>
      </c>
      <c r="I1331" s="197">
        <f t="shared" si="639"/>
        <v>51738032.413793102</v>
      </c>
      <c r="J1331" s="197">
        <f t="shared" si="640"/>
        <v>7391147.4876847286</v>
      </c>
    </row>
    <row r="1332" spans="1:10" s="186" customFormat="1" x14ac:dyDescent="0.25">
      <c r="A1332" s="146" t="s">
        <v>31</v>
      </c>
      <c r="B1332" s="92">
        <f t="shared" ref="B1332:I1332" si="645">2155*B1313</f>
        <v>400830</v>
      </c>
      <c r="C1332" s="92">
        <f t="shared" si="645"/>
        <v>157315</v>
      </c>
      <c r="D1332" s="92">
        <f t="shared" si="645"/>
        <v>247825</v>
      </c>
      <c r="E1332" s="92">
        <f t="shared" si="645"/>
        <v>187485</v>
      </c>
      <c r="F1332" s="92">
        <f t="shared" si="645"/>
        <v>392210</v>
      </c>
      <c r="G1332" s="31">
        <f t="shared" si="645"/>
        <v>409450</v>
      </c>
      <c r="H1332" s="31">
        <f t="shared" si="645"/>
        <v>549525</v>
      </c>
      <c r="I1332" s="31">
        <f t="shared" si="645"/>
        <v>2344640</v>
      </c>
      <c r="J1332" s="31">
        <f t="shared" si="640"/>
        <v>334948.57142857142</v>
      </c>
    </row>
    <row r="1333" spans="1:10" s="186" customFormat="1" x14ac:dyDescent="0.25">
      <c r="A1333" s="198" t="s">
        <v>32</v>
      </c>
      <c r="B1333" s="199">
        <f>B1332+B1331</f>
        <v>8731896.5517241377</v>
      </c>
      <c r="C1333" s="199">
        <f>C1332+C1331</f>
        <v>3843793.1034482759</v>
      </c>
      <c r="D1333" s="199">
        <f>D1332+D1331</f>
        <v>5951810.3448275868</v>
      </c>
      <c r="E1333" s="199">
        <f>E1332+E1331</f>
        <v>4510000</v>
      </c>
      <c r="F1333" s="199">
        <f>F1331+F1332</f>
        <v>9266206.8965517245</v>
      </c>
      <c r="G1333" s="199">
        <f>G1332+G1331</f>
        <v>10147155.172413794</v>
      </c>
      <c r="H1333" s="199">
        <f>H1332+H1331</f>
        <v>11631810.344827587</v>
      </c>
      <c r="I1333" s="199">
        <f>I1331+I1332</f>
        <v>54082672.413793102</v>
      </c>
      <c r="J1333" s="200">
        <f t="shared" si="640"/>
        <v>7726096.0591133004</v>
      </c>
    </row>
    <row r="1334" spans="1:10" s="186" customFormat="1" x14ac:dyDescent="0.25">
      <c r="A1334" s="146" t="s">
        <v>33</v>
      </c>
      <c r="B1334" s="94">
        <f>B1333*16%</f>
        <v>1397103.448275862</v>
      </c>
      <c r="C1334" s="94">
        <f t="shared" ref="C1334:H1334" si="646">C1333*16%</f>
        <v>615006.89655172417</v>
      </c>
      <c r="D1334" s="94">
        <f t="shared" si="646"/>
        <v>952289.65517241391</v>
      </c>
      <c r="E1334" s="94">
        <f t="shared" si="646"/>
        <v>721600</v>
      </c>
      <c r="F1334" s="94">
        <f t="shared" si="646"/>
        <v>1482593.1034482759</v>
      </c>
      <c r="G1334" s="94">
        <f t="shared" si="646"/>
        <v>1623544.8275862071</v>
      </c>
      <c r="H1334" s="94">
        <f t="shared" si="646"/>
        <v>1861089.6551724139</v>
      </c>
      <c r="I1334" s="94">
        <f>I1333*16%</f>
        <v>8653227.5862068962</v>
      </c>
      <c r="J1334" s="31">
        <f t="shared" si="640"/>
        <v>1236175.369458128</v>
      </c>
    </row>
    <row r="1335" spans="1:10" s="186" customFormat="1" x14ac:dyDescent="0.25">
      <c r="A1335" s="229" t="s">
        <v>34</v>
      </c>
      <c r="B1335" s="230">
        <f>B1333+B1334</f>
        <v>10129000</v>
      </c>
      <c r="C1335" s="230">
        <f t="shared" ref="C1335:H1335" si="647">C1333+C1334</f>
        <v>4458800</v>
      </c>
      <c r="D1335" s="230">
        <f t="shared" si="647"/>
        <v>6904100.0000000009</v>
      </c>
      <c r="E1335" s="230">
        <f t="shared" si="647"/>
        <v>5231600</v>
      </c>
      <c r="F1335" s="230">
        <f t="shared" si="647"/>
        <v>10748800</v>
      </c>
      <c r="G1335" s="230">
        <f t="shared" si="647"/>
        <v>11770700.000000002</v>
      </c>
      <c r="H1335" s="230">
        <f t="shared" si="647"/>
        <v>13492900</v>
      </c>
      <c r="I1335" s="230">
        <f>I1333+I1334</f>
        <v>62735900</v>
      </c>
      <c r="J1335" s="231">
        <f t="shared" si="640"/>
        <v>8962271.4285714291</v>
      </c>
    </row>
    <row r="1336" spans="1:10" s="186" customFormat="1" ht="15.75" thickBot="1" x14ac:dyDescent="0.3">
      <c r="A1336" s="204"/>
      <c r="B1336" s="112"/>
      <c r="C1336" s="112"/>
      <c r="D1336" s="112"/>
      <c r="E1336" s="112"/>
      <c r="F1336" s="112"/>
      <c r="G1336" s="112"/>
      <c r="H1336" s="112"/>
      <c r="I1336" s="112"/>
      <c r="J1336" s="205"/>
    </row>
    <row r="1337" spans="1:10" s="186" customFormat="1" ht="27" thickBot="1" x14ac:dyDescent="0.3">
      <c r="A1337"/>
      <c r="B1337" s="1002" t="s">
        <v>306</v>
      </c>
      <c r="C1337" s="1002"/>
      <c r="D1337" s="1002"/>
      <c r="E1337" s="1002"/>
      <c r="F1337" s="1002"/>
      <c r="G1337" s="1002"/>
      <c r="H1337" s="1002"/>
      <c r="I1337"/>
      <c r="J1337"/>
    </row>
    <row r="1338" spans="1:10" s="186" customFormat="1" ht="16.5" thickBot="1" x14ac:dyDescent="0.3">
      <c r="A1338" s="227" t="s">
        <v>2</v>
      </c>
      <c r="B1338" s="232" t="s">
        <v>107</v>
      </c>
      <c r="C1338" s="232" t="s">
        <v>108</v>
      </c>
      <c r="D1338" s="232" t="s">
        <v>109</v>
      </c>
      <c r="E1338" s="232" t="s">
        <v>110</v>
      </c>
      <c r="F1338" s="232" t="s">
        <v>111</v>
      </c>
      <c r="G1338" s="232" t="s">
        <v>112</v>
      </c>
      <c r="H1338" s="232" t="s">
        <v>113</v>
      </c>
      <c r="I1338" s="228" t="s">
        <v>96</v>
      </c>
      <c r="J1338" s="228" t="s">
        <v>97</v>
      </c>
    </row>
    <row r="1339" spans="1:10" s="186" customFormat="1" ht="15.75" thickTop="1" x14ac:dyDescent="0.25">
      <c r="A1339" s="188" t="s">
        <v>11</v>
      </c>
      <c r="B1339" s="189">
        <f>85+44+18</f>
        <v>147</v>
      </c>
      <c r="C1339" s="189">
        <f>81+43+14</f>
        <v>138</v>
      </c>
      <c r="D1339" s="189">
        <f>88+52+14</f>
        <v>154</v>
      </c>
      <c r="E1339" s="190">
        <f>96+54+14</f>
        <v>164</v>
      </c>
      <c r="F1339" s="190">
        <f>231+115+42</f>
        <v>388</v>
      </c>
      <c r="G1339" s="190">
        <f>232+148+47</f>
        <v>427</v>
      </c>
      <c r="H1339" s="190">
        <f>200+122+36</f>
        <v>358</v>
      </c>
      <c r="I1339" s="190">
        <f>SUM(B1339:H1339)</f>
        <v>1776</v>
      </c>
      <c r="J1339" s="191">
        <f>+I1339/7</f>
        <v>253.71428571428572</v>
      </c>
    </row>
    <row r="1340" spans="1:10" s="186" customFormat="1" x14ac:dyDescent="0.25">
      <c r="A1340" s="146" t="s">
        <v>12</v>
      </c>
      <c r="B1340" s="11">
        <v>83</v>
      </c>
      <c r="C1340" s="11">
        <v>76</v>
      </c>
      <c r="D1340" s="11">
        <v>83</v>
      </c>
      <c r="E1340" s="11">
        <v>93</v>
      </c>
      <c r="F1340" s="86">
        <v>203</v>
      </c>
      <c r="G1340" s="11">
        <v>241</v>
      </c>
      <c r="H1340" s="11">
        <v>207</v>
      </c>
      <c r="I1340" s="11">
        <f>SUM('PEPE SIERRA '!$B1340:$H1340)</f>
        <v>986</v>
      </c>
      <c r="J1340" s="78">
        <f t="shared" ref="J1340:J1345" si="648">I1340/7</f>
        <v>140.85714285714286</v>
      </c>
    </row>
    <row r="1341" spans="1:10" s="186" customFormat="1" x14ac:dyDescent="0.25">
      <c r="A1341" s="146" t="s">
        <v>13</v>
      </c>
      <c r="B1341" s="11">
        <v>2</v>
      </c>
      <c r="C1341" s="11">
        <v>1</v>
      </c>
      <c r="D1341" s="11">
        <v>2</v>
      </c>
      <c r="E1341" s="11">
        <v>0</v>
      </c>
      <c r="F1341" s="11">
        <v>6</v>
      </c>
      <c r="G1341" s="11">
        <v>9</v>
      </c>
      <c r="H1341" s="11">
        <v>4</v>
      </c>
      <c r="I1341" s="11">
        <f>SUM('PEPE SIERRA '!$B1341:$H1341)</f>
        <v>24</v>
      </c>
      <c r="J1341" s="78">
        <f t="shared" si="648"/>
        <v>3.4285714285714284</v>
      </c>
    </row>
    <row r="1342" spans="1:10" s="186" customFormat="1" x14ac:dyDescent="0.25">
      <c r="A1342" s="146" t="s">
        <v>14</v>
      </c>
      <c r="B1342" s="11">
        <v>28</v>
      </c>
      <c r="C1342" s="11">
        <v>30</v>
      </c>
      <c r="D1342" s="11">
        <v>33</v>
      </c>
      <c r="E1342" s="11">
        <v>33</v>
      </c>
      <c r="F1342" s="11">
        <v>77</v>
      </c>
      <c r="G1342" s="11">
        <v>39</v>
      </c>
      <c r="H1342" s="86">
        <v>48</v>
      </c>
      <c r="I1342" s="11">
        <f>SUM('PEPE SIERRA '!$B1342:$H1342)</f>
        <v>288</v>
      </c>
      <c r="J1342" s="78">
        <f t="shared" si="648"/>
        <v>41.142857142857146</v>
      </c>
    </row>
    <row r="1343" spans="1:10" s="186" customFormat="1" x14ac:dyDescent="0.25">
      <c r="A1343" s="146" t="s">
        <v>15</v>
      </c>
      <c r="B1343" s="11">
        <v>1</v>
      </c>
      <c r="C1343" s="11">
        <v>0</v>
      </c>
      <c r="D1343" s="11">
        <v>1</v>
      </c>
      <c r="E1343" s="11">
        <v>4</v>
      </c>
      <c r="F1343" s="11">
        <v>11</v>
      </c>
      <c r="G1343" s="11">
        <v>20</v>
      </c>
      <c r="H1343" s="11">
        <v>19</v>
      </c>
      <c r="I1343" s="11">
        <f>SUM('PEPE SIERRA '!$B1343:$H1343)</f>
        <v>56</v>
      </c>
      <c r="J1343" s="78">
        <f t="shared" si="648"/>
        <v>8</v>
      </c>
    </row>
    <row r="1344" spans="1:10" s="186" customFormat="1" x14ac:dyDescent="0.25">
      <c r="A1344" s="146" t="s">
        <v>16</v>
      </c>
      <c r="B1344" s="11">
        <v>0</v>
      </c>
      <c r="C1344" s="11">
        <v>0</v>
      </c>
      <c r="D1344" s="11">
        <v>0</v>
      </c>
      <c r="E1344" s="11">
        <v>1</v>
      </c>
      <c r="F1344" s="11">
        <v>0</v>
      </c>
      <c r="G1344" s="11">
        <v>0</v>
      </c>
      <c r="H1344" s="11">
        <v>0</v>
      </c>
      <c r="I1344" s="11">
        <f>SUM('PEPE SIERRA '!$B1344:$H1344)</f>
        <v>1</v>
      </c>
      <c r="J1344" s="78">
        <f t="shared" si="648"/>
        <v>0.14285714285714285</v>
      </c>
    </row>
    <row r="1345" spans="1:10" s="186" customFormat="1" x14ac:dyDescent="0.25">
      <c r="A1345" s="103" t="s">
        <v>17</v>
      </c>
      <c r="B1345" s="192">
        <f>SUM(B1340:B1344)</f>
        <v>114</v>
      </c>
      <c r="C1345" s="192">
        <f t="shared" ref="C1345:I1345" si="649">SUM(C1340:C1344)</f>
        <v>107</v>
      </c>
      <c r="D1345" s="192">
        <f t="shared" si="649"/>
        <v>119</v>
      </c>
      <c r="E1345" s="192">
        <f t="shared" si="649"/>
        <v>131</v>
      </c>
      <c r="F1345" s="192">
        <f t="shared" si="649"/>
        <v>297</v>
      </c>
      <c r="G1345" s="192">
        <f t="shared" si="649"/>
        <v>309</v>
      </c>
      <c r="H1345" s="192">
        <f t="shared" si="649"/>
        <v>278</v>
      </c>
      <c r="I1345" s="192">
        <f t="shared" si="649"/>
        <v>1355</v>
      </c>
      <c r="J1345" s="193">
        <f t="shared" si="648"/>
        <v>193.57142857142858</v>
      </c>
    </row>
    <row r="1346" spans="1:10" s="186" customFormat="1" x14ac:dyDescent="0.25">
      <c r="A1346" s="146" t="s">
        <v>18</v>
      </c>
      <c r="B1346" s="30">
        <v>0.76</v>
      </c>
      <c r="C1346" s="30">
        <v>0.77</v>
      </c>
      <c r="D1346" s="30">
        <v>0.75</v>
      </c>
      <c r="E1346" s="30">
        <v>0.76</v>
      </c>
      <c r="F1346" s="30">
        <v>0.75</v>
      </c>
      <c r="G1346" s="30">
        <v>0.82</v>
      </c>
      <c r="H1346" s="30">
        <v>0.78</v>
      </c>
      <c r="I1346" s="30">
        <f>I1353/I1358</f>
        <v>0.77668512287627556</v>
      </c>
      <c r="J1346" s="30">
        <f>J1353/J1358</f>
        <v>0.77668512287627556</v>
      </c>
    </row>
    <row r="1347" spans="1:10" s="186" customFormat="1" x14ac:dyDescent="0.25">
      <c r="A1347" s="146" t="s">
        <v>19</v>
      </c>
      <c r="B1347" s="30">
        <v>0.03</v>
      </c>
      <c r="C1347" s="30">
        <v>0.02</v>
      </c>
      <c r="D1347" s="30">
        <v>0.05</v>
      </c>
      <c r="E1347" s="30">
        <v>0</v>
      </c>
      <c r="F1347" s="30">
        <v>0.02</v>
      </c>
      <c r="G1347" s="30">
        <v>0.03</v>
      </c>
      <c r="H1347" s="30">
        <v>0.02</v>
      </c>
      <c r="I1347" s="30">
        <f>I1354/I1358</f>
        <v>2.4202053012338479E-2</v>
      </c>
      <c r="J1347" s="30">
        <f>J1354/J1358</f>
        <v>2.4202053012338479E-2</v>
      </c>
    </row>
    <row r="1348" spans="1:10" s="186" customFormat="1" x14ac:dyDescent="0.25">
      <c r="A1348" s="146" t="s">
        <v>20</v>
      </c>
      <c r="B1348" s="30">
        <v>0.2</v>
      </c>
      <c r="C1348" s="30">
        <v>0.21</v>
      </c>
      <c r="D1348" s="30">
        <v>0.19</v>
      </c>
      <c r="E1348" s="30">
        <v>0.2</v>
      </c>
      <c r="F1348" s="30">
        <v>0.19</v>
      </c>
      <c r="G1348" s="30">
        <v>0.09</v>
      </c>
      <c r="H1348" s="30">
        <v>0.14000000000000001</v>
      </c>
      <c r="I1348" s="30">
        <f>I1355/I1358</f>
        <v>0.15843554565016491</v>
      </c>
      <c r="J1348" s="30">
        <f>J1355/J1358</f>
        <v>0.15843554565016488</v>
      </c>
    </row>
    <row r="1349" spans="1:10" s="186" customFormat="1" x14ac:dyDescent="0.25">
      <c r="A1349" s="146" t="s">
        <v>21</v>
      </c>
      <c r="B1349" s="30">
        <v>0.01</v>
      </c>
      <c r="C1349" s="30">
        <v>0</v>
      </c>
      <c r="D1349" s="30">
        <v>0.01</v>
      </c>
      <c r="E1349" s="30">
        <v>0.03</v>
      </c>
      <c r="F1349" s="30">
        <v>0.04</v>
      </c>
      <c r="G1349" s="30">
        <v>0.06</v>
      </c>
      <c r="H1349" s="30">
        <v>0.06</v>
      </c>
      <c r="I1349" s="30">
        <f>I1356/I1358</f>
        <v>3.9736987782521105E-2</v>
      </c>
      <c r="J1349" s="30">
        <f>J1356/J1358</f>
        <v>3.9736987782521105E-2</v>
      </c>
    </row>
    <row r="1350" spans="1:10" s="186" customFormat="1" x14ac:dyDescent="0.25">
      <c r="A1350" s="146" t="s">
        <v>22</v>
      </c>
      <c r="B1350" s="30">
        <v>0</v>
      </c>
      <c r="C1350" s="30">
        <v>0</v>
      </c>
      <c r="D1350" s="30">
        <v>0</v>
      </c>
      <c r="E1350" s="30">
        <v>0.01</v>
      </c>
      <c r="F1350" s="30">
        <v>0</v>
      </c>
      <c r="G1350" s="30">
        <v>0</v>
      </c>
      <c r="H1350" s="30">
        <v>0</v>
      </c>
      <c r="I1350" s="30">
        <f>I1357/I1358</f>
        <v>9.4029067869987038E-4</v>
      </c>
      <c r="J1350" s="30">
        <f>J1357/J1358</f>
        <v>9.4029067869987049E-4</v>
      </c>
    </row>
    <row r="1351" spans="1:10" s="186" customFormat="1" x14ac:dyDescent="0.25">
      <c r="A1351" s="195" t="s">
        <v>23</v>
      </c>
      <c r="B1351" s="66">
        <f t="shared" ref="B1351:J1351" si="650">B1362/B1345</f>
        <v>37416.666666666664</v>
      </c>
      <c r="C1351" s="66">
        <f t="shared" si="650"/>
        <v>37146.728971962621</v>
      </c>
      <c r="D1351" s="66">
        <f t="shared" si="650"/>
        <v>40270.588235294119</v>
      </c>
      <c r="E1351" s="66">
        <f t="shared" si="650"/>
        <v>37438.167938931299</v>
      </c>
      <c r="F1351" s="66">
        <f t="shared" si="650"/>
        <v>36625.925925925927</v>
      </c>
      <c r="G1351" s="66">
        <f t="shared" si="650"/>
        <v>42111.326860841429</v>
      </c>
      <c r="H1351" s="66">
        <f t="shared" si="650"/>
        <v>37135.251798561156</v>
      </c>
      <c r="I1351" s="66">
        <f t="shared" si="650"/>
        <v>38487.601476014766</v>
      </c>
      <c r="J1351" s="66">
        <f t="shared" si="650"/>
        <v>38487.601476014759</v>
      </c>
    </row>
    <row r="1352" spans="1:10" s="186" customFormat="1" x14ac:dyDescent="0.25">
      <c r="A1352" s="195" t="s">
        <v>24</v>
      </c>
      <c r="B1352" s="66">
        <f t="shared" ref="B1352:I1352" si="651">+B1362/B1339</f>
        <v>29017.006802721087</v>
      </c>
      <c r="C1352" s="66">
        <f t="shared" si="651"/>
        <v>28802.17391304348</v>
      </c>
      <c r="D1352" s="66">
        <f t="shared" si="651"/>
        <v>31118.18181818182</v>
      </c>
      <c r="E1352" s="66">
        <f t="shared" si="651"/>
        <v>29904.878048780487</v>
      </c>
      <c r="F1352" s="66">
        <f t="shared" si="651"/>
        <v>28035.82474226804</v>
      </c>
      <c r="G1352" s="66">
        <f t="shared" si="651"/>
        <v>30474.004683840754</v>
      </c>
      <c r="H1352" s="66">
        <f t="shared" si="651"/>
        <v>28836.871508379892</v>
      </c>
      <c r="I1352" s="66">
        <f t="shared" si="651"/>
        <v>29364.132882882888</v>
      </c>
      <c r="J1352" s="66">
        <f>J1362/J1339</f>
        <v>29364.132882882885</v>
      </c>
    </row>
    <row r="1353" spans="1:10" s="186" customFormat="1" x14ac:dyDescent="0.25">
      <c r="A1353" s="146" t="s">
        <v>25</v>
      </c>
      <c r="B1353" s="92">
        <f t="shared" ref="B1353:H1353" si="652">B1358*B1346</f>
        <v>2658700.5310344831</v>
      </c>
      <c r="C1353" s="92">
        <f t="shared" si="652"/>
        <v>2512267.8482758626</v>
      </c>
      <c r="D1353" s="92">
        <f t="shared" si="652"/>
        <v>2964256.4224137934</v>
      </c>
      <c r="E1353" s="92">
        <f t="shared" si="652"/>
        <v>3060912.1862068963</v>
      </c>
      <c r="F1353" s="92">
        <f t="shared" si="652"/>
        <v>6705026.25</v>
      </c>
      <c r="G1353" s="92">
        <f t="shared" si="652"/>
        <v>8772549.5896551721</v>
      </c>
      <c r="H1353" s="92">
        <f t="shared" si="652"/>
        <v>6593784.7344827596</v>
      </c>
      <c r="I1353" s="31">
        <f t="shared" ref="I1353:I1358" si="653">SUM(B1353:H1353)</f>
        <v>33267497.562068969</v>
      </c>
      <c r="J1353" s="31">
        <f t="shared" ref="J1353:J1362" si="654">I1353/7</f>
        <v>4752499.6517241383</v>
      </c>
    </row>
    <row r="1354" spans="1:10" s="186" customFormat="1" x14ac:dyDescent="0.25">
      <c r="A1354" s="146" t="s">
        <v>26</v>
      </c>
      <c r="B1354" s="92">
        <f t="shared" ref="B1354:H1354" si="655">B1358*B1347</f>
        <v>104948.7051724138</v>
      </c>
      <c r="C1354" s="92">
        <f t="shared" si="655"/>
        <v>65253.710344827596</v>
      </c>
      <c r="D1354" s="92">
        <f t="shared" si="655"/>
        <v>197617.09482758623</v>
      </c>
      <c r="E1354" s="92">
        <f t="shared" si="655"/>
        <v>0</v>
      </c>
      <c r="F1354" s="92">
        <f t="shared" si="655"/>
        <v>178800.7</v>
      </c>
      <c r="G1354" s="92">
        <f t="shared" si="655"/>
        <v>320946.93620689656</v>
      </c>
      <c r="H1354" s="92">
        <f t="shared" si="655"/>
        <v>169071.4034482759</v>
      </c>
      <c r="I1354" s="31">
        <f t="shared" si="653"/>
        <v>1036638.5500000002</v>
      </c>
      <c r="J1354" s="31">
        <f t="shared" si="654"/>
        <v>148091.22142857144</v>
      </c>
    </row>
    <row r="1355" spans="1:10" s="186" customFormat="1" x14ac:dyDescent="0.25">
      <c r="A1355" s="146" t="s">
        <v>27</v>
      </c>
      <c r="B1355" s="92">
        <f t="shared" ref="B1355:H1355" si="656">B1358*B1348</f>
        <v>699658.03448275873</v>
      </c>
      <c r="C1355" s="92">
        <f t="shared" si="656"/>
        <v>685163.95862068969</v>
      </c>
      <c r="D1355" s="92">
        <f t="shared" si="656"/>
        <v>750944.96034482762</v>
      </c>
      <c r="E1355" s="92">
        <f t="shared" si="656"/>
        <v>805503.20689655177</v>
      </c>
      <c r="F1355" s="92">
        <f t="shared" si="656"/>
        <v>1698606.65</v>
      </c>
      <c r="G1355" s="92">
        <f t="shared" si="656"/>
        <v>962840.80862068967</v>
      </c>
      <c r="H1355" s="92">
        <f t="shared" si="656"/>
        <v>1183499.8241379312</v>
      </c>
      <c r="I1355" s="31">
        <f t="shared" si="653"/>
        <v>6786217.4431034494</v>
      </c>
      <c r="J1355" s="31">
        <f t="shared" si="654"/>
        <v>969459.63472906419</v>
      </c>
    </row>
    <row r="1356" spans="1:10" s="186" customFormat="1" x14ac:dyDescent="0.25">
      <c r="A1356" s="146" t="s">
        <v>28</v>
      </c>
      <c r="B1356" s="92">
        <f t="shared" ref="B1356:H1356" si="657">B1358*B1349</f>
        <v>34982.901724137933</v>
      </c>
      <c r="C1356" s="92">
        <f t="shared" si="657"/>
        <v>0</v>
      </c>
      <c r="D1356" s="92">
        <f t="shared" si="657"/>
        <v>39523.418965517245</v>
      </c>
      <c r="E1356" s="92">
        <f t="shared" si="657"/>
        <v>120825.48103448276</v>
      </c>
      <c r="F1356" s="92">
        <f t="shared" si="657"/>
        <v>357601.4</v>
      </c>
      <c r="G1356" s="92">
        <f t="shared" si="657"/>
        <v>641893.87241379311</v>
      </c>
      <c r="H1356" s="92">
        <f t="shared" si="657"/>
        <v>507214.21034482762</v>
      </c>
      <c r="I1356" s="31">
        <f t="shared" si="653"/>
        <v>1702041.2844827585</v>
      </c>
      <c r="J1356" s="31">
        <f t="shared" si="654"/>
        <v>243148.75492610835</v>
      </c>
    </row>
    <row r="1357" spans="1:10" s="186" customFormat="1" x14ac:dyDescent="0.25">
      <c r="A1357" s="146" t="s">
        <v>29</v>
      </c>
      <c r="B1357" s="92">
        <f t="shared" ref="B1357:H1357" si="658">B1358*B1350</f>
        <v>0</v>
      </c>
      <c r="C1357" s="92">
        <f t="shared" si="658"/>
        <v>0</v>
      </c>
      <c r="D1357" s="92">
        <f t="shared" si="658"/>
        <v>0</v>
      </c>
      <c r="E1357" s="92">
        <f t="shared" si="658"/>
        <v>40275.160344827586</v>
      </c>
      <c r="F1357" s="92">
        <f t="shared" si="658"/>
        <v>0</v>
      </c>
      <c r="G1357" s="92">
        <f t="shared" si="658"/>
        <v>0</v>
      </c>
      <c r="H1357" s="92">
        <f t="shared" si="658"/>
        <v>0</v>
      </c>
      <c r="I1357" s="31">
        <f t="shared" si="653"/>
        <v>40275.160344827586</v>
      </c>
      <c r="J1357" s="31">
        <f t="shared" si="654"/>
        <v>5753.5943349753697</v>
      </c>
    </row>
    <row r="1358" spans="1:10" s="186" customFormat="1" x14ac:dyDescent="0.25">
      <c r="A1358" s="196" t="s">
        <v>30</v>
      </c>
      <c r="B1358" s="222">
        <f>(4265500/1.16)-B1359</f>
        <v>3498290.1724137934</v>
      </c>
      <c r="C1358" s="222">
        <f>(3974700/1.16)-C1359</f>
        <v>3262685.5172413797</v>
      </c>
      <c r="D1358" s="222">
        <f>(4792200/1.16)-D1359</f>
        <v>3952341.8965517245</v>
      </c>
      <c r="E1358" s="222">
        <f>(4904400/1.16)-E1359</f>
        <v>4027516.0344827585</v>
      </c>
      <c r="F1358" s="222">
        <f>(10877900/1.16)-F1359</f>
        <v>8940035</v>
      </c>
      <c r="G1358" s="222">
        <f>(13012400/1.16)-G1359</f>
        <v>10698231.206896553</v>
      </c>
      <c r="H1358" s="222">
        <f>(10323600/1.16)-H1359</f>
        <v>8453570.1724137943</v>
      </c>
      <c r="I1358" s="197">
        <f t="shared" si="653"/>
        <v>42832670.000000007</v>
      </c>
      <c r="J1358" s="197">
        <f t="shared" si="654"/>
        <v>6118952.8571428582</v>
      </c>
    </row>
    <row r="1359" spans="1:10" s="186" customFormat="1" x14ac:dyDescent="0.25">
      <c r="A1359" s="146" t="s">
        <v>31</v>
      </c>
      <c r="B1359" s="92">
        <f t="shared" ref="B1359:I1359" si="659">2155*B1340</f>
        <v>178865</v>
      </c>
      <c r="C1359" s="92">
        <f t="shared" si="659"/>
        <v>163780</v>
      </c>
      <c r="D1359" s="92">
        <f t="shared" si="659"/>
        <v>178865</v>
      </c>
      <c r="E1359" s="92">
        <f t="shared" si="659"/>
        <v>200415</v>
      </c>
      <c r="F1359" s="92">
        <f t="shared" si="659"/>
        <v>437465</v>
      </c>
      <c r="G1359" s="31">
        <f t="shared" si="659"/>
        <v>519355</v>
      </c>
      <c r="H1359" s="31">
        <f t="shared" si="659"/>
        <v>446085</v>
      </c>
      <c r="I1359" s="31">
        <f t="shared" si="659"/>
        <v>2124830</v>
      </c>
      <c r="J1359" s="31">
        <f t="shared" si="654"/>
        <v>303547.14285714284</v>
      </c>
    </row>
    <row r="1360" spans="1:10" s="186" customFormat="1" x14ac:dyDescent="0.25">
      <c r="A1360" s="198" t="s">
        <v>32</v>
      </c>
      <c r="B1360" s="199">
        <f>B1359+B1358</f>
        <v>3677155.1724137934</v>
      </c>
      <c r="C1360" s="199">
        <f>C1359+C1358</f>
        <v>3426465.5172413797</v>
      </c>
      <c r="D1360" s="199">
        <f>D1359+D1358</f>
        <v>4131206.8965517245</v>
      </c>
      <c r="E1360" s="199">
        <f>E1359+E1358</f>
        <v>4227931.0344827585</v>
      </c>
      <c r="F1360" s="199">
        <f>F1358+F1359</f>
        <v>9377500</v>
      </c>
      <c r="G1360" s="199">
        <f>G1359+G1358</f>
        <v>11217586.206896553</v>
      </c>
      <c r="H1360" s="199">
        <f>H1359+H1358</f>
        <v>8899655.1724137943</v>
      </c>
      <c r="I1360" s="199">
        <f>I1358+I1359</f>
        <v>44957500.000000007</v>
      </c>
      <c r="J1360" s="200">
        <f t="shared" si="654"/>
        <v>6422500.0000000009</v>
      </c>
    </row>
    <row r="1361" spans="1:10" s="186" customFormat="1" x14ac:dyDescent="0.25">
      <c r="A1361" s="146" t="s">
        <v>33</v>
      </c>
      <c r="B1361" s="94">
        <f>B1360*16%</f>
        <v>588344.82758620696</v>
      </c>
      <c r="C1361" s="94">
        <f t="shared" ref="C1361:H1361" si="660">C1360*16%</f>
        <v>548234.48275862075</v>
      </c>
      <c r="D1361" s="94">
        <f t="shared" si="660"/>
        <v>660993.10344827594</v>
      </c>
      <c r="E1361" s="94">
        <f t="shared" si="660"/>
        <v>676468.96551724139</v>
      </c>
      <c r="F1361" s="94">
        <f t="shared" si="660"/>
        <v>1500400</v>
      </c>
      <c r="G1361" s="94">
        <f t="shared" si="660"/>
        <v>1794813.7931034486</v>
      </c>
      <c r="H1361" s="94">
        <f t="shared" si="660"/>
        <v>1423944.8275862071</v>
      </c>
      <c r="I1361" s="94">
        <f>I1360*16%</f>
        <v>7193200.0000000009</v>
      </c>
      <c r="J1361" s="31">
        <f t="shared" si="654"/>
        <v>1027600.0000000001</v>
      </c>
    </row>
    <row r="1362" spans="1:10" s="186" customFormat="1" x14ac:dyDescent="0.25">
      <c r="A1362" s="229" t="s">
        <v>34</v>
      </c>
      <c r="B1362" s="230">
        <f>B1360+B1361</f>
        <v>4265500</v>
      </c>
      <c r="C1362" s="230">
        <f t="shared" ref="C1362:H1362" si="661">C1360+C1361</f>
        <v>3974700.0000000005</v>
      </c>
      <c r="D1362" s="230">
        <f t="shared" si="661"/>
        <v>4792200</v>
      </c>
      <c r="E1362" s="230">
        <f t="shared" si="661"/>
        <v>4904400</v>
      </c>
      <c r="F1362" s="230">
        <f t="shared" si="661"/>
        <v>10877900</v>
      </c>
      <c r="G1362" s="230">
        <f t="shared" si="661"/>
        <v>13012400.000000002</v>
      </c>
      <c r="H1362" s="230">
        <f t="shared" si="661"/>
        <v>10323600.000000002</v>
      </c>
      <c r="I1362" s="230">
        <f>I1360+I1361</f>
        <v>52150700.000000007</v>
      </c>
      <c r="J1362" s="231">
        <f t="shared" si="654"/>
        <v>7450100.0000000009</v>
      </c>
    </row>
    <row r="1363" spans="1:10" s="186" customFormat="1" ht="15.75" thickBot="1" x14ac:dyDescent="0.3">
      <c r="A1363" s="204"/>
      <c r="B1363" s="112"/>
      <c r="C1363" s="112"/>
      <c r="D1363" s="112"/>
      <c r="E1363" s="112"/>
      <c r="F1363" s="112"/>
      <c r="G1363" s="112"/>
      <c r="H1363" s="112"/>
      <c r="I1363" s="112"/>
      <c r="J1363" s="205"/>
    </row>
    <row r="1364" spans="1:10" s="186" customFormat="1" ht="27" thickBot="1" x14ac:dyDescent="0.3">
      <c r="A1364"/>
      <c r="B1364" s="1002" t="s">
        <v>307</v>
      </c>
      <c r="C1364" s="1002"/>
      <c r="D1364" s="1002"/>
      <c r="E1364" s="1002"/>
      <c r="F1364" s="1002"/>
      <c r="G1364" s="1002"/>
      <c r="H1364" s="1002"/>
      <c r="I1364"/>
      <c r="J1364"/>
    </row>
    <row r="1365" spans="1:10" s="186" customFormat="1" ht="16.5" thickBot="1" x14ac:dyDescent="0.3">
      <c r="A1365" s="227" t="s">
        <v>2</v>
      </c>
      <c r="B1365" s="232" t="s">
        <v>270</v>
      </c>
      <c r="C1365" s="232" t="s">
        <v>116</v>
      </c>
      <c r="D1365" s="232" t="s">
        <v>117</v>
      </c>
      <c r="E1365" s="232" t="s">
        <v>118</v>
      </c>
      <c r="F1365" s="232" t="s">
        <v>119</v>
      </c>
      <c r="G1365" s="232" t="s">
        <v>120</v>
      </c>
      <c r="H1365" s="232" t="s">
        <v>121</v>
      </c>
      <c r="I1365" s="228" t="s">
        <v>96</v>
      </c>
      <c r="J1365" s="228" t="s">
        <v>97</v>
      </c>
    </row>
    <row r="1366" spans="1:10" s="186" customFormat="1" ht="15.75" thickTop="1" x14ac:dyDescent="0.25">
      <c r="A1366" s="188" t="s">
        <v>11</v>
      </c>
      <c r="B1366" s="189">
        <f>85+36+12</f>
        <v>133</v>
      </c>
      <c r="C1366" s="189">
        <f>141+80+27</f>
        <v>248</v>
      </c>
      <c r="D1366" s="189">
        <f>213+108+44</f>
        <v>365</v>
      </c>
      <c r="E1366" s="190">
        <f>92+50+10</f>
        <v>152</v>
      </c>
      <c r="F1366" s="190">
        <f>142+98+20</f>
        <v>260</v>
      </c>
      <c r="G1366" s="190">
        <f>206+124+37</f>
        <v>367</v>
      </c>
      <c r="H1366" s="190">
        <f>284+137+50</f>
        <v>471</v>
      </c>
      <c r="I1366" s="190">
        <f>SUM(B1366:H1366)</f>
        <v>1996</v>
      </c>
      <c r="J1366" s="191">
        <f>+I1366/7</f>
        <v>285.14285714285717</v>
      </c>
    </row>
    <row r="1367" spans="1:10" s="186" customFormat="1" x14ac:dyDescent="0.25">
      <c r="A1367" s="146" t="s">
        <v>12</v>
      </c>
      <c r="B1367" s="11">
        <v>78</v>
      </c>
      <c r="C1367" s="11">
        <v>135</v>
      </c>
      <c r="D1367" s="11">
        <v>202</v>
      </c>
      <c r="E1367" s="11">
        <v>72</v>
      </c>
      <c r="F1367" s="86">
        <v>132</v>
      </c>
      <c r="G1367" s="11">
        <v>208</v>
      </c>
      <c r="H1367" s="11">
        <v>260</v>
      </c>
      <c r="I1367" s="11">
        <f>SUM('PEPE SIERRA '!$B1367:$H1367)</f>
        <v>1087</v>
      </c>
      <c r="J1367" s="78">
        <f t="shared" ref="J1367:J1372" si="662">I1367/7</f>
        <v>155.28571428571428</v>
      </c>
    </row>
    <row r="1368" spans="1:10" s="186" customFormat="1" x14ac:dyDescent="0.25">
      <c r="A1368" s="146" t="s">
        <v>13</v>
      </c>
      <c r="B1368" s="11">
        <v>2</v>
      </c>
      <c r="C1368" s="11">
        <v>2</v>
      </c>
      <c r="D1368" s="11">
        <v>8</v>
      </c>
      <c r="E1368" s="11">
        <v>1</v>
      </c>
      <c r="F1368" s="11">
        <v>1</v>
      </c>
      <c r="G1368" s="11">
        <v>3</v>
      </c>
      <c r="H1368" s="11">
        <v>9</v>
      </c>
      <c r="I1368" s="11">
        <f>SUM('PEPE SIERRA '!$B1368:$H1368)</f>
        <v>26</v>
      </c>
      <c r="J1368" s="78">
        <f t="shared" si="662"/>
        <v>3.7142857142857144</v>
      </c>
    </row>
    <row r="1369" spans="1:10" s="186" customFormat="1" x14ac:dyDescent="0.25">
      <c r="A1369" s="146" t="s">
        <v>14</v>
      </c>
      <c r="B1369" s="11">
        <v>21</v>
      </c>
      <c r="C1369" s="11">
        <v>44</v>
      </c>
      <c r="D1369" s="11">
        <v>50</v>
      </c>
      <c r="E1369" s="11">
        <v>42</v>
      </c>
      <c r="F1369" s="11">
        <v>57</v>
      </c>
      <c r="G1369" s="11">
        <v>57</v>
      </c>
      <c r="H1369" s="86">
        <v>64</v>
      </c>
      <c r="I1369" s="11">
        <f>SUM('PEPE SIERRA '!$B1369:$H1369)</f>
        <v>335</v>
      </c>
      <c r="J1369" s="78">
        <f t="shared" si="662"/>
        <v>47.857142857142854</v>
      </c>
    </row>
    <row r="1370" spans="1:10" s="186" customFormat="1" x14ac:dyDescent="0.25">
      <c r="A1370" s="146" t="s">
        <v>15</v>
      </c>
      <c r="B1370" s="11">
        <v>7</v>
      </c>
      <c r="C1370" s="11">
        <v>10</v>
      </c>
      <c r="D1370" s="11">
        <v>17</v>
      </c>
      <c r="E1370" s="11">
        <v>4</v>
      </c>
      <c r="F1370" s="11">
        <v>26</v>
      </c>
      <c r="G1370" s="11">
        <v>14</v>
      </c>
      <c r="H1370" s="11">
        <v>29</v>
      </c>
      <c r="I1370" s="11">
        <f>SUM('PEPE SIERRA '!$B1370:$H1370)</f>
        <v>107</v>
      </c>
      <c r="J1370" s="78">
        <f t="shared" si="662"/>
        <v>15.285714285714286</v>
      </c>
    </row>
    <row r="1371" spans="1:10" s="186" customFormat="1" x14ac:dyDescent="0.25">
      <c r="A1371" s="146" t="s">
        <v>16</v>
      </c>
      <c r="B1371" s="11">
        <v>0</v>
      </c>
      <c r="C1371" s="11">
        <v>0</v>
      </c>
      <c r="D1371" s="11">
        <v>0</v>
      </c>
      <c r="E1371" s="11">
        <v>0</v>
      </c>
      <c r="F1371" s="11">
        <v>0</v>
      </c>
      <c r="G1371" s="11">
        <v>0</v>
      </c>
      <c r="H1371" s="11">
        <v>0</v>
      </c>
      <c r="I1371" s="11">
        <f>SUM('PEPE SIERRA '!$B1371:$H1371)</f>
        <v>0</v>
      </c>
      <c r="J1371" s="78">
        <f t="shared" si="662"/>
        <v>0</v>
      </c>
    </row>
    <row r="1372" spans="1:10" s="186" customFormat="1" x14ac:dyDescent="0.25">
      <c r="A1372" s="103" t="s">
        <v>17</v>
      </c>
      <c r="B1372" s="192">
        <f>SUM(B1367:B1371)</f>
        <v>108</v>
      </c>
      <c r="C1372" s="192">
        <f t="shared" ref="C1372:I1372" si="663">SUM(C1367:C1371)</f>
        <v>191</v>
      </c>
      <c r="D1372" s="192">
        <f t="shared" si="663"/>
        <v>277</v>
      </c>
      <c r="E1372" s="192">
        <f t="shared" si="663"/>
        <v>119</v>
      </c>
      <c r="F1372" s="192">
        <f t="shared" si="663"/>
        <v>216</v>
      </c>
      <c r="G1372" s="192">
        <f t="shared" si="663"/>
        <v>282</v>
      </c>
      <c r="H1372" s="192">
        <f t="shared" si="663"/>
        <v>362</v>
      </c>
      <c r="I1372" s="192">
        <f t="shared" si="663"/>
        <v>1555</v>
      </c>
      <c r="J1372" s="193">
        <f t="shared" si="662"/>
        <v>222.14285714285714</v>
      </c>
    </row>
    <row r="1373" spans="1:10" s="186" customFormat="1" x14ac:dyDescent="0.25">
      <c r="A1373" s="146" t="s">
        <v>18</v>
      </c>
      <c r="B1373" s="30">
        <v>0.77</v>
      </c>
      <c r="C1373" s="30">
        <v>0.77</v>
      </c>
      <c r="D1373" s="30">
        <v>0.78</v>
      </c>
      <c r="E1373" s="30">
        <v>0.68</v>
      </c>
      <c r="F1373" s="30">
        <v>0.68</v>
      </c>
      <c r="G1373" s="30">
        <v>0.77</v>
      </c>
      <c r="H1373" s="30">
        <v>0.74</v>
      </c>
      <c r="I1373" s="30">
        <f>I1380/I1385</f>
        <v>0.74671730761743649</v>
      </c>
      <c r="J1373" s="30">
        <f>J1380/J1385</f>
        <v>0.74671730761743649</v>
      </c>
    </row>
    <row r="1374" spans="1:10" s="186" customFormat="1" x14ac:dyDescent="0.25">
      <c r="A1374" s="146" t="s">
        <v>19</v>
      </c>
      <c r="B1374" s="30">
        <v>0.02</v>
      </c>
      <c r="C1374" s="30">
        <v>0.01</v>
      </c>
      <c r="D1374" s="30">
        <v>0.02</v>
      </c>
      <c r="E1374" s="30">
        <v>0</v>
      </c>
      <c r="F1374" s="30">
        <v>0</v>
      </c>
      <c r="G1374" s="30">
        <v>0.01</v>
      </c>
      <c r="H1374" s="30">
        <v>0.03</v>
      </c>
      <c r="I1374" s="30">
        <f>I1381/I1385</f>
        <v>1.5055340828235186E-2</v>
      </c>
      <c r="J1374" s="30">
        <f>J1381/J1385</f>
        <v>1.5055340828235184E-2</v>
      </c>
    </row>
    <row r="1375" spans="1:10" s="186" customFormat="1" x14ac:dyDescent="0.25">
      <c r="A1375" s="146" t="s">
        <v>20</v>
      </c>
      <c r="B1375" s="30">
        <v>0.15</v>
      </c>
      <c r="C1375" s="30">
        <v>0.18</v>
      </c>
      <c r="D1375" s="30">
        <v>0.15</v>
      </c>
      <c r="E1375" s="30">
        <v>0.3</v>
      </c>
      <c r="F1375" s="30">
        <v>0.21</v>
      </c>
      <c r="G1375" s="30">
        <v>0.17</v>
      </c>
      <c r="H1375" s="30">
        <v>0.16</v>
      </c>
      <c r="I1375" s="30">
        <f>I1382/I1385</f>
        <v>0.17890594414626301</v>
      </c>
      <c r="J1375" s="30">
        <f>J1382/J1385</f>
        <v>0.17890594414626301</v>
      </c>
    </row>
    <row r="1376" spans="1:10" s="186" customFormat="1" x14ac:dyDescent="0.25">
      <c r="A1376" s="146" t="s">
        <v>21</v>
      </c>
      <c r="B1376" s="30">
        <v>0.06</v>
      </c>
      <c r="C1376" s="30">
        <v>0.04</v>
      </c>
      <c r="D1376" s="30">
        <v>0.05</v>
      </c>
      <c r="E1376" s="30">
        <v>0.02</v>
      </c>
      <c r="F1376" s="30">
        <v>0.11</v>
      </c>
      <c r="G1376" s="30">
        <v>0.05</v>
      </c>
      <c r="H1376" s="30">
        <v>7.0000000000000007E-2</v>
      </c>
      <c r="I1376" s="30">
        <f>I1383/I1385</f>
        <v>5.9321407408065213E-2</v>
      </c>
      <c r="J1376" s="30">
        <f>J1383/J1385</f>
        <v>5.9321407408065213E-2</v>
      </c>
    </row>
    <row r="1377" spans="1:10" s="186" customFormat="1" x14ac:dyDescent="0.25">
      <c r="A1377" s="146" t="s">
        <v>22</v>
      </c>
      <c r="B1377" s="30">
        <v>0</v>
      </c>
      <c r="C1377" s="30">
        <v>0</v>
      </c>
      <c r="D1377" s="30">
        <v>0</v>
      </c>
      <c r="E1377" s="30">
        <v>0</v>
      </c>
      <c r="F1377" s="30">
        <v>0</v>
      </c>
      <c r="G1377" s="30">
        <v>0</v>
      </c>
      <c r="H1377" s="30">
        <v>0</v>
      </c>
      <c r="I1377" s="30">
        <f>I1384/I1385</f>
        <v>0</v>
      </c>
      <c r="J1377" s="30">
        <f>J1384/J1385</f>
        <v>0</v>
      </c>
    </row>
    <row r="1378" spans="1:10" s="186" customFormat="1" x14ac:dyDescent="0.25">
      <c r="A1378" s="195" t="s">
        <v>23</v>
      </c>
      <c r="B1378" s="66">
        <f t="shared" ref="B1378:J1378" si="664">B1389/B1372</f>
        <v>37158.333333333336</v>
      </c>
      <c r="C1378" s="66">
        <f t="shared" si="664"/>
        <v>40706.28272251309</v>
      </c>
      <c r="D1378" s="66">
        <f t="shared" si="664"/>
        <v>38091.335740072202</v>
      </c>
      <c r="E1378" s="66">
        <f t="shared" si="664"/>
        <v>37073.949579831933</v>
      </c>
      <c r="F1378" s="66">
        <f t="shared" si="664"/>
        <v>34618.981481481489</v>
      </c>
      <c r="G1378" s="66">
        <f t="shared" si="664"/>
        <v>39966.666666666664</v>
      </c>
      <c r="H1378" s="66">
        <f t="shared" si="664"/>
        <v>37787.292817679561</v>
      </c>
      <c r="I1378" s="66">
        <f t="shared" si="664"/>
        <v>38056.848874598072</v>
      </c>
      <c r="J1378" s="66">
        <f t="shared" si="664"/>
        <v>38056.848874598072</v>
      </c>
    </row>
    <row r="1379" spans="1:10" s="186" customFormat="1" x14ac:dyDescent="0.25">
      <c r="A1379" s="195" t="s">
        <v>24</v>
      </c>
      <c r="B1379" s="66">
        <f t="shared" ref="B1379:I1379" si="665">+B1389/B1366</f>
        <v>30173.684210526317</v>
      </c>
      <c r="C1379" s="66">
        <f t="shared" si="665"/>
        <v>31350.403225806451</v>
      </c>
      <c r="D1379" s="66">
        <f t="shared" si="665"/>
        <v>28907.671232876713</v>
      </c>
      <c r="E1379" s="66">
        <f t="shared" si="665"/>
        <v>29025</v>
      </c>
      <c r="F1379" s="66">
        <f t="shared" si="665"/>
        <v>28760.384615384621</v>
      </c>
      <c r="G1379" s="66">
        <f t="shared" si="665"/>
        <v>30710.08174386921</v>
      </c>
      <c r="H1379" s="66">
        <f t="shared" si="665"/>
        <v>29042.462845010617</v>
      </c>
      <c r="I1379" s="66">
        <f t="shared" si="665"/>
        <v>29648.496993987981</v>
      </c>
      <c r="J1379" s="66">
        <f>J1389/J1366</f>
        <v>29648.496993987977</v>
      </c>
    </row>
    <row r="1380" spans="1:10" s="186" customFormat="1" x14ac:dyDescent="0.25">
      <c r="A1380" s="146" t="s">
        <v>25</v>
      </c>
      <c r="B1380" s="92">
        <f t="shared" ref="B1380:H1380" si="666">B1385*B1373</f>
        <v>2534438.8034482761</v>
      </c>
      <c r="C1380" s="92">
        <f t="shared" si="666"/>
        <v>4936912.75</v>
      </c>
      <c r="D1380" s="92">
        <f t="shared" si="666"/>
        <v>6755297.8551724143</v>
      </c>
      <c r="E1380" s="92">
        <f t="shared" si="666"/>
        <v>2480718.7862068969</v>
      </c>
      <c r="F1380" s="92">
        <f t="shared" si="666"/>
        <v>4190046.5103448285</v>
      </c>
      <c r="G1380" s="92">
        <f t="shared" si="666"/>
        <v>7136201.7517241379</v>
      </c>
      <c r="H1380" s="92">
        <f t="shared" si="666"/>
        <v>8311636.6206896557</v>
      </c>
      <c r="I1380" s="31">
        <f t="shared" ref="I1380:I1385" si="667">SUM(B1380:H1380)</f>
        <v>36345253.077586211</v>
      </c>
      <c r="J1380" s="31">
        <f t="shared" ref="J1380:J1389" si="668">I1380/7</f>
        <v>5192179.0110837445</v>
      </c>
    </row>
    <row r="1381" spans="1:10" s="186" customFormat="1" x14ac:dyDescent="0.25">
      <c r="A1381" s="146" t="s">
        <v>26</v>
      </c>
      <c r="B1381" s="92">
        <f t="shared" ref="B1381:H1381" si="669">B1385*B1374</f>
        <v>65829.579310344838</v>
      </c>
      <c r="C1381" s="92">
        <f t="shared" si="669"/>
        <v>64115.75</v>
      </c>
      <c r="D1381" s="92">
        <f t="shared" si="669"/>
        <v>173212.76551724141</v>
      </c>
      <c r="E1381" s="92">
        <f t="shared" si="669"/>
        <v>0</v>
      </c>
      <c r="F1381" s="92">
        <f t="shared" si="669"/>
        <v>0</v>
      </c>
      <c r="G1381" s="92">
        <f t="shared" si="669"/>
        <v>92677.944827586209</v>
      </c>
      <c r="H1381" s="92">
        <f t="shared" si="669"/>
        <v>336958.24137931032</v>
      </c>
      <c r="I1381" s="31">
        <f t="shared" si="667"/>
        <v>732794.28103448288</v>
      </c>
      <c r="J1381" s="31">
        <f t="shared" si="668"/>
        <v>104684.89729064041</v>
      </c>
    </row>
    <row r="1382" spans="1:10" s="186" customFormat="1" x14ac:dyDescent="0.25">
      <c r="A1382" s="146" t="s">
        <v>27</v>
      </c>
      <c r="B1382" s="92">
        <f t="shared" ref="B1382:H1382" si="670">B1385*B1375</f>
        <v>493721.8448275862</v>
      </c>
      <c r="C1382" s="92">
        <f t="shared" si="670"/>
        <v>1154083.5</v>
      </c>
      <c r="D1382" s="92">
        <f t="shared" si="670"/>
        <v>1299095.7413793104</v>
      </c>
      <c r="E1382" s="92">
        <f t="shared" si="670"/>
        <v>1094434.7586206896</v>
      </c>
      <c r="F1382" s="92">
        <f t="shared" si="670"/>
        <v>1293984.9517241381</v>
      </c>
      <c r="G1382" s="92">
        <f t="shared" si="670"/>
        <v>1575525.0620689658</v>
      </c>
      <c r="H1382" s="92">
        <f t="shared" si="670"/>
        <v>1797110.6206896552</v>
      </c>
      <c r="I1382" s="31">
        <f t="shared" si="667"/>
        <v>8707956.4793103449</v>
      </c>
      <c r="J1382" s="31">
        <f t="shared" si="668"/>
        <v>1243993.7827586208</v>
      </c>
    </row>
    <row r="1383" spans="1:10" s="186" customFormat="1" x14ac:dyDescent="0.25">
      <c r="A1383" s="146" t="s">
        <v>28</v>
      </c>
      <c r="B1383" s="92">
        <f t="shared" ref="B1383:H1383" si="671">B1385*B1376</f>
        <v>197488.73793103447</v>
      </c>
      <c r="C1383" s="92">
        <f t="shared" si="671"/>
        <v>256463</v>
      </c>
      <c r="D1383" s="92">
        <f t="shared" si="671"/>
        <v>433031.91379310354</v>
      </c>
      <c r="E1383" s="92">
        <f t="shared" si="671"/>
        <v>72962.317241379307</v>
      </c>
      <c r="F1383" s="92">
        <f t="shared" si="671"/>
        <v>677801.6413793104</v>
      </c>
      <c r="G1383" s="92">
        <f t="shared" si="671"/>
        <v>463389.72413793107</v>
      </c>
      <c r="H1383" s="92">
        <f t="shared" si="671"/>
        <v>786235.89655172429</v>
      </c>
      <c r="I1383" s="31">
        <f t="shared" si="667"/>
        <v>2887373.2310344828</v>
      </c>
      <c r="J1383" s="31">
        <f t="shared" si="668"/>
        <v>412481.89014778327</v>
      </c>
    </row>
    <row r="1384" spans="1:10" s="186" customFormat="1" x14ac:dyDescent="0.25">
      <c r="A1384" s="146" t="s">
        <v>29</v>
      </c>
      <c r="B1384" s="92">
        <f t="shared" ref="B1384:H1384" si="672">B1385*B1377</f>
        <v>0</v>
      </c>
      <c r="C1384" s="92">
        <f t="shared" si="672"/>
        <v>0</v>
      </c>
      <c r="D1384" s="92">
        <f t="shared" si="672"/>
        <v>0</v>
      </c>
      <c r="E1384" s="92">
        <f t="shared" si="672"/>
        <v>0</v>
      </c>
      <c r="F1384" s="92">
        <f t="shared" si="672"/>
        <v>0</v>
      </c>
      <c r="G1384" s="92">
        <f t="shared" si="672"/>
        <v>0</v>
      </c>
      <c r="H1384" s="92">
        <f t="shared" si="672"/>
        <v>0</v>
      </c>
      <c r="I1384" s="31">
        <f t="shared" si="667"/>
        <v>0</v>
      </c>
      <c r="J1384" s="31">
        <f t="shared" si="668"/>
        <v>0</v>
      </c>
    </row>
    <row r="1385" spans="1:10" s="186" customFormat="1" x14ac:dyDescent="0.25">
      <c r="A1385" s="196" t="s">
        <v>30</v>
      </c>
      <c r="B1385" s="222">
        <f>(4013100/1.16)-B1386</f>
        <v>3291478.9655172415</v>
      </c>
      <c r="C1385" s="222">
        <f>(7774900/1.16)-C1386</f>
        <v>6411575</v>
      </c>
      <c r="D1385" s="222">
        <f>(10551300/1.16)-D1386</f>
        <v>8660638.2758620698</v>
      </c>
      <c r="E1385" s="222">
        <f>(4411800/1.16)-E1386</f>
        <v>3648115.8620689656</v>
      </c>
      <c r="F1385" s="222">
        <f>(7477700/1.16)-F1386</f>
        <v>6161833.1034482764</v>
      </c>
      <c r="G1385" s="222">
        <f>(11270600/1.16)-G1386</f>
        <v>9267794.4827586208</v>
      </c>
      <c r="H1385" s="222">
        <f>(13679000/1.16)-H1386</f>
        <v>11231941.379310345</v>
      </c>
      <c r="I1385" s="197">
        <f t="shared" si="667"/>
        <v>48673377.068965524</v>
      </c>
      <c r="J1385" s="197">
        <f t="shared" si="668"/>
        <v>6953339.5812807893</v>
      </c>
    </row>
    <row r="1386" spans="1:10" s="186" customFormat="1" x14ac:dyDescent="0.25">
      <c r="A1386" s="146" t="s">
        <v>31</v>
      </c>
      <c r="B1386" s="92">
        <f t="shared" ref="B1386:I1386" si="673">2155*B1367</f>
        <v>168090</v>
      </c>
      <c r="C1386" s="92">
        <f t="shared" si="673"/>
        <v>290925</v>
      </c>
      <c r="D1386" s="92">
        <f t="shared" si="673"/>
        <v>435310</v>
      </c>
      <c r="E1386" s="92">
        <f t="shared" si="673"/>
        <v>155160</v>
      </c>
      <c r="F1386" s="92">
        <f t="shared" si="673"/>
        <v>284460</v>
      </c>
      <c r="G1386" s="31">
        <f t="shared" si="673"/>
        <v>448240</v>
      </c>
      <c r="H1386" s="31">
        <f t="shared" si="673"/>
        <v>560300</v>
      </c>
      <c r="I1386" s="31">
        <f t="shared" si="673"/>
        <v>2342485</v>
      </c>
      <c r="J1386" s="31">
        <f t="shared" si="668"/>
        <v>334640.71428571426</v>
      </c>
    </row>
    <row r="1387" spans="1:10" s="186" customFormat="1" x14ac:dyDescent="0.25">
      <c r="A1387" s="198" t="s">
        <v>32</v>
      </c>
      <c r="B1387" s="199">
        <f>B1386+B1385</f>
        <v>3459568.9655172415</v>
      </c>
      <c r="C1387" s="199">
        <f>C1386+C1385</f>
        <v>6702500</v>
      </c>
      <c r="D1387" s="199">
        <f>D1386+D1385</f>
        <v>9095948.2758620698</v>
      </c>
      <c r="E1387" s="199">
        <f>E1386+E1385</f>
        <v>3803275.8620689656</v>
      </c>
      <c r="F1387" s="199">
        <f>F1385+F1386</f>
        <v>6446293.1034482764</v>
      </c>
      <c r="G1387" s="199">
        <f>G1386+G1385</f>
        <v>9716034.4827586208</v>
      </c>
      <c r="H1387" s="199">
        <f>H1386+H1385</f>
        <v>11792241.379310345</v>
      </c>
      <c r="I1387" s="199">
        <f>I1385+I1386</f>
        <v>51015862.068965524</v>
      </c>
      <c r="J1387" s="200">
        <f t="shared" si="668"/>
        <v>7287980.2955665039</v>
      </c>
    </row>
    <row r="1388" spans="1:10" s="186" customFormat="1" x14ac:dyDescent="0.25">
      <c r="A1388" s="146" t="s">
        <v>33</v>
      </c>
      <c r="B1388" s="94">
        <f>B1387*16%</f>
        <v>553531.03448275861</v>
      </c>
      <c r="C1388" s="94">
        <f t="shared" ref="C1388:H1388" si="674">C1387*16%</f>
        <v>1072400</v>
      </c>
      <c r="D1388" s="94">
        <f t="shared" si="674"/>
        <v>1455351.7241379311</v>
      </c>
      <c r="E1388" s="94">
        <f t="shared" si="674"/>
        <v>608524.13793103455</v>
      </c>
      <c r="F1388" s="94">
        <f t="shared" si="674"/>
        <v>1031406.8965517243</v>
      </c>
      <c r="G1388" s="94">
        <f t="shared" si="674"/>
        <v>1554565.5172413792</v>
      </c>
      <c r="H1388" s="94">
        <f t="shared" si="674"/>
        <v>1886758.6206896552</v>
      </c>
      <c r="I1388" s="94">
        <f>I1387*16%</f>
        <v>8162537.9310344839</v>
      </c>
      <c r="J1388" s="31">
        <f t="shared" si="668"/>
        <v>1166076.8472906405</v>
      </c>
    </row>
    <row r="1389" spans="1:10" s="186" customFormat="1" x14ac:dyDescent="0.25">
      <c r="A1389" s="229" t="s">
        <v>34</v>
      </c>
      <c r="B1389" s="230">
        <f>B1387+B1388</f>
        <v>4013100</v>
      </c>
      <c r="C1389" s="230">
        <f t="shared" ref="C1389:H1389" si="675">C1387+C1388</f>
        <v>7774900</v>
      </c>
      <c r="D1389" s="230">
        <f t="shared" si="675"/>
        <v>10551300</v>
      </c>
      <c r="E1389" s="230">
        <f t="shared" si="675"/>
        <v>4411800</v>
      </c>
      <c r="F1389" s="230">
        <f t="shared" si="675"/>
        <v>7477700.0000000009</v>
      </c>
      <c r="G1389" s="230">
        <f t="shared" si="675"/>
        <v>11270600</v>
      </c>
      <c r="H1389" s="230">
        <f t="shared" si="675"/>
        <v>13679000</v>
      </c>
      <c r="I1389" s="230">
        <f>I1387+I1388</f>
        <v>59178400.000000007</v>
      </c>
      <c r="J1389" s="231">
        <f t="shared" si="668"/>
        <v>8454057.1428571437</v>
      </c>
    </row>
    <row r="1390" spans="1:10" s="186" customFormat="1" ht="15.75" thickBot="1" x14ac:dyDescent="0.3">
      <c r="A1390" s="204"/>
      <c r="B1390" s="112"/>
      <c r="C1390" s="112"/>
      <c r="D1390" s="112"/>
      <c r="E1390" s="112"/>
      <c r="F1390" s="112"/>
      <c r="G1390" s="112"/>
      <c r="H1390" s="112"/>
      <c r="I1390" s="112"/>
      <c r="J1390" s="205"/>
    </row>
    <row r="1391" spans="1:10" s="186" customFormat="1" ht="27" thickBot="1" x14ac:dyDescent="0.3">
      <c r="A1391"/>
      <c r="B1391" s="1002" t="s">
        <v>308</v>
      </c>
      <c r="C1391" s="1002"/>
      <c r="D1391" s="1002"/>
      <c r="E1391" s="1002"/>
      <c r="F1391" s="1002"/>
      <c r="G1391" s="1002"/>
      <c r="H1391" s="1002"/>
      <c r="I1391"/>
      <c r="J1391"/>
    </row>
    <row r="1392" spans="1:10" s="186" customFormat="1" ht="16.5" thickBot="1" x14ac:dyDescent="0.3">
      <c r="A1392" s="227" t="s">
        <v>2</v>
      </c>
      <c r="B1392" s="232" t="s">
        <v>123</v>
      </c>
      <c r="C1392" s="232" t="s">
        <v>124</v>
      </c>
      <c r="D1392" s="232" t="s">
        <v>125</v>
      </c>
      <c r="E1392" s="232" t="s">
        <v>126</v>
      </c>
      <c r="F1392" s="232" t="s">
        <v>127</v>
      </c>
      <c r="G1392" s="232" t="s">
        <v>128</v>
      </c>
      <c r="H1392" s="232" t="s">
        <v>129</v>
      </c>
      <c r="I1392" s="228" t="s">
        <v>96</v>
      </c>
      <c r="J1392" s="228" t="s">
        <v>97</v>
      </c>
    </row>
    <row r="1393" spans="1:10" s="186" customFormat="1" ht="15.75" thickTop="1" x14ac:dyDescent="0.25">
      <c r="A1393" s="188" t="s">
        <v>11</v>
      </c>
      <c r="B1393" s="189">
        <f>68+44+11</f>
        <v>123</v>
      </c>
      <c r="C1393" s="189">
        <f>109+45+17</f>
        <v>171</v>
      </c>
      <c r="D1393" s="189">
        <f>73+44+15</f>
        <v>132</v>
      </c>
      <c r="E1393" s="190">
        <f>96+67+15</f>
        <v>178</v>
      </c>
      <c r="F1393" s="190">
        <f>231+149+47</f>
        <v>427</v>
      </c>
      <c r="G1393" s="190">
        <f>230+117+47</f>
        <v>394</v>
      </c>
      <c r="H1393" s="190">
        <f>220+108+36</f>
        <v>364</v>
      </c>
      <c r="I1393" s="190">
        <f>SUM(B1393:H1393)</f>
        <v>1789</v>
      </c>
      <c r="J1393" s="191">
        <f>+I1393/7</f>
        <v>255.57142857142858</v>
      </c>
    </row>
    <row r="1394" spans="1:10" s="186" customFormat="1" x14ac:dyDescent="0.25">
      <c r="A1394" s="146" t="s">
        <v>12</v>
      </c>
      <c r="B1394" s="11">
        <v>67</v>
      </c>
      <c r="C1394" s="11">
        <v>87</v>
      </c>
      <c r="D1394" s="11">
        <v>80</v>
      </c>
      <c r="E1394" s="11">
        <v>82</v>
      </c>
      <c r="F1394" s="86">
        <v>236</v>
      </c>
      <c r="G1394" s="11">
        <v>208</v>
      </c>
      <c r="H1394" s="11">
        <v>188</v>
      </c>
      <c r="I1394" s="11">
        <f>SUM('PEPE SIERRA '!$B1394:$H1394)</f>
        <v>948</v>
      </c>
      <c r="J1394" s="78">
        <f t="shared" ref="J1394:J1399" si="676">I1394/7</f>
        <v>135.42857142857142</v>
      </c>
    </row>
    <row r="1395" spans="1:10" s="186" customFormat="1" x14ac:dyDescent="0.25">
      <c r="A1395" s="146" t="s">
        <v>13</v>
      </c>
      <c r="B1395" s="11">
        <v>3</v>
      </c>
      <c r="C1395" s="11">
        <v>4</v>
      </c>
      <c r="D1395" s="11">
        <v>3</v>
      </c>
      <c r="E1395" s="11">
        <v>3</v>
      </c>
      <c r="F1395" s="11">
        <v>7</v>
      </c>
      <c r="G1395" s="11">
        <v>7</v>
      </c>
      <c r="H1395" s="11">
        <v>10</v>
      </c>
      <c r="I1395" s="11">
        <f>SUM('PEPE SIERRA '!$B1395:$H1395)</f>
        <v>37</v>
      </c>
      <c r="J1395" s="78">
        <f t="shared" si="676"/>
        <v>5.2857142857142856</v>
      </c>
    </row>
    <row r="1396" spans="1:10" s="186" customFormat="1" x14ac:dyDescent="0.25">
      <c r="A1396" s="146" t="s">
        <v>14</v>
      </c>
      <c r="B1396" s="11">
        <v>31</v>
      </c>
      <c r="C1396" s="11">
        <v>36</v>
      </c>
      <c r="D1396" s="11">
        <v>16</v>
      </c>
      <c r="E1396" s="11">
        <v>54</v>
      </c>
      <c r="F1396" s="11">
        <v>66</v>
      </c>
      <c r="G1396" s="11">
        <v>45</v>
      </c>
      <c r="H1396" s="86">
        <v>60</v>
      </c>
      <c r="I1396" s="11">
        <f>SUM('PEPE SIERRA '!$B1396:$H1396)</f>
        <v>308</v>
      </c>
      <c r="J1396" s="78">
        <f t="shared" si="676"/>
        <v>44</v>
      </c>
    </row>
    <row r="1397" spans="1:10" s="186" customFormat="1" x14ac:dyDescent="0.25">
      <c r="A1397" s="146" t="s">
        <v>15</v>
      </c>
      <c r="B1397" s="11">
        <v>2</v>
      </c>
      <c r="C1397" s="11">
        <v>2</v>
      </c>
      <c r="D1397" s="11">
        <v>7</v>
      </c>
      <c r="E1397" s="11">
        <v>1</v>
      </c>
      <c r="F1397" s="11">
        <v>16</v>
      </c>
      <c r="G1397" s="11">
        <v>16</v>
      </c>
      <c r="H1397" s="11">
        <v>17</v>
      </c>
      <c r="I1397" s="11">
        <f>SUM('PEPE SIERRA '!$B1397:$H1397)</f>
        <v>61</v>
      </c>
      <c r="J1397" s="78">
        <f t="shared" si="676"/>
        <v>8.7142857142857135</v>
      </c>
    </row>
    <row r="1398" spans="1:10" s="186" customFormat="1" x14ac:dyDescent="0.25">
      <c r="A1398" s="146" t="s">
        <v>16</v>
      </c>
      <c r="B1398" s="11">
        <v>0</v>
      </c>
      <c r="C1398" s="11">
        <v>0</v>
      </c>
      <c r="D1398" s="11">
        <v>0</v>
      </c>
      <c r="E1398" s="11">
        <v>0</v>
      </c>
      <c r="F1398" s="11">
        <v>0</v>
      </c>
      <c r="G1398" s="11">
        <v>0</v>
      </c>
      <c r="H1398" s="11">
        <v>0</v>
      </c>
      <c r="I1398" s="11">
        <f>SUM('PEPE SIERRA '!$B1398:$H1398)</f>
        <v>0</v>
      </c>
      <c r="J1398" s="78">
        <f t="shared" si="676"/>
        <v>0</v>
      </c>
    </row>
    <row r="1399" spans="1:10" s="186" customFormat="1" x14ac:dyDescent="0.25">
      <c r="A1399" s="103" t="s">
        <v>17</v>
      </c>
      <c r="B1399" s="192">
        <f>SUM(B1394:B1398)</f>
        <v>103</v>
      </c>
      <c r="C1399" s="192">
        <f t="shared" ref="C1399:I1399" si="677">SUM(C1394:C1398)</f>
        <v>129</v>
      </c>
      <c r="D1399" s="192">
        <f t="shared" si="677"/>
        <v>106</v>
      </c>
      <c r="E1399" s="192">
        <f t="shared" si="677"/>
        <v>140</v>
      </c>
      <c r="F1399" s="192">
        <f t="shared" si="677"/>
        <v>325</v>
      </c>
      <c r="G1399" s="192">
        <f t="shared" si="677"/>
        <v>276</v>
      </c>
      <c r="H1399" s="192">
        <f t="shared" si="677"/>
        <v>275</v>
      </c>
      <c r="I1399" s="192">
        <f t="shared" si="677"/>
        <v>1354</v>
      </c>
      <c r="J1399" s="193">
        <f t="shared" si="676"/>
        <v>193.42857142857142</v>
      </c>
    </row>
    <row r="1400" spans="1:10" s="186" customFormat="1" x14ac:dyDescent="0.25">
      <c r="A1400" s="146" t="s">
        <v>18</v>
      </c>
      <c r="B1400" s="30">
        <v>0.68</v>
      </c>
      <c r="C1400" s="30">
        <v>0.71</v>
      </c>
      <c r="D1400" s="30">
        <v>0.8</v>
      </c>
      <c r="E1400" s="30">
        <v>0.65</v>
      </c>
      <c r="F1400" s="30">
        <v>0.76</v>
      </c>
      <c r="G1400" s="30">
        <v>0.81</v>
      </c>
      <c r="H1400" s="30">
        <v>0.73</v>
      </c>
      <c r="I1400" s="30">
        <f>I1407/I1412</f>
        <v>0.7463659150820372</v>
      </c>
      <c r="J1400" s="30">
        <f>J1407/J1412</f>
        <v>0.7463659150820372</v>
      </c>
    </row>
    <row r="1401" spans="1:10" s="186" customFormat="1" x14ac:dyDescent="0.25">
      <c r="A1401" s="146" t="s">
        <v>19</v>
      </c>
      <c r="B1401" s="30">
        <v>0.05</v>
      </c>
      <c r="C1401" s="30">
        <v>0.04</v>
      </c>
      <c r="D1401" s="30">
        <v>0.02</v>
      </c>
      <c r="E1401" s="30">
        <v>0.01</v>
      </c>
      <c r="F1401" s="30">
        <v>0.02</v>
      </c>
      <c r="G1401" s="30">
        <v>0.02</v>
      </c>
      <c r="H1401" s="30">
        <v>0.03</v>
      </c>
      <c r="I1401" s="30">
        <f>I1408/I1412</f>
        <v>2.4866472597512897E-2</v>
      </c>
      <c r="J1401" s="30">
        <f>J1408/J1412</f>
        <v>2.4866472597512901E-2</v>
      </c>
    </row>
    <row r="1402" spans="1:10" s="186" customFormat="1" x14ac:dyDescent="0.25">
      <c r="A1402" s="146" t="s">
        <v>20</v>
      </c>
      <c r="B1402" s="30">
        <v>0.26</v>
      </c>
      <c r="C1402" s="30">
        <v>0.21</v>
      </c>
      <c r="D1402" s="30">
        <v>0.12</v>
      </c>
      <c r="E1402" s="30">
        <v>0.34</v>
      </c>
      <c r="F1402" s="30">
        <v>0.17</v>
      </c>
      <c r="G1402" s="30">
        <v>0.11</v>
      </c>
      <c r="H1402" s="30">
        <v>0.2</v>
      </c>
      <c r="I1402" s="30">
        <f>I1409/I1412</f>
        <v>0.18672898014773504</v>
      </c>
      <c r="J1402" s="30">
        <f>J1409/J1412</f>
        <v>0.18672898014773504</v>
      </c>
    </row>
    <row r="1403" spans="1:10" s="186" customFormat="1" x14ac:dyDescent="0.25">
      <c r="A1403" s="146" t="s">
        <v>21</v>
      </c>
      <c r="B1403" s="30">
        <v>0.01</v>
      </c>
      <c r="C1403" s="30">
        <v>0.04</v>
      </c>
      <c r="D1403" s="30">
        <v>0.06</v>
      </c>
      <c r="E1403" s="30">
        <v>0</v>
      </c>
      <c r="F1403" s="30">
        <v>0.05</v>
      </c>
      <c r="G1403" s="30">
        <v>0.06</v>
      </c>
      <c r="H1403" s="30">
        <v>0.04</v>
      </c>
      <c r="I1403" s="30">
        <f>I1410/I1412</f>
        <v>4.2038632172714953E-2</v>
      </c>
      <c r="J1403" s="30">
        <f>J1410/J1412</f>
        <v>4.2038632172714953E-2</v>
      </c>
    </row>
    <row r="1404" spans="1:10" s="186" customFormat="1" x14ac:dyDescent="0.25">
      <c r="A1404" s="146" t="s">
        <v>22</v>
      </c>
      <c r="B1404" s="30">
        <v>0</v>
      </c>
      <c r="C1404" s="30">
        <v>0</v>
      </c>
      <c r="D1404" s="30">
        <v>0</v>
      </c>
      <c r="E1404" s="30">
        <v>0</v>
      </c>
      <c r="F1404" s="30">
        <v>0</v>
      </c>
      <c r="G1404" s="30">
        <v>0</v>
      </c>
      <c r="H1404" s="30">
        <v>0</v>
      </c>
      <c r="I1404" s="30">
        <f>I1411/I1412</f>
        <v>0</v>
      </c>
      <c r="J1404" s="30">
        <f>J1411/J1412</f>
        <v>0</v>
      </c>
    </row>
    <row r="1405" spans="1:10" s="186" customFormat="1" x14ac:dyDescent="0.25">
      <c r="A1405" s="195" t="s">
        <v>23</v>
      </c>
      <c r="B1405" s="66">
        <f t="shared" ref="B1405:J1405" si="678">B1416/B1399</f>
        <v>35935.922330097084</v>
      </c>
      <c r="C1405" s="66">
        <f t="shared" si="678"/>
        <v>38411.627906976741</v>
      </c>
      <c r="D1405" s="66">
        <f t="shared" si="678"/>
        <v>35797.16981132076</v>
      </c>
      <c r="E1405" s="66">
        <f t="shared" si="678"/>
        <v>39328.571428571428</v>
      </c>
      <c r="F1405" s="66">
        <f t="shared" si="678"/>
        <v>39912.615384615383</v>
      </c>
      <c r="G1405" s="66">
        <f t="shared" si="678"/>
        <v>42801.449275362327</v>
      </c>
      <c r="H1405" s="66">
        <f t="shared" si="678"/>
        <v>37832.727272727272</v>
      </c>
      <c r="I1405" s="66">
        <f t="shared" si="678"/>
        <v>39250.960118168397</v>
      </c>
      <c r="J1405" s="66">
        <f t="shared" si="678"/>
        <v>39250.960118168397</v>
      </c>
    </row>
    <row r="1406" spans="1:10" s="186" customFormat="1" x14ac:dyDescent="0.25">
      <c r="A1406" s="195" t="s">
        <v>24</v>
      </c>
      <c r="B1406" s="66">
        <f t="shared" ref="B1406:I1406" si="679">+B1416/B1393</f>
        <v>30092.682926829268</v>
      </c>
      <c r="C1406" s="66">
        <f t="shared" si="679"/>
        <v>28977.192982456141</v>
      </c>
      <c r="D1406" s="66">
        <f t="shared" si="679"/>
        <v>28746.212121212124</v>
      </c>
      <c r="E1406" s="66">
        <f t="shared" si="679"/>
        <v>30932.584269662922</v>
      </c>
      <c r="F1406" s="66">
        <f t="shared" si="679"/>
        <v>30378.454332552694</v>
      </c>
      <c r="G1406" s="66">
        <f t="shared" si="679"/>
        <v>29982.741116751273</v>
      </c>
      <c r="H1406" s="66">
        <f t="shared" si="679"/>
        <v>28582.417582417584</v>
      </c>
      <c r="I1406" s="66">
        <f t="shared" si="679"/>
        <v>29706.987143655679</v>
      </c>
      <c r="J1406" s="66">
        <f>J1416/J1393</f>
        <v>29706.987143655675</v>
      </c>
    </row>
    <row r="1407" spans="1:10" s="186" customFormat="1" x14ac:dyDescent="0.25">
      <c r="A1407" s="146" t="s">
        <v>25</v>
      </c>
      <c r="B1407" s="92">
        <f t="shared" ref="B1407:H1407" si="680">B1412*B1400</f>
        <v>2071604.4068965521</v>
      </c>
      <c r="C1407" s="92">
        <f t="shared" si="680"/>
        <v>2899748.5810344829</v>
      </c>
      <c r="D1407" s="92">
        <f t="shared" si="680"/>
        <v>2478976.5517241382</v>
      </c>
      <c r="E1407" s="92">
        <f t="shared" si="680"/>
        <v>2970397.1206896552</v>
      </c>
      <c r="F1407" s="92">
        <f t="shared" si="680"/>
        <v>8112113.6827586209</v>
      </c>
      <c r="G1407" s="92">
        <f t="shared" si="680"/>
        <v>7885798.0137931053</v>
      </c>
      <c r="H1407" s="92">
        <f t="shared" si="680"/>
        <v>6251592.6275862064</v>
      </c>
      <c r="I1407" s="31">
        <f t="shared" ref="I1407:I1412" si="681">SUM(B1407:H1407)</f>
        <v>32670230.984482765</v>
      </c>
      <c r="J1407" s="31">
        <f t="shared" ref="J1407:J1416" si="682">I1407/7</f>
        <v>4667175.8549261093</v>
      </c>
    </row>
    <row r="1408" spans="1:10" s="186" customFormat="1" x14ac:dyDescent="0.25">
      <c r="A1408" s="146" t="s">
        <v>26</v>
      </c>
      <c r="B1408" s="92">
        <f t="shared" ref="B1408:H1408" si="683">B1412*B1401</f>
        <v>152323.85344827588</v>
      </c>
      <c r="C1408" s="92">
        <f t="shared" si="683"/>
        <v>163366.11724137931</v>
      </c>
      <c r="D1408" s="92">
        <f t="shared" si="683"/>
        <v>61974.413793103457</v>
      </c>
      <c r="E1408" s="92">
        <f t="shared" si="683"/>
        <v>45698.417241379313</v>
      </c>
      <c r="F1408" s="92">
        <f t="shared" si="683"/>
        <v>213476.67586206898</v>
      </c>
      <c r="G1408" s="92">
        <f t="shared" si="683"/>
        <v>194711.06206896555</v>
      </c>
      <c r="H1408" s="92">
        <f t="shared" si="683"/>
        <v>256914.76551724138</v>
      </c>
      <c r="I1408" s="31">
        <f t="shared" si="681"/>
        <v>1088465.3051724138</v>
      </c>
      <c r="J1408" s="31">
        <f t="shared" si="682"/>
        <v>155495.04359605911</v>
      </c>
    </row>
    <row r="1409" spans="1:10" s="186" customFormat="1" x14ac:dyDescent="0.25">
      <c r="A1409" s="146" t="s">
        <v>27</v>
      </c>
      <c r="B1409" s="92">
        <f t="shared" ref="B1409:H1409" si="684">B1412*B1402</f>
        <v>792084.03793103457</v>
      </c>
      <c r="C1409" s="92">
        <f t="shared" si="684"/>
        <v>857672.11551724141</v>
      </c>
      <c r="D1409" s="92">
        <f t="shared" si="684"/>
        <v>371846.4827586207</v>
      </c>
      <c r="E1409" s="92">
        <f t="shared" si="684"/>
        <v>1553746.1862068968</v>
      </c>
      <c r="F1409" s="92">
        <f t="shared" si="684"/>
        <v>1814551.7448275865</v>
      </c>
      <c r="G1409" s="92">
        <f t="shared" si="684"/>
        <v>1070910.8413793105</v>
      </c>
      <c r="H1409" s="92">
        <f t="shared" si="684"/>
        <v>1712765.1034482759</v>
      </c>
      <c r="I1409" s="31">
        <f t="shared" si="681"/>
        <v>8173576.5120689664</v>
      </c>
      <c r="J1409" s="31">
        <f t="shared" si="682"/>
        <v>1167653.7874384238</v>
      </c>
    </row>
    <row r="1410" spans="1:10" s="186" customFormat="1" x14ac:dyDescent="0.25">
      <c r="A1410" s="146" t="s">
        <v>28</v>
      </c>
      <c r="B1410" s="92">
        <f t="shared" ref="B1410:H1410" si="685">B1412*B1403</f>
        <v>30464.770689655175</v>
      </c>
      <c r="C1410" s="92">
        <f t="shared" si="685"/>
        <v>163366.11724137931</v>
      </c>
      <c r="D1410" s="92">
        <f t="shared" si="685"/>
        <v>185923.24137931035</v>
      </c>
      <c r="E1410" s="92">
        <f t="shared" si="685"/>
        <v>0</v>
      </c>
      <c r="F1410" s="92">
        <f t="shared" si="685"/>
        <v>533691.68965517252</v>
      </c>
      <c r="G1410" s="92">
        <f t="shared" si="685"/>
        <v>584133.18620689667</v>
      </c>
      <c r="H1410" s="92">
        <f t="shared" si="685"/>
        <v>342553.02068965515</v>
      </c>
      <c r="I1410" s="31">
        <f t="shared" si="681"/>
        <v>1840132.0258620691</v>
      </c>
      <c r="J1410" s="31">
        <f t="shared" si="682"/>
        <v>262876.00369458128</v>
      </c>
    </row>
    <row r="1411" spans="1:10" s="186" customFormat="1" x14ac:dyDescent="0.25">
      <c r="A1411" s="146" t="s">
        <v>29</v>
      </c>
      <c r="B1411" s="92">
        <f t="shared" ref="B1411:H1411" si="686">B1412*B1404</f>
        <v>0</v>
      </c>
      <c r="C1411" s="92">
        <f t="shared" si="686"/>
        <v>0</v>
      </c>
      <c r="D1411" s="92">
        <f t="shared" si="686"/>
        <v>0</v>
      </c>
      <c r="E1411" s="92">
        <f t="shared" si="686"/>
        <v>0</v>
      </c>
      <c r="F1411" s="92">
        <f t="shared" si="686"/>
        <v>0</v>
      </c>
      <c r="G1411" s="92">
        <f t="shared" si="686"/>
        <v>0</v>
      </c>
      <c r="H1411" s="92">
        <f t="shared" si="686"/>
        <v>0</v>
      </c>
      <c r="I1411" s="31">
        <f t="shared" si="681"/>
        <v>0</v>
      </c>
      <c r="J1411" s="31">
        <f t="shared" si="682"/>
        <v>0</v>
      </c>
    </row>
    <row r="1412" spans="1:10" s="186" customFormat="1" x14ac:dyDescent="0.25">
      <c r="A1412" s="196" t="s">
        <v>30</v>
      </c>
      <c r="B1412" s="222">
        <f>(3701400/1.16)-B1413</f>
        <v>3046477.0689655175</v>
      </c>
      <c r="C1412" s="222">
        <f>(4955100/1.16)-C1413</f>
        <v>4084152.931034483</v>
      </c>
      <c r="D1412" s="222">
        <f>(3794500/1.16)-D1413</f>
        <v>3098720.6896551726</v>
      </c>
      <c r="E1412" s="222">
        <f>(5506000/1.16)-E1413</f>
        <v>4569841.7241379311</v>
      </c>
      <c r="F1412" s="222">
        <f>(12971600/1.16)-F1413</f>
        <v>10673833.793103449</v>
      </c>
      <c r="G1412" s="222">
        <f>(11813200/1.16)-G1413</f>
        <v>9735553.1034482773</v>
      </c>
      <c r="H1412" s="222">
        <f>(10404000/1.16)-H1413</f>
        <v>8563825.5172413792</v>
      </c>
      <c r="I1412" s="197">
        <f t="shared" si="681"/>
        <v>43772404.827586211</v>
      </c>
      <c r="J1412" s="197">
        <f t="shared" si="682"/>
        <v>6253200.6896551726</v>
      </c>
    </row>
    <row r="1413" spans="1:10" s="186" customFormat="1" x14ac:dyDescent="0.25">
      <c r="A1413" s="146" t="s">
        <v>31</v>
      </c>
      <c r="B1413" s="92">
        <f t="shared" ref="B1413:I1413" si="687">2155*B1394</f>
        <v>144385</v>
      </c>
      <c r="C1413" s="92">
        <f t="shared" si="687"/>
        <v>187485</v>
      </c>
      <c r="D1413" s="92">
        <f t="shared" si="687"/>
        <v>172400</v>
      </c>
      <c r="E1413" s="92">
        <f t="shared" si="687"/>
        <v>176710</v>
      </c>
      <c r="F1413" s="92">
        <f t="shared" si="687"/>
        <v>508580</v>
      </c>
      <c r="G1413" s="31">
        <f t="shared" si="687"/>
        <v>448240</v>
      </c>
      <c r="H1413" s="31">
        <f t="shared" si="687"/>
        <v>405140</v>
      </c>
      <c r="I1413" s="31">
        <f t="shared" si="687"/>
        <v>2042940</v>
      </c>
      <c r="J1413" s="31">
        <f t="shared" si="682"/>
        <v>291848.57142857142</v>
      </c>
    </row>
    <row r="1414" spans="1:10" s="186" customFormat="1" x14ac:dyDescent="0.25">
      <c r="A1414" s="198" t="s">
        <v>32</v>
      </c>
      <c r="B1414" s="199">
        <f>B1413+B1412</f>
        <v>3190862.0689655175</v>
      </c>
      <c r="C1414" s="199">
        <f>C1413+C1412</f>
        <v>4271637.931034483</v>
      </c>
      <c r="D1414" s="199">
        <f>D1413+D1412</f>
        <v>3271120.6896551726</v>
      </c>
      <c r="E1414" s="199">
        <f>E1413+E1412</f>
        <v>4746551.7241379311</v>
      </c>
      <c r="F1414" s="199">
        <f>F1412+F1413</f>
        <v>11182413.793103449</v>
      </c>
      <c r="G1414" s="199">
        <f>G1413+G1412</f>
        <v>10183793.103448277</v>
      </c>
      <c r="H1414" s="199">
        <f>H1413+H1412</f>
        <v>8968965.5172413792</v>
      </c>
      <c r="I1414" s="199">
        <f>I1412+I1413</f>
        <v>45815344.827586211</v>
      </c>
      <c r="J1414" s="200">
        <f t="shared" si="682"/>
        <v>6545049.2610837445</v>
      </c>
    </row>
    <row r="1415" spans="1:10" s="186" customFormat="1" x14ac:dyDescent="0.25">
      <c r="A1415" s="146" t="s">
        <v>33</v>
      </c>
      <c r="B1415" s="94">
        <f>B1414*16%</f>
        <v>510537.93103448278</v>
      </c>
      <c r="C1415" s="94">
        <f t="shared" ref="C1415:H1415" si="688">C1414*16%</f>
        <v>683462.06896551733</v>
      </c>
      <c r="D1415" s="94">
        <f t="shared" si="688"/>
        <v>523379.31034482765</v>
      </c>
      <c r="E1415" s="94">
        <f t="shared" si="688"/>
        <v>759448.27586206899</v>
      </c>
      <c r="F1415" s="94">
        <f t="shared" si="688"/>
        <v>1789186.2068965519</v>
      </c>
      <c r="G1415" s="94">
        <f t="shared" si="688"/>
        <v>1629406.8965517245</v>
      </c>
      <c r="H1415" s="94">
        <f t="shared" si="688"/>
        <v>1435034.4827586208</v>
      </c>
      <c r="I1415" s="94">
        <f>I1414*16%</f>
        <v>7330455.1724137943</v>
      </c>
      <c r="J1415" s="31">
        <f t="shared" si="682"/>
        <v>1047207.8817733992</v>
      </c>
    </row>
    <row r="1416" spans="1:10" s="186" customFormat="1" x14ac:dyDescent="0.25">
      <c r="A1416" s="229" t="s">
        <v>34</v>
      </c>
      <c r="B1416" s="230">
        <f>B1414+B1415</f>
        <v>3701400</v>
      </c>
      <c r="C1416" s="230">
        <f t="shared" ref="C1416:H1416" si="689">C1414+C1415</f>
        <v>4955100</v>
      </c>
      <c r="D1416" s="230">
        <f t="shared" si="689"/>
        <v>3794500.0000000005</v>
      </c>
      <c r="E1416" s="230">
        <f t="shared" si="689"/>
        <v>5506000</v>
      </c>
      <c r="F1416" s="230">
        <f t="shared" si="689"/>
        <v>12971600</v>
      </c>
      <c r="G1416" s="230">
        <f t="shared" si="689"/>
        <v>11813200.000000002</v>
      </c>
      <c r="H1416" s="230">
        <f t="shared" si="689"/>
        <v>10404000</v>
      </c>
      <c r="I1416" s="230">
        <f>I1414+I1415</f>
        <v>53145800.000000007</v>
      </c>
      <c r="J1416" s="231">
        <f t="shared" si="682"/>
        <v>7592257.1428571437</v>
      </c>
    </row>
    <row r="1417" spans="1:10" s="186" customFormat="1" ht="15.75" thickBot="1" x14ac:dyDescent="0.3">
      <c r="A1417" s="204"/>
      <c r="B1417" s="112"/>
      <c r="C1417" s="112"/>
      <c r="D1417" s="112"/>
      <c r="E1417" s="112"/>
      <c r="F1417" s="112"/>
      <c r="G1417" s="112"/>
      <c r="H1417" s="112"/>
      <c r="I1417" s="112"/>
      <c r="J1417" s="205"/>
    </row>
    <row r="1418" spans="1:10" s="186" customFormat="1" ht="27" thickBot="1" x14ac:dyDescent="0.3">
      <c r="A1418"/>
      <c r="B1418" s="1002" t="s">
        <v>309</v>
      </c>
      <c r="C1418" s="1002"/>
      <c r="D1418" s="1002"/>
      <c r="E1418" s="1002"/>
      <c r="F1418" s="1002"/>
      <c r="G1418" s="1002"/>
      <c r="H1418" s="1002"/>
      <c r="I1418"/>
      <c r="J1418"/>
    </row>
    <row r="1419" spans="1:10" s="186" customFormat="1" ht="16.5" thickBot="1" x14ac:dyDescent="0.3">
      <c r="A1419" s="227" t="s">
        <v>2</v>
      </c>
      <c r="B1419" s="232" t="s">
        <v>310</v>
      </c>
      <c r="C1419" s="232" t="s">
        <v>311</v>
      </c>
      <c r="D1419" s="232" t="s">
        <v>312</v>
      </c>
      <c r="E1419" s="232" t="s">
        <v>313</v>
      </c>
      <c r="F1419" s="232" t="s">
        <v>314</v>
      </c>
      <c r="G1419" s="232" t="s">
        <v>315</v>
      </c>
      <c r="H1419" s="232" t="s">
        <v>316</v>
      </c>
      <c r="I1419" s="228" t="s">
        <v>96</v>
      </c>
      <c r="J1419" s="228" t="s">
        <v>97</v>
      </c>
    </row>
    <row r="1420" spans="1:10" s="186" customFormat="1" ht="15.75" thickTop="1" x14ac:dyDescent="0.25">
      <c r="A1420" s="188" t="s">
        <v>11</v>
      </c>
      <c r="B1420" s="189">
        <f>77+43+13</f>
        <v>133</v>
      </c>
      <c r="C1420" s="188">
        <f>118+78+17</f>
        <v>213</v>
      </c>
      <c r="D1420" s="189">
        <f>104+47+20</f>
        <v>171</v>
      </c>
      <c r="E1420" s="188">
        <f>105+54+12</f>
        <v>171</v>
      </c>
      <c r="F1420" s="190">
        <f>257+144+63</f>
        <v>464</v>
      </c>
      <c r="G1420" s="190">
        <f>222+130+39</f>
        <v>391</v>
      </c>
      <c r="H1420" s="190">
        <f>196+110+37</f>
        <v>343</v>
      </c>
      <c r="I1420" s="190">
        <f>SUM(B1420:H1420)</f>
        <v>1886</v>
      </c>
      <c r="J1420" s="191">
        <f>+I1420/7</f>
        <v>269.42857142857144</v>
      </c>
    </row>
    <row r="1421" spans="1:10" s="186" customFormat="1" x14ac:dyDescent="0.25">
      <c r="A1421" s="146" t="s">
        <v>12</v>
      </c>
      <c r="B1421" s="11">
        <v>67</v>
      </c>
      <c r="C1421" s="146">
        <v>127</v>
      </c>
      <c r="D1421" s="11">
        <v>95</v>
      </c>
      <c r="E1421" s="146">
        <v>92</v>
      </c>
      <c r="F1421" s="86">
        <v>248</v>
      </c>
      <c r="G1421" s="11">
        <v>199</v>
      </c>
      <c r="H1421" s="11">
        <v>195</v>
      </c>
      <c r="I1421" s="11">
        <f>SUM('PEPE SIERRA '!$B1421:$H1421)</f>
        <v>1023</v>
      </c>
      <c r="J1421" s="78">
        <f t="shared" ref="J1421:J1426" si="690">I1421/7</f>
        <v>146.14285714285714</v>
      </c>
    </row>
    <row r="1422" spans="1:10" s="186" customFormat="1" x14ac:dyDescent="0.25">
      <c r="A1422" s="146" t="s">
        <v>13</v>
      </c>
      <c r="B1422" s="11">
        <v>3</v>
      </c>
      <c r="C1422" s="146">
        <v>3</v>
      </c>
      <c r="D1422" s="11">
        <v>2</v>
      </c>
      <c r="E1422" s="146">
        <v>4</v>
      </c>
      <c r="F1422" s="11">
        <v>6</v>
      </c>
      <c r="G1422" s="11">
        <v>10</v>
      </c>
      <c r="H1422" s="11">
        <v>7</v>
      </c>
      <c r="I1422" s="11">
        <f>SUM('PEPE SIERRA '!$B1422:$H1422)</f>
        <v>35</v>
      </c>
      <c r="J1422" s="78">
        <f t="shared" si="690"/>
        <v>5</v>
      </c>
    </row>
    <row r="1423" spans="1:10" s="186" customFormat="1" x14ac:dyDescent="0.25">
      <c r="A1423" s="146" t="s">
        <v>14</v>
      </c>
      <c r="B1423" s="11">
        <v>37</v>
      </c>
      <c r="C1423" s="146">
        <v>35</v>
      </c>
      <c r="D1423" s="11">
        <v>32</v>
      </c>
      <c r="E1423" s="146">
        <v>35</v>
      </c>
      <c r="F1423" s="11">
        <v>54</v>
      </c>
      <c r="G1423" s="11">
        <v>75</v>
      </c>
      <c r="H1423" s="86">
        <v>48</v>
      </c>
      <c r="I1423" s="11">
        <f>SUM('PEPE SIERRA '!$B1423:$H1423)</f>
        <v>316</v>
      </c>
      <c r="J1423" s="78">
        <f t="shared" si="690"/>
        <v>45.142857142857146</v>
      </c>
    </row>
    <row r="1424" spans="1:10" s="186" customFormat="1" x14ac:dyDescent="0.25">
      <c r="A1424" s="146" t="s">
        <v>15</v>
      </c>
      <c r="B1424" s="11">
        <v>1</v>
      </c>
      <c r="C1424" s="146">
        <v>6</v>
      </c>
      <c r="D1424" s="11">
        <v>4</v>
      </c>
      <c r="E1424" s="146">
        <v>3</v>
      </c>
      <c r="F1424" s="11">
        <v>16</v>
      </c>
      <c r="G1424" s="11">
        <v>21</v>
      </c>
      <c r="H1424" s="11">
        <v>18</v>
      </c>
      <c r="I1424" s="11">
        <f>SUM('PEPE SIERRA '!$B1424:$H1424)</f>
        <v>69</v>
      </c>
      <c r="J1424" s="78">
        <f t="shared" si="690"/>
        <v>9.8571428571428577</v>
      </c>
    </row>
    <row r="1425" spans="1:10" s="186" customFormat="1" x14ac:dyDescent="0.25">
      <c r="A1425" s="146" t="s">
        <v>16</v>
      </c>
      <c r="B1425" s="11">
        <v>0</v>
      </c>
      <c r="C1425" s="146">
        <v>0</v>
      </c>
      <c r="D1425" s="11">
        <v>0</v>
      </c>
      <c r="E1425" s="146">
        <v>0</v>
      </c>
      <c r="F1425" s="11">
        <v>0</v>
      </c>
      <c r="G1425" s="11">
        <v>0</v>
      </c>
      <c r="H1425" s="11">
        <v>0</v>
      </c>
      <c r="I1425" s="11">
        <f>SUM('PEPE SIERRA '!$B1425:$H1425)</f>
        <v>0</v>
      </c>
      <c r="J1425" s="78">
        <f t="shared" si="690"/>
        <v>0</v>
      </c>
    </row>
    <row r="1426" spans="1:10" s="186" customFormat="1" x14ac:dyDescent="0.25">
      <c r="A1426" s="103" t="s">
        <v>17</v>
      </c>
      <c r="B1426" s="192">
        <f>SUM(B1421:B1425)</f>
        <v>108</v>
      </c>
      <c r="C1426" s="192">
        <f t="shared" ref="C1426:I1426" si="691">SUM(C1421:C1425)</f>
        <v>171</v>
      </c>
      <c r="D1426" s="192">
        <f t="shared" si="691"/>
        <v>133</v>
      </c>
      <c r="E1426" s="192">
        <f t="shared" si="691"/>
        <v>134</v>
      </c>
      <c r="F1426" s="192">
        <f t="shared" si="691"/>
        <v>324</v>
      </c>
      <c r="G1426" s="192">
        <f t="shared" si="691"/>
        <v>305</v>
      </c>
      <c r="H1426" s="192">
        <f t="shared" si="691"/>
        <v>268</v>
      </c>
      <c r="I1426" s="192">
        <f t="shared" si="691"/>
        <v>1443</v>
      </c>
      <c r="J1426" s="193">
        <f t="shared" si="690"/>
        <v>206.14285714285714</v>
      </c>
    </row>
    <row r="1427" spans="1:10" s="186" customFormat="1" x14ac:dyDescent="0.25">
      <c r="A1427" s="146" t="s">
        <v>18</v>
      </c>
      <c r="B1427" s="30">
        <v>0.71</v>
      </c>
      <c r="C1427" s="30">
        <v>0.8</v>
      </c>
      <c r="D1427" s="30">
        <v>0.8</v>
      </c>
      <c r="E1427" s="30">
        <v>0.7</v>
      </c>
      <c r="F1427" s="30">
        <v>0.83</v>
      </c>
      <c r="G1427" s="30">
        <v>0.73</v>
      </c>
      <c r="H1427" s="30">
        <v>0.77</v>
      </c>
      <c r="I1427" s="30">
        <f>I1434/I1439</f>
        <v>0.77132091365456412</v>
      </c>
      <c r="J1427" s="30">
        <f>J1434/J1439</f>
        <v>0.77132091365456412</v>
      </c>
    </row>
    <row r="1428" spans="1:10" s="186" customFormat="1" x14ac:dyDescent="0.25">
      <c r="A1428" s="146" t="s">
        <v>19</v>
      </c>
      <c r="B1428" s="30">
        <v>0.03</v>
      </c>
      <c r="C1428" s="30">
        <v>0.01</v>
      </c>
      <c r="D1428" s="30">
        <v>0.02</v>
      </c>
      <c r="E1428" s="30">
        <v>0.1</v>
      </c>
      <c r="F1428" s="30">
        <v>0.02</v>
      </c>
      <c r="G1428" s="30">
        <v>0.03</v>
      </c>
      <c r="H1428" s="30">
        <v>0.02</v>
      </c>
      <c r="I1428" s="30">
        <f>I1435/I1439</f>
        <v>2.9245302543826665E-2</v>
      </c>
      <c r="J1428" s="30">
        <f>J1435/J1439</f>
        <v>2.9245302543826665E-2</v>
      </c>
    </row>
    <row r="1429" spans="1:10" s="186" customFormat="1" x14ac:dyDescent="0.25">
      <c r="A1429" s="146" t="s">
        <v>20</v>
      </c>
      <c r="B1429" s="30">
        <v>0.25</v>
      </c>
      <c r="C1429" s="30">
        <v>0.16</v>
      </c>
      <c r="D1429" s="30">
        <v>0.16</v>
      </c>
      <c r="E1429" s="30">
        <v>0.18</v>
      </c>
      <c r="F1429" s="30">
        <v>0.11</v>
      </c>
      <c r="G1429" s="30">
        <v>0.18</v>
      </c>
      <c r="H1429" s="30">
        <v>0.14000000000000001</v>
      </c>
      <c r="I1429" s="30">
        <f>I1436/I1439</f>
        <v>0.1567393480145631</v>
      </c>
      <c r="J1429" s="30">
        <f>J1436/J1439</f>
        <v>0.1567393480145631</v>
      </c>
    </row>
    <row r="1430" spans="1:10" s="186" customFormat="1" x14ac:dyDescent="0.25">
      <c r="A1430" s="146" t="s">
        <v>21</v>
      </c>
      <c r="B1430" s="30">
        <v>0.01</v>
      </c>
      <c r="C1430" s="30">
        <v>0.03</v>
      </c>
      <c r="D1430" s="30">
        <v>0.02</v>
      </c>
      <c r="E1430" s="30">
        <v>0.02</v>
      </c>
      <c r="F1430" s="30">
        <v>0.04</v>
      </c>
      <c r="G1430" s="30">
        <v>0.06</v>
      </c>
      <c r="H1430" s="30">
        <v>7.0000000000000007E-2</v>
      </c>
      <c r="I1430" s="30">
        <f>I1437/I1439</f>
        <v>4.269443578704598E-2</v>
      </c>
      <c r="J1430" s="30">
        <f>J1437/J1439</f>
        <v>4.269443578704598E-2</v>
      </c>
    </row>
    <row r="1431" spans="1:10" s="186" customFormat="1" x14ac:dyDescent="0.25">
      <c r="A1431" s="146" t="s">
        <v>22</v>
      </c>
      <c r="B1431" s="30">
        <v>0</v>
      </c>
      <c r="C1431" s="30">
        <v>0</v>
      </c>
      <c r="D1431" s="30">
        <v>0</v>
      </c>
      <c r="E1431" s="30">
        <v>0</v>
      </c>
      <c r="F1431" s="30">
        <v>0</v>
      </c>
      <c r="G1431" s="30">
        <v>0</v>
      </c>
      <c r="H1431" s="30">
        <v>0</v>
      </c>
      <c r="I1431" s="30">
        <f>I1438/I1439</f>
        <v>0</v>
      </c>
      <c r="J1431" s="30">
        <f>J1438/J1439</f>
        <v>0</v>
      </c>
    </row>
    <row r="1432" spans="1:10" s="186" customFormat="1" x14ac:dyDescent="0.25">
      <c r="A1432" s="195" t="s">
        <v>23</v>
      </c>
      <c r="B1432" s="66">
        <f t="shared" ref="B1432:J1432" si="692">B1443/B1426</f>
        <v>36300.000000000007</v>
      </c>
      <c r="C1432" s="66">
        <f t="shared" si="692"/>
        <v>38511.695906432746</v>
      </c>
      <c r="D1432" s="66">
        <f t="shared" si="692"/>
        <v>36599.248120300756</v>
      </c>
      <c r="E1432" s="66">
        <f t="shared" si="692"/>
        <v>39774.626865671642</v>
      </c>
      <c r="F1432" s="66">
        <f t="shared" si="692"/>
        <v>41932.0987654321</v>
      </c>
      <c r="G1432" s="66">
        <f t="shared" si="692"/>
        <v>38672.7868852459</v>
      </c>
      <c r="H1432" s="66">
        <f t="shared" si="692"/>
        <v>37691.044776119401</v>
      </c>
      <c r="I1432" s="66">
        <f t="shared" si="692"/>
        <v>38936.79833679834</v>
      </c>
      <c r="J1432" s="66">
        <f t="shared" si="692"/>
        <v>38936.79833679834</v>
      </c>
    </row>
    <row r="1433" spans="1:10" s="186" customFormat="1" x14ac:dyDescent="0.25">
      <c r="A1433" s="195" t="s">
        <v>24</v>
      </c>
      <c r="B1433" s="66">
        <f t="shared" ref="B1433:I1433" si="693">+B1443/B1420</f>
        <v>29476.691729323313</v>
      </c>
      <c r="C1433" s="66">
        <f t="shared" si="693"/>
        <v>30917.840375586853</v>
      </c>
      <c r="D1433" s="66">
        <f t="shared" si="693"/>
        <v>28466.081871345035</v>
      </c>
      <c r="E1433" s="66">
        <f t="shared" si="693"/>
        <v>31168.42105263158</v>
      </c>
      <c r="F1433" s="66">
        <f t="shared" si="693"/>
        <v>29280.172413793105</v>
      </c>
      <c r="G1433" s="66">
        <f t="shared" si="693"/>
        <v>30166.751918158567</v>
      </c>
      <c r="H1433" s="66">
        <f t="shared" si="693"/>
        <v>29449.562682215743</v>
      </c>
      <c r="I1433" s="66">
        <f t="shared" si="693"/>
        <v>29790.986214209974</v>
      </c>
      <c r="J1433" s="66">
        <f>J1443/J1420</f>
        <v>29790.98621420997</v>
      </c>
    </row>
    <row r="1434" spans="1:10" s="186" customFormat="1" x14ac:dyDescent="0.25">
      <c r="A1434" s="146" t="s">
        <v>25</v>
      </c>
      <c r="B1434" s="92">
        <f t="shared" ref="B1434:H1434" si="694">B1439*B1427</f>
        <v>2297041.8224137933</v>
      </c>
      <c r="C1434" s="92">
        <f t="shared" si="694"/>
        <v>4322776.1379310349</v>
      </c>
      <c r="D1434" s="92">
        <f t="shared" si="694"/>
        <v>3193254.4827586212</v>
      </c>
      <c r="E1434" s="92">
        <f t="shared" si="694"/>
        <v>3077476.6206896552</v>
      </c>
      <c r="F1434" s="92">
        <f t="shared" si="694"/>
        <v>9277432.0413793102</v>
      </c>
      <c r="G1434" s="92">
        <f t="shared" si="694"/>
        <v>7109784.5293103447</v>
      </c>
      <c r="H1434" s="92">
        <f t="shared" si="694"/>
        <v>6381533.6465517245</v>
      </c>
      <c r="I1434" s="31">
        <f t="shared" ref="I1434:I1439" si="695">SUM(B1434:H1434)</f>
        <v>35659299.281034485</v>
      </c>
      <c r="J1434" s="31">
        <f t="shared" ref="J1434:J1443" si="696">I1434/7</f>
        <v>5094185.6115763551</v>
      </c>
    </row>
    <row r="1435" spans="1:10" s="186" customFormat="1" x14ac:dyDescent="0.25">
      <c r="A1435" s="146" t="s">
        <v>26</v>
      </c>
      <c r="B1435" s="92">
        <f t="shared" ref="B1435:H1435" si="697">B1439*B1428</f>
        <v>97058.105172413794</v>
      </c>
      <c r="C1435" s="92">
        <f t="shared" si="697"/>
        <v>54034.701724137936</v>
      </c>
      <c r="D1435" s="92">
        <f t="shared" si="697"/>
        <v>79831.362068965536</v>
      </c>
      <c r="E1435" s="92">
        <f t="shared" si="697"/>
        <v>439639.51724137936</v>
      </c>
      <c r="F1435" s="92">
        <f t="shared" si="697"/>
        <v>223552.57931034482</v>
      </c>
      <c r="G1435" s="92">
        <f t="shared" si="697"/>
        <v>292182.92586206895</v>
      </c>
      <c r="H1435" s="92">
        <f t="shared" si="697"/>
        <v>165754.12068965516</v>
      </c>
      <c r="I1435" s="31">
        <f t="shared" si="695"/>
        <v>1352053.3120689658</v>
      </c>
      <c r="J1435" s="31">
        <f t="shared" si="696"/>
        <v>193150.4731527094</v>
      </c>
    </row>
    <row r="1436" spans="1:10" s="186" customFormat="1" x14ac:dyDescent="0.25">
      <c r="A1436" s="146" t="s">
        <v>27</v>
      </c>
      <c r="B1436" s="92">
        <f t="shared" ref="B1436:H1436" si="698">B1439*B1429</f>
        <v>808817.54310344835</v>
      </c>
      <c r="C1436" s="92">
        <f t="shared" si="698"/>
        <v>864555.22758620698</v>
      </c>
      <c r="D1436" s="92">
        <f t="shared" si="698"/>
        <v>638650.89655172429</v>
      </c>
      <c r="E1436" s="92">
        <f t="shared" si="698"/>
        <v>791351.13103448274</v>
      </c>
      <c r="F1436" s="92">
        <f t="shared" si="698"/>
        <v>1229539.1862068966</v>
      </c>
      <c r="G1436" s="92">
        <f t="shared" si="698"/>
        <v>1753097.5551724138</v>
      </c>
      <c r="H1436" s="92">
        <f t="shared" si="698"/>
        <v>1160278.8448275863</v>
      </c>
      <c r="I1436" s="31">
        <f t="shared" si="695"/>
        <v>7246290.3844827581</v>
      </c>
      <c r="J1436" s="31">
        <f t="shared" si="696"/>
        <v>1035184.340640394</v>
      </c>
    </row>
    <row r="1437" spans="1:10" s="186" customFormat="1" x14ac:dyDescent="0.25">
      <c r="A1437" s="146" t="s">
        <v>28</v>
      </c>
      <c r="B1437" s="92">
        <f t="shared" ref="B1437:H1437" si="699">B1439*B1430</f>
        <v>32352.701724137936</v>
      </c>
      <c r="C1437" s="92">
        <f t="shared" si="699"/>
        <v>162104.10517241381</v>
      </c>
      <c r="D1437" s="92">
        <f t="shared" si="699"/>
        <v>79831.362068965536</v>
      </c>
      <c r="E1437" s="92">
        <f t="shared" si="699"/>
        <v>87927.903448275873</v>
      </c>
      <c r="F1437" s="92">
        <f t="shared" si="699"/>
        <v>447105.15862068965</v>
      </c>
      <c r="G1437" s="92">
        <f t="shared" si="699"/>
        <v>584365.8517241379</v>
      </c>
      <c r="H1437" s="92">
        <f t="shared" si="699"/>
        <v>580139.42241379316</v>
      </c>
      <c r="I1437" s="31">
        <f t="shared" si="695"/>
        <v>1973826.505172414</v>
      </c>
      <c r="J1437" s="31">
        <f t="shared" si="696"/>
        <v>281975.2150246306</v>
      </c>
    </row>
    <row r="1438" spans="1:10" s="186" customFormat="1" x14ac:dyDescent="0.25">
      <c r="A1438" s="146" t="s">
        <v>29</v>
      </c>
      <c r="B1438" s="92">
        <f t="shared" ref="B1438:H1438" si="700">B1439*B1431</f>
        <v>0</v>
      </c>
      <c r="C1438" s="92">
        <f t="shared" si="700"/>
        <v>0</v>
      </c>
      <c r="D1438" s="92">
        <f t="shared" si="700"/>
        <v>0</v>
      </c>
      <c r="E1438" s="92">
        <f t="shared" si="700"/>
        <v>0</v>
      </c>
      <c r="F1438" s="92">
        <f t="shared" si="700"/>
        <v>0</v>
      </c>
      <c r="G1438" s="92">
        <f t="shared" si="700"/>
        <v>0</v>
      </c>
      <c r="H1438" s="92">
        <f t="shared" si="700"/>
        <v>0</v>
      </c>
      <c r="I1438" s="31">
        <f t="shared" si="695"/>
        <v>0</v>
      </c>
      <c r="J1438" s="31">
        <f t="shared" si="696"/>
        <v>0</v>
      </c>
    </row>
    <row r="1439" spans="1:10" s="186" customFormat="1" x14ac:dyDescent="0.25">
      <c r="A1439" s="196" t="s">
        <v>30</v>
      </c>
      <c r="B1439" s="222">
        <f>(3920400/1.16)-B1440</f>
        <v>3235270.1724137934</v>
      </c>
      <c r="C1439" s="222">
        <f>(6585500/1.16)-C1440</f>
        <v>5403470.1724137934</v>
      </c>
      <c r="D1439" s="222">
        <f>(4867700/1.16)-D1440</f>
        <v>3991568.1034482764</v>
      </c>
      <c r="E1439" s="222">
        <f>(5329800/1.16)-E1440</f>
        <v>4396395.1724137934</v>
      </c>
      <c r="F1439" s="222">
        <f>(13586000/1.16)-F1440</f>
        <v>11177628.965517242</v>
      </c>
      <c r="G1439" s="222">
        <f>(11795200/1.16)-G1440</f>
        <v>9739430.862068966</v>
      </c>
      <c r="H1439" s="222">
        <f>(10101200/1.16)-H1440</f>
        <v>8287706.0344827585</v>
      </c>
      <c r="I1439" s="197">
        <f t="shared" si="695"/>
        <v>46231469.482758626</v>
      </c>
      <c r="J1439" s="197">
        <f t="shared" si="696"/>
        <v>6604495.6403940897</v>
      </c>
    </row>
    <row r="1440" spans="1:10" s="186" customFormat="1" x14ac:dyDescent="0.25">
      <c r="A1440" s="146" t="s">
        <v>31</v>
      </c>
      <c r="B1440" s="92">
        <f t="shared" ref="B1440:I1440" si="701">2155*B1421</f>
        <v>144385</v>
      </c>
      <c r="C1440" s="92">
        <f t="shared" si="701"/>
        <v>273685</v>
      </c>
      <c r="D1440" s="92">
        <f t="shared" si="701"/>
        <v>204725</v>
      </c>
      <c r="E1440" s="92">
        <f t="shared" si="701"/>
        <v>198260</v>
      </c>
      <c r="F1440" s="92">
        <f t="shared" si="701"/>
        <v>534440</v>
      </c>
      <c r="G1440" s="31">
        <f t="shared" si="701"/>
        <v>428845</v>
      </c>
      <c r="H1440" s="31">
        <f t="shared" si="701"/>
        <v>420225</v>
      </c>
      <c r="I1440" s="31">
        <f t="shared" si="701"/>
        <v>2204565</v>
      </c>
      <c r="J1440" s="31">
        <f t="shared" si="696"/>
        <v>314937.85714285716</v>
      </c>
    </row>
    <row r="1441" spans="1:10" s="186" customFormat="1" x14ac:dyDescent="0.25">
      <c r="A1441" s="198" t="s">
        <v>32</v>
      </c>
      <c r="B1441" s="199">
        <f>B1440+B1439</f>
        <v>3379655.1724137934</v>
      </c>
      <c r="C1441" s="199">
        <f>C1440+C1439</f>
        <v>5677155.1724137934</v>
      </c>
      <c r="D1441" s="199">
        <f>D1440+D1439</f>
        <v>4196293.1034482764</v>
      </c>
      <c r="E1441" s="199">
        <f>E1440+E1439</f>
        <v>4594655.1724137934</v>
      </c>
      <c r="F1441" s="199">
        <f>F1439+F1440</f>
        <v>11712068.965517242</v>
      </c>
      <c r="G1441" s="199">
        <f>G1440+G1439</f>
        <v>10168275.862068966</v>
      </c>
      <c r="H1441" s="199">
        <f>H1440+H1439</f>
        <v>8707931.0344827585</v>
      </c>
      <c r="I1441" s="199">
        <f>I1439+I1440</f>
        <v>48436034.482758626</v>
      </c>
      <c r="J1441" s="200">
        <f t="shared" si="696"/>
        <v>6919433.497536947</v>
      </c>
    </row>
    <row r="1442" spans="1:10" s="186" customFormat="1" x14ac:dyDescent="0.25">
      <c r="A1442" s="146" t="s">
        <v>33</v>
      </c>
      <c r="B1442" s="94">
        <f>B1441*16%</f>
        <v>540744.82758620696</v>
      </c>
      <c r="C1442" s="94">
        <f t="shared" ref="C1442:H1442" si="702">C1441*16%</f>
        <v>908344.82758620696</v>
      </c>
      <c r="D1442" s="94">
        <f t="shared" si="702"/>
        <v>671406.89655172429</v>
      </c>
      <c r="E1442" s="94">
        <f t="shared" si="702"/>
        <v>735144.82758620696</v>
      </c>
      <c r="F1442" s="94">
        <f t="shared" si="702"/>
        <v>1873931.0344827587</v>
      </c>
      <c r="G1442" s="94">
        <f t="shared" si="702"/>
        <v>1626924.1379310347</v>
      </c>
      <c r="H1442" s="94">
        <f t="shared" si="702"/>
        <v>1393268.9655172413</v>
      </c>
      <c r="I1442" s="94">
        <f>I1441*16%</f>
        <v>7749765.5172413802</v>
      </c>
      <c r="J1442" s="31">
        <f t="shared" si="696"/>
        <v>1107109.3596059114</v>
      </c>
    </row>
    <row r="1443" spans="1:10" s="186" customFormat="1" x14ac:dyDescent="0.25">
      <c r="A1443" s="229" t="s">
        <v>34</v>
      </c>
      <c r="B1443" s="230">
        <f>B1441+B1442</f>
        <v>3920400.0000000005</v>
      </c>
      <c r="C1443" s="230">
        <f t="shared" ref="C1443:H1443" si="703">C1441+C1442</f>
        <v>6585500</v>
      </c>
      <c r="D1443" s="230">
        <f t="shared" si="703"/>
        <v>4867700.0000000009</v>
      </c>
      <c r="E1443" s="230">
        <f t="shared" si="703"/>
        <v>5329800</v>
      </c>
      <c r="F1443" s="230">
        <f t="shared" si="703"/>
        <v>13586000</v>
      </c>
      <c r="G1443" s="230">
        <f t="shared" si="703"/>
        <v>11795200</v>
      </c>
      <c r="H1443" s="230">
        <f t="shared" si="703"/>
        <v>10101200</v>
      </c>
      <c r="I1443" s="230">
        <f>I1441+I1442</f>
        <v>56185800.000000007</v>
      </c>
      <c r="J1443" s="231">
        <f t="shared" si="696"/>
        <v>8026542.8571428582</v>
      </c>
    </row>
    <row r="1444" spans="1:10" s="186" customFormat="1" ht="15.75" thickBot="1" x14ac:dyDescent="0.3">
      <c r="A1444" s="204"/>
      <c r="B1444" s="112"/>
      <c r="C1444" s="112"/>
      <c r="D1444" s="112"/>
      <c r="E1444" s="112"/>
      <c r="F1444" s="112"/>
      <c r="G1444" s="112"/>
      <c r="H1444" s="112"/>
      <c r="I1444" s="112"/>
      <c r="J1444" s="205"/>
    </row>
    <row r="1445" spans="1:10" s="186" customFormat="1" ht="27" thickBot="1" x14ac:dyDescent="0.3">
      <c r="A1445"/>
      <c r="B1445" s="1002" t="s">
        <v>317</v>
      </c>
      <c r="C1445" s="1002"/>
      <c r="D1445" s="1002"/>
      <c r="E1445" s="1002"/>
      <c r="F1445" s="1002"/>
      <c r="G1445" s="1002"/>
      <c r="H1445" s="1002"/>
      <c r="I1445"/>
      <c r="J1445"/>
    </row>
    <row r="1446" spans="1:10" s="186" customFormat="1" ht="16.5" thickBot="1" x14ac:dyDescent="0.3">
      <c r="A1446" s="227" t="s">
        <v>2</v>
      </c>
      <c r="B1446" s="232" t="s">
        <v>318</v>
      </c>
      <c r="C1446" s="232" t="s">
        <v>319</v>
      </c>
      <c r="D1446" s="232" t="s">
        <v>141</v>
      </c>
      <c r="E1446" s="232" t="s">
        <v>142</v>
      </c>
      <c r="F1446" s="232" t="s">
        <v>143</v>
      </c>
      <c r="G1446" s="232" t="s">
        <v>144</v>
      </c>
      <c r="H1446" s="232" t="s">
        <v>145</v>
      </c>
      <c r="I1446" s="228" t="s">
        <v>96</v>
      </c>
      <c r="J1446" s="228" t="s">
        <v>97</v>
      </c>
    </row>
    <row r="1447" spans="1:10" s="186" customFormat="1" ht="15.75" thickTop="1" x14ac:dyDescent="0.25">
      <c r="A1447" s="188" t="s">
        <v>11</v>
      </c>
      <c r="B1447" s="189">
        <f>82+40+13</f>
        <v>135</v>
      </c>
      <c r="C1447" s="188">
        <f>133+67+11</f>
        <v>211</v>
      </c>
      <c r="D1447" s="189">
        <f>82+43+14</f>
        <v>139</v>
      </c>
      <c r="E1447" s="188">
        <f>89+49+13</f>
        <v>151</v>
      </c>
      <c r="F1447" s="190">
        <f>175+111+34</f>
        <v>320</v>
      </c>
      <c r="G1447" s="190">
        <f>266+147+46</f>
        <v>459</v>
      </c>
      <c r="H1447" s="190">
        <f>170+121+44</f>
        <v>335</v>
      </c>
      <c r="I1447" s="190">
        <f>SUM(B1447:H1447)</f>
        <v>1750</v>
      </c>
      <c r="J1447" s="191">
        <f>+I1447/7</f>
        <v>250</v>
      </c>
    </row>
    <row r="1448" spans="1:10" s="186" customFormat="1" x14ac:dyDescent="0.25">
      <c r="A1448" s="146" t="s">
        <v>12</v>
      </c>
      <c r="B1448" s="11">
        <v>74</v>
      </c>
      <c r="C1448" s="146">
        <v>143</v>
      </c>
      <c r="D1448" s="11">
        <v>79</v>
      </c>
      <c r="E1448" s="146">
        <v>81</v>
      </c>
      <c r="F1448" s="86">
        <v>172</v>
      </c>
      <c r="G1448" s="11">
        <v>266</v>
      </c>
      <c r="H1448" s="86">
        <v>184</v>
      </c>
      <c r="I1448" s="11">
        <f>SUM('PEPE SIERRA '!$B1448:$H1448)</f>
        <v>999</v>
      </c>
      <c r="J1448" s="78">
        <f t="shared" ref="J1448:J1453" si="704">I1448/7</f>
        <v>142.71428571428572</v>
      </c>
    </row>
    <row r="1449" spans="1:10" s="186" customFormat="1" x14ac:dyDescent="0.25">
      <c r="A1449" s="146" t="s">
        <v>13</v>
      </c>
      <c r="B1449" s="11">
        <v>2</v>
      </c>
      <c r="C1449" s="146">
        <v>1</v>
      </c>
      <c r="D1449" s="11">
        <v>1</v>
      </c>
      <c r="E1449" s="146">
        <v>1</v>
      </c>
      <c r="F1449" s="11">
        <v>7</v>
      </c>
      <c r="G1449" s="11">
        <v>10</v>
      </c>
      <c r="H1449" s="11">
        <v>7</v>
      </c>
      <c r="I1449" s="11">
        <f>SUM('PEPE SIERRA '!$B1449:$H1449)</f>
        <v>29</v>
      </c>
      <c r="J1449" s="78">
        <f t="shared" si="704"/>
        <v>4.1428571428571432</v>
      </c>
    </row>
    <row r="1450" spans="1:10" s="186" customFormat="1" x14ac:dyDescent="0.25">
      <c r="A1450" s="146" t="s">
        <v>14</v>
      </c>
      <c r="B1450" s="11">
        <v>27</v>
      </c>
      <c r="C1450" s="146">
        <v>14</v>
      </c>
      <c r="D1450" s="11">
        <v>26</v>
      </c>
      <c r="E1450" s="146">
        <v>33</v>
      </c>
      <c r="F1450" s="11">
        <v>59</v>
      </c>
      <c r="G1450" s="11">
        <v>52</v>
      </c>
      <c r="H1450" s="86">
        <v>48</v>
      </c>
      <c r="I1450" s="11">
        <f>SUM('PEPE SIERRA '!$B1450:$H1450)</f>
        <v>259</v>
      </c>
      <c r="J1450" s="78">
        <f t="shared" si="704"/>
        <v>37</v>
      </c>
    </row>
    <row r="1451" spans="1:10" s="186" customFormat="1" x14ac:dyDescent="0.25">
      <c r="A1451" s="146" t="s">
        <v>15</v>
      </c>
      <c r="B1451" s="11">
        <v>5</v>
      </c>
      <c r="C1451" s="146">
        <v>2</v>
      </c>
      <c r="D1451" s="11">
        <v>2</v>
      </c>
      <c r="E1451" s="146">
        <v>2</v>
      </c>
      <c r="F1451" s="11">
        <v>18</v>
      </c>
      <c r="G1451" s="11">
        <v>16</v>
      </c>
      <c r="H1451" s="11">
        <v>27</v>
      </c>
      <c r="I1451" s="11">
        <f>SUM('PEPE SIERRA '!$B1451:$H1451)</f>
        <v>72</v>
      </c>
      <c r="J1451" s="78">
        <f t="shared" si="704"/>
        <v>10.285714285714286</v>
      </c>
    </row>
    <row r="1452" spans="1:10" s="186" customFormat="1" x14ac:dyDescent="0.25">
      <c r="A1452" s="146" t="s">
        <v>16</v>
      </c>
      <c r="B1452" s="11">
        <v>0</v>
      </c>
      <c r="C1452" s="146">
        <v>0</v>
      </c>
      <c r="D1452" s="11">
        <v>0</v>
      </c>
      <c r="E1452" s="146">
        <v>0</v>
      </c>
      <c r="F1452" s="11">
        <v>0</v>
      </c>
      <c r="G1452" s="11">
        <v>0</v>
      </c>
      <c r="H1452" s="11">
        <v>1</v>
      </c>
      <c r="I1452" s="11">
        <f>SUM('PEPE SIERRA '!$B1452:$H1452)</f>
        <v>1</v>
      </c>
      <c r="J1452" s="78">
        <f t="shared" si="704"/>
        <v>0.14285714285714285</v>
      </c>
    </row>
    <row r="1453" spans="1:10" s="186" customFormat="1" x14ac:dyDescent="0.25">
      <c r="A1453" s="103" t="s">
        <v>17</v>
      </c>
      <c r="B1453" s="192">
        <f>SUM(B1448:B1452)</f>
        <v>108</v>
      </c>
      <c r="C1453" s="192">
        <f t="shared" ref="C1453:I1453" si="705">SUM(C1448:C1452)</f>
        <v>160</v>
      </c>
      <c r="D1453" s="192">
        <f t="shared" si="705"/>
        <v>108</v>
      </c>
      <c r="E1453" s="192">
        <f t="shared" si="705"/>
        <v>117</v>
      </c>
      <c r="F1453" s="192">
        <f t="shared" si="705"/>
        <v>256</v>
      </c>
      <c r="G1453" s="192">
        <f t="shared" si="705"/>
        <v>344</v>
      </c>
      <c r="H1453" s="192">
        <f t="shared" si="705"/>
        <v>267</v>
      </c>
      <c r="I1453" s="192">
        <f t="shared" si="705"/>
        <v>1360</v>
      </c>
      <c r="J1453" s="193">
        <f t="shared" si="704"/>
        <v>194.28571428571428</v>
      </c>
    </row>
    <row r="1454" spans="1:10" s="186" customFormat="1" x14ac:dyDescent="0.25">
      <c r="A1454" s="146" t="s">
        <v>18</v>
      </c>
      <c r="B1454" s="30">
        <v>0.74</v>
      </c>
      <c r="C1454" s="30">
        <v>0.93</v>
      </c>
      <c r="D1454" s="30">
        <v>0.75</v>
      </c>
      <c r="E1454" s="30">
        <v>0.75</v>
      </c>
      <c r="F1454" s="30">
        <v>0.71</v>
      </c>
      <c r="G1454" s="30">
        <v>0.83</v>
      </c>
      <c r="H1454" s="30">
        <v>0.72</v>
      </c>
      <c r="I1454" s="30">
        <f>I1461/I1466</f>
        <v>0.78099304414828208</v>
      </c>
      <c r="J1454" s="30">
        <f>J1461/J1466</f>
        <v>0.78099304414828208</v>
      </c>
    </row>
    <row r="1455" spans="1:10" s="186" customFormat="1" x14ac:dyDescent="0.25">
      <c r="A1455" s="146" t="s">
        <v>19</v>
      </c>
      <c r="B1455" s="30">
        <v>0.02</v>
      </c>
      <c r="C1455" s="30">
        <v>0.01</v>
      </c>
      <c r="D1455" s="30">
        <v>0.01</v>
      </c>
      <c r="E1455" s="30">
        <v>0.01</v>
      </c>
      <c r="F1455" s="30">
        <v>0.02</v>
      </c>
      <c r="G1455" s="30">
        <v>0.03</v>
      </c>
      <c r="H1455" s="30">
        <v>0.03</v>
      </c>
      <c r="I1455" s="30">
        <f>I1462/I1466</f>
        <v>2.1668091741214476E-2</v>
      </c>
      <c r="J1455" s="30">
        <f>J1462/J1466</f>
        <v>2.1668091741214476E-2</v>
      </c>
    </row>
    <row r="1456" spans="1:10" s="186" customFormat="1" x14ac:dyDescent="0.25">
      <c r="A1456" s="146" t="s">
        <v>20</v>
      </c>
      <c r="B1456" s="30">
        <v>0.21</v>
      </c>
      <c r="C1456" s="30">
        <v>0.05</v>
      </c>
      <c r="D1456" s="30">
        <v>0.22</v>
      </c>
      <c r="E1456" s="30">
        <v>0.23</v>
      </c>
      <c r="F1456" s="30">
        <v>0.19</v>
      </c>
      <c r="G1456" s="30">
        <v>0.1</v>
      </c>
      <c r="H1456" s="30">
        <v>0.13</v>
      </c>
      <c r="I1456" s="30">
        <f>I1463/I1466</f>
        <v>0.1441132816742268</v>
      </c>
      <c r="J1456" s="30">
        <f>J1463/J1466</f>
        <v>0.1441132816742268</v>
      </c>
    </row>
    <row r="1457" spans="1:10" s="186" customFormat="1" x14ac:dyDescent="0.25">
      <c r="A1457" s="146" t="s">
        <v>21</v>
      </c>
      <c r="B1457" s="30">
        <v>0.03</v>
      </c>
      <c r="C1457" s="30">
        <v>0.01</v>
      </c>
      <c r="D1457" s="30">
        <v>0.02</v>
      </c>
      <c r="E1457" s="30">
        <v>0.01</v>
      </c>
      <c r="F1457" s="30">
        <v>0.08</v>
      </c>
      <c r="G1457" s="30">
        <v>0.04</v>
      </c>
      <c r="H1457" s="30">
        <v>0.11</v>
      </c>
      <c r="I1457" s="30">
        <f>I1464/I1466</f>
        <v>5.1384636353953003E-2</v>
      </c>
      <c r="J1457" s="30">
        <f>J1464/J1466</f>
        <v>5.1384636353952996E-2</v>
      </c>
    </row>
    <row r="1458" spans="1:10" s="186" customFormat="1" x14ac:dyDescent="0.25">
      <c r="A1458" s="146" t="s">
        <v>22</v>
      </c>
      <c r="B1458" s="30">
        <v>0</v>
      </c>
      <c r="C1458" s="30">
        <v>0</v>
      </c>
      <c r="D1458" s="30">
        <v>0</v>
      </c>
      <c r="E1458" s="30">
        <v>0</v>
      </c>
      <c r="F1458" s="30">
        <v>0</v>
      </c>
      <c r="G1458" s="30">
        <v>0</v>
      </c>
      <c r="H1458" s="30">
        <v>0.01</v>
      </c>
      <c r="I1458" s="30">
        <f>I1465/I1466</f>
        <v>1.8409460823237494E-3</v>
      </c>
      <c r="J1458" s="30">
        <f>J1465/J1466</f>
        <v>1.8409460823237494E-3</v>
      </c>
    </row>
    <row r="1459" spans="1:10" s="186" customFormat="1" x14ac:dyDescent="0.25">
      <c r="A1459" s="195" t="s">
        <v>23</v>
      </c>
      <c r="B1459" s="66">
        <f t="shared" ref="B1459:J1459" si="706">B1470/B1453</f>
        <v>37601.851851851854</v>
      </c>
      <c r="C1459" s="66">
        <f t="shared" si="706"/>
        <v>41879.375</v>
      </c>
      <c r="D1459" s="66">
        <f t="shared" si="706"/>
        <v>38419.444444444445</v>
      </c>
      <c r="E1459" s="66">
        <f t="shared" si="706"/>
        <v>37774.358974358984</v>
      </c>
      <c r="F1459" s="66">
        <f t="shared" si="706"/>
        <v>36749.21875</v>
      </c>
      <c r="G1459" s="66">
        <f t="shared" si="706"/>
        <v>41593.895348837206</v>
      </c>
      <c r="H1459" s="66">
        <f>H1470/H1453</f>
        <v>36378.277153558054</v>
      </c>
      <c r="I1459" s="66">
        <f t="shared" si="706"/>
        <v>38793.897058823532</v>
      </c>
      <c r="J1459" s="66">
        <f t="shared" si="706"/>
        <v>38793.897058823532</v>
      </c>
    </row>
    <row r="1460" spans="1:10" s="186" customFormat="1" x14ac:dyDescent="0.25">
      <c r="A1460" s="195" t="s">
        <v>24</v>
      </c>
      <c r="B1460" s="66">
        <f t="shared" ref="B1460:I1460" si="707">+B1470/B1447</f>
        <v>30081.481481481482</v>
      </c>
      <c r="C1460" s="66">
        <f t="shared" si="707"/>
        <v>31756.872037914691</v>
      </c>
      <c r="D1460" s="66">
        <f t="shared" si="707"/>
        <v>29851.079136690652</v>
      </c>
      <c r="E1460" s="66">
        <f t="shared" si="707"/>
        <v>29268.874172185435</v>
      </c>
      <c r="F1460" s="66">
        <f t="shared" si="707"/>
        <v>29399.375</v>
      </c>
      <c r="G1460" s="66">
        <f t="shared" si="707"/>
        <v>31172.766884531589</v>
      </c>
      <c r="H1460" s="66">
        <f>+H1470/H1447</f>
        <v>28994.029850746268</v>
      </c>
      <c r="I1460" s="66">
        <f t="shared" si="707"/>
        <v>30148.400000000001</v>
      </c>
      <c r="J1460" s="66">
        <f>J1470/J1447</f>
        <v>30148.400000000001</v>
      </c>
    </row>
    <row r="1461" spans="1:10" s="186" customFormat="1" x14ac:dyDescent="0.25">
      <c r="A1461" s="146" t="s">
        <v>25</v>
      </c>
      <c r="B1461" s="92">
        <f t="shared" ref="B1461:G1461" si="708">B1466*B1454</f>
        <v>2472630.1310344827</v>
      </c>
      <c r="C1461" s="92">
        <f t="shared" si="708"/>
        <v>5085519.4810344828</v>
      </c>
      <c r="D1461" s="92">
        <f t="shared" si="708"/>
        <v>2555053.3189655175</v>
      </c>
      <c r="E1461" s="92">
        <f t="shared" si="708"/>
        <v>2726583.7500000005</v>
      </c>
      <c r="F1461" s="92">
        <f t="shared" si="708"/>
        <v>5495053.8137931032</v>
      </c>
      <c r="G1461" s="92">
        <f t="shared" si="708"/>
        <v>9762054.4448275864</v>
      </c>
      <c r="H1461" s="92">
        <f>H1466*H1454</f>
        <v>5743264.2206896553</v>
      </c>
      <c r="I1461" s="31">
        <f t="shared" ref="I1461:I1466" si="709">SUM(B1461:H1461)</f>
        <v>33840159.160344832</v>
      </c>
      <c r="J1461" s="31">
        <f t="shared" ref="J1461:J1470" si="710">I1461/7</f>
        <v>4834308.4514778331</v>
      </c>
    </row>
    <row r="1462" spans="1:10" s="186" customFormat="1" x14ac:dyDescent="0.25">
      <c r="A1462" s="146" t="s">
        <v>26</v>
      </c>
      <c r="B1462" s="92">
        <f t="shared" ref="B1462:G1462" si="711">B1466*B1455</f>
        <v>66827.841379310354</v>
      </c>
      <c r="C1462" s="92">
        <f t="shared" si="711"/>
        <v>54683.005172413796</v>
      </c>
      <c r="D1462" s="92">
        <f t="shared" si="711"/>
        <v>34067.377586206901</v>
      </c>
      <c r="E1462" s="92">
        <f t="shared" si="711"/>
        <v>36354.450000000004</v>
      </c>
      <c r="F1462" s="92">
        <f t="shared" si="711"/>
        <v>154790.24827586208</v>
      </c>
      <c r="G1462" s="92">
        <f t="shared" si="711"/>
        <v>352845.34137931035</v>
      </c>
      <c r="H1462" s="92">
        <f>H1466*H1455</f>
        <v>239302.67586206898</v>
      </c>
      <c r="I1462" s="31">
        <f t="shared" si="709"/>
        <v>938870.93965517252</v>
      </c>
      <c r="J1462" s="31">
        <f t="shared" si="710"/>
        <v>134124.41995073893</v>
      </c>
    </row>
    <row r="1463" spans="1:10" s="186" customFormat="1" x14ac:dyDescent="0.25">
      <c r="A1463" s="146" t="s">
        <v>27</v>
      </c>
      <c r="B1463" s="92">
        <f t="shared" ref="B1463:G1463" si="712">B1466*B1456</f>
        <v>701692.33448275866</v>
      </c>
      <c r="C1463" s="92">
        <f t="shared" si="712"/>
        <v>273415.02586206899</v>
      </c>
      <c r="D1463" s="92">
        <f t="shared" si="712"/>
        <v>749482.30689655186</v>
      </c>
      <c r="E1463" s="92">
        <f t="shared" si="712"/>
        <v>836152.35000000009</v>
      </c>
      <c r="F1463" s="92">
        <f t="shared" si="712"/>
        <v>1470507.3586206897</v>
      </c>
      <c r="G1463" s="92">
        <f t="shared" si="712"/>
        <v>1176151.1379310347</v>
      </c>
      <c r="H1463" s="92">
        <f>H1466*H1456</f>
        <v>1036978.2620689656</v>
      </c>
      <c r="I1463" s="31">
        <f t="shared" si="709"/>
        <v>6244378.7758620698</v>
      </c>
      <c r="J1463" s="31">
        <f t="shared" si="710"/>
        <v>892054.11083743849</v>
      </c>
    </row>
    <row r="1464" spans="1:10" s="186" customFormat="1" x14ac:dyDescent="0.25">
      <c r="A1464" s="146" t="s">
        <v>28</v>
      </c>
      <c r="B1464" s="92">
        <f t="shared" ref="B1464:G1464" si="713">B1466*B1457</f>
        <v>100241.76206896552</v>
      </c>
      <c r="C1464" s="92">
        <f t="shared" si="713"/>
        <v>54683.005172413796</v>
      </c>
      <c r="D1464" s="92">
        <f t="shared" si="713"/>
        <v>68134.755172413803</v>
      </c>
      <c r="E1464" s="92">
        <f t="shared" si="713"/>
        <v>36354.450000000004</v>
      </c>
      <c r="F1464" s="92">
        <f t="shared" si="713"/>
        <v>619160.9931034483</v>
      </c>
      <c r="G1464" s="92">
        <f t="shared" si="713"/>
        <v>470460.45517241384</v>
      </c>
      <c r="H1464" s="92">
        <f>H1466*H1457</f>
        <v>877443.14482758625</v>
      </c>
      <c r="I1464" s="31">
        <f t="shared" si="709"/>
        <v>2226478.5655172416</v>
      </c>
      <c r="J1464" s="31">
        <f t="shared" si="710"/>
        <v>318068.36650246306</v>
      </c>
    </row>
    <row r="1465" spans="1:10" s="186" customFormat="1" x14ac:dyDescent="0.25">
      <c r="A1465" s="146" t="s">
        <v>29</v>
      </c>
      <c r="B1465" s="92">
        <f t="shared" ref="B1465:G1465" si="714">B1466*B1458</f>
        <v>0</v>
      </c>
      <c r="C1465" s="92">
        <f t="shared" si="714"/>
        <v>0</v>
      </c>
      <c r="D1465" s="92">
        <f t="shared" si="714"/>
        <v>0</v>
      </c>
      <c r="E1465" s="92">
        <f t="shared" si="714"/>
        <v>0</v>
      </c>
      <c r="F1465" s="92">
        <f t="shared" si="714"/>
        <v>0</v>
      </c>
      <c r="G1465" s="92">
        <f t="shared" si="714"/>
        <v>0</v>
      </c>
      <c r="H1465" s="92">
        <f>H1466*H1458</f>
        <v>79767.558620689655</v>
      </c>
      <c r="I1465" s="31">
        <f t="shared" si="709"/>
        <v>79767.558620689655</v>
      </c>
      <c r="J1465" s="31">
        <f t="shared" si="710"/>
        <v>11395.36551724138</v>
      </c>
    </row>
    <row r="1466" spans="1:10" s="186" customFormat="1" x14ac:dyDescent="0.25">
      <c r="A1466" s="196" t="s">
        <v>30</v>
      </c>
      <c r="B1466" s="222">
        <f>(4061000/1.16)-B1467</f>
        <v>3341392.0689655175</v>
      </c>
      <c r="C1466" s="222">
        <f>(6700700/1.16)-C1467</f>
        <v>5468300.5172413792</v>
      </c>
      <c r="D1466" s="222">
        <f>(4149300/1.16)-D1467</f>
        <v>3406737.7586206901</v>
      </c>
      <c r="E1466" s="222">
        <f>(4419600/1.16)-E1467</f>
        <v>3635445.0000000005</v>
      </c>
      <c r="F1466" s="222">
        <f>(9407800/1.16)-F1467</f>
        <v>7739512.4137931038</v>
      </c>
      <c r="G1466" s="222">
        <f>(14308300/1.16)-G1467</f>
        <v>11761511.379310345</v>
      </c>
      <c r="H1466" s="222">
        <f>(9713000/1.16)-H1467</f>
        <v>7976755.862068966</v>
      </c>
      <c r="I1466" s="197">
        <f t="shared" si="709"/>
        <v>43329655</v>
      </c>
      <c r="J1466" s="197">
        <f t="shared" si="710"/>
        <v>6189950.7142857146</v>
      </c>
    </row>
    <row r="1467" spans="1:10" s="186" customFormat="1" x14ac:dyDescent="0.25">
      <c r="A1467" s="146" t="s">
        <v>31</v>
      </c>
      <c r="B1467" s="92">
        <f t="shared" ref="B1467:I1467" si="715">2155*B1448</f>
        <v>159470</v>
      </c>
      <c r="C1467" s="92">
        <f t="shared" si="715"/>
        <v>308165</v>
      </c>
      <c r="D1467" s="92">
        <f t="shared" si="715"/>
        <v>170245</v>
      </c>
      <c r="E1467" s="92">
        <f t="shared" si="715"/>
        <v>174555</v>
      </c>
      <c r="F1467" s="92">
        <f t="shared" si="715"/>
        <v>370660</v>
      </c>
      <c r="G1467" s="31">
        <f t="shared" si="715"/>
        <v>573230</v>
      </c>
      <c r="H1467" s="31">
        <f>2155*H1448</f>
        <v>396520</v>
      </c>
      <c r="I1467" s="31">
        <f t="shared" si="715"/>
        <v>2152845</v>
      </c>
      <c r="J1467" s="31">
        <f t="shared" si="710"/>
        <v>307549.28571428574</v>
      </c>
    </row>
    <row r="1468" spans="1:10" s="186" customFormat="1" x14ac:dyDescent="0.25">
      <c r="A1468" s="198" t="s">
        <v>32</v>
      </c>
      <c r="B1468" s="199">
        <f>B1467+B1466</f>
        <v>3500862.0689655175</v>
      </c>
      <c r="C1468" s="199">
        <f>C1467+C1466</f>
        <v>5776465.5172413792</v>
      </c>
      <c r="D1468" s="199">
        <f>D1467+D1466</f>
        <v>3576982.7586206901</v>
      </c>
      <c r="E1468" s="199">
        <f>E1467+E1466</f>
        <v>3810000.0000000005</v>
      </c>
      <c r="F1468" s="199">
        <f>F1466+F1467</f>
        <v>8110172.4137931038</v>
      </c>
      <c r="G1468" s="199">
        <f>G1467+G1466</f>
        <v>12334741.379310345</v>
      </c>
      <c r="H1468" s="199">
        <f>H1467+H1466</f>
        <v>8373275.862068966</v>
      </c>
      <c r="I1468" s="199">
        <f>I1466+I1467</f>
        <v>45482500</v>
      </c>
      <c r="J1468" s="200">
        <f t="shared" si="710"/>
        <v>6497500</v>
      </c>
    </row>
    <row r="1469" spans="1:10" s="186" customFormat="1" x14ac:dyDescent="0.25">
      <c r="A1469" s="146" t="s">
        <v>33</v>
      </c>
      <c r="B1469" s="94">
        <f t="shared" ref="B1469:I1469" si="716">B1468*16%</f>
        <v>560137.93103448278</v>
      </c>
      <c r="C1469" s="94">
        <f t="shared" si="716"/>
        <v>924234.48275862075</v>
      </c>
      <c r="D1469" s="94">
        <f t="shared" si="716"/>
        <v>572317.24137931038</v>
      </c>
      <c r="E1469" s="94">
        <f t="shared" si="716"/>
        <v>609600.00000000012</v>
      </c>
      <c r="F1469" s="94">
        <f t="shared" si="716"/>
        <v>1297627.5862068967</v>
      </c>
      <c r="G1469" s="94">
        <f t="shared" si="716"/>
        <v>1973558.6206896552</v>
      </c>
      <c r="H1469" s="94">
        <f t="shared" si="716"/>
        <v>1339724.1379310347</v>
      </c>
      <c r="I1469" s="94">
        <f t="shared" si="716"/>
        <v>7277200</v>
      </c>
      <c r="J1469" s="31">
        <f t="shared" si="710"/>
        <v>1039600</v>
      </c>
    </row>
    <row r="1470" spans="1:10" s="186" customFormat="1" x14ac:dyDescent="0.25">
      <c r="A1470" s="229" t="s">
        <v>34</v>
      </c>
      <c r="B1470" s="230">
        <f t="shared" ref="B1470:I1470" si="717">B1468+B1469</f>
        <v>4061000</v>
      </c>
      <c r="C1470" s="230">
        <f t="shared" si="717"/>
        <v>6700700</v>
      </c>
      <c r="D1470" s="230">
        <f t="shared" si="717"/>
        <v>4149300.0000000005</v>
      </c>
      <c r="E1470" s="230">
        <f t="shared" si="717"/>
        <v>4419600.0000000009</v>
      </c>
      <c r="F1470" s="230">
        <f t="shared" si="717"/>
        <v>9407800</v>
      </c>
      <c r="G1470" s="230">
        <f t="shared" si="717"/>
        <v>14308300</v>
      </c>
      <c r="H1470" s="230">
        <f t="shared" si="717"/>
        <v>9713000</v>
      </c>
      <c r="I1470" s="230">
        <f t="shared" si="717"/>
        <v>52759700</v>
      </c>
      <c r="J1470" s="231">
        <f t="shared" si="710"/>
        <v>7537100</v>
      </c>
    </row>
    <row r="1471" spans="1:10" s="186" customFormat="1" ht="15.75" thickBot="1" x14ac:dyDescent="0.3">
      <c r="A1471" s="204"/>
      <c r="B1471" s="112"/>
      <c r="C1471" s="112"/>
      <c r="D1471" s="112"/>
      <c r="E1471" s="112"/>
      <c r="F1471" s="112"/>
      <c r="G1471" s="112"/>
      <c r="H1471" s="112"/>
      <c r="I1471" s="112"/>
      <c r="J1471" s="205"/>
    </row>
    <row r="1472" spans="1:10" s="186" customFormat="1" ht="27" thickBot="1" x14ac:dyDescent="0.3">
      <c r="A1472"/>
      <c r="B1472" s="1002" t="s">
        <v>320</v>
      </c>
      <c r="C1472" s="1002"/>
      <c r="D1472" s="1002"/>
      <c r="E1472" s="1002"/>
      <c r="F1472" s="1002"/>
      <c r="G1472" s="1002"/>
      <c r="H1472" s="1002"/>
      <c r="I1472"/>
      <c r="J1472"/>
    </row>
    <row r="1473" spans="1:10" s="186" customFormat="1" ht="16.5" thickBot="1" x14ac:dyDescent="0.3">
      <c r="A1473" s="227" t="s">
        <v>2</v>
      </c>
      <c r="B1473" s="232" t="s">
        <v>147</v>
      </c>
      <c r="C1473" s="232" t="s">
        <v>148</v>
      </c>
      <c r="D1473" s="232" t="s">
        <v>149</v>
      </c>
      <c r="E1473" s="232" t="s">
        <v>150</v>
      </c>
      <c r="F1473" s="232" t="s">
        <v>151</v>
      </c>
      <c r="G1473" s="232" t="s">
        <v>152</v>
      </c>
      <c r="H1473" s="232" t="s">
        <v>153</v>
      </c>
      <c r="I1473" s="228" t="s">
        <v>96</v>
      </c>
      <c r="J1473" s="228" t="s">
        <v>97</v>
      </c>
    </row>
    <row r="1474" spans="1:10" s="186" customFormat="1" ht="15.75" thickTop="1" x14ac:dyDescent="0.25">
      <c r="A1474" s="188" t="s">
        <v>11</v>
      </c>
      <c r="B1474" s="190">
        <f>234+110+40</f>
        <v>384</v>
      </c>
      <c r="C1474" s="190">
        <f>75+31+10</f>
        <v>116</v>
      </c>
      <c r="D1474" s="190">
        <f>101+46+20</f>
        <v>167</v>
      </c>
      <c r="E1474" s="190">
        <f>89+29+15</f>
        <v>133</v>
      </c>
      <c r="F1474" s="190">
        <f>184+102+26</f>
        <v>312</v>
      </c>
      <c r="G1474" s="190">
        <f>293+153+51</f>
        <v>497</v>
      </c>
      <c r="H1474" s="190">
        <f>205+101+35</f>
        <v>341</v>
      </c>
      <c r="I1474" s="190">
        <f>SUM(B1474:H1474)</f>
        <v>1950</v>
      </c>
      <c r="J1474" s="191">
        <f>+I1474/7</f>
        <v>278.57142857142856</v>
      </c>
    </row>
    <row r="1475" spans="1:10" s="186" customFormat="1" x14ac:dyDescent="0.25">
      <c r="A1475" s="146" t="s">
        <v>12</v>
      </c>
      <c r="B1475" s="233">
        <v>212</v>
      </c>
      <c r="C1475" s="13">
        <v>67</v>
      </c>
      <c r="D1475" s="13">
        <v>84</v>
      </c>
      <c r="E1475" s="13">
        <v>66</v>
      </c>
      <c r="F1475" s="86">
        <v>175</v>
      </c>
      <c r="G1475" s="11">
        <v>294</v>
      </c>
      <c r="H1475" s="86">
        <v>191</v>
      </c>
      <c r="I1475" s="11">
        <f>SUM('PEPE SIERRA '!$B1475:$H1475)</f>
        <v>1089</v>
      </c>
      <c r="J1475" s="78">
        <f t="shared" ref="J1475:J1480" si="718">I1475/7</f>
        <v>155.57142857142858</v>
      </c>
    </row>
    <row r="1476" spans="1:10" s="186" customFormat="1" x14ac:dyDescent="0.25">
      <c r="A1476" s="146" t="s">
        <v>13</v>
      </c>
      <c r="B1476" s="233">
        <v>7</v>
      </c>
      <c r="C1476" s="13">
        <v>3</v>
      </c>
      <c r="D1476" s="13">
        <v>3</v>
      </c>
      <c r="E1476" s="13">
        <v>3</v>
      </c>
      <c r="F1476" s="11">
        <v>2</v>
      </c>
      <c r="G1476" s="11">
        <v>4</v>
      </c>
      <c r="H1476" s="11">
        <v>7</v>
      </c>
      <c r="I1476" s="11">
        <f>SUM('PEPE SIERRA '!$B1476:$H1476)</f>
        <v>29</v>
      </c>
      <c r="J1476" s="78">
        <f t="shared" si="718"/>
        <v>4.1428571428571432</v>
      </c>
    </row>
    <row r="1477" spans="1:10" s="186" customFormat="1" x14ac:dyDescent="0.25">
      <c r="A1477" s="146" t="s">
        <v>14</v>
      </c>
      <c r="B1477" s="233">
        <v>52</v>
      </c>
      <c r="C1477" s="13">
        <v>19</v>
      </c>
      <c r="D1477" s="13">
        <v>49</v>
      </c>
      <c r="E1477" s="13">
        <v>35</v>
      </c>
      <c r="F1477" s="11">
        <v>56</v>
      </c>
      <c r="G1477" s="11">
        <v>51</v>
      </c>
      <c r="H1477" s="86">
        <v>59</v>
      </c>
      <c r="I1477" s="11">
        <f>SUM('PEPE SIERRA '!$B1477:$H1477)</f>
        <v>321</v>
      </c>
      <c r="J1477" s="78">
        <f t="shared" si="718"/>
        <v>45.857142857142854</v>
      </c>
    </row>
    <row r="1478" spans="1:10" s="186" customFormat="1" x14ac:dyDescent="0.25">
      <c r="A1478" s="146" t="s">
        <v>15</v>
      </c>
      <c r="B1478" s="233">
        <v>19</v>
      </c>
      <c r="C1478" s="13">
        <v>1</v>
      </c>
      <c r="D1478" s="13">
        <v>1</v>
      </c>
      <c r="E1478" s="13">
        <v>6</v>
      </c>
      <c r="F1478" s="11">
        <v>19</v>
      </c>
      <c r="G1478" s="11">
        <v>19</v>
      </c>
      <c r="H1478" s="11">
        <v>11</v>
      </c>
      <c r="I1478" s="11">
        <f>SUM('PEPE SIERRA '!$B1478:$H1478)</f>
        <v>76</v>
      </c>
      <c r="J1478" s="78">
        <f t="shared" si="718"/>
        <v>10.857142857142858</v>
      </c>
    </row>
    <row r="1479" spans="1:10" s="186" customFormat="1" x14ac:dyDescent="0.25">
      <c r="A1479" s="146" t="s">
        <v>16</v>
      </c>
      <c r="B1479" s="233">
        <v>0</v>
      </c>
      <c r="C1479" s="13">
        <v>0</v>
      </c>
      <c r="D1479" s="13">
        <v>1</v>
      </c>
      <c r="E1479" s="13">
        <v>0</v>
      </c>
      <c r="F1479" s="11">
        <v>1</v>
      </c>
      <c r="G1479" s="11">
        <v>0</v>
      </c>
      <c r="H1479" s="11">
        <v>0</v>
      </c>
      <c r="I1479" s="11">
        <f>SUM('PEPE SIERRA '!$B1479:$H1479)</f>
        <v>2</v>
      </c>
      <c r="J1479" s="78">
        <f t="shared" si="718"/>
        <v>0.2857142857142857</v>
      </c>
    </row>
    <row r="1480" spans="1:10" s="186" customFormat="1" x14ac:dyDescent="0.25">
      <c r="A1480" s="103" t="s">
        <v>17</v>
      </c>
      <c r="B1480" s="192">
        <f>SUM(B1475:B1479)</f>
        <v>290</v>
      </c>
      <c r="C1480" s="192">
        <f t="shared" ref="C1480:I1480" si="719">SUM(C1475:C1479)</f>
        <v>90</v>
      </c>
      <c r="D1480" s="192">
        <f t="shared" si="719"/>
        <v>138</v>
      </c>
      <c r="E1480" s="192">
        <f t="shared" si="719"/>
        <v>110</v>
      </c>
      <c r="F1480" s="192">
        <f t="shared" si="719"/>
        <v>253</v>
      </c>
      <c r="G1480" s="192">
        <f t="shared" si="719"/>
        <v>368</v>
      </c>
      <c r="H1480" s="192">
        <f t="shared" si="719"/>
        <v>268</v>
      </c>
      <c r="I1480" s="192">
        <f t="shared" si="719"/>
        <v>1517</v>
      </c>
      <c r="J1480" s="193">
        <f t="shared" si="718"/>
        <v>216.71428571428572</v>
      </c>
    </row>
    <row r="1481" spans="1:10" s="186" customFormat="1" x14ac:dyDescent="0.25">
      <c r="A1481" s="146" t="s">
        <v>18</v>
      </c>
      <c r="B1481" s="234">
        <v>0.79</v>
      </c>
      <c r="C1481" s="235">
        <v>0.83</v>
      </c>
      <c r="D1481" s="235">
        <v>0.69</v>
      </c>
      <c r="E1481" s="236">
        <v>0.7</v>
      </c>
      <c r="F1481" s="30">
        <v>0.74</v>
      </c>
      <c r="G1481" s="30">
        <v>0.84</v>
      </c>
      <c r="H1481" s="30">
        <v>0.75</v>
      </c>
      <c r="I1481" s="30">
        <f>I1488/I1493</f>
        <v>0.77600570658148948</v>
      </c>
      <c r="J1481" s="30">
        <f>J1488/J1493</f>
        <v>0.77600570658148948</v>
      </c>
    </row>
    <row r="1482" spans="1:10" s="186" customFormat="1" x14ac:dyDescent="0.25">
      <c r="A1482" s="146" t="s">
        <v>19</v>
      </c>
      <c r="B1482" s="234">
        <v>0.01</v>
      </c>
      <c r="C1482" s="235">
        <v>0.02</v>
      </c>
      <c r="D1482" s="235">
        <v>0.02</v>
      </c>
      <c r="E1482" s="236">
        <v>0.03</v>
      </c>
      <c r="F1482" s="30">
        <v>0.01</v>
      </c>
      <c r="G1482" s="30">
        <v>0.01</v>
      </c>
      <c r="H1482" s="30">
        <v>0.02</v>
      </c>
      <c r="I1482" s="30">
        <f>I1489/I1493</f>
        <v>1.4465459675843052E-2</v>
      </c>
      <c r="J1482" s="30">
        <f>J1489/J1493</f>
        <v>1.4465459675843052E-2</v>
      </c>
    </row>
    <row r="1483" spans="1:10" s="186" customFormat="1" x14ac:dyDescent="0.25">
      <c r="A1483" s="146" t="s">
        <v>20</v>
      </c>
      <c r="B1483" s="234">
        <v>0.15</v>
      </c>
      <c r="C1483" s="235">
        <v>0.15</v>
      </c>
      <c r="D1483" s="235">
        <v>0.27</v>
      </c>
      <c r="E1483" s="236">
        <v>0.23</v>
      </c>
      <c r="F1483" s="30">
        <v>0.17</v>
      </c>
      <c r="G1483" s="30">
        <v>0.1</v>
      </c>
      <c r="H1483" s="30">
        <v>0.19</v>
      </c>
      <c r="I1483" s="30">
        <f>I1490/I1493</f>
        <v>0.16239158128598971</v>
      </c>
      <c r="J1483" s="30">
        <f>J1490/J1493</f>
        <v>0.16239158128598971</v>
      </c>
    </row>
    <row r="1484" spans="1:10" s="186" customFormat="1" x14ac:dyDescent="0.25">
      <c r="A1484" s="146" t="s">
        <v>21</v>
      </c>
      <c r="B1484" s="234">
        <v>0.05</v>
      </c>
      <c r="C1484" s="235">
        <v>0</v>
      </c>
      <c r="D1484" s="235">
        <v>0.01</v>
      </c>
      <c r="E1484" s="236">
        <v>0.04</v>
      </c>
      <c r="F1484" s="30">
        <v>0.08</v>
      </c>
      <c r="G1484" s="30">
        <v>0.05</v>
      </c>
      <c r="H1484" s="30">
        <v>0.04</v>
      </c>
      <c r="I1484" s="30">
        <f>I1491/I1493</f>
        <v>4.629069749414471E-2</v>
      </c>
      <c r="J1484" s="30">
        <f>J1491/J1493</f>
        <v>4.629069749414471E-2</v>
      </c>
    </row>
    <row r="1485" spans="1:10" s="186" customFormat="1" x14ac:dyDescent="0.25">
      <c r="A1485" s="146" t="s">
        <v>22</v>
      </c>
      <c r="B1485" s="234">
        <v>0</v>
      </c>
      <c r="C1485" s="235">
        <v>0</v>
      </c>
      <c r="D1485" s="235">
        <v>0.01</v>
      </c>
      <c r="E1485" s="236">
        <v>0</v>
      </c>
      <c r="F1485" s="30">
        <v>0</v>
      </c>
      <c r="G1485" s="30">
        <v>0</v>
      </c>
      <c r="H1485" s="30">
        <v>0</v>
      </c>
      <c r="I1485" s="30">
        <f>I1492/I1493</f>
        <v>8.4655496253315497E-4</v>
      </c>
      <c r="J1485" s="30">
        <f>J1492/J1493</f>
        <v>8.4655496253315508E-4</v>
      </c>
    </row>
    <row r="1486" spans="1:10" s="186" customFormat="1" x14ac:dyDescent="0.25">
      <c r="A1486" s="195" t="s">
        <v>23</v>
      </c>
      <c r="B1486" s="66">
        <f t="shared" ref="B1486:J1486" si="720">B1497/B1480</f>
        <v>37876.896551724145</v>
      </c>
      <c r="C1486" s="66">
        <f t="shared" si="720"/>
        <v>37034.444444444445</v>
      </c>
      <c r="D1486" s="66">
        <f t="shared" si="720"/>
        <v>34671.739130434791</v>
      </c>
      <c r="E1486" s="66">
        <f t="shared" si="720"/>
        <v>35380</v>
      </c>
      <c r="F1486" s="66">
        <f t="shared" si="720"/>
        <v>36967.588932806328</v>
      </c>
      <c r="G1486" s="66">
        <f t="shared" si="720"/>
        <v>40761.684782608703</v>
      </c>
      <c r="H1486" s="66">
        <f t="shared" si="720"/>
        <v>35128.73134328358</v>
      </c>
      <c r="I1486" s="66">
        <f t="shared" si="720"/>
        <v>37416.941331575479</v>
      </c>
      <c r="J1486" s="66">
        <f t="shared" si="720"/>
        <v>37416.941331575479</v>
      </c>
    </row>
    <row r="1487" spans="1:10" s="186" customFormat="1" x14ac:dyDescent="0.25">
      <c r="A1487" s="195" t="s">
        <v>24</v>
      </c>
      <c r="B1487" s="66">
        <f t="shared" ref="B1487:I1487" si="721">+B1497/B1474</f>
        <v>28604.947916666672</v>
      </c>
      <c r="C1487" s="66">
        <f t="shared" si="721"/>
        <v>28733.620689655174</v>
      </c>
      <c r="D1487" s="66">
        <f t="shared" si="721"/>
        <v>28650.89820359282</v>
      </c>
      <c r="E1487" s="66">
        <f t="shared" si="721"/>
        <v>29261.654135338347</v>
      </c>
      <c r="F1487" s="66">
        <f t="shared" si="721"/>
        <v>29976.923076923078</v>
      </c>
      <c r="G1487" s="66">
        <f t="shared" si="721"/>
        <v>30181.690140845076</v>
      </c>
      <c r="H1487" s="66">
        <f t="shared" si="721"/>
        <v>27608.504398826979</v>
      </c>
      <c r="I1487" s="66">
        <f t="shared" si="721"/>
        <v>29108.461538461539</v>
      </c>
      <c r="J1487" s="66">
        <f>J1497/J1474</f>
        <v>29108.461538461543</v>
      </c>
    </row>
    <row r="1488" spans="1:10" s="186" customFormat="1" x14ac:dyDescent="0.25">
      <c r="A1488" s="146" t="s">
        <v>25</v>
      </c>
      <c r="B1488" s="92">
        <f t="shared" ref="B1488:H1488" si="722">B1493*B1481</f>
        <v>7119767.6689655185</v>
      </c>
      <c r="C1488" s="92">
        <f t="shared" si="722"/>
        <v>2265050.9672413794</v>
      </c>
      <c r="D1488" s="92">
        <f t="shared" si="722"/>
        <v>2721167.7517241379</v>
      </c>
      <c r="E1488" s="92">
        <f t="shared" si="722"/>
        <v>2248939</v>
      </c>
      <c r="F1488" s="92">
        <f t="shared" si="722"/>
        <v>5687368.8793103453</v>
      </c>
      <c r="G1488" s="92">
        <f t="shared" si="722"/>
        <v>10330087.406896552</v>
      </c>
      <c r="H1488" s="92">
        <f t="shared" si="722"/>
        <v>5778257.4568965528</v>
      </c>
      <c r="I1488" s="31">
        <f t="shared" ref="I1488:I1493" si="723">SUM(B1488:H1488)</f>
        <v>36150639.131034486</v>
      </c>
      <c r="J1488" s="31">
        <f t="shared" ref="J1488:J1497" si="724">I1488/7</f>
        <v>5164377.0187192122</v>
      </c>
    </row>
    <row r="1489" spans="1:10" s="186" customFormat="1" x14ac:dyDescent="0.25">
      <c r="A1489" s="146" t="s">
        <v>26</v>
      </c>
      <c r="B1489" s="92">
        <f t="shared" ref="B1489:H1489" si="725">B1493*B1482</f>
        <v>90123.641379310357</v>
      </c>
      <c r="C1489" s="92">
        <f t="shared" si="725"/>
        <v>54579.541379310351</v>
      </c>
      <c r="D1489" s="92">
        <f t="shared" si="725"/>
        <v>78874.427586206904</v>
      </c>
      <c r="E1489" s="92">
        <f t="shared" si="725"/>
        <v>96383.099999999991</v>
      </c>
      <c r="F1489" s="92">
        <f t="shared" si="725"/>
        <v>76856.336206896565</v>
      </c>
      <c r="G1489" s="92">
        <f t="shared" si="725"/>
        <v>122977.23103448277</v>
      </c>
      <c r="H1489" s="92">
        <f t="shared" si="725"/>
        <v>154086.86551724139</v>
      </c>
      <c r="I1489" s="31">
        <f t="shared" si="723"/>
        <v>673881.14310344832</v>
      </c>
      <c r="J1489" s="31">
        <f t="shared" si="724"/>
        <v>96268.734729064046</v>
      </c>
    </row>
    <row r="1490" spans="1:10" s="186" customFormat="1" x14ac:dyDescent="0.25">
      <c r="A1490" s="146" t="s">
        <v>27</v>
      </c>
      <c r="B1490" s="92">
        <f t="shared" ref="B1490:H1490" si="726">B1493*B1483</f>
        <v>1351854.6206896554</v>
      </c>
      <c r="C1490" s="92">
        <f t="shared" si="726"/>
        <v>409346.56034482759</v>
      </c>
      <c r="D1490" s="92">
        <f t="shared" si="726"/>
        <v>1064804.7724137933</v>
      </c>
      <c r="E1490" s="92">
        <f t="shared" si="726"/>
        <v>738937.1</v>
      </c>
      <c r="F1490" s="92">
        <f t="shared" si="726"/>
        <v>1306557.7155172415</v>
      </c>
      <c r="G1490" s="92">
        <f t="shared" si="726"/>
        <v>1229772.3103448278</v>
      </c>
      <c r="H1490" s="92">
        <f t="shared" si="726"/>
        <v>1463825.2224137932</v>
      </c>
      <c r="I1490" s="31">
        <f t="shared" si="723"/>
        <v>7565098.3017241396</v>
      </c>
      <c r="J1490" s="31">
        <f t="shared" si="724"/>
        <v>1080728.3288177343</v>
      </c>
    </row>
    <row r="1491" spans="1:10" s="186" customFormat="1" x14ac:dyDescent="0.25">
      <c r="A1491" s="146" t="s">
        <v>28</v>
      </c>
      <c r="B1491" s="92">
        <f t="shared" ref="B1491:H1491" si="727">B1493*B1484</f>
        <v>450618.20689655183</v>
      </c>
      <c r="C1491" s="92">
        <f t="shared" si="727"/>
        <v>0</v>
      </c>
      <c r="D1491" s="92">
        <f t="shared" si="727"/>
        <v>39437.213793103452</v>
      </c>
      <c r="E1491" s="92">
        <f t="shared" si="727"/>
        <v>128510.8</v>
      </c>
      <c r="F1491" s="92">
        <f t="shared" si="727"/>
        <v>614850.68965517252</v>
      </c>
      <c r="G1491" s="92">
        <f t="shared" si="727"/>
        <v>614886.15517241391</v>
      </c>
      <c r="H1491" s="92">
        <f t="shared" si="727"/>
        <v>308173.73103448277</v>
      </c>
      <c r="I1491" s="31">
        <f t="shared" si="723"/>
        <v>2156476.7965517244</v>
      </c>
      <c r="J1491" s="31">
        <f t="shared" si="724"/>
        <v>308068.11379310349</v>
      </c>
    </row>
    <row r="1492" spans="1:10" s="186" customFormat="1" x14ac:dyDescent="0.25">
      <c r="A1492" s="146" t="s">
        <v>29</v>
      </c>
      <c r="B1492" s="92">
        <f t="shared" ref="B1492:H1492" si="728">B1493*B1485</f>
        <v>0</v>
      </c>
      <c r="C1492" s="92">
        <f t="shared" si="728"/>
        <v>0</v>
      </c>
      <c r="D1492" s="92">
        <f t="shared" si="728"/>
        <v>39437.213793103452</v>
      </c>
      <c r="E1492" s="92">
        <f t="shared" si="728"/>
        <v>0</v>
      </c>
      <c r="F1492" s="92">
        <f t="shared" si="728"/>
        <v>0</v>
      </c>
      <c r="G1492" s="92">
        <f t="shared" si="728"/>
        <v>0</v>
      </c>
      <c r="H1492" s="92">
        <f t="shared" si="728"/>
        <v>0</v>
      </c>
      <c r="I1492" s="31">
        <f t="shared" si="723"/>
        <v>39437.213793103452</v>
      </c>
      <c r="J1492" s="31">
        <f t="shared" si="724"/>
        <v>5633.8876847290649</v>
      </c>
    </row>
    <row r="1493" spans="1:10" s="186" customFormat="1" x14ac:dyDescent="0.25">
      <c r="A1493" s="196" t="s">
        <v>30</v>
      </c>
      <c r="B1493" s="237">
        <f>(10984300/1.16)-B1494</f>
        <v>9012364.1379310358</v>
      </c>
      <c r="C1493" s="237">
        <f>(3333100/1.16)-C1494</f>
        <v>2728977.0689655175</v>
      </c>
      <c r="D1493" s="237">
        <f>(4784700/1.16)-D1494</f>
        <v>3943721.3793103453</v>
      </c>
      <c r="E1493" s="237">
        <f>(3891800/1.16)-E1494</f>
        <v>3212770</v>
      </c>
      <c r="F1493" s="222">
        <f>(9352800/1.16)-F1494</f>
        <v>7685633.6206896557</v>
      </c>
      <c r="G1493" s="222">
        <f>(15000300/1.16)-G1494</f>
        <v>12297723.103448277</v>
      </c>
      <c r="H1493" s="222">
        <f>(9414500/1.16)-H1494</f>
        <v>7704343.2758620698</v>
      </c>
      <c r="I1493" s="197">
        <f t="shared" si="723"/>
        <v>46585532.586206898</v>
      </c>
      <c r="J1493" s="197">
        <f t="shared" si="724"/>
        <v>6655076.0837438423</v>
      </c>
    </row>
    <row r="1494" spans="1:10" s="186" customFormat="1" x14ac:dyDescent="0.25">
      <c r="A1494" s="146" t="s">
        <v>31</v>
      </c>
      <c r="B1494" s="92">
        <f t="shared" ref="B1494:I1494" si="729">2155*B1475</f>
        <v>456860</v>
      </c>
      <c r="C1494" s="92">
        <f t="shared" si="729"/>
        <v>144385</v>
      </c>
      <c r="D1494" s="92">
        <f t="shared" si="729"/>
        <v>181020</v>
      </c>
      <c r="E1494" s="92">
        <f t="shared" si="729"/>
        <v>142230</v>
      </c>
      <c r="F1494" s="92">
        <f t="shared" si="729"/>
        <v>377125</v>
      </c>
      <c r="G1494" s="31">
        <f t="shared" si="729"/>
        <v>633570</v>
      </c>
      <c r="H1494" s="31">
        <f t="shared" si="729"/>
        <v>411605</v>
      </c>
      <c r="I1494" s="31">
        <f t="shared" si="729"/>
        <v>2346795</v>
      </c>
      <c r="J1494" s="31">
        <f t="shared" si="724"/>
        <v>335256.42857142858</v>
      </c>
    </row>
    <row r="1495" spans="1:10" s="186" customFormat="1" x14ac:dyDescent="0.25">
      <c r="A1495" s="198" t="s">
        <v>32</v>
      </c>
      <c r="B1495" s="199">
        <f>B1494+B1493</f>
        <v>9469224.1379310358</v>
      </c>
      <c r="C1495" s="199">
        <f>C1494+C1493</f>
        <v>2873362.0689655175</v>
      </c>
      <c r="D1495" s="199">
        <f>D1494+D1493</f>
        <v>4124741.3793103453</v>
      </c>
      <c r="E1495" s="199">
        <f>E1494+E1493</f>
        <v>3355000</v>
      </c>
      <c r="F1495" s="199">
        <f>F1493+F1494</f>
        <v>8062758.6206896557</v>
      </c>
      <c r="G1495" s="199">
        <f>G1494+G1493</f>
        <v>12931293.103448277</v>
      </c>
      <c r="H1495" s="199">
        <f>H1494+H1493</f>
        <v>8115948.2758620698</v>
      </c>
      <c r="I1495" s="199">
        <f>I1493+I1494</f>
        <v>48932327.586206898</v>
      </c>
      <c r="J1495" s="200">
        <f t="shared" si="724"/>
        <v>6990332.5123152714</v>
      </c>
    </row>
    <row r="1496" spans="1:10" s="186" customFormat="1" x14ac:dyDescent="0.25">
      <c r="A1496" s="146" t="s">
        <v>33</v>
      </c>
      <c r="B1496" s="94">
        <f>B1495*16%</f>
        <v>1515075.8620689658</v>
      </c>
      <c r="C1496" s="94">
        <f t="shared" ref="C1496:H1496" si="730">C1495*16%</f>
        <v>459737.93103448278</v>
      </c>
      <c r="D1496" s="94">
        <f t="shared" si="730"/>
        <v>659958.6206896553</v>
      </c>
      <c r="E1496" s="94">
        <f t="shared" si="730"/>
        <v>536800</v>
      </c>
      <c r="F1496" s="94">
        <f t="shared" si="730"/>
        <v>1290041.379310345</v>
      </c>
      <c r="G1496" s="94">
        <f t="shared" si="730"/>
        <v>2069006.8965517245</v>
      </c>
      <c r="H1496" s="94">
        <f t="shared" si="730"/>
        <v>1298551.7241379311</v>
      </c>
      <c r="I1496" s="94">
        <f>I1495*16%</f>
        <v>7829172.4137931038</v>
      </c>
      <c r="J1496" s="31">
        <f t="shared" si="724"/>
        <v>1118453.2019704434</v>
      </c>
    </row>
    <row r="1497" spans="1:10" s="186" customFormat="1" x14ac:dyDescent="0.25">
      <c r="A1497" s="229" t="s">
        <v>34</v>
      </c>
      <c r="B1497" s="230">
        <f>B1495+B1496</f>
        <v>10984300.000000002</v>
      </c>
      <c r="C1497" s="230">
        <f t="shared" ref="C1497:H1497" si="731">C1495+C1496</f>
        <v>3333100</v>
      </c>
      <c r="D1497" s="230">
        <f t="shared" si="731"/>
        <v>4784700.0000000009</v>
      </c>
      <c r="E1497" s="230">
        <f t="shared" si="731"/>
        <v>3891800</v>
      </c>
      <c r="F1497" s="230">
        <f t="shared" si="731"/>
        <v>9352800</v>
      </c>
      <c r="G1497" s="230">
        <f t="shared" si="731"/>
        <v>15000300.000000002</v>
      </c>
      <c r="H1497" s="230">
        <f t="shared" si="731"/>
        <v>9414500</v>
      </c>
      <c r="I1497" s="230">
        <f>I1495+I1496</f>
        <v>56761500</v>
      </c>
      <c r="J1497" s="231">
        <f t="shared" si="724"/>
        <v>8108785.7142857146</v>
      </c>
    </row>
    <row r="1498" spans="1:10" s="186" customFormat="1" ht="15.75" thickBot="1" x14ac:dyDescent="0.3">
      <c r="A1498" s="204"/>
      <c r="B1498" s="112"/>
      <c r="C1498" s="112"/>
      <c r="D1498" s="112"/>
      <c r="E1498" s="112"/>
      <c r="F1498" s="112"/>
      <c r="G1498" s="112"/>
      <c r="H1498" s="112"/>
      <c r="I1498" s="112"/>
      <c r="J1498" s="205"/>
    </row>
    <row r="1499" spans="1:10" s="186" customFormat="1" ht="27" thickBot="1" x14ac:dyDescent="0.3">
      <c r="A1499"/>
      <c r="B1499" s="1002" t="s">
        <v>321</v>
      </c>
      <c r="C1499" s="1002"/>
      <c r="D1499" s="1002"/>
      <c r="E1499" s="1002"/>
      <c r="F1499" s="1002"/>
      <c r="G1499" s="1002"/>
      <c r="H1499" s="1002"/>
      <c r="I1499"/>
      <c r="J1499"/>
    </row>
    <row r="1500" spans="1:10" s="186" customFormat="1" ht="16.5" thickBot="1" x14ac:dyDescent="0.3">
      <c r="A1500" s="227" t="s">
        <v>2</v>
      </c>
      <c r="B1500" s="232" t="s">
        <v>155</v>
      </c>
      <c r="C1500" s="232" t="s">
        <v>156</v>
      </c>
      <c r="D1500" s="232" t="s">
        <v>157</v>
      </c>
      <c r="E1500" s="232" t="s">
        <v>158</v>
      </c>
      <c r="F1500" s="232" t="s">
        <v>159</v>
      </c>
      <c r="G1500" s="232" t="s">
        <v>160</v>
      </c>
      <c r="H1500" s="232" t="s">
        <v>161</v>
      </c>
      <c r="I1500" s="228" t="s">
        <v>96</v>
      </c>
      <c r="J1500" s="228" t="s">
        <v>97</v>
      </c>
    </row>
    <row r="1501" spans="1:10" s="186" customFormat="1" ht="15.75" thickTop="1" x14ac:dyDescent="0.25">
      <c r="A1501" s="188" t="s">
        <v>11</v>
      </c>
      <c r="B1501" s="190">
        <f>30+21+7</f>
        <v>58</v>
      </c>
      <c r="C1501" s="190">
        <f>86+35+12</f>
        <v>133</v>
      </c>
      <c r="D1501" s="190">
        <f>75+30+11</f>
        <v>116</v>
      </c>
      <c r="E1501" s="190">
        <f>94+32+19</f>
        <v>145</v>
      </c>
      <c r="F1501" s="190">
        <f>170+115+31</f>
        <v>316</v>
      </c>
      <c r="G1501" s="190">
        <f>221+113+43</f>
        <v>377</v>
      </c>
      <c r="H1501" s="190">
        <f>213+102+52</f>
        <v>367</v>
      </c>
      <c r="I1501" s="190">
        <f>SUM(B1501:H1501)</f>
        <v>1512</v>
      </c>
      <c r="J1501" s="191">
        <f>+I1501/7</f>
        <v>216</v>
      </c>
    </row>
    <row r="1502" spans="1:10" s="186" customFormat="1" x14ac:dyDescent="0.25">
      <c r="A1502" s="146" t="s">
        <v>12</v>
      </c>
      <c r="B1502" s="233">
        <v>26</v>
      </c>
      <c r="C1502" s="13">
        <v>77</v>
      </c>
      <c r="D1502" s="13">
        <v>59</v>
      </c>
      <c r="E1502" s="13">
        <v>74</v>
      </c>
      <c r="F1502" s="86">
        <v>171</v>
      </c>
      <c r="G1502" s="11">
        <v>191</v>
      </c>
      <c r="H1502" s="86">
        <v>200</v>
      </c>
      <c r="I1502" s="11">
        <f>SUM('PEPE SIERRA '!$B1502:$H1502)</f>
        <v>798</v>
      </c>
      <c r="J1502" s="78">
        <f t="shared" ref="J1502:J1507" si="732">I1502/7</f>
        <v>114</v>
      </c>
    </row>
    <row r="1503" spans="1:10" s="186" customFormat="1" x14ac:dyDescent="0.25">
      <c r="A1503" s="146" t="s">
        <v>13</v>
      </c>
      <c r="B1503" s="233">
        <v>1</v>
      </c>
      <c r="C1503" s="13">
        <v>1</v>
      </c>
      <c r="D1503" s="13">
        <v>1</v>
      </c>
      <c r="E1503" s="13">
        <v>3</v>
      </c>
      <c r="F1503" s="11">
        <v>4</v>
      </c>
      <c r="G1503" s="11">
        <v>7</v>
      </c>
      <c r="H1503" s="11">
        <v>13</v>
      </c>
      <c r="I1503" s="11">
        <f>SUM('PEPE SIERRA '!$B1503:$H1503)</f>
        <v>30</v>
      </c>
      <c r="J1503" s="78">
        <f t="shared" si="732"/>
        <v>4.2857142857142856</v>
      </c>
    </row>
    <row r="1504" spans="1:10" s="186" customFormat="1" x14ac:dyDescent="0.25">
      <c r="A1504" s="146" t="s">
        <v>14</v>
      </c>
      <c r="B1504" s="233">
        <v>17</v>
      </c>
      <c r="C1504" s="13">
        <v>22</v>
      </c>
      <c r="D1504" s="13">
        <v>33</v>
      </c>
      <c r="E1504" s="13">
        <v>29</v>
      </c>
      <c r="F1504" s="11">
        <v>57</v>
      </c>
      <c r="G1504" s="11">
        <v>60</v>
      </c>
      <c r="H1504" s="86">
        <v>45</v>
      </c>
      <c r="I1504" s="11">
        <f>SUM('PEPE SIERRA '!$B1504:$H1504)</f>
        <v>263</v>
      </c>
      <c r="J1504" s="78">
        <f t="shared" si="732"/>
        <v>37.571428571428569</v>
      </c>
    </row>
    <row r="1505" spans="1:10" s="186" customFormat="1" x14ac:dyDescent="0.25">
      <c r="A1505" s="146" t="s">
        <v>15</v>
      </c>
      <c r="B1505" s="233">
        <v>3</v>
      </c>
      <c r="C1505" s="13">
        <v>3</v>
      </c>
      <c r="D1505" s="13">
        <v>5</v>
      </c>
      <c r="E1505" s="13">
        <v>2</v>
      </c>
      <c r="F1505" s="11">
        <v>13</v>
      </c>
      <c r="G1505" s="11">
        <v>24</v>
      </c>
      <c r="H1505" s="11">
        <v>21</v>
      </c>
      <c r="I1505" s="11">
        <f>SUM('PEPE SIERRA '!$B1505:$H1505)</f>
        <v>71</v>
      </c>
      <c r="J1505" s="78">
        <f t="shared" si="732"/>
        <v>10.142857142857142</v>
      </c>
    </row>
    <row r="1506" spans="1:10" s="186" customFormat="1" x14ac:dyDescent="0.25">
      <c r="A1506" s="146" t="s">
        <v>16</v>
      </c>
      <c r="B1506" s="233">
        <v>0</v>
      </c>
      <c r="C1506" s="13">
        <v>0</v>
      </c>
      <c r="D1506" s="13">
        <v>0</v>
      </c>
      <c r="E1506" s="13">
        <v>0</v>
      </c>
      <c r="F1506" s="11">
        <v>0</v>
      </c>
      <c r="G1506" s="11">
        <v>0</v>
      </c>
      <c r="H1506" s="11">
        <v>0</v>
      </c>
      <c r="I1506" s="11">
        <f>SUM('PEPE SIERRA '!$B1506:$H1506)</f>
        <v>0</v>
      </c>
      <c r="J1506" s="78">
        <f t="shared" si="732"/>
        <v>0</v>
      </c>
    </row>
    <row r="1507" spans="1:10" s="186" customFormat="1" x14ac:dyDescent="0.25">
      <c r="A1507" s="103" t="s">
        <v>17</v>
      </c>
      <c r="B1507" s="192">
        <f>SUM(B1502:B1506)</f>
        <v>47</v>
      </c>
      <c r="C1507" s="192">
        <f t="shared" ref="C1507:I1507" si="733">SUM(C1502:C1506)</f>
        <v>103</v>
      </c>
      <c r="D1507" s="192">
        <f t="shared" si="733"/>
        <v>98</v>
      </c>
      <c r="E1507" s="192">
        <f t="shared" si="733"/>
        <v>108</v>
      </c>
      <c r="F1507" s="192">
        <f t="shared" si="733"/>
        <v>245</v>
      </c>
      <c r="G1507" s="192">
        <f t="shared" si="733"/>
        <v>282</v>
      </c>
      <c r="H1507" s="192">
        <f t="shared" si="733"/>
        <v>279</v>
      </c>
      <c r="I1507" s="192">
        <f t="shared" si="733"/>
        <v>1162</v>
      </c>
      <c r="J1507" s="193">
        <f t="shared" si="732"/>
        <v>166</v>
      </c>
    </row>
    <row r="1508" spans="1:10" s="186" customFormat="1" x14ac:dyDescent="0.25">
      <c r="A1508" s="146" t="s">
        <v>18</v>
      </c>
      <c r="B1508" s="234">
        <v>0.6</v>
      </c>
      <c r="C1508" s="235">
        <v>0.78</v>
      </c>
      <c r="D1508" s="235">
        <v>0.7</v>
      </c>
      <c r="E1508" s="236">
        <v>0.78</v>
      </c>
      <c r="F1508" s="30">
        <v>0.75</v>
      </c>
      <c r="G1508" s="30">
        <v>0.74</v>
      </c>
      <c r="H1508" s="30">
        <v>0.76</v>
      </c>
      <c r="I1508" s="30">
        <f>I1515/I1520</f>
        <v>0.74584883581688532</v>
      </c>
      <c r="J1508" s="30">
        <f>J1515/J1520</f>
        <v>0.74584883581688532</v>
      </c>
    </row>
    <row r="1509" spans="1:10" s="186" customFormat="1" x14ac:dyDescent="0.25">
      <c r="A1509" s="146" t="s">
        <v>19</v>
      </c>
      <c r="B1509" s="234">
        <v>0.01</v>
      </c>
      <c r="C1509" s="235">
        <v>0.02</v>
      </c>
      <c r="D1509" s="235">
        <v>0.01</v>
      </c>
      <c r="E1509" s="236">
        <v>0.03</v>
      </c>
      <c r="F1509" s="30">
        <v>0.01</v>
      </c>
      <c r="G1509" s="30">
        <v>0.02</v>
      </c>
      <c r="H1509" s="30">
        <v>0.05</v>
      </c>
      <c r="I1509" s="30">
        <f>I1516/I1520</f>
        <v>2.4638794715574001E-2</v>
      </c>
      <c r="J1509" s="30">
        <f>J1516/J1520</f>
        <v>2.4638794715574005E-2</v>
      </c>
    </row>
    <row r="1510" spans="1:10" s="186" customFormat="1" x14ac:dyDescent="0.25">
      <c r="A1510" s="146" t="s">
        <v>20</v>
      </c>
      <c r="B1510" s="234">
        <v>0.35</v>
      </c>
      <c r="C1510" s="235">
        <v>0.16</v>
      </c>
      <c r="D1510" s="235">
        <v>0.23</v>
      </c>
      <c r="E1510" s="236">
        <v>0.18</v>
      </c>
      <c r="F1510" s="30">
        <v>0.19</v>
      </c>
      <c r="G1510" s="30">
        <v>0.17</v>
      </c>
      <c r="H1510" s="30">
        <v>0.12</v>
      </c>
      <c r="I1510" s="30">
        <f>I1517/I1520</f>
        <v>0.17400730887201407</v>
      </c>
      <c r="J1510" s="30">
        <f>J1517/J1520</f>
        <v>0.1740073088720141</v>
      </c>
    </row>
    <row r="1511" spans="1:10" s="186" customFormat="1" x14ac:dyDescent="0.25">
      <c r="A1511" s="146" t="s">
        <v>21</v>
      </c>
      <c r="B1511" s="234">
        <v>0.04</v>
      </c>
      <c r="C1511" s="235">
        <v>0.04</v>
      </c>
      <c r="D1511" s="235">
        <v>0.06</v>
      </c>
      <c r="E1511" s="236">
        <v>0.01</v>
      </c>
      <c r="F1511" s="30">
        <v>0.05</v>
      </c>
      <c r="G1511" s="30">
        <v>7.0000000000000007E-2</v>
      </c>
      <c r="H1511" s="30">
        <v>7.0000000000000007E-2</v>
      </c>
      <c r="I1511" s="30">
        <f>I1518/I1520</f>
        <v>5.5505060595526616E-2</v>
      </c>
      <c r="J1511" s="30">
        <f>J1518/J1520</f>
        <v>5.5505060595526616E-2</v>
      </c>
    </row>
    <row r="1512" spans="1:10" s="186" customFormat="1" x14ac:dyDescent="0.25">
      <c r="A1512" s="146" t="s">
        <v>22</v>
      </c>
      <c r="B1512" s="234">
        <v>0</v>
      </c>
      <c r="C1512" s="235">
        <v>0</v>
      </c>
      <c r="D1512" s="235">
        <v>0</v>
      </c>
      <c r="E1512" s="236">
        <v>0</v>
      </c>
      <c r="F1512" s="30">
        <v>0</v>
      </c>
      <c r="G1512" s="30">
        <v>0</v>
      </c>
      <c r="H1512" s="30">
        <v>0</v>
      </c>
      <c r="I1512" s="30">
        <f>I1519/I1520</f>
        <v>0</v>
      </c>
      <c r="J1512" s="30">
        <f>J1519/J1520</f>
        <v>0</v>
      </c>
    </row>
    <row r="1513" spans="1:10" s="186" customFormat="1" x14ac:dyDescent="0.25">
      <c r="A1513" s="195" t="s">
        <v>23</v>
      </c>
      <c r="B1513" s="66">
        <f t="shared" ref="B1513:J1513" si="734">B1524/B1507</f>
        <v>34510.638297872341</v>
      </c>
      <c r="C1513" s="66">
        <f t="shared" si="734"/>
        <v>37338.834951456316</v>
      </c>
      <c r="D1513" s="66">
        <f t="shared" si="734"/>
        <v>33681.632653061228</v>
      </c>
      <c r="E1513" s="66">
        <f t="shared" si="734"/>
        <v>37549.07407407408</v>
      </c>
      <c r="F1513" s="66">
        <f t="shared" si="734"/>
        <v>39009.387755102049</v>
      </c>
      <c r="G1513" s="66">
        <f t="shared" si="734"/>
        <v>38789.716312056735</v>
      </c>
      <c r="H1513" s="66">
        <f t="shared" si="734"/>
        <v>36746.236559139783</v>
      </c>
      <c r="I1513" s="66">
        <f t="shared" si="734"/>
        <v>37497.590361445786</v>
      </c>
      <c r="J1513" s="66">
        <f t="shared" si="734"/>
        <v>37497.590361445786</v>
      </c>
    </row>
    <row r="1514" spans="1:10" s="186" customFormat="1" x14ac:dyDescent="0.25">
      <c r="A1514" s="195" t="s">
        <v>24</v>
      </c>
      <c r="B1514" s="66">
        <f t="shared" ref="B1514:I1514" si="735">+B1524/B1501</f>
        <v>27965.517241379312</v>
      </c>
      <c r="C1514" s="66">
        <f t="shared" si="735"/>
        <v>28916.541353383462</v>
      </c>
      <c r="D1514" s="66">
        <f t="shared" si="735"/>
        <v>28455.172413793105</v>
      </c>
      <c r="E1514" s="66">
        <f t="shared" si="735"/>
        <v>27967.586206896554</v>
      </c>
      <c r="F1514" s="66">
        <f t="shared" si="735"/>
        <v>30244.620253164561</v>
      </c>
      <c r="G1514" s="66">
        <f t="shared" si="735"/>
        <v>29015.119363395224</v>
      </c>
      <c r="H1514" s="66">
        <f t="shared" si="735"/>
        <v>27935.149863760216</v>
      </c>
      <c r="I1514" s="66">
        <f t="shared" si="735"/>
        <v>28817.592592592591</v>
      </c>
      <c r="J1514" s="66">
        <f>J1524/J1501</f>
        <v>28817.592592592591</v>
      </c>
    </row>
    <row r="1515" spans="1:10" s="186" customFormat="1" x14ac:dyDescent="0.25">
      <c r="A1515" s="146" t="s">
        <v>25</v>
      </c>
      <c r="B1515" s="92">
        <f t="shared" ref="B1515:H1515" si="736">B1520*B1508</f>
        <v>805347.51724137936</v>
      </c>
      <c r="C1515" s="92">
        <f t="shared" si="736"/>
        <v>2456606.9068965521</v>
      </c>
      <c r="D1515" s="92">
        <f t="shared" si="736"/>
        <v>1902860.5689655172</v>
      </c>
      <c r="E1515" s="92">
        <f t="shared" si="736"/>
        <v>2602453.0551724141</v>
      </c>
      <c r="F1515" s="92">
        <f t="shared" si="736"/>
        <v>5902910.043103449</v>
      </c>
      <c r="G1515" s="92">
        <f t="shared" si="736"/>
        <v>6673548.5068965526</v>
      </c>
      <c r="H1515" s="92">
        <f t="shared" si="736"/>
        <v>6389398.6206896557</v>
      </c>
      <c r="I1515" s="31">
        <f t="shared" ref="I1515:I1520" si="737">SUM(B1515:H1515)</f>
        <v>26733125.218965519</v>
      </c>
      <c r="J1515" s="31">
        <f t="shared" ref="J1515:J1524" si="738">I1515/7</f>
        <v>3819017.8884236454</v>
      </c>
    </row>
    <row r="1516" spans="1:10" s="186" customFormat="1" x14ac:dyDescent="0.25">
      <c r="A1516" s="146" t="s">
        <v>26</v>
      </c>
      <c r="B1516" s="92">
        <f t="shared" ref="B1516:H1516" si="739">B1520*B1509</f>
        <v>13422.458620689657</v>
      </c>
      <c r="C1516" s="92">
        <f t="shared" si="739"/>
        <v>62989.920689655177</v>
      </c>
      <c r="D1516" s="92">
        <f t="shared" si="739"/>
        <v>27183.722413793104</v>
      </c>
      <c r="E1516" s="92">
        <f t="shared" si="739"/>
        <v>100094.34827586208</v>
      </c>
      <c r="F1516" s="92">
        <f t="shared" si="739"/>
        <v>78705.467241379316</v>
      </c>
      <c r="G1516" s="92">
        <f t="shared" si="739"/>
        <v>180366.17586206898</v>
      </c>
      <c r="H1516" s="92">
        <f t="shared" si="739"/>
        <v>420355.17241379316</v>
      </c>
      <c r="I1516" s="31">
        <f t="shared" si="737"/>
        <v>883117.26551724144</v>
      </c>
      <c r="J1516" s="31">
        <f t="shared" si="738"/>
        <v>126159.60935960592</v>
      </c>
    </row>
    <row r="1517" spans="1:10" s="186" customFormat="1" x14ac:dyDescent="0.25">
      <c r="A1517" s="146" t="s">
        <v>27</v>
      </c>
      <c r="B1517" s="92">
        <f t="shared" ref="B1517:H1517" si="740">B1520*B1510</f>
        <v>469786.05172413791</v>
      </c>
      <c r="C1517" s="92">
        <f t="shared" si="740"/>
        <v>503919.36551724141</v>
      </c>
      <c r="D1517" s="92">
        <f t="shared" si="740"/>
        <v>625225.61551724141</v>
      </c>
      <c r="E1517" s="92">
        <f t="shared" si="740"/>
        <v>600566.08965517243</v>
      </c>
      <c r="F1517" s="92">
        <f t="shared" si="740"/>
        <v>1495403.8775862071</v>
      </c>
      <c r="G1517" s="92">
        <f t="shared" si="740"/>
        <v>1533112.4948275865</v>
      </c>
      <c r="H1517" s="92">
        <f t="shared" si="740"/>
        <v>1008852.4137931034</v>
      </c>
      <c r="I1517" s="31">
        <f t="shared" si="737"/>
        <v>6236865.90862069</v>
      </c>
      <c r="J1517" s="31">
        <f t="shared" si="738"/>
        <v>890980.84408866998</v>
      </c>
    </row>
    <row r="1518" spans="1:10" s="186" customFormat="1" x14ac:dyDescent="0.25">
      <c r="A1518" s="146" t="s">
        <v>28</v>
      </c>
      <c r="B1518" s="92">
        <f t="shared" ref="B1518:H1518" si="741">B1520*B1511</f>
        <v>53689.834482758626</v>
      </c>
      <c r="C1518" s="92">
        <f t="shared" si="741"/>
        <v>125979.84137931035</v>
      </c>
      <c r="D1518" s="92">
        <f t="shared" si="741"/>
        <v>163102.33448275863</v>
      </c>
      <c r="E1518" s="92">
        <f t="shared" si="741"/>
        <v>33364.782758620691</v>
      </c>
      <c r="F1518" s="92">
        <f t="shared" si="741"/>
        <v>393527.33620689664</v>
      </c>
      <c r="G1518" s="92">
        <f t="shared" si="741"/>
        <v>631281.61551724153</v>
      </c>
      <c r="H1518" s="92">
        <f t="shared" si="741"/>
        <v>588497.24137931038</v>
      </c>
      <c r="I1518" s="31">
        <f t="shared" si="737"/>
        <v>1989442.9862068968</v>
      </c>
      <c r="J1518" s="31">
        <f t="shared" si="738"/>
        <v>284206.14088669955</v>
      </c>
    </row>
    <row r="1519" spans="1:10" s="186" customFormat="1" x14ac:dyDescent="0.25">
      <c r="A1519" s="146" t="s">
        <v>29</v>
      </c>
      <c r="B1519" s="92">
        <f t="shared" ref="B1519:H1519" si="742">B1520*B1512</f>
        <v>0</v>
      </c>
      <c r="C1519" s="92">
        <f t="shared" si="742"/>
        <v>0</v>
      </c>
      <c r="D1519" s="92">
        <f t="shared" si="742"/>
        <v>0</v>
      </c>
      <c r="E1519" s="92">
        <f t="shared" si="742"/>
        <v>0</v>
      </c>
      <c r="F1519" s="92">
        <f t="shared" si="742"/>
        <v>0</v>
      </c>
      <c r="G1519" s="92">
        <f t="shared" si="742"/>
        <v>0</v>
      </c>
      <c r="H1519" s="92">
        <f t="shared" si="742"/>
        <v>0</v>
      </c>
      <c r="I1519" s="31">
        <f t="shared" si="737"/>
        <v>0</v>
      </c>
      <c r="J1519" s="31">
        <f t="shared" si="738"/>
        <v>0</v>
      </c>
    </row>
    <row r="1520" spans="1:10" s="186" customFormat="1" x14ac:dyDescent="0.25">
      <c r="A1520" s="196" t="s">
        <v>30</v>
      </c>
      <c r="B1520" s="237">
        <f>(1622000/1.16)-B1521</f>
        <v>1342245.8620689656</v>
      </c>
      <c r="C1520" s="237">
        <f>(3845900/1.16)-C1521</f>
        <v>3149496.034482759</v>
      </c>
      <c r="D1520" s="237">
        <f>(3300800/1.16)-D1521</f>
        <v>2718372.2413793104</v>
      </c>
      <c r="E1520" s="237">
        <f>(4055300/1.16)-E1521</f>
        <v>3336478.2758620693</v>
      </c>
      <c r="F1520" s="237">
        <f>(9557300/1.16)-F1521</f>
        <v>7870546.7241379321</v>
      </c>
      <c r="G1520" s="237">
        <f>(10938700/1.16)-G1521</f>
        <v>9018308.793103449</v>
      </c>
      <c r="H1520" s="237">
        <f>(10252200/1.16)-H1521</f>
        <v>8407103.4482758623</v>
      </c>
      <c r="I1520" s="197">
        <f t="shared" si="737"/>
        <v>35842551.379310347</v>
      </c>
      <c r="J1520" s="197">
        <f t="shared" si="738"/>
        <v>5120364.4827586208</v>
      </c>
    </row>
    <row r="1521" spans="1:10" s="186" customFormat="1" x14ac:dyDescent="0.25">
      <c r="A1521" s="146" t="s">
        <v>31</v>
      </c>
      <c r="B1521" s="92">
        <f t="shared" ref="B1521:I1521" si="743">2155*B1502</f>
        <v>56030</v>
      </c>
      <c r="C1521" s="92">
        <f t="shared" si="743"/>
        <v>165935</v>
      </c>
      <c r="D1521" s="92">
        <f t="shared" si="743"/>
        <v>127145</v>
      </c>
      <c r="E1521" s="92">
        <f t="shared" si="743"/>
        <v>159470</v>
      </c>
      <c r="F1521" s="92">
        <f t="shared" si="743"/>
        <v>368505</v>
      </c>
      <c r="G1521" s="31">
        <f t="shared" si="743"/>
        <v>411605</v>
      </c>
      <c r="H1521" s="31">
        <f t="shared" si="743"/>
        <v>431000</v>
      </c>
      <c r="I1521" s="31">
        <f t="shared" si="743"/>
        <v>1719690</v>
      </c>
      <c r="J1521" s="31">
        <f t="shared" si="738"/>
        <v>245670</v>
      </c>
    </row>
    <row r="1522" spans="1:10" s="186" customFormat="1" x14ac:dyDescent="0.25">
      <c r="A1522" s="198" t="s">
        <v>32</v>
      </c>
      <c r="B1522" s="199">
        <f>B1521+B1520</f>
        <v>1398275.8620689656</v>
      </c>
      <c r="C1522" s="199">
        <f>C1521+C1520</f>
        <v>3315431.034482759</v>
      </c>
      <c r="D1522" s="199">
        <f>D1521+D1520</f>
        <v>2845517.2413793104</v>
      </c>
      <c r="E1522" s="199">
        <f>E1521+E1520</f>
        <v>3495948.2758620693</v>
      </c>
      <c r="F1522" s="199">
        <f>F1520+F1521</f>
        <v>8239051.7241379321</v>
      </c>
      <c r="G1522" s="199">
        <f>G1521+G1520</f>
        <v>9429913.793103449</v>
      </c>
      <c r="H1522" s="199">
        <f>H1521+H1520</f>
        <v>8838103.4482758623</v>
      </c>
      <c r="I1522" s="199">
        <f>I1520+I1521</f>
        <v>37562241.379310347</v>
      </c>
      <c r="J1522" s="200">
        <f t="shared" si="738"/>
        <v>5366034.4827586208</v>
      </c>
    </row>
    <row r="1523" spans="1:10" s="186" customFormat="1" x14ac:dyDescent="0.25">
      <c r="A1523" s="146" t="s">
        <v>33</v>
      </c>
      <c r="B1523" s="94">
        <f>B1522*16%</f>
        <v>223724.13793103449</v>
      </c>
      <c r="C1523" s="94">
        <f t="shared" ref="C1523:H1523" si="744">C1522*16%</f>
        <v>530468.96551724139</v>
      </c>
      <c r="D1523" s="94">
        <f t="shared" si="744"/>
        <v>455282.75862068968</v>
      </c>
      <c r="E1523" s="94">
        <f t="shared" si="744"/>
        <v>559351.72413793113</v>
      </c>
      <c r="F1523" s="94">
        <f t="shared" si="744"/>
        <v>1318248.2758620691</v>
      </c>
      <c r="G1523" s="94">
        <f t="shared" si="744"/>
        <v>1508786.2068965519</v>
      </c>
      <c r="H1523" s="94">
        <f t="shared" si="744"/>
        <v>1414096.551724138</v>
      </c>
      <c r="I1523" s="94">
        <f>I1522*16%</f>
        <v>6009958.6206896557</v>
      </c>
      <c r="J1523" s="31">
        <f t="shared" si="738"/>
        <v>858565.51724137936</v>
      </c>
    </row>
    <row r="1524" spans="1:10" s="186" customFormat="1" x14ac:dyDescent="0.25">
      <c r="A1524" s="229" t="s">
        <v>34</v>
      </c>
      <c r="B1524" s="230">
        <f>B1522+B1523</f>
        <v>1622000</v>
      </c>
      <c r="C1524" s="230">
        <f t="shared" ref="C1524:H1524" si="745">C1522+C1523</f>
        <v>3845900.0000000005</v>
      </c>
      <c r="D1524" s="230">
        <f t="shared" si="745"/>
        <v>3300800</v>
      </c>
      <c r="E1524" s="230">
        <f t="shared" si="745"/>
        <v>4055300.0000000005</v>
      </c>
      <c r="F1524" s="230">
        <f t="shared" si="745"/>
        <v>9557300.0000000019</v>
      </c>
      <c r="G1524" s="230">
        <f t="shared" si="745"/>
        <v>10938700</v>
      </c>
      <c r="H1524" s="230">
        <f t="shared" si="745"/>
        <v>10252200</v>
      </c>
      <c r="I1524" s="230">
        <f>I1522+I1523</f>
        <v>43572200</v>
      </c>
      <c r="J1524" s="231">
        <f t="shared" si="738"/>
        <v>6224600</v>
      </c>
    </row>
    <row r="1525" spans="1:10" s="186" customFormat="1" ht="15.75" thickBot="1" x14ac:dyDescent="0.3">
      <c r="A1525" s="204"/>
      <c r="B1525" s="112"/>
      <c r="C1525" s="112"/>
      <c r="D1525" s="112"/>
      <c r="E1525" s="112"/>
      <c r="F1525" s="112"/>
      <c r="G1525" s="112"/>
      <c r="H1525" s="112"/>
      <c r="I1525" s="112"/>
      <c r="J1525" s="205"/>
    </row>
    <row r="1526" spans="1:10" s="186" customFormat="1" ht="27" thickBot="1" x14ac:dyDescent="0.3">
      <c r="A1526"/>
      <c r="B1526" s="1002" t="s">
        <v>322</v>
      </c>
      <c r="C1526" s="1002"/>
      <c r="D1526" s="1002"/>
      <c r="E1526" s="1002"/>
      <c r="F1526" s="1002"/>
      <c r="G1526" s="1002"/>
      <c r="H1526" s="1002"/>
      <c r="I1526"/>
      <c r="J1526"/>
    </row>
    <row r="1527" spans="1:10" s="186" customFormat="1" ht="16.5" thickBot="1" x14ac:dyDescent="0.3">
      <c r="A1527" s="238" t="s">
        <v>2</v>
      </c>
      <c r="B1527" s="239" t="s">
        <v>163</v>
      </c>
      <c r="C1527" s="239" t="s">
        <v>164</v>
      </c>
      <c r="D1527" s="239" t="s">
        <v>323</v>
      </c>
      <c r="E1527" s="239" t="s">
        <v>324</v>
      </c>
      <c r="F1527" s="239" t="s">
        <v>325</v>
      </c>
      <c r="G1527" s="239" t="s">
        <v>326</v>
      </c>
      <c r="H1527" s="239" t="s">
        <v>327</v>
      </c>
      <c r="I1527" s="240" t="s">
        <v>96</v>
      </c>
      <c r="J1527" s="241" t="s">
        <v>97</v>
      </c>
    </row>
    <row r="1528" spans="1:10" s="186" customFormat="1" x14ac:dyDescent="0.25">
      <c r="A1528" s="242" t="s">
        <v>11</v>
      </c>
      <c r="B1528" s="243">
        <v>98</v>
      </c>
      <c r="C1528" s="244">
        <v>95</v>
      </c>
      <c r="D1528" s="244">
        <v>165</v>
      </c>
      <c r="E1528" s="244">
        <f>104+41+16</f>
        <v>161</v>
      </c>
      <c r="F1528" s="244">
        <f>199+135+38</f>
        <v>372</v>
      </c>
      <c r="G1528" s="244">
        <f>240+136+38</f>
        <v>414</v>
      </c>
      <c r="H1528" s="244">
        <f>231+129+40</f>
        <v>400</v>
      </c>
      <c r="I1528" s="244">
        <f>SUM(B1528:H1528)</f>
        <v>1705</v>
      </c>
      <c r="J1528" s="245">
        <f>+I1528/7</f>
        <v>243.57142857142858</v>
      </c>
    </row>
    <row r="1529" spans="1:10" s="186" customFormat="1" x14ac:dyDescent="0.25">
      <c r="A1529" s="246" t="s">
        <v>12</v>
      </c>
      <c r="B1529" s="233">
        <v>54</v>
      </c>
      <c r="C1529" s="13">
        <v>61</v>
      </c>
      <c r="D1529" s="13">
        <v>93</v>
      </c>
      <c r="E1529" s="13">
        <v>71</v>
      </c>
      <c r="F1529" s="86">
        <v>211</v>
      </c>
      <c r="G1529" s="11">
        <v>226</v>
      </c>
      <c r="H1529" s="86">
        <v>213</v>
      </c>
      <c r="I1529" s="11">
        <f>SUM('PEPE SIERRA '!$B1529:$H1529)</f>
        <v>929</v>
      </c>
      <c r="J1529" s="247">
        <f t="shared" ref="J1529:J1534" si="746">I1529/7</f>
        <v>132.71428571428572</v>
      </c>
    </row>
    <row r="1530" spans="1:10" s="186" customFormat="1" x14ac:dyDescent="0.25">
      <c r="A1530" s="246" t="s">
        <v>13</v>
      </c>
      <c r="B1530" s="233">
        <v>0</v>
      </c>
      <c r="C1530" s="13">
        <v>1</v>
      </c>
      <c r="D1530" s="13">
        <v>5</v>
      </c>
      <c r="E1530" s="13">
        <v>7</v>
      </c>
      <c r="F1530" s="11">
        <v>6</v>
      </c>
      <c r="G1530" s="11">
        <v>7</v>
      </c>
      <c r="H1530" s="11">
        <v>7</v>
      </c>
      <c r="I1530" s="11">
        <f>SUM('PEPE SIERRA '!$B1530:$H1530)</f>
        <v>33</v>
      </c>
      <c r="J1530" s="247">
        <f t="shared" si="746"/>
        <v>4.7142857142857144</v>
      </c>
    </row>
    <row r="1531" spans="1:10" s="186" customFormat="1" x14ac:dyDescent="0.25">
      <c r="A1531" s="246" t="s">
        <v>14</v>
      </c>
      <c r="B1531" s="233">
        <v>29</v>
      </c>
      <c r="C1531" s="13">
        <v>25</v>
      </c>
      <c r="D1531" s="13">
        <v>27</v>
      </c>
      <c r="E1531" s="13">
        <v>34</v>
      </c>
      <c r="F1531" s="11">
        <v>63</v>
      </c>
      <c r="G1531" s="11">
        <v>71</v>
      </c>
      <c r="H1531" s="86">
        <v>68</v>
      </c>
      <c r="I1531" s="11">
        <f>SUM('PEPE SIERRA '!$B1531:$H1531)</f>
        <v>317</v>
      </c>
      <c r="J1531" s="247">
        <f t="shared" si="746"/>
        <v>45.285714285714285</v>
      </c>
    </row>
    <row r="1532" spans="1:10" s="186" customFormat="1" x14ac:dyDescent="0.25">
      <c r="A1532" s="246" t="s">
        <v>15</v>
      </c>
      <c r="B1532" s="233">
        <v>0</v>
      </c>
      <c r="C1532" s="13">
        <v>3</v>
      </c>
      <c r="D1532" s="13">
        <v>7</v>
      </c>
      <c r="E1532" s="13">
        <v>9</v>
      </c>
      <c r="F1532" s="11">
        <v>12</v>
      </c>
      <c r="G1532" s="11">
        <v>19</v>
      </c>
      <c r="H1532" s="11">
        <v>15</v>
      </c>
      <c r="I1532" s="11">
        <f>SUM('PEPE SIERRA '!$B1532:$H1532)</f>
        <v>65</v>
      </c>
      <c r="J1532" s="247">
        <f t="shared" si="746"/>
        <v>9.2857142857142865</v>
      </c>
    </row>
    <row r="1533" spans="1:10" s="186" customFormat="1" x14ac:dyDescent="0.25">
      <c r="A1533" s="246" t="s">
        <v>16</v>
      </c>
      <c r="B1533" s="233">
        <v>0</v>
      </c>
      <c r="C1533" s="13">
        <v>0</v>
      </c>
      <c r="D1533" s="13">
        <v>0</v>
      </c>
      <c r="E1533" s="13">
        <v>0</v>
      </c>
      <c r="F1533" s="11">
        <v>1</v>
      </c>
      <c r="G1533" s="11">
        <v>0</v>
      </c>
      <c r="H1533" s="11">
        <v>0</v>
      </c>
      <c r="I1533" s="11">
        <f>SUM('PEPE SIERRA '!$B1533:$H1533)</f>
        <v>1</v>
      </c>
      <c r="J1533" s="247">
        <f t="shared" si="746"/>
        <v>0.14285714285714285</v>
      </c>
    </row>
    <row r="1534" spans="1:10" s="186" customFormat="1" x14ac:dyDescent="0.25">
      <c r="A1534" s="248" t="s">
        <v>17</v>
      </c>
      <c r="B1534" s="249">
        <f>SUM(B1529:B1533)</f>
        <v>83</v>
      </c>
      <c r="C1534" s="192">
        <f t="shared" ref="C1534:I1534" si="747">SUM(C1529:C1533)</f>
        <v>90</v>
      </c>
      <c r="D1534" s="192">
        <f t="shared" si="747"/>
        <v>132</v>
      </c>
      <c r="E1534" s="192">
        <f t="shared" si="747"/>
        <v>121</v>
      </c>
      <c r="F1534" s="192">
        <f t="shared" si="747"/>
        <v>293</v>
      </c>
      <c r="G1534" s="192">
        <f t="shared" si="747"/>
        <v>323</v>
      </c>
      <c r="H1534" s="192">
        <f t="shared" si="747"/>
        <v>303</v>
      </c>
      <c r="I1534" s="192">
        <f t="shared" si="747"/>
        <v>1345</v>
      </c>
      <c r="J1534" s="250">
        <f t="shared" si="746"/>
        <v>192.14285714285714</v>
      </c>
    </row>
    <row r="1535" spans="1:10" s="186" customFormat="1" x14ac:dyDescent="0.25">
      <c r="A1535" s="246" t="s">
        <v>18</v>
      </c>
      <c r="B1535" s="234">
        <v>0.73</v>
      </c>
      <c r="C1535" s="235">
        <v>0.77</v>
      </c>
      <c r="D1535" s="235">
        <v>0.79</v>
      </c>
      <c r="E1535" s="236">
        <v>0.68</v>
      </c>
      <c r="F1535" s="30">
        <v>0.76</v>
      </c>
      <c r="G1535" s="30">
        <v>0.73</v>
      </c>
      <c r="H1535" s="30">
        <v>0.73</v>
      </c>
      <c r="I1535" s="30">
        <f>I1542/I1547</f>
        <v>0.7399392550345667</v>
      </c>
      <c r="J1535" s="251">
        <f>J1542/J1547</f>
        <v>0.7399392550345667</v>
      </c>
    </row>
    <row r="1536" spans="1:10" s="186" customFormat="1" x14ac:dyDescent="0.25">
      <c r="A1536" s="246" t="s">
        <v>19</v>
      </c>
      <c r="B1536" s="234">
        <v>0</v>
      </c>
      <c r="C1536" s="235">
        <v>0.01</v>
      </c>
      <c r="D1536" s="235">
        <v>0.03</v>
      </c>
      <c r="E1536" s="236">
        <v>0.05</v>
      </c>
      <c r="F1536" s="30">
        <v>0.02</v>
      </c>
      <c r="G1536" s="30">
        <v>0.02</v>
      </c>
      <c r="H1536" s="30">
        <v>0.02</v>
      </c>
      <c r="I1536" s="30">
        <f>I1543/I1547</f>
        <v>2.2104499407452651E-2</v>
      </c>
      <c r="J1536" s="251">
        <f>J1543/J1547</f>
        <v>2.2104499407452651E-2</v>
      </c>
    </row>
    <row r="1537" spans="1:10" s="186" customFormat="1" x14ac:dyDescent="0.25">
      <c r="A1537" s="246" t="s">
        <v>20</v>
      </c>
      <c r="B1537" s="234">
        <v>0.27</v>
      </c>
      <c r="C1537" s="235">
        <v>0.2</v>
      </c>
      <c r="D1537" s="235">
        <v>0.14000000000000001</v>
      </c>
      <c r="E1537" s="236">
        <v>0.19</v>
      </c>
      <c r="F1537" s="30">
        <v>0.18</v>
      </c>
      <c r="G1537" s="30">
        <v>0.19</v>
      </c>
      <c r="H1537" s="30">
        <v>0.21</v>
      </c>
      <c r="I1537" s="30">
        <f>I1544/I1547</f>
        <v>0.19256244452382595</v>
      </c>
      <c r="J1537" s="251">
        <f>J1544/J1547</f>
        <v>0.19256244452382598</v>
      </c>
    </row>
    <row r="1538" spans="1:10" s="186" customFormat="1" x14ac:dyDescent="0.25">
      <c r="A1538" s="246" t="s">
        <v>21</v>
      </c>
      <c r="B1538" s="234">
        <v>0</v>
      </c>
      <c r="C1538" s="235">
        <v>0.02</v>
      </c>
      <c r="D1538" s="235">
        <v>0.04</v>
      </c>
      <c r="E1538" s="236">
        <v>0.08</v>
      </c>
      <c r="F1538" s="30">
        <v>0.03</v>
      </c>
      <c r="G1538" s="30">
        <v>0.06</v>
      </c>
      <c r="H1538" s="30">
        <v>0.04</v>
      </c>
      <c r="I1538" s="30">
        <f>I1545/I1547</f>
        <v>4.3171820862128486E-2</v>
      </c>
      <c r="J1538" s="251">
        <f>J1545/J1547</f>
        <v>4.3171820862128486E-2</v>
      </c>
    </row>
    <row r="1539" spans="1:10" s="186" customFormat="1" x14ac:dyDescent="0.25">
      <c r="A1539" s="246" t="s">
        <v>22</v>
      </c>
      <c r="B1539" s="234">
        <v>0</v>
      </c>
      <c r="C1539" s="235">
        <v>0</v>
      </c>
      <c r="D1539" s="235">
        <v>0</v>
      </c>
      <c r="E1539" s="236">
        <v>0</v>
      </c>
      <c r="F1539" s="30">
        <v>0.01</v>
      </c>
      <c r="G1539" s="30">
        <v>0</v>
      </c>
      <c r="H1539" s="30">
        <v>0</v>
      </c>
      <c r="I1539" s="30">
        <f>I1546/I1547</f>
        <v>2.2219801720262887E-3</v>
      </c>
      <c r="J1539" s="251">
        <f>J1546/J1547</f>
        <v>2.2219801720262892E-3</v>
      </c>
    </row>
    <row r="1540" spans="1:10" s="186" customFormat="1" x14ac:dyDescent="0.25">
      <c r="A1540" s="252" t="s">
        <v>23</v>
      </c>
      <c r="B1540" s="253">
        <f t="shared" ref="B1540:J1540" si="748">B1551/B1534</f>
        <v>33967.469879518081</v>
      </c>
      <c r="C1540" s="66">
        <f t="shared" si="748"/>
        <v>28865.555555555555</v>
      </c>
      <c r="D1540" s="66">
        <f t="shared" si="748"/>
        <v>36927.272727272728</v>
      </c>
      <c r="E1540" s="66">
        <f t="shared" si="748"/>
        <v>37861.157024793385</v>
      </c>
      <c r="F1540" s="66">
        <f t="shared" si="748"/>
        <v>37975.767918088743</v>
      </c>
      <c r="G1540" s="66">
        <f t="shared" si="748"/>
        <v>38503.095975232201</v>
      </c>
      <c r="H1540" s="66">
        <f t="shared" si="748"/>
        <v>38246.864686468645</v>
      </c>
      <c r="I1540" s="66">
        <f t="shared" si="748"/>
        <v>37193.308550185873</v>
      </c>
      <c r="J1540" s="254">
        <f t="shared" si="748"/>
        <v>37193.308550185873</v>
      </c>
    </row>
    <row r="1541" spans="1:10" s="186" customFormat="1" x14ac:dyDescent="0.25">
      <c r="A1541" s="252" t="s">
        <v>24</v>
      </c>
      <c r="B1541" s="253">
        <f t="shared" ref="B1541:I1541" si="749">+B1551/B1528</f>
        <v>28768.36734693878</v>
      </c>
      <c r="C1541" s="66">
        <f t="shared" si="749"/>
        <v>27346.315789473683</v>
      </c>
      <c r="D1541" s="66">
        <f t="shared" si="749"/>
        <v>29541.81818181818</v>
      </c>
      <c r="E1541" s="66">
        <f t="shared" si="749"/>
        <v>28454.658385093167</v>
      </c>
      <c r="F1541" s="66">
        <f t="shared" si="749"/>
        <v>29911.02150537635</v>
      </c>
      <c r="G1541" s="66">
        <f t="shared" si="749"/>
        <v>30039.855072463772</v>
      </c>
      <c r="H1541" s="66">
        <f t="shared" si="749"/>
        <v>28972</v>
      </c>
      <c r="I1541" s="66">
        <f t="shared" si="749"/>
        <v>29340.175953079179</v>
      </c>
      <c r="J1541" s="254">
        <f>J1551/J1528</f>
        <v>29340.175953079179</v>
      </c>
    </row>
    <row r="1542" spans="1:10" s="186" customFormat="1" x14ac:dyDescent="0.25">
      <c r="A1542" s="246" t="s">
        <v>25</v>
      </c>
      <c r="B1542" s="255">
        <f t="shared" ref="B1542:H1542" si="750">B1547*B1535</f>
        <v>1689264.5551724141</v>
      </c>
      <c r="C1542" s="92">
        <f t="shared" si="750"/>
        <v>1623247.7534482761</v>
      </c>
      <c r="D1542" s="92">
        <f t="shared" si="750"/>
        <v>3161306.6327586211</v>
      </c>
      <c r="E1542" s="92">
        <f t="shared" si="750"/>
        <v>2581487.6344827591</v>
      </c>
      <c r="F1542" s="92">
        <f t="shared" si="750"/>
        <v>6944462.1310344841</v>
      </c>
      <c r="G1542" s="92">
        <f t="shared" si="750"/>
        <v>7470886.203448277</v>
      </c>
      <c r="H1542" s="92">
        <f t="shared" si="750"/>
        <v>6957870.7741379309</v>
      </c>
      <c r="I1542" s="31">
        <f t="shared" ref="I1542:I1547" si="751">SUM(B1542:H1542)</f>
        <v>30428525.684482761</v>
      </c>
      <c r="J1542" s="256">
        <f t="shared" ref="J1542:J1551" si="752">I1542/7</f>
        <v>4346932.2406403944</v>
      </c>
    </row>
    <row r="1543" spans="1:10" s="186" customFormat="1" x14ac:dyDescent="0.25">
      <c r="A1543" s="246" t="s">
        <v>26</v>
      </c>
      <c r="B1543" s="255">
        <f t="shared" ref="B1543:H1543" si="753">B1547*B1536</f>
        <v>0</v>
      </c>
      <c r="C1543" s="92">
        <f t="shared" si="753"/>
        <v>21081.139655172414</v>
      </c>
      <c r="D1543" s="92">
        <f t="shared" si="753"/>
        <v>120049.61896551723</v>
      </c>
      <c r="E1543" s="92">
        <f t="shared" si="753"/>
        <v>189815.26724137933</v>
      </c>
      <c r="F1543" s="92">
        <f t="shared" si="753"/>
        <v>182749.00344827588</v>
      </c>
      <c r="G1543" s="92">
        <f t="shared" si="753"/>
        <v>204681.81379310347</v>
      </c>
      <c r="H1543" s="92">
        <f t="shared" si="753"/>
        <v>190626.59655172416</v>
      </c>
      <c r="I1543" s="31">
        <f t="shared" si="751"/>
        <v>909003.43965517241</v>
      </c>
      <c r="J1543" s="256">
        <f t="shared" si="752"/>
        <v>129857.6342364532</v>
      </c>
    </row>
    <row r="1544" spans="1:10" s="186" customFormat="1" x14ac:dyDescent="0.25">
      <c r="A1544" s="246" t="s">
        <v>27</v>
      </c>
      <c r="B1544" s="255">
        <f t="shared" ref="B1544:H1544" si="754">B1547*B1537</f>
        <v>624796.4793103449</v>
      </c>
      <c r="C1544" s="92">
        <f t="shared" si="754"/>
        <v>421622.79310344835</v>
      </c>
      <c r="D1544" s="92">
        <f t="shared" si="754"/>
        <v>560231.55517241382</v>
      </c>
      <c r="E1544" s="92">
        <f t="shared" si="754"/>
        <v>721298.01551724144</v>
      </c>
      <c r="F1544" s="92">
        <f t="shared" si="754"/>
        <v>1644741.0310344829</v>
      </c>
      <c r="G1544" s="92">
        <f t="shared" si="754"/>
        <v>1944477.2310344831</v>
      </c>
      <c r="H1544" s="92">
        <f t="shared" si="754"/>
        <v>2001579.2637931034</v>
      </c>
      <c r="I1544" s="31">
        <f t="shared" si="751"/>
        <v>7918746.3689655177</v>
      </c>
      <c r="J1544" s="256">
        <f t="shared" si="752"/>
        <v>1131249.4812807883</v>
      </c>
    </row>
    <row r="1545" spans="1:10" s="186" customFormat="1" x14ac:dyDescent="0.25">
      <c r="A1545" s="246" t="s">
        <v>28</v>
      </c>
      <c r="B1545" s="255">
        <f t="shared" ref="B1545:H1545" si="755">B1547*B1538</f>
        <v>0</v>
      </c>
      <c r="C1545" s="92">
        <f t="shared" si="755"/>
        <v>42162.279310344828</v>
      </c>
      <c r="D1545" s="92">
        <f t="shared" si="755"/>
        <v>160066.15862068968</v>
      </c>
      <c r="E1545" s="92">
        <f t="shared" si="755"/>
        <v>303704.42758620693</v>
      </c>
      <c r="F1545" s="92">
        <f t="shared" si="755"/>
        <v>274123.50517241383</v>
      </c>
      <c r="G1545" s="92">
        <f t="shared" si="755"/>
        <v>614045.44137931045</v>
      </c>
      <c r="H1545" s="92">
        <f t="shared" si="755"/>
        <v>381253.19310344831</v>
      </c>
      <c r="I1545" s="31">
        <f t="shared" si="751"/>
        <v>1775355.005172414</v>
      </c>
      <c r="J1545" s="256">
        <f t="shared" si="752"/>
        <v>253622.14359605915</v>
      </c>
    </row>
    <row r="1546" spans="1:10" s="186" customFormat="1" x14ac:dyDescent="0.25">
      <c r="A1546" s="246" t="s">
        <v>29</v>
      </c>
      <c r="B1546" s="255">
        <f t="shared" ref="B1546:H1546" si="756">B1547*B1539</f>
        <v>0</v>
      </c>
      <c r="C1546" s="92">
        <f t="shared" si="756"/>
        <v>0</v>
      </c>
      <c r="D1546" s="92">
        <f t="shared" si="756"/>
        <v>0</v>
      </c>
      <c r="E1546" s="92">
        <f t="shared" si="756"/>
        <v>0</v>
      </c>
      <c r="F1546" s="92">
        <f t="shared" si="756"/>
        <v>91374.501724137939</v>
      </c>
      <c r="G1546" s="92">
        <f t="shared" si="756"/>
        <v>0</v>
      </c>
      <c r="H1546" s="92">
        <f t="shared" si="756"/>
        <v>0</v>
      </c>
      <c r="I1546" s="31">
        <f t="shared" si="751"/>
        <v>91374.501724137939</v>
      </c>
      <c r="J1546" s="256">
        <f t="shared" si="752"/>
        <v>13053.500246305421</v>
      </c>
    </row>
    <row r="1547" spans="1:10" s="186" customFormat="1" x14ac:dyDescent="0.25">
      <c r="A1547" s="257" t="s">
        <v>30</v>
      </c>
      <c r="B1547" s="258">
        <f>(2819300/1.16)-B1548</f>
        <v>2314061.034482759</v>
      </c>
      <c r="C1547" s="237">
        <f>(2597900/1.16)-C1548</f>
        <v>2108113.9655172415</v>
      </c>
      <c r="D1547" s="237">
        <f>(4874400/1.16)-D1548</f>
        <v>4001653.9655172415</v>
      </c>
      <c r="E1547" s="237">
        <f>(4581200/1.16)-E1548</f>
        <v>3796305.3448275863</v>
      </c>
      <c r="F1547" s="237">
        <f>(11126900/1.16)-F1548</f>
        <v>9137450.1724137943</v>
      </c>
      <c r="G1547" s="237">
        <f>(12436500/1.16)-G1548</f>
        <v>10234090.689655174</v>
      </c>
      <c r="H1547" s="237">
        <f>(11588800/1.16)-H1548</f>
        <v>9531329.8275862075</v>
      </c>
      <c r="I1547" s="197">
        <f t="shared" si="751"/>
        <v>41123005</v>
      </c>
      <c r="J1547" s="259">
        <f t="shared" si="752"/>
        <v>5874715</v>
      </c>
    </row>
    <row r="1548" spans="1:10" s="186" customFormat="1" x14ac:dyDescent="0.25">
      <c r="A1548" s="246" t="s">
        <v>31</v>
      </c>
      <c r="B1548" s="255">
        <f t="shared" ref="B1548:I1548" si="757">2155*B1529</f>
        <v>116370</v>
      </c>
      <c r="C1548" s="92">
        <f t="shared" si="757"/>
        <v>131455</v>
      </c>
      <c r="D1548" s="92">
        <f t="shared" si="757"/>
        <v>200415</v>
      </c>
      <c r="E1548" s="92">
        <f t="shared" si="757"/>
        <v>153005</v>
      </c>
      <c r="F1548" s="92">
        <f t="shared" si="757"/>
        <v>454705</v>
      </c>
      <c r="G1548" s="31">
        <f t="shared" si="757"/>
        <v>487030</v>
      </c>
      <c r="H1548" s="31">
        <f t="shared" si="757"/>
        <v>459015</v>
      </c>
      <c r="I1548" s="31">
        <f t="shared" si="757"/>
        <v>2001995</v>
      </c>
      <c r="J1548" s="256">
        <f t="shared" si="752"/>
        <v>285999.28571428574</v>
      </c>
    </row>
    <row r="1549" spans="1:10" s="186" customFormat="1" x14ac:dyDescent="0.25">
      <c r="A1549" s="260" t="s">
        <v>32</v>
      </c>
      <c r="B1549" s="261">
        <f>B1548+B1547</f>
        <v>2430431.034482759</v>
      </c>
      <c r="C1549" s="199">
        <f>C1548+C1547</f>
        <v>2239568.9655172415</v>
      </c>
      <c r="D1549" s="199">
        <f>D1548+D1547</f>
        <v>4202068.9655172415</v>
      </c>
      <c r="E1549" s="199">
        <f>E1548+E1547</f>
        <v>3949310.3448275863</v>
      </c>
      <c r="F1549" s="199">
        <f>F1547+F1548</f>
        <v>9592155.1724137943</v>
      </c>
      <c r="G1549" s="199">
        <f>G1548+G1547</f>
        <v>10721120.689655174</v>
      </c>
      <c r="H1549" s="199">
        <f>H1548+H1547</f>
        <v>9990344.8275862075</v>
      </c>
      <c r="I1549" s="199">
        <f>I1547+I1548</f>
        <v>43125000</v>
      </c>
      <c r="J1549" s="262">
        <f t="shared" si="752"/>
        <v>6160714.2857142854</v>
      </c>
    </row>
    <row r="1550" spans="1:10" s="186" customFormat="1" x14ac:dyDescent="0.25">
      <c r="A1550" s="246" t="s">
        <v>33</v>
      </c>
      <c r="B1550" s="263">
        <f>B1549*16%</f>
        <v>388868.96551724145</v>
      </c>
      <c r="C1550" s="94">
        <f t="shared" ref="C1550:H1550" si="758">C1549*16%</f>
        <v>358331.03448275867</v>
      </c>
      <c r="D1550" s="94">
        <f t="shared" si="758"/>
        <v>672331.03448275861</v>
      </c>
      <c r="E1550" s="94">
        <f t="shared" si="758"/>
        <v>631889.6551724138</v>
      </c>
      <c r="F1550" s="94">
        <f t="shared" si="758"/>
        <v>1534744.8275862071</v>
      </c>
      <c r="G1550" s="94">
        <f t="shared" si="758"/>
        <v>1715379.3103448278</v>
      </c>
      <c r="H1550" s="94">
        <f t="shared" si="758"/>
        <v>1598455.1724137932</v>
      </c>
      <c r="I1550" s="94">
        <f>I1549*16%</f>
        <v>6900000</v>
      </c>
      <c r="J1550" s="256">
        <f t="shared" si="752"/>
        <v>985714.28571428568</v>
      </c>
    </row>
    <row r="1551" spans="1:10" s="186" customFormat="1" ht="15.75" thickBot="1" x14ac:dyDescent="0.3">
      <c r="A1551" s="264" t="s">
        <v>34</v>
      </c>
      <c r="B1551" s="265">
        <f>B1549+B1550</f>
        <v>2819300.0000000005</v>
      </c>
      <c r="C1551" s="266">
        <f t="shared" ref="C1551:H1551" si="759">C1549+C1550</f>
        <v>2597900</v>
      </c>
      <c r="D1551" s="266">
        <f t="shared" si="759"/>
        <v>4874400</v>
      </c>
      <c r="E1551" s="266">
        <f t="shared" si="759"/>
        <v>4581200</v>
      </c>
      <c r="F1551" s="266">
        <f t="shared" si="759"/>
        <v>11126900.000000002</v>
      </c>
      <c r="G1551" s="266">
        <f t="shared" si="759"/>
        <v>12436500.000000002</v>
      </c>
      <c r="H1551" s="266">
        <f t="shared" si="759"/>
        <v>11588800</v>
      </c>
      <c r="I1551" s="266">
        <f>I1549+I1550</f>
        <v>50025000</v>
      </c>
      <c r="J1551" s="267">
        <f t="shared" si="752"/>
        <v>7146428.5714285718</v>
      </c>
    </row>
    <row r="1552" spans="1:10" s="186" customFormat="1" ht="15.75" thickBot="1" x14ac:dyDescent="0.3">
      <c r="A1552" s="204"/>
      <c r="B1552" s="112"/>
      <c r="C1552" s="112"/>
      <c r="D1552" s="112"/>
      <c r="E1552" s="112"/>
      <c r="F1552" s="112"/>
      <c r="G1552" s="112"/>
      <c r="H1552" s="112"/>
      <c r="I1552" s="112"/>
      <c r="J1552" s="205"/>
    </row>
    <row r="1553" spans="1:10" s="186" customFormat="1" ht="27" thickBot="1" x14ac:dyDescent="0.3">
      <c r="A1553"/>
      <c r="B1553" s="1002" t="s">
        <v>328</v>
      </c>
      <c r="C1553" s="1002"/>
      <c r="D1553" s="1002"/>
      <c r="E1553" s="1002"/>
      <c r="F1553" s="1002"/>
      <c r="G1553" s="1002"/>
      <c r="H1553" s="1002"/>
      <c r="I1553"/>
      <c r="J1553"/>
    </row>
    <row r="1554" spans="1:10" s="186" customFormat="1" ht="16.5" thickBot="1" x14ac:dyDescent="0.3">
      <c r="A1554" s="238" t="s">
        <v>2</v>
      </c>
      <c r="B1554" s="239" t="s">
        <v>329</v>
      </c>
      <c r="C1554" s="239" t="s">
        <v>330</v>
      </c>
      <c r="D1554" s="239" t="s">
        <v>331</v>
      </c>
      <c r="E1554" s="239" t="s">
        <v>332</v>
      </c>
      <c r="F1554" s="239" t="s">
        <v>333</v>
      </c>
      <c r="G1554" s="239" t="s">
        <v>334</v>
      </c>
      <c r="H1554" s="239" t="s">
        <v>335</v>
      </c>
      <c r="I1554" s="240" t="s">
        <v>96</v>
      </c>
      <c r="J1554" s="241" t="s">
        <v>97</v>
      </c>
    </row>
    <row r="1555" spans="1:10" s="186" customFormat="1" x14ac:dyDescent="0.25">
      <c r="A1555" s="242" t="s">
        <v>11</v>
      </c>
      <c r="B1555" s="243">
        <f>82+30+14</f>
        <v>126</v>
      </c>
      <c r="C1555" s="244">
        <f>89+30+7</f>
        <v>126</v>
      </c>
      <c r="D1555" s="244">
        <f>90+34+24</f>
        <v>148</v>
      </c>
      <c r="E1555" s="244">
        <f>44+19+11</f>
        <v>74</v>
      </c>
      <c r="F1555" s="244">
        <f>215+120+43</f>
        <v>378</v>
      </c>
      <c r="G1555" s="244">
        <f>222+139+48</f>
        <v>409</v>
      </c>
      <c r="H1555" s="244">
        <f>190+131+46</f>
        <v>367</v>
      </c>
      <c r="I1555" s="244">
        <f>SUM(B1555:H1555)</f>
        <v>1628</v>
      </c>
      <c r="J1555" s="245">
        <f>+I1555/7</f>
        <v>232.57142857142858</v>
      </c>
    </row>
    <row r="1556" spans="1:10" s="186" customFormat="1" x14ac:dyDescent="0.25">
      <c r="A1556" s="246" t="s">
        <v>12</v>
      </c>
      <c r="B1556" s="233">
        <v>58</v>
      </c>
      <c r="C1556" s="13">
        <v>61</v>
      </c>
      <c r="D1556" s="13">
        <v>76</v>
      </c>
      <c r="E1556" s="13">
        <v>42</v>
      </c>
      <c r="F1556" s="86">
        <v>221</v>
      </c>
      <c r="G1556" s="11">
        <v>236</v>
      </c>
      <c r="H1556" s="86">
        <v>205</v>
      </c>
      <c r="I1556" s="11">
        <f>SUM('PEPE SIERRA '!$B1556:$H1556)</f>
        <v>899</v>
      </c>
      <c r="J1556" s="247">
        <f t="shared" ref="J1556:J1561" si="760">I1556/7</f>
        <v>128.42857142857142</v>
      </c>
    </row>
    <row r="1557" spans="1:10" s="186" customFormat="1" x14ac:dyDescent="0.25">
      <c r="A1557" s="246" t="s">
        <v>13</v>
      </c>
      <c r="B1557" s="233">
        <v>2</v>
      </c>
      <c r="C1557" s="13">
        <v>2</v>
      </c>
      <c r="D1557" s="13">
        <v>2</v>
      </c>
      <c r="E1557" s="13">
        <v>2</v>
      </c>
      <c r="F1557" s="11">
        <v>4</v>
      </c>
      <c r="G1557" s="11">
        <v>5</v>
      </c>
      <c r="H1557" s="11">
        <v>9</v>
      </c>
      <c r="I1557" s="11">
        <f>SUM('PEPE SIERRA '!$B1557:$H1557)</f>
        <v>26</v>
      </c>
      <c r="J1557" s="247">
        <f t="shared" si="760"/>
        <v>3.7142857142857144</v>
      </c>
    </row>
    <row r="1558" spans="1:10" s="186" customFormat="1" x14ac:dyDescent="0.25">
      <c r="A1558" s="246" t="s">
        <v>14</v>
      </c>
      <c r="B1558" s="233">
        <v>23</v>
      </c>
      <c r="C1558" s="13">
        <v>40</v>
      </c>
      <c r="D1558" s="13">
        <v>27</v>
      </c>
      <c r="E1558" s="13">
        <v>15</v>
      </c>
      <c r="F1558" s="11">
        <v>53</v>
      </c>
      <c r="G1558" s="11">
        <v>48</v>
      </c>
      <c r="H1558" s="86">
        <v>64</v>
      </c>
      <c r="I1558" s="11">
        <f>SUM('PEPE SIERRA '!$B1558:$H1558)</f>
        <v>270</v>
      </c>
      <c r="J1558" s="247">
        <f t="shared" si="760"/>
        <v>38.571428571428569</v>
      </c>
    </row>
    <row r="1559" spans="1:10" s="186" customFormat="1" x14ac:dyDescent="0.25">
      <c r="A1559" s="246" t="s">
        <v>15</v>
      </c>
      <c r="B1559" s="233">
        <v>8</v>
      </c>
      <c r="C1559" s="13">
        <v>2</v>
      </c>
      <c r="D1559" s="13">
        <v>1</v>
      </c>
      <c r="E1559" s="13">
        <v>1</v>
      </c>
      <c r="F1559" s="11">
        <v>17</v>
      </c>
      <c r="G1559" s="11">
        <v>24</v>
      </c>
      <c r="H1559" s="11">
        <v>7</v>
      </c>
      <c r="I1559" s="11">
        <f>SUM('PEPE SIERRA '!$B1559:$H1559)</f>
        <v>60</v>
      </c>
      <c r="J1559" s="247">
        <f t="shared" si="760"/>
        <v>8.5714285714285712</v>
      </c>
    </row>
    <row r="1560" spans="1:10" s="186" customFormat="1" x14ac:dyDescent="0.25">
      <c r="A1560" s="246" t="s">
        <v>16</v>
      </c>
      <c r="B1560" s="233">
        <v>0</v>
      </c>
      <c r="C1560" s="13">
        <v>0</v>
      </c>
      <c r="D1560" s="13">
        <v>0</v>
      </c>
      <c r="E1560" s="13">
        <v>0</v>
      </c>
      <c r="F1560" s="11">
        <v>0</v>
      </c>
      <c r="G1560" s="11">
        <v>1</v>
      </c>
      <c r="H1560" s="11">
        <v>0</v>
      </c>
      <c r="I1560" s="11">
        <f>SUM('PEPE SIERRA '!$B1560:$H1560)</f>
        <v>1</v>
      </c>
      <c r="J1560" s="247">
        <f t="shared" si="760"/>
        <v>0.14285714285714285</v>
      </c>
    </row>
    <row r="1561" spans="1:10" s="186" customFormat="1" x14ac:dyDescent="0.25">
      <c r="A1561" s="248" t="s">
        <v>17</v>
      </c>
      <c r="B1561" s="249">
        <f>SUM(B1556:B1560)</f>
        <v>91</v>
      </c>
      <c r="C1561" s="192">
        <f t="shared" ref="C1561:I1561" si="761">SUM(C1556:C1560)</f>
        <v>105</v>
      </c>
      <c r="D1561" s="192">
        <f t="shared" si="761"/>
        <v>106</v>
      </c>
      <c r="E1561" s="192">
        <f t="shared" si="761"/>
        <v>60</v>
      </c>
      <c r="F1561" s="192">
        <f t="shared" si="761"/>
        <v>295</v>
      </c>
      <c r="G1561" s="192">
        <f t="shared" si="761"/>
        <v>314</v>
      </c>
      <c r="H1561" s="192">
        <f t="shared" si="761"/>
        <v>285</v>
      </c>
      <c r="I1561" s="192">
        <f t="shared" si="761"/>
        <v>1256</v>
      </c>
      <c r="J1561" s="250">
        <f t="shared" si="760"/>
        <v>179.42857142857142</v>
      </c>
    </row>
    <row r="1562" spans="1:10" s="186" customFormat="1" x14ac:dyDescent="0.25">
      <c r="A1562" s="246" t="s">
        <v>18</v>
      </c>
      <c r="B1562" s="234">
        <v>0.68</v>
      </c>
      <c r="C1562" s="235">
        <v>0.68</v>
      </c>
      <c r="D1562" s="235">
        <v>0.76</v>
      </c>
      <c r="E1562" s="236">
        <v>0.73</v>
      </c>
      <c r="F1562" s="30">
        <v>0.8</v>
      </c>
      <c r="G1562" s="30">
        <v>0.77</v>
      </c>
      <c r="H1562" s="30">
        <v>0.77</v>
      </c>
      <c r="I1562" s="30">
        <f>I1569/I1574</f>
        <v>0.76049364935265407</v>
      </c>
      <c r="J1562" s="251">
        <f>J1569/J1574</f>
        <v>0.76049364935265407</v>
      </c>
    </row>
    <row r="1563" spans="1:10" s="186" customFormat="1" x14ac:dyDescent="0.25">
      <c r="A1563" s="246" t="s">
        <v>19</v>
      </c>
      <c r="B1563" s="234">
        <v>0.01</v>
      </c>
      <c r="C1563" s="235">
        <v>0.02</v>
      </c>
      <c r="D1563" s="235">
        <v>0.02</v>
      </c>
      <c r="E1563" s="236">
        <v>0.03</v>
      </c>
      <c r="F1563" s="30">
        <v>0.01</v>
      </c>
      <c r="G1563" s="30">
        <v>0.01</v>
      </c>
      <c r="H1563" s="30">
        <v>0.02</v>
      </c>
      <c r="I1563" s="30">
        <f>I1570/I1574</f>
        <v>1.4866499386761446E-2</v>
      </c>
      <c r="J1563" s="251">
        <f>J1570/J1574</f>
        <v>1.4866499386761444E-2</v>
      </c>
    </row>
    <row r="1564" spans="1:10" s="186" customFormat="1" x14ac:dyDescent="0.25">
      <c r="A1564" s="246" t="s">
        <v>20</v>
      </c>
      <c r="B1564" s="234">
        <v>0.23</v>
      </c>
      <c r="C1564" s="235">
        <v>0.28000000000000003</v>
      </c>
      <c r="D1564" s="235">
        <v>0.22</v>
      </c>
      <c r="E1564" s="236">
        <v>0.22</v>
      </c>
      <c r="F1564" s="30">
        <v>0.14000000000000001</v>
      </c>
      <c r="G1564" s="30">
        <v>0.14000000000000001</v>
      </c>
      <c r="H1564" s="30">
        <v>0.18</v>
      </c>
      <c r="I1564" s="30">
        <f>I1571/I1574</f>
        <v>0.1775372831045644</v>
      </c>
      <c r="J1564" s="251">
        <f>J1571/J1574</f>
        <v>0.1775372831045644</v>
      </c>
    </row>
    <row r="1565" spans="1:10" s="186" customFormat="1" x14ac:dyDescent="0.25">
      <c r="A1565" s="246" t="s">
        <v>21</v>
      </c>
      <c r="B1565" s="234">
        <v>0.08</v>
      </c>
      <c r="C1565" s="235">
        <v>0.02</v>
      </c>
      <c r="D1565" s="235">
        <v>0</v>
      </c>
      <c r="E1565" s="236">
        <v>0.02</v>
      </c>
      <c r="F1565" s="30">
        <v>0.05</v>
      </c>
      <c r="G1565" s="30">
        <v>7.0000000000000007E-2</v>
      </c>
      <c r="H1565" s="30">
        <v>0.03</v>
      </c>
      <c r="I1565" s="30">
        <f>I1572/I1574</f>
        <v>4.4583278038245452E-2</v>
      </c>
      <c r="J1565" s="251">
        <f>J1572/J1574</f>
        <v>4.4583278038245452E-2</v>
      </c>
    </row>
    <row r="1566" spans="1:10" s="186" customFormat="1" x14ac:dyDescent="0.25">
      <c r="A1566" s="246" t="s">
        <v>22</v>
      </c>
      <c r="B1566" s="234">
        <v>0</v>
      </c>
      <c r="C1566" s="235">
        <v>0</v>
      </c>
      <c r="D1566" s="235">
        <v>0</v>
      </c>
      <c r="E1566" s="236">
        <v>0</v>
      </c>
      <c r="F1566" s="30">
        <v>0</v>
      </c>
      <c r="G1566" s="30">
        <v>0.01</v>
      </c>
      <c r="H1566" s="30">
        <v>0</v>
      </c>
      <c r="I1566" s="30">
        <f>I1573/I1574</f>
        <v>2.5192901177745913E-3</v>
      </c>
      <c r="J1566" s="251">
        <f>J1573/J1574</f>
        <v>2.5192901177745913E-3</v>
      </c>
    </row>
    <row r="1567" spans="1:10" s="186" customFormat="1" x14ac:dyDescent="0.25">
      <c r="A1567" s="252" t="s">
        <v>23</v>
      </c>
      <c r="B1567" s="253">
        <f t="shared" ref="B1567:J1567" si="762">B1578/B1561</f>
        <v>39061.538461538461</v>
      </c>
      <c r="C1567" s="66">
        <f t="shared" si="762"/>
        <v>35125.71428571429</v>
      </c>
      <c r="D1567" s="66">
        <f t="shared" si="762"/>
        <v>39915.094339622643</v>
      </c>
      <c r="E1567" s="66">
        <f t="shared" si="762"/>
        <v>37485.000000000007</v>
      </c>
      <c r="F1567" s="66">
        <f t="shared" si="762"/>
        <v>37895.593220338982</v>
      </c>
      <c r="G1567" s="66">
        <f t="shared" si="762"/>
        <v>38377.070063694271</v>
      </c>
      <c r="H1567" s="66">
        <f t="shared" si="762"/>
        <v>37844.210526315786</v>
      </c>
      <c r="I1567" s="66">
        <f t="shared" si="762"/>
        <v>38008.041401273891</v>
      </c>
      <c r="J1567" s="254">
        <f t="shared" si="762"/>
        <v>38008.041401273898</v>
      </c>
    </row>
    <row r="1568" spans="1:10" s="186" customFormat="1" x14ac:dyDescent="0.25">
      <c r="A1568" s="252" t="s">
        <v>24</v>
      </c>
      <c r="B1568" s="253">
        <f t="shared" ref="B1568:I1568" si="763">+B1578/B1555</f>
        <v>28211.111111111109</v>
      </c>
      <c r="C1568" s="66">
        <f t="shared" si="763"/>
        <v>29271.428571428576</v>
      </c>
      <c r="D1568" s="66">
        <f t="shared" si="763"/>
        <v>28587.837837837837</v>
      </c>
      <c r="E1568" s="66">
        <f t="shared" si="763"/>
        <v>30393.243243243251</v>
      </c>
      <c r="F1568" s="66">
        <f t="shared" si="763"/>
        <v>29574.603174603173</v>
      </c>
      <c r="G1568" s="66">
        <f t="shared" si="763"/>
        <v>29463.080684596578</v>
      </c>
      <c r="H1568" s="66">
        <f t="shared" si="763"/>
        <v>29388.555858310625</v>
      </c>
      <c r="I1568" s="66">
        <f t="shared" si="763"/>
        <v>29323.157248157251</v>
      </c>
      <c r="J1568" s="254">
        <f>J1578/J1555</f>
        <v>29323.157248157251</v>
      </c>
    </row>
    <row r="1569" spans="1:10" s="186" customFormat="1" x14ac:dyDescent="0.25">
      <c r="A1569" s="246" t="s">
        <v>25</v>
      </c>
      <c r="B1569" s="255">
        <f t="shared" ref="B1569:H1569" si="764">B1574*B1562</f>
        <v>1998737.8344827588</v>
      </c>
      <c r="C1569" s="92">
        <f t="shared" si="764"/>
        <v>2072658.8758620694</v>
      </c>
      <c r="D1569" s="92">
        <f t="shared" si="764"/>
        <v>2647561.6827586209</v>
      </c>
      <c r="E1569" s="92">
        <f t="shared" si="764"/>
        <v>1349309.5965517242</v>
      </c>
      <c r="F1569" s="92">
        <f t="shared" si="764"/>
        <v>7328789.1034482764</v>
      </c>
      <c r="G1569" s="92">
        <f t="shared" si="764"/>
        <v>7607365.8137931041</v>
      </c>
      <c r="H1569" s="92">
        <f t="shared" si="764"/>
        <v>6819240.1465517245</v>
      </c>
      <c r="I1569" s="31">
        <f t="shared" ref="I1569:I1574" si="765">SUM(B1569:H1569)</f>
        <v>29823663.053448278</v>
      </c>
      <c r="J1569" s="256">
        <f t="shared" ref="J1569:J1578" si="766">I1569/7</f>
        <v>4260523.2933497541</v>
      </c>
    </row>
    <row r="1570" spans="1:10" s="186" customFormat="1" x14ac:dyDescent="0.25">
      <c r="A1570" s="246" t="s">
        <v>26</v>
      </c>
      <c r="B1570" s="255">
        <f t="shared" ref="B1570:H1570" si="767">B1574*B1563</f>
        <v>29393.203448275865</v>
      </c>
      <c r="C1570" s="92">
        <f t="shared" si="767"/>
        <v>60960.555172413806</v>
      </c>
      <c r="D1570" s="92">
        <f t="shared" si="767"/>
        <v>69672.67586206898</v>
      </c>
      <c r="E1570" s="92">
        <f t="shared" si="767"/>
        <v>55451.07931034483</v>
      </c>
      <c r="F1570" s="92">
        <f t="shared" si="767"/>
        <v>91609.863793103461</v>
      </c>
      <c r="G1570" s="92">
        <f t="shared" si="767"/>
        <v>98796.958620689664</v>
      </c>
      <c r="H1570" s="92">
        <f t="shared" si="767"/>
        <v>177123.12068965516</v>
      </c>
      <c r="I1570" s="31">
        <f t="shared" si="765"/>
        <v>583007.45689655177</v>
      </c>
      <c r="J1570" s="256">
        <f t="shared" si="766"/>
        <v>83286.779556650246</v>
      </c>
    </row>
    <row r="1571" spans="1:10" s="186" customFormat="1" x14ac:dyDescent="0.25">
      <c r="A1571" s="246" t="s">
        <v>27</v>
      </c>
      <c r="B1571" s="255">
        <f t="shared" ref="B1571:H1571" si="768">B1574*B1564</f>
        <v>676043.67931034486</v>
      </c>
      <c r="C1571" s="92">
        <f t="shared" si="768"/>
        <v>853447.77241379325</v>
      </c>
      <c r="D1571" s="92">
        <f t="shared" si="768"/>
        <v>766399.43448275875</v>
      </c>
      <c r="E1571" s="92">
        <f t="shared" si="768"/>
        <v>406641.24827586213</v>
      </c>
      <c r="F1571" s="92">
        <f t="shared" si="768"/>
        <v>1282538.0931034484</v>
      </c>
      <c r="G1571" s="92">
        <f t="shared" si="768"/>
        <v>1383157.4206896555</v>
      </c>
      <c r="H1571" s="92">
        <f t="shared" si="768"/>
        <v>1594108.0862068965</v>
      </c>
      <c r="I1571" s="31">
        <f t="shared" si="765"/>
        <v>6962335.7344827596</v>
      </c>
      <c r="J1571" s="256">
        <f t="shared" si="766"/>
        <v>994619.39064039418</v>
      </c>
    </row>
    <row r="1572" spans="1:10" s="186" customFormat="1" x14ac:dyDescent="0.25">
      <c r="A1572" s="246" t="s">
        <v>28</v>
      </c>
      <c r="B1572" s="255">
        <f t="shared" ref="B1572:H1572" si="769">B1574*B1565</f>
        <v>235145.62758620692</v>
      </c>
      <c r="C1572" s="92">
        <f t="shared" si="769"/>
        <v>60960.555172413806</v>
      </c>
      <c r="D1572" s="92">
        <f t="shared" si="769"/>
        <v>0</v>
      </c>
      <c r="E1572" s="92">
        <f t="shared" si="769"/>
        <v>36967.386206896561</v>
      </c>
      <c r="F1572" s="92">
        <f t="shared" si="769"/>
        <v>458049.31896551728</v>
      </c>
      <c r="G1572" s="92">
        <f t="shared" si="769"/>
        <v>691578.71034482773</v>
      </c>
      <c r="H1572" s="92">
        <f t="shared" si="769"/>
        <v>265684.68103448272</v>
      </c>
      <c r="I1572" s="31">
        <f t="shared" si="765"/>
        <v>1748386.279310345</v>
      </c>
      <c r="J1572" s="256">
        <f t="shared" si="766"/>
        <v>249769.46847290642</v>
      </c>
    </row>
    <row r="1573" spans="1:10" s="186" customFormat="1" x14ac:dyDescent="0.25">
      <c r="A1573" s="246" t="s">
        <v>29</v>
      </c>
      <c r="B1573" s="255">
        <f t="shared" ref="B1573:H1573" si="770">B1574*B1566</f>
        <v>0</v>
      </c>
      <c r="C1573" s="92">
        <f t="shared" si="770"/>
        <v>0</v>
      </c>
      <c r="D1573" s="92">
        <f t="shared" si="770"/>
        <v>0</v>
      </c>
      <c r="E1573" s="92">
        <f t="shared" si="770"/>
        <v>0</v>
      </c>
      <c r="F1573" s="92">
        <f t="shared" si="770"/>
        <v>0</v>
      </c>
      <c r="G1573" s="92">
        <f t="shared" si="770"/>
        <v>98796.958620689664</v>
      </c>
      <c r="H1573" s="92">
        <f t="shared" si="770"/>
        <v>0</v>
      </c>
      <c r="I1573" s="31">
        <f t="shared" si="765"/>
        <v>98796.958620689664</v>
      </c>
      <c r="J1573" s="256">
        <f t="shared" si="766"/>
        <v>14113.851231527095</v>
      </c>
    </row>
    <row r="1574" spans="1:10" s="186" customFormat="1" x14ac:dyDescent="0.25">
      <c r="A1574" s="257" t="s">
        <v>30</v>
      </c>
      <c r="B1574" s="258">
        <f>(3554600/1.16)-B1575</f>
        <v>2939320.3448275863</v>
      </c>
      <c r="C1574" s="258">
        <f>(3688200/1.16)-C1575</f>
        <v>3048027.7586206901</v>
      </c>
      <c r="D1574" s="258">
        <f>(4231000/1.16)-D1575</f>
        <v>3483633.7931034486</v>
      </c>
      <c r="E1574" s="258">
        <f>(2249100/1.16)-E1575</f>
        <v>1848369.3103448278</v>
      </c>
      <c r="F1574" s="258">
        <f>(11179200/1.16)-F1575</f>
        <v>9160986.3793103453</v>
      </c>
      <c r="G1574" s="258">
        <f>(12050400/1.16)-G1575</f>
        <v>9879695.862068966</v>
      </c>
      <c r="H1574" s="258">
        <f>(10785600/1.16)-H1575</f>
        <v>8856156.0344827585</v>
      </c>
      <c r="I1574" s="197">
        <f t="shared" si="765"/>
        <v>39216189.482758626</v>
      </c>
      <c r="J1574" s="259">
        <f t="shared" si="766"/>
        <v>5602312.7832512325</v>
      </c>
    </row>
    <row r="1575" spans="1:10" s="186" customFormat="1" x14ac:dyDescent="0.25">
      <c r="A1575" s="246" t="s">
        <v>31</v>
      </c>
      <c r="B1575" s="255">
        <f t="shared" ref="B1575:I1575" si="771">2155*B1556</f>
        <v>124990</v>
      </c>
      <c r="C1575" s="92">
        <f t="shared" si="771"/>
        <v>131455</v>
      </c>
      <c r="D1575" s="92">
        <f t="shared" si="771"/>
        <v>163780</v>
      </c>
      <c r="E1575" s="92">
        <f t="shared" si="771"/>
        <v>90510</v>
      </c>
      <c r="F1575" s="92">
        <f t="shared" si="771"/>
        <v>476255</v>
      </c>
      <c r="G1575" s="31">
        <f t="shared" si="771"/>
        <v>508580</v>
      </c>
      <c r="H1575" s="31">
        <f t="shared" si="771"/>
        <v>441775</v>
      </c>
      <c r="I1575" s="31">
        <f t="shared" si="771"/>
        <v>1937345</v>
      </c>
      <c r="J1575" s="256">
        <f t="shared" si="766"/>
        <v>276763.57142857142</v>
      </c>
    </row>
    <row r="1576" spans="1:10" s="186" customFormat="1" x14ac:dyDescent="0.25">
      <c r="A1576" s="260" t="s">
        <v>32</v>
      </c>
      <c r="B1576" s="261">
        <f>B1575+B1574</f>
        <v>3064310.3448275863</v>
      </c>
      <c r="C1576" s="199">
        <f>C1575+C1574</f>
        <v>3179482.7586206901</v>
      </c>
      <c r="D1576" s="199">
        <f>D1575+D1574</f>
        <v>3647413.7931034486</v>
      </c>
      <c r="E1576" s="199">
        <f>E1575+E1574</f>
        <v>1938879.3103448278</v>
      </c>
      <c r="F1576" s="199">
        <f>F1574+F1575</f>
        <v>9637241.3793103453</v>
      </c>
      <c r="G1576" s="199">
        <f>G1575+G1574</f>
        <v>10388275.862068966</v>
      </c>
      <c r="H1576" s="199">
        <f>H1575+H1574</f>
        <v>9297931.0344827585</v>
      </c>
      <c r="I1576" s="199">
        <f>I1574+I1575</f>
        <v>41153534.482758626</v>
      </c>
      <c r="J1576" s="262">
        <f t="shared" si="766"/>
        <v>5879076.3546798034</v>
      </c>
    </row>
    <row r="1577" spans="1:10" s="186" customFormat="1" x14ac:dyDescent="0.25">
      <c r="A1577" s="246" t="s">
        <v>33</v>
      </c>
      <c r="B1577" s="263">
        <f>B1576*16%</f>
        <v>490289.6551724138</v>
      </c>
      <c r="C1577" s="94">
        <f t="shared" ref="C1577:H1577" si="772">C1576*16%</f>
        <v>508717.24137931044</v>
      </c>
      <c r="D1577" s="94">
        <f t="shared" si="772"/>
        <v>583586.20689655177</v>
      </c>
      <c r="E1577" s="94">
        <f t="shared" si="772"/>
        <v>310220.68965517246</v>
      </c>
      <c r="F1577" s="94">
        <f t="shared" si="772"/>
        <v>1541958.6206896552</v>
      </c>
      <c r="G1577" s="94">
        <f t="shared" si="772"/>
        <v>1662124.1379310347</v>
      </c>
      <c r="H1577" s="94">
        <f t="shared" si="772"/>
        <v>1487668.9655172413</v>
      </c>
      <c r="I1577" s="94">
        <f>I1576*16%</f>
        <v>6584565.5172413802</v>
      </c>
      <c r="J1577" s="256">
        <f t="shared" si="766"/>
        <v>940652.21674876858</v>
      </c>
    </row>
    <row r="1578" spans="1:10" s="186" customFormat="1" ht="15.75" thickBot="1" x14ac:dyDescent="0.3">
      <c r="A1578" s="264" t="s">
        <v>34</v>
      </c>
      <c r="B1578" s="265">
        <f>B1576+B1577</f>
        <v>3554600</v>
      </c>
      <c r="C1578" s="266">
        <f t="shared" ref="C1578:H1578" si="773">C1576+C1577</f>
        <v>3688200.0000000005</v>
      </c>
      <c r="D1578" s="266">
        <f t="shared" si="773"/>
        <v>4231000</v>
      </c>
      <c r="E1578" s="266">
        <f t="shared" si="773"/>
        <v>2249100.0000000005</v>
      </c>
      <c r="F1578" s="266">
        <f t="shared" si="773"/>
        <v>11179200</v>
      </c>
      <c r="G1578" s="266">
        <f t="shared" si="773"/>
        <v>12050400</v>
      </c>
      <c r="H1578" s="266">
        <f t="shared" si="773"/>
        <v>10785600</v>
      </c>
      <c r="I1578" s="266">
        <f>I1576+I1577</f>
        <v>47738100.000000007</v>
      </c>
      <c r="J1578" s="267">
        <f t="shared" si="766"/>
        <v>6819728.5714285728</v>
      </c>
    </row>
    <row r="1579" spans="1:10" s="186" customFormat="1" ht="15.75" thickBot="1" x14ac:dyDescent="0.3">
      <c r="A1579" s="204"/>
      <c r="B1579" s="112"/>
      <c r="C1579" s="112"/>
      <c r="D1579" s="112"/>
      <c r="E1579" s="112"/>
      <c r="F1579" s="112"/>
      <c r="G1579" s="112"/>
      <c r="H1579" s="112"/>
      <c r="I1579" s="112"/>
      <c r="J1579" s="205"/>
    </row>
    <row r="1580" spans="1:10" s="186" customFormat="1" ht="27" thickBot="1" x14ac:dyDescent="0.3">
      <c r="A1580"/>
      <c r="B1580" s="1002" t="s">
        <v>336</v>
      </c>
      <c r="C1580" s="1002"/>
      <c r="D1580" s="1002"/>
      <c r="E1580" s="1002"/>
      <c r="F1580" s="1002"/>
      <c r="G1580" s="1002"/>
      <c r="H1580" s="1002"/>
      <c r="I1580"/>
      <c r="J1580"/>
    </row>
    <row r="1581" spans="1:10" s="186" customFormat="1" ht="16.5" thickBot="1" x14ac:dyDescent="0.3">
      <c r="A1581" s="238" t="s">
        <v>2</v>
      </c>
      <c r="B1581" s="239" t="s">
        <v>337</v>
      </c>
      <c r="C1581" s="239" t="s">
        <v>338</v>
      </c>
      <c r="D1581" s="239" t="s">
        <v>339</v>
      </c>
      <c r="E1581" s="239" t="s">
        <v>340</v>
      </c>
      <c r="F1581" s="239" t="s">
        <v>341</v>
      </c>
      <c r="G1581" s="239" t="s">
        <v>342</v>
      </c>
      <c r="H1581" s="239" t="s">
        <v>343</v>
      </c>
      <c r="I1581" s="240" t="s">
        <v>96</v>
      </c>
      <c r="J1581" s="241" t="s">
        <v>97</v>
      </c>
    </row>
    <row r="1582" spans="1:10" s="186" customFormat="1" x14ac:dyDescent="0.25">
      <c r="A1582" s="242" t="s">
        <v>11</v>
      </c>
      <c r="B1582" s="243">
        <f>53+35+13</f>
        <v>101</v>
      </c>
      <c r="C1582" s="244">
        <f>78+33+10</f>
        <v>121</v>
      </c>
      <c r="D1582" s="244">
        <f>92+33+9</f>
        <v>134</v>
      </c>
      <c r="E1582" s="244">
        <f>82+34+8</f>
        <v>124</v>
      </c>
      <c r="F1582" s="244">
        <f>208+107+36</f>
        <v>351</v>
      </c>
      <c r="G1582" s="244">
        <f>230+131+44</f>
        <v>405</v>
      </c>
      <c r="H1582" s="268">
        <f>226+135+39</f>
        <v>400</v>
      </c>
      <c r="I1582" s="244">
        <f>SUM(B1582:H1582)</f>
        <v>1636</v>
      </c>
      <c r="J1582" s="245">
        <f>+I1582/7</f>
        <v>233.71428571428572</v>
      </c>
    </row>
    <row r="1583" spans="1:10" s="186" customFormat="1" x14ac:dyDescent="0.25">
      <c r="A1583" s="246" t="s">
        <v>12</v>
      </c>
      <c r="B1583" s="233">
        <v>54</v>
      </c>
      <c r="C1583" s="13">
        <v>65</v>
      </c>
      <c r="D1583" s="13">
        <v>77</v>
      </c>
      <c r="E1583" s="13">
        <v>66</v>
      </c>
      <c r="F1583" s="86">
        <v>190</v>
      </c>
      <c r="G1583" s="11">
        <v>209</v>
      </c>
      <c r="H1583" s="86">
        <v>256</v>
      </c>
      <c r="I1583" s="11">
        <f>SUM('PEPE SIERRA '!$B1583:$H1583)</f>
        <v>917</v>
      </c>
      <c r="J1583" s="247">
        <f t="shared" ref="J1583:J1588" si="774">I1583/7</f>
        <v>131</v>
      </c>
    </row>
    <row r="1584" spans="1:10" s="186" customFormat="1" x14ac:dyDescent="0.25">
      <c r="A1584" s="246" t="s">
        <v>13</v>
      </c>
      <c r="B1584" s="233">
        <v>2</v>
      </c>
      <c r="C1584" s="13">
        <v>0</v>
      </c>
      <c r="D1584" s="13">
        <v>1</v>
      </c>
      <c r="E1584" s="13">
        <v>1</v>
      </c>
      <c r="F1584" s="11">
        <v>5</v>
      </c>
      <c r="G1584" s="11">
        <v>11</v>
      </c>
      <c r="H1584" s="11">
        <v>6</v>
      </c>
      <c r="I1584" s="11">
        <f>SUM('PEPE SIERRA '!$B1584:$H1584)</f>
        <v>26</v>
      </c>
      <c r="J1584" s="247">
        <f t="shared" si="774"/>
        <v>3.7142857142857144</v>
      </c>
    </row>
    <row r="1585" spans="1:10" s="186" customFormat="1" x14ac:dyDescent="0.25">
      <c r="A1585" s="246" t="s">
        <v>14</v>
      </c>
      <c r="B1585" s="233">
        <v>29</v>
      </c>
      <c r="C1585" s="13">
        <v>26</v>
      </c>
      <c r="D1585" s="13">
        <v>29</v>
      </c>
      <c r="E1585" s="13">
        <v>40</v>
      </c>
      <c r="F1585" s="11">
        <v>54</v>
      </c>
      <c r="G1585" s="11">
        <v>72</v>
      </c>
      <c r="H1585" s="86">
        <v>37</v>
      </c>
      <c r="I1585" s="11">
        <f>SUM('PEPE SIERRA '!$B1585:$H1585)</f>
        <v>287</v>
      </c>
      <c r="J1585" s="247">
        <f t="shared" si="774"/>
        <v>41</v>
      </c>
    </row>
    <row r="1586" spans="1:10" s="186" customFormat="1" x14ac:dyDescent="0.25">
      <c r="A1586" s="246" t="s">
        <v>15</v>
      </c>
      <c r="B1586" s="233">
        <v>4</v>
      </c>
      <c r="C1586" s="13">
        <v>6</v>
      </c>
      <c r="D1586" s="13">
        <v>4</v>
      </c>
      <c r="E1586" s="13">
        <v>0</v>
      </c>
      <c r="F1586" s="11">
        <v>14</v>
      </c>
      <c r="G1586" s="11">
        <v>24</v>
      </c>
      <c r="H1586" s="11">
        <v>15</v>
      </c>
      <c r="I1586" s="11">
        <f>SUM('PEPE SIERRA '!$B1586:$H1586)</f>
        <v>67</v>
      </c>
      <c r="J1586" s="247">
        <f t="shared" si="774"/>
        <v>9.5714285714285712</v>
      </c>
    </row>
    <row r="1587" spans="1:10" s="186" customFormat="1" x14ac:dyDescent="0.25">
      <c r="A1587" s="246" t="s">
        <v>16</v>
      </c>
      <c r="B1587" s="233">
        <v>0</v>
      </c>
      <c r="C1587" s="13">
        <v>0</v>
      </c>
      <c r="D1587" s="13">
        <v>1</v>
      </c>
      <c r="E1587" s="13">
        <v>0</v>
      </c>
      <c r="F1587" s="11">
        <v>0</v>
      </c>
      <c r="G1587" s="11">
        <v>0</v>
      </c>
      <c r="H1587" s="11">
        <v>0</v>
      </c>
      <c r="I1587" s="11">
        <f>SUM('PEPE SIERRA '!$B1587:$H1587)</f>
        <v>1</v>
      </c>
      <c r="J1587" s="247">
        <f t="shared" si="774"/>
        <v>0.14285714285714285</v>
      </c>
    </row>
    <row r="1588" spans="1:10" s="186" customFormat="1" x14ac:dyDescent="0.25">
      <c r="A1588" s="248" t="s">
        <v>17</v>
      </c>
      <c r="B1588" s="249">
        <f>SUM(B1583:B1587)</f>
        <v>89</v>
      </c>
      <c r="C1588" s="192">
        <f t="shared" ref="C1588:I1588" si="775">SUM(C1583:C1587)</f>
        <v>97</v>
      </c>
      <c r="D1588" s="192">
        <f t="shared" si="775"/>
        <v>112</v>
      </c>
      <c r="E1588" s="192">
        <f t="shared" si="775"/>
        <v>107</v>
      </c>
      <c r="F1588" s="192">
        <f t="shared" si="775"/>
        <v>263</v>
      </c>
      <c r="G1588" s="192">
        <f t="shared" si="775"/>
        <v>316</v>
      </c>
      <c r="H1588" s="192">
        <f t="shared" si="775"/>
        <v>314</v>
      </c>
      <c r="I1588" s="192">
        <f t="shared" si="775"/>
        <v>1298</v>
      </c>
      <c r="J1588" s="250">
        <f t="shared" si="774"/>
        <v>185.42857142857142</v>
      </c>
    </row>
    <row r="1589" spans="1:10" s="186" customFormat="1" x14ac:dyDescent="0.25">
      <c r="A1589" s="246" t="s">
        <v>18</v>
      </c>
      <c r="B1589" s="234">
        <v>0.69</v>
      </c>
      <c r="C1589" s="235">
        <v>0.74</v>
      </c>
      <c r="D1589" s="235">
        <v>0.71</v>
      </c>
      <c r="E1589" s="236">
        <v>0.71</v>
      </c>
      <c r="F1589" s="30">
        <v>0.78</v>
      </c>
      <c r="G1589" s="30">
        <v>0.72</v>
      </c>
      <c r="H1589" s="30">
        <v>0.83</v>
      </c>
      <c r="I1589" s="30">
        <f>I1596/I1601</f>
        <v>0.75755607631173738</v>
      </c>
      <c r="J1589" s="251">
        <f>J1596/J1601</f>
        <v>0.75755607631173738</v>
      </c>
    </row>
    <row r="1590" spans="1:10" s="186" customFormat="1" x14ac:dyDescent="0.25">
      <c r="A1590" s="246" t="s">
        <v>19</v>
      </c>
      <c r="B1590" s="234">
        <v>0.01</v>
      </c>
      <c r="C1590" s="235">
        <v>0</v>
      </c>
      <c r="D1590" s="235">
        <v>0.01</v>
      </c>
      <c r="E1590" s="236">
        <v>0.01</v>
      </c>
      <c r="F1590" s="30">
        <v>0.01</v>
      </c>
      <c r="G1590" s="30">
        <v>0.03</v>
      </c>
      <c r="H1590" s="30">
        <v>0.02</v>
      </c>
      <c r="I1590" s="30">
        <f>I1597/I1601</f>
        <v>1.6597512259179367E-2</v>
      </c>
      <c r="J1590" s="251">
        <f>J1597/J1601</f>
        <v>1.6597512259179367E-2</v>
      </c>
    </row>
    <row r="1591" spans="1:10" s="186" customFormat="1" x14ac:dyDescent="0.25">
      <c r="A1591" s="246" t="s">
        <v>20</v>
      </c>
      <c r="B1591" s="234">
        <v>0.25</v>
      </c>
      <c r="C1591" s="235">
        <v>0.21</v>
      </c>
      <c r="D1591" s="235">
        <v>0.23</v>
      </c>
      <c r="E1591" s="236">
        <v>0.28000000000000003</v>
      </c>
      <c r="F1591" s="30">
        <v>0.17</v>
      </c>
      <c r="G1591" s="30">
        <v>0.18</v>
      </c>
      <c r="H1591" s="30">
        <v>0.11</v>
      </c>
      <c r="I1591" s="30">
        <f>I1598/I1601</f>
        <v>0.17932338216799043</v>
      </c>
      <c r="J1591" s="251">
        <f>J1598/J1601</f>
        <v>0.17932338216799043</v>
      </c>
    </row>
    <row r="1592" spans="1:10" s="186" customFormat="1" x14ac:dyDescent="0.25">
      <c r="A1592" s="246" t="s">
        <v>21</v>
      </c>
      <c r="B1592" s="234">
        <v>0.05</v>
      </c>
      <c r="C1592" s="235">
        <v>0.05</v>
      </c>
      <c r="D1592" s="235">
        <v>0.05</v>
      </c>
      <c r="E1592" s="236">
        <v>0</v>
      </c>
      <c r="F1592" s="30">
        <v>0.04</v>
      </c>
      <c r="G1592" s="30">
        <v>7.0000000000000007E-2</v>
      </c>
      <c r="H1592" s="30">
        <v>0.04</v>
      </c>
      <c r="I1592" s="30">
        <f>I1599/I1601</f>
        <v>4.6523029261092842E-2</v>
      </c>
      <c r="J1592" s="251">
        <f>J1599/J1601</f>
        <v>4.6523029261092835E-2</v>
      </c>
    </row>
    <row r="1593" spans="1:10" s="186" customFormat="1" x14ac:dyDescent="0.25">
      <c r="A1593" s="246" t="s">
        <v>22</v>
      </c>
      <c r="B1593" s="234">
        <v>0</v>
      </c>
      <c r="C1593" s="235">
        <v>0</v>
      </c>
      <c r="D1593" s="235">
        <v>0</v>
      </c>
      <c r="E1593" s="236">
        <v>0</v>
      </c>
      <c r="F1593" s="30">
        <v>0</v>
      </c>
      <c r="G1593" s="30">
        <v>0</v>
      </c>
      <c r="H1593" s="30">
        <v>0</v>
      </c>
      <c r="I1593" s="30">
        <f>I1600/I1601</f>
        <v>0</v>
      </c>
      <c r="J1593" s="251">
        <f>J1600/J1601</f>
        <v>0</v>
      </c>
    </row>
    <row r="1594" spans="1:10" s="186" customFormat="1" x14ac:dyDescent="0.25">
      <c r="A1594" s="252" t="s">
        <v>23</v>
      </c>
      <c r="B1594" s="253">
        <f t="shared" ref="B1594:J1594" si="776">B1605/B1588</f>
        <v>32685.393258426968</v>
      </c>
      <c r="C1594" s="66">
        <f t="shared" si="776"/>
        <v>37570.103092783509</v>
      </c>
      <c r="D1594" s="66">
        <f t="shared" si="776"/>
        <v>36668.750000000007</v>
      </c>
      <c r="E1594" s="66">
        <f t="shared" si="776"/>
        <v>34669.158878504677</v>
      </c>
      <c r="F1594" s="66">
        <f t="shared" si="776"/>
        <v>39165.779467680615</v>
      </c>
      <c r="G1594" s="66">
        <f t="shared" si="776"/>
        <v>37573.734177215192</v>
      </c>
      <c r="H1594" s="66">
        <f t="shared" si="776"/>
        <v>37603.343949044589</v>
      </c>
      <c r="I1594" s="66">
        <f t="shared" si="776"/>
        <v>37250.500770416023</v>
      </c>
      <c r="J1594" s="254">
        <f t="shared" si="776"/>
        <v>37250.500770416023</v>
      </c>
    </row>
    <row r="1595" spans="1:10" s="186" customFormat="1" x14ac:dyDescent="0.25">
      <c r="A1595" s="252" t="s">
        <v>24</v>
      </c>
      <c r="B1595" s="253">
        <f t="shared" ref="B1595:I1595" si="777">+B1605/B1582</f>
        <v>28801.980198019803</v>
      </c>
      <c r="C1595" s="66">
        <f t="shared" si="777"/>
        <v>30118.181818181823</v>
      </c>
      <c r="D1595" s="66">
        <f t="shared" si="777"/>
        <v>30648.507462686572</v>
      </c>
      <c r="E1595" s="66">
        <f t="shared" si="777"/>
        <v>29916.129032258068</v>
      </c>
      <c r="F1595" s="66">
        <f t="shared" si="777"/>
        <v>29346.438746438751</v>
      </c>
      <c r="G1595" s="66">
        <f t="shared" si="777"/>
        <v>29316.790123456791</v>
      </c>
      <c r="H1595" s="66">
        <f t="shared" si="777"/>
        <v>29518.625000000004</v>
      </c>
      <c r="I1595" s="66">
        <f t="shared" si="777"/>
        <v>29554.492665036676</v>
      </c>
      <c r="J1595" s="254">
        <f>J1605/J1582</f>
        <v>29554.492665036672</v>
      </c>
    </row>
    <row r="1596" spans="1:10" s="186" customFormat="1" x14ac:dyDescent="0.25">
      <c r="A1596" s="246" t="s">
        <v>25</v>
      </c>
      <c r="B1596" s="255">
        <f t="shared" ref="B1596:H1596" si="778">B1601*B1589</f>
        <v>1650058.148275862</v>
      </c>
      <c r="C1596" s="92">
        <f t="shared" si="778"/>
        <v>2221156.5689655175</v>
      </c>
      <c r="D1596" s="92">
        <f t="shared" si="778"/>
        <v>2395892.1844827589</v>
      </c>
      <c r="E1596" s="92">
        <f t="shared" si="778"/>
        <v>2169547.7344827587</v>
      </c>
      <c r="F1596" s="92">
        <f t="shared" si="778"/>
        <v>6606894.5172413811</v>
      </c>
      <c r="G1596" s="92">
        <f t="shared" si="778"/>
        <v>7045350.0827586204</v>
      </c>
      <c r="H1596" s="92">
        <f t="shared" si="778"/>
        <v>7990539.6517241383</v>
      </c>
      <c r="I1596" s="31">
        <f t="shared" ref="I1596:I1601" si="779">SUM(B1596:H1596)</f>
        <v>30079438.887931034</v>
      </c>
      <c r="J1596" s="256">
        <f t="shared" ref="J1596:J1605" si="780">I1596/7</f>
        <v>4297062.6982758623</v>
      </c>
    </row>
    <row r="1597" spans="1:10" s="186" customFormat="1" x14ac:dyDescent="0.25">
      <c r="A1597" s="246" t="s">
        <v>26</v>
      </c>
      <c r="B1597" s="255">
        <f t="shared" ref="B1597:H1597" si="781">B1601*B1590</f>
        <v>23913.886206896554</v>
      </c>
      <c r="C1597" s="92">
        <f t="shared" si="781"/>
        <v>0</v>
      </c>
      <c r="D1597" s="92">
        <f t="shared" si="781"/>
        <v>33744.960344827588</v>
      </c>
      <c r="E1597" s="92">
        <f t="shared" si="781"/>
        <v>30557.010344827591</v>
      </c>
      <c r="F1597" s="92">
        <f t="shared" si="781"/>
        <v>84703.775862068986</v>
      </c>
      <c r="G1597" s="92">
        <f t="shared" si="781"/>
        <v>293556.25344827585</v>
      </c>
      <c r="H1597" s="92">
        <f t="shared" si="781"/>
        <v>192543.12413793107</v>
      </c>
      <c r="I1597" s="31">
        <f t="shared" si="779"/>
        <v>659019.01034482766</v>
      </c>
      <c r="J1597" s="256">
        <f t="shared" si="780"/>
        <v>94145.572906403948</v>
      </c>
    </row>
    <row r="1598" spans="1:10" s="186" customFormat="1" x14ac:dyDescent="0.25">
      <c r="A1598" s="246" t="s">
        <v>27</v>
      </c>
      <c r="B1598" s="255">
        <f t="shared" ref="B1598:H1598" si="782">B1601*B1591</f>
        <v>597847.1551724138</v>
      </c>
      <c r="C1598" s="92">
        <f t="shared" si="782"/>
        <v>630328.21551724139</v>
      </c>
      <c r="D1598" s="92">
        <f t="shared" si="782"/>
        <v>776134.08793103462</v>
      </c>
      <c r="E1598" s="92">
        <f t="shared" si="782"/>
        <v>855596.28965517262</v>
      </c>
      <c r="F1598" s="92">
        <f t="shared" si="782"/>
        <v>1439964.1896551729</v>
      </c>
      <c r="G1598" s="92">
        <f t="shared" si="782"/>
        <v>1761337.5206896551</v>
      </c>
      <c r="H1598" s="92">
        <f t="shared" si="782"/>
        <v>1058987.1827586207</v>
      </c>
      <c r="I1598" s="31">
        <f t="shared" si="779"/>
        <v>7120194.6413793117</v>
      </c>
      <c r="J1598" s="256">
        <f t="shared" si="780"/>
        <v>1017170.6630541874</v>
      </c>
    </row>
    <row r="1599" spans="1:10" s="186" customFormat="1" x14ac:dyDescent="0.25">
      <c r="A1599" s="246" t="s">
        <v>28</v>
      </c>
      <c r="B1599" s="255">
        <f t="shared" ref="B1599:H1599" si="783">B1601*B1592</f>
        <v>119569.43103448277</v>
      </c>
      <c r="C1599" s="92">
        <f t="shared" si="783"/>
        <v>150078.14655172414</v>
      </c>
      <c r="D1599" s="92">
        <f t="shared" si="783"/>
        <v>168724.80172413797</v>
      </c>
      <c r="E1599" s="92">
        <f t="shared" si="783"/>
        <v>0</v>
      </c>
      <c r="F1599" s="92">
        <f t="shared" si="783"/>
        <v>338815.10344827594</v>
      </c>
      <c r="G1599" s="92">
        <f t="shared" si="783"/>
        <v>684964.59137931047</v>
      </c>
      <c r="H1599" s="92">
        <f t="shared" si="783"/>
        <v>385086.24827586213</v>
      </c>
      <c r="I1599" s="31">
        <f t="shared" si="779"/>
        <v>1847238.3224137933</v>
      </c>
      <c r="J1599" s="256">
        <f t="shared" si="780"/>
        <v>263891.18891625619</v>
      </c>
    </row>
    <row r="1600" spans="1:10" s="186" customFormat="1" x14ac:dyDescent="0.25">
      <c r="A1600" s="246" t="s">
        <v>29</v>
      </c>
      <c r="B1600" s="255">
        <f t="shared" ref="B1600:H1600" si="784">B1601*B1593</f>
        <v>0</v>
      </c>
      <c r="C1600" s="92">
        <f t="shared" si="784"/>
        <v>0</v>
      </c>
      <c r="D1600" s="92">
        <f t="shared" si="784"/>
        <v>0</v>
      </c>
      <c r="E1600" s="92">
        <f t="shared" si="784"/>
        <v>0</v>
      </c>
      <c r="F1600" s="92">
        <f t="shared" si="784"/>
        <v>0</v>
      </c>
      <c r="G1600" s="92">
        <f t="shared" si="784"/>
        <v>0</v>
      </c>
      <c r="H1600" s="92">
        <f t="shared" si="784"/>
        <v>0</v>
      </c>
      <c r="I1600" s="31">
        <f t="shared" si="779"/>
        <v>0</v>
      </c>
      <c r="J1600" s="256">
        <f t="shared" si="780"/>
        <v>0</v>
      </c>
    </row>
    <row r="1601" spans="1:10" s="186" customFormat="1" x14ac:dyDescent="0.25">
      <c r="A1601" s="257" t="s">
        <v>30</v>
      </c>
      <c r="B1601" s="258">
        <f>(2909000/1.16)-B1602</f>
        <v>2391388.6206896552</v>
      </c>
      <c r="C1601" s="258">
        <f>(3644300/1.16)-C1602</f>
        <v>3001562.931034483</v>
      </c>
      <c r="D1601" s="258">
        <f>(4106900/1.16)-D1602</f>
        <v>3374496.034482759</v>
      </c>
      <c r="E1601" s="258">
        <f>(3709600/1.16)-E1602</f>
        <v>3055701.034482759</v>
      </c>
      <c r="F1601" s="258">
        <f>(10300600/1.16)-F1602</f>
        <v>8470377.5862068981</v>
      </c>
      <c r="G1601" s="258">
        <f>(11873300/1.16)-G1602</f>
        <v>9785208.4482758623</v>
      </c>
      <c r="H1601" s="258">
        <f>(11807450/1.16)-H1602</f>
        <v>9627156.2068965528</v>
      </c>
      <c r="I1601" s="197">
        <f t="shared" si="779"/>
        <v>39705890.862068966</v>
      </c>
      <c r="J1601" s="259">
        <f t="shared" si="780"/>
        <v>5672270.1231527096</v>
      </c>
    </row>
    <row r="1602" spans="1:10" s="186" customFormat="1" x14ac:dyDescent="0.25">
      <c r="A1602" s="246" t="s">
        <v>31</v>
      </c>
      <c r="B1602" s="255">
        <f t="shared" ref="B1602:I1602" si="785">2155*B1583</f>
        <v>116370</v>
      </c>
      <c r="C1602" s="92">
        <f t="shared" si="785"/>
        <v>140075</v>
      </c>
      <c r="D1602" s="92">
        <f t="shared" si="785"/>
        <v>165935</v>
      </c>
      <c r="E1602" s="92">
        <f t="shared" si="785"/>
        <v>142230</v>
      </c>
      <c r="F1602" s="92">
        <f t="shared" si="785"/>
        <v>409450</v>
      </c>
      <c r="G1602" s="31">
        <f t="shared" si="785"/>
        <v>450395</v>
      </c>
      <c r="H1602" s="31">
        <f t="shared" si="785"/>
        <v>551680</v>
      </c>
      <c r="I1602" s="31">
        <f t="shared" si="785"/>
        <v>1976135</v>
      </c>
      <c r="J1602" s="256">
        <f t="shared" si="780"/>
        <v>282305</v>
      </c>
    </row>
    <row r="1603" spans="1:10" s="186" customFormat="1" x14ac:dyDescent="0.25">
      <c r="A1603" s="260" t="s">
        <v>32</v>
      </c>
      <c r="B1603" s="261">
        <f>B1602+B1601</f>
        <v>2507758.6206896552</v>
      </c>
      <c r="C1603" s="199">
        <f>C1602+C1601</f>
        <v>3141637.931034483</v>
      </c>
      <c r="D1603" s="199">
        <f>D1602+D1601</f>
        <v>3540431.034482759</v>
      </c>
      <c r="E1603" s="199">
        <f>E1602+E1601</f>
        <v>3197931.034482759</v>
      </c>
      <c r="F1603" s="199">
        <f>F1601+F1602</f>
        <v>8879827.5862068981</v>
      </c>
      <c r="G1603" s="199">
        <f>G1602+G1601</f>
        <v>10235603.448275862</v>
      </c>
      <c r="H1603" s="199">
        <f>H1602+H1601</f>
        <v>10178836.206896553</v>
      </c>
      <c r="I1603" s="199">
        <f>I1601+I1602</f>
        <v>41682025.862068966</v>
      </c>
      <c r="J1603" s="262">
        <f t="shared" si="780"/>
        <v>5954575.1231527096</v>
      </c>
    </row>
    <row r="1604" spans="1:10" s="186" customFormat="1" x14ac:dyDescent="0.25">
      <c r="A1604" s="246" t="s">
        <v>33</v>
      </c>
      <c r="B1604" s="263">
        <f>B1603*16%</f>
        <v>401241.37931034481</v>
      </c>
      <c r="C1604" s="94">
        <f t="shared" ref="C1604:H1604" si="786">C1603*16%</f>
        <v>502662.06896551728</v>
      </c>
      <c r="D1604" s="94">
        <f t="shared" si="786"/>
        <v>566468.96551724139</v>
      </c>
      <c r="E1604" s="94">
        <f t="shared" si="786"/>
        <v>511668.96551724145</v>
      </c>
      <c r="F1604" s="94">
        <f t="shared" si="786"/>
        <v>1420772.4137931038</v>
      </c>
      <c r="G1604" s="94">
        <f t="shared" si="786"/>
        <v>1637696.551724138</v>
      </c>
      <c r="H1604" s="94">
        <f t="shared" si="786"/>
        <v>1628613.7931034486</v>
      </c>
      <c r="I1604" s="94">
        <f>I1603*16%</f>
        <v>6669124.1379310349</v>
      </c>
      <c r="J1604" s="256">
        <f t="shared" si="780"/>
        <v>952732.01970443351</v>
      </c>
    </row>
    <row r="1605" spans="1:10" s="186" customFormat="1" ht="15.75" thickBot="1" x14ac:dyDescent="0.3">
      <c r="A1605" s="264" t="s">
        <v>34</v>
      </c>
      <c r="B1605" s="265">
        <f>B1603+B1604</f>
        <v>2909000</v>
      </c>
      <c r="C1605" s="266">
        <f t="shared" ref="C1605:H1605" si="787">C1603+C1604</f>
        <v>3644300.0000000005</v>
      </c>
      <c r="D1605" s="266">
        <f t="shared" si="787"/>
        <v>4106900.0000000005</v>
      </c>
      <c r="E1605" s="266">
        <f t="shared" si="787"/>
        <v>3709600.0000000005</v>
      </c>
      <c r="F1605" s="266">
        <f t="shared" si="787"/>
        <v>10300600.000000002</v>
      </c>
      <c r="G1605" s="266">
        <f t="shared" si="787"/>
        <v>11873300</v>
      </c>
      <c r="H1605" s="266">
        <f t="shared" si="787"/>
        <v>11807450.000000002</v>
      </c>
      <c r="I1605" s="266">
        <f>I1603+I1604</f>
        <v>48351150</v>
      </c>
      <c r="J1605" s="267">
        <f t="shared" si="780"/>
        <v>6907307.1428571427</v>
      </c>
    </row>
    <row r="1606" spans="1:10" s="186" customFormat="1" ht="15.75" thickBot="1" x14ac:dyDescent="0.3">
      <c r="A1606" s="204"/>
      <c r="B1606" s="112"/>
      <c r="C1606" s="112"/>
      <c r="D1606" s="112"/>
      <c r="E1606" s="112"/>
      <c r="F1606" s="112"/>
      <c r="G1606" s="112"/>
      <c r="H1606" s="112"/>
      <c r="I1606" s="112"/>
      <c r="J1606" s="205"/>
    </row>
    <row r="1607" spans="1:10" s="186" customFormat="1" ht="27" thickBot="1" x14ac:dyDescent="0.3">
      <c r="A1607"/>
      <c r="B1607" s="1002" t="s">
        <v>344</v>
      </c>
      <c r="C1607" s="1002"/>
      <c r="D1607" s="1002"/>
      <c r="E1607" s="1002"/>
      <c r="F1607" s="1002"/>
      <c r="G1607" s="1002"/>
      <c r="H1607" s="1002"/>
      <c r="I1607"/>
      <c r="J1607"/>
    </row>
    <row r="1608" spans="1:10" s="186" customFormat="1" ht="16.5" thickBot="1" x14ac:dyDescent="0.3">
      <c r="A1608" s="238" t="s">
        <v>2</v>
      </c>
      <c r="B1608" s="239" t="s">
        <v>345</v>
      </c>
      <c r="C1608" s="239" t="s">
        <v>346</v>
      </c>
      <c r="D1608" s="239" t="s">
        <v>347</v>
      </c>
      <c r="E1608" s="239" t="s">
        <v>348</v>
      </c>
      <c r="F1608" s="239" t="s">
        <v>349</v>
      </c>
      <c r="G1608" s="239" t="s">
        <v>350</v>
      </c>
      <c r="H1608" s="239" t="s">
        <v>351</v>
      </c>
      <c r="I1608" s="240" t="s">
        <v>96</v>
      </c>
      <c r="J1608" s="241" t="s">
        <v>97</v>
      </c>
    </row>
    <row r="1609" spans="1:10" s="186" customFormat="1" x14ac:dyDescent="0.25">
      <c r="A1609" s="242" t="s">
        <v>11</v>
      </c>
      <c r="B1609" s="243">
        <f>71+37+9</f>
        <v>117</v>
      </c>
      <c r="C1609" s="244">
        <f>79+31+7</f>
        <v>117</v>
      </c>
      <c r="D1609" s="244">
        <f>76+43+11</f>
        <v>130</v>
      </c>
      <c r="E1609" s="244">
        <f>84+30+15</f>
        <v>129</v>
      </c>
      <c r="F1609" s="244">
        <f>203+88+23</f>
        <v>314</v>
      </c>
      <c r="G1609" s="244">
        <f>229+122+52</f>
        <v>403</v>
      </c>
      <c r="H1609" s="268">
        <f>187+101+52</f>
        <v>340</v>
      </c>
      <c r="I1609" s="244">
        <f>SUM(B1609:H1609)</f>
        <v>1550</v>
      </c>
      <c r="J1609" s="245">
        <f>+I1609/7</f>
        <v>221.42857142857142</v>
      </c>
    </row>
    <row r="1610" spans="1:10" s="186" customFormat="1" x14ac:dyDescent="0.25">
      <c r="A1610" s="246" t="s">
        <v>12</v>
      </c>
      <c r="B1610" s="233">
        <v>63</v>
      </c>
      <c r="C1610" s="13">
        <v>62</v>
      </c>
      <c r="D1610" s="13">
        <v>73</v>
      </c>
      <c r="E1610" s="13">
        <v>71</v>
      </c>
      <c r="F1610" s="86">
        <v>164</v>
      </c>
      <c r="G1610" s="11">
        <v>211</v>
      </c>
      <c r="H1610" s="86">
        <v>171</v>
      </c>
      <c r="I1610" s="11">
        <f>SUM('PEPE SIERRA '!$B1610:$H1610)</f>
        <v>815</v>
      </c>
      <c r="J1610" s="247">
        <f t="shared" ref="J1610:J1615" si="788">I1610/7</f>
        <v>116.42857142857143</v>
      </c>
    </row>
    <row r="1611" spans="1:10" s="186" customFormat="1" x14ac:dyDescent="0.25">
      <c r="A1611" s="246" t="s">
        <v>13</v>
      </c>
      <c r="B1611" s="233">
        <v>2</v>
      </c>
      <c r="C1611" s="13">
        <v>2</v>
      </c>
      <c r="D1611" s="13">
        <v>1</v>
      </c>
      <c r="E1611" s="13">
        <v>1</v>
      </c>
      <c r="F1611" s="11">
        <v>1</v>
      </c>
      <c r="G1611" s="11">
        <v>9</v>
      </c>
      <c r="H1611" s="11">
        <v>6</v>
      </c>
      <c r="I1611" s="11">
        <f>SUM('PEPE SIERRA '!$B1611:$H1611)</f>
        <v>22</v>
      </c>
      <c r="J1611" s="247">
        <f t="shared" si="788"/>
        <v>3.1428571428571428</v>
      </c>
    </row>
    <row r="1612" spans="1:10" s="186" customFormat="1" x14ac:dyDescent="0.25">
      <c r="A1612" s="246" t="s">
        <v>14</v>
      </c>
      <c r="B1612" s="233">
        <v>29</v>
      </c>
      <c r="C1612" s="13">
        <v>26</v>
      </c>
      <c r="D1612" s="13">
        <v>33</v>
      </c>
      <c r="E1612" s="13">
        <v>28</v>
      </c>
      <c r="F1612" s="11">
        <v>51</v>
      </c>
      <c r="G1612" s="11">
        <v>54</v>
      </c>
      <c r="H1612" s="86">
        <v>55</v>
      </c>
      <c r="I1612" s="11">
        <f>SUM('PEPE SIERRA '!$B1612:$H1612)</f>
        <v>276</v>
      </c>
      <c r="J1612" s="247">
        <f t="shared" si="788"/>
        <v>39.428571428571431</v>
      </c>
    </row>
    <row r="1613" spans="1:10" s="186" customFormat="1" x14ac:dyDescent="0.25">
      <c r="A1613" s="246" t="s">
        <v>15</v>
      </c>
      <c r="B1613" s="233">
        <v>2</v>
      </c>
      <c r="C1613" s="13">
        <v>3</v>
      </c>
      <c r="D1613" s="13">
        <v>1</v>
      </c>
      <c r="E1613" s="13">
        <v>0</v>
      </c>
      <c r="F1613" s="11">
        <v>9</v>
      </c>
      <c r="G1613" s="11">
        <v>23</v>
      </c>
      <c r="H1613" s="11">
        <v>18</v>
      </c>
      <c r="I1613" s="11">
        <f>SUM('PEPE SIERRA '!$B1613:$H1613)</f>
        <v>56</v>
      </c>
      <c r="J1613" s="247">
        <f t="shared" si="788"/>
        <v>8</v>
      </c>
    </row>
    <row r="1614" spans="1:10" s="186" customFormat="1" x14ac:dyDescent="0.25">
      <c r="A1614" s="246" t="s">
        <v>16</v>
      </c>
      <c r="B1614" s="233">
        <v>0</v>
      </c>
      <c r="C1614" s="13">
        <v>0</v>
      </c>
      <c r="D1614" s="13">
        <v>0</v>
      </c>
      <c r="E1614" s="13">
        <v>0</v>
      </c>
      <c r="F1614" s="11">
        <v>1</v>
      </c>
      <c r="G1614" s="11">
        <v>0</v>
      </c>
      <c r="H1614" s="11">
        <v>1</v>
      </c>
      <c r="I1614" s="11">
        <f>SUM('PEPE SIERRA '!$B1614:$H1614)</f>
        <v>2</v>
      </c>
      <c r="J1614" s="247">
        <f t="shared" si="788"/>
        <v>0.2857142857142857</v>
      </c>
    </row>
    <row r="1615" spans="1:10" s="186" customFormat="1" x14ac:dyDescent="0.25">
      <c r="A1615" s="248" t="s">
        <v>17</v>
      </c>
      <c r="B1615" s="249">
        <f>SUM(B1610:B1614)</f>
        <v>96</v>
      </c>
      <c r="C1615" s="192">
        <f t="shared" ref="C1615:I1615" si="789">SUM(C1610:C1614)</f>
        <v>93</v>
      </c>
      <c r="D1615" s="192">
        <f t="shared" si="789"/>
        <v>108</v>
      </c>
      <c r="E1615" s="192">
        <f t="shared" si="789"/>
        <v>100</v>
      </c>
      <c r="F1615" s="192">
        <f t="shared" si="789"/>
        <v>226</v>
      </c>
      <c r="G1615" s="192">
        <f t="shared" si="789"/>
        <v>297</v>
      </c>
      <c r="H1615" s="192">
        <f t="shared" si="789"/>
        <v>251</v>
      </c>
      <c r="I1615" s="192">
        <f t="shared" si="789"/>
        <v>1171</v>
      </c>
      <c r="J1615" s="250">
        <f t="shared" si="788"/>
        <v>167.28571428571428</v>
      </c>
    </row>
    <row r="1616" spans="1:10" s="186" customFormat="1" x14ac:dyDescent="0.25">
      <c r="A1616" s="246" t="s">
        <v>18</v>
      </c>
      <c r="B1616" s="234">
        <v>0.74</v>
      </c>
      <c r="C1616" s="235">
        <v>0.75</v>
      </c>
      <c r="D1616" s="235">
        <v>0.75</v>
      </c>
      <c r="E1616" s="236">
        <v>0.73</v>
      </c>
      <c r="F1616" s="30">
        <v>0.76</v>
      </c>
      <c r="G1616" s="30">
        <v>0.76</v>
      </c>
      <c r="H1616" s="30">
        <v>0.73</v>
      </c>
      <c r="I1616" s="30">
        <f>I1623/I1628</f>
        <v>0.74791121254698201</v>
      </c>
      <c r="J1616" s="251">
        <f>J1623/J1628</f>
        <v>0.74791121254698201</v>
      </c>
    </row>
    <row r="1617" spans="1:10" s="186" customFormat="1" x14ac:dyDescent="0.25">
      <c r="A1617" s="246" t="s">
        <v>19</v>
      </c>
      <c r="B1617" s="234">
        <v>0.02</v>
      </c>
      <c r="C1617" s="235">
        <v>0.02</v>
      </c>
      <c r="D1617" s="235">
        <v>0.01</v>
      </c>
      <c r="E1617" s="236">
        <v>0.01</v>
      </c>
      <c r="F1617" s="30">
        <v>0.01</v>
      </c>
      <c r="G1617" s="30">
        <v>0.03</v>
      </c>
      <c r="H1617" s="30">
        <v>0.02</v>
      </c>
      <c r="I1617" s="30">
        <f>I1624/I1628</f>
        <v>1.8930290443408E-2</v>
      </c>
      <c r="J1617" s="251">
        <f>J1624/J1628</f>
        <v>1.8930290443408E-2</v>
      </c>
    </row>
    <row r="1618" spans="1:10" s="186" customFormat="1" x14ac:dyDescent="0.25">
      <c r="A1618" s="246" t="s">
        <v>20</v>
      </c>
      <c r="B1618" s="234">
        <v>0.22</v>
      </c>
      <c r="C1618" s="235">
        <v>0.2</v>
      </c>
      <c r="D1618" s="235">
        <v>0.23</v>
      </c>
      <c r="E1618" s="236">
        <v>0.26</v>
      </c>
      <c r="F1618" s="30">
        <v>0.19</v>
      </c>
      <c r="G1618" s="30">
        <v>0.14000000000000001</v>
      </c>
      <c r="H1618" s="30">
        <v>0.18</v>
      </c>
      <c r="I1618" s="30">
        <f>I1625/I1628</f>
        <v>0.18670916667232779</v>
      </c>
      <c r="J1618" s="251">
        <f>J1625/J1628</f>
        <v>0.18670916667232779</v>
      </c>
    </row>
    <row r="1619" spans="1:10" s="186" customFormat="1" x14ac:dyDescent="0.25">
      <c r="A1619" s="246" t="s">
        <v>21</v>
      </c>
      <c r="B1619" s="234">
        <v>0.02</v>
      </c>
      <c r="C1619" s="235">
        <v>0.03</v>
      </c>
      <c r="D1619" s="235">
        <v>0.01</v>
      </c>
      <c r="E1619" s="236">
        <v>0</v>
      </c>
      <c r="F1619" s="30">
        <v>0.03</v>
      </c>
      <c r="G1619" s="30">
        <v>7.0000000000000007E-2</v>
      </c>
      <c r="H1619" s="30">
        <v>0.06</v>
      </c>
      <c r="I1619" s="30">
        <f>I1626/I1628</f>
        <v>4.2204011663457726E-2</v>
      </c>
      <c r="J1619" s="251">
        <f>J1626/J1628</f>
        <v>4.2204011663457733E-2</v>
      </c>
    </row>
    <row r="1620" spans="1:10" s="186" customFormat="1" x14ac:dyDescent="0.25">
      <c r="A1620" s="246" t="s">
        <v>22</v>
      </c>
      <c r="B1620" s="234">
        <v>0</v>
      </c>
      <c r="C1620" s="235">
        <v>0</v>
      </c>
      <c r="D1620" s="235">
        <v>0</v>
      </c>
      <c r="E1620" s="236">
        <v>0</v>
      </c>
      <c r="F1620" s="30">
        <v>0.01</v>
      </c>
      <c r="G1620" s="30">
        <v>0</v>
      </c>
      <c r="H1620" s="30">
        <v>0.01</v>
      </c>
      <c r="I1620" s="30">
        <f>I1627/I1628</f>
        <v>4.2453186738243233E-3</v>
      </c>
      <c r="J1620" s="251">
        <f>J1627/J1628</f>
        <v>4.2453186738243224E-3</v>
      </c>
    </row>
    <row r="1621" spans="1:10" s="186" customFormat="1" x14ac:dyDescent="0.25">
      <c r="A1621" s="252" t="s">
        <v>23</v>
      </c>
      <c r="B1621" s="253">
        <f t="shared" ref="B1621:J1621" si="790">B1632/B1615</f>
        <v>34867.708333333336</v>
      </c>
      <c r="C1621" s="66">
        <f t="shared" si="790"/>
        <v>35652.68817204301</v>
      </c>
      <c r="D1621" s="66">
        <f t="shared" si="790"/>
        <v>33457.407407407409</v>
      </c>
      <c r="E1621" s="66">
        <f t="shared" si="790"/>
        <v>36387</v>
      </c>
      <c r="F1621" s="66">
        <f t="shared" si="790"/>
        <v>40293.362831858409</v>
      </c>
      <c r="G1621" s="66">
        <f t="shared" si="790"/>
        <v>39046.127946127956</v>
      </c>
      <c r="H1621" s="66">
        <f t="shared" si="790"/>
        <v>38511.55378486056</v>
      </c>
      <c r="I1621" s="66">
        <f t="shared" si="790"/>
        <v>37817.677198975238</v>
      </c>
      <c r="J1621" s="254">
        <f t="shared" si="790"/>
        <v>37817.677198975238</v>
      </c>
    </row>
    <row r="1622" spans="1:10" s="186" customFormat="1" x14ac:dyDescent="0.25">
      <c r="A1622" s="252" t="s">
        <v>24</v>
      </c>
      <c r="B1622" s="253">
        <f t="shared" ref="B1622:I1622" si="791">+B1632/B1609</f>
        <v>28609.401709401711</v>
      </c>
      <c r="C1622" s="66">
        <f t="shared" si="791"/>
        <v>28339.316239316238</v>
      </c>
      <c r="D1622" s="66">
        <f t="shared" si="791"/>
        <v>27795.384615384617</v>
      </c>
      <c r="E1622" s="66">
        <f t="shared" si="791"/>
        <v>28206.976744186046</v>
      </c>
      <c r="F1622" s="66">
        <f t="shared" si="791"/>
        <v>29000.95541401274</v>
      </c>
      <c r="G1622" s="66">
        <f t="shared" si="791"/>
        <v>28775.930521091817</v>
      </c>
      <c r="H1622" s="66">
        <f t="shared" si="791"/>
        <v>28430.588235294119</v>
      </c>
      <c r="I1622" s="66">
        <f t="shared" si="791"/>
        <v>28570.645161290322</v>
      </c>
      <c r="J1622" s="254">
        <f>J1632/J1609</f>
        <v>28570.645161290322</v>
      </c>
    </row>
    <row r="1623" spans="1:10" s="186" customFormat="1" x14ac:dyDescent="0.25">
      <c r="A1623" s="246" t="s">
        <v>25</v>
      </c>
      <c r="B1623" s="255">
        <f t="shared" ref="B1623:H1623" si="792">B1628*B1616</f>
        <v>2034880.4517241381</v>
      </c>
      <c r="C1623" s="92">
        <f t="shared" si="792"/>
        <v>2043564.0517241382</v>
      </c>
      <c r="D1623" s="92">
        <f t="shared" si="792"/>
        <v>2218263.75</v>
      </c>
      <c r="E1623" s="92">
        <f t="shared" si="792"/>
        <v>2178177.9017241378</v>
      </c>
      <c r="F1623" s="92">
        <f t="shared" si="792"/>
        <v>5697597.3517241385</v>
      </c>
      <c r="G1623" s="92">
        <f t="shared" si="792"/>
        <v>7252262.1310344841</v>
      </c>
      <c r="H1623" s="92">
        <f t="shared" si="792"/>
        <v>5814156.8672413789</v>
      </c>
      <c r="I1623" s="31">
        <f t="shared" ref="I1623:I1628" si="793">SUM(B1623:H1623)</f>
        <v>27238902.505172413</v>
      </c>
      <c r="J1623" s="256">
        <f t="shared" ref="J1623:J1632" si="794">I1623/7</f>
        <v>3891271.7864532019</v>
      </c>
    </row>
    <row r="1624" spans="1:10" s="186" customFormat="1" x14ac:dyDescent="0.25">
      <c r="A1624" s="246" t="s">
        <v>26</v>
      </c>
      <c r="B1624" s="255">
        <f t="shared" ref="B1624:H1624" si="795">B1628*B1617</f>
        <v>54996.768965517243</v>
      </c>
      <c r="C1624" s="92">
        <f t="shared" si="795"/>
        <v>54495.041379310351</v>
      </c>
      <c r="D1624" s="92">
        <f t="shared" si="795"/>
        <v>29576.850000000002</v>
      </c>
      <c r="E1624" s="92">
        <f t="shared" si="795"/>
        <v>29838.053448275863</v>
      </c>
      <c r="F1624" s="92">
        <f t="shared" si="795"/>
        <v>74968.386206896554</v>
      </c>
      <c r="G1624" s="92">
        <f t="shared" si="795"/>
        <v>286273.50517241383</v>
      </c>
      <c r="H1624" s="92">
        <f t="shared" si="795"/>
        <v>159291.96896551724</v>
      </c>
      <c r="I1624" s="31">
        <f t="shared" si="793"/>
        <v>689440.57413793111</v>
      </c>
      <c r="J1624" s="256">
        <f t="shared" si="794"/>
        <v>98491.510591133017</v>
      </c>
    </row>
    <row r="1625" spans="1:10" s="186" customFormat="1" x14ac:dyDescent="0.25">
      <c r="A1625" s="246" t="s">
        <v>27</v>
      </c>
      <c r="B1625" s="255">
        <f t="shared" ref="B1625:H1625" si="796">B1628*B1618</f>
        <v>604964.45862068969</v>
      </c>
      <c r="C1625" s="92">
        <f t="shared" si="796"/>
        <v>544950.41379310354</v>
      </c>
      <c r="D1625" s="92">
        <f t="shared" si="796"/>
        <v>680267.55</v>
      </c>
      <c r="E1625" s="92">
        <f t="shared" si="796"/>
        <v>775789.38965517248</v>
      </c>
      <c r="F1625" s="92">
        <f t="shared" si="796"/>
        <v>1424399.3379310346</v>
      </c>
      <c r="G1625" s="92">
        <f t="shared" si="796"/>
        <v>1335943.0241379314</v>
      </c>
      <c r="H1625" s="92">
        <f t="shared" si="796"/>
        <v>1433627.720689655</v>
      </c>
      <c r="I1625" s="31">
        <f t="shared" si="793"/>
        <v>6799941.8948275866</v>
      </c>
      <c r="J1625" s="256">
        <f t="shared" si="794"/>
        <v>971420.27068965521</v>
      </c>
    </row>
    <row r="1626" spans="1:10" s="186" customFormat="1" x14ac:dyDescent="0.25">
      <c r="A1626" s="246" t="s">
        <v>28</v>
      </c>
      <c r="B1626" s="255">
        <f t="shared" ref="B1626:H1626" si="797">B1628*B1619</f>
        <v>54996.768965517243</v>
      </c>
      <c r="C1626" s="92">
        <f t="shared" si="797"/>
        <v>81742.562068965519</v>
      </c>
      <c r="D1626" s="92">
        <f t="shared" si="797"/>
        <v>29576.850000000002</v>
      </c>
      <c r="E1626" s="92">
        <f t="shared" si="797"/>
        <v>0</v>
      </c>
      <c r="F1626" s="92">
        <f t="shared" si="797"/>
        <v>224905.15862068968</v>
      </c>
      <c r="G1626" s="92">
        <f t="shared" si="797"/>
        <v>667971.51206896571</v>
      </c>
      <c r="H1626" s="92">
        <f t="shared" si="797"/>
        <v>477875.90689655172</v>
      </c>
      <c r="I1626" s="31">
        <f t="shared" si="793"/>
        <v>1537068.7586206896</v>
      </c>
      <c r="J1626" s="256">
        <f t="shared" si="794"/>
        <v>219581.2512315271</v>
      </c>
    </row>
    <row r="1627" spans="1:10" s="186" customFormat="1" x14ac:dyDescent="0.25">
      <c r="A1627" s="246" t="s">
        <v>29</v>
      </c>
      <c r="B1627" s="255">
        <f t="shared" ref="B1627:H1627" si="798">B1628*B1620</f>
        <v>0</v>
      </c>
      <c r="C1627" s="92">
        <f t="shared" si="798"/>
        <v>0</v>
      </c>
      <c r="D1627" s="92">
        <f t="shared" si="798"/>
        <v>0</v>
      </c>
      <c r="E1627" s="92">
        <f t="shared" si="798"/>
        <v>0</v>
      </c>
      <c r="F1627" s="92">
        <f t="shared" si="798"/>
        <v>74968.386206896554</v>
      </c>
      <c r="G1627" s="92">
        <f t="shared" si="798"/>
        <v>0</v>
      </c>
      <c r="H1627" s="92">
        <f t="shared" si="798"/>
        <v>79645.98448275862</v>
      </c>
      <c r="I1627" s="31">
        <f t="shared" si="793"/>
        <v>154614.37068965519</v>
      </c>
      <c r="J1627" s="256">
        <f t="shared" si="794"/>
        <v>22087.767241379312</v>
      </c>
    </row>
    <row r="1628" spans="1:10" s="186" customFormat="1" x14ac:dyDescent="0.25">
      <c r="A1628" s="257" t="s">
        <v>30</v>
      </c>
      <c r="B1628" s="258">
        <f>(3347300/1.16)-B1629</f>
        <v>2749838.4482758623</v>
      </c>
      <c r="C1628" s="258">
        <f>(3315700/1.16)-C1629</f>
        <v>2724752.0689655175</v>
      </c>
      <c r="D1628" s="258">
        <f>(3613400/1.16)-D1629</f>
        <v>2957685</v>
      </c>
      <c r="E1628" s="258">
        <f>(3638700/1.16)-E1629</f>
        <v>2983805.3448275863</v>
      </c>
      <c r="F1628" s="258">
        <f>(9106300/1.16)-F1629</f>
        <v>7496838.6206896557</v>
      </c>
      <c r="G1628" s="258">
        <f>(11596700/1.16)-G1629</f>
        <v>9542450.1724137943</v>
      </c>
      <c r="H1628" s="258">
        <f>(9666400/1.16)-H1629</f>
        <v>7964598.4482758623</v>
      </c>
      <c r="I1628" s="197">
        <f t="shared" si="793"/>
        <v>36419968.103448279</v>
      </c>
      <c r="J1628" s="259">
        <f t="shared" si="794"/>
        <v>5202852.5862068972</v>
      </c>
    </row>
    <row r="1629" spans="1:10" s="186" customFormat="1" x14ac:dyDescent="0.25">
      <c r="A1629" s="246" t="s">
        <v>31</v>
      </c>
      <c r="B1629" s="255">
        <f t="shared" ref="B1629:I1629" si="799">2155*B1610</f>
        <v>135765</v>
      </c>
      <c r="C1629" s="92">
        <f t="shared" si="799"/>
        <v>133610</v>
      </c>
      <c r="D1629" s="92">
        <f t="shared" si="799"/>
        <v>157315</v>
      </c>
      <c r="E1629" s="92">
        <f t="shared" si="799"/>
        <v>153005</v>
      </c>
      <c r="F1629" s="92">
        <f t="shared" si="799"/>
        <v>353420</v>
      </c>
      <c r="G1629" s="31">
        <f t="shared" si="799"/>
        <v>454705</v>
      </c>
      <c r="H1629" s="31">
        <f t="shared" si="799"/>
        <v>368505</v>
      </c>
      <c r="I1629" s="31">
        <f t="shared" si="799"/>
        <v>1756325</v>
      </c>
      <c r="J1629" s="256">
        <f t="shared" si="794"/>
        <v>250903.57142857142</v>
      </c>
    </row>
    <row r="1630" spans="1:10" s="186" customFormat="1" x14ac:dyDescent="0.25">
      <c r="A1630" s="260" t="s">
        <v>32</v>
      </c>
      <c r="B1630" s="261">
        <f>B1629+B1628</f>
        <v>2885603.4482758623</v>
      </c>
      <c r="C1630" s="199">
        <f>C1629+C1628</f>
        <v>2858362.0689655175</v>
      </c>
      <c r="D1630" s="199">
        <f>D1629+D1628</f>
        <v>3115000</v>
      </c>
      <c r="E1630" s="199">
        <f>E1629+E1628</f>
        <v>3136810.3448275863</v>
      </c>
      <c r="F1630" s="199">
        <f>F1628+F1629</f>
        <v>7850258.6206896557</v>
      </c>
      <c r="G1630" s="199">
        <f>G1629+G1628</f>
        <v>9997155.1724137943</v>
      </c>
      <c r="H1630" s="199">
        <f>H1629+H1628</f>
        <v>8333103.4482758623</v>
      </c>
      <c r="I1630" s="199">
        <f>I1628+I1629</f>
        <v>38176293.103448279</v>
      </c>
      <c r="J1630" s="262">
        <f t="shared" si="794"/>
        <v>5453756.1576354681</v>
      </c>
    </row>
    <row r="1631" spans="1:10" s="186" customFormat="1" x14ac:dyDescent="0.25">
      <c r="A1631" s="246" t="s">
        <v>33</v>
      </c>
      <c r="B1631" s="263">
        <f>B1630*16%</f>
        <v>461696.55172413797</v>
      </c>
      <c r="C1631" s="94">
        <f t="shared" ref="C1631:H1631" si="800">C1630*16%</f>
        <v>457337.93103448278</v>
      </c>
      <c r="D1631" s="94">
        <f t="shared" si="800"/>
        <v>498400</v>
      </c>
      <c r="E1631" s="94">
        <f t="shared" si="800"/>
        <v>501889.6551724138</v>
      </c>
      <c r="F1631" s="94">
        <f t="shared" si="800"/>
        <v>1256041.379310345</v>
      </c>
      <c r="G1631" s="94">
        <f t="shared" si="800"/>
        <v>1599544.8275862071</v>
      </c>
      <c r="H1631" s="94">
        <f t="shared" si="800"/>
        <v>1333296.551724138</v>
      </c>
      <c r="I1631" s="94">
        <f>I1630*16%</f>
        <v>6108206.8965517245</v>
      </c>
      <c r="J1631" s="256">
        <f t="shared" si="794"/>
        <v>872600.9852216749</v>
      </c>
    </row>
    <row r="1632" spans="1:10" s="186" customFormat="1" ht="15.75" thickBot="1" x14ac:dyDescent="0.3">
      <c r="A1632" s="264" t="s">
        <v>34</v>
      </c>
      <c r="B1632" s="265">
        <f>B1630+B1631</f>
        <v>3347300</v>
      </c>
      <c r="C1632" s="266">
        <f t="shared" ref="C1632:H1632" si="801">C1630+C1631</f>
        <v>3315700</v>
      </c>
      <c r="D1632" s="266">
        <f t="shared" si="801"/>
        <v>3613400</v>
      </c>
      <c r="E1632" s="266">
        <f t="shared" si="801"/>
        <v>3638700</v>
      </c>
      <c r="F1632" s="266">
        <f t="shared" si="801"/>
        <v>9106300</v>
      </c>
      <c r="G1632" s="266">
        <f t="shared" si="801"/>
        <v>11596700.000000002</v>
      </c>
      <c r="H1632" s="266">
        <f t="shared" si="801"/>
        <v>9666400</v>
      </c>
      <c r="I1632" s="266">
        <f>I1630+I1631</f>
        <v>44284500</v>
      </c>
      <c r="J1632" s="267">
        <f t="shared" si="794"/>
        <v>6326357.1428571427</v>
      </c>
    </row>
    <row r="1633" spans="1:10" s="186" customFormat="1" ht="15.75" thickBot="1" x14ac:dyDescent="0.3">
      <c r="A1633" s="204"/>
      <c r="B1633" s="112"/>
      <c r="C1633" s="112"/>
      <c r="D1633" s="112"/>
      <c r="E1633" s="112"/>
      <c r="F1633" s="112"/>
      <c r="G1633" s="112"/>
      <c r="H1633" s="112"/>
      <c r="I1633" s="112"/>
      <c r="J1633" s="205"/>
    </row>
    <row r="1634" spans="1:10" s="186" customFormat="1" ht="27" thickBot="1" x14ac:dyDescent="0.3">
      <c r="A1634"/>
      <c r="B1634" s="1002" t="s">
        <v>599</v>
      </c>
      <c r="C1634" s="1002"/>
      <c r="D1634" s="1002"/>
      <c r="E1634" s="1002"/>
      <c r="F1634" s="1002"/>
      <c r="G1634" s="1002"/>
      <c r="H1634" s="1002"/>
      <c r="I1634"/>
      <c r="J1634"/>
    </row>
    <row r="1635" spans="1:10" s="186" customFormat="1" ht="16.5" thickBot="1" x14ac:dyDescent="0.3">
      <c r="A1635" s="238" t="s">
        <v>2</v>
      </c>
      <c r="B1635" s="239" t="s">
        <v>600</v>
      </c>
      <c r="C1635" s="239" t="s">
        <v>601</v>
      </c>
      <c r="D1635" s="239" t="s">
        <v>602</v>
      </c>
      <c r="E1635" s="239" t="s">
        <v>603</v>
      </c>
      <c r="F1635" s="239" t="s">
        <v>604</v>
      </c>
      <c r="G1635" s="239" t="s">
        <v>605</v>
      </c>
      <c r="H1635" s="239" t="s">
        <v>606</v>
      </c>
      <c r="I1635" s="240" t="s">
        <v>96</v>
      </c>
      <c r="J1635" s="241" t="s">
        <v>97</v>
      </c>
    </row>
    <row r="1636" spans="1:10" s="186" customFormat="1" x14ac:dyDescent="0.25">
      <c r="A1636" s="242" t="s">
        <v>11</v>
      </c>
      <c r="B1636" s="243">
        <f>72+25+10</f>
        <v>107</v>
      </c>
      <c r="C1636" s="244">
        <f>80+42+10</f>
        <v>132</v>
      </c>
      <c r="D1636" s="244">
        <f>87+39+11</f>
        <v>137</v>
      </c>
      <c r="E1636" s="244">
        <f>106+42+16</f>
        <v>164</v>
      </c>
      <c r="F1636" s="244">
        <f>227+98+52</f>
        <v>377</v>
      </c>
      <c r="G1636" s="244">
        <f>210+158+49</f>
        <v>417</v>
      </c>
      <c r="H1636" s="268">
        <f>194+118+40</f>
        <v>352</v>
      </c>
      <c r="I1636" s="244">
        <f>SUM(B1636:H1636)</f>
        <v>1686</v>
      </c>
      <c r="J1636" s="245">
        <f>+I1636/7</f>
        <v>240.85714285714286</v>
      </c>
    </row>
    <row r="1637" spans="1:10" s="186" customFormat="1" x14ac:dyDescent="0.25">
      <c r="A1637" s="246" t="s">
        <v>12</v>
      </c>
      <c r="B1637" s="233">
        <v>52</v>
      </c>
      <c r="C1637" s="13">
        <v>61</v>
      </c>
      <c r="D1637" s="13">
        <v>71</v>
      </c>
      <c r="E1637" s="13">
        <v>87</v>
      </c>
      <c r="F1637" s="86">
        <v>172</v>
      </c>
      <c r="G1637" s="11">
        <v>222</v>
      </c>
      <c r="H1637" s="86">
        <v>208</v>
      </c>
      <c r="I1637" s="11">
        <f>SUM('PEPE SIERRA '!$B1637:$H1637)</f>
        <v>873</v>
      </c>
      <c r="J1637" s="247">
        <f t="shared" ref="J1637:J1642" si="802">I1637/7</f>
        <v>124.71428571428571</v>
      </c>
    </row>
    <row r="1638" spans="1:10" s="186" customFormat="1" x14ac:dyDescent="0.25">
      <c r="A1638" s="246" t="s">
        <v>13</v>
      </c>
      <c r="B1638" s="233">
        <v>1</v>
      </c>
      <c r="C1638" s="13">
        <v>0</v>
      </c>
      <c r="D1638" s="13">
        <v>3</v>
      </c>
      <c r="E1638" s="13">
        <v>1</v>
      </c>
      <c r="F1638" s="11">
        <v>6</v>
      </c>
      <c r="G1638" s="11">
        <v>5</v>
      </c>
      <c r="H1638" s="11">
        <v>12</v>
      </c>
      <c r="I1638" s="11">
        <f>SUM('PEPE SIERRA '!$B1638:$H1638)</f>
        <v>28</v>
      </c>
      <c r="J1638" s="247">
        <f t="shared" si="802"/>
        <v>4</v>
      </c>
    </row>
    <row r="1639" spans="1:10" s="186" customFormat="1" x14ac:dyDescent="0.25">
      <c r="A1639" s="246" t="s">
        <v>14</v>
      </c>
      <c r="B1639" s="233">
        <v>17</v>
      </c>
      <c r="C1639" s="13">
        <v>49</v>
      </c>
      <c r="D1639" s="13">
        <v>34</v>
      </c>
      <c r="E1639" s="13">
        <v>32</v>
      </c>
      <c r="F1639" s="11">
        <v>68</v>
      </c>
      <c r="G1639" s="11">
        <v>86</v>
      </c>
      <c r="H1639" s="86">
        <v>44</v>
      </c>
      <c r="I1639" s="11">
        <f>SUM('PEPE SIERRA '!$B1639:$H1639)</f>
        <v>330</v>
      </c>
      <c r="J1639" s="247">
        <f t="shared" si="802"/>
        <v>47.142857142857146</v>
      </c>
    </row>
    <row r="1640" spans="1:10" s="186" customFormat="1" x14ac:dyDescent="0.25">
      <c r="A1640" s="246" t="s">
        <v>15</v>
      </c>
      <c r="B1640" s="233">
        <v>9</v>
      </c>
      <c r="C1640" s="13">
        <v>0</v>
      </c>
      <c r="D1640" s="13">
        <v>3</v>
      </c>
      <c r="E1640" s="13">
        <v>4</v>
      </c>
      <c r="F1640" s="11">
        <v>24</v>
      </c>
      <c r="G1640" s="11">
        <v>21</v>
      </c>
      <c r="H1640" s="11">
        <v>15</v>
      </c>
      <c r="I1640" s="11">
        <f>SUM('PEPE SIERRA '!$B1640:$H1640)</f>
        <v>76</v>
      </c>
      <c r="J1640" s="247">
        <f t="shared" si="802"/>
        <v>10.857142857142858</v>
      </c>
    </row>
    <row r="1641" spans="1:10" s="186" customFormat="1" x14ac:dyDescent="0.25">
      <c r="A1641" s="246" t="s">
        <v>16</v>
      </c>
      <c r="B1641" s="233">
        <v>0</v>
      </c>
      <c r="C1641" s="13">
        <v>0</v>
      </c>
      <c r="D1641" s="13">
        <v>1</v>
      </c>
      <c r="E1641" s="13">
        <v>0</v>
      </c>
      <c r="F1641" s="11">
        <v>1</v>
      </c>
      <c r="G1641" s="11">
        <v>0</v>
      </c>
      <c r="H1641" s="11">
        <v>0</v>
      </c>
      <c r="I1641" s="11">
        <f>SUM('PEPE SIERRA '!$B1641:$H1641)</f>
        <v>2</v>
      </c>
      <c r="J1641" s="247">
        <f t="shared" si="802"/>
        <v>0.2857142857142857</v>
      </c>
    </row>
    <row r="1642" spans="1:10" s="186" customFormat="1" x14ac:dyDescent="0.25">
      <c r="A1642" s="248" t="s">
        <v>17</v>
      </c>
      <c r="B1642" s="249">
        <f>SUM(B1637:B1641)</f>
        <v>79</v>
      </c>
      <c r="C1642" s="192">
        <f t="shared" ref="C1642:I1642" si="803">SUM(C1637:C1641)</f>
        <v>110</v>
      </c>
      <c r="D1642" s="192">
        <f t="shared" si="803"/>
        <v>112</v>
      </c>
      <c r="E1642" s="192">
        <f t="shared" si="803"/>
        <v>124</v>
      </c>
      <c r="F1642" s="192">
        <f t="shared" si="803"/>
        <v>271</v>
      </c>
      <c r="G1642" s="192">
        <f t="shared" si="803"/>
        <v>334</v>
      </c>
      <c r="H1642" s="192">
        <f t="shared" si="803"/>
        <v>279</v>
      </c>
      <c r="I1642" s="192">
        <f t="shared" si="803"/>
        <v>1309</v>
      </c>
      <c r="J1642" s="250">
        <f t="shared" si="802"/>
        <v>187</v>
      </c>
    </row>
    <row r="1643" spans="1:10" s="186" customFormat="1" x14ac:dyDescent="0.25">
      <c r="A1643" s="246" t="s">
        <v>18</v>
      </c>
      <c r="B1643" s="234">
        <v>0.75</v>
      </c>
      <c r="C1643" s="235">
        <v>0.68</v>
      </c>
      <c r="D1643" s="235">
        <v>0.72</v>
      </c>
      <c r="E1643" s="236">
        <v>0.74</v>
      </c>
      <c r="F1643" s="30">
        <v>0.7</v>
      </c>
      <c r="G1643" s="30">
        <v>0.73</v>
      </c>
      <c r="H1643" s="30">
        <v>0.78</v>
      </c>
      <c r="I1643" s="30">
        <f>I1650/I1655</f>
        <v>0.73111777962879598</v>
      </c>
      <c r="J1643" s="251">
        <f>J1650/J1655</f>
        <v>0.73111777962879609</v>
      </c>
    </row>
    <row r="1644" spans="1:10" s="186" customFormat="1" x14ac:dyDescent="0.25">
      <c r="A1644" s="246" t="s">
        <v>19</v>
      </c>
      <c r="B1644" s="234">
        <v>0.01</v>
      </c>
      <c r="C1644" s="235">
        <v>0</v>
      </c>
      <c r="D1644" s="235">
        <v>0.02</v>
      </c>
      <c r="E1644" s="236">
        <v>0.01</v>
      </c>
      <c r="F1644" s="30">
        <v>0.01</v>
      </c>
      <c r="G1644" s="30">
        <v>0.02</v>
      </c>
      <c r="H1644" s="30">
        <v>0.03</v>
      </c>
      <c r="I1644" s="30">
        <f>I1651/I1655</f>
        <v>1.6757576417566401E-2</v>
      </c>
      <c r="J1644" s="251">
        <f>J1651/J1655</f>
        <v>1.6757576417566401E-2</v>
      </c>
    </row>
    <row r="1645" spans="1:10" s="186" customFormat="1" x14ac:dyDescent="0.25">
      <c r="A1645" s="246" t="s">
        <v>20</v>
      </c>
      <c r="B1645" s="234">
        <v>0.14000000000000001</v>
      </c>
      <c r="C1645" s="235">
        <v>0.32</v>
      </c>
      <c r="D1645" s="235">
        <v>0.23</v>
      </c>
      <c r="E1645" s="236">
        <v>0.22</v>
      </c>
      <c r="F1645" s="30">
        <v>0.22</v>
      </c>
      <c r="G1645" s="30">
        <v>0.2</v>
      </c>
      <c r="H1645" s="30">
        <v>0.13</v>
      </c>
      <c r="I1645" s="30">
        <f>I1652/I1655</f>
        <v>0.19999023880741515</v>
      </c>
      <c r="J1645" s="251">
        <f>J1652/J1655</f>
        <v>0.19999023880741515</v>
      </c>
    </row>
    <row r="1646" spans="1:10" s="186" customFormat="1" x14ac:dyDescent="0.25">
      <c r="A1646" s="246" t="s">
        <v>21</v>
      </c>
      <c r="B1646" s="234">
        <v>0.1</v>
      </c>
      <c r="C1646" s="235">
        <v>0</v>
      </c>
      <c r="D1646" s="235">
        <v>0.02</v>
      </c>
      <c r="E1646" s="236">
        <v>0.03</v>
      </c>
      <c r="F1646" s="30">
        <v>7.0000000000000007E-2</v>
      </c>
      <c r="G1646" s="30">
        <v>0.05</v>
      </c>
      <c r="H1646" s="30">
        <v>0.06</v>
      </c>
      <c r="I1646" s="30">
        <f>I1653/I1655</f>
        <v>5.1299528050843438E-2</v>
      </c>
      <c r="J1646" s="251">
        <f>J1653/J1655</f>
        <v>5.1299528050843438E-2</v>
      </c>
    </row>
    <row r="1647" spans="1:10" s="186" customFormat="1" x14ac:dyDescent="0.25">
      <c r="A1647" s="246" t="s">
        <v>22</v>
      </c>
      <c r="B1647" s="234">
        <v>0</v>
      </c>
      <c r="C1647" s="235">
        <v>0</v>
      </c>
      <c r="D1647" s="235">
        <v>0.01</v>
      </c>
      <c r="E1647" s="236">
        <v>0</v>
      </c>
      <c r="F1647" s="30">
        <v>0</v>
      </c>
      <c r="G1647" s="30">
        <v>0</v>
      </c>
      <c r="H1647" s="30">
        <v>0</v>
      </c>
      <c r="I1647" s="30">
        <f>I1654/I1655</f>
        <v>8.3487709537900735E-4</v>
      </c>
      <c r="J1647" s="251">
        <f>J1654/J1655</f>
        <v>8.3487709537900746E-4</v>
      </c>
    </row>
    <row r="1648" spans="1:10" s="186" customFormat="1" x14ac:dyDescent="0.25">
      <c r="A1648" s="252" t="s">
        <v>23</v>
      </c>
      <c r="B1648" s="253">
        <f t="shared" ref="B1648:J1648" si="804">B1659/B1642</f>
        <v>37182.278481012661</v>
      </c>
      <c r="C1648" s="66">
        <f t="shared" si="804"/>
        <v>34831.818181818184</v>
      </c>
      <c r="D1648" s="66">
        <f t="shared" si="804"/>
        <v>36912.500000000007</v>
      </c>
      <c r="E1648" s="66">
        <f t="shared" si="804"/>
        <v>37619.354838709674</v>
      </c>
      <c r="F1648" s="66">
        <f t="shared" si="804"/>
        <v>40990.774907749081</v>
      </c>
      <c r="G1648" s="66">
        <f t="shared" si="804"/>
        <v>37288.023952095806</v>
      </c>
      <c r="H1648" s="66">
        <f t="shared" si="804"/>
        <v>37435.483870967742</v>
      </c>
      <c r="I1648" s="66">
        <f t="shared" si="804"/>
        <v>37872.498090145149</v>
      </c>
      <c r="J1648" s="254">
        <f t="shared" si="804"/>
        <v>37872.498090145149</v>
      </c>
    </row>
    <row r="1649" spans="1:10" s="186" customFormat="1" x14ac:dyDescent="0.25">
      <c r="A1649" s="252" t="s">
        <v>24</v>
      </c>
      <c r="B1649" s="253">
        <f t="shared" ref="B1649:I1649" si="805">+B1659/B1636</f>
        <v>27452.336448598129</v>
      </c>
      <c r="C1649" s="66">
        <f t="shared" si="805"/>
        <v>29026.515151515152</v>
      </c>
      <c r="D1649" s="66">
        <f t="shared" si="805"/>
        <v>30176.642335766428</v>
      </c>
      <c r="E1649" s="66">
        <f t="shared" si="805"/>
        <v>28443.90243902439</v>
      </c>
      <c r="F1649" s="66">
        <f t="shared" si="805"/>
        <v>29465.517241379315</v>
      </c>
      <c r="G1649" s="66">
        <f t="shared" si="805"/>
        <v>29866.187050359713</v>
      </c>
      <c r="H1649" s="66">
        <f t="shared" si="805"/>
        <v>29671.875</v>
      </c>
      <c r="I1649" s="66">
        <f t="shared" si="805"/>
        <v>29403.97390272835</v>
      </c>
      <c r="J1649" s="254">
        <f>J1659/J1636</f>
        <v>29403.97390272835</v>
      </c>
    </row>
    <row r="1650" spans="1:10" s="186" customFormat="1" x14ac:dyDescent="0.25">
      <c r="A1650" s="246" t="s">
        <v>25</v>
      </c>
      <c r="B1650" s="255">
        <f t="shared" ref="B1650:H1650" si="806">B1655*B1643</f>
        <v>1815136.0344827585</v>
      </c>
      <c r="C1650" s="92">
        <f t="shared" si="806"/>
        <v>2156662.3241379312</v>
      </c>
      <c r="D1650" s="92">
        <f t="shared" si="806"/>
        <v>2455891.5724137933</v>
      </c>
      <c r="E1650" s="92">
        <f t="shared" si="806"/>
        <v>2837081.7896551727</v>
      </c>
      <c r="F1650" s="92">
        <f t="shared" si="806"/>
        <v>6443943.1724137934</v>
      </c>
      <c r="G1650" s="92">
        <f t="shared" si="806"/>
        <v>7488317.5965517247</v>
      </c>
      <c r="H1650" s="92">
        <f t="shared" si="806"/>
        <v>6673398.6620689658</v>
      </c>
      <c r="I1650" s="31">
        <f t="shared" ref="I1650:I1655" si="807">SUM(B1650:H1650)</f>
        <v>29870431.151724141</v>
      </c>
      <c r="J1650" s="256">
        <f t="shared" ref="J1650:J1659" si="808">I1650/7</f>
        <v>4267204.4502463061</v>
      </c>
    </row>
    <row r="1651" spans="1:10" s="186" customFormat="1" x14ac:dyDescent="0.25">
      <c r="A1651" s="246" t="s">
        <v>26</v>
      </c>
      <c r="B1651" s="255">
        <f t="shared" ref="B1651:H1651" si="809">B1655*B1644</f>
        <v>24201.813793103447</v>
      </c>
      <c r="C1651" s="92">
        <f t="shared" si="809"/>
        <v>0</v>
      </c>
      <c r="D1651" s="92">
        <f t="shared" si="809"/>
        <v>68219.210344827588</v>
      </c>
      <c r="E1651" s="92">
        <f t="shared" si="809"/>
        <v>38338.943103448277</v>
      </c>
      <c r="F1651" s="92">
        <f t="shared" si="809"/>
        <v>92056.331034482777</v>
      </c>
      <c r="G1651" s="92">
        <f t="shared" si="809"/>
        <v>205159.38620689657</v>
      </c>
      <c r="H1651" s="92">
        <f t="shared" si="809"/>
        <v>256669.17931034483</v>
      </c>
      <c r="I1651" s="31">
        <f t="shared" si="807"/>
        <v>684644.86379310349</v>
      </c>
      <c r="J1651" s="256">
        <f t="shared" si="808"/>
        <v>97806.409113300499</v>
      </c>
    </row>
    <row r="1652" spans="1:10" s="186" customFormat="1" x14ac:dyDescent="0.25">
      <c r="A1652" s="246" t="s">
        <v>27</v>
      </c>
      <c r="B1652" s="255">
        <f t="shared" ref="B1652:H1652" si="810">B1655*B1645</f>
        <v>338825.39310344832</v>
      </c>
      <c r="C1652" s="92">
        <f t="shared" si="810"/>
        <v>1014899.9172413794</v>
      </c>
      <c r="D1652" s="92">
        <f t="shared" si="810"/>
        <v>784520.91896551731</v>
      </c>
      <c r="E1652" s="92">
        <f t="shared" si="810"/>
        <v>843456.74827586208</v>
      </c>
      <c r="F1652" s="92">
        <f t="shared" si="810"/>
        <v>2025239.282758621</v>
      </c>
      <c r="G1652" s="92">
        <f t="shared" si="810"/>
        <v>2051593.8620689658</v>
      </c>
      <c r="H1652" s="92">
        <f t="shared" si="810"/>
        <v>1112233.1103448276</v>
      </c>
      <c r="I1652" s="31">
        <f t="shared" si="807"/>
        <v>8170769.2327586208</v>
      </c>
      <c r="J1652" s="256">
        <f t="shared" si="808"/>
        <v>1167252.7475369459</v>
      </c>
    </row>
    <row r="1653" spans="1:10" s="186" customFormat="1" x14ac:dyDescent="0.25">
      <c r="A1653" s="246" t="s">
        <v>28</v>
      </c>
      <c r="B1653" s="255">
        <f t="shared" ref="B1653:H1653" si="811">B1655*B1646</f>
        <v>242018.13793103449</v>
      </c>
      <c r="C1653" s="92">
        <f t="shared" si="811"/>
        <v>0</v>
      </c>
      <c r="D1653" s="92">
        <f t="shared" si="811"/>
        <v>68219.210344827588</v>
      </c>
      <c r="E1653" s="92">
        <f t="shared" si="811"/>
        <v>115016.82931034484</v>
      </c>
      <c r="F1653" s="92">
        <f t="shared" si="811"/>
        <v>644394.31724137953</v>
      </c>
      <c r="G1653" s="92">
        <f t="shared" si="811"/>
        <v>512898.46551724145</v>
      </c>
      <c r="H1653" s="92">
        <f t="shared" si="811"/>
        <v>513338.35862068966</v>
      </c>
      <c r="I1653" s="31">
        <f t="shared" si="807"/>
        <v>2095885.3189655177</v>
      </c>
      <c r="J1653" s="256">
        <f t="shared" si="808"/>
        <v>299412.18842364539</v>
      </c>
    </row>
    <row r="1654" spans="1:10" s="186" customFormat="1" x14ac:dyDescent="0.25">
      <c r="A1654" s="246" t="s">
        <v>29</v>
      </c>
      <c r="B1654" s="255">
        <f t="shared" ref="B1654:H1654" si="812">B1655*B1647</f>
        <v>0</v>
      </c>
      <c r="C1654" s="92">
        <f t="shared" si="812"/>
        <v>0</v>
      </c>
      <c r="D1654" s="92">
        <f t="shared" si="812"/>
        <v>34109.605172413794</v>
      </c>
      <c r="E1654" s="92">
        <f t="shared" si="812"/>
        <v>0</v>
      </c>
      <c r="F1654" s="92">
        <f t="shared" si="812"/>
        <v>0</v>
      </c>
      <c r="G1654" s="92">
        <f t="shared" si="812"/>
        <v>0</v>
      </c>
      <c r="H1654" s="92">
        <f t="shared" si="812"/>
        <v>0</v>
      </c>
      <c r="I1654" s="31">
        <f t="shared" si="807"/>
        <v>34109.605172413794</v>
      </c>
      <c r="J1654" s="256">
        <f t="shared" si="808"/>
        <v>4872.8007389162567</v>
      </c>
    </row>
    <row r="1655" spans="1:10" s="186" customFormat="1" x14ac:dyDescent="0.25">
      <c r="A1655" s="257" t="s">
        <v>30</v>
      </c>
      <c r="B1655" s="258">
        <f>(2937400/1.16)-B1656</f>
        <v>2420181.3793103448</v>
      </c>
      <c r="C1655" s="258">
        <f>(3831500/1.16)-C1656</f>
        <v>3171562.2413793104</v>
      </c>
      <c r="D1655" s="258">
        <f>(4134200/1.16)-D1656</f>
        <v>3410960.5172413797</v>
      </c>
      <c r="E1655" s="258">
        <f>(4664800/1.16)-E1656</f>
        <v>3833894.3103448278</v>
      </c>
      <c r="F1655" s="258">
        <f>(11108500/1.16)-F1656</f>
        <v>9205633.1034482773</v>
      </c>
      <c r="G1655" s="258">
        <f>(12454200/1.16)-G1656</f>
        <v>10257969.310344828</v>
      </c>
      <c r="H1655" s="258">
        <f>(10444500/1.16)-H1656</f>
        <v>8555639.3103448283</v>
      </c>
      <c r="I1655" s="197">
        <f t="shared" si="807"/>
        <v>40855840.172413796</v>
      </c>
      <c r="J1655" s="259">
        <f t="shared" si="808"/>
        <v>5836548.5960591137</v>
      </c>
    </row>
    <row r="1656" spans="1:10" s="186" customFormat="1" x14ac:dyDescent="0.25">
      <c r="A1656" s="246" t="s">
        <v>31</v>
      </c>
      <c r="B1656" s="255">
        <f t="shared" ref="B1656:I1656" si="813">2155*B1637</f>
        <v>112060</v>
      </c>
      <c r="C1656" s="92">
        <f t="shared" si="813"/>
        <v>131455</v>
      </c>
      <c r="D1656" s="92">
        <f t="shared" si="813"/>
        <v>153005</v>
      </c>
      <c r="E1656" s="92">
        <f t="shared" si="813"/>
        <v>187485</v>
      </c>
      <c r="F1656" s="92">
        <f t="shared" si="813"/>
        <v>370660</v>
      </c>
      <c r="G1656" s="31">
        <f t="shared" si="813"/>
        <v>478410</v>
      </c>
      <c r="H1656" s="31">
        <f t="shared" si="813"/>
        <v>448240</v>
      </c>
      <c r="I1656" s="31">
        <f t="shared" si="813"/>
        <v>1881315</v>
      </c>
      <c r="J1656" s="256">
        <f t="shared" si="808"/>
        <v>268759.28571428574</v>
      </c>
    </row>
    <row r="1657" spans="1:10" s="186" customFormat="1" x14ac:dyDescent="0.25">
      <c r="A1657" s="260" t="s">
        <v>32</v>
      </c>
      <c r="B1657" s="261">
        <f>B1656+B1655</f>
        <v>2532241.3793103448</v>
      </c>
      <c r="C1657" s="199">
        <f>C1656+C1655</f>
        <v>3303017.2413793104</v>
      </c>
      <c r="D1657" s="199">
        <f>D1656+D1655</f>
        <v>3563965.5172413797</v>
      </c>
      <c r="E1657" s="199">
        <f>E1656+E1655</f>
        <v>4021379.3103448278</v>
      </c>
      <c r="F1657" s="199">
        <f>F1655+F1656</f>
        <v>9576293.1034482773</v>
      </c>
      <c r="G1657" s="199">
        <f>G1656+G1655</f>
        <v>10736379.310344828</v>
      </c>
      <c r="H1657" s="199">
        <f>H1656+H1655</f>
        <v>9003879.3103448283</v>
      </c>
      <c r="I1657" s="199">
        <f>I1655+I1656</f>
        <v>42737155.172413796</v>
      </c>
      <c r="J1657" s="262">
        <f t="shared" si="808"/>
        <v>6105307.8817733992</v>
      </c>
    </row>
    <row r="1658" spans="1:10" s="186" customFormat="1" x14ac:dyDescent="0.25">
      <c r="A1658" s="246" t="s">
        <v>33</v>
      </c>
      <c r="B1658" s="263">
        <f>B1657*16%</f>
        <v>405158.62068965519</v>
      </c>
      <c r="C1658" s="94">
        <f t="shared" ref="C1658:H1658" si="814">C1657*16%</f>
        <v>528482.75862068962</v>
      </c>
      <c r="D1658" s="94">
        <f t="shared" si="814"/>
        <v>570234.48275862075</v>
      </c>
      <c r="E1658" s="94">
        <f t="shared" si="814"/>
        <v>643420.68965517252</v>
      </c>
      <c r="F1658" s="94">
        <f t="shared" si="814"/>
        <v>1532206.8965517243</v>
      </c>
      <c r="G1658" s="94">
        <f t="shared" si="814"/>
        <v>1717820.6896551726</v>
      </c>
      <c r="H1658" s="94">
        <f t="shared" si="814"/>
        <v>1440620.6896551726</v>
      </c>
      <c r="I1658" s="94">
        <f>I1657*16%</f>
        <v>6837944.8275862075</v>
      </c>
      <c r="J1658" s="256">
        <f t="shared" si="808"/>
        <v>976849.26108374388</v>
      </c>
    </row>
    <row r="1659" spans="1:10" s="186" customFormat="1" ht="15.75" thickBot="1" x14ac:dyDescent="0.3">
      <c r="A1659" s="264" t="s">
        <v>34</v>
      </c>
      <c r="B1659" s="265">
        <f>B1657+B1658</f>
        <v>2937400</v>
      </c>
      <c r="C1659" s="266">
        <f t="shared" ref="C1659:H1659" si="815">C1657+C1658</f>
        <v>3831500</v>
      </c>
      <c r="D1659" s="266">
        <f t="shared" si="815"/>
        <v>4134200.0000000005</v>
      </c>
      <c r="E1659" s="266">
        <f t="shared" si="815"/>
        <v>4664800</v>
      </c>
      <c r="F1659" s="266">
        <f t="shared" si="815"/>
        <v>11108500.000000002</v>
      </c>
      <c r="G1659" s="266">
        <f t="shared" si="815"/>
        <v>12454200</v>
      </c>
      <c r="H1659" s="266">
        <f t="shared" si="815"/>
        <v>10444500</v>
      </c>
      <c r="I1659" s="266">
        <f>I1657+I1658</f>
        <v>49575100</v>
      </c>
      <c r="J1659" s="267">
        <f t="shared" si="808"/>
        <v>7082157.1428571427</v>
      </c>
    </row>
    <row r="1660" spans="1:10" s="186" customFormat="1" ht="15.75" thickBot="1" x14ac:dyDescent="0.3">
      <c r="A1660" s="204"/>
      <c r="B1660" s="112"/>
      <c r="C1660" s="112"/>
      <c r="D1660" s="112"/>
      <c r="E1660" s="112"/>
      <c r="F1660" s="112"/>
      <c r="G1660" s="112"/>
      <c r="H1660" s="112"/>
      <c r="I1660" s="112"/>
      <c r="J1660" s="205"/>
    </row>
    <row r="1661" spans="1:10" s="186" customFormat="1" ht="27" thickBot="1" x14ac:dyDescent="0.3">
      <c r="A1661"/>
      <c r="B1661" s="1002" t="s">
        <v>617</v>
      </c>
      <c r="C1661" s="1002"/>
      <c r="D1661" s="1002"/>
      <c r="E1661" s="1002"/>
      <c r="F1661" s="1002"/>
      <c r="G1661" s="1002"/>
      <c r="H1661" s="1002"/>
      <c r="I1661"/>
      <c r="J1661"/>
    </row>
    <row r="1662" spans="1:10" s="186" customFormat="1" ht="16.5" thickBot="1" x14ac:dyDescent="0.3">
      <c r="A1662" s="238" t="s">
        <v>2</v>
      </c>
      <c r="B1662" s="239" t="s">
        <v>608</v>
      </c>
      <c r="C1662" s="239" t="s">
        <v>609</v>
      </c>
      <c r="D1662" s="239" t="s">
        <v>610</v>
      </c>
      <c r="E1662" s="239" t="s">
        <v>611</v>
      </c>
      <c r="F1662" s="239" t="s">
        <v>612</v>
      </c>
      <c r="G1662" s="239" t="s">
        <v>613</v>
      </c>
      <c r="H1662" s="239" t="s">
        <v>614</v>
      </c>
      <c r="I1662" s="240" t="s">
        <v>96</v>
      </c>
      <c r="J1662" s="241" t="s">
        <v>97</v>
      </c>
    </row>
    <row r="1663" spans="1:10" s="186" customFormat="1" x14ac:dyDescent="0.25">
      <c r="A1663" s="242" t="s">
        <v>11</v>
      </c>
      <c r="B1663" s="243">
        <v>94</v>
      </c>
      <c r="C1663" s="244">
        <f>88+44+15</f>
        <v>147</v>
      </c>
      <c r="D1663" s="244">
        <f>89+36+13</f>
        <v>138</v>
      </c>
      <c r="E1663" s="268">
        <f>91+48+18</f>
        <v>157</v>
      </c>
      <c r="F1663" s="244">
        <f>183+114+35</f>
        <v>332</v>
      </c>
      <c r="G1663" s="244">
        <f>205+135+30</f>
        <v>370</v>
      </c>
      <c r="H1663" s="268">
        <f>185+121+50</f>
        <v>356</v>
      </c>
      <c r="I1663" s="244">
        <f>SUM(B1663:H1663)</f>
        <v>1594</v>
      </c>
      <c r="J1663" s="245">
        <f>+I1663/7</f>
        <v>227.71428571428572</v>
      </c>
    </row>
    <row r="1664" spans="1:10" s="186" customFormat="1" x14ac:dyDescent="0.25">
      <c r="A1664" s="246" t="s">
        <v>12</v>
      </c>
      <c r="B1664" s="233">
        <v>50</v>
      </c>
      <c r="C1664" s="13">
        <v>88</v>
      </c>
      <c r="D1664" s="13">
        <v>70</v>
      </c>
      <c r="E1664" s="13">
        <v>84</v>
      </c>
      <c r="F1664" s="86">
        <v>187</v>
      </c>
      <c r="G1664" s="11">
        <v>208</v>
      </c>
      <c r="H1664" s="86">
        <v>197</v>
      </c>
      <c r="I1664" s="11">
        <f>SUM('PEPE SIERRA '!$B1664:$H1664)</f>
        <v>884</v>
      </c>
      <c r="J1664" s="247">
        <f t="shared" ref="J1664:J1669" si="816">I1664/7</f>
        <v>126.28571428571429</v>
      </c>
    </row>
    <row r="1665" spans="1:10" s="186" customFormat="1" x14ac:dyDescent="0.25">
      <c r="A1665" s="246" t="s">
        <v>13</v>
      </c>
      <c r="B1665" s="233">
        <v>3</v>
      </c>
      <c r="C1665" s="13">
        <v>1</v>
      </c>
      <c r="D1665" s="13">
        <v>3</v>
      </c>
      <c r="E1665" s="13">
        <v>3</v>
      </c>
      <c r="F1665" s="11">
        <v>5</v>
      </c>
      <c r="G1665" s="11">
        <v>4</v>
      </c>
      <c r="H1665" s="11">
        <v>6</v>
      </c>
      <c r="I1665" s="11">
        <f>SUM('PEPE SIERRA '!$B1665:$H1665)</f>
        <v>25</v>
      </c>
      <c r="J1665" s="247">
        <f t="shared" si="816"/>
        <v>3.5714285714285716</v>
      </c>
    </row>
    <row r="1666" spans="1:10" s="186" customFormat="1" x14ac:dyDescent="0.25">
      <c r="A1666" s="246" t="s">
        <v>14</v>
      </c>
      <c r="B1666" s="233">
        <v>25</v>
      </c>
      <c r="C1666" s="13">
        <v>24</v>
      </c>
      <c r="D1666" s="13">
        <v>41</v>
      </c>
      <c r="E1666" s="13">
        <v>36</v>
      </c>
      <c r="F1666" s="11">
        <v>58</v>
      </c>
      <c r="G1666" s="11">
        <v>56</v>
      </c>
      <c r="H1666" s="86">
        <v>54</v>
      </c>
      <c r="I1666" s="11">
        <f>SUM('PEPE SIERRA '!$B1666:$H1666)</f>
        <v>294</v>
      </c>
      <c r="J1666" s="247">
        <f t="shared" si="816"/>
        <v>42</v>
      </c>
    </row>
    <row r="1667" spans="1:10" s="186" customFormat="1" x14ac:dyDescent="0.25">
      <c r="A1667" s="246" t="s">
        <v>15</v>
      </c>
      <c r="B1667" s="233">
        <v>4</v>
      </c>
      <c r="C1667" s="13">
        <v>2</v>
      </c>
      <c r="D1667" s="13">
        <v>0</v>
      </c>
      <c r="E1667" s="13">
        <v>3</v>
      </c>
      <c r="F1667" s="11">
        <v>10</v>
      </c>
      <c r="G1667" s="11">
        <v>22</v>
      </c>
      <c r="H1667" s="11">
        <v>12</v>
      </c>
      <c r="I1667" s="11">
        <f>SUM('PEPE SIERRA '!$B1667:$H1667)</f>
        <v>53</v>
      </c>
      <c r="J1667" s="247">
        <f t="shared" si="816"/>
        <v>7.5714285714285712</v>
      </c>
    </row>
    <row r="1668" spans="1:10" s="186" customFormat="1" x14ac:dyDescent="0.25">
      <c r="A1668" s="246" t="s">
        <v>16</v>
      </c>
      <c r="B1668" s="233">
        <v>0</v>
      </c>
      <c r="C1668" s="13">
        <v>0</v>
      </c>
      <c r="D1668" s="13">
        <v>0</v>
      </c>
      <c r="E1668" s="13">
        <v>0</v>
      </c>
      <c r="F1668" s="11">
        <v>0</v>
      </c>
      <c r="G1668" s="11">
        <v>0</v>
      </c>
      <c r="H1668" s="11">
        <v>0</v>
      </c>
      <c r="I1668" s="11">
        <f>SUM('PEPE SIERRA '!$B1668:$H1668)</f>
        <v>0</v>
      </c>
      <c r="J1668" s="247">
        <f t="shared" si="816"/>
        <v>0</v>
      </c>
    </row>
    <row r="1669" spans="1:10" s="186" customFormat="1" x14ac:dyDescent="0.25">
      <c r="A1669" s="248" t="s">
        <v>17</v>
      </c>
      <c r="B1669" s="249">
        <f>SUM(B1664:B1668)</f>
        <v>82</v>
      </c>
      <c r="C1669" s="192">
        <f t="shared" ref="C1669:I1669" si="817">SUM(C1664:C1668)</f>
        <v>115</v>
      </c>
      <c r="D1669" s="192">
        <f t="shared" si="817"/>
        <v>114</v>
      </c>
      <c r="E1669" s="192">
        <f t="shared" si="817"/>
        <v>126</v>
      </c>
      <c r="F1669" s="192">
        <f t="shared" si="817"/>
        <v>260</v>
      </c>
      <c r="G1669" s="192">
        <f t="shared" si="817"/>
        <v>290</v>
      </c>
      <c r="H1669" s="192">
        <f t="shared" si="817"/>
        <v>269</v>
      </c>
      <c r="I1669" s="192">
        <f t="shared" si="817"/>
        <v>1256</v>
      </c>
      <c r="J1669" s="250">
        <f t="shared" si="816"/>
        <v>179.42857142857142</v>
      </c>
    </row>
    <row r="1670" spans="1:10" s="186" customFormat="1" x14ac:dyDescent="0.25">
      <c r="A1670" s="246" t="s">
        <v>18</v>
      </c>
      <c r="B1670" s="234">
        <v>0.67</v>
      </c>
      <c r="C1670" s="235">
        <v>0.84</v>
      </c>
      <c r="D1670" s="235">
        <v>0.67</v>
      </c>
      <c r="E1670" s="236">
        <v>0.72</v>
      </c>
      <c r="F1670" s="30">
        <v>0.76</v>
      </c>
      <c r="G1670" s="30">
        <v>0.77</v>
      </c>
      <c r="H1670" s="30">
        <v>0.76</v>
      </c>
      <c r="I1670" s="30">
        <f>I1677/I1682</f>
        <v>0.75326623502570256</v>
      </c>
      <c r="J1670" s="251">
        <f>J1677/J1682</f>
        <v>0.75326623502570267</v>
      </c>
    </row>
    <row r="1671" spans="1:10" s="186" customFormat="1" x14ac:dyDescent="0.25">
      <c r="A1671" s="246" t="s">
        <v>19</v>
      </c>
      <c r="B1671" s="234">
        <v>0.03</v>
      </c>
      <c r="C1671" s="235">
        <v>0.01</v>
      </c>
      <c r="D1671" s="235">
        <v>0.04</v>
      </c>
      <c r="E1671" s="236">
        <v>0.03</v>
      </c>
      <c r="F1671" s="30">
        <v>0.02</v>
      </c>
      <c r="G1671" s="30">
        <v>0.01</v>
      </c>
      <c r="H1671" s="30">
        <v>0.02</v>
      </c>
      <c r="I1671" s="30">
        <f>I1678/I1682</f>
        <v>1.9841155513700966E-2</v>
      </c>
      <c r="J1671" s="251">
        <f>J1678/J1682</f>
        <v>1.984115551370097E-2</v>
      </c>
    </row>
    <row r="1672" spans="1:10" s="186" customFormat="1" x14ac:dyDescent="0.25">
      <c r="A1672" s="246" t="s">
        <v>20</v>
      </c>
      <c r="B1672" s="234">
        <v>0.26</v>
      </c>
      <c r="C1672" s="235">
        <v>0.14000000000000001</v>
      </c>
      <c r="D1672" s="235">
        <v>0.28999999999999998</v>
      </c>
      <c r="E1672" s="236">
        <v>0.24</v>
      </c>
      <c r="F1672" s="30">
        <v>0.18</v>
      </c>
      <c r="G1672" s="30">
        <v>0.15</v>
      </c>
      <c r="H1672" s="30">
        <v>0.19</v>
      </c>
      <c r="I1672" s="30">
        <f>I1679/I1682</f>
        <v>0.19063259370543828</v>
      </c>
      <c r="J1672" s="251">
        <f>J1679/J1682</f>
        <v>0.19063259370543828</v>
      </c>
    </row>
    <row r="1673" spans="1:10" s="186" customFormat="1" x14ac:dyDescent="0.25">
      <c r="A1673" s="246" t="s">
        <v>21</v>
      </c>
      <c r="B1673" s="234">
        <v>0.04</v>
      </c>
      <c r="C1673" s="235">
        <v>0.01</v>
      </c>
      <c r="D1673" s="235">
        <v>0</v>
      </c>
      <c r="E1673" s="236">
        <v>0.01</v>
      </c>
      <c r="F1673" s="30">
        <v>0.04</v>
      </c>
      <c r="G1673" s="30">
        <v>7.0000000000000007E-2</v>
      </c>
      <c r="H1673" s="30">
        <v>0.03</v>
      </c>
      <c r="I1673" s="30">
        <f>I1680/I1682</f>
        <v>3.626001575515838E-2</v>
      </c>
      <c r="J1673" s="251">
        <f>J1680/J1682</f>
        <v>3.6260015755158387E-2</v>
      </c>
    </row>
    <row r="1674" spans="1:10" s="186" customFormat="1" x14ac:dyDescent="0.25">
      <c r="A1674" s="246" t="s">
        <v>22</v>
      </c>
      <c r="B1674" s="234">
        <v>0</v>
      </c>
      <c r="C1674" s="235">
        <v>0</v>
      </c>
      <c r="D1674" s="235">
        <v>0</v>
      </c>
      <c r="E1674" s="236">
        <v>0</v>
      </c>
      <c r="F1674" s="30">
        <v>0</v>
      </c>
      <c r="G1674" s="30">
        <v>0</v>
      </c>
      <c r="H1674" s="30">
        <v>0</v>
      </c>
      <c r="I1674" s="30">
        <f>I1681/I1682</f>
        <v>0</v>
      </c>
      <c r="J1674" s="251">
        <f>J1681/J1682</f>
        <v>0</v>
      </c>
    </row>
    <row r="1675" spans="1:10" s="186" customFormat="1" x14ac:dyDescent="0.25">
      <c r="A1675" s="252" t="s">
        <v>23</v>
      </c>
      <c r="B1675" s="253">
        <f t="shared" ref="B1675:J1675" si="818">B1686/B1669</f>
        <v>33102.439024390245</v>
      </c>
      <c r="C1675" s="66">
        <f t="shared" si="818"/>
        <v>35829.565217391304</v>
      </c>
      <c r="D1675" s="66">
        <f t="shared" si="818"/>
        <v>32179.824561403508</v>
      </c>
      <c r="E1675" s="66">
        <f t="shared" si="818"/>
        <v>34400</v>
      </c>
      <c r="F1675" s="66">
        <f t="shared" si="818"/>
        <v>38014.230769230766</v>
      </c>
      <c r="G1675" s="66">
        <f t="shared" si="818"/>
        <v>37990.689655172413</v>
      </c>
      <c r="H1675" s="66">
        <f t="shared" si="818"/>
        <v>38455.39033457249</v>
      </c>
      <c r="I1675" s="66">
        <f t="shared" si="818"/>
        <v>36690.445859872612</v>
      </c>
      <c r="J1675" s="254">
        <f t="shared" si="818"/>
        <v>36690.445859872612</v>
      </c>
    </row>
    <row r="1676" spans="1:10" s="186" customFormat="1" x14ac:dyDescent="0.25">
      <c r="A1676" s="252" t="s">
        <v>24</v>
      </c>
      <c r="B1676" s="253">
        <f t="shared" ref="B1676:I1676" si="819">+B1686/B1663</f>
        <v>28876.59574468085</v>
      </c>
      <c r="C1676" s="66">
        <f t="shared" si="819"/>
        <v>28029.931972789116</v>
      </c>
      <c r="D1676" s="66">
        <f t="shared" si="819"/>
        <v>26583.333333333332</v>
      </c>
      <c r="E1676" s="66">
        <f t="shared" si="819"/>
        <v>27607.643312101911</v>
      </c>
      <c r="F1676" s="66">
        <f t="shared" si="819"/>
        <v>29770.180722891568</v>
      </c>
      <c r="G1676" s="66">
        <f t="shared" si="819"/>
        <v>29776.486486486487</v>
      </c>
      <c r="H1676" s="66">
        <f t="shared" si="819"/>
        <v>29057.584269662922</v>
      </c>
      <c r="I1676" s="66">
        <f t="shared" si="819"/>
        <v>28910.414052697615</v>
      </c>
      <c r="J1676" s="254">
        <f>J1686/J1663</f>
        <v>28910.414052697615</v>
      </c>
    </row>
    <row r="1677" spans="1:10" s="186" customFormat="1" x14ac:dyDescent="0.25">
      <c r="A1677" s="246" t="s">
        <v>25</v>
      </c>
      <c r="B1677" s="255">
        <f t="shared" ref="B1677:H1677" si="820">B1682*B1670</f>
        <v>1495607.5</v>
      </c>
      <c r="C1677" s="92">
        <f t="shared" si="820"/>
        <v>2824440.3310344829</v>
      </c>
      <c r="D1677" s="92">
        <f t="shared" si="820"/>
        <v>2017805.5000000002</v>
      </c>
      <c r="E1677" s="92">
        <f t="shared" si="820"/>
        <v>2559982.8413793105</v>
      </c>
      <c r="F1677" s="92">
        <f t="shared" si="820"/>
        <v>6169258.9862068966</v>
      </c>
      <c r="G1677" s="92">
        <f t="shared" si="820"/>
        <v>6968062.9586206898</v>
      </c>
      <c r="H1677" s="92">
        <f t="shared" si="820"/>
        <v>6454784.4344827589</v>
      </c>
      <c r="I1677" s="31">
        <f t="shared" ref="I1677:I1682" si="821">SUM(B1677:H1677)</f>
        <v>28489942.551724143</v>
      </c>
      <c r="J1677" s="256">
        <f t="shared" ref="J1677:J1686" si="822">I1677/7</f>
        <v>4069991.793103449</v>
      </c>
    </row>
    <row r="1678" spans="1:10" s="186" customFormat="1" x14ac:dyDescent="0.25">
      <c r="A1678" s="246" t="s">
        <v>26</v>
      </c>
      <c r="B1678" s="255">
        <f t="shared" ref="B1678:H1678" si="823">B1682*B1671</f>
        <v>66967.5</v>
      </c>
      <c r="C1678" s="92">
        <f t="shared" si="823"/>
        <v>33624.289655172419</v>
      </c>
      <c r="D1678" s="92">
        <f t="shared" si="823"/>
        <v>120466</v>
      </c>
      <c r="E1678" s="92">
        <f t="shared" si="823"/>
        <v>106665.95172413794</v>
      </c>
      <c r="F1678" s="92">
        <f t="shared" si="823"/>
        <v>162348.92068965518</v>
      </c>
      <c r="G1678" s="92">
        <f t="shared" si="823"/>
        <v>90494.324137931035</v>
      </c>
      <c r="H1678" s="92">
        <f t="shared" si="823"/>
        <v>169862.74827586208</v>
      </c>
      <c r="I1678" s="31">
        <f t="shared" si="821"/>
        <v>750429.73448275868</v>
      </c>
      <c r="J1678" s="256">
        <f t="shared" si="822"/>
        <v>107204.24778325124</v>
      </c>
    </row>
    <row r="1679" spans="1:10" s="186" customFormat="1" x14ac:dyDescent="0.25">
      <c r="A1679" s="246" t="s">
        <v>27</v>
      </c>
      <c r="B1679" s="255">
        <f t="shared" ref="B1679:H1679" si="824">B1682*B1672</f>
        <v>580385</v>
      </c>
      <c r="C1679" s="92">
        <f t="shared" si="824"/>
        <v>470740.05517241388</v>
      </c>
      <c r="D1679" s="92">
        <f t="shared" si="824"/>
        <v>873378.49999999988</v>
      </c>
      <c r="E1679" s="92">
        <f t="shared" si="824"/>
        <v>853327.61379310349</v>
      </c>
      <c r="F1679" s="92">
        <f t="shared" si="824"/>
        <v>1461140.2862068964</v>
      </c>
      <c r="G1679" s="92">
        <f t="shared" si="824"/>
        <v>1357414.8620689656</v>
      </c>
      <c r="H1679" s="92">
        <f t="shared" si="824"/>
        <v>1613696.1086206897</v>
      </c>
      <c r="I1679" s="31">
        <f t="shared" si="821"/>
        <v>7210082.4258620702</v>
      </c>
      <c r="J1679" s="256">
        <f t="shared" si="822"/>
        <v>1030011.7751231529</v>
      </c>
    </row>
    <row r="1680" spans="1:10" s="186" customFormat="1" x14ac:dyDescent="0.25">
      <c r="A1680" s="246" t="s">
        <v>28</v>
      </c>
      <c r="B1680" s="255">
        <f t="shared" ref="B1680:H1680" si="825">B1682*B1673</f>
        <v>89290</v>
      </c>
      <c r="C1680" s="92">
        <f t="shared" si="825"/>
        <v>33624.289655172419</v>
      </c>
      <c r="D1680" s="92">
        <f t="shared" si="825"/>
        <v>0</v>
      </c>
      <c r="E1680" s="92">
        <f t="shared" si="825"/>
        <v>35555.317241379315</v>
      </c>
      <c r="F1680" s="92">
        <f t="shared" si="825"/>
        <v>324697.84137931035</v>
      </c>
      <c r="G1680" s="92">
        <f t="shared" si="825"/>
        <v>633460.26896551729</v>
      </c>
      <c r="H1680" s="92">
        <f t="shared" si="825"/>
        <v>254794.12241379311</v>
      </c>
      <c r="I1680" s="31">
        <f t="shared" si="821"/>
        <v>1371421.8396551725</v>
      </c>
      <c r="J1680" s="256">
        <f t="shared" si="822"/>
        <v>195917.40566502465</v>
      </c>
    </row>
    <row r="1681" spans="1:10" s="186" customFormat="1" x14ac:dyDescent="0.25">
      <c r="A1681" s="246" t="s">
        <v>29</v>
      </c>
      <c r="B1681" s="255">
        <f t="shared" ref="B1681:H1681" si="826">B1682*B1674</f>
        <v>0</v>
      </c>
      <c r="C1681" s="92">
        <f t="shared" si="826"/>
        <v>0</v>
      </c>
      <c r="D1681" s="92">
        <f t="shared" si="826"/>
        <v>0</v>
      </c>
      <c r="E1681" s="92">
        <f t="shared" si="826"/>
        <v>0</v>
      </c>
      <c r="F1681" s="92">
        <f t="shared" si="826"/>
        <v>0</v>
      </c>
      <c r="G1681" s="92">
        <f t="shared" si="826"/>
        <v>0</v>
      </c>
      <c r="H1681" s="92">
        <f t="shared" si="826"/>
        <v>0</v>
      </c>
      <c r="I1681" s="31">
        <f t="shared" si="821"/>
        <v>0</v>
      </c>
      <c r="J1681" s="256">
        <f t="shared" si="822"/>
        <v>0</v>
      </c>
    </row>
    <row r="1682" spans="1:10" s="186" customFormat="1" x14ac:dyDescent="0.25">
      <c r="A1682" s="257" t="s">
        <v>30</v>
      </c>
      <c r="B1682" s="258">
        <f>(2714400/1.16)-B1683</f>
        <v>2232250</v>
      </c>
      <c r="C1682" s="258">
        <f>(4120400/1.16)-C1683</f>
        <v>3362428.9655172415</v>
      </c>
      <c r="D1682" s="258">
        <f>(3668500/1.16)-D1683</f>
        <v>3011650</v>
      </c>
      <c r="E1682" s="258">
        <f>(4334400/1.16)-E1683</f>
        <v>3555531.7241379311</v>
      </c>
      <c r="F1682" s="258">
        <f>(9883700/1.16)-F1683</f>
        <v>8117446.0344827585</v>
      </c>
      <c r="G1682" s="258">
        <f>(11017300/1.16)-G1683</f>
        <v>9049432.4137931038</v>
      </c>
      <c r="H1682" s="258">
        <f>(10344500/1.16)-H1683</f>
        <v>8493137.4137931038</v>
      </c>
      <c r="I1682" s="197">
        <f t="shared" si="821"/>
        <v>37821876.551724136</v>
      </c>
      <c r="J1682" s="259">
        <f t="shared" si="822"/>
        <v>5403125.2216748763</v>
      </c>
    </row>
    <row r="1683" spans="1:10" s="186" customFormat="1" x14ac:dyDescent="0.25">
      <c r="A1683" s="246" t="s">
        <v>31</v>
      </c>
      <c r="B1683" s="255">
        <f t="shared" ref="B1683:I1683" si="827">2155*B1664</f>
        <v>107750</v>
      </c>
      <c r="C1683" s="92">
        <f t="shared" si="827"/>
        <v>189640</v>
      </c>
      <c r="D1683" s="92">
        <f t="shared" si="827"/>
        <v>150850</v>
      </c>
      <c r="E1683" s="92">
        <f t="shared" si="827"/>
        <v>181020</v>
      </c>
      <c r="F1683" s="92">
        <f t="shared" si="827"/>
        <v>402985</v>
      </c>
      <c r="G1683" s="31">
        <f t="shared" si="827"/>
        <v>448240</v>
      </c>
      <c r="H1683" s="31">
        <f t="shared" si="827"/>
        <v>424535</v>
      </c>
      <c r="I1683" s="31">
        <f t="shared" si="827"/>
        <v>1905020</v>
      </c>
      <c r="J1683" s="256">
        <f t="shared" si="822"/>
        <v>272145.71428571426</v>
      </c>
    </row>
    <row r="1684" spans="1:10" s="186" customFormat="1" x14ac:dyDescent="0.25">
      <c r="A1684" s="260" t="s">
        <v>32</v>
      </c>
      <c r="B1684" s="261">
        <f>B1683+B1682</f>
        <v>2340000</v>
      </c>
      <c r="C1684" s="199">
        <f>C1683+C1682</f>
        <v>3552068.9655172415</v>
      </c>
      <c r="D1684" s="199">
        <f>D1683+D1682</f>
        <v>3162500</v>
      </c>
      <c r="E1684" s="199">
        <f>E1683+E1682</f>
        <v>3736551.7241379311</v>
      </c>
      <c r="F1684" s="199">
        <f>F1682+F1683</f>
        <v>8520431.0344827585</v>
      </c>
      <c r="G1684" s="199">
        <f>G1683+G1682</f>
        <v>9497672.4137931038</v>
      </c>
      <c r="H1684" s="199">
        <f>H1683+H1682</f>
        <v>8917672.4137931038</v>
      </c>
      <c r="I1684" s="199">
        <f>I1682+I1683</f>
        <v>39726896.551724136</v>
      </c>
      <c r="J1684" s="262">
        <f t="shared" si="822"/>
        <v>5675270.9359605908</v>
      </c>
    </row>
    <row r="1685" spans="1:10" s="186" customFormat="1" x14ac:dyDescent="0.25">
      <c r="A1685" s="246" t="s">
        <v>33</v>
      </c>
      <c r="B1685" s="263">
        <f>B1684*16%</f>
        <v>374400</v>
      </c>
      <c r="C1685" s="94">
        <f t="shared" ref="C1685:H1685" si="828">C1684*16%</f>
        <v>568331.03448275861</v>
      </c>
      <c r="D1685" s="94">
        <f t="shared" si="828"/>
        <v>506000</v>
      </c>
      <c r="E1685" s="94">
        <f t="shared" si="828"/>
        <v>597848.27586206899</v>
      </c>
      <c r="F1685" s="94">
        <f t="shared" si="828"/>
        <v>1363268.9655172413</v>
      </c>
      <c r="G1685" s="94">
        <f t="shared" si="828"/>
        <v>1519627.5862068967</v>
      </c>
      <c r="H1685" s="94">
        <f t="shared" si="828"/>
        <v>1426827.5862068967</v>
      </c>
      <c r="I1685" s="94">
        <f>I1684*16%</f>
        <v>6356303.4482758623</v>
      </c>
      <c r="J1685" s="256">
        <f t="shared" si="822"/>
        <v>908043.34975369461</v>
      </c>
    </row>
    <row r="1686" spans="1:10" s="186" customFormat="1" ht="15.75" thickBot="1" x14ac:dyDescent="0.3">
      <c r="A1686" s="264" t="s">
        <v>34</v>
      </c>
      <c r="B1686" s="265">
        <f>B1684+B1685</f>
        <v>2714400</v>
      </c>
      <c r="C1686" s="266">
        <f t="shared" ref="C1686:H1686" si="829">C1684+C1685</f>
        <v>4120400</v>
      </c>
      <c r="D1686" s="266">
        <f t="shared" si="829"/>
        <v>3668500</v>
      </c>
      <c r="E1686" s="266">
        <f t="shared" si="829"/>
        <v>4334400</v>
      </c>
      <c r="F1686" s="266">
        <f t="shared" si="829"/>
        <v>9883700</v>
      </c>
      <c r="G1686" s="266">
        <f t="shared" si="829"/>
        <v>11017300</v>
      </c>
      <c r="H1686" s="266">
        <f t="shared" si="829"/>
        <v>10344500</v>
      </c>
      <c r="I1686" s="266">
        <f>I1684+I1685</f>
        <v>46083200</v>
      </c>
      <c r="J1686" s="267">
        <f t="shared" si="822"/>
        <v>6583314.2857142854</v>
      </c>
    </row>
    <row r="1687" spans="1:10" s="186" customFormat="1" ht="15.75" thickBot="1" x14ac:dyDescent="0.3">
      <c r="A1687" s="204"/>
      <c r="B1687" s="112"/>
      <c r="C1687" s="112"/>
      <c r="D1687" s="112"/>
      <c r="E1687" s="112"/>
      <c r="F1687" s="112"/>
      <c r="G1687" s="112"/>
      <c r="H1687" s="112"/>
      <c r="I1687" s="112"/>
      <c r="J1687" s="205"/>
    </row>
    <row r="1688" spans="1:10" s="186" customFormat="1" ht="27" thickBot="1" x14ac:dyDescent="0.3">
      <c r="A1688"/>
      <c r="B1688" s="1002" t="s">
        <v>619</v>
      </c>
      <c r="C1688" s="1002"/>
      <c r="D1688" s="1002"/>
      <c r="E1688" s="1002"/>
      <c r="F1688" s="1002"/>
      <c r="G1688" s="1002"/>
      <c r="H1688" s="1002"/>
      <c r="I1688"/>
      <c r="J1688"/>
    </row>
    <row r="1689" spans="1:10" s="186" customFormat="1" ht="16.5" thickBot="1" x14ac:dyDescent="0.3">
      <c r="A1689" s="238" t="s">
        <v>2</v>
      </c>
      <c r="B1689" s="239" t="s">
        <v>185</v>
      </c>
      <c r="C1689" s="239" t="s">
        <v>186</v>
      </c>
      <c r="D1689" s="239" t="s">
        <v>187</v>
      </c>
      <c r="E1689" s="239" t="s">
        <v>188</v>
      </c>
      <c r="F1689" s="239" t="s">
        <v>189</v>
      </c>
      <c r="G1689" s="239" t="s">
        <v>190</v>
      </c>
      <c r="H1689" s="239" t="s">
        <v>191</v>
      </c>
      <c r="I1689" s="240" t="s">
        <v>96</v>
      </c>
      <c r="J1689" s="241" t="s">
        <v>97</v>
      </c>
    </row>
    <row r="1690" spans="1:10" s="186" customFormat="1" x14ac:dyDescent="0.25">
      <c r="A1690" s="242" t="s">
        <v>11</v>
      </c>
      <c r="B1690" s="243">
        <f>60+50+10</f>
        <v>120</v>
      </c>
      <c r="C1690" s="244">
        <f>117+56+17</f>
        <v>190</v>
      </c>
      <c r="D1690" s="244">
        <f>103+51+20</f>
        <v>174</v>
      </c>
      <c r="E1690" s="268">
        <f>85+54+13</f>
        <v>152</v>
      </c>
      <c r="F1690" s="244">
        <f>162+109+29</f>
        <v>300</v>
      </c>
      <c r="G1690" s="244">
        <f>162+80+33</f>
        <v>275</v>
      </c>
      <c r="H1690" s="268">
        <f>169+122+52</f>
        <v>343</v>
      </c>
      <c r="I1690" s="244">
        <f>SUM(B1690:H1690)</f>
        <v>1554</v>
      </c>
      <c r="J1690" s="245">
        <f>+I1690/7</f>
        <v>222</v>
      </c>
    </row>
    <row r="1691" spans="1:10" s="186" customFormat="1" x14ac:dyDescent="0.25">
      <c r="A1691" s="246" t="s">
        <v>12</v>
      </c>
      <c r="B1691" s="233">
        <v>65</v>
      </c>
      <c r="C1691" s="13">
        <v>103</v>
      </c>
      <c r="D1691" s="13">
        <v>98</v>
      </c>
      <c r="E1691" s="13">
        <v>72</v>
      </c>
      <c r="F1691" s="86">
        <v>165</v>
      </c>
      <c r="G1691" s="11">
        <v>133</v>
      </c>
      <c r="H1691" s="86">
        <v>182</v>
      </c>
      <c r="I1691" s="11">
        <f>SUM('PEPE SIERRA '!$B1691:$H1691)</f>
        <v>818</v>
      </c>
      <c r="J1691" s="247">
        <f t="shared" ref="J1691:J1696" si="830">I1691/7</f>
        <v>116.85714285714286</v>
      </c>
    </row>
    <row r="1692" spans="1:10" s="186" customFormat="1" x14ac:dyDescent="0.25">
      <c r="A1692" s="246" t="s">
        <v>13</v>
      </c>
      <c r="B1692" s="233">
        <v>4</v>
      </c>
      <c r="C1692" s="13">
        <v>3</v>
      </c>
      <c r="D1692" s="13">
        <v>4</v>
      </c>
      <c r="E1692" s="13">
        <v>3</v>
      </c>
      <c r="F1692" s="11">
        <v>3</v>
      </c>
      <c r="G1692" s="11">
        <v>3</v>
      </c>
      <c r="H1692" s="11">
        <v>6</v>
      </c>
      <c r="I1692" s="11">
        <f>SUM('PEPE SIERRA '!$B1692:$H1692)</f>
        <v>26</v>
      </c>
      <c r="J1692" s="247">
        <f t="shared" si="830"/>
        <v>3.7142857142857144</v>
      </c>
    </row>
    <row r="1693" spans="1:10" s="186" customFormat="1" x14ac:dyDescent="0.25">
      <c r="A1693" s="246" t="s">
        <v>14</v>
      </c>
      <c r="B1693" s="233">
        <v>29</v>
      </c>
      <c r="C1693" s="13">
        <v>45</v>
      </c>
      <c r="D1693" s="13">
        <v>34</v>
      </c>
      <c r="E1693" s="13">
        <v>53</v>
      </c>
      <c r="F1693" s="11">
        <v>58</v>
      </c>
      <c r="G1693" s="11">
        <v>55</v>
      </c>
      <c r="H1693" s="86">
        <v>64</v>
      </c>
      <c r="I1693" s="11">
        <f>SUM('PEPE SIERRA '!$B1693:$H1693)</f>
        <v>338</v>
      </c>
      <c r="J1693" s="247">
        <f t="shared" si="830"/>
        <v>48.285714285714285</v>
      </c>
    </row>
    <row r="1694" spans="1:10" s="186" customFormat="1" x14ac:dyDescent="0.25">
      <c r="A1694" s="246" t="s">
        <v>15</v>
      </c>
      <c r="B1694" s="233">
        <v>2</v>
      </c>
      <c r="C1694" s="13">
        <v>4</v>
      </c>
      <c r="D1694" s="13">
        <v>1</v>
      </c>
      <c r="E1694" s="13">
        <v>2</v>
      </c>
      <c r="F1694" s="11">
        <v>10</v>
      </c>
      <c r="G1694" s="11">
        <v>24</v>
      </c>
      <c r="H1694" s="11">
        <v>16</v>
      </c>
      <c r="I1694" s="11">
        <f>SUM('PEPE SIERRA '!$B1694:$H1694)</f>
        <v>59</v>
      </c>
      <c r="J1694" s="247">
        <f t="shared" si="830"/>
        <v>8.4285714285714288</v>
      </c>
    </row>
    <row r="1695" spans="1:10" s="186" customFormat="1" x14ac:dyDescent="0.25">
      <c r="A1695" s="246" t="s">
        <v>16</v>
      </c>
      <c r="B1695" s="233">
        <v>0</v>
      </c>
      <c r="C1695" s="13">
        <v>0</v>
      </c>
      <c r="D1695" s="13">
        <v>0</v>
      </c>
      <c r="E1695" s="13">
        <v>0</v>
      </c>
      <c r="F1695" s="11">
        <v>1</v>
      </c>
      <c r="G1695" s="11">
        <v>0</v>
      </c>
      <c r="H1695" s="11">
        <v>1</v>
      </c>
      <c r="I1695" s="11">
        <f>SUM('PEPE SIERRA '!$B1695:$H1695)</f>
        <v>2</v>
      </c>
      <c r="J1695" s="247">
        <f t="shared" si="830"/>
        <v>0.2857142857142857</v>
      </c>
    </row>
    <row r="1696" spans="1:10" s="186" customFormat="1" x14ac:dyDescent="0.25">
      <c r="A1696" s="248" t="s">
        <v>17</v>
      </c>
      <c r="B1696" s="249">
        <f>SUM(B1691:B1695)</f>
        <v>100</v>
      </c>
      <c r="C1696" s="192">
        <f t="shared" ref="C1696:I1696" si="831">SUM(C1691:C1695)</f>
        <v>155</v>
      </c>
      <c r="D1696" s="192">
        <f t="shared" si="831"/>
        <v>137</v>
      </c>
      <c r="E1696" s="192">
        <f t="shared" si="831"/>
        <v>130</v>
      </c>
      <c r="F1696" s="192">
        <f t="shared" si="831"/>
        <v>237</v>
      </c>
      <c r="G1696" s="192">
        <f t="shared" si="831"/>
        <v>215</v>
      </c>
      <c r="H1696" s="192">
        <f t="shared" si="831"/>
        <v>269</v>
      </c>
      <c r="I1696" s="192">
        <f t="shared" si="831"/>
        <v>1243</v>
      </c>
      <c r="J1696" s="250">
        <f t="shared" si="830"/>
        <v>177.57142857142858</v>
      </c>
    </row>
    <row r="1697" spans="1:10" s="186" customFormat="1" x14ac:dyDescent="0.25">
      <c r="A1697" s="246" t="s">
        <v>18</v>
      </c>
      <c r="B1697" s="234">
        <v>0.68</v>
      </c>
      <c r="C1697" s="235">
        <v>0.7</v>
      </c>
      <c r="D1697" s="235">
        <v>0.73</v>
      </c>
      <c r="E1697" s="236">
        <v>0.66</v>
      </c>
      <c r="F1697" s="30">
        <v>0.74</v>
      </c>
      <c r="G1697" s="30">
        <v>0.69</v>
      </c>
      <c r="H1697" s="30">
        <v>0.72</v>
      </c>
      <c r="I1697" s="30">
        <f>I1704/I1709</f>
        <v>0.70847802929101289</v>
      </c>
      <c r="J1697" s="251">
        <f>J1704/J1709</f>
        <v>0.708478029291013</v>
      </c>
    </row>
    <row r="1698" spans="1:10" s="186" customFormat="1" x14ac:dyDescent="0.25">
      <c r="A1698" s="246" t="s">
        <v>19</v>
      </c>
      <c r="B1698" s="234">
        <v>0.05</v>
      </c>
      <c r="C1698" s="235">
        <v>0.01</v>
      </c>
      <c r="D1698" s="235">
        <v>0.03</v>
      </c>
      <c r="E1698" s="236">
        <v>0.01</v>
      </c>
      <c r="F1698" s="30">
        <v>0.01</v>
      </c>
      <c r="G1698" s="30">
        <v>0.01</v>
      </c>
      <c r="H1698" s="30">
        <v>0.02</v>
      </c>
      <c r="I1698" s="30">
        <f>I1705/I1709</f>
        <v>1.7608682954691691E-2</v>
      </c>
      <c r="J1698" s="251">
        <f>J1705/J1709</f>
        <v>1.7608682954691694E-2</v>
      </c>
    </row>
    <row r="1699" spans="1:10" s="186" customFormat="1" x14ac:dyDescent="0.25">
      <c r="A1699" s="246" t="s">
        <v>20</v>
      </c>
      <c r="B1699" s="234">
        <v>0.24</v>
      </c>
      <c r="C1699" s="235">
        <v>0.27</v>
      </c>
      <c r="D1699" s="235">
        <v>0.23</v>
      </c>
      <c r="E1699" s="236">
        <v>0.32</v>
      </c>
      <c r="F1699" s="30">
        <v>0.19</v>
      </c>
      <c r="G1699" s="30">
        <v>0.2</v>
      </c>
      <c r="H1699" s="30">
        <v>0.2</v>
      </c>
      <c r="I1699" s="30">
        <f>I1706/I1709</f>
        <v>0.22439565789387944</v>
      </c>
      <c r="J1699" s="251">
        <f>J1706/J1709</f>
        <v>0.22439565789387947</v>
      </c>
    </row>
    <row r="1700" spans="1:10" s="186" customFormat="1" x14ac:dyDescent="0.25">
      <c r="A1700" s="246" t="s">
        <v>21</v>
      </c>
      <c r="B1700" s="234">
        <v>0.03</v>
      </c>
      <c r="C1700" s="235">
        <v>0.02</v>
      </c>
      <c r="D1700" s="235">
        <v>0.01</v>
      </c>
      <c r="E1700" s="236">
        <v>0.01</v>
      </c>
      <c r="F1700" s="30">
        <v>0.05</v>
      </c>
      <c r="G1700" s="30">
        <v>0.1</v>
      </c>
      <c r="H1700" s="30">
        <v>0.06</v>
      </c>
      <c r="I1700" s="30">
        <f>I1707/I1709</f>
        <v>4.7491651713389607E-2</v>
      </c>
      <c r="J1700" s="251">
        <f>J1707/J1709</f>
        <v>4.7491651713389614E-2</v>
      </c>
    </row>
    <row r="1701" spans="1:10" s="186" customFormat="1" x14ac:dyDescent="0.25">
      <c r="A1701" s="246" t="s">
        <v>22</v>
      </c>
      <c r="B1701" s="234">
        <v>0</v>
      </c>
      <c r="C1701" s="235">
        <v>0</v>
      </c>
      <c r="D1701" s="235">
        <v>0</v>
      </c>
      <c r="E1701" s="236">
        <v>0</v>
      </c>
      <c r="F1701" s="30">
        <v>0.01</v>
      </c>
      <c r="G1701" s="30">
        <v>0</v>
      </c>
      <c r="H1701" s="30">
        <v>0</v>
      </c>
      <c r="I1701" s="30">
        <f>I1708/I1709</f>
        <v>2.0259781470263354E-3</v>
      </c>
      <c r="J1701" s="251">
        <f>J1708/J1709</f>
        <v>2.0259781470263354E-3</v>
      </c>
    </row>
    <row r="1702" spans="1:10" s="186" customFormat="1" x14ac:dyDescent="0.25">
      <c r="A1702" s="252" t="s">
        <v>23</v>
      </c>
      <c r="B1702" s="253">
        <f t="shared" ref="B1702:J1702" si="832">B1713/B1696</f>
        <v>37460</v>
      </c>
      <c r="C1702" s="66">
        <f t="shared" si="832"/>
        <v>35607.096774193553</v>
      </c>
      <c r="D1702" s="66">
        <f t="shared" si="832"/>
        <v>36377.37226277373</v>
      </c>
      <c r="E1702" s="66">
        <f t="shared" si="832"/>
        <v>33602.307692307695</v>
      </c>
      <c r="F1702" s="66">
        <f t="shared" si="832"/>
        <v>39154.852320675105</v>
      </c>
      <c r="G1702" s="66">
        <f t="shared" si="832"/>
        <v>37073.48837209303</v>
      </c>
      <c r="H1702" s="66">
        <f t="shared" si="832"/>
        <v>36969.888475836437</v>
      </c>
      <c r="I1702" s="66">
        <f t="shared" si="832"/>
        <v>36856.395816572811</v>
      </c>
      <c r="J1702" s="254">
        <f t="shared" si="832"/>
        <v>36856.395816572811</v>
      </c>
    </row>
    <row r="1703" spans="1:10" s="186" customFormat="1" x14ac:dyDescent="0.25">
      <c r="A1703" s="252" t="s">
        <v>24</v>
      </c>
      <c r="B1703" s="253">
        <f t="shared" ref="B1703:I1703" si="833">+B1713/B1690</f>
        <v>31216.666666666668</v>
      </c>
      <c r="C1703" s="66">
        <f t="shared" si="833"/>
        <v>29047.89473684211</v>
      </c>
      <c r="D1703" s="66">
        <f t="shared" si="833"/>
        <v>28641.95402298851</v>
      </c>
      <c r="E1703" s="66">
        <f t="shared" si="833"/>
        <v>28738.815789473683</v>
      </c>
      <c r="F1703" s="66">
        <f t="shared" si="833"/>
        <v>30932.333333333332</v>
      </c>
      <c r="G1703" s="66">
        <f t="shared" si="833"/>
        <v>28984.727272727276</v>
      </c>
      <c r="H1703" s="66">
        <f t="shared" si="833"/>
        <v>28993.877551020414</v>
      </c>
      <c r="I1703" s="66">
        <f t="shared" si="833"/>
        <v>29480.373230373236</v>
      </c>
      <c r="J1703" s="254">
        <f>J1713/J1690</f>
        <v>29480.373230373236</v>
      </c>
    </row>
    <row r="1704" spans="1:10" s="186" customFormat="1" x14ac:dyDescent="0.25">
      <c r="A1704" s="246" t="s">
        <v>25</v>
      </c>
      <c r="B1704" s="255">
        <f t="shared" ref="B1704:H1704" si="834">B1709*B1697</f>
        <v>2100680.034482759</v>
      </c>
      <c r="C1704" s="92">
        <f t="shared" si="834"/>
        <v>3175115.8793103453</v>
      </c>
      <c r="D1704" s="92">
        <f t="shared" si="834"/>
        <v>2982125.2655172418</v>
      </c>
      <c r="E1704" s="92">
        <f t="shared" si="834"/>
        <v>2383006.4689655174</v>
      </c>
      <c r="F1704" s="92">
        <f t="shared" si="834"/>
        <v>5656683.1206896557</v>
      </c>
      <c r="G1704" s="92">
        <f t="shared" si="834"/>
        <v>4543487.3741379315</v>
      </c>
      <c r="H1704" s="92">
        <f t="shared" si="834"/>
        <v>5890305.3517241385</v>
      </c>
      <c r="I1704" s="31">
        <f t="shared" ref="I1704:I1709" si="835">SUM(B1704:H1704)</f>
        <v>26731403.494827591</v>
      </c>
      <c r="J1704" s="256">
        <f t="shared" ref="J1704:J1713" si="836">I1704/7</f>
        <v>3818771.9278325131</v>
      </c>
    </row>
    <row r="1705" spans="1:10" s="186" customFormat="1" x14ac:dyDescent="0.25">
      <c r="A1705" s="246" t="s">
        <v>26</v>
      </c>
      <c r="B1705" s="255">
        <f t="shared" ref="B1705:H1705" si="837">B1709*B1698</f>
        <v>154461.76724137933</v>
      </c>
      <c r="C1705" s="92">
        <f t="shared" si="837"/>
        <v>45358.798275862078</v>
      </c>
      <c r="D1705" s="92">
        <f t="shared" si="837"/>
        <v>122553.09310344829</v>
      </c>
      <c r="E1705" s="92">
        <f t="shared" si="837"/>
        <v>36106.158620689654</v>
      </c>
      <c r="F1705" s="92">
        <f t="shared" si="837"/>
        <v>76441.663793103449</v>
      </c>
      <c r="G1705" s="92">
        <f t="shared" si="837"/>
        <v>65847.643103448281</v>
      </c>
      <c r="H1705" s="92">
        <f t="shared" si="837"/>
        <v>163619.59310344831</v>
      </c>
      <c r="I1705" s="31">
        <f t="shared" si="835"/>
        <v>664388.71724137943</v>
      </c>
      <c r="J1705" s="256">
        <f t="shared" si="836"/>
        <v>94912.673891625629</v>
      </c>
    </row>
    <row r="1706" spans="1:10" s="186" customFormat="1" x14ac:dyDescent="0.25">
      <c r="A1706" s="246" t="s">
        <v>27</v>
      </c>
      <c r="B1706" s="255">
        <f t="shared" ref="B1706:H1706" si="838">B1709*B1699</f>
        <v>741416.48275862064</v>
      </c>
      <c r="C1706" s="92">
        <f t="shared" si="838"/>
        <v>1224687.5534482761</v>
      </c>
      <c r="D1706" s="92">
        <f t="shared" si="838"/>
        <v>939573.71379310358</v>
      </c>
      <c r="E1706" s="92">
        <f t="shared" si="838"/>
        <v>1155397.0758620689</v>
      </c>
      <c r="F1706" s="92">
        <f t="shared" si="838"/>
        <v>1452391.6120689656</v>
      </c>
      <c r="G1706" s="92">
        <f t="shared" si="838"/>
        <v>1316952.8620689658</v>
      </c>
      <c r="H1706" s="92">
        <f t="shared" si="838"/>
        <v>1636195.931034483</v>
      </c>
      <c r="I1706" s="31">
        <f t="shared" si="835"/>
        <v>8466615.2310344838</v>
      </c>
      <c r="J1706" s="256">
        <f t="shared" si="836"/>
        <v>1209516.4615763549</v>
      </c>
    </row>
    <row r="1707" spans="1:10" s="186" customFormat="1" x14ac:dyDescent="0.25">
      <c r="A1707" s="246" t="s">
        <v>28</v>
      </c>
      <c r="B1707" s="255">
        <f t="shared" ref="B1707:H1707" si="839">B1709*B1700</f>
        <v>92677.06034482758</v>
      </c>
      <c r="C1707" s="92">
        <f t="shared" si="839"/>
        <v>90717.596551724157</v>
      </c>
      <c r="D1707" s="92">
        <f t="shared" si="839"/>
        <v>40851.031034482767</v>
      </c>
      <c r="E1707" s="92">
        <f t="shared" si="839"/>
        <v>36106.158620689654</v>
      </c>
      <c r="F1707" s="92">
        <f t="shared" si="839"/>
        <v>382208.31896551728</v>
      </c>
      <c r="G1707" s="92">
        <f t="shared" si="839"/>
        <v>658476.4310344829</v>
      </c>
      <c r="H1707" s="92">
        <f t="shared" si="839"/>
        <v>490858.77931034489</v>
      </c>
      <c r="I1707" s="31">
        <f t="shared" si="835"/>
        <v>1791895.3758620692</v>
      </c>
      <c r="J1707" s="256">
        <f t="shared" si="836"/>
        <v>255985.05369458132</v>
      </c>
    </row>
    <row r="1708" spans="1:10" s="186" customFormat="1" x14ac:dyDescent="0.25">
      <c r="A1708" s="246" t="s">
        <v>29</v>
      </c>
      <c r="B1708" s="255">
        <f t="shared" ref="B1708:H1708" si="840">B1709*B1701</f>
        <v>0</v>
      </c>
      <c r="C1708" s="92">
        <f t="shared" si="840"/>
        <v>0</v>
      </c>
      <c r="D1708" s="92">
        <f t="shared" si="840"/>
        <v>0</v>
      </c>
      <c r="E1708" s="92">
        <f t="shared" si="840"/>
        <v>0</v>
      </c>
      <c r="F1708" s="92">
        <f t="shared" si="840"/>
        <v>76441.663793103449</v>
      </c>
      <c r="G1708" s="92">
        <f t="shared" si="840"/>
        <v>0</v>
      </c>
      <c r="H1708" s="92">
        <f t="shared" si="840"/>
        <v>0</v>
      </c>
      <c r="I1708" s="31">
        <f t="shared" si="835"/>
        <v>76441.663793103449</v>
      </c>
      <c r="J1708" s="256">
        <f t="shared" si="836"/>
        <v>10920.237684729063</v>
      </c>
    </row>
    <row r="1709" spans="1:10" s="186" customFormat="1" x14ac:dyDescent="0.25">
      <c r="A1709" s="257" t="s">
        <v>30</v>
      </c>
      <c r="B1709" s="258">
        <f>(3746000/1.16)-B1710</f>
        <v>3089235.3448275863</v>
      </c>
      <c r="C1709" s="258">
        <f>(5519100/1.16)-C1710</f>
        <v>4535879.8275862075</v>
      </c>
      <c r="D1709" s="258">
        <f>(4983700/1.16)-D1710</f>
        <v>4085103.1034482764</v>
      </c>
      <c r="E1709" s="258">
        <f>(4368300/1.16)-E1710</f>
        <v>3610615.8620689656</v>
      </c>
      <c r="F1709" s="258">
        <f>(9279700/1.16)-F1710</f>
        <v>7644166.3793103453</v>
      </c>
      <c r="G1709" s="258">
        <f>(7970800/1.16)-G1710</f>
        <v>6584764.3103448283</v>
      </c>
      <c r="H1709" s="258">
        <f>(9944900/1.16)-H1710</f>
        <v>8180979.6551724151</v>
      </c>
      <c r="I1709" s="197">
        <f t="shared" si="835"/>
        <v>37730744.482758626</v>
      </c>
      <c r="J1709" s="259">
        <f t="shared" si="836"/>
        <v>5390106.3546798034</v>
      </c>
    </row>
    <row r="1710" spans="1:10" s="186" customFormat="1" x14ac:dyDescent="0.25">
      <c r="A1710" s="246" t="s">
        <v>31</v>
      </c>
      <c r="B1710" s="255">
        <f t="shared" ref="B1710:I1710" si="841">2155*B1691</f>
        <v>140075</v>
      </c>
      <c r="C1710" s="92">
        <f t="shared" si="841"/>
        <v>221965</v>
      </c>
      <c r="D1710" s="92">
        <f t="shared" si="841"/>
        <v>211190</v>
      </c>
      <c r="E1710" s="92">
        <f t="shared" si="841"/>
        <v>155160</v>
      </c>
      <c r="F1710" s="92">
        <f t="shared" si="841"/>
        <v>355575</v>
      </c>
      <c r="G1710" s="31">
        <f t="shared" si="841"/>
        <v>286615</v>
      </c>
      <c r="H1710" s="31">
        <f t="shared" si="841"/>
        <v>392210</v>
      </c>
      <c r="I1710" s="31">
        <f t="shared" si="841"/>
        <v>1762790</v>
      </c>
      <c r="J1710" s="256">
        <f t="shared" si="836"/>
        <v>251827.14285714287</v>
      </c>
    </row>
    <row r="1711" spans="1:10" s="186" customFormat="1" x14ac:dyDescent="0.25">
      <c r="A1711" s="260" t="s">
        <v>32</v>
      </c>
      <c r="B1711" s="261">
        <f>B1710+B1709</f>
        <v>3229310.3448275863</v>
      </c>
      <c r="C1711" s="199">
        <f>C1710+C1709</f>
        <v>4757844.8275862075</v>
      </c>
      <c r="D1711" s="199">
        <f>D1710+D1709</f>
        <v>4296293.1034482764</v>
      </c>
      <c r="E1711" s="199">
        <f>E1710+E1709</f>
        <v>3765775.8620689656</v>
      </c>
      <c r="F1711" s="199">
        <f>F1709+F1710</f>
        <v>7999741.3793103453</v>
      </c>
      <c r="G1711" s="199">
        <f>G1710+G1709</f>
        <v>6871379.3103448283</v>
      </c>
      <c r="H1711" s="199">
        <f>H1710+H1709</f>
        <v>8573189.6551724151</v>
      </c>
      <c r="I1711" s="199">
        <f>I1709+I1710</f>
        <v>39493534.482758626</v>
      </c>
      <c r="J1711" s="262">
        <f t="shared" si="836"/>
        <v>5641933.497536947</v>
      </c>
    </row>
    <row r="1712" spans="1:10" s="186" customFormat="1" x14ac:dyDescent="0.25">
      <c r="A1712" s="246" t="s">
        <v>33</v>
      </c>
      <c r="B1712" s="263">
        <f>B1711*16%</f>
        <v>516689.6551724138</v>
      </c>
      <c r="C1712" s="94">
        <f t="shared" ref="C1712:H1712" si="842">C1711*16%</f>
        <v>761255.17241379328</v>
      </c>
      <c r="D1712" s="94">
        <f t="shared" si="842"/>
        <v>687406.89655172429</v>
      </c>
      <c r="E1712" s="94">
        <f t="shared" si="842"/>
        <v>602524.13793103455</v>
      </c>
      <c r="F1712" s="94">
        <f t="shared" si="842"/>
        <v>1279958.6206896552</v>
      </c>
      <c r="G1712" s="94">
        <f t="shared" si="842"/>
        <v>1099420.6896551726</v>
      </c>
      <c r="H1712" s="94">
        <f t="shared" si="842"/>
        <v>1371710.3448275866</v>
      </c>
      <c r="I1712" s="94">
        <f>I1711*16%</f>
        <v>6318965.5172413802</v>
      </c>
      <c r="J1712" s="256">
        <f t="shared" si="836"/>
        <v>902709.35960591142</v>
      </c>
    </row>
    <row r="1713" spans="1:10" s="186" customFormat="1" ht="15.75" thickBot="1" x14ac:dyDescent="0.3">
      <c r="A1713" s="264" t="s">
        <v>34</v>
      </c>
      <c r="B1713" s="265">
        <f>B1711+B1712</f>
        <v>3746000</v>
      </c>
      <c r="C1713" s="266">
        <f t="shared" ref="C1713:H1713" si="843">C1711+C1712</f>
        <v>5519100.0000000009</v>
      </c>
      <c r="D1713" s="266">
        <f t="shared" si="843"/>
        <v>4983700.0000000009</v>
      </c>
      <c r="E1713" s="266">
        <f t="shared" si="843"/>
        <v>4368300</v>
      </c>
      <c r="F1713" s="266">
        <f t="shared" si="843"/>
        <v>9279700</v>
      </c>
      <c r="G1713" s="266">
        <f t="shared" si="843"/>
        <v>7970800.0000000009</v>
      </c>
      <c r="H1713" s="266">
        <f t="shared" si="843"/>
        <v>9944900.0000000019</v>
      </c>
      <c r="I1713" s="266">
        <f>I1711+I1712</f>
        <v>45812500.000000007</v>
      </c>
      <c r="J1713" s="267">
        <f t="shared" si="836"/>
        <v>6544642.8571428582</v>
      </c>
    </row>
    <row r="1714" spans="1:10" s="186" customFormat="1" ht="15.75" thickBot="1" x14ac:dyDescent="0.3">
      <c r="A1714" s="204"/>
      <c r="B1714" s="112"/>
      <c r="C1714" s="112"/>
      <c r="D1714" s="112"/>
      <c r="E1714" s="112"/>
      <c r="F1714" s="112"/>
      <c r="G1714" s="112"/>
      <c r="H1714" s="112"/>
      <c r="I1714" s="112"/>
      <c r="J1714" s="205"/>
    </row>
    <row r="1715" spans="1:10" s="186" customFormat="1" ht="27" thickBot="1" x14ac:dyDescent="0.3">
      <c r="A1715"/>
      <c r="B1715" s="1002" t="s">
        <v>625</v>
      </c>
      <c r="C1715" s="1002"/>
      <c r="D1715" s="1002"/>
      <c r="E1715" s="1002"/>
      <c r="F1715" s="1002"/>
      <c r="G1715" s="1002"/>
      <c r="H1715" s="1002"/>
      <c r="I1715"/>
      <c r="J1715"/>
    </row>
    <row r="1716" spans="1:10" s="186" customFormat="1" ht="16.5" thickBot="1" x14ac:dyDescent="0.3">
      <c r="A1716" s="238" t="s">
        <v>2</v>
      </c>
      <c r="B1716" s="239" t="s">
        <v>193</v>
      </c>
      <c r="C1716" s="239" t="s">
        <v>194</v>
      </c>
      <c r="D1716" s="239" t="s">
        <v>195</v>
      </c>
      <c r="E1716" s="239" t="s">
        <v>196</v>
      </c>
      <c r="F1716" s="239" t="s">
        <v>197</v>
      </c>
      <c r="G1716" s="239" t="s">
        <v>198</v>
      </c>
      <c r="H1716" s="239" t="s">
        <v>199</v>
      </c>
      <c r="I1716" s="240" t="s">
        <v>96</v>
      </c>
      <c r="J1716" s="241" t="s">
        <v>97</v>
      </c>
    </row>
    <row r="1717" spans="1:10" s="186" customFormat="1" x14ac:dyDescent="0.25">
      <c r="A1717" s="242" t="s">
        <v>11</v>
      </c>
      <c r="B1717" s="243">
        <f>215+137+49</f>
        <v>401</v>
      </c>
      <c r="C1717" s="244">
        <f>57+28+7</f>
        <v>92</v>
      </c>
      <c r="D1717" s="244">
        <f>75+51+8</f>
        <v>134</v>
      </c>
      <c r="E1717" s="268">
        <f>83+42+11</f>
        <v>136</v>
      </c>
      <c r="F1717" s="244">
        <f>188+86+32</f>
        <v>306</v>
      </c>
      <c r="G1717" s="244">
        <f>200+119+33</f>
        <v>352</v>
      </c>
      <c r="H1717" s="268">
        <f>220+133+38</f>
        <v>391</v>
      </c>
      <c r="I1717" s="244">
        <f>SUM(B1717:H1717)</f>
        <v>1812</v>
      </c>
      <c r="J1717" s="245">
        <f>+I1717/7</f>
        <v>258.85714285714283</v>
      </c>
    </row>
    <row r="1718" spans="1:10" s="186" customFormat="1" x14ac:dyDescent="0.25">
      <c r="A1718" s="246" t="s">
        <v>12</v>
      </c>
      <c r="B1718" s="233">
        <v>229</v>
      </c>
      <c r="C1718" s="13">
        <v>50</v>
      </c>
      <c r="D1718" s="13">
        <v>80</v>
      </c>
      <c r="E1718" s="13">
        <v>65</v>
      </c>
      <c r="F1718" s="86">
        <v>168</v>
      </c>
      <c r="G1718" s="11">
        <v>185</v>
      </c>
      <c r="H1718" s="86">
        <v>233</v>
      </c>
      <c r="I1718" s="11">
        <f>SUM('PEPE SIERRA '!$B1718:$H1718)</f>
        <v>1010</v>
      </c>
      <c r="J1718" s="247">
        <f t="shared" ref="J1718:J1723" si="844">I1718/7</f>
        <v>144.28571428571428</v>
      </c>
    </row>
    <row r="1719" spans="1:10" s="186" customFormat="1" x14ac:dyDescent="0.25">
      <c r="A1719" s="246" t="s">
        <v>13</v>
      </c>
      <c r="B1719" s="233">
        <v>9</v>
      </c>
      <c r="C1719" s="13">
        <v>1</v>
      </c>
      <c r="D1719" s="13">
        <v>0</v>
      </c>
      <c r="E1719" s="13">
        <v>3</v>
      </c>
      <c r="F1719" s="11">
        <v>5</v>
      </c>
      <c r="G1719" s="11">
        <v>5</v>
      </c>
      <c r="H1719" s="11">
        <v>4</v>
      </c>
      <c r="I1719" s="11">
        <f>SUM('PEPE SIERRA '!$B1719:$H1719)</f>
        <v>27</v>
      </c>
      <c r="J1719" s="247">
        <f t="shared" si="844"/>
        <v>3.8571428571428572</v>
      </c>
    </row>
    <row r="1720" spans="1:10" s="186" customFormat="1" x14ac:dyDescent="0.25">
      <c r="A1720" s="246" t="s">
        <v>14</v>
      </c>
      <c r="B1720" s="233">
        <v>46</v>
      </c>
      <c r="C1720" s="13">
        <v>23</v>
      </c>
      <c r="D1720" s="13">
        <v>30</v>
      </c>
      <c r="E1720" s="13">
        <v>28</v>
      </c>
      <c r="F1720" s="11">
        <v>55</v>
      </c>
      <c r="G1720" s="11">
        <v>58</v>
      </c>
      <c r="H1720" s="86">
        <v>55</v>
      </c>
      <c r="I1720" s="11">
        <f>SUM('PEPE SIERRA '!$B1720:$H1720)</f>
        <v>295</v>
      </c>
      <c r="J1720" s="247">
        <f t="shared" si="844"/>
        <v>42.142857142857146</v>
      </c>
    </row>
    <row r="1721" spans="1:10" s="186" customFormat="1" x14ac:dyDescent="0.25">
      <c r="A1721" s="246" t="s">
        <v>15</v>
      </c>
      <c r="B1721" s="233">
        <v>17</v>
      </c>
      <c r="C1721" s="13">
        <v>6</v>
      </c>
      <c r="D1721" s="13">
        <v>3</v>
      </c>
      <c r="E1721" s="13">
        <v>6</v>
      </c>
      <c r="F1721" s="11">
        <v>10</v>
      </c>
      <c r="G1721" s="11">
        <v>19</v>
      </c>
      <c r="H1721" s="11">
        <v>12</v>
      </c>
      <c r="I1721" s="11">
        <f>SUM('PEPE SIERRA '!$B1721:$H1721)</f>
        <v>73</v>
      </c>
      <c r="J1721" s="247">
        <f t="shared" si="844"/>
        <v>10.428571428571429</v>
      </c>
    </row>
    <row r="1722" spans="1:10" s="186" customFormat="1" x14ac:dyDescent="0.25">
      <c r="A1722" s="246" t="s">
        <v>16</v>
      </c>
      <c r="B1722" s="233">
        <v>2</v>
      </c>
      <c r="C1722" s="13">
        <v>0</v>
      </c>
      <c r="D1722" s="13">
        <v>0</v>
      </c>
      <c r="E1722" s="13">
        <v>1</v>
      </c>
      <c r="F1722" s="11">
        <v>0</v>
      </c>
      <c r="G1722" s="11">
        <v>0</v>
      </c>
      <c r="H1722" s="11">
        <v>0</v>
      </c>
      <c r="I1722" s="11">
        <f>SUM('PEPE SIERRA '!$B1722:$H1722)</f>
        <v>3</v>
      </c>
      <c r="J1722" s="247">
        <f t="shared" si="844"/>
        <v>0.42857142857142855</v>
      </c>
    </row>
    <row r="1723" spans="1:10" s="186" customFormat="1" x14ac:dyDescent="0.25">
      <c r="A1723" s="248" t="s">
        <v>17</v>
      </c>
      <c r="B1723" s="249">
        <f>SUM(B1718:B1722)</f>
        <v>303</v>
      </c>
      <c r="C1723" s="192">
        <f t="shared" ref="C1723:I1723" si="845">SUM(C1718:C1722)</f>
        <v>80</v>
      </c>
      <c r="D1723" s="192">
        <f t="shared" si="845"/>
        <v>113</v>
      </c>
      <c r="E1723" s="192">
        <f t="shared" si="845"/>
        <v>103</v>
      </c>
      <c r="F1723" s="192">
        <f t="shared" si="845"/>
        <v>238</v>
      </c>
      <c r="G1723" s="192">
        <f t="shared" si="845"/>
        <v>267</v>
      </c>
      <c r="H1723" s="192">
        <f t="shared" si="845"/>
        <v>304</v>
      </c>
      <c r="I1723" s="192">
        <f t="shared" si="845"/>
        <v>1408</v>
      </c>
      <c r="J1723" s="250">
        <f t="shared" si="844"/>
        <v>201.14285714285714</v>
      </c>
    </row>
    <row r="1724" spans="1:10" s="186" customFormat="1" x14ac:dyDescent="0.25">
      <c r="A1724" s="246" t="s">
        <v>18</v>
      </c>
      <c r="B1724" s="234">
        <v>0.78</v>
      </c>
      <c r="C1724" s="235">
        <v>0.75</v>
      </c>
      <c r="D1724" s="235">
        <v>0.77</v>
      </c>
      <c r="E1724" s="236">
        <v>0.66</v>
      </c>
      <c r="F1724" s="30">
        <v>0.75</v>
      </c>
      <c r="G1724" s="30">
        <v>0.75</v>
      </c>
      <c r="H1724" s="30">
        <v>0.78</v>
      </c>
      <c r="I1724" s="30">
        <f>I1731/I1736</f>
        <v>0.75778142138198556</v>
      </c>
      <c r="J1724" s="251">
        <f>J1731/J1736</f>
        <v>0.75778142138198556</v>
      </c>
    </row>
    <row r="1725" spans="1:10" s="186" customFormat="1" x14ac:dyDescent="0.25">
      <c r="A1725" s="246" t="s">
        <v>19</v>
      </c>
      <c r="B1725" s="234">
        <v>0.03</v>
      </c>
      <c r="C1725" s="235">
        <v>0</v>
      </c>
      <c r="D1725" s="235">
        <v>0</v>
      </c>
      <c r="E1725" s="236">
        <v>0.05</v>
      </c>
      <c r="F1725" s="30">
        <v>0.02</v>
      </c>
      <c r="G1725" s="30">
        <v>0.02</v>
      </c>
      <c r="H1725" s="30">
        <v>0.01</v>
      </c>
      <c r="I1725" s="30">
        <f>I1732/I1736</f>
        <v>1.9718196222044737E-2</v>
      </c>
      <c r="J1725" s="251">
        <f>J1732/J1736</f>
        <v>1.9718196222044737E-2</v>
      </c>
    </row>
    <row r="1726" spans="1:10" s="186" customFormat="1" x14ac:dyDescent="0.25">
      <c r="A1726" s="246" t="s">
        <v>20</v>
      </c>
      <c r="B1726" s="234">
        <v>0.13</v>
      </c>
      <c r="C1726" s="235">
        <v>0.19</v>
      </c>
      <c r="D1726" s="235">
        <v>0.22</v>
      </c>
      <c r="E1726" s="236">
        <v>0.23</v>
      </c>
      <c r="F1726" s="30">
        <v>0.19</v>
      </c>
      <c r="G1726" s="30">
        <v>0.17</v>
      </c>
      <c r="H1726" s="30">
        <v>0.18</v>
      </c>
      <c r="I1726" s="30">
        <f>I1733/I1736</f>
        <v>0.17606791050975881</v>
      </c>
      <c r="J1726" s="251">
        <f>J1733/J1736</f>
        <v>0.17606791050975881</v>
      </c>
    </row>
    <row r="1727" spans="1:10" s="186" customFormat="1" x14ac:dyDescent="0.25">
      <c r="A1727" s="246" t="s">
        <v>21</v>
      </c>
      <c r="B1727" s="234">
        <v>0.05</v>
      </c>
      <c r="C1727" s="235">
        <v>0.06</v>
      </c>
      <c r="D1727" s="235">
        <v>0.01</v>
      </c>
      <c r="E1727" s="236">
        <v>0.05</v>
      </c>
      <c r="F1727" s="30">
        <v>0.04</v>
      </c>
      <c r="G1727" s="30">
        <v>0.06</v>
      </c>
      <c r="H1727" s="30">
        <v>0.03</v>
      </c>
      <c r="I1727" s="30">
        <f>I1734/I1736</f>
        <v>4.3510017239335334E-2</v>
      </c>
      <c r="J1727" s="251">
        <f>J1734/J1736</f>
        <v>4.3510017239335334E-2</v>
      </c>
    </row>
    <row r="1728" spans="1:10" s="186" customFormat="1" x14ac:dyDescent="0.25">
      <c r="A1728" s="246" t="s">
        <v>22</v>
      </c>
      <c r="B1728" s="234">
        <v>0.01</v>
      </c>
      <c r="C1728" s="235">
        <v>0</v>
      </c>
      <c r="D1728" s="235">
        <v>0</v>
      </c>
      <c r="E1728" s="236">
        <v>0.01</v>
      </c>
      <c r="F1728" s="30">
        <v>0</v>
      </c>
      <c r="G1728" s="30">
        <v>0</v>
      </c>
      <c r="H1728" s="30">
        <v>0</v>
      </c>
      <c r="I1728" s="30">
        <f>I1735/I1736</f>
        <v>2.9224546468755858E-3</v>
      </c>
      <c r="J1728" s="251">
        <f>J1735/J1736</f>
        <v>2.9224546468755853E-3</v>
      </c>
    </row>
    <row r="1729" spans="1:10" s="186" customFormat="1" x14ac:dyDescent="0.25">
      <c r="A1729" s="252" t="s">
        <v>23</v>
      </c>
      <c r="B1729" s="253">
        <f t="shared" ref="B1729:J1729" si="846">B1740/B1723</f>
        <v>38182.508250825085</v>
      </c>
      <c r="C1729" s="66">
        <f t="shared" si="846"/>
        <v>33800</v>
      </c>
      <c r="D1729" s="66">
        <f t="shared" si="846"/>
        <v>36338.93805309735</v>
      </c>
      <c r="E1729" s="66">
        <f t="shared" si="846"/>
        <v>37503.88349514563</v>
      </c>
      <c r="F1729" s="66">
        <f t="shared" si="846"/>
        <v>37618.907563025212</v>
      </c>
      <c r="G1729" s="66">
        <f t="shared" si="846"/>
        <v>39298.501872659173</v>
      </c>
      <c r="H1729" s="66">
        <f t="shared" si="846"/>
        <v>36602.302631578954</v>
      </c>
      <c r="I1729" s="66">
        <f t="shared" si="846"/>
        <v>37511.079545454544</v>
      </c>
      <c r="J1729" s="254">
        <f t="shared" si="846"/>
        <v>37511.079545454544</v>
      </c>
    </row>
    <row r="1730" spans="1:10" s="186" customFormat="1" x14ac:dyDescent="0.25">
      <c r="A1730" s="252" t="s">
        <v>24</v>
      </c>
      <c r="B1730" s="253">
        <f t="shared" ref="B1730:I1730" si="847">+B1740/B1717</f>
        <v>28851.122194513715</v>
      </c>
      <c r="C1730" s="66">
        <f t="shared" si="847"/>
        <v>29391.304347826088</v>
      </c>
      <c r="D1730" s="66">
        <f t="shared" si="847"/>
        <v>30644.029850746272</v>
      </c>
      <c r="E1730" s="66">
        <f t="shared" si="847"/>
        <v>28403.676470588234</v>
      </c>
      <c r="F1730" s="66">
        <f t="shared" si="847"/>
        <v>29259.150326797386</v>
      </c>
      <c r="G1730" s="66">
        <f t="shared" si="847"/>
        <v>29808.80681818182</v>
      </c>
      <c r="H1730" s="66">
        <f t="shared" si="847"/>
        <v>28458.056265984658</v>
      </c>
      <c r="I1730" s="66">
        <f t="shared" si="847"/>
        <v>29147.682119205299</v>
      </c>
      <c r="J1730" s="254">
        <f>J1740/J1717</f>
        <v>29147.682119205303</v>
      </c>
    </row>
    <row r="1731" spans="1:10" s="186" customFormat="1" x14ac:dyDescent="0.25">
      <c r="A1731" s="246" t="s">
        <v>25</v>
      </c>
      <c r="B1731" s="255">
        <f t="shared" ref="B1731:H1731" si="848">B1736*B1724</f>
        <v>7394430.7965517249</v>
      </c>
      <c r="C1731" s="92">
        <f t="shared" si="848"/>
        <v>1667463.3620689656</v>
      </c>
      <c r="D1731" s="92">
        <f t="shared" si="848"/>
        <v>2592985.6206896557</v>
      </c>
      <c r="E1731" s="92">
        <f t="shared" si="848"/>
        <v>2105407.3965517245</v>
      </c>
      <c r="F1731" s="92">
        <f t="shared" si="848"/>
        <v>5517241.5517241387</v>
      </c>
      <c r="G1731" s="92">
        <f t="shared" si="848"/>
        <v>6485067.0258620689</v>
      </c>
      <c r="H1731" s="92">
        <f t="shared" si="848"/>
        <v>7090365.8172413809</v>
      </c>
      <c r="I1731" s="31">
        <f t="shared" ref="I1731:I1736" si="849">SUM(B1731:H1731)</f>
        <v>32852961.57068966</v>
      </c>
      <c r="J1731" s="256">
        <f t="shared" ref="J1731:J1740" si="850">I1731/7</f>
        <v>4693280.2243842371</v>
      </c>
    </row>
    <row r="1732" spans="1:10" s="186" customFormat="1" x14ac:dyDescent="0.25">
      <c r="A1732" s="246" t="s">
        <v>26</v>
      </c>
      <c r="B1732" s="255">
        <f t="shared" ref="B1732:H1732" si="851">B1736*B1725</f>
        <v>284401.18448275863</v>
      </c>
      <c r="C1732" s="92">
        <f t="shared" si="851"/>
        <v>0</v>
      </c>
      <c r="D1732" s="92">
        <f t="shared" si="851"/>
        <v>0</v>
      </c>
      <c r="E1732" s="92">
        <f t="shared" si="851"/>
        <v>159500.56034482759</v>
      </c>
      <c r="F1732" s="92">
        <f t="shared" si="851"/>
        <v>147126.44137931036</v>
      </c>
      <c r="G1732" s="92">
        <f t="shared" si="851"/>
        <v>172935.12068965516</v>
      </c>
      <c r="H1732" s="92">
        <f t="shared" si="851"/>
        <v>90902.125862068977</v>
      </c>
      <c r="I1732" s="31">
        <f t="shared" si="849"/>
        <v>854865.43275862071</v>
      </c>
      <c r="J1732" s="256">
        <f t="shared" si="850"/>
        <v>122123.63325123153</v>
      </c>
    </row>
    <row r="1733" spans="1:10" s="186" customFormat="1" x14ac:dyDescent="0.25">
      <c r="A1733" s="246" t="s">
        <v>27</v>
      </c>
      <c r="B1733" s="255">
        <f t="shared" ref="B1733:H1733" si="852">B1736*B1726</f>
        <v>1232405.1327586207</v>
      </c>
      <c r="C1733" s="92">
        <f t="shared" si="852"/>
        <v>422424.05172413797</v>
      </c>
      <c r="D1733" s="92">
        <f t="shared" si="852"/>
        <v>740853.03448275873</v>
      </c>
      <c r="E1733" s="92">
        <f t="shared" si="852"/>
        <v>733702.57758620696</v>
      </c>
      <c r="F1733" s="92">
        <f t="shared" si="852"/>
        <v>1397701.1931034485</v>
      </c>
      <c r="G1733" s="92">
        <f t="shared" si="852"/>
        <v>1469948.5258620691</v>
      </c>
      <c r="H1733" s="92">
        <f t="shared" si="852"/>
        <v>1636238.2655172416</v>
      </c>
      <c r="I1733" s="31">
        <f t="shared" si="849"/>
        <v>7633272.7810344826</v>
      </c>
      <c r="J1733" s="256">
        <f t="shared" si="850"/>
        <v>1090467.5401477832</v>
      </c>
    </row>
    <row r="1734" spans="1:10" s="186" customFormat="1" x14ac:dyDescent="0.25">
      <c r="A1734" s="246" t="s">
        <v>28</v>
      </c>
      <c r="B1734" s="255">
        <f t="shared" ref="B1734:H1734" si="853">B1736*B1727</f>
        <v>474001.97413793107</v>
      </c>
      <c r="C1734" s="92">
        <f t="shared" si="853"/>
        <v>133397.06896551725</v>
      </c>
      <c r="D1734" s="92">
        <f t="shared" si="853"/>
        <v>33675.137931034486</v>
      </c>
      <c r="E1734" s="92">
        <f t="shared" si="853"/>
        <v>159500.56034482759</v>
      </c>
      <c r="F1734" s="92">
        <f t="shared" si="853"/>
        <v>294252.88275862072</v>
      </c>
      <c r="G1734" s="92">
        <f t="shared" si="853"/>
        <v>518805.36206896551</v>
      </c>
      <c r="H1734" s="92">
        <f t="shared" si="853"/>
        <v>272706.37758620695</v>
      </c>
      <c r="I1734" s="31">
        <f t="shared" si="849"/>
        <v>1886339.3637931035</v>
      </c>
      <c r="J1734" s="256">
        <f t="shared" si="850"/>
        <v>269477.05197044334</v>
      </c>
    </row>
    <row r="1735" spans="1:10" s="186" customFormat="1" x14ac:dyDescent="0.25">
      <c r="A1735" s="246" t="s">
        <v>29</v>
      </c>
      <c r="B1735" s="255">
        <f t="shared" ref="B1735:H1735" si="854">B1736*B1728</f>
        <v>94800.394827586206</v>
      </c>
      <c r="C1735" s="92">
        <f t="shared" si="854"/>
        <v>0</v>
      </c>
      <c r="D1735" s="92">
        <f t="shared" si="854"/>
        <v>0</v>
      </c>
      <c r="E1735" s="92">
        <f t="shared" si="854"/>
        <v>31900.112068965518</v>
      </c>
      <c r="F1735" s="92">
        <f t="shared" si="854"/>
        <v>0</v>
      </c>
      <c r="G1735" s="92">
        <f t="shared" si="854"/>
        <v>0</v>
      </c>
      <c r="H1735" s="92">
        <f t="shared" si="854"/>
        <v>0</v>
      </c>
      <c r="I1735" s="31">
        <f t="shared" si="849"/>
        <v>126700.50689655173</v>
      </c>
      <c r="J1735" s="256">
        <f t="shared" si="850"/>
        <v>18100.072413793103</v>
      </c>
    </row>
    <row r="1736" spans="1:10" s="186" customFormat="1" x14ac:dyDescent="0.25">
      <c r="A1736" s="257" t="s">
        <v>30</v>
      </c>
      <c r="B1736" s="258">
        <f>(11569300/1.16)-B1737</f>
        <v>9480039.4827586208</v>
      </c>
      <c r="C1736" s="258">
        <f>(2704000/1.16)-C1737</f>
        <v>2223284.4827586208</v>
      </c>
      <c r="D1736" s="258">
        <f>(4106300/1.16)-D1737</f>
        <v>3367513.7931034486</v>
      </c>
      <c r="E1736" s="258">
        <f>(3862900/1.16)-E1737</f>
        <v>3190011.2068965519</v>
      </c>
      <c r="F1736" s="258">
        <f>(8953300/1.16)-F1737</f>
        <v>7356322.0689655179</v>
      </c>
      <c r="G1736" s="258">
        <f>(10492700/1.16)-G1737</f>
        <v>8646756.0344827585</v>
      </c>
      <c r="H1736" s="258">
        <f>(11127100/1.16)-H1737</f>
        <v>9090212.5862068981</v>
      </c>
      <c r="I1736" s="197">
        <f t="shared" si="849"/>
        <v>43354139.655172415</v>
      </c>
      <c r="J1736" s="259">
        <f t="shared" si="850"/>
        <v>6193448.522167488</v>
      </c>
    </row>
    <row r="1737" spans="1:10" s="186" customFormat="1" x14ac:dyDescent="0.25">
      <c r="A1737" s="246" t="s">
        <v>31</v>
      </c>
      <c r="B1737" s="255">
        <f t="shared" ref="B1737:I1737" si="855">2155*B1718</f>
        <v>493495</v>
      </c>
      <c r="C1737" s="92">
        <f t="shared" si="855"/>
        <v>107750</v>
      </c>
      <c r="D1737" s="92">
        <f t="shared" si="855"/>
        <v>172400</v>
      </c>
      <c r="E1737" s="92">
        <f t="shared" si="855"/>
        <v>140075</v>
      </c>
      <c r="F1737" s="92">
        <f t="shared" si="855"/>
        <v>362040</v>
      </c>
      <c r="G1737" s="31">
        <f t="shared" si="855"/>
        <v>398675</v>
      </c>
      <c r="H1737" s="31">
        <f t="shared" si="855"/>
        <v>502115</v>
      </c>
      <c r="I1737" s="31">
        <f t="shared" si="855"/>
        <v>2176550</v>
      </c>
      <c r="J1737" s="256">
        <f t="shared" si="850"/>
        <v>310935.71428571426</v>
      </c>
    </row>
    <row r="1738" spans="1:10" s="186" customFormat="1" x14ac:dyDescent="0.25">
      <c r="A1738" s="260" t="s">
        <v>32</v>
      </c>
      <c r="B1738" s="261">
        <f>B1737+B1736</f>
        <v>9973534.4827586208</v>
      </c>
      <c r="C1738" s="199">
        <f>C1737+C1736</f>
        <v>2331034.4827586208</v>
      </c>
      <c r="D1738" s="199">
        <f>D1737+D1736</f>
        <v>3539913.7931034486</v>
      </c>
      <c r="E1738" s="199">
        <f>E1737+E1736</f>
        <v>3330086.2068965519</v>
      </c>
      <c r="F1738" s="199">
        <f>F1736+F1737</f>
        <v>7718362.0689655179</v>
      </c>
      <c r="G1738" s="199">
        <f>G1737+G1736</f>
        <v>9045431.0344827585</v>
      </c>
      <c r="H1738" s="199">
        <f>H1737+H1736</f>
        <v>9592327.5862068981</v>
      </c>
      <c r="I1738" s="199">
        <f>I1736+I1737</f>
        <v>45530689.655172415</v>
      </c>
      <c r="J1738" s="262">
        <f t="shared" si="850"/>
        <v>6504384.2364532026</v>
      </c>
    </row>
    <row r="1739" spans="1:10" s="186" customFormat="1" x14ac:dyDescent="0.25">
      <c r="A1739" s="246" t="s">
        <v>33</v>
      </c>
      <c r="B1739" s="263">
        <f>B1738*16%</f>
        <v>1595765.5172413792</v>
      </c>
      <c r="C1739" s="94">
        <f t="shared" ref="C1739:H1739" si="856">C1738*16%</f>
        <v>372965.5172413793</v>
      </c>
      <c r="D1739" s="94">
        <f t="shared" si="856"/>
        <v>566386.20689655177</v>
      </c>
      <c r="E1739" s="94">
        <f t="shared" si="856"/>
        <v>532813.79310344835</v>
      </c>
      <c r="F1739" s="94">
        <f t="shared" si="856"/>
        <v>1234937.9310344828</v>
      </c>
      <c r="G1739" s="94">
        <f t="shared" si="856"/>
        <v>1447268.9655172413</v>
      </c>
      <c r="H1739" s="94">
        <f t="shared" si="856"/>
        <v>1534772.4137931038</v>
      </c>
      <c r="I1739" s="94">
        <f>I1738*16%</f>
        <v>7284910.3448275868</v>
      </c>
      <c r="J1739" s="256">
        <f t="shared" si="850"/>
        <v>1040701.4778325123</v>
      </c>
    </row>
    <row r="1740" spans="1:10" s="186" customFormat="1" ht="15.75" thickBot="1" x14ac:dyDescent="0.3">
      <c r="A1740" s="264" t="s">
        <v>34</v>
      </c>
      <c r="B1740" s="265">
        <f>B1738+B1739</f>
        <v>11569300</v>
      </c>
      <c r="C1740" s="266">
        <f t="shared" ref="C1740:H1740" si="857">C1738+C1739</f>
        <v>2704000</v>
      </c>
      <c r="D1740" s="266">
        <f t="shared" si="857"/>
        <v>4106300.0000000005</v>
      </c>
      <c r="E1740" s="266">
        <f t="shared" si="857"/>
        <v>3862900</v>
      </c>
      <c r="F1740" s="266">
        <f t="shared" si="857"/>
        <v>8953300</v>
      </c>
      <c r="G1740" s="266">
        <f t="shared" si="857"/>
        <v>10492700</v>
      </c>
      <c r="H1740" s="266">
        <f t="shared" si="857"/>
        <v>11127100.000000002</v>
      </c>
      <c r="I1740" s="266">
        <f>I1738+I1739</f>
        <v>52815600</v>
      </c>
      <c r="J1740" s="267">
        <f t="shared" si="850"/>
        <v>7545085.7142857146</v>
      </c>
    </row>
    <row r="1741" spans="1:10" s="186" customFormat="1" ht="15.75" thickBot="1" x14ac:dyDescent="0.3">
      <c r="A1741" s="204"/>
      <c r="B1741" s="112"/>
      <c r="C1741" s="112"/>
      <c r="D1741" s="112"/>
      <c r="E1741" s="112"/>
      <c r="F1741" s="112"/>
      <c r="G1741" s="112"/>
      <c r="H1741" s="112"/>
      <c r="I1741" s="112"/>
      <c r="J1741" s="205"/>
    </row>
    <row r="1742" spans="1:10" s="186" customFormat="1" ht="27" thickBot="1" x14ac:dyDescent="0.3">
      <c r="A1742"/>
      <c r="B1742" s="1002" t="s">
        <v>626</v>
      </c>
      <c r="C1742" s="1002"/>
      <c r="D1742" s="1002"/>
      <c r="E1742" s="1002"/>
      <c r="F1742" s="1002"/>
      <c r="G1742" s="1002"/>
      <c r="H1742" s="1002"/>
      <c r="I1742"/>
      <c r="J1742"/>
    </row>
    <row r="1743" spans="1:10" s="186" customFormat="1" ht="16.5" thickBot="1" x14ac:dyDescent="0.3">
      <c r="A1743" s="238" t="s">
        <v>2</v>
      </c>
      <c r="B1743" s="239" t="s">
        <v>201</v>
      </c>
      <c r="C1743" s="239" t="s">
        <v>202</v>
      </c>
      <c r="D1743" s="239" t="s">
        <v>203</v>
      </c>
      <c r="E1743" s="239" t="s">
        <v>204</v>
      </c>
      <c r="F1743" s="239" t="s">
        <v>205</v>
      </c>
      <c r="G1743" s="239" t="s">
        <v>206</v>
      </c>
      <c r="H1743" s="239" t="s">
        <v>207</v>
      </c>
      <c r="I1743" s="240" t="s">
        <v>96</v>
      </c>
      <c r="J1743" s="241" t="s">
        <v>97</v>
      </c>
    </row>
    <row r="1744" spans="1:10" s="186" customFormat="1" x14ac:dyDescent="0.25">
      <c r="A1744" s="242" t="s">
        <v>11</v>
      </c>
      <c r="B1744" s="243">
        <f>87+34+10</f>
        <v>131</v>
      </c>
      <c r="C1744" s="244">
        <f>77+17+11</f>
        <v>105</v>
      </c>
      <c r="D1744" s="244">
        <f>82+38+9</f>
        <v>129</v>
      </c>
      <c r="E1744" s="268">
        <f>123+44+15</f>
        <v>182</v>
      </c>
      <c r="F1744" s="244">
        <f>207+106+19</f>
        <v>332</v>
      </c>
      <c r="G1744" s="244">
        <f>255+145+38</f>
        <v>438</v>
      </c>
      <c r="H1744" s="268">
        <f>194+111+32</f>
        <v>337</v>
      </c>
      <c r="I1744" s="244">
        <f>SUM(B1744:H1744)</f>
        <v>1654</v>
      </c>
      <c r="J1744" s="245">
        <f>+I1744/7</f>
        <v>236.28571428571428</v>
      </c>
    </row>
    <row r="1745" spans="1:10" s="186" customFormat="1" x14ac:dyDescent="0.25">
      <c r="A1745" s="246" t="s">
        <v>12</v>
      </c>
      <c r="B1745" s="233">
        <v>76</v>
      </c>
      <c r="C1745" s="13">
        <v>61</v>
      </c>
      <c r="D1745" s="13">
        <v>65</v>
      </c>
      <c r="E1745" s="13">
        <v>95</v>
      </c>
      <c r="F1745" s="86">
        <v>181</v>
      </c>
      <c r="G1745" s="11">
        <v>237</v>
      </c>
      <c r="H1745" s="86">
        <v>204</v>
      </c>
      <c r="I1745" s="11">
        <f>SUM('PEPE SIERRA '!$B1745:$H1745)</f>
        <v>919</v>
      </c>
      <c r="J1745" s="247">
        <f t="shared" ref="J1745:J1750" si="858">I1745/7</f>
        <v>131.28571428571428</v>
      </c>
    </row>
    <row r="1746" spans="1:10" s="186" customFormat="1" x14ac:dyDescent="0.25">
      <c r="A1746" s="246" t="s">
        <v>13</v>
      </c>
      <c r="B1746" s="233">
        <v>2</v>
      </c>
      <c r="C1746" s="13">
        <v>2</v>
      </c>
      <c r="D1746" s="13">
        <v>0</v>
      </c>
      <c r="E1746" s="13">
        <v>1</v>
      </c>
      <c r="F1746" s="11">
        <v>2</v>
      </c>
      <c r="G1746" s="11">
        <v>4</v>
      </c>
      <c r="H1746" s="11">
        <v>3</v>
      </c>
      <c r="I1746" s="11">
        <f>SUM('PEPE SIERRA '!$B1746:$H1746)</f>
        <v>14</v>
      </c>
      <c r="J1746" s="247">
        <f t="shared" si="858"/>
        <v>2</v>
      </c>
    </row>
    <row r="1747" spans="1:10" s="186" customFormat="1" x14ac:dyDescent="0.25">
      <c r="A1747" s="246" t="s">
        <v>14</v>
      </c>
      <c r="B1747" s="233">
        <v>29</v>
      </c>
      <c r="C1747" s="13">
        <v>20</v>
      </c>
      <c r="D1747" s="13">
        <v>48</v>
      </c>
      <c r="E1747" s="13">
        <v>40</v>
      </c>
      <c r="F1747" s="11">
        <v>57</v>
      </c>
      <c r="G1747" s="11">
        <v>87</v>
      </c>
      <c r="H1747" s="86">
        <v>48</v>
      </c>
      <c r="I1747" s="11">
        <f>SUM('PEPE SIERRA '!$B1747:$H1747)</f>
        <v>329</v>
      </c>
      <c r="J1747" s="247">
        <f t="shared" si="858"/>
        <v>47</v>
      </c>
    </row>
    <row r="1748" spans="1:10" s="186" customFormat="1" x14ac:dyDescent="0.25">
      <c r="A1748" s="246" t="s">
        <v>15</v>
      </c>
      <c r="B1748" s="233">
        <v>0</v>
      </c>
      <c r="C1748" s="13">
        <v>1</v>
      </c>
      <c r="D1748" s="13">
        <v>0</v>
      </c>
      <c r="E1748" s="13">
        <v>2</v>
      </c>
      <c r="F1748" s="11">
        <v>10</v>
      </c>
      <c r="G1748" s="11">
        <v>16</v>
      </c>
      <c r="H1748" s="11">
        <v>5</v>
      </c>
      <c r="I1748" s="11">
        <f>SUM('PEPE SIERRA '!$B1748:$H1748)</f>
        <v>34</v>
      </c>
      <c r="J1748" s="247">
        <f t="shared" si="858"/>
        <v>4.8571428571428568</v>
      </c>
    </row>
    <row r="1749" spans="1:10" s="186" customFormat="1" x14ac:dyDescent="0.25">
      <c r="A1749" s="246" t="s">
        <v>16</v>
      </c>
      <c r="B1749" s="233">
        <v>0</v>
      </c>
      <c r="C1749" s="13">
        <v>0</v>
      </c>
      <c r="D1749" s="13">
        <v>0</v>
      </c>
      <c r="E1749" s="13">
        <v>0</v>
      </c>
      <c r="F1749" s="11">
        <v>0</v>
      </c>
      <c r="G1749" s="11">
        <v>0</v>
      </c>
      <c r="H1749" s="11">
        <v>0</v>
      </c>
      <c r="I1749" s="11">
        <f>SUM('PEPE SIERRA '!$B1749:$H1749)</f>
        <v>0</v>
      </c>
      <c r="J1749" s="247">
        <f t="shared" si="858"/>
        <v>0</v>
      </c>
    </row>
    <row r="1750" spans="1:10" s="186" customFormat="1" x14ac:dyDescent="0.25">
      <c r="A1750" s="248" t="s">
        <v>17</v>
      </c>
      <c r="B1750" s="249">
        <f>SUM(B1745:B1749)</f>
        <v>107</v>
      </c>
      <c r="C1750" s="192">
        <f t="shared" ref="C1750:I1750" si="859">SUM(C1745:C1749)</f>
        <v>84</v>
      </c>
      <c r="D1750" s="192">
        <f t="shared" si="859"/>
        <v>113</v>
      </c>
      <c r="E1750" s="192">
        <f t="shared" si="859"/>
        <v>138</v>
      </c>
      <c r="F1750" s="192">
        <f t="shared" si="859"/>
        <v>250</v>
      </c>
      <c r="G1750" s="192">
        <f t="shared" si="859"/>
        <v>344</v>
      </c>
      <c r="H1750" s="192">
        <f t="shared" si="859"/>
        <v>260</v>
      </c>
      <c r="I1750" s="192">
        <f t="shared" si="859"/>
        <v>1296</v>
      </c>
      <c r="J1750" s="250">
        <f t="shared" si="858"/>
        <v>185.14285714285714</v>
      </c>
    </row>
    <row r="1751" spans="1:10" s="186" customFormat="1" x14ac:dyDescent="0.25">
      <c r="A1751" s="246" t="s">
        <v>18</v>
      </c>
      <c r="B1751" s="234">
        <v>0.77</v>
      </c>
      <c r="C1751" s="235">
        <v>0.79</v>
      </c>
      <c r="D1751" s="235">
        <v>0.65</v>
      </c>
      <c r="E1751" s="236">
        <v>0.76</v>
      </c>
      <c r="F1751" s="30">
        <v>0.79</v>
      </c>
      <c r="G1751" s="30">
        <v>0.74</v>
      </c>
      <c r="H1751" s="30">
        <v>0.82</v>
      </c>
      <c r="I1751" s="30">
        <f>I1758/I1763</f>
        <v>0.76693941002421806</v>
      </c>
      <c r="J1751" s="251">
        <f>J1758/J1763</f>
        <v>0.76693941002421795</v>
      </c>
    </row>
    <row r="1752" spans="1:10" s="186" customFormat="1" x14ac:dyDescent="0.25">
      <c r="A1752" s="246" t="s">
        <v>19</v>
      </c>
      <c r="B1752" s="234">
        <v>0.02</v>
      </c>
      <c r="C1752" s="235">
        <v>0.03</v>
      </c>
      <c r="D1752" s="235">
        <v>0</v>
      </c>
      <c r="E1752" s="236">
        <v>0</v>
      </c>
      <c r="F1752" s="30">
        <v>0</v>
      </c>
      <c r="G1752" s="30">
        <v>0.02</v>
      </c>
      <c r="H1752" s="30">
        <v>0.01</v>
      </c>
      <c r="I1752" s="30">
        <f>I1759/I1763</f>
        <v>1.0774957465842217E-2</v>
      </c>
      <c r="J1752" s="251">
        <f>J1759/J1763</f>
        <v>1.0774957465842215E-2</v>
      </c>
    </row>
    <row r="1753" spans="1:10" s="186" customFormat="1" x14ac:dyDescent="0.25">
      <c r="A1753" s="246" t="s">
        <v>20</v>
      </c>
      <c r="B1753" s="234">
        <v>0.21</v>
      </c>
      <c r="C1753" s="235">
        <v>0.18</v>
      </c>
      <c r="D1753" s="235">
        <v>0.35</v>
      </c>
      <c r="E1753" s="236">
        <v>0.24</v>
      </c>
      <c r="F1753" s="30">
        <v>0.18</v>
      </c>
      <c r="G1753" s="30">
        <v>0.19</v>
      </c>
      <c r="H1753" s="30">
        <v>0.15</v>
      </c>
      <c r="I1753" s="30">
        <f>I1760/I1763</f>
        <v>0.19857271861976772</v>
      </c>
      <c r="J1753" s="251">
        <f>J1760/J1763</f>
        <v>0.19857271861976769</v>
      </c>
    </row>
    <row r="1754" spans="1:10" s="186" customFormat="1" x14ac:dyDescent="0.25">
      <c r="A1754" s="246" t="s">
        <v>21</v>
      </c>
      <c r="B1754" s="234">
        <v>0</v>
      </c>
      <c r="C1754" s="235">
        <v>0</v>
      </c>
      <c r="D1754" s="235">
        <v>0</v>
      </c>
      <c r="E1754" s="236">
        <v>0</v>
      </c>
      <c r="F1754" s="30">
        <v>0.03</v>
      </c>
      <c r="G1754" s="30">
        <v>0.05</v>
      </c>
      <c r="H1754" s="30">
        <v>0.02</v>
      </c>
      <c r="I1754" s="30">
        <f>I1761/I1763</f>
        <v>2.3712913890171994E-2</v>
      </c>
      <c r="J1754" s="251">
        <f>J1761/J1763</f>
        <v>2.3712913890171994E-2</v>
      </c>
    </row>
    <row r="1755" spans="1:10" s="186" customFormat="1" x14ac:dyDescent="0.25">
      <c r="A1755" s="246" t="s">
        <v>22</v>
      </c>
      <c r="B1755" s="234">
        <v>0</v>
      </c>
      <c r="C1755" s="235">
        <v>0</v>
      </c>
      <c r="D1755" s="235">
        <v>0</v>
      </c>
      <c r="E1755" s="236">
        <v>0</v>
      </c>
      <c r="F1755" s="30">
        <v>0</v>
      </c>
      <c r="G1755" s="30">
        <v>0</v>
      </c>
      <c r="H1755" s="30">
        <v>0</v>
      </c>
      <c r="I1755" s="30">
        <f>I1762/I1763</f>
        <v>0</v>
      </c>
      <c r="J1755" s="251">
        <f>J1762/J1763</f>
        <v>0</v>
      </c>
    </row>
    <row r="1756" spans="1:10" s="186" customFormat="1" x14ac:dyDescent="0.25">
      <c r="A1756" s="252" t="s">
        <v>23</v>
      </c>
      <c r="B1756" s="253">
        <f t="shared" ref="B1756:J1756" si="860">B1767/B1750</f>
        <v>36188.785046728975</v>
      </c>
      <c r="C1756" s="66">
        <f t="shared" si="860"/>
        <v>36016.666666666664</v>
      </c>
      <c r="D1756" s="66">
        <f t="shared" si="860"/>
        <v>33826.548672566372</v>
      </c>
      <c r="E1756" s="66">
        <f t="shared" si="860"/>
        <v>37448.55072463768</v>
      </c>
      <c r="F1756" s="66">
        <f t="shared" si="860"/>
        <v>41138.80000000001</v>
      </c>
      <c r="G1756" s="66">
        <f t="shared" si="860"/>
        <v>38459.011627906984</v>
      </c>
      <c r="H1756" s="66">
        <f t="shared" si="860"/>
        <v>38087.692307692305</v>
      </c>
      <c r="I1756" s="66">
        <f t="shared" si="860"/>
        <v>38044.212962962971</v>
      </c>
      <c r="J1756" s="254">
        <f t="shared" si="860"/>
        <v>38044.212962962971</v>
      </c>
    </row>
    <row r="1757" spans="1:10" s="186" customFormat="1" x14ac:dyDescent="0.25">
      <c r="A1757" s="252" t="s">
        <v>24</v>
      </c>
      <c r="B1757" s="253">
        <f t="shared" ref="B1757:I1757" si="861">+B1767/B1744</f>
        <v>29558.778625954197</v>
      </c>
      <c r="C1757" s="66">
        <f t="shared" si="861"/>
        <v>28813.333333333332</v>
      </c>
      <c r="D1757" s="66">
        <f t="shared" si="861"/>
        <v>29631.007751937988</v>
      </c>
      <c r="E1757" s="66">
        <f t="shared" si="861"/>
        <v>28395.054945054944</v>
      </c>
      <c r="F1757" s="66">
        <f t="shared" si="861"/>
        <v>30978.012048192777</v>
      </c>
      <c r="G1757" s="66">
        <f t="shared" si="861"/>
        <v>30205.251141552515</v>
      </c>
      <c r="H1757" s="66">
        <f t="shared" si="861"/>
        <v>29385.163204747776</v>
      </c>
      <c r="I1757" s="66">
        <f t="shared" si="861"/>
        <v>29809.733978234588</v>
      </c>
      <c r="J1757" s="254">
        <f>J1767/J1744</f>
        <v>29809.733978234588</v>
      </c>
    </row>
    <row r="1758" spans="1:10" s="186" customFormat="1" x14ac:dyDescent="0.25">
      <c r="A1758" s="246" t="s">
        <v>25</v>
      </c>
      <c r="B1758" s="255">
        <f t="shared" ref="B1758:H1758" si="862">B1763*B1751</f>
        <v>2444229.0551724141</v>
      </c>
      <c r="C1758" s="92">
        <f t="shared" si="862"/>
        <v>1956552.2741379312</v>
      </c>
      <c r="D1758" s="92">
        <f t="shared" si="862"/>
        <v>2050813.3189655175</v>
      </c>
      <c r="E1758" s="92">
        <f t="shared" si="862"/>
        <v>3230274.5172413792</v>
      </c>
      <c r="F1758" s="92">
        <f t="shared" si="862"/>
        <v>6696091.8948275875</v>
      </c>
      <c r="G1758" s="92">
        <f t="shared" si="862"/>
        <v>8061819.8931034487</v>
      </c>
      <c r="H1758" s="92">
        <f t="shared" si="862"/>
        <v>6639766.7724137921</v>
      </c>
      <c r="I1758" s="31">
        <f t="shared" ref="I1758:I1763" si="863">SUM(B1758:H1758)</f>
        <v>31079547.725862071</v>
      </c>
      <c r="J1758" s="256">
        <f t="shared" ref="J1758:J1767" si="864">I1758/7</f>
        <v>4439935.3894088669</v>
      </c>
    </row>
    <row r="1759" spans="1:10" s="186" customFormat="1" x14ac:dyDescent="0.25">
      <c r="A1759" s="246" t="s">
        <v>26</v>
      </c>
      <c r="B1759" s="255">
        <f t="shared" ref="B1759:H1759" si="865">B1763*B1752</f>
        <v>63486.468965517248</v>
      </c>
      <c r="C1759" s="92">
        <f t="shared" si="865"/>
        <v>74299.453448275861</v>
      </c>
      <c r="D1759" s="92">
        <f t="shared" si="865"/>
        <v>0</v>
      </c>
      <c r="E1759" s="92">
        <f t="shared" si="865"/>
        <v>0</v>
      </c>
      <c r="F1759" s="92">
        <f t="shared" si="865"/>
        <v>0</v>
      </c>
      <c r="G1759" s="92">
        <f t="shared" si="865"/>
        <v>217887.02413793106</v>
      </c>
      <c r="H1759" s="92">
        <f t="shared" si="865"/>
        <v>80972.76551724138</v>
      </c>
      <c r="I1759" s="31">
        <f t="shared" si="863"/>
        <v>436645.71206896554</v>
      </c>
      <c r="J1759" s="256">
        <f t="shared" si="864"/>
        <v>62377.958866995075</v>
      </c>
    </row>
    <row r="1760" spans="1:10" s="186" customFormat="1" x14ac:dyDescent="0.25">
      <c r="A1760" s="246" t="s">
        <v>27</v>
      </c>
      <c r="B1760" s="255">
        <f t="shared" ref="B1760:H1760" si="866">B1763*B1753</f>
        <v>666607.92413793108</v>
      </c>
      <c r="C1760" s="92">
        <f t="shared" si="866"/>
        <v>445796.72068965517</v>
      </c>
      <c r="D1760" s="92">
        <f t="shared" si="866"/>
        <v>1104284.0948275863</v>
      </c>
      <c r="E1760" s="92">
        <f t="shared" si="866"/>
        <v>1020086.6896551724</v>
      </c>
      <c r="F1760" s="92">
        <f t="shared" si="866"/>
        <v>1525691.8241379312</v>
      </c>
      <c r="G1760" s="92">
        <f t="shared" si="866"/>
        <v>2069926.7293103451</v>
      </c>
      <c r="H1760" s="92">
        <f t="shared" si="866"/>
        <v>1214591.4827586205</v>
      </c>
      <c r="I1760" s="31">
        <f t="shared" si="863"/>
        <v>8046985.4655172415</v>
      </c>
      <c r="J1760" s="256">
        <f t="shared" si="864"/>
        <v>1149569.3522167488</v>
      </c>
    </row>
    <row r="1761" spans="1:10" s="186" customFormat="1" x14ac:dyDescent="0.25">
      <c r="A1761" s="246" t="s">
        <v>28</v>
      </c>
      <c r="B1761" s="255">
        <f t="shared" ref="B1761:H1761" si="867">B1763*B1754</f>
        <v>0</v>
      </c>
      <c r="C1761" s="92">
        <f t="shared" si="867"/>
        <v>0</v>
      </c>
      <c r="D1761" s="92">
        <f t="shared" si="867"/>
        <v>0</v>
      </c>
      <c r="E1761" s="92">
        <f t="shared" si="867"/>
        <v>0</v>
      </c>
      <c r="F1761" s="92">
        <f t="shared" si="867"/>
        <v>254281.97068965519</v>
      </c>
      <c r="G1761" s="92">
        <f t="shared" si="867"/>
        <v>544717.56034482771</v>
      </c>
      <c r="H1761" s="92">
        <f t="shared" si="867"/>
        <v>161945.53103448276</v>
      </c>
      <c r="I1761" s="31">
        <f t="shared" si="863"/>
        <v>960945.06206896564</v>
      </c>
      <c r="J1761" s="256">
        <f t="shared" si="864"/>
        <v>137277.86600985224</v>
      </c>
    </row>
    <row r="1762" spans="1:10" s="186" customFormat="1" x14ac:dyDescent="0.25">
      <c r="A1762" s="246" t="s">
        <v>29</v>
      </c>
      <c r="B1762" s="255">
        <f t="shared" ref="B1762:H1762" si="868">B1763*B1755</f>
        <v>0</v>
      </c>
      <c r="C1762" s="92">
        <f t="shared" si="868"/>
        <v>0</v>
      </c>
      <c r="D1762" s="92">
        <f t="shared" si="868"/>
        <v>0</v>
      </c>
      <c r="E1762" s="92">
        <f t="shared" si="868"/>
        <v>0</v>
      </c>
      <c r="F1762" s="92">
        <f t="shared" si="868"/>
        <v>0</v>
      </c>
      <c r="G1762" s="92">
        <f t="shared" si="868"/>
        <v>0</v>
      </c>
      <c r="H1762" s="92">
        <f t="shared" si="868"/>
        <v>0</v>
      </c>
      <c r="I1762" s="31">
        <f t="shared" si="863"/>
        <v>0</v>
      </c>
      <c r="J1762" s="256">
        <f t="shared" si="864"/>
        <v>0</v>
      </c>
    </row>
    <row r="1763" spans="1:10" s="186" customFormat="1" x14ac:dyDescent="0.25">
      <c r="A1763" s="257" t="s">
        <v>30</v>
      </c>
      <c r="B1763" s="258">
        <f>(3872200/1.16)-B1764</f>
        <v>3174323.4482758623</v>
      </c>
      <c r="C1763" s="258">
        <f>(3025400/1.16)-C1764</f>
        <v>2476648.4482758623</v>
      </c>
      <c r="D1763" s="258">
        <f>(3822400/1.16)-D1764</f>
        <v>3155097.4137931038</v>
      </c>
      <c r="E1763" s="258">
        <f>(5167900/1.16)-E1764</f>
        <v>4250361.2068965519</v>
      </c>
      <c r="F1763" s="258">
        <f>(10284700/1.16)-F1764</f>
        <v>8476065.6896551736</v>
      </c>
      <c r="G1763" s="258">
        <f>(13229900/1.16)-G1764</f>
        <v>10894351.206896553</v>
      </c>
      <c r="H1763" s="258">
        <f>(9902800/1.16)-H1764</f>
        <v>8097276.5517241377</v>
      </c>
      <c r="I1763" s="197">
        <f t="shared" si="863"/>
        <v>40524123.965517245</v>
      </c>
      <c r="J1763" s="259">
        <f t="shared" si="864"/>
        <v>5789160.566502464</v>
      </c>
    </row>
    <row r="1764" spans="1:10" s="186" customFormat="1" x14ac:dyDescent="0.25">
      <c r="A1764" s="246" t="s">
        <v>31</v>
      </c>
      <c r="B1764" s="255">
        <f t="shared" ref="B1764:I1764" si="869">2155*B1745</f>
        <v>163780</v>
      </c>
      <c r="C1764" s="92">
        <f t="shared" si="869"/>
        <v>131455</v>
      </c>
      <c r="D1764" s="92">
        <f t="shared" si="869"/>
        <v>140075</v>
      </c>
      <c r="E1764" s="92">
        <f t="shared" si="869"/>
        <v>204725</v>
      </c>
      <c r="F1764" s="92">
        <f t="shared" si="869"/>
        <v>390055</v>
      </c>
      <c r="G1764" s="31">
        <f t="shared" si="869"/>
        <v>510735</v>
      </c>
      <c r="H1764" s="31">
        <f t="shared" si="869"/>
        <v>439620</v>
      </c>
      <c r="I1764" s="31">
        <f t="shared" si="869"/>
        <v>1980445</v>
      </c>
      <c r="J1764" s="256">
        <f t="shared" si="864"/>
        <v>282920.71428571426</v>
      </c>
    </row>
    <row r="1765" spans="1:10" s="186" customFormat="1" x14ac:dyDescent="0.25">
      <c r="A1765" s="260" t="s">
        <v>32</v>
      </c>
      <c r="B1765" s="261">
        <f>B1764+B1763</f>
        <v>3338103.4482758623</v>
      </c>
      <c r="C1765" s="199">
        <f>C1764+C1763</f>
        <v>2608103.4482758623</v>
      </c>
      <c r="D1765" s="199">
        <f>D1764+D1763</f>
        <v>3295172.4137931038</v>
      </c>
      <c r="E1765" s="199">
        <f>E1764+E1763</f>
        <v>4455086.2068965519</v>
      </c>
      <c r="F1765" s="199">
        <f>F1763+F1764</f>
        <v>8866120.6896551736</v>
      </c>
      <c r="G1765" s="199">
        <f>G1764+G1763</f>
        <v>11405086.206896553</v>
      </c>
      <c r="H1765" s="199">
        <f>H1764+H1763</f>
        <v>8536896.5517241377</v>
      </c>
      <c r="I1765" s="199">
        <f>I1763+I1764</f>
        <v>42504568.965517245</v>
      </c>
      <c r="J1765" s="262">
        <f t="shared" si="864"/>
        <v>6072081.2807881776</v>
      </c>
    </row>
    <row r="1766" spans="1:10" s="186" customFormat="1" x14ac:dyDescent="0.25">
      <c r="A1766" s="246" t="s">
        <v>33</v>
      </c>
      <c r="B1766" s="263">
        <f>B1765*16%</f>
        <v>534096.55172413797</v>
      </c>
      <c r="C1766" s="94">
        <f t="shared" ref="C1766:H1766" si="870">C1765*16%</f>
        <v>417296.55172413797</v>
      </c>
      <c r="D1766" s="94">
        <f t="shared" si="870"/>
        <v>527227.58620689658</v>
      </c>
      <c r="E1766" s="94">
        <f t="shared" si="870"/>
        <v>712813.79310344835</v>
      </c>
      <c r="F1766" s="94">
        <f t="shared" si="870"/>
        <v>1418579.3103448278</v>
      </c>
      <c r="G1766" s="94">
        <f t="shared" si="870"/>
        <v>1824813.7931034486</v>
      </c>
      <c r="H1766" s="94">
        <f t="shared" si="870"/>
        <v>1365903.448275862</v>
      </c>
      <c r="I1766" s="94">
        <f>I1765*16%</f>
        <v>6800731.0344827594</v>
      </c>
      <c r="J1766" s="256">
        <f t="shared" si="864"/>
        <v>971533.00492610852</v>
      </c>
    </row>
    <row r="1767" spans="1:10" s="186" customFormat="1" ht="15.75" thickBot="1" x14ac:dyDescent="0.3">
      <c r="A1767" s="264" t="s">
        <v>34</v>
      </c>
      <c r="B1767" s="265">
        <f>B1765+B1766</f>
        <v>3872200</v>
      </c>
      <c r="C1767" s="266">
        <f t="shared" ref="C1767:H1767" si="871">C1765+C1766</f>
        <v>3025400</v>
      </c>
      <c r="D1767" s="266">
        <f t="shared" si="871"/>
        <v>3822400.0000000005</v>
      </c>
      <c r="E1767" s="266">
        <f t="shared" si="871"/>
        <v>5167900</v>
      </c>
      <c r="F1767" s="266">
        <f t="shared" si="871"/>
        <v>10284700.000000002</v>
      </c>
      <c r="G1767" s="266">
        <f t="shared" si="871"/>
        <v>13229900.000000002</v>
      </c>
      <c r="H1767" s="266">
        <f t="shared" si="871"/>
        <v>9902800</v>
      </c>
      <c r="I1767" s="266">
        <f>I1765+I1766</f>
        <v>49305300.000000007</v>
      </c>
      <c r="J1767" s="267">
        <f t="shared" si="864"/>
        <v>7043614.2857142864</v>
      </c>
    </row>
    <row r="1768" spans="1:10" s="186" customFormat="1" ht="15.75" thickBot="1" x14ac:dyDescent="0.3">
      <c r="A1768" s="204"/>
      <c r="B1768" s="112"/>
      <c r="C1768" s="112"/>
      <c r="D1768" s="112"/>
      <c r="E1768" s="112"/>
      <c r="F1768" s="112"/>
      <c r="G1768" s="112"/>
      <c r="H1768" s="112"/>
      <c r="I1768" s="112"/>
      <c r="J1768" s="205"/>
    </row>
    <row r="1769" spans="1:10" s="186" customFormat="1" ht="27" thickBot="1" x14ac:dyDescent="0.3">
      <c r="A1769"/>
      <c r="B1769" s="1002" t="s">
        <v>630</v>
      </c>
      <c r="C1769" s="1002"/>
      <c r="D1769" s="1002"/>
      <c r="E1769" s="1002"/>
      <c r="F1769" s="1002"/>
      <c r="G1769" s="1002"/>
      <c r="H1769" s="1002"/>
      <c r="I1769"/>
      <c r="J1769"/>
    </row>
    <row r="1770" spans="1:10" s="186" customFormat="1" ht="16.5" thickBot="1" x14ac:dyDescent="0.3">
      <c r="A1770" s="238" t="s">
        <v>2</v>
      </c>
      <c r="B1770" s="239" t="s">
        <v>209</v>
      </c>
      <c r="C1770" s="239" t="s">
        <v>242</v>
      </c>
      <c r="D1770" s="239" t="s">
        <v>243</v>
      </c>
      <c r="E1770" s="239" t="s">
        <v>244</v>
      </c>
      <c r="F1770" s="239" t="s">
        <v>245</v>
      </c>
      <c r="G1770" s="239" t="s">
        <v>246</v>
      </c>
      <c r="H1770" s="239" t="s">
        <v>247</v>
      </c>
      <c r="I1770" s="240" t="s">
        <v>96</v>
      </c>
      <c r="J1770" s="241" t="s">
        <v>97</v>
      </c>
    </row>
    <row r="1771" spans="1:10" s="186" customFormat="1" x14ac:dyDescent="0.25">
      <c r="A1771" s="242" t="s">
        <v>11</v>
      </c>
      <c r="B1771" s="243">
        <v>132</v>
      </c>
      <c r="C1771" s="244">
        <f>80+38+12</f>
        <v>130</v>
      </c>
      <c r="D1771" s="244">
        <f>75+28+10</f>
        <v>113</v>
      </c>
      <c r="E1771" s="244">
        <f>111+54+14</f>
        <v>179</v>
      </c>
      <c r="F1771" s="244">
        <f>199+111+38</f>
        <v>348</v>
      </c>
      <c r="G1771" s="244">
        <f>206+92+44</f>
        <v>342</v>
      </c>
      <c r="H1771" s="268">
        <f>173+132+37</f>
        <v>342</v>
      </c>
      <c r="I1771" s="244">
        <f>SUM(B1771:H1771)</f>
        <v>1586</v>
      </c>
      <c r="J1771" s="245">
        <f>+I1771/7</f>
        <v>226.57142857142858</v>
      </c>
    </row>
    <row r="1772" spans="1:10" s="186" customFormat="1" x14ac:dyDescent="0.25">
      <c r="A1772" s="246" t="s">
        <v>12</v>
      </c>
      <c r="B1772" s="233">
        <v>61</v>
      </c>
      <c r="C1772" s="13">
        <v>70</v>
      </c>
      <c r="D1772" s="13">
        <v>73</v>
      </c>
      <c r="E1772" s="13">
        <v>102</v>
      </c>
      <c r="F1772" s="86">
        <v>184</v>
      </c>
      <c r="G1772" s="11">
        <v>198</v>
      </c>
      <c r="H1772" s="86">
        <v>199</v>
      </c>
      <c r="I1772" s="11">
        <f>SUM('PEPE SIERRA '!$B1772:$H1772)</f>
        <v>887</v>
      </c>
      <c r="J1772" s="247">
        <f t="shared" ref="J1772:J1777" si="872">I1772/7</f>
        <v>126.71428571428571</v>
      </c>
    </row>
    <row r="1773" spans="1:10" s="186" customFormat="1" x14ac:dyDescent="0.25">
      <c r="A1773" s="246" t="s">
        <v>13</v>
      </c>
      <c r="B1773" s="233">
        <v>2</v>
      </c>
      <c r="C1773" s="13">
        <v>1</v>
      </c>
      <c r="D1773" s="13">
        <v>1</v>
      </c>
      <c r="E1773" s="13">
        <v>3</v>
      </c>
      <c r="F1773" s="11">
        <v>1</v>
      </c>
      <c r="G1773" s="11">
        <v>1</v>
      </c>
      <c r="H1773" s="11">
        <v>3</v>
      </c>
      <c r="I1773" s="11">
        <f>SUM('PEPE SIERRA '!$B1773:$H1773)</f>
        <v>12</v>
      </c>
      <c r="J1773" s="247">
        <f t="shared" si="872"/>
        <v>1.7142857142857142</v>
      </c>
    </row>
    <row r="1774" spans="1:10" s="186" customFormat="1" x14ac:dyDescent="0.25">
      <c r="A1774" s="246" t="s">
        <v>14</v>
      </c>
      <c r="B1774" s="233">
        <v>37</v>
      </c>
      <c r="C1774" s="13">
        <v>34</v>
      </c>
      <c r="D1774" s="13">
        <v>23</v>
      </c>
      <c r="E1774" s="13">
        <v>33</v>
      </c>
      <c r="F1774" s="11">
        <v>65</v>
      </c>
      <c r="G1774" s="11">
        <v>64</v>
      </c>
      <c r="H1774" s="86">
        <v>66</v>
      </c>
      <c r="I1774" s="11">
        <f>SUM('PEPE SIERRA '!$B1774:$H1774)</f>
        <v>322</v>
      </c>
      <c r="J1774" s="247">
        <f t="shared" si="872"/>
        <v>46</v>
      </c>
    </row>
    <row r="1775" spans="1:10" s="186" customFormat="1" x14ac:dyDescent="0.25">
      <c r="A1775" s="246" t="s">
        <v>15</v>
      </c>
      <c r="B1775" s="233">
        <v>0</v>
      </c>
      <c r="C1775" s="13">
        <v>1</v>
      </c>
      <c r="D1775" s="13">
        <v>0</v>
      </c>
      <c r="E1775" s="13">
        <v>2</v>
      </c>
      <c r="F1775" s="11">
        <v>12</v>
      </c>
      <c r="G1775" s="11">
        <v>0</v>
      </c>
      <c r="H1775" s="11">
        <v>3</v>
      </c>
      <c r="I1775" s="11">
        <f>SUM('PEPE SIERRA '!$B1775:$H1775)</f>
        <v>18</v>
      </c>
      <c r="J1775" s="247">
        <f t="shared" si="872"/>
        <v>2.5714285714285716</v>
      </c>
    </row>
    <row r="1776" spans="1:10" s="186" customFormat="1" x14ac:dyDescent="0.25">
      <c r="A1776" s="246" t="s">
        <v>16</v>
      </c>
      <c r="B1776" s="233">
        <v>0</v>
      </c>
      <c r="C1776" s="13">
        <v>0</v>
      </c>
      <c r="D1776" s="13">
        <v>0</v>
      </c>
      <c r="E1776" s="13">
        <v>0</v>
      </c>
      <c r="F1776" s="11">
        <v>0</v>
      </c>
      <c r="G1776" s="11">
        <v>0</v>
      </c>
      <c r="H1776" s="11">
        <v>0</v>
      </c>
      <c r="I1776" s="11">
        <f>SUM('PEPE SIERRA '!$B1776:$H1776)</f>
        <v>0</v>
      </c>
      <c r="J1776" s="247">
        <f t="shared" si="872"/>
        <v>0</v>
      </c>
    </row>
    <row r="1777" spans="1:10" s="186" customFormat="1" x14ac:dyDescent="0.25">
      <c r="A1777" s="248" t="s">
        <v>17</v>
      </c>
      <c r="B1777" s="249">
        <f>SUM(B1772:B1776)</f>
        <v>100</v>
      </c>
      <c r="C1777" s="192">
        <f t="shared" ref="C1777:I1777" si="873">SUM(C1772:C1776)</f>
        <v>106</v>
      </c>
      <c r="D1777" s="192">
        <f t="shared" si="873"/>
        <v>97</v>
      </c>
      <c r="E1777" s="192">
        <f t="shared" si="873"/>
        <v>140</v>
      </c>
      <c r="F1777" s="192">
        <f t="shared" si="873"/>
        <v>262</v>
      </c>
      <c r="G1777" s="192">
        <f t="shared" si="873"/>
        <v>263</v>
      </c>
      <c r="H1777" s="192">
        <f t="shared" si="873"/>
        <v>271</v>
      </c>
      <c r="I1777" s="192">
        <f t="shared" si="873"/>
        <v>1239</v>
      </c>
      <c r="J1777" s="250">
        <f t="shared" si="872"/>
        <v>177</v>
      </c>
    </row>
    <row r="1778" spans="1:10" s="186" customFormat="1" x14ac:dyDescent="0.25">
      <c r="A1778" s="246" t="s">
        <v>18</v>
      </c>
      <c r="B1778" s="234">
        <v>0.7</v>
      </c>
      <c r="C1778" s="235">
        <v>0.74</v>
      </c>
      <c r="D1778" s="235">
        <v>0.81</v>
      </c>
      <c r="E1778" s="235">
        <v>0.79</v>
      </c>
      <c r="F1778" s="30">
        <v>0.77</v>
      </c>
      <c r="G1778" s="30">
        <v>0.8</v>
      </c>
      <c r="H1778" s="30">
        <v>0.78</v>
      </c>
      <c r="I1778" s="30">
        <f>I1785/I1790</f>
        <v>0.77537524000110669</v>
      </c>
      <c r="J1778" s="251">
        <f>J1785/J1790</f>
        <v>0.77537524000110669</v>
      </c>
    </row>
    <row r="1779" spans="1:10" s="186" customFormat="1" x14ac:dyDescent="0.25">
      <c r="A1779" s="246" t="s">
        <v>19</v>
      </c>
      <c r="B1779" s="234">
        <v>0.02</v>
      </c>
      <c r="C1779" s="235">
        <v>0.01</v>
      </c>
      <c r="D1779" s="235">
        <v>0.01</v>
      </c>
      <c r="E1779" s="235">
        <v>0.01</v>
      </c>
      <c r="F1779" s="30">
        <v>0</v>
      </c>
      <c r="G1779" s="30">
        <v>0</v>
      </c>
      <c r="H1779" s="30">
        <v>0.01</v>
      </c>
      <c r="I1779" s="30">
        <f>I1786/I1790</f>
        <v>6.5020017221060367E-3</v>
      </c>
      <c r="J1779" s="251">
        <f>J1786/J1790</f>
        <v>6.5020017221060376E-3</v>
      </c>
    </row>
    <row r="1780" spans="1:10" s="186" customFormat="1" x14ac:dyDescent="0.25">
      <c r="A1780" s="246" t="s">
        <v>20</v>
      </c>
      <c r="B1780" s="234">
        <v>0.28000000000000003</v>
      </c>
      <c r="C1780" s="235">
        <v>0.24</v>
      </c>
      <c r="D1780" s="235">
        <v>0.18</v>
      </c>
      <c r="E1780" s="235">
        <v>0.19</v>
      </c>
      <c r="F1780" s="30">
        <v>0.19</v>
      </c>
      <c r="G1780" s="30">
        <v>0.2</v>
      </c>
      <c r="H1780" s="30">
        <v>0.2</v>
      </c>
      <c r="I1780" s="30">
        <f>I1787/I1790</f>
        <v>0.20522535735885325</v>
      </c>
      <c r="J1780" s="251">
        <f>J1787/J1790</f>
        <v>0.20522535735885325</v>
      </c>
    </row>
    <row r="1781" spans="1:10" s="186" customFormat="1" x14ac:dyDescent="0.25">
      <c r="A1781" s="246" t="s">
        <v>21</v>
      </c>
      <c r="B1781" s="234">
        <v>0</v>
      </c>
      <c r="C1781" s="235">
        <v>0.01</v>
      </c>
      <c r="D1781" s="235">
        <v>0</v>
      </c>
      <c r="E1781" s="235">
        <v>0.01</v>
      </c>
      <c r="F1781" s="30">
        <v>0.04</v>
      </c>
      <c r="G1781" s="30">
        <v>0</v>
      </c>
      <c r="H1781" s="30">
        <v>0.01</v>
      </c>
      <c r="I1781" s="30">
        <f>I1788/I1790</f>
        <v>1.2897400917933908E-2</v>
      </c>
      <c r="J1781" s="251">
        <f>J1788/J1790</f>
        <v>1.2897400917933908E-2</v>
      </c>
    </row>
    <row r="1782" spans="1:10" s="186" customFormat="1" x14ac:dyDescent="0.25">
      <c r="A1782" s="246" t="s">
        <v>22</v>
      </c>
      <c r="B1782" s="234">
        <v>0</v>
      </c>
      <c r="C1782" s="235">
        <v>0</v>
      </c>
      <c r="D1782" s="235">
        <v>0</v>
      </c>
      <c r="E1782" s="235">
        <v>0</v>
      </c>
      <c r="F1782" s="30">
        <v>0</v>
      </c>
      <c r="G1782" s="30">
        <v>0</v>
      </c>
      <c r="H1782" s="30">
        <v>0</v>
      </c>
      <c r="I1782" s="30">
        <f>I1789/I1790</f>
        <v>0</v>
      </c>
      <c r="J1782" s="251">
        <f>J1789/J1790</f>
        <v>0</v>
      </c>
    </row>
    <row r="1783" spans="1:10" s="186" customFormat="1" x14ac:dyDescent="0.25">
      <c r="A1783" s="252" t="s">
        <v>23</v>
      </c>
      <c r="B1783" s="253">
        <f t="shared" ref="B1783:J1783" si="874">B1794/B1777</f>
        <v>38535.000000000007</v>
      </c>
      <c r="C1783" s="66">
        <f t="shared" si="874"/>
        <v>34783.018867924533</v>
      </c>
      <c r="D1783" s="66">
        <f t="shared" si="874"/>
        <v>34486.597938144332</v>
      </c>
      <c r="E1783" s="66">
        <f t="shared" si="874"/>
        <v>36338.571428571428</v>
      </c>
      <c r="F1783" s="66">
        <f t="shared" si="874"/>
        <v>38535.877862595429</v>
      </c>
      <c r="G1783" s="66">
        <f t="shared" si="874"/>
        <v>37505.323193916352</v>
      </c>
      <c r="H1783" s="66">
        <f t="shared" si="874"/>
        <v>37032.10332103321</v>
      </c>
      <c r="I1783" s="66">
        <f t="shared" si="874"/>
        <v>37101.775625504444</v>
      </c>
      <c r="J1783" s="254">
        <f t="shared" si="874"/>
        <v>37101.775625504444</v>
      </c>
    </row>
    <row r="1784" spans="1:10" s="186" customFormat="1" x14ac:dyDescent="0.25">
      <c r="A1784" s="252" t="s">
        <v>24</v>
      </c>
      <c r="B1784" s="253">
        <f t="shared" ref="B1784:I1784" si="875">+B1794/B1771</f>
        <v>29193.181818181823</v>
      </c>
      <c r="C1784" s="66">
        <f t="shared" si="875"/>
        <v>28361.538461538465</v>
      </c>
      <c r="D1784" s="66">
        <f t="shared" si="875"/>
        <v>29603.53982300885</v>
      </c>
      <c r="E1784" s="66">
        <f t="shared" si="875"/>
        <v>28421.229050279329</v>
      </c>
      <c r="F1784" s="66">
        <f t="shared" si="875"/>
        <v>29012.643678160926</v>
      </c>
      <c r="G1784" s="66">
        <f t="shared" si="875"/>
        <v>28841.812865497075</v>
      </c>
      <c r="H1784" s="66">
        <f t="shared" si="875"/>
        <v>29344.152046783627</v>
      </c>
      <c r="I1784" s="66">
        <f t="shared" si="875"/>
        <v>28984.300126103408</v>
      </c>
      <c r="J1784" s="254">
        <f>J1794/J1771</f>
        <v>28984.300126103408</v>
      </c>
    </row>
    <row r="1785" spans="1:10" s="186" customFormat="1" x14ac:dyDescent="0.25">
      <c r="A1785" s="246" t="s">
        <v>25</v>
      </c>
      <c r="B1785" s="255">
        <f t="shared" ref="B1785:H1785" si="876">B1790*B1778</f>
        <v>2233369.431034483</v>
      </c>
      <c r="C1785" s="92">
        <f t="shared" si="876"/>
        <v>2240422.7241379311</v>
      </c>
      <c r="D1785" s="92">
        <f t="shared" si="876"/>
        <v>2208447.2637931039</v>
      </c>
      <c r="E1785" s="92">
        <f t="shared" si="876"/>
        <v>3291044.9275862072</v>
      </c>
      <c r="F1785" s="92">
        <f t="shared" si="876"/>
        <v>6396600.2896551741</v>
      </c>
      <c r="G1785" s="92">
        <f t="shared" si="876"/>
        <v>6461337.6551724141</v>
      </c>
      <c r="H1785" s="92">
        <f t="shared" si="876"/>
        <v>6413644.0034482758</v>
      </c>
      <c r="I1785" s="31">
        <f t="shared" ref="I1785:I1790" si="877">SUM(B1785:H1785)</f>
        <v>29244866.294827588</v>
      </c>
      <c r="J1785" s="256">
        <f t="shared" ref="J1785:J1794" si="878">I1785/7</f>
        <v>4177838.0421182266</v>
      </c>
    </row>
    <row r="1786" spans="1:10" s="186" customFormat="1" x14ac:dyDescent="0.25">
      <c r="A1786" s="246" t="s">
        <v>26</v>
      </c>
      <c r="B1786" s="255">
        <f t="shared" ref="B1786:H1786" si="879">B1790*B1779</f>
        <v>63810.555172413806</v>
      </c>
      <c r="C1786" s="92">
        <f t="shared" si="879"/>
        <v>30275.982758620696</v>
      </c>
      <c r="D1786" s="92">
        <f t="shared" si="879"/>
        <v>27264.781034482759</v>
      </c>
      <c r="E1786" s="92">
        <f t="shared" si="879"/>
        <v>41658.796551724139</v>
      </c>
      <c r="F1786" s="92">
        <f t="shared" si="879"/>
        <v>0</v>
      </c>
      <c r="G1786" s="92">
        <f t="shared" si="879"/>
        <v>0</v>
      </c>
      <c r="H1786" s="92">
        <f t="shared" si="879"/>
        <v>82226.2051724138</v>
      </c>
      <c r="I1786" s="31">
        <f t="shared" si="877"/>
        <v>245236.3206896552</v>
      </c>
      <c r="J1786" s="256">
        <f t="shared" si="878"/>
        <v>35033.760098522172</v>
      </c>
    </row>
    <row r="1787" spans="1:10" s="186" customFormat="1" x14ac:dyDescent="0.25">
      <c r="A1787" s="246" t="s">
        <v>27</v>
      </c>
      <c r="B1787" s="255">
        <f t="shared" ref="B1787:H1787" si="880">B1790*B1780</f>
        <v>893347.77241379325</v>
      </c>
      <c r="C1787" s="92">
        <f t="shared" si="880"/>
        <v>726623.58620689658</v>
      </c>
      <c r="D1787" s="92">
        <f t="shared" si="880"/>
        <v>490766.05862068967</v>
      </c>
      <c r="E1787" s="92">
        <f t="shared" si="880"/>
        <v>791517.1344827587</v>
      </c>
      <c r="F1787" s="92">
        <f t="shared" si="880"/>
        <v>1578381.8896551728</v>
      </c>
      <c r="G1787" s="92">
        <f t="shared" si="880"/>
        <v>1615334.4137931035</v>
      </c>
      <c r="H1787" s="92">
        <f t="shared" si="880"/>
        <v>1644524.1034482759</v>
      </c>
      <c r="I1787" s="31">
        <f t="shared" si="877"/>
        <v>7740494.9586206898</v>
      </c>
      <c r="J1787" s="256">
        <f t="shared" si="878"/>
        <v>1105784.99408867</v>
      </c>
    </row>
    <row r="1788" spans="1:10" s="186" customFormat="1" x14ac:dyDescent="0.25">
      <c r="A1788" s="246" t="s">
        <v>28</v>
      </c>
      <c r="B1788" s="255">
        <f t="shared" ref="B1788:H1788" si="881">B1790*B1781</f>
        <v>0</v>
      </c>
      <c r="C1788" s="92">
        <f t="shared" si="881"/>
        <v>30275.982758620696</v>
      </c>
      <c r="D1788" s="92">
        <f t="shared" si="881"/>
        <v>0</v>
      </c>
      <c r="E1788" s="92">
        <f t="shared" si="881"/>
        <v>41658.796551724139</v>
      </c>
      <c r="F1788" s="92">
        <f t="shared" si="881"/>
        <v>332290.92413793108</v>
      </c>
      <c r="G1788" s="92">
        <f t="shared" si="881"/>
        <v>0</v>
      </c>
      <c r="H1788" s="92">
        <f t="shared" si="881"/>
        <v>82226.2051724138</v>
      </c>
      <c r="I1788" s="31">
        <f t="shared" si="877"/>
        <v>486451.9086206897</v>
      </c>
      <c r="J1788" s="256">
        <f t="shared" si="878"/>
        <v>69493.129802955678</v>
      </c>
    </row>
    <row r="1789" spans="1:10" s="186" customFormat="1" x14ac:dyDescent="0.25">
      <c r="A1789" s="246" t="s">
        <v>29</v>
      </c>
      <c r="B1789" s="255">
        <f t="shared" ref="B1789:H1789" si="882">B1790*B1782</f>
        <v>0</v>
      </c>
      <c r="C1789" s="92">
        <f t="shared" si="882"/>
        <v>0</v>
      </c>
      <c r="D1789" s="92">
        <f t="shared" si="882"/>
        <v>0</v>
      </c>
      <c r="E1789" s="92">
        <f t="shared" si="882"/>
        <v>0</v>
      </c>
      <c r="F1789" s="92">
        <f t="shared" si="882"/>
        <v>0</v>
      </c>
      <c r="G1789" s="92">
        <f t="shared" si="882"/>
        <v>0</v>
      </c>
      <c r="H1789" s="92">
        <f t="shared" si="882"/>
        <v>0</v>
      </c>
      <c r="I1789" s="31">
        <f t="shared" si="877"/>
        <v>0</v>
      </c>
      <c r="J1789" s="256">
        <f t="shared" si="878"/>
        <v>0</v>
      </c>
    </row>
    <row r="1790" spans="1:10" s="186" customFormat="1" x14ac:dyDescent="0.25">
      <c r="A1790" s="257" t="s">
        <v>30</v>
      </c>
      <c r="B1790" s="258">
        <f>(3853500/1.16)-B1791</f>
        <v>3190527.7586206901</v>
      </c>
      <c r="C1790" s="258">
        <f>(3687000/1.16)-C1791</f>
        <v>3027598.2758620693</v>
      </c>
      <c r="D1790" s="258">
        <f>(3345200/1.16)-D1791</f>
        <v>2726478.1034482759</v>
      </c>
      <c r="E1790" s="258">
        <f>(5087400/1.16)-E1791</f>
        <v>4165879.6551724141</v>
      </c>
      <c r="F1790" s="258">
        <f>(10096400/1.16)-F1791</f>
        <v>8307273.1034482773</v>
      </c>
      <c r="G1790" s="258">
        <f>(9863900/1.16)-G1791</f>
        <v>8076672.068965517</v>
      </c>
      <c r="H1790" s="258">
        <f>(10035700/1.16)-H1791</f>
        <v>8222620.5172413792</v>
      </c>
      <c r="I1790" s="197">
        <f t="shared" si="877"/>
        <v>37717049.482758626</v>
      </c>
      <c r="J1790" s="259">
        <f t="shared" si="878"/>
        <v>5388149.9261083752</v>
      </c>
    </row>
    <row r="1791" spans="1:10" s="186" customFormat="1" x14ac:dyDescent="0.25">
      <c r="A1791" s="246" t="s">
        <v>31</v>
      </c>
      <c r="B1791" s="255">
        <f t="shared" ref="B1791:I1791" si="883">2155*B1772</f>
        <v>131455</v>
      </c>
      <c r="C1791" s="92">
        <f t="shared" si="883"/>
        <v>150850</v>
      </c>
      <c r="D1791" s="92">
        <f t="shared" si="883"/>
        <v>157315</v>
      </c>
      <c r="E1791" s="92">
        <f t="shared" si="883"/>
        <v>219810</v>
      </c>
      <c r="F1791" s="92">
        <f t="shared" si="883"/>
        <v>396520</v>
      </c>
      <c r="G1791" s="31">
        <f t="shared" si="883"/>
        <v>426690</v>
      </c>
      <c r="H1791" s="31">
        <f t="shared" si="883"/>
        <v>428845</v>
      </c>
      <c r="I1791" s="31">
        <f t="shared" si="883"/>
        <v>1911485</v>
      </c>
      <c r="J1791" s="256">
        <f t="shared" si="878"/>
        <v>273069.28571428574</v>
      </c>
    </row>
    <row r="1792" spans="1:10" s="186" customFormat="1" x14ac:dyDescent="0.25">
      <c r="A1792" s="260" t="s">
        <v>32</v>
      </c>
      <c r="B1792" s="261">
        <f>B1791+B1790</f>
        <v>3321982.7586206901</v>
      </c>
      <c r="C1792" s="199">
        <f>C1791+C1790</f>
        <v>3178448.2758620693</v>
      </c>
      <c r="D1792" s="199">
        <f>D1791+D1790</f>
        <v>2883793.1034482759</v>
      </c>
      <c r="E1792" s="199">
        <f>E1791+E1790</f>
        <v>4385689.6551724141</v>
      </c>
      <c r="F1792" s="199">
        <f>F1790+F1791</f>
        <v>8703793.1034482773</v>
      </c>
      <c r="G1792" s="199">
        <f>G1791+G1790</f>
        <v>8503362.068965517</v>
      </c>
      <c r="H1792" s="199">
        <f>H1791+H1790</f>
        <v>8651465.5172413792</v>
      </c>
      <c r="I1792" s="199">
        <f>I1790+I1791</f>
        <v>39628534.482758626</v>
      </c>
      <c r="J1792" s="262">
        <f t="shared" si="878"/>
        <v>5661219.2118226606</v>
      </c>
    </row>
    <row r="1793" spans="1:10" s="186" customFormat="1" x14ac:dyDescent="0.25">
      <c r="A1793" s="246" t="s">
        <v>33</v>
      </c>
      <c r="B1793" s="263">
        <f>B1792*16%</f>
        <v>531517.24137931038</v>
      </c>
      <c r="C1793" s="94">
        <f t="shared" ref="C1793:H1793" si="884">C1792*16%</f>
        <v>508551.72413793113</v>
      </c>
      <c r="D1793" s="94">
        <f t="shared" si="884"/>
        <v>461406.89655172417</v>
      </c>
      <c r="E1793" s="94">
        <f t="shared" si="884"/>
        <v>701710.34482758632</v>
      </c>
      <c r="F1793" s="94">
        <f t="shared" si="884"/>
        <v>1392606.8965517243</v>
      </c>
      <c r="G1793" s="94">
        <f t="shared" si="884"/>
        <v>1360537.9310344828</v>
      </c>
      <c r="H1793" s="94">
        <f t="shared" si="884"/>
        <v>1384234.4827586208</v>
      </c>
      <c r="I1793" s="94">
        <f>I1792*16%</f>
        <v>6340565.5172413802</v>
      </c>
      <c r="J1793" s="256">
        <f t="shared" si="878"/>
        <v>905795.07389162574</v>
      </c>
    </row>
    <row r="1794" spans="1:10" s="186" customFormat="1" ht="15.75" thickBot="1" x14ac:dyDescent="0.3">
      <c r="A1794" s="264" t="s">
        <v>34</v>
      </c>
      <c r="B1794" s="265">
        <f>B1792+B1793</f>
        <v>3853500.0000000005</v>
      </c>
      <c r="C1794" s="266">
        <f t="shared" ref="C1794:H1794" si="885">C1792+C1793</f>
        <v>3687000.0000000005</v>
      </c>
      <c r="D1794" s="266">
        <f t="shared" si="885"/>
        <v>3345200</v>
      </c>
      <c r="E1794" s="266">
        <f t="shared" si="885"/>
        <v>5087400</v>
      </c>
      <c r="F1794" s="266">
        <f t="shared" si="885"/>
        <v>10096400.000000002</v>
      </c>
      <c r="G1794" s="266">
        <f t="shared" si="885"/>
        <v>9863900</v>
      </c>
      <c r="H1794" s="266">
        <f t="shared" si="885"/>
        <v>10035700</v>
      </c>
      <c r="I1794" s="266">
        <f>I1792+I1793</f>
        <v>45969100.000000007</v>
      </c>
      <c r="J1794" s="267">
        <f t="shared" si="878"/>
        <v>6567014.2857142864</v>
      </c>
    </row>
    <row r="1795" spans="1:10" s="186" customFormat="1" ht="15.75" thickBot="1" x14ac:dyDescent="0.3">
      <c r="A1795" s="204"/>
      <c r="B1795" s="112"/>
      <c r="C1795" s="112"/>
      <c r="D1795" s="112"/>
      <c r="E1795" s="112"/>
      <c r="F1795" s="112"/>
      <c r="G1795" s="112"/>
      <c r="H1795" s="112"/>
      <c r="I1795" s="112"/>
      <c r="J1795" s="205"/>
    </row>
    <row r="1796" spans="1:10" s="186" customFormat="1" ht="27" thickBot="1" x14ac:dyDescent="0.3">
      <c r="A1796"/>
      <c r="B1796" s="1002" t="s">
        <v>633</v>
      </c>
      <c r="C1796" s="1002"/>
      <c r="D1796" s="1002"/>
      <c r="E1796" s="1002"/>
      <c r="F1796" s="1002"/>
      <c r="G1796" s="1002"/>
      <c r="H1796" s="1002"/>
      <c r="I1796"/>
      <c r="J1796"/>
    </row>
    <row r="1797" spans="1:10" s="186" customFormat="1" ht="16.5" thickBot="1" x14ac:dyDescent="0.3">
      <c r="A1797" s="238" t="s">
        <v>2</v>
      </c>
      <c r="B1797" s="239" t="s">
        <v>249</v>
      </c>
      <c r="C1797" s="239" t="s">
        <v>250</v>
      </c>
      <c r="D1797" s="239" t="s">
        <v>251</v>
      </c>
      <c r="E1797" s="239" t="s">
        <v>220</v>
      </c>
      <c r="F1797" s="239" t="s">
        <v>221</v>
      </c>
      <c r="G1797" s="239" t="s">
        <v>222</v>
      </c>
      <c r="H1797" s="239" t="s">
        <v>223</v>
      </c>
      <c r="I1797" s="240" t="s">
        <v>96</v>
      </c>
      <c r="J1797" s="241" t="s">
        <v>97</v>
      </c>
    </row>
    <row r="1798" spans="1:10" s="186" customFormat="1" x14ac:dyDescent="0.25">
      <c r="A1798" s="242" t="s">
        <v>11</v>
      </c>
      <c r="B1798" s="243">
        <f>166+118+38</f>
        <v>322</v>
      </c>
      <c r="C1798" s="244">
        <f>64+38+9</f>
        <v>111</v>
      </c>
      <c r="D1798" s="244">
        <f>61+39+14</f>
        <v>114</v>
      </c>
      <c r="E1798" s="244">
        <f>91+54+14</f>
        <v>159</v>
      </c>
      <c r="F1798" s="244">
        <f>207+155+36</f>
        <v>398</v>
      </c>
      <c r="G1798" s="244">
        <f>188+101+21</f>
        <v>310</v>
      </c>
      <c r="H1798" s="268">
        <f>191+130+46</f>
        <v>367</v>
      </c>
      <c r="I1798" s="244">
        <f>SUM(B1798:H1798)</f>
        <v>1781</v>
      </c>
      <c r="J1798" s="245">
        <f>+I1798/7</f>
        <v>254.42857142857142</v>
      </c>
    </row>
    <row r="1799" spans="1:10" s="186" customFormat="1" x14ac:dyDescent="0.25">
      <c r="A1799" s="246" t="s">
        <v>12</v>
      </c>
      <c r="B1799" s="233">
        <v>182</v>
      </c>
      <c r="C1799" s="13">
        <v>78</v>
      </c>
      <c r="D1799" s="13">
        <v>57</v>
      </c>
      <c r="E1799" s="13">
        <v>95</v>
      </c>
      <c r="F1799" s="86">
        <v>239</v>
      </c>
      <c r="G1799" s="11">
        <v>171</v>
      </c>
      <c r="H1799" s="86">
        <v>208</v>
      </c>
      <c r="I1799" s="11">
        <f>SUM('PEPE SIERRA '!$B1799:$H1799)</f>
        <v>1030</v>
      </c>
      <c r="J1799" s="247">
        <f t="shared" ref="J1799:J1804" si="886">I1799/7</f>
        <v>147.14285714285714</v>
      </c>
    </row>
    <row r="1800" spans="1:10" s="186" customFormat="1" x14ac:dyDescent="0.25">
      <c r="A1800" s="246" t="s">
        <v>13</v>
      </c>
      <c r="B1800" s="233">
        <v>1</v>
      </c>
      <c r="C1800" s="13">
        <v>1</v>
      </c>
      <c r="D1800" s="13">
        <v>0</v>
      </c>
      <c r="E1800" s="13">
        <v>3</v>
      </c>
      <c r="F1800" s="11">
        <v>2</v>
      </c>
      <c r="G1800" s="11">
        <v>5</v>
      </c>
      <c r="H1800" s="11">
        <v>6</v>
      </c>
      <c r="I1800" s="11">
        <f>SUM('PEPE SIERRA '!$B1800:$H1800)</f>
        <v>18</v>
      </c>
      <c r="J1800" s="247">
        <f t="shared" si="886"/>
        <v>2.5714285714285716</v>
      </c>
    </row>
    <row r="1801" spans="1:10" s="186" customFormat="1" x14ac:dyDescent="0.25">
      <c r="A1801" s="246" t="s">
        <v>14</v>
      </c>
      <c r="B1801" s="233">
        <v>73</v>
      </c>
      <c r="C1801" s="13">
        <v>17</v>
      </c>
      <c r="D1801" s="13">
        <v>36</v>
      </c>
      <c r="E1801" s="13">
        <v>26</v>
      </c>
      <c r="F1801" s="11">
        <v>57</v>
      </c>
      <c r="G1801" s="11">
        <v>76</v>
      </c>
      <c r="H1801" s="86">
        <v>59</v>
      </c>
      <c r="I1801" s="11">
        <f>SUM('PEPE SIERRA '!$B1801:$H1801)</f>
        <v>344</v>
      </c>
      <c r="J1801" s="247">
        <f t="shared" si="886"/>
        <v>49.142857142857146</v>
      </c>
    </row>
    <row r="1802" spans="1:10" s="186" customFormat="1" x14ac:dyDescent="0.25">
      <c r="A1802" s="246" t="s">
        <v>15</v>
      </c>
      <c r="B1802" s="233">
        <v>1</v>
      </c>
      <c r="C1802" s="13">
        <v>0</v>
      </c>
      <c r="D1802" s="13">
        <v>1</v>
      </c>
      <c r="E1802" s="13">
        <v>0</v>
      </c>
      <c r="F1802" s="11">
        <v>3</v>
      </c>
      <c r="G1802" s="11">
        <v>1</v>
      </c>
      <c r="H1802" s="11">
        <v>4</v>
      </c>
      <c r="I1802" s="11">
        <f>SUM('PEPE SIERRA '!$B1802:$H1802)</f>
        <v>10</v>
      </c>
      <c r="J1802" s="247">
        <f t="shared" si="886"/>
        <v>1.4285714285714286</v>
      </c>
    </row>
    <row r="1803" spans="1:10" s="186" customFormat="1" x14ac:dyDescent="0.25">
      <c r="A1803" s="246" t="s">
        <v>16</v>
      </c>
      <c r="B1803" s="233">
        <v>0</v>
      </c>
      <c r="C1803" s="13">
        <v>0</v>
      </c>
      <c r="D1803" s="13">
        <v>0</v>
      </c>
      <c r="E1803" s="13">
        <v>0</v>
      </c>
      <c r="F1803" s="11">
        <v>0</v>
      </c>
      <c r="G1803" s="11">
        <v>0</v>
      </c>
      <c r="H1803" s="11">
        <v>0</v>
      </c>
      <c r="I1803" s="11">
        <f>SUM('PEPE SIERRA '!$B1803:$H1803)</f>
        <v>0</v>
      </c>
      <c r="J1803" s="247">
        <f t="shared" si="886"/>
        <v>0</v>
      </c>
    </row>
    <row r="1804" spans="1:10" s="186" customFormat="1" x14ac:dyDescent="0.25">
      <c r="A1804" s="248" t="s">
        <v>17</v>
      </c>
      <c r="B1804" s="249">
        <f>SUM(B1799:B1803)</f>
        <v>257</v>
      </c>
      <c r="C1804" s="192">
        <f t="shared" ref="C1804:I1804" si="887">SUM(C1799:C1803)</f>
        <v>96</v>
      </c>
      <c r="D1804" s="192">
        <f t="shared" si="887"/>
        <v>94</v>
      </c>
      <c r="E1804" s="192">
        <f t="shared" si="887"/>
        <v>124</v>
      </c>
      <c r="F1804" s="192">
        <f t="shared" si="887"/>
        <v>301</v>
      </c>
      <c r="G1804" s="192">
        <f t="shared" si="887"/>
        <v>253</v>
      </c>
      <c r="H1804" s="192">
        <f t="shared" si="887"/>
        <v>277</v>
      </c>
      <c r="I1804" s="192">
        <f t="shared" si="887"/>
        <v>1402</v>
      </c>
      <c r="J1804" s="250">
        <f t="shared" si="886"/>
        <v>200.28571428571428</v>
      </c>
    </row>
    <row r="1805" spans="1:10" s="186" customFormat="1" x14ac:dyDescent="0.25">
      <c r="A1805" s="246" t="s">
        <v>18</v>
      </c>
      <c r="B1805" s="234">
        <v>0.75</v>
      </c>
      <c r="C1805" s="235">
        <v>0.84</v>
      </c>
      <c r="D1805" s="235">
        <v>0.65</v>
      </c>
      <c r="E1805" s="235">
        <v>0.82</v>
      </c>
      <c r="F1805" s="30">
        <v>0.84</v>
      </c>
      <c r="G1805" s="30">
        <v>0.72</v>
      </c>
      <c r="H1805" s="30">
        <v>0.8</v>
      </c>
      <c r="I1805" s="30">
        <f>I1812/I1817</f>
        <v>0.78114282128943047</v>
      </c>
      <c r="J1805" s="251">
        <f>J1812/J1817</f>
        <v>0.78114282128943047</v>
      </c>
    </row>
    <row r="1806" spans="1:10" s="186" customFormat="1" x14ac:dyDescent="0.25">
      <c r="A1806" s="246" t="s">
        <v>19</v>
      </c>
      <c r="B1806" s="234">
        <v>0</v>
      </c>
      <c r="C1806" s="235">
        <v>0</v>
      </c>
      <c r="D1806" s="235">
        <v>0</v>
      </c>
      <c r="E1806" s="235">
        <v>0.01</v>
      </c>
      <c r="F1806" s="30">
        <v>0</v>
      </c>
      <c r="G1806" s="30">
        <v>0.01</v>
      </c>
      <c r="H1806" s="30">
        <v>0.01</v>
      </c>
      <c r="I1806" s="30">
        <f>I1813/I1817</f>
        <v>4.7010522309422252E-3</v>
      </c>
      <c r="J1806" s="251">
        <f>J1813/J1817</f>
        <v>4.7010522309422261E-3</v>
      </c>
    </row>
    <row r="1807" spans="1:10" s="186" customFormat="1" x14ac:dyDescent="0.25">
      <c r="A1807" s="246" t="s">
        <v>20</v>
      </c>
      <c r="B1807" s="234">
        <v>0.24</v>
      </c>
      <c r="C1807" s="235">
        <v>0.16</v>
      </c>
      <c r="D1807" s="235">
        <v>0.3</v>
      </c>
      <c r="E1807" s="235">
        <v>0.17</v>
      </c>
      <c r="F1807" s="30">
        <v>0.15</v>
      </c>
      <c r="G1807" s="30">
        <v>0.26</v>
      </c>
      <c r="H1807" s="30">
        <v>0.18</v>
      </c>
      <c r="I1807" s="30">
        <f>I1814/I1817</f>
        <v>0.20315159387912157</v>
      </c>
      <c r="J1807" s="251">
        <f>J1814/J1817</f>
        <v>0.2031515938791216</v>
      </c>
    </row>
    <row r="1808" spans="1:10" s="186" customFormat="1" x14ac:dyDescent="0.25">
      <c r="A1808" s="246" t="s">
        <v>21</v>
      </c>
      <c r="B1808" s="234">
        <v>0.01</v>
      </c>
      <c r="C1808" s="235">
        <v>0</v>
      </c>
      <c r="D1808" s="235">
        <v>0.05</v>
      </c>
      <c r="E1808" s="235">
        <v>0</v>
      </c>
      <c r="F1808" s="30">
        <v>0.01</v>
      </c>
      <c r="G1808" s="30">
        <v>0.01</v>
      </c>
      <c r="H1808" s="30">
        <v>0.01</v>
      </c>
      <c r="I1808" s="30">
        <f>I1815/I1817</f>
        <v>1.1004532600505683E-2</v>
      </c>
      <c r="J1808" s="251">
        <f>J1815/J1817</f>
        <v>1.1004532600505683E-2</v>
      </c>
    </row>
    <row r="1809" spans="1:10" s="186" customFormat="1" x14ac:dyDescent="0.25">
      <c r="A1809" s="246" t="s">
        <v>22</v>
      </c>
      <c r="B1809" s="234">
        <v>0</v>
      </c>
      <c r="C1809" s="235">
        <v>0</v>
      </c>
      <c r="D1809" s="235">
        <v>0</v>
      </c>
      <c r="E1809" s="235">
        <v>0</v>
      </c>
      <c r="F1809" s="30">
        <v>0</v>
      </c>
      <c r="G1809" s="30">
        <v>0</v>
      </c>
      <c r="H1809" s="30">
        <v>0</v>
      </c>
      <c r="I1809" s="30">
        <f>I1816/I1817</f>
        <v>0</v>
      </c>
      <c r="J1809" s="251">
        <f>J1816/J1817</f>
        <v>0</v>
      </c>
    </row>
    <row r="1810" spans="1:10" s="186" customFormat="1" x14ac:dyDescent="0.25">
      <c r="A1810" s="252" t="s">
        <v>23</v>
      </c>
      <c r="B1810" s="253">
        <f t="shared" ref="B1810:J1810" si="888">B1821/B1804</f>
        <v>35789.883268482488</v>
      </c>
      <c r="C1810" s="66">
        <f t="shared" si="888"/>
        <v>32640.625</v>
      </c>
      <c r="D1810" s="66">
        <f t="shared" si="888"/>
        <v>34762.765957446805</v>
      </c>
      <c r="E1810" s="66">
        <f t="shared" si="888"/>
        <v>38172.580645161295</v>
      </c>
      <c r="F1810" s="66">
        <f t="shared" si="888"/>
        <v>41582.059800664458</v>
      </c>
      <c r="G1810" s="66">
        <f t="shared" si="888"/>
        <v>37724.505928853752</v>
      </c>
      <c r="H1810" s="66">
        <f t="shared" si="888"/>
        <v>38329.241877256325</v>
      </c>
      <c r="I1810" s="66">
        <f t="shared" si="888"/>
        <v>37810.48502139801</v>
      </c>
      <c r="J1810" s="254">
        <f t="shared" si="888"/>
        <v>37810.48502139801</v>
      </c>
    </row>
    <row r="1811" spans="1:10" s="186" customFormat="1" x14ac:dyDescent="0.25">
      <c r="A1811" s="252" t="s">
        <v>24</v>
      </c>
      <c r="B1811" s="253">
        <f t="shared" ref="B1811:I1811" si="889">+B1821/B1798</f>
        <v>28565.217391304348</v>
      </c>
      <c r="C1811" s="66">
        <f t="shared" si="889"/>
        <v>28229.72972972973</v>
      </c>
      <c r="D1811" s="66">
        <f t="shared" si="889"/>
        <v>28664.035087719298</v>
      </c>
      <c r="E1811" s="66">
        <f t="shared" si="889"/>
        <v>29769.811320754721</v>
      </c>
      <c r="F1811" s="66">
        <f t="shared" si="889"/>
        <v>31447.738693467341</v>
      </c>
      <c r="G1811" s="66">
        <f t="shared" si="889"/>
        <v>30788.064516129034</v>
      </c>
      <c r="H1811" s="66">
        <f t="shared" si="889"/>
        <v>28929.700272479568</v>
      </c>
      <c r="I1811" s="66">
        <f t="shared" si="889"/>
        <v>29764.345873105001</v>
      </c>
      <c r="J1811" s="254">
        <f>J1821/J1798</f>
        <v>29764.345873105001</v>
      </c>
    </row>
    <row r="1812" spans="1:10" s="186" customFormat="1" x14ac:dyDescent="0.25">
      <c r="A1812" s="246" t="s">
        <v>25</v>
      </c>
      <c r="B1812" s="255">
        <f t="shared" ref="B1812:H1812" si="890">B1817*B1805</f>
        <v>5652825.2586206906</v>
      </c>
      <c r="C1812" s="92">
        <f t="shared" si="890"/>
        <v>2127890.6068965518</v>
      </c>
      <c r="D1812" s="92">
        <f t="shared" si="890"/>
        <v>1751196.0431034483</v>
      </c>
      <c r="E1812" s="92">
        <f t="shared" si="890"/>
        <v>3178149.6379310349</v>
      </c>
      <c r="F1812" s="92">
        <f t="shared" si="890"/>
        <v>8630817.3724137936</v>
      </c>
      <c r="G1812" s="92">
        <f t="shared" si="890"/>
        <v>5658724.6758620692</v>
      </c>
      <c r="H1812" s="92">
        <f t="shared" si="890"/>
        <v>6963614.8965517255</v>
      </c>
      <c r="I1812" s="31">
        <f t="shared" ref="I1812:I1817" si="891">SUM(B1812:H1812)</f>
        <v>33963218.491379313</v>
      </c>
      <c r="J1812" s="256">
        <f t="shared" ref="J1812:J1821" si="892">I1812/7</f>
        <v>4851888.3559113303</v>
      </c>
    </row>
    <row r="1813" spans="1:10" s="186" customFormat="1" x14ac:dyDescent="0.25">
      <c r="A1813" s="246" t="s">
        <v>26</v>
      </c>
      <c r="B1813" s="255">
        <f t="shared" ref="B1813:H1813" si="893">B1817*B1806</f>
        <v>0</v>
      </c>
      <c r="C1813" s="92">
        <f t="shared" si="893"/>
        <v>0</v>
      </c>
      <c r="D1813" s="92">
        <f t="shared" si="893"/>
        <v>0</v>
      </c>
      <c r="E1813" s="92">
        <f t="shared" si="893"/>
        <v>38757.922413793109</v>
      </c>
      <c r="F1813" s="92">
        <f t="shared" si="893"/>
        <v>0</v>
      </c>
      <c r="G1813" s="92">
        <f t="shared" si="893"/>
        <v>78593.398275862084</v>
      </c>
      <c r="H1813" s="92">
        <f t="shared" si="893"/>
        <v>87045.186206896571</v>
      </c>
      <c r="I1813" s="31">
        <f t="shared" si="891"/>
        <v>204396.50689655176</v>
      </c>
      <c r="J1813" s="256">
        <f t="shared" si="892"/>
        <v>29199.500985221679</v>
      </c>
    </row>
    <row r="1814" spans="1:10" s="186" customFormat="1" x14ac:dyDescent="0.25">
      <c r="A1814" s="246" t="s">
        <v>27</v>
      </c>
      <c r="B1814" s="255">
        <f t="shared" ref="B1814:H1814" si="894">B1817*B1807</f>
        <v>1808904.0827586208</v>
      </c>
      <c r="C1814" s="92">
        <f t="shared" si="894"/>
        <v>405312.49655172415</v>
      </c>
      <c r="D1814" s="92">
        <f t="shared" si="894"/>
        <v>808244.32758620684</v>
      </c>
      <c r="E1814" s="92">
        <f t="shared" si="894"/>
        <v>658884.6810344829</v>
      </c>
      <c r="F1814" s="92">
        <f t="shared" si="894"/>
        <v>1541217.3879310347</v>
      </c>
      <c r="G1814" s="92">
        <f t="shared" si="894"/>
        <v>2043428.3551724141</v>
      </c>
      <c r="H1814" s="92">
        <f t="shared" si="894"/>
        <v>1566813.351724138</v>
      </c>
      <c r="I1814" s="31">
        <f t="shared" si="891"/>
        <v>8832804.6827586219</v>
      </c>
      <c r="J1814" s="256">
        <f t="shared" si="892"/>
        <v>1261829.2403940889</v>
      </c>
    </row>
    <row r="1815" spans="1:10" s="186" customFormat="1" x14ac:dyDescent="0.25">
      <c r="A1815" s="246" t="s">
        <v>28</v>
      </c>
      <c r="B1815" s="255">
        <f t="shared" ref="B1815:H1815" si="895">B1817*B1808</f>
        <v>75371.003448275864</v>
      </c>
      <c r="C1815" s="92">
        <f t="shared" si="895"/>
        <v>0</v>
      </c>
      <c r="D1815" s="92">
        <f t="shared" si="895"/>
        <v>134707.38793103449</v>
      </c>
      <c r="E1815" s="92">
        <f t="shared" si="895"/>
        <v>0</v>
      </c>
      <c r="F1815" s="92">
        <f t="shared" si="895"/>
        <v>102747.82586206899</v>
      </c>
      <c r="G1815" s="92">
        <f t="shared" si="895"/>
        <v>78593.398275862084</v>
      </c>
      <c r="H1815" s="92">
        <f t="shared" si="895"/>
        <v>87045.186206896571</v>
      </c>
      <c r="I1815" s="31">
        <f t="shared" si="891"/>
        <v>478464.80172413797</v>
      </c>
      <c r="J1815" s="256">
        <f t="shared" si="892"/>
        <v>68352.11453201971</v>
      </c>
    </row>
    <row r="1816" spans="1:10" s="186" customFormat="1" x14ac:dyDescent="0.25">
      <c r="A1816" s="246" t="s">
        <v>29</v>
      </c>
      <c r="B1816" s="255">
        <f t="shared" ref="B1816:H1816" si="896">B1817*B1809</f>
        <v>0</v>
      </c>
      <c r="C1816" s="92">
        <f t="shared" si="896"/>
        <v>0</v>
      </c>
      <c r="D1816" s="92">
        <f t="shared" si="896"/>
        <v>0</v>
      </c>
      <c r="E1816" s="92">
        <f t="shared" si="896"/>
        <v>0</v>
      </c>
      <c r="F1816" s="92">
        <f t="shared" si="896"/>
        <v>0</v>
      </c>
      <c r="G1816" s="92">
        <f t="shared" si="896"/>
        <v>0</v>
      </c>
      <c r="H1816" s="92">
        <f t="shared" si="896"/>
        <v>0</v>
      </c>
      <c r="I1816" s="31">
        <f t="shared" si="891"/>
        <v>0</v>
      </c>
      <c r="J1816" s="256">
        <f t="shared" si="892"/>
        <v>0</v>
      </c>
    </row>
    <row r="1817" spans="1:10" s="186" customFormat="1" x14ac:dyDescent="0.25">
      <c r="A1817" s="257" t="s">
        <v>30</v>
      </c>
      <c r="B1817" s="258">
        <f>(9198000/1.16)-B1818</f>
        <v>7537100.3448275868</v>
      </c>
      <c r="C1817" s="258">
        <f>(3133500/1.16)-C1818</f>
        <v>2533203.1034482759</v>
      </c>
      <c r="D1817" s="258">
        <f>(3267700/1.16)-D1818</f>
        <v>2694147.7586206896</v>
      </c>
      <c r="E1817" s="258">
        <f>(4733400/1.16)-E1818</f>
        <v>3875792.2413793108</v>
      </c>
      <c r="F1817" s="258">
        <f>(12516200/1.16)-F1818</f>
        <v>10274782.586206898</v>
      </c>
      <c r="G1817" s="258">
        <f>(9544300/1.16)-G1818</f>
        <v>7859339.8275862075</v>
      </c>
      <c r="H1817" s="258">
        <f>(10617200/1.16)-H1818</f>
        <v>8704518.6206896566</v>
      </c>
      <c r="I1817" s="197">
        <f t="shared" si="891"/>
        <v>43478884.482758626</v>
      </c>
      <c r="J1817" s="259">
        <f t="shared" si="892"/>
        <v>6211269.2118226606</v>
      </c>
    </row>
    <row r="1818" spans="1:10" s="186" customFormat="1" x14ac:dyDescent="0.25">
      <c r="A1818" s="246" t="s">
        <v>31</v>
      </c>
      <c r="B1818" s="255">
        <f t="shared" ref="B1818:I1818" si="897">2155*B1799</f>
        <v>392210</v>
      </c>
      <c r="C1818" s="92">
        <f t="shared" si="897"/>
        <v>168090</v>
      </c>
      <c r="D1818" s="92">
        <f t="shared" si="897"/>
        <v>122835</v>
      </c>
      <c r="E1818" s="92">
        <f t="shared" si="897"/>
        <v>204725</v>
      </c>
      <c r="F1818" s="92">
        <f t="shared" si="897"/>
        <v>515045</v>
      </c>
      <c r="G1818" s="31">
        <f t="shared" si="897"/>
        <v>368505</v>
      </c>
      <c r="H1818" s="31">
        <f t="shared" si="897"/>
        <v>448240</v>
      </c>
      <c r="I1818" s="31">
        <f t="shared" si="897"/>
        <v>2219650</v>
      </c>
      <c r="J1818" s="256">
        <f t="shared" si="892"/>
        <v>317092.85714285716</v>
      </c>
    </row>
    <row r="1819" spans="1:10" s="186" customFormat="1" x14ac:dyDescent="0.25">
      <c r="A1819" s="260" t="s">
        <v>32</v>
      </c>
      <c r="B1819" s="261">
        <f>B1818+B1817</f>
        <v>7929310.3448275868</v>
      </c>
      <c r="C1819" s="199">
        <f>C1818+C1817</f>
        <v>2701293.1034482759</v>
      </c>
      <c r="D1819" s="199">
        <f>D1818+D1817</f>
        <v>2816982.7586206896</v>
      </c>
      <c r="E1819" s="199">
        <f>E1818+E1817</f>
        <v>4080517.2413793108</v>
      </c>
      <c r="F1819" s="199">
        <f>F1817+F1818</f>
        <v>10789827.586206898</v>
      </c>
      <c r="G1819" s="199">
        <f>G1818+G1817</f>
        <v>8227844.8275862075</v>
      </c>
      <c r="H1819" s="199">
        <f>H1818+H1817</f>
        <v>9152758.6206896566</v>
      </c>
      <c r="I1819" s="199">
        <f>I1817+I1818</f>
        <v>45698534.482758626</v>
      </c>
      <c r="J1819" s="262">
        <f t="shared" si="892"/>
        <v>6528362.0689655179</v>
      </c>
    </row>
    <row r="1820" spans="1:10" s="186" customFormat="1" x14ac:dyDescent="0.25">
      <c r="A1820" s="246" t="s">
        <v>33</v>
      </c>
      <c r="B1820" s="263">
        <f>B1819*16%</f>
        <v>1268689.6551724139</v>
      </c>
      <c r="C1820" s="94">
        <f t="shared" ref="C1820:H1820" si="898">C1819*16%</f>
        <v>432206.89655172417</v>
      </c>
      <c r="D1820" s="94">
        <f t="shared" si="898"/>
        <v>450717.24137931038</v>
      </c>
      <c r="E1820" s="94">
        <f t="shared" si="898"/>
        <v>652882.75862068974</v>
      </c>
      <c r="F1820" s="94">
        <f t="shared" si="898"/>
        <v>1726372.4137931038</v>
      </c>
      <c r="G1820" s="94">
        <f t="shared" si="898"/>
        <v>1316455.1724137932</v>
      </c>
      <c r="H1820" s="94">
        <f t="shared" si="898"/>
        <v>1464441.379310345</v>
      </c>
      <c r="I1820" s="94">
        <f>I1819*16%</f>
        <v>7311765.5172413802</v>
      </c>
      <c r="J1820" s="256">
        <f t="shared" si="892"/>
        <v>1044537.9310344829</v>
      </c>
    </row>
    <row r="1821" spans="1:10" s="186" customFormat="1" ht="15.75" thickBot="1" x14ac:dyDescent="0.3">
      <c r="A1821" s="264" t="s">
        <v>34</v>
      </c>
      <c r="B1821" s="265">
        <f>B1819+B1820</f>
        <v>9198000</v>
      </c>
      <c r="C1821" s="266">
        <f t="shared" ref="C1821:H1821" si="899">C1819+C1820</f>
        <v>3133500</v>
      </c>
      <c r="D1821" s="266">
        <f t="shared" si="899"/>
        <v>3267700</v>
      </c>
      <c r="E1821" s="266">
        <f t="shared" si="899"/>
        <v>4733400.0000000009</v>
      </c>
      <c r="F1821" s="266">
        <f t="shared" si="899"/>
        <v>12516200.000000002</v>
      </c>
      <c r="G1821" s="266">
        <f t="shared" si="899"/>
        <v>9544300</v>
      </c>
      <c r="H1821" s="266">
        <f t="shared" si="899"/>
        <v>10617200.000000002</v>
      </c>
      <c r="I1821" s="266">
        <f>I1819+I1820</f>
        <v>53010300.000000007</v>
      </c>
      <c r="J1821" s="267">
        <f t="shared" si="892"/>
        <v>7572900.0000000009</v>
      </c>
    </row>
    <row r="1822" spans="1:10" s="186" customFormat="1" ht="15.75" thickBot="1" x14ac:dyDescent="0.3">
      <c r="A1822" s="204"/>
      <c r="B1822" s="112"/>
      <c r="C1822" s="112"/>
      <c r="D1822" s="112"/>
      <c r="E1822" s="112"/>
      <c r="F1822" s="112"/>
      <c r="G1822" s="112"/>
      <c r="H1822" s="112"/>
      <c r="I1822" s="112"/>
      <c r="J1822" s="205"/>
    </row>
    <row r="1823" spans="1:10" s="186" customFormat="1" ht="27" thickBot="1" x14ac:dyDescent="0.3">
      <c r="A1823"/>
      <c r="B1823" s="1002" t="s">
        <v>636</v>
      </c>
      <c r="C1823" s="1002"/>
      <c r="D1823" s="1002"/>
      <c r="E1823" s="1002"/>
      <c r="F1823" s="1002"/>
      <c r="G1823" s="1002"/>
      <c r="H1823" s="1002"/>
      <c r="I1823"/>
      <c r="J1823"/>
    </row>
    <row r="1824" spans="1:10" s="186" customFormat="1" ht="16.5" thickBot="1" x14ac:dyDescent="0.3">
      <c r="A1824" s="238" t="s">
        <v>2</v>
      </c>
      <c r="B1824" s="239" t="s">
        <v>225</v>
      </c>
      <c r="C1824" s="239" t="s">
        <v>226</v>
      </c>
      <c r="D1824" s="239" t="s">
        <v>227</v>
      </c>
      <c r="E1824" s="239" t="s">
        <v>228</v>
      </c>
      <c r="F1824" s="239" t="s">
        <v>229</v>
      </c>
      <c r="G1824" s="239" t="s">
        <v>230</v>
      </c>
      <c r="H1824" s="239" t="s">
        <v>231</v>
      </c>
      <c r="I1824" s="240" t="s">
        <v>96</v>
      </c>
      <c r="J1824" s="241" t="s">
        <v>97</v>
      </c>
    </row>
    <row r="1825" spans="1:10" s="186" customFormat="1" x14ac:dyDescent="0.25">
      <c r="A1825" s="242" t="s">
        <v>11</v>
      </c>
      <c r="B1825" s="243">
        <f>189+115+46</f>
        <v>350</v>
      </c>
      <c r="C1825" s="244">
        <f>59+37+8</f>
        <v>104</v>
      </c>
      <c r="D1825" s="244">
        <f>84+37+21</f>
        <v>142</v>
      </c>
      <c r="E1825" s="244">
        <f>72+46+9</f>
        <v>127</v>
      </c>
      <c r="F1825" s="244">
        <f>180+95+29</f>
        <v>304</v>
      </c>
      <c r="G1825" s="244">
        <f>200+139+39</f>
        <v>378</v>
      </c>
      <c r="H1825" s="268">
        <f>240+142+45</f>
        <v>427</v>
      </c>
      <c r="I1825" s="244">
        <f>SUM(B1825:H1825)</f>
        <v>1832</v>
      </c>
      <c r="J1825" s="245">
        <f>+I1825/7</f>
        <v>261.71428571428572</v>
      </c>
    </row>
    <row r="1826" spans="1:10" s="186" customFormat="1" x14ac:dyDescent="0.25">
      <c r="A1826" s="246" t="s">
        <v>12</v>
      </c>
      <c r="B1826" s="233">
        <v>220</v>
      </c>
      <c r="C1826" s="13">
        <v>63</v>
      </c>
      <c r="D1826" s="13">
        <v>73</v>
      </c>
      <c r="E1826" s="13">
        <v>78</v>
      </c>
      <c r="F1826" s="86">
        <v>167</v>
      </c>
      <c r="G1826" s="11">
        <v>198</v>
      </c>
      <c r="H1826" s="86">
        <v>265</v>
      </c>
      <c r="I1826" s="11">
        <f>SUM('PEPE SIERRA '!$B1826:$H1826)</f>
        <v>1064</v>
      </c>
      <c r="J1826" s="247">
        <f t="shared" ref="J1826:J1831" si="900">I1826/7</f>
        <v>152</v>
      </c>
    </row>
    <row r="1827" spans="1:10" s="186" customFormat="1" x14ac:dyDescent="0.25">
      <c r="A1827" s="246" t="s">
        <v>13</v>
      </c>
      <c r="B1827" s="233">
        <v>2</v>
      </c>
      <c r="C1827" s="13">
        <v>0</v>
      </c>
      <c r="D1827" s="13">
        <v>0</v>
      </c>
      <c r="E1827" s="13">
        <v>3</v>
      </c>
      <c r="F1827" s="11">
        <v>2</v>
      </c>
      <c r="G1827" s="11">
        <v>4</v>
      </c>
      <c r="H1827" s="11">
        <v>5</v>
      </c>
      <c r="I1827" s="11">
        <f>SUM('PEPE SIERRA '!$B1827:$H1827)</f>
        <v>16</v>
      </c>
      <c r="J1827" s="247">
        <f t="shared" si="900"/>
        <v>2.2857142857142856</v>
      </c>
    </row>
    <row r="1828" spans="1:10" s="186" customFormat="1" x14ac:dyDescent="0.25">
      <c r="A1828" s="246" t="s">
        <v>14</v>
      </c>
      <c r="B1828" s="233">
        <v>41</v>
      </c>
      <c r="C1828" s="13">
        <v>28</v>
      </c>
      <c r="D1828" s="13">
        <v>31</v>
      </c>
      <c r="E1828" s="13">
        <v>28</v>
      </c>
      <c r="F1828" s="11">
        <v>74</v>
      </c>
      <c r="G1828" s="11">
        <v>83</v>
      </c>
      <c r="H1828" s="86">
        <v>58</v>
      </c>
      <c r="I1828" s="11">
        <f>SUM('PEPE SIERRA '!$B1828:$H1828)</f>
        <v>343</v>
      </c>
      <c r="J1828" s="247">
        <f t="shared" si="900"/>
        <v>49</v>
      </c>
    </row>
    <row r="1829" spans="1:10" s="186" customFormat="1" x14ac:dyDescent="0.25">
      <c r="A1829" s="246" t="s">
        <v>15</v>
      </c>
      <c r="B1829" s="233">
        <v>0</v>
      </c>
      <c r="C1829" s="13">
        <v>0</v>
      </c>
      <c r="D1829" s="13">
        <v>0</v>
      </c>
      <c r="E1829" s="13">
        <v>0</v>
      </c>
      <c r="F1829" s="11">
        <v>1</v>
      </c>
      <c r="G1829" s="11">
        <v>6</v>
      </c>
      <c r="H1829" s="11">
        <v>2</v>
      </c>
      <c r="I1829" s="11">
        <f>SUM('PEPE SIERRA '!$B1829:$H1829)</f>
        <v>9</v>
      </c>
      <c r="J1829" s="247">
        <f t="shared" si="900"/>
        <v>1.2857142857142858</v>
      </c>
    </row>
    <row r="1830" spans="1:10" s="186" customFormat="1" x14ac:dyDescent="0.25">
      <c r="A1830" s="246" t="s">
        <v>16</v>
      </c>
      <c r="B1830" s="233">
        <v>0</v>
      </c>
      <c r="C1830" s="13">
        <v>0</v>
      </c>
      <c r="D1830" s="13">
        <v>0</v>
      </c>
      <c r="E1830" s="13">
        <v>0</v>
      </c>
      <c r="F1830" s="11">
        <v>0</v>
      </c>
      <c r="G1830" s="11">
        <v>0</v>
      </c>
      <c r="H1830" s="11">
        <v>0</v>
      </c>
      <c r="I1830" s="11">
        <f>SUM('PEPE SIERRA '!$B1830:$H1830)</f>
        <v>0</v>
      </c>
      <c r="J1830" s="247">
        <f t="shared" si="900"/>
        <v>0</v>
      </c>
    </row>
    <row r="1831" spans="1:10" s="186" customFormat="1" x14ac:dyDescent="0.25">
      <c r="A1831" s="248" t="s">
        <v>17</v>
      </c>
      <c r="B1831" s="249">
        <f>SUM(B1826:B1830)</f>
        <v>263</v>
      </c>
      <c r="C1831" s="192">
        <f t="shared" ref="C1831:I1831" si="901">SUM(C1826:C1830)</f>
        <v>91</v>
      </c>
      <c r="D1831" s="192">
        <f t="shared" si="901"/>
        <v>104</v>
      </c>
      <c r="E1831" s="192">
        <f t="shared" si="901"/>
        <v>109</v>
      </c>
      <c r="F1831" s="192">
        <f t="shared" si="901"/>
        <v>244</v>
      </c>
      <c r="G1831" s="192">
        <f t="shared" si="901"/>
        <v>291</v>
      </c>
      <c r="H1831" s="192">
        <f t="shared" si="901"/>
        <v>330</v>
      </c>
      <c r="I1831" s="192">
        <f t="shared" si="901"/>
        <v>1432</v>
      </c>
      <c r="J1831" s="250">
        <f t="shared" si="900"/>
        <v>204.57142857142858</v>
      </c>
    </row>
    <row r="1832" spans="1:10" s="186" customFormat="1" x14ac:dyDescent="0.25">
      <c r="A1832" s="246" t="s">
        <v>18</v>
      </c>
      <c r="B1832" s="234">
        <v>0.87</v>
      </c>
      <c r="C1832" s="235">
        <v>0.74</v>
      </c>
      <c r="D1832" s="235">
        <v>0.78</v>
      </c>
      <c r="E1832" s="235">
        <v>0.81</v>
      </c>
      <c r="F1832" s="30">
        <v>0.74</v>
      </c>
      <c r="G1832" s="30">
        <v>0.72</v>
      </c>
      <c r="H1832" s="30">
        <v>0.83</v>
      </c>
      <c r="I1832" s="30">
        <f>I1839/I1844</f>
        <v>0.78829027347805614</v>
      </c>
      <c r="J1832" s="251">
        <f>J1839/J1844</f>
        <v>0.78829027347805602</v>
      </c>
    </row>
    <row r="1833" spans="1:10" s="186" customFormat="1" x14ac:dyDescent="0.25">
      <c r="A1833" s="246" t="s">
        <v>19</v>
      </c>
      <c r="B1833" s="234">
        <v>0.01</v>
      </c>
      <c r="C1833" s="235">
        <v>0</v>
      </c>
      <c r="D1833" s="235">
        <v>0</v>
      </c>
      <c r="E1833" s="235">
        <v>0.02</v>
      </c>
      <c r="F1833" s="30">
        <v>0.01</v>
      </c>
      <c r="G1833" s="30">
        <v>0.01</v>
      </c>
      <c r="H1833" s="30">
        <v>0.01</v>
      </c>
      <c r="I1833" s="30">
        <f>I1840/I1844</f>
        <v>9.4749986439513576E-3</v>
      </c>
      <c r="J1833" s="251">
        <f>J1840/J1844</f>
        <v>9.4749986439513576E-3</v>
      </c>
    </row>
    <row r="1834" spans="1:10" s="186" customFormat="1" x14ac:dyDescent="0.25">
      <c r="A1834" s="246" t="s">
        <v>20</v>
      </c>
      <c r="B1834" s="234">
        <v>0.12</v>
      </c>
      <c r="C1834" s="235">
        <v>0.26</v>
      </c>
      <c r="D1834" s="235">
        <v>0.22</v>
      </c>
      <c r="E1834" s="235">
        <v>0.17</v>
      </c>
      <c r="F1834" s="30">
        <v>0.24</v>
      </c>
      <c r="G1834" s="30">
        <v>0.26</v>
      </c>
      <c r="H1834" s="30">
        <v>0.15</v>
      </c>
      <c r="I1834" s="30">
        <f>I1841/I1844</f>
        <v>0.1960632530376116</v>
      </c>
      <c r="J1834" s="251">
        <f>J1841/J1844</f>
        <v>0.1960632530376116</v>
      </c>
    </row>
    <row r="1835" spans="1:10" s="186" customFormat="1" x14ac:dyDescent="0.25">
      <c r="A1835" s="246" t="s">
        <v>21</v>
      </c>
      <c r="B1835" s="234">
        <v>0</v>
      </c>
      <c r="C1835" s="235">
        <v>0</v>
      </c>
      <c r="D1835" s="235">
        <v>0</v>
      </c>
      <c r="E1835" s="235">
        <v>0</v>
      </c>
      <c r="F1835" s="30">
        <v>0.01</v>
      </c>
      <c r="G1835" s="30">
        <v>0.01</v>
      </c>
      <c r="H1835" s="30">
        <v>0.01</v>
      </c>
      <c r="I1835" s="30">
        <f>I1842/I1844</f>
        <v>6.1714748403808601E-3</v>
      </c>
      <c r="J1835" s="251">
        <f>J1842/J1844</f>
        <v>6.1714748403808592E-3</v>
      </c>
    </row>
    <row r="1836" spans="1:10" s="186" customFormat="1" x14ac:dyDescent="0.25">
      <c r="A1836" s="246" t="s">
        <v>22</v>
      </c>
      <c r="B1836" s="234">
        <v>0</v>
      </c>
      <c r="C1836" s="235">
        <v>0</v>
      </c>
      <c r="D1836" s="235">
        <v>0</v>
      </c>
      <c r="E1836" s="235">
        <v>0</v>
      </c>
      <c r="F1836" s="30">
        <v>0</v>
      </c>
      <c r="G1836" s="30">
        <v>0</v>
      </c>
      <c r="H1836" s="30">
        <v>0</v>
      </c>
      <c r="I1836" s="30">
        <f>I1843/I1844</f>
        <v>0</v>
      </c>
      <c r="J1836" s="251">
        <f>J1843/J1844</f>
        <v>0</v>
      </c>
    </row>
    <row r="1837" spans="1:10" s="186" customFormat="1" x14ac:dyDescent="0.25">
      <c r="A1837" s="252" t="s">
        <v>23</v>
      </c>
      <c r="B1837" s="253">
        <f t="shared" ref="B1837:J1837" si="902">B1848/B1831</f>
        <v>37495.437262357424</v>
      </c>
      <c r="C1837" s="66">
        <f t="shared" si="902"/>
        <v>32663.736263736268</v>
      </c>
      <c r="D1837" s="66">
        <f t="shared" si="902"/>
        <v>36854.807692307695</v>
      </c>
      <c r="E1837" s="66">
        <f t="shared" si="902"/>
        <v>36496.33027522936</v>
      </c>
      <c r="F1837" s="66">
        <f t="shared" si="902"/>
        <v>37328.688524590165</v>
      </c>
      <c r="G1837" s="66">
        <f t="shared" si="902"/>
        <v>39492.096219931271</v>
      </c>
      <c r="H1837" s="66">
        <f t="shared" si="902"/>
        <v>37891.818181818184</v>
      </c>
      <c r="I1837" s="66">
        <f t="shared" si="902"/>
        <v>37534.497206703913</v>
      </c>
      <c r="J1837" s="254">
        <f t="shared" si="902"/>
        <v>37534.497206703913</v>
      </c>
    </row>
    <row r="1838" spans="1:10" s="186" customFormat="1" x14ac:dyDescent="0.25">
      <c r="A1838" s="252" t="s">
        <v>24</v>
      </c>
      <c r="B1838" s="253">
        <f t="shared" ref="B1838:I1838" si="903">+B1848/B1825</f>
        <v>28175.142857142862</v>
      </c>
      <c r="C1838" s="66">
        <f t="shared" si="903"/>
        <v>28580.769230769234</v>
      </c>
      <c r="D1838" s="66">
        <f t="shared" si="903"/>
        <v>26992.253521126764</v>
      </c>
      <c r="E1838" s="66">
        <f t="shared" si="903"/>
        <v>31323.622047244098</v>
      </c>
      <c r="F1838" s="66">
        <f t="shared" si="903"/>
        <v>29961.184210526317</v>
      </c>
      <c r="G1838" s="66">
        <f t="shared" si="903"/>
        <v>30402.645502645504</v>
      </c>
      <c r="H1838" s="66">
        <f t="shared" si="903"/>
        <v>29284.074941451992</v>
      </c>
      <c r="I1838" s="66">
        <f t="shared" si="903"/>
        <v>29339.192139737996</v>
      </c>
      <c r="J1838" s="254">
        <f>J1848/J1825</f>
        <v>29339.192139737996</v>
      </c>
    </row>
    <row r="1839" spans="1:10" s="186" customFormat="1" x14ac:dyDescent="0.25">
      <c r="A1839" s="246" t="s">
        <v>25</v>
      </c>
      <c r="B1839" s="255">
        <f t="shared" ref="B1839:H1839" si="904">B1844*B1832</f>
        <v>6983508.0000000009</v>
      </c>
      <c r="C1839" s="92">
        <f t="shared" si="904"/>
        <v>1795720.106896552</v>
      </c>
      <c r="D1839" s="92">
        <f t="shared" si="904"/>
        <v>2454589.1275862074</v>
      </c>
      <c r="E1839" s="92">
        <f t="shared" si="904"/>
        <v>2641658.306896552</v>
      </c>
      <c r="F1839" s="92">
        <f t="shared" si="904"/>
        <v>5544088.5482758628</v>
      </c>
      <c r="G1839" s="92">
        <f t="shared" si="904"/>
        <v>6825872.8551724134</v>
      </c>
      <c r="H1839" s="92">
        <f t="shared" si="904"/>
        <v>8473049.9913793094</v>
      </c>
      <c r="I1839" s="31">
        <f t="shared" ref="I1839:I1844" si="905">SUM(B1839:H1839)</f>
        <v>34718486.9362069</v>
      </c>
      <c r="J1839" s="256">
        <f t="shared" ref="J1839:J1848" si="906">I1839/7</f>
        <v>4959783.8480295567</v>
      </c>
    </row>
    <row r="1840" spans="1:10" s="186" customFormat="1" x14ac:dyDescent="0.25">
      <c r="A1840" s="246" t="s">
        <v>26</v>
      </c>
      <c r="B1840" s="255">
        <f t="shared" ref="B1840:H1840" si="907">B1844*B1833</f>
        <v>80270.206896551739</v>
      </c>
      <c r="C1840" s="92">
        <f t="shared" si="907"/>
        <v>0</v>
      </c>
      <c r="D1840" s="92">
        <f t="shared" si="907"/>
        <v>0</v>
      </c>
      <c r="E1840" s="92">
        <f t="shared" si="907"/>
        <v>65226.131034482765</v>
      </c>
      <c r="F1840" s="92">
        <f t="shared" si="907"/>
        <v>74920.115517241386</v>
      </c>
      <c r="G1840" s="92">
        <f t="shared" si="907"/>
        <v>94803.789655172412</v>
      </c>
      <c r="H1840" s="92">
        <f t="shared" si="907"/>
        <v>102084.93965517242</v>
      </c>
      <c r="I1840" s="31">
        <f t="shared" si="905"/>
        <v>417305.18275862071</v>
      </c>
      <c r="J1840" s="256">
        <f t="shared" si="906"/>
        <v>59615.02610837439</v>
      </c>
    </row>
    <row r="1841" spans="1:10" s="186" customFormat="1" x14ac:dyDescent="0.25">
      <c r="A1841" s="246" t="s">
        <v>27</v>
      </c>
      <c r="B1841" s="255">
        <f t="shared" ref="B1841:H1841" si="908">B1844*B1834</f>
        <v>963242.48275862075</v>
      </c>
      <c r="C1841" s="92">
        <f t="shared" si="908"/>
        <v>630928.68620689667</v>
      </c>
      <c r="D1841" s="92">
        <f t="shared" si="908"/>
        <v>692320.01034482766</v>
      </c>
      <c r="E1841" s="92">
        <f t="shared" si="908"/>
        <v>554422.11379310349</v>
      </c>
      <c r="F1841" s="92">
        <f t="shared" si="908"/>
        <v>1798082.7724137933</v>
      </c>
      <c r="G1841" s="92">
        <f t="shared" si="908"/>
        <v>2464898.5310344831</v>
      </c>
      <c r="H1841" s="92">
        <f t="shared" si="908"/>
        <v>1531274.0948275861</v>
      </c>
      <c r="I1841" s="31">
        <f t="shared" si="905"/>
        <v>8635168.6913793124</v>
      </c>
      <c r="J1841" s="256">
        <f t="shared" si="906"/>
        <v>1233595.5273399018</v>
      </c>
    </row>
    <row r="1842" spans="1:10" s="186" customFormat="1" x14ac:dyDescent="0.25">
      <c r="A1842" s="246" t="s">
        <v>28</v>
      </c>
      <c r="B1842" s="255">
        <f t="shared" ref="B1842:H1842" si="909">B1844*B1835</f>
        <v>0</v>
      </c>
      <c r="C1842" s="92">
        <f t="shared" si="909"/>
        <v>0</v>
      </c>
      <c r="D1842" s="92">
        <f t="shared" si="909"/>
        <v>0</v>
      </c>
      <c r="E1842" s="92">
        <f t="shared" si="909"/>
        <v>0</v>
      </c>
      <c r="F1842" s="92">
        <f t="shared" si="909"/>
        <v>74920.115517241386</v>
      </c>
      <c r="G1842" s="92">
        <f t="shared" si="909"/>
        <v>94803.789655172412</v>
      </c>
      <c r="H1842" s="92">
        <f t="shared" si="909"/>
        <v>102084.93965517242</v>
      </c>
      <c r="I1842" s="31">
        <f t="shared" si="905"/>
        <v>271808.8448275862</v>
      </c>
      <c r="J1842" s="256">
        <f t="shared" si="906"/>
        <v>38829.834975369457</v>
      </c>
    </row>
    <row r="1843" spans="1:10" s="186" customFormat="1" x14ac:dyDescent="0.25">
      <c r="A1843" s="246" t="s">
        <v>29</v>
      </c>
      <c r="B1843" s="255">
        <f t="shared" ref="B1843:H1843" si="910">B1844*B1836</f>
        <v>0</v>
      </c>
      <c r="C1843" s="92">
        <f t="shared" si="910"/>
        <v>0</v>
      </c>
      <c r="D1843" s="92">
        <f t="shared" si="910"/>
        <v>0</v>
      </c>
      <c r="E1843" s="92">
        <f t="shared" si="910"/>
        <v>0</v>
      </c>
      <c r="F1843" s="92">
        <f t="shared" si="910"/>
        <v>0</v>
      </c>
      <c r="G1843" s="92">
        <f t="shared" si="910"/>
        <v>0</v>
      </c>
      <c r="H1843" s="92">
        <f t="shared" si="910"/>
        <v>0</v>
      </c>
      <c r="I1843" s="31">
        <f t="shared" si="905"/>
        <v>0</v>
      </c>
      <c r="J1843" s="256">
        <f t="shared" si="906"/>
        <v>0</v>
      </c>
    </row>
    <row r="1844" spans="1:10" s="186" customFormat="1" x14ac:dyDescent="0.25">
      <c r="A1844" s="257" t="s">
        <v>30</v>
      </c>
      <c r="B1844" s="258">
        <f>(9861300/1.16)-B1845</f>
        <v>8027020.6896551736</v>
      </c>
      <c r="C1844" s="258">
        <f>(2972400/1.16)-C1845</f>
        <v>2426648.7931034486</v>
      </c>
      <c r="D1844" s="258">
        <f>(3832900/1.16)-D1845</f>
        <v>3146909.1379310349</v>
      </c>
      <c r="E1844" s="258">
        <f>(3978100/1.16)-E1845</f>
        <v>3261306.5517241382</v>
      </c>
      <c r="F1844" s="258">
        <f>(9108200/1.16)-F1845</f>
        <v>7492011.5517241387</v>
      </c>
      <c r="G1844" s="258">
        <f>(11492200/1.16)-G1845</f>
        <v>9480378.9655172415</v>
      </c>
      <c r="H1844" s="258">
        <f>(12504300/1.16)-H1845</f>
        <v>10208493.965517242</v>
      </c>
      <c r="I1844" s="197">
        <f t="shared" si="905"/>
        <v>44042769.655172423</v>
      </c>
      <c r="J1844" s="259">
        <f t="shared" si="906"/>
        <v>6291824.2364532035</v>
      </c>
    </row>
    <row r="1845" spans="1:10" s="186" customFormat="1" x14ac:dyDescent="0.25">
      <c r="A1845" s="246" t="s">
        <v>31</v>
      </c>
      <c r="B1845" s="255">
        <f t="shared" ref="B1845:I1845" si="911">2155*B1826</f>
        <v>474100</v>
      </c>
      <c r="C1845" s="92">
        <f t="shared" si="911"/>
        <v>135765</v>
      </c>
      <c r="D1845" s="92">
        <f t="shared" si="911"/>
        <v>157315</v>
      </c>
      <c r="E1845" s="92">
        <f t="shared" si="911"/>
        <v>168090</v>
      </c>
      <c r="F1845" s="92">
        <f t="shared" si="911"/>
        <v>359885</v>
      </c>
      <c r="G1845" s="31">
        <f t="shared" si="911"/>
        <v>426690</v>
      </c>
      <c r="H1845" s="31">
        <f t="shared" si="911"/>
        <v>571075</v>
      </c>
      <c r="I1845" s="31">
        <f t="shared" si="911"/>
        <v>2292920</v>
      </c>
      <c r="J1845" s="256">
        <f t="shared" si="906"/>
        <v>327560</v>
      </c>
    </row>
    <row r="1846" spans="1:10" s="186" customFormat="1" x14ac:dyDescent="0.25">
      <c r="A1846" s="260" t="s">
        <v>32</v>
      </c>
      <c r="B1846" s="261">
        <f>B1845+B1844</f>
        <v>8501120.6896551736</v>
      </c>
      <c r="C1846" s="199">
        <f>C1845+C1844</f>
        <v>2562413.7931034486</v>
      </c>
      <c r="D1846" s="199">
        <f>D1845+D1844</f>
        <v>3304224.1379310349</v>
      </c>
      <c r="E1846" s="199">
        <f>E1845+E1844</f>
        <v>3429396.5517241382</v>
      </c>
      <c r="F1846" s="199">
        <f>F1844+F1845</f>
        <v>7851896.5517241387</v>
      </c>
      <c r="G1846" s="199">
        <f>G1845+G1844</f>
        <v>9907068.9655172415</v>
      </c>
      <c r="H1846" s="199">
        <f>H1845+H1844</f>
        <v>10779568.965517242</v>
      </c>
      <c r="I1846" s="199">
        <f>I1844+I1845</f>
        <v>46335689.655172423</v>
      </c>
      <c r="J1846" s="262">
        <f t="shared" si="906"/>
        <v>6619384.2364532035</v>
      </c>
    </row>
    <row r="1847" spans="1:10" s="186" customFormat="1" x14ac:dyDescent="0.25">
      <c r="A1847" s="246" t="s">
        <v>33</v>
      </c>
      <c r="B1847" s="263">
        <f>B1846*16%</f>
        <v>1360179.3103448278</v>
      </c>
      <c r="C1847" s="94">
        <f t="shared" ref="C1847:H1847" si="912">C1846*16%</f>
        <v>409986.20689655177</v>
      </c>
      <c r="D1847" s="94">
        <f t="shared" si="912"/>
        <v>528675.86206896557</v>
      </c>
      <c r="E1847" s="94">
        <f t="shared" si="912"/>
        <v>548703.44827586215</v>
      </c>
      <c r="F1847" s="94">
        <f t="shared" si="912"/>
        <v>1256303.4482758623</v>
      </c>
      <c r="G1847" s="94">
        <f t="shared" si="912"/>
        <v>1585131.0344827587</v>
      </c>
      <c r="H1847" s="94">
        <f t="shared" si="912"/>
        <v>1724731.0344827587</v>
      </c>
      <c r="I1847" s="94">
        <f>I1846*16%</f>
        <v>7413710.3448275877</v>
      </c>
      <c r="J1847" s="256">
        <f t="shared" si="906"/>
        <v>1059101.4778325125</v>
      </c>
    </row>
    <row r="1848" spans="1:10" s="186" customFormat="1" ht="15.75" thickBot="1" x14ac:dyDescent="0.3">
      <c r="A1848" s="264" t="s">
        <v>34</v>
      </c>
      <c r="B1848" s="265">
        <f>B1846+B1847</f>
        <v>9861300.0000000019</v>
      </c>
      <c r="C1848" s="266">
        <f t="shared" ref="C1848:H1848" si="913">C1846+C1847</f>
        <v>2972400.0000000005</v>
      </c>
      <c r="D1848" s="266">
        <f t="shared" si="913"/>
        <v>3832900.0000000005</v>
      </c>
      <c r="E1848" s="266">
        <f t="shared" si="913"/>
        <v>3978100.0000000005</v>
      </c>
      <c r="F1848" s="266">
        <f t="shared" si="913"/>
        <v>9108200</v>
      </c>
      <c r="G1848" s="266">
        <f t="shared" si="913"/>
        <v>11492200</v>
      </c>
      <c r="H1848" s="266">
        <f t="shared" si="913"/>
        <v>12504300</v>
      </c>
      <c r="I1848" s="266">
        <f>I1846+I1847</f>
        <v>53749400.000000007</v>
      </c>
      <c r="J1848" s="267">
        <f t="shared" si="906"/>
        <v>7678485.7142857155</v>
      </c>
    </row>
    <row r="1849" spans="1:10" s="186" customFormat="1" ht="15.75" thickBot="1" x14ac:dyDescent="0.3">
      <c r="A1849" s="204"/>
      <c r="B1849" s="112"/>
      <c r="C1849" s="112"/>
      <c r="D1849" s="112"/>
      <c r="E1849" s="112"/>
      <c r="F1849" s="112"/>
      <c r="G1849" s="112"/>
      <c r="H1849" s="112"/>
      <c r="I1849" s="112"/>
      <c r="J1849" s="205"/>
    </row>
    <row r="1850" spans="1:10" s="186" customFormat="1" ht="27" thickBot="1" x14ac:dyDescent="0.3">
      <c r="A1850"/>
      <c r="B1850" s="1002" t="s">
        <v>639</v>
      </c>
      <c r="C1850" s="1002"/>
      <c r="D1850" s="1002"/>
      <c r="E1850" s="1002"/>
      <c r="F1850" s="1002"/>
      <c r="G1850" s="1002"/>
      <c r="H1850" s="1002"/>
      <c r="I1850"/>
      <c r="J1850"/>
    </row>
    <row r="1851" spans="1:10" s="186" customFormat="1" ht="16.5" thickBot="1" x14ac:dyDescent="0.3">
      <c r="A1851" s="238" t="s">
        <v>2</v>
      </c>
      <c r="B1851" s="239" t="s">
        <v>233</v>
      </c>
      <c r="C1851" s="239" t="s">
        <v>234</v>
      </c>
      <c r="D1851" s="239" t="s">
        <v>235</v>
      </c>
      <c r="E1851" s="239" t="s">
        <v>236</v>
      </c>
      <c r="F1851" s="239" t="s">
        <v>237</v>
      </c>
      <c r="G1851" s="239" t="s">
        <v>238</v>
      </c>
      <c r="H1851" s="239" t="s">
        <v>239</v>
      </c>
      <c r="I1851" s="240" t="s">
        <v>96</v>
      </c>
      <c r="J1851" s="241" t="s">
        <v>97</v>
      </c>
    </row>
    <row r="1852" spans="1:10" s="186" customFormat="1" x14ac:dyDescent="0.25">
      <c r="A1852" s="242" t="s">
        <v>11</v>
      </c>
      <c r="B1852" s="243">
        <f>78+48+16</f>
        <v>142</v>
      </c>
      <c r="C1852" s="244">
        <f>79+45+19</f>
        <v>143</v>
      </c>
      <c r="D1852" s="244">
        <f>77+43+11</f>
        <v>131</v>
      </c>
      <c r="E1852" s="244">
        <f>96+61+24</f>
        <v>181</v>
      </c>
      <c r="F1852" s="244">
        <f>188+121+33</f>
        <v>342</v>
      </c>
      <c r="G1852" s="244">
        <f>231+125+45</f>
        <v>401</v>
      </c>
      <c r="H1852" s="268">
        <f>218+138+50</f>
        <v>406</v>
      </c>
      <c r="I1852" s="244">
        <f>SUM(B1852:H1852)</f>
        <v>1746</v>
      </c>
      <c r="J1852" s="245">
        <f>+I1852/7</f>
        <v>249.42857142857142</v>
      </c>
    </row>
    <row r="1853" spans="1:10" s="186" customFormat="1" x14ac:dyDescent="0.25">
      <c r="A1853" s="246" t="s">
        <v>12</v>
      </c>
      <c r="B1853" s="233">
        <v>83</v>
      </c>
      <c r="C1853" s="13">
        <v>83</v>
      </c>
      <c r="D1853" s="13">
        <v>78</v>
      </c>
      <c r="E1853" s="13">
        <v>93</v>
      </c>
      <c r="F1853" s="86">
        <v>202</v>
      </c>
      <c r="G1853" s="11">
        <v>207</v>
      </c>
      <c r="H1853" s="86">
        <v>242</v>
      </c>
      <c r="I1853" s="11">
        <f>SUM('PEPE SIERRA '!$B1853:$H1853)</f>
        <v>988</v>
      </c>
      <c r="J1853" s="247">
        <f t="shared" ref="J1853:J1858" si="914">I1853/7</f>
        <v>141.14285714285714</v>
      </c>
    </row>
    <row r="1854" spans="1:10" s="186" customFormat="1" x14ac:dyDescent="0.25">
      <c r="A1854" s="246" t="s">
        <v>13</v>
      </c>
      <c r="B1854" s="233">
        <v>2</v>
      </c>
      <c r="C1854" s="13">
        <v>4</v>
      </c>
      <c r="D1854" s="13">
        <v>0</v>
      </c>
      <c r="E1854" s="13">
        <v>2</v>
      </c>
      <c r="F1854" s="11">
        <v>3</v>
      </c>
      <c r="G1854" s="11">
        <v>3</v>
      </c>
      <c r="H1854" s="11">
        <v>2</v>
      </c>
      <c r="I1854" s="11">
        <f>SUM('PEPE SIERRA '!$B1854:$H1854)</f>
        <v>16</v>
      </c>
      <c r="J1854" s="247">
        <f t="shared" si="914"/>
        <v>2.2857142857142856</v>
      </c>
    </row>
    <row r="1855" spans="1:10" s="186" customFormat="1" x14ac:dyDescent="0.25">
      <c r="A1855" s="246" t="s">
        <v>14</v>
      </c>
      <c r="B1855" s="233">
        <v>32</v>
      </c>
      <c r="C1855" s="13">
        <v>26</v>
      </c>
      <c r="D1855" s="13">
        <v>34</v>
      </c>
      <c r="E1855" s="13">
        <v>45</v>
      </c>
      <c r="F1855" s="11">
        <v>53</v>
      </c>
      <c r="G1855" s="11">
        <v>75</v>
      </c>
      <c r="H1855" s="86">
        <v>54</v>
      </c>
      <c r="I1855" s="11">
        <f>SUM('PEPE SIERRA '!$B1855:$H1855)</f>
        <v>319</v>
      </c>
      <c r="J1855" s="247">
        <f t="shared" si="914"/>
        <v>45.571428571428569</v>
      </c>
    </row>
    <row r="1856" spans="1:10" s="186" customFormat="1" x14ac:dyDescent="0.25">
      <c r="A1856" s="246" t="s">
        <v>15</v>
      </c>
      <c r="B1856" s="233">
        <v>0</v>
      </c>
      <c r="C1856" s="13">
        <v>0</v>
      </c>
      <c r="D1856" s="13">
        <v>0</v>
      </c>
      <c r="E1856" s="13">
        <v>0</v>
      </c>
      <c r="F1856" s="11">
        <v>2</v>
      </c>
      <c r="G1856" s="11">
        <v>9</v>
      </c>
      <c r="H1856" s="11">
        <v>3</v>
      </c>
      <c r="I1856" s="11">
        <f>SUM('PEPE SIERRA '!$B1856:$H1856)</f>
        <v>14</v>
      </c>
      <c r="J1856" s="247">
        <f t="shared" si="914"/>
        <v>2</v>
      </c>
    </row>
    <row r="1857" spans="1:10" s="186" customFormat="1" x14ac:dyDescent="0.25">
      <c r="A1857" s="246" t="s">
        <v>16</v>
      </c>
      <c r="B1857" s="233">
        <v>0</v>
      </c>
      <c r="C1857" s="13">
        <v>0</v>
      </c>
      <c r="D1857" s="13">
        <v>0</v>
      </c>
      <c r="E1857" s="13">
        <v>0</v>
      </c>
      <c r="F1857" s="11">
        <v>0</v>
      </c>
      <c r="G1857" s="11">
        <v>0</v>
      </c>
      <c r="H1857" s="11">
        <v>0</v>
      </c>
      <c r="I1857" s="11">
        <f>SUM('PEPE SIERRA '!$B1857:$H1857)</f>
        <v>0</v>
      </c>
      <c r="J1857" s="247">
        <f t="shared" si="914"/>
        <v>0</v>
      </c>
    </row>
    <row r="1858" spans="1:10" s="186" customFormat="1" x14ac:dyDescent="0.25">
      <c r="A1858" s="248" t="s">
        <v>17</v>
      </c>
      <c r="B1858" s="249">
        <f>SUM(B1853:B1857)</f>
        <v>117</v>
      </c>
      <c r="C1858" s="192">
        <f t="shared" ref="C1858:I1858" si="915">SUM(C1853:C1857)</f>
        <v>113</v>
      </c>
      <c r="D1858" s="192">
        <f t="shared" si="915"/>
        <v>112</v>
      </c>
      <c r="E1858" s="192">
        <f t="shared" si="915"/>
        <v>140</v>
      </c>
      <c r="F1858" s="192">
        <f t="shared" si="915"/>
        <v>260</v>
      </c>
      <c r="G1858" s="192">
        <f t="shared" si="915"/>
        <v>294</v>
      </c>
      <c r="H1858" s="192">
        <f t="shared" si="915"/>
        <v>301</v>
      </c>
      <c r="I1858" s="192">
        <f t="shared" si="915"/>
        <v>1337</v>
      </c>
      <c r="J1858" s="250">
        <f t="shared" si="914"/>
        <v>191</v>
      </c>
    </row>
    <row r="1859" spans="1:10" s="186" customFormat="1" x14ac:dyDescent="0.25">
      <c r="A1859" s="246" t="s">
        <v>18</v>
      </c>
      <c r="B1859" s="234">
        <v>0.77</v>
      </c>
      <c r="C1859" s="235">
        <v>0.8</v>
      </c>
      <c r="D1859" s="235">
        <v>0.77</v>
      </c>
      <c r="E1859" s="235">
        <v>0.74</v>
      </c>
      <c r="F1859" s="30">
        <v>0.78</v>
      </c>
      <c r="G1859" s="30">
        <v>0.77</v>
      </c>
      <c r="H1859" s="30">
        <v>0.84</v>
      </c>
      <c r="I1859" s="30">
        <f>I1866/I1871</f>
        <v>0.78720820475384223</v>
      </c>
      <c r="J1859" s="251">
        <f>J1866/J1871</f>
        <v>0.78720820475384223</v>
      </c>
    </row>
    <row r="1860" spans="1:10" s="186" customFormat="1" x14ac:dyDescent="0.25">
      <c r="A1860" s="246" t="s">
        <v>19</v>
      </c>
      <c r="B1860" s="234">
        <v>0.01</v>
      </c>
      <c r="C1860" s="235">
        <v>0.02</v>
      </c>
      <c r="D1860" s="235">
        <v>0</v>
      </c>
      <c r="E1860" s="235">
        <v>0.01</v>
      </c>
      <c r="F1860" s="30">
        <v>0.01</v>
      </c>
      <c r="G1860" s="30">
        <v>0</v>
      </c>
      <c r="H1860" s="30">
        <v>0.01</v>
      </c>
      <c r="I1860" s="30">
        <f>I1867/I1871</f>
        <v>7.7380944085350895E-3</v>
      </c>
      <c r="J1860" s="251">
        <f>J1867/J1871</f>
        <v>7.7380944085350895E-3</v>
      </c>
    </row>
    <row r="1861" spans="1:10" s="186" customFormat="1" x14ac:dyDescent="0.25">
      <c r="A1861" s="246" t="s">
        <v>20</v>
      </c>
      <c r="B1861" s="234">
        <v>0.22</v>
      </c>
      <c r="C1861" s="235">
        <v>0.18</v>
      </c>
      <c r="D1861" s="235">
        <v>0.23</v>
      </c>
      <c r="E1861" s="235">
        <v>0.25</v>
      </c>
      <c r="F1861" s="30">
        <v>0.2</v>
      </c>
      <c r="G1861" s="30">
        <v>0.2</v>
      </c>
      <c r="H1861" s="30">
        <v>0.14000000000000001</v>
      </c>
      <c r="I1861" s="30">
        <f>I1868/I1871</f>
        <v>0.19389121826880826</v>
      </c>
      <c r="J1861" s="251">
        <f>J1868/J1871</f>
        <v>0.19389121826880826</v>
      </c>
    </row>
    <row r="1862" spans="1:10" s="186" customFormat="1" x14ac:dyDescent="0.25">
      <c r="A1862" s="246" t="s">
        <v>21</v>
      </c>
      <c r="B1862" s="234">
        <v>0</v>
      </c>
      <c r="C1862" s="235">
        <v>0</v>
      </c>
      <c r="D1862" s="235">
        <v>0</v>
      </c>
      <c r="E1862" s="235">
        <v>0</v>
      </c>
      <c r="F1862" s="30">
        <v>0.01</v>
      </c>
      <c r="G1862" s="30">
        <v>0.03</v>
      </c>
      <c r="H1862" s="30">
        <v>0.01</v>
      </c>
      <c r="I1862" s="30">
        <f>I1869/I1871</f>
        <v>1.1162482568814537E-2</v>
      </c>
      <c r="J1862" s="251">
        <f>J1869/J1871</f>
        <v>1.1162482568814535E-2</v>
      </c>
    </row>
    <row r="1863" spans="1:10" s="186" customFormat="1" x14ac:dyDescent="0.25">
      <c r="A1863" s="246" t="s">
        <v>22</v>
      </c>
      <c r="B1863" s="234">
        <v>0</v>
      </c>
      <c r="C1863" s="235">
        <v>0</v>
      </c>
      <c r="D1863" s="235">
        <v>0</v>
      </c>
      <c r="E1863" s="235">
        <v>0</v>
      </c>
      <c r="F1863" s="30">
        <v>0</v>
      </c>
      <c r="G1863" s="30">
        <v>0</v>
      </c>
      <c r="H1863" s="30">
        <v>0</v>
      </c>
      <c r="I1863" s="30">
        <f>I1870/I1871</f>
        <v>0</v>
      </c>
      <c r="J1863" s="251">
        <f>J1870/J1871</f>
        <v>0</v>
      </c>
    </row>
    <row r="1864" spans="1:10" s="186" customFormat="1" x14ac:dyDescent="0.25">
      <c r="A1864" s="252" t="s">
        <v>23</v>
      </c>
      <c r="B1864" s="253">
        <f t="shared" ref="B1864:J1864" si="916">B1875/B1858</f>
        <v>35199.145299145297</v>
      </c>
      <c r="C1864" s="66">
        <f t="shared" si="916"/>
        <v>35080.530973451328</v>
      </c>
      <c r="D1864" s="66">
        <f t="shared" si="916"/>
        <v>34656.25</v>
      </c>
      <c r="E1864" s="66">
        <f t="shared" si="916"/>
        <v>36986.42857142858</v>
      </c>
      <c r="F1864" s="66">
        <f t="shared" si="916"/>
        <v>40104.230769230766</v>
      </c>
      <c r="G1864" s="66">
        <f t="shared" si="916"/>
        <v>38966.326530612248</v>
      </c>
      <c r="H1864" s="66">
        <f t="shared" si="916"/>
        <v>38284.053156146183</v>
      </c>
      <c r="I1864" s="66">
        <f t="shared" si="916"/>
        <v>37807.554225878834</v>
      </c>
      <c r="J1864" s="254">
        <f t="shared" si="916"/>
        <v>37807.554225878834</v>
      </c>
    </row>
    <row r="1865" spans="1:10" s="186" customFormat="1" x14ac:dyDescent="0.25">
      <c r="A1865" s="252" t="s">
        <v>24</v>
      </c>
      <c r="B1865" s="253">
        <f t="shared" ref="B1865:I1865" si="917">+B1875/B1852</f>
        <v>29002.112676056338</v>
      </c>
      <c r="C1865" s="66">
        <f t="shared" si="917"/>
        <v>27720.979020979023</v>
      </c>
      <c r="D1865" s="66">
        <f t="shared" si="917"/>
        <v>29629.770992366412</v>
      </c>
      <c r="E1865" s="66">
        <f t="shared" si="917"/>
        <v>28608.287292817684</v>
      </c>
      <c r="F1865" s="66">
        <f t="shared" si="917"/>
        <v>30488.596491228069</v>
      </c>
      <c r="G1865" s="66">
        <f t="shared" si="917"/>
        <v>28568.827930174564</v>
      </c>
      <c r="H1865" s="66">
        <f t="shared" si="917"/>
        <v>28383.00492610838</v>
      </c>
      <c r="I1865" s="66">
        <f t="shared" si="917"/>
        <v>28951.145475372279</v>
      </c>
      <c r="J1865" s="254">
        <f>J1875/J1852</f>
        <v>28951.145475372283</v>
      </c>
    </row>
    <row r="1866" spans="1:10" s="186" customFormat="1" x14ac:dyDescent="0.25">
      <c r="A1866" s="246" t="s">
        <v>25</v>
      </c>
      <c r="B1866" s="255">
        <f t="shared" ref="B1866:H1866" si="918">B1871*B1859</f>
        <v>2579420.3979310347</v>
      </c>
      <c r="C1866" s="92">
        <f t="shared" si="918"/>
        <v>2573572.4689655174</v>
      </c>
      <c r="D1866" s="92">
        <f t="shared" si="918"/>
        <v>2431528.0910344832</v>
      </c>
      <c r="E1866" s="92">
        <f t="shared" si="918"/>
        <v>3137139.2096551731</v>
      </c>
      <c r="F1866" s="92">
        <f t="shared" si="918"/>
        <v>6630976.0220689662</v>
      </c>
      <c r="G1866" s="92">
        <f t="shared" si="918"/>
        <v>7219712.7124137944</v>
      </c>
      <c r="H1866" s="92">
        <f t="shared" si="918"/>
        <v>7853885.5282758623</v>
      </c>
      <c r="I1866" s="31">
        <f t="shared" ref="I1866:I1871" si="919">SUM(B1866:H1866)</f>
        <v>32426234.430344831</v>
      </c>
      <c r="J1866" s="256">
        <f t="shared" ref="J1866:J1875" si="920">I1866/7</f>
        <v>4632319.2043349762</v>
      </c>
    </row>
    <row r="1867" spans="1:10" s="186" customFormat="1" x14ac:dyDescent="0.25">
      <c r="A1867" s="246" t="s">
        <v>26</v>
      </c>
      <c r="B1867" s="255">
        <f t="shared" ref="B1867:H1867" si="921">B1871*B1860</f>
        <v>33498.966206896555</v>
      </c>
      <c r="C1867" s="92">
        <f t="shared" si="921"/>
        <v>64339.311724137937</v>
      </c>
      <c r="D1867" s="92">
        <f t="shared" si="921"/>
        <v>0</v>
      </c>
      <c r="E1867" s="92">
        <f t="shared" si="921"/>
        <v>42393.773103448286</v>
      </c>
      <c r="F1867" s="92">
        <f t="shared" si="921"/>
        <v>85012.513103448291</v>
      </c>
      <c r="G1867" s="92">
        <f t="shared" si="921"/>
        <v>0</v>
      </c>
      <c r="H1867" s="92">
        <f t="shared" si="921"/>
        <v>93498.637241379329</v>
      </c>
      <c r="I1867" s="31">
        <f t="shared" si="919"/>
        <v>318743.2013793104</v>
      </c>
      <c r="J1867" s="256">
        <f t="shared" si="920"/>
        <v>45534.743054187202</v>
      </c>
    </row>
    <row r="1868" spans="1:10" s="186" customFormat="1" x14ac:dyDescent="0.25">
      <c r="A1868" s="246" t="s">
        <v>27</v>
      </c>
      <c r="B1868" s="255">
        <f t="shared" ref="B1868:H1868" si="922">B1871*B1861</f>
        <v>736977.25655172416</v>
      </c>
      <c r="C1868" s="92">
        <f t="shared" si="922"/>
        <v>579053.80551724136</v>
      </c>
      <c r="D1868" s="92">
        <f t="shared" si="922"/>
        <v>726300.59862068971</v>
      </c>
      <c r="E1868" s="92">
        <f t="shared" si="922"/>
        <v>1059844.3275862071</v>
      </c>
      <c r="F1868" s="92">
        <f t="shared" si="922"/>
        <v>1700250.2620689657</v>
      </c>
      <c r="G1868" s="92">
        <f t="shared" si="922"/>
        <v>1875250.0551724141</v>
      </c>
      <c r="H1868" s="92">
        <f t="shared" si="922"/>
        <v>1308980.9213793105</v>
      </c>
      <c r="I1868" s="31">
        <f t="shared" si="919"/>
        <v>7986657.2268965524</v>
      </c>
      <c r="J1868" s="256">
        <f t="shared" si="920"/>
        <v>1140951.0324137933</v>
      </c>
    </row>
    <row r="1869" spans="1:10" s="186" customFormat="1" x14ac:dyDescent="0.25">
      <c r="A1869" s="246" t="s">
        <v>28</v>
      </c>
      <c r="B1869" s="255">
        <f t="shared" ref="B1869:H1869" si="923">B1871*B1862</f>
        <v>0</v>
      </c>
      <c r="C1869" s="92">
        <f t="shared" si="923"/>
        <v>0</v>
      </c>
      <c r="D1869" s="92">
        <f t="shared" si="923"/>
        <v>0</v>
      </c>
      <c r="E1869" s="92">
        <f t="shared" si="923"/>
        <v>0</v>
      </c>
      <c r="F1869" s="92">
        <f t="shared" si="923"/>
        <v>85012.513103448291</v>
      </c>
      <c r="G1869" s="92">
        <f t="shared" si="923"/>
        <v>281287.50827586208</v>
      </c>
      <c r="H1869" s="92">
        <f t="shared" si="923"/>
        <v>93498.637241379329</v>
      </c>
      <c r="I1869" s="31">
        <f t="shared" si="919"/>
        <v>459798.65862068976</v>
      </c>
      <c r="J1869" s="256">
        <f t="shared" si="920"/>
        <v>65685.522660098533</v>
      </c>
    </row>
    <row r="1870" spans="1:10" s="186" customFormat="1" x14ac:dyDescent="0.25">
      <c r="A1870" s="246" t="s">
        <v>29</v>
      </c>
      <c r="B1870" s="255">
        <f t="shared" ref="B1870:H1870" si="924">B1871*B1863</f>
        <v>0</v>
      </c>
      <c r="C1870" s="92">
        <f t="shared" si="924"/>
        <v>0</v>
      </c>
      <c r="D1870" s="92">
        <f t="shared" si="924"/>
        <v>0</v>
      </c>
      <c r="E1870" s="92">
        <f t="shared" si="924"/>
        <v>0</v>
      </c>
      <c r="F1870" s="92">
        <f t="shared" si="924"/>
        <v>0</v>
      </c>
      <c r="G1870" s="92">
        <f t="shared" si="924"/>
        <v>0</v>
      </c>
      <c r="H1870" s="92">
        <f t="shared" si="924"/>
        <v>0</v>
      </c>
      <c r="I1870" s="31">
        <f t="shared" si="919"/>
        <v>0</v>
      </c>
      <c r="J1870" s="256">
        <f t="shared" si="920"/>
        <v>0</v>
      </c>
    </row>
    <row r="1871" spans="1:10" s="186" customFormat="1" x14ac:dyDescent="0.25">
      <c r="A1871" s="257" t="s">
        <v>30</v>
      </c>
      <c r="B1871" s="258">
        <f>(4118300/1.16)-B1872</f>
        <v>3349896.6206896552</v>
      </c>
      <c r="C1871" s="258">
        <f>(3964100/1.16)-C1872</f>
        <v>3216965.5862068967</v>
      </c>
      <c r="D1871" s="258">
        <f>(3881500/1.16)-D1872</f>
        <v>3157828.6896551726</v>
      </c>
      <c r="E1871" s="258">
        <f>(5178100/1.16)-E1872</f>
        <v>4239377.3103448283</v>
      </c>
      <c r="F1871" s="258">
        <f>(10427100/1.16)-F1872</f>
        <v>8501251.3103448283</v>
      </c>
      <c r="G1871" s="258">
        <f>(11456100/1.16)-G1872</f>
        <v>9376250.2758620698</v>
      </c>
      <c r="H1871" s="258">
        <f>(11523500/1.16)-H1872</f>
        <v>9349863.7241379321</v>
      </c>
      <c r="I1871" s="197">
        <f t="shared" si="919"/>
        <v>41191433.517241381</v>
      </c>
      <c r="J1871" s="259">
        <f t="shared" si="920"/>
        <v>5884490.5024630548</v>
      </c>
    </row>
    <row r="1872" spans="1:10" s="186" customFormat="1" x14ac:dyDescent="0.25">
      <c r="A1872" s="246" t="s">
        <v>31</v>
      </c>
      <c r="B1872" s="255">
        <f t="shared" ref="B1872:I1872" si="925">2414*B1853</f>
        <v>200362</v>
      </c>
      <c r="C1872" s="92">
        <f t="shared" si="925"/>
        <v>200362</v>
      </c>
      <c r="D1872" s="92">
        <f t="shared" si="925"/>
        <v>188292</v>
      </c>
      <c r="E1872" s="92">
        <f t="shared" si="925"/>
        <v>224502</v>
      </c>
      <c r="F1872" s="92">
        <f t="shared" si="925"/>
        <v>487628</v>
      </c>
      <c r="G1872" s="92">
        <f t="shared" si="925"/>
        <v>499698</v>
      </c>
      <c r="H1872" s="92">
        <f t="shared" si="925"/>
        <v>584188</v>
      </c>
      <c r="I1872" s="31">
        <f t="shared" si="925"/>
        <v>2385032</v>
      </c>
      <c r="J1872" s="256">
        <f t="shared" si="920"/>
        <v>340718.85714285716</v>
      </c>
    </row>
    <row r="1873" spans="1:10" s="186" customFormat="1" x14ac:dyDescent="0.25">
      <c r="A1873" s="260" t="s">
        <v>32</v>
      </c>
      <c r="B1873" s="261">
        <f>B1872+B1871</f>
        <v>3550258.6206896552</v>
      </c>
      <c r="C1873" s="199">
        <f>C1872+C1871</f>
        <v>3417327.5862068967</v>
      </c>
      <c r="D1873" s="199">
        <f>D1872+D1871</f>
        <v>3346120.6896551726</v>
      </c>
      <c r="E1873" s="199">
        <f>E1872+E1871</f>
        <v>4463879.3103448283</v>
      </c>
      <c r="F1873" s="199">
        <f>F1871+F1872</f>
        <v>8988879.3103448283</v>
      </c>
      <c r="G1873" s="199">
        <f>G1872+G1871</f>
        <v>9875948.2758620698</v>
      </c>
      <c r="H1873" s="199">
        <f>H1872+H1871</f>
        <v>9934051.7241379321</v>
      </c>
      <c r="I1873" s="199">
        <f>I1871+I1872</f>
        <v>43576465.517241381</v>
      </c>
      <c r="J1873" s="262">
        <f t="shared" si="920"/>
        <v>6225209.3596059112</v>
      </c>
    </row>
    <row r="1874" spans="1:10" s="186" customFormat="1" x14ac:dyDescent="0.25">
      <c r="A1874" s="246" t="s">
        <v>33</v>
      </c>
      <c r="B1874" s="263">
        <f>B1873*16%</f>
        <v>568041.37931034481</v>
      </c>
      <c r="C1874" s="94">
        <f t="shared" ref="C1874:H1874" si="926">C1873*16%</f>
        <v>546772.41379310354</v>
      </c>
      <c r="D1874" s="94">
        <f t="shared" si="926"/>
        <v>535379.31034482759</v>
      </c>
      <c r="E1874" s="94">
        <f t="shared" si="926"/>
        <v>714220.68965517252</v>
      </c>
      <c r="F1874" s="94">
        <f t="shared" si="926"/>
        <v>1438220.6896551726</v>
      </c>
      <c r="G1874" s="94">
        <f t="shared" si="926"/>
        <v>1580151.7241379311</v>
      </c>
      <c r="H1874" s="94">
        <f t="shared" si="926"/>
        <v>1589448.2758620691</v>
      </c>
      <c r="I1874" s="94">
        <f>I1873*16%</f>
        <v>6972234.4827586208</v>
      </c>
      <c r="J1874" s="256">
        <f t="shared" si="920"/>
        <v>996033.49753694586</v>
      </c>
    </row>
    <row r="1875" spans="1:10" s="186" customFormat="1" ht="15.75" thickBot="1" x14ac:dyDescent="0.3">
      <c r="A1875" s="264" t="s">
        <v>34</v>
      </c>
      <c r="B1875" s="265">
        <f>B1873+B1874</f>
        <v>4118300</v>
      </c>
      <c r="C1875" s="266">
        <f t="shared" ref="C1875:H1875" si="927">C1873+C1874</f>
        <v>3964100</v>
      </c>
      <c r="D1875" s="266">
        <f t="shared" si="927"/>
        <v>3881500</v>
      </c>
      <c r="E1875" s="266">
        <f t="shared" si="927"/>
        <v>5178100.0000000009</v>
      </c>
      <c r="F1875" s="266">
        <f t="shared" si="927"/>
        <v>10427100</v>
      </c>
      <c r="G1875" s="266">
        <f t="shared" si="927"/>
        <v>11456100</v>
      </c>
      <c r="H1875" s="266">
        <f t="shared" si="927"/>
        <v>11523500.000000002</v>
      </c>
      <c r="I1875" s="266">
        <f>I1873+I1874</f>
        <v>50548700</v>
      </c>
      <c r="J1875" s="267">
        <f t="shared" si="920"/>
        <v>7221242.8571428573</v>
      </c>
    </row>
    <row r="1876" spans="1:10" s="186" customFormat="1" ht="15.75" thickBot="1" x14ac:dyDescent="0.3">
      <c r="A1876" s="204"/>
      <c r="B1876" s="112"/>
      <c r="C1876" s="112"/>
      <c r="D1876" s="112"/>
      <c r="E1876" s="112"/>
      <c r="F1876" s="112"/>
      <c r="G1876" s="112"/>
      <c r="H1876" s="112"/>
      <c r="I1876" s="112"/>
      <c r="J1876" s="205"/>
    </row>
    <row r="1877" spans="1:10" s="186" customFormat="1" ht="27" thickBot="1" x14ac:dyDescent="0.3">
      <c r="A1877"/>
      <c r="B1877" s="1002" t="s">
        <v>642</v>
      </c>
      <c r="C1877" s="1002"/>
      <c r="D1877" s="1002"/>
      <c r="E1877" s="1002"/>
      <c r="F1877" s="1002"/>
      <c r="G1877" s="1002"/>
      <c r="H1877" s="1002"/>
      <c r="I1877"/>
      <c r="J1877"/>
    </row>
    <row r="1878" spans="1:10" s="186" customFormat="1" ht="16.5" thickBot="1" x14ac:dyDescent="0.3">
      <c r="A1878" s="238" t="s">
        <v>2</v>
      </c>
      <c r="B1878" s="239" t="s">
        <v>241</v>
      </c>
      <c r="C1878" s="239" t="s">
        <v>255</v>
      </c>
      <c r="D1878" s="239" t="s">
        <v>256</v>
      </c>
      <c r="E1878" s="239" t="s">
        <v>324</v>
      </c>
      <c r="F1878" s="239" t="s">
        <v>325</v>
      </c>
      <c r="G1878" s="239" t="s">
        <v>326</v>
      </c>
      <c r="H1878" s="239" t="s">
        <v>327</v>
      </c>
      <c r="I1878" s="240" t="s">
        <v>96</v>
      </c>
      <c r="J1878" s="241" t="s">
        <v>97</v>
      </c>
    </row>
    <row r="1879" spans="1:10" s="186" customFormat="1" x14ac:dyDescent="0.25">
      <c r="A1879" s="242" t="s">
        <v>11</v>
      </c>
      <c r="B1879" s="243">
        <f>50+37+16</f>
        <v>103</v>
      </c>
      <c r="C1879" s="244">
        <f>69+48+16</f>
        <v>133</v>
      </c>
      <c r="D1879" s="244">
        <f>108+63+19</f>
        <v>190</v>
      </c>
      <c r="E1879" s="244">
        <f>112+58+17</f>
        <v>187</v>
      </c>
      <c r="F1879" s="244">
        <f>195+110+45</f>
        <v>350</v>
      </c>
      <c r="G1879" s="244">
        <f>211+150+26</f>
        <v>387</v>
      </c>
      <c r="H1879" s="268">
        <f>195+134+46</f>
        <v>375</v>
      </c>
      <c r="I1879" s="244">
        <f>SUM(B1879:H1879)</f>
        <v>1725</v>
      </c>
      <c r="J1879" s="245">
        <f>+I1879/7</f>
        <v>246.42857142857142</v>
      </c>
    </row>
    <row r="1880" spans="1:10" s="186" customFormat="1" x14ac:dyDescent="0.25">
      <c r="A1880" s="246" t="s">
        <v>12</v>
      </c>
      <c r="B1880" s="233">
        <v>53</v>
      </c>
      <c r="C1880" s="13">
        <v>79</v>
      </c>
      <c r="D1880" s="13">
        <v>113</v>
      </c>
      <c r="E1880" s="13">
        <v>98</v>
      </c>
      <c r="F1880" s="86">
        <v>203</v>
      </c>
      <c r="G1880" s="11">
        <v>206</v>
      </c>
      <c r="H1880" s="86">
        <v>241</v>
      </c>
      <c r="I1880" s="11">
        <f>SUM('PEPE SIERRA '!$B1880:$H1880)</f>
        <v>993</v>
      </c>
      <c r="J1880" s="247">
        <f t="shared" ref="J1880:J1885" si="928">I1880/7</f>
        <v>141.85714285714286</v>
      </c>
    </row>
    <row r="1881" spans="1:10" s="186" customFormat="1" x14ac:dyDescent="0.25">
      <c r="A1881" s="246" t="s">
        <v>13</v>
      </c>
      <c r="B1881" s="233">
        <v>2</v>
      </c>
      <c r="C1881" s="13">
        <v>1</v>
      </c>
      <c r="D1881" s="13">
        <v>1</v>
      </c>
      <c r="E1881" s="13">
        <v>0</v>
      </c>
      <c r="F1881" s="11">
        <v>4</v>
      </c>
      <c r="G1881" s="11">
        <v>4</v>
      </c>
      <c r="H1881" s="11">
        <v>4</v>
      </c>
      <c r="I1881" s="11">
        <f>SUM('PEPE SIERRA '!$B1881:$H1881)</f>
        <v>16</v>
      </c>
      <c r="J1881" s="247">
        <f t="shared" si="928"/>
        <v>2.2857142857142856</v>
      </c>
    </row>
    <row r="1882" spans="1:10" s="186" customFormat="1" x14ac:dyDescent="0.25">
      <c r="A1882" s="246" t="s">
        <v>14</v>
      </c>
      <c r="B1882" s="233">
        <v>24</v>
      </c>
      <c r="C1882" s="13">
        <v>35</v>
      </c>
      <c r="D1882" s="13">
        <v>36</v>
      </c>
      <c r="E1882" s="13">
        <v>46</v>
      </c>
      <c r="F1882" s="11">
        <v>53</v>
      </c>
      <c r="G1882" s="11">
        <v>90</v>
      </c>
      <c r="H1882" s="86">
        <v>54</v>
      </c>
      <c r="I1882" s="11">
        <f>SUM('PEPE SIERRA '!$B1882:$H1882)</f>
        <v>338</v>
      </c>
      <c r="J1882" s="247">
        <f t="shared" si="928"/>
        <v>48.285714285714285</v>
      </c>
    </row>
    <row r="1883" spans="1:10" s="186" customFormat="1" x14ac:dyDescent="0.25">
      <c r="A1883" s="246" t="s">
        <v>15</v>
      </c>
      <c r="B1883" s="233">
        <v>0</v>
      </c>
      <c r="C1883" s="13">
        <v>0</v>
      </c>
      <c r="D1883" s="13">
        <v>1</v>
      </c>
      <c r="E1883" s="13">
        <v>0</v>
      </c>
      <c r="F1883" s="11">
        <v>0</v>
      </c>
      <c r="G1883" s="11">
        <v>0</v>
      </c>
      <c r="H1883" s="11">
        <v>0</v>
      </c>
      <c r="I1883" s="11">
        <f>SUM('PEPE SIERRA '!$B1883:$H1883)</f>
        <v>1</v>
      </c>
      <c r="J1883" s="247">
        <f t="shared" si="928"/>
        <v>0.14285714285714285</v>
      </c>
    </row>
    <row r="1884" spans="1:10" s="186" customFormat="1" x14ac:dyDescent="0.25">
      <c r="A1884" s="246" t="s">
        <v>16</v>
      </c>
      <c r="B1884" s="233">
        <v>0</v>
      </c>
      <c r="C1884" s="13">
        <v>0</v>
      </c>
      <c r="D1884" s="13">
        <v>0</v>
      </c>
      <c r="E1884" s="13">
        <v>2</v>
      </c>
      <c r="F1884" s="11">
        <v>0</v>
      </c>
      <c r="G1884" s="11">
        <v>0</v>
      </c>
      <c r="H1884" s="11">
        <v>0</v>
      </c>
      <c r="I1884" s="11">
        <f>SUM('PEPE SIERRA '!$B1884:$H1884)</f>
        <v>2</v>
      </c>
      <c r="J1884" s="247">
        <f t="shared" si="928"/>
        <v>0.2857142857142857</v>
      </c>
    </row>
    <row r="1885" spans="1:10" s="186" customFormat="1" x14ac:dyDescent="0.25">
      <c r="A1885" s="248" t="s">
        <v>17</v>
      </c>
      <c r="B1885" s="249">
        <f>SUM(B1880:B1884)</f>
        <v>79</v>
      </c>
      <c r="C1885" s="192">
        <f t="shared" ref="C1885:I1885" si="929">SUM(C1880:C1884)</f>
        <v>115</v>
      </c>
      <c r="D1885" s="192">
        <f t="shared" si="929"/>
        <v>151</v>
      </c>
      <c r="E1885" s="192">
        <f t="shared" si="929"/>
        <v>146</v>
      </c>
      <c r="F1885" s="192">
        <f t="shared" si="929"/>
        <v>260</v>
      </c>
      <c r="G1885" s="192">
        <f t="shared" si="929"/>
        <v>300</v>
      </c>
      <c r="H1885" s="192">
        <f t="shared" si="929"/>
        <v>299</v>
      </c>
      <c r="I1885" s="192">
        <f t="shared" si="929"/>
        <v>1350</v>
      </c>
      <c r="J1885" s="250">
        <f t="shared" si="928"/>
        <v>192.85714285714286</v>
      </c>
    </row>
    <row r="1886" spans="1:10" s="186" customFormat="1" x14ac:dyDescent="0.25">
      <c r="A1886" s="246" t="s">
        <v>18</v>
      </c>
      <c r="B1886" s="234">
        <v>0.71</v>
      </c>
      <c r="C1886" s="235">
        <v>0.77</v>
      </c>
      <c r="D1886" s="235">
        <v>0.82</v>
      </c>
      <c r="E1886" s="235">
        <v>0.72</v>
      </c>
      <c r="F1886" s="30">
        <v>0.83</v>
      </c>
      <c r="G1886" s="30">
        <v>0.73</v>
      </c>
      <c r="H1886" s="30">
        <v>0.84</v>
      </c>
      <c r="I1886" s="30">
        <f>I1893/I1898</f>
        <v>0.78421240716774376</v>
      </c>
      <c r="J1886" s="251">
        <f>J1893/J1898</f>
        <v>0.78421240716774376</v>
      </c>
    </row>
    <row r="1887" spans="1:10" s="186" customFormat="1" x14ac:dyDescent="0.25">
      <c r="A1887" s="246" t="s">
        <v>19</v>
      </c>
      <c r="B1887" s="234">
        <v>0.02</v>
      </c>
      <c r="C1887" s="235">
        <v>0.01</v>
      </c>
      <c r="D1887" s="235">
        <v>0.01</v>
      </c>
      <c r="E1887" s="235">
        <v>0</v>
      </c>
      <c r="F1887" s="30">
        <v>0.01</v>
      </c>
      <c r="G1887" s="30">
        <v>0.02</v>
      </c>
      <c r="H1887" s="30">
        <v>0.01</v>
      </c>
      <c r="I1887" s="30">
        <f>I1894/I1898</f>
        <v>1.1750938186550725E-2</v>
      </c>
      <c r="J1887" s="251">
        <f>J1894/J1898</f>
        <v>1.1750938186550725E-2</v>
      </c>
    </row>
    <row r="1888" spans="1:10" s="186" customFormat="1" x14ac:dyDescent="0.25">
      <c r="A1888" s="246" t="s">
        <v>20</v>
      </c>
      <c r="B1888" s="234">
        <v>0.27</v>
      </c>
      <c r="C1888" s="235">
        <v>0.22</v>
      </c>
      <c r="D1888" s="235">
        <v>0.16</v>
      </c>
      <c r="E1888" s="235">
        <v>0.27</v>
      </c>
      <c r="F1888" s="30">
        <v>0.16</v>
      </c>
      <c r="G1888" s="30">
        <v>0.25</v>
      </c>
      <c r="H1888" s="30">
        <v>0.15</v>
      </c>
      <c r="I1888" s="30">
        <f>I1895/I1898</f>
        <v>0.20181453525574755</v>
      </c>
      <c r="J1888" s="251">
        <f>J1895/J1898</f>
        <v>0.20181453525574755</v>
      </c>
    </row>
    <row r="1889" spans="1:10" s="186" customFormat="1" x14ac:dyDescent="0.25">
      <c r="A1889" s="246" t="s">
        <v>21</v>
      </c>
      <c r="B1889" s="234">
        <v>0</v>
      </c>
      <c r="C1889" s="235">
        <v>0</v>
      </c>
      <c r="D1889" s="235">
        <v>0.01</v>
      </c>
      <c r="E1889" s="235">
        <v>0</v>
      </c>
      <c r="F1889" s="30">
        <v>0</v>
      </c>
      <c r="G1889" s="30">
        <v>0</v>
      </c>
      <c r="H1889" s="30">
        <v>0</v>
      </c>
      <c r="I1889" s="30">
        <f>I1896/I1898</f>
        <v>1.0935273394170263E-3</v>
      </c>
      <c r="J1889" s="251">
        <f>J1896/J1898</f>
        <v>1.0935273394170261E-3</v>
      </c>
    </row>
    <row r="1890" spans="1:10" s="186" customFormat="1" x14ac:dyDescent="0.25">
      <c r="A1890" s="246" t="s">
        <v>22</v>
      </c>
      <c r="B1890" s="234">
        <v>0</v>
      </c>
      <c r="C1890" s="235">
        <v>0</v>
      </c>
      <c r="D1890" s="235">
        <v>0</v>
      </c>
      <c r="E1890" s="235">
        <v>0.01</v>
      </c>
      <c r="F1890" s="30">
        <v>0</v>
      </c>
      <c r="G1890" s="30">
        <v>0</v>
      </c>
      <c r="H1890" s="30">
        <v>0</v>
      </c>
      <c r="I1890" s="30">
        <f>I1897/I1898</f>
        <v>1.1285920505409884E-3</v>
      </c>
      <c r="J1890" s="251">
        <f>J1897/J1898</f>
        <v>1.1285920505409884E-3</v>
      </c>
    </row>
    <row r="1891" spans="1:10" s="186" customFormat="1" x14ac:dyDescent="0.25">
      <c r="A1891" s="252" t="s">
        <v>23</v>
      </c>
      <c r="B1891" s="253">
        <f t="shared" ref="B1891:J1891" si="930">B1902/B1885</f>
        <v>37307.594936708861</v>
      </c>
      <c r="C1891" s="66">
        <f t="shared" si="930"/>
        <v>33511.304347826088</v>
      </c>
      <c r="D1891" s="66">
        <f t="shared" si="930"/>
        <v>37144.370860927149</v>
      </c>
      <c r="E1891" s="66">
        <f t="shared" si="930"/>
        <v>39291.095890410965</v>
      </c>
      <c r="F1891" s="66">
        <f t="shared" si="930"/>
        <v>38892.692307692305</v>
      </c>
      <c r="G1891" s="66">
        <f t="shared" si="930"/>
        <v>39047.000000000007</v>
      </c>
      <c r="H1891" s="66">
        <f t="shared" si="930"/>
        <v>37475.919732441471</v>
      </c>
      <c r="I1891" s="66">
        <f t="shared" si="930"/>
        <v>37909.555555555555</v>
      </c>
      <c r="J1891" s="254">
        <f t="shared" si="930"/>
        <v>37909.555555555555</v>
      </c>
    </row>
    <row r="1892" spans="1:10" s="186" customFormat="1" x14ac:dyDescent="0.25">
      <c r="A1892" s="252" t="s">
        <v>24</v>
      </c>
      <c r="B1892" s="253">
        <f t="shared" ref="B1892:I1892" si="931">+B1902/B1879</f>
        <v>28614.563106796115</v>
      </c>
      <c r="C1892" s="66">
        <f t="shared" si="931"/>
        <v>28975.939849624065</v>
      </c>
      <c r="D1892" s="66">
        <f t="shared" si="931"/>
        <v>29520</v>
      </c>
      <c r="E1892" s="66">
        <f t="shared" si="931"/>
        <v>30676.470588235297</v>
      </c>
      <c r="F1892" s="66">
        <f t="shared" si="931"/>
        <v>28891.714285714286</v>
      </c>
      <c r="G1892" s="66">
        <f t="shared" si="931"/>
        <v>30268.992248062019</v>
      </c>
      <c r="H1892" s="66">
        <f t="shared" si="931"/>
        <v>29880.799999999999</v>
      </c>
      <c r="I1892" s="66">
        <f t="shared" si="931"/>
        <v>29668.347826086956</v>
      </c>
      <c r="J1892" s="254">
        <f>J1902/J1879</f>
        <v>29668.34782608696</v>
      </c>
    </row>
    <row r="1893" spans="1:10" s="186" customFormat="1" x14ac:dyDescent="0.25">
      <c r="A1893" s="246" t="s">
        <v>25</v>
      </c>
      <c r="B1893" s="255">
        <f t="shared" ref="B1893:H1893" si="932">B1898*B1886</f>
        <v>1713112.0420689655</v>
      </c>
      <c r="C1893" s="92">
        <f t="shared" si="932"/>
        <v>2411282.2420689659</v>
      </c>
      <c r="D1893" s="92">
        <f t="shared" si="932"/>
        <v>3741160.1393103451</v>
      </c>
      <c r="E1893" s="92">
        <f t="shared" si="932"/>
        <v>3390254.366896552</v>
      </c>
      <c r="F1893" s="92">
        <f t="shared" si="932"/>
        <v>6828647.0365517233</v>
      </c>
      <c r="G1893" s="92">
        <f t="shared" si="932"/>
        <v>7008786.9903448289</v>
      </c>
      <c r="H1893" s="92">
        <f t="shared" si="932"/>
        <v>7625492.5986206895</v>
      </c>
      <c r="I1893" s="31">
        <f t="shared" ref="I1893:I1898" si="933">SUM(B1893:H1893)</f>
        <v>32718735.415862072</v>
      </c>
      <c r="J1893" s="256">
        <f t="shared" ref="J1893:J1902" si="934">I1893/7</f>
        <v>4674105.0594088677</v>
      </c>
    </row>
    <row r="1894" spans="1:10" s="186" customFormat="1" x14ac:dyDescent="0.25">
      <c r="A1894" s="246" t="s">
        <v>26</v>
      </c>
      <c r="B1894" s="255">
        <f t="shared" ref="B1894:H1894" si="935">B1898*B1887</f>
        <v>48256.677241379315</v>
      </c>
      <c r="C1894" s="92">
        <f t="shared" si="935"/>
        <v>31315.353793103452</v>
      </c>
      <c r="D1894" s="92">
        <f t="shared" si="935"/>
        <v>45623.904137931037</v>
      </c>
      <c r="E1894" s="92">
        <f t="shared" si="935"/>
        <v>0</v>
      </c>
      <c r="F1894" s="92">
        <f t="shared" si="935"/>
        <v>82272.855862068958</v>
      </c>
      <c r="G1894" s="92">
        <f t="shared" si="935"/>
        <v>192021.56137931038</v>
      </c>
      <c r="H1894" s="92">
        <f t="shared" si="935"/>
        <v>90779.673793103459</v>
      </c>
      <c r="I1894" s="31">
        <f t="shared" si="933"/>
        <v>490270.02620689664</v>
      </c>
      <c r="J1894" s="256">
        <f t="shared" si="934"/>
        <v>70038.57517241381</v>
      </c>
    </row>
    <row r="1895" spans="1:10" s="186" customFormat="1" x14ac:dyDescent="0.25">
      <c r="A1895" s="246" t="s">
        <v>27</v>
      </c>
      <c r="B1895" s="255">
        <f t="shared" ref="B1895:H1895" si="936">B1898*B1888</f>
        <v>651465.14275862079</v>
      </c>
      <c r="C1895" s="92">
        <f t="shared" si="936"/>
        <v>688937.78344827599</v>
      </c>
      <c r="D1895" s="92">
        <f t="shared" si="936"/>
        <v>729982.46620689658</v>
      </c>
      <c r="E1895" s="92">
        <f t="shared" si="936"/>
        <v>1271345.3875862071</v>
      </c>
      <c r="F1895" s="92">
        <f t="shared" si="936"/>
        <v>1316365.6937931033</v>
      </c>
      <c r="G1895" s="92">
        <f t="shared" si="936"/>
        <v>2400269.5172413797</v>
      </c>
      <c r="H1895" s="92">
        <f t="shared" si="936"/>
        <v>1361695.1068965518</v>
      </c>
      <c r="I1895" s="31">
        <f t="shared" si="933"/>
        <v>8420061.0979310349</v>
      </c>
      <c r="J1895" s="256">
        <f t="shared" si="934"/>
        <v>1202865.871133005</v>
      </c>
    </row>
    <row r="1896" spans="1:10" s="186" customFormat="1" x14ac:dyDescent="0.25">
      <c r="A1896" s="246" t="s">
        <v>28</v>
      </c>
      <c r="B1896" s="255">
        <f t="shared" ref="B1896:H1896" si="937">B1898*B1889</f>
        <v>0</v>
      </c>
      <c r="C1896" s="92">
        <f t="shared" si="937"/>
        <v>0</v>
      </c>
      <c r="D1896" s="92">
        <f t="shared" si="937"/>
        <v>45623.904137931037</v>
      </c>
      <c r="E1896" s="92">
        <f t="shared" si="937"/>
        <v>0</v>
      </c>
      <c r="F1896" s="92">
        <f t="shared" si="937"/>
        <v>0</v>
      </c>
      <c r="G1896" s="92">
        <f t="shared" si="937"/>
        <v>0</v>
      </c>
      <c r="H1896" s="92">
        <f t="shared" si="937"/>
        <v>0</v>
      </c>
      <c r="I1896" s="31">
        <f t="shared" si="933"/>
        <v>45623.904137931037</v>
      </c>
      <c r="J1896" s="256">
        <f t="shared" si="934"/>
        <v>6517.7005911330052</v>
      </c>
    </row>
    <row r="1897" spans="1:10" s="186" customFormat="1" x14ac:dyDescent="0.25">
      <c r="A1897" s="246" t="s">
        <v>29</v>
      </c>
      <c r="B1897" s="255">
        <f t="shared" ref="B1897:H1897" si="938">B1898*B1890</f>
        <v>0</v>
      </c>
      <c r="C1897" s="92">
        <f t="shared" si="938"/>
        <v>0</v>
      </c>
      <c r="D1897" s="92">
        <f t="shared" si="938"/>
        <v>0</v>
      </c>
      <c r="E1897" s="92">
        <f t="shared" si="938"/>
        <v>47086.866206896557</v>
      </c>
      <c r="F1897" s="92">
        <f t="shared" si="938"/>
        <v>0</v>
      </c>
      <c r="G1897" s="92">
        <f t="shared" si="938"/>
        <v>0</v>
      </c>
      <c r="H1897" s="92">
        <f t="shared" si="938"/>
        <v>0</v>
      </c>
      <c r="I1897" s="31">
        <f t="shared" si="933"/>
        <v>47086.866206896557</v>
      </c>
      <c r="J1897" s="256">
        <f t="shared" si="934"/>
        <v>6726.6951724137934</v>
      </c>
    </row>
    <row r="1898" spans="1:10" s="186" customFormat="1" x14ac:dyDescent="0.25">
      <c r="A1898" s="257" t="s">
        <v>30</v>
      </c>
      <c r="B1898" s="258">
        <f>(2947300/1.16)-B1899</f>
        <v>2412833.8620689656</v>
      </c>
      <c r="C1898" s="258">
        <f>(3853800/1.16)-C1899</f>
        <v>3131535.3793103453</v>
      </c>
      <c r="D1898" s="258">
        <f>(5608800/1.16)-D1899</f>
        <v>4562390.4137931038</v>
      </c>
      <c r="E1898" s="258">
        <f>(5736500/1.16)-E1899</f>
        <v>4708686.6206896557</v>
      </c>
      <c r="F1898" s="258">
        <f>(10112100/1.16)-F1899</f>
        <v>8227285.5862068962</v>
      </c>
      <c r="G1898" s="258">
        <f>(11714100/1.16)-G1899</f>
        <v>9601078.0689655188</v>
      </c>
      <c r="H1898" s="258">
        <f>(11205300/1.16)-H1899</f>
        <v>9077967.3793103453</v>
      </c>
      <c r="I1898" s="197">
        <f t="shared" si="933"/>
        <v>41721777.31034483</v>
      </c>
      <c r="J1898" s="259">
        <f t="shared" si="934"/>
        <v>5960253.9014778333</v>
      </c>
    </row>
    <row r="1899" spans="1:10" s="186" customFormat="1" x14ac:dyDescent="0.25">
      <c r="A1899" s="246" t="s">
        <v>31</v>
      </c>
      <c r="B1899" s="255">
        <f t="shared" ref="B1899:I1899" si="939">2414*B1880</f>
        <v>127942</v>
      </c>
      <c r="C1899" s="92">
        <f t="shared" si="939"/>
        <v>190706</v>
      </c>
      <c r="D1899" s="92">
        <f t="shared" si="939"/>
        <v>272782</v>
      </c>
      <c r="E1899" s="92">
        <f t="shared" si="939"/>
        <v>236572</v>
      </c>
      <c r="F1899" s="92">
        <f t="shared" si="939"/>
        <v>490042</v>
      </c>
      <c r="G1899" s="92">
        <f t="shared" si="939"/>
        <v>497284</v>
      </c>
      <c r="H1899" s="92">
        <f t="shared" si="939"/>
        <v>581774</v>
      </c>
      <c r="I1899" s="31">
        <f t="shared" si="939"/>
        <v>2397102</v>
      </c>
      <c r="J1899" s="256">
        <f t="shared" si="934"/>
        <v>342443.14285714284</v>
      </c>
    </row>
    <row r="1900" spans="1:10" s="186" customFormat="1" x14ac:dyDescent="0.25">
      <c r="A1900" s="260" t="s">
        <v>32</v>
      </c>
      <c r="B1900" s="261">
        <f>B1899+B1898</f>
        <v>2540775.8620689656</v>
      </c>
      <c r="C1900" s="199">
        <f>C1899+C1898</f>
        <v>3322241.3793103453</v>
      </c>
      <c r="D1900" s="199">
        <f>D1899+D1898</f>
        <v>4835172.4137931038</v>
      </c>
      <c r="E1900" s="199">
        <f>E1899+E1898</f>
        <v>4945258.6206896557</v>
      </c>
      <c r="F1900" s="199">
        <f>F1898+F1899</f>
        <v>8717327.5862068962</v>
      </c>
      <c r="G1900" s="199">
        <f>G1899+G1898</f>
        <v>10098362.068965519</v>
      </c>
      <c r="H1900" s="199">
        <f>H1899+H1898</f>
        <v>9659741.3793103453</v>
      </c>
      <c r="I1900" s="199">
        <f>I1898+I1899</f>
        <v>44118879.31034483</v>
      </c>
      <c r="J1900" s="262">
        <f t="shared" si="934"/>
        <v>6302697.044334976</v>
      </c>
    </row>
    <row r="1901" spans="1:10" s="186" customFormat="1" x14ac:dyDescent="0.25">
      <c r="A1901" s="246" t="s">
        <v>33</v>
      </c>
      <c r="B1901" s="263">
        <f>B1900*16%</f>
        <v>406524.13793103449</v>
      </c>
      <c r="C1901" s="94">
        <f t="shared" ref="C1901:H1901" si="940">C1900*16%</f>
        <v>531558.6206896553</v>
      </c>
      <c r="D1901" s="94">
        <f t="shared" si="940"/>
        <v>773627.58620689658</v>
      </c>
      <c r="E1901" s="94">
        <f t="shared" si="940"/>
        <v>791241.37931034493</v>
      </c>
      <c r="F1901" s="94">
        <f t="shared" si="940"/>
        <v>1394772.4137931035</v>
      </c>
      <c r="G1901" s="94">
        <f t="shared" si="940"/>
        <v>1615737.931034483</v>
      </c>
      <c r="H1901" s="94">
        <f t="shared" si="940"/>
        <v>1545558.6206896552</v>
      </c>
      <c r="I1901" s="94">
        <f>I1900*16%</f>
        <v>7059020.6896551726</v>
      </c>
      <c r="J1901" s="256">
        <f t="shared" si="934"/>
        <v>1008431.5270935961</v>
      </c>
    </row>
    <row r="1902" spans="1:10" s="186" customFormat="1" ht="15.75" thickBot="1" x14ac:dyDescent="0.3">
      <c r="A1902" s="264" t="s">
        <v>34</v>
      </c>
      <c r="B1902" s="265">
        <f>B1900+B1901</f>
        <v>2947300</v>
      </c>
      <c r="C1902" s="266">
        <f t="shared" ref="C1902:H1902" si="941">C1900+C1901</f>
        <v>3853800.0000000005</v>
      </c>
      <c r="D1902" s="266">
        <f t="shared" si="941"/>
        <v>5608800</v>
      </c>
      <c r="E1902" s="266">
        <f t="shared" si="941"/>
        <v>5736500.0000000009</v>
      </c>
      <c r="F1902" s="266">
        <f t="shared" si="941"/>
        <v>10112100</v>
      </c>
      <c r="G1902" s="266">
        <f t="shared" si="941"/>
        <v>11714100.000000002</v>
      </c>
      <c r="H1902" s="266">
        <f t="shared" si="941"/>
        <v>11205300</v>
      </c>
      <c r="I1902" s="266">
        <f>I1900+I1901</f>
        <v>51177900</v>
      </c>
      <c r="J1902" s="267">
        <f t="shared" si="934"/>
        <v>7311128.5714285718</v>
      </c>
    </row>
    <row r="1903" spans="1:10" s="186" customFormat="1" ht="15.75" thickBot="1" x14ac:dyDescent="0.3">
      <c r="A1903" s="204"/>
      <c r="B1903" s="112"/>
      <c r="C1903" s="112"/>
      <c r="D1903" s="112"/>
      <c r="E1903" s="112"/>
      <c r="F1903" s="112"/>
      <c r="G1903" s="112"/>
      <c r="H1903" s="112"/>
      <c r="I1903" s="112"/>
      <c r="J1903" s="205"/>
    </row>
    <row r="1904" spans="1:10" s="186" customFormat="1" ht="27" thickBot="1" x14ac:dyDescent="0.3">
      <c r="A1904"/>
      <c r="B1904" s="1002" t="s">
        <v>645</v>
      </c>
      <c r="C1904" s="1002"/>
      <c r="D1904" s="1002"/>
      <c r="E1904" s="1002"/>
      <c r="F1904" s="1002"/>
      <c r="G1904" s="1002"/>
      <c r="H1904" s="1002"/>
      <c r="I1904"/>
      <c r="J1904"/>
    </row>
    <row r="1905" spans="1:10" s="186" customFormat="1" ht="16.5" thickBot="1" x14ac:dyDescent="0.3">
      <c r="A1905" s="238" t="s">
        <v>2</v>
      </c>
      <c r="B1905" s="239" t="s">
        <v>329</v>
      </c>
      <c r="C1905" s="239" t="s">
        <v>330</v>
      </c>
      <c r="D1905" s="239" t="s">
        <v>331</v>
      </c>
      <c r="E1905" s="239" t="s">
        <v>332</v>
      </c>
      <c r="F1905" s="239" t="s">
        <v>333</v>
      </c>
      <c r="G1905" s="239" t="s">
        <v>334</v>
      </c>
      <c r="H1905" s="239" t="s">
        <v>335</v>
      </c>
      <c r="I1905" s="240" t="s">
        <v>96</v>
      </c>
      <c r="J1905" s="241" t="s">
        <v>97</v>
      </c>
    </row>
    <row r="1906" spans="1:10" s="186" customFormat="1" x14ac:dyDescent="0.25">
      <c r="A1906" s="242" t="s">
        <v>11</v>
      </c>
      <c r="B1906" s="243">
        <f>87+42+17</f>
        <v>146</v>
      </c>
      <c r="C1906" s="244">
        <f>102+53+19</f>
        <v>174</v>
      </c>
      <c r="D1906" s="244">
        <f>144+85+25</f>
        <v>254</v>
      </c>
      <c r="E1906" s="244">
        <f>196+125+53</f>
        <v>374</v>
      </c>
      <c r="F1906" s="244">
        <f>131+82+23</f>
        <v>236</v>
      </c>
      <c r="G1906" s="244">
        <f>200+118+32</f>
        <v>350</v>
      </c>
      <c r="H1906" s="268">
        <f>182+108+37</f>
        <v>327</v>
      </c>
      <c r="I1906" s="244">
        <f>SUM(B1906:H1906)</f>
        <v>1861</v>
      </c>
      <c r="J1906" s="245">
        <f>+I1906/7</f>
        <v>265.85714285714283</v>
      </c>
    </row>
    <row r="1907" spans="1:10" s="186" customFormat="1" x14ac:dyDescent="0.25">
      <c r="A1907" s="246" t="s">
        <v>12</v>
      </c>
      <c r="B1907" s="233">
        <v>72</v>
      </c>
      <c r="C1907" s="13">
        <v>92</v>
      </c>
      <c r="D1907" s="13">
        <v>139</v>
      </c>
      <c r="E1907" s="13">
        <v>197</v>
      </c>
      <c r="F1907" s="86">
        <v>130</v>
      </c>
      <c r="G1907" s="11">
        <v>185</v>
      </c>
      <c r="H1907" s="86">
        <v>205</v>
      </c>
      <c r="I1907" s="11">
        <f>SUM('PEPE SIERRA '!$B1907:$H1907)</f>
        <v>1020</v>
      </c>
      <c r="J1907" s="247">
        <f t="shared" ref="J1907:J1912" si="942">I1907/7</f>
        <v>145.71428571428572</v>
      </c>
    </row>
    <row r="1908" spans="1:10" s="186" customFormat="1" x14ac:dyDescent="0.25">
      <c r="A1908" s="246" t="s">
        <v>13</v>
      </c>
      <c r="B1908" s="233">
        <v>0</v>
      </c>
      <c r="C1908" s="13">
        <v>3</v>
      </c>
      <c r="D1908" s="13">
        <v>4</v>
      </c>
      <c r="E1908" s="13">
        <v>4</v>
      </c>
      <c r="F1908" s="11">
        <v>0</v>
      </c>
      <c r="G1908" s="11">
        <v>1</v>
      </c>
      <c r="H1908" s="11">
        <v>0</v>
      </c>
      <c r="I1908" s="11">
        <f>SUM('PEPE SIERRA '!$B1908:$H1908)</f>
        <v>12</v>
      </c>
      <c r="J1908" s="247">
        <f t="shared" si="942"/>
        <v>1.7142857142857142</v>
      </c>
    </row>
    <row r="1909" spans="1:10" s="186" customFormat="1" x14ac:dyDescent="0.25">
      <c r="A1909" s="246" t="s">
        <v>14</v>
      </c>
      <c r="B1909" s="233">
        <v>37</v>
      </c>
      <c r="C1909" s="13">
        <v>42</v>
      </c>
      <c r="D1909" s="13">
        <v>47</v>
      </c>
      <c r="E1909" s="13">
        <v>91</v>
      </c>
      <c r="F1909" s="11">
        <v>66</v>
      </c>
      <c r="G1909" s="11">
        <v>80</v>
      </c>
      <c r="H1909" s="86">
        <v>55</v>
      </c>
      <c r="I1909" s="11">
        <f>SUM('PEPE SIERRA '!$B1909:$H1909)</f>
        <v>418</v>
      </c>
      <c r="J1909" s="247">
        <f t="shared" si="942"/>
        <v>59.714285714285715</v>
      </c>
    </row>
    <row r="1910" spans="1:10" s="186" customFormat="1" x14ac:dyDescent="0.25">
      <c r="A1910" s="246" t="s">
        <v>15</v>
      </c>
      <c r="B1910" s="233">
        <v>0</v>
      </c>
      <c r="C1910" s="13">
        <v>5</v>
      </c>
      <c r="D1910" s="13">
        <v>0</v>
      </c>
      <c r="E1910" s="13">
        <v>0</v>
      </c>
      <c r="F1910" s="11">
        <v>0</v>
      </c>
      <c r="G1910" s="11">
        <v>0</v>
      </c>
      <c r="H1910" s="11">
        <v>0</v>
      </c>
      <c r="I1910" s="11">
        <f>SUM('PEPE SIERRA '!$B1910:$H1910)</f>
        <v>5</v>
      </c>
      <c r="J1910" s="247">
        <f t="shared" si="942"/>
        <v>0.7142857142857143</v>
      </c>
    </row>
    <row r="1911" spans="1:10" s="186" customFormat="1" x14ac:dyDescent="0.25">
      <c r="A1911" s="246" t="s">
        <v>16</v>
      </c>
      <c r="B1911" s="233">
        <v>0</v>
      </c>
      <c r="C1911" s="13">
        <v>0</v>
      </c>
      <c r="D1911" s="13">
        <v>0</v>
      </c>
      <c r="E1911" s="13">
        <v>0</v>
      </c>
      <c r="F1911" s="11">
        <v>0</v>
      </c>
      <c r="G1911" s="11">
        <v>0</v>
      </c>
      <c r="H1911" s="11">
        <v>0</v>
      </c>
      <c r="I1911" s="11">
        <f>SUM('PEPE SIERRA '!$B1911:$H1911)</f>
        <v>0</v>
      </c>
      <c r="J1911" s="247">
        <f t="shared" si="942"/>
        <v>0</v>
      </c>
    </row>
    <row r="1912" spans="1:10" s="186" customFormat="1" x14ac:dyDescent="0.25">
      <c r="A1912" s="248" t="s">
        <v>17</v>
      </c>
      <c r="B1912" s="249">
        <f>SUM(B1907:B1911)</f>
        <v>109</v>
      </c>
      <c r="C1912" s="192">
        <f t="shared" ref="C1912:I1912" si="943">SUM(C1907:C1911)</f>
        <v>142</v>
      </c>
      <c r="D1912" s="192">
        <f t="shared" si="943"/>
        <v>190</v>
      </c>
      <c r="E1912" s="192">
        <f t="shared" si="943"/>
        <v>292</v>
      </c>
      <c r="F1912" s="192">
        <f t="shared" si="943"/>
        <v>196</v>
      </c>
      <c r="G1912" s="192">
        <f t="shared" si="943"/>
        <v>266</v>
      </c>
      <c r="H1912" s="192">
        <f t="shared" si="943"/>
        <v>260</v>
      </c>
      <c r="I1912" s="192">
        <f t="shared" si="943"/>
        <v>1455</v>
      </c>
      <c r="J1912" s="250">
        <f t="shared" si="942"/>
        <v>207.85714285714286</v>
      </c>
    </row>
    <row r="1913" spans="1:10" s="186" customFormat="1" x14ac:dyDescent="0.25">
      <c r="A1913" s="246" t="s">
        <v>18</v>
      </c>
      <c r="B1913" s="234">
        <v>0.77</v>
      </c>
      <c r="C1913" s="235">
        <v>0.72</v>
      </c>
      <c r="D1913" s="235">
        <v>0.8</v>
      </c>
      <c r="E1913" s="235">
        <v>0.75</v>
      </c>
      <c r="F1913" s="30">
        <v>0.73</v>
      </c>
      <c r="G1913" s="30">
        <v>0.75</v>
      </c>
      <c r="H1913" s="30">
        <v>0.84</v>
      </c>
      <c r="I1913" s="30">
        <f>I1920/I1925</f>
        <v>0.76940929989329365</v>
      </c>
      <c r="J1913" s="251">
        <f>J1920/J1925</f>
        <v>0.76940929989329365</v>
      </c>
    </row>
    <row r="1914" spans="1:10" s="186" customFormat="1" x14ac:dyDescent="0.25">
      <c r="A1914" s="246" t="s">
        <v>19</v>
      </c>
      <c r="B1914" s="234">
        <v>0</v>
      </c>
      <c r="C1914" s="235">
        <v>0.01</v>
      </c>
      <c r="D1914" s="235">
        <v>0.02</v>
      </c>
      <c r="E1914" s="235">
        <v>0.01</v>
      </c>
      <c r="F1914" s="30">
        <v>0</v>
      </c>
      <c r="G1914" s="30">
        <v>0.01</v>
      </c>
      <c r="H1914" s="30">
        <v>0</v>
      </c>
      <c r="I1914" s="30">
        <f>I1921/I1925</f>
        <v>7.6560148062122784E-3</v>
      </c>
      <c r="J1914" s="251">
        <f>J1921/J1925</f>
        <v>7.6560148062122784E-3</v>
      </c>
    </row>
    <row r="1915" spans="1:10" s="186" customFormat="1" x14ac:dyDescent="0.25">
      <c r="A1915" s="246" t="s">
        <v>20</v>
      </c>
      <c r="B1915" s="234">
        <v>0.23</v>
      </c>
      <c r="C1915" s="235">
        <v>0.24</v>
      </c>
      <c r="D1915" s="235">
        <v>0.18</v>
      </c>
      <c r="E1915" s="235">
        <v>0.24</v>
      </c>
      <c r="F1915" s="30">
        <v>0.27</v>
      </c>
      <c r="G1915" s="30">
        <v>0.24</v>
      </c>
      <c r="H1915" s="30">
        <v>0.16</v>
      </c>
      <c r="I1915" s="30">
        <f>I1922/I1925</f>
        <v>0.22017877013818873</v>
      </c>
      <c r="J1915" s="251">
        <f>J1922/J1925</f>
        <v>0.22017877013818873</v>
      </c>
    </row>
    <row r="1916" spans="1:10" s="186" customFormat="1" x14ac:dyDescent="0.25">
      <c r="A1916" s="246" t="s">
        <v>21</v>
      </c>
      <c r="B1916" s="234">
        <v>0</v>
      </c>
      <c r="C1916" s="235">
        <v>0.03</v>
      </c>
      <c r="D1916" s="235">
        <v>0</v>
      </c>
      <c r="E1916" s="235">
        <v>0</v>
      </c>
      <c r="F1916" s="30">
        <v>0</v>
      </c>
      <c r="G1916" s="30">
        <v>0</v>
      </c>
      <c r="H1916" s="30">
        <v>0</v>
      </c>
      <c r="I1916" s="30">
        <f>I1923/I1925</f>
        <v>2.7559151623055287E-3</v>
      </c>
      <c r="J1916" s="251">
        <f>J1923/J1925</f>
        <v>2.7559151623055287E-3</v>
      </c>
    </row>
    <row r="1917" spans="1:10" s="186" customFormat="1" x14ac:dyDescent="0.25">
      <c r="A1917" s="246" t="s">
        <v>22</v>
      </c>
      <c r="B1917" s="234">
        <v>0</v>
      </c>
      <c r="C1917" s="235">
        <v>0</v>
      </c>
      <c r="D1917" s="235">
        <v>0</v>
      </c>
      <c r="E1917" s="235">
        <v>0</v>
      </c>
      <c r="F1917" s="30">
        <v>0</v>
      </c>
      <c r="G1917" s="30">
        <v>0</v>
      </c>
      <c r="H1917" s="30">
        <v>0</v>
      </c>
      <c r="I1917" s="30">
        <f>I1924/I1925</f>
        <v>0</v>
      </c>
      <c r="J1917" s="251">
        <f>J1924/J1925</f>
        <v>0</v>
      </c>
    </row>
    <row r="1918" spans="1:10" s="186" customFormat="1" x14ac:dyDescent="0.25">
      <c r="A1918" s="252" t="s">
        <v>23</v>
      </c>
      <c r="B1918" s="253">
        <f t="shared" ref="B1918:J1918" si="944">B1929/B1912</f>
        <v>35796.33027522936</v>
      </c>
      <c r="C1918" s="66">
        <f t="shared" si="944"/>
        <v>35361.267605633802</v>
      </c>
      <c r="D1918" s="66">
        <f t="shared" si="944"/>
        <v>41325.789473684214</v>
      </c>
      <c r="E1918" s="66">
        <f t="shared" si="944"/>
        <v>36148.28767123288</v>
      </c>
      <c r="F1918" s="66">
        <f t="shared" si="944"/>
        <v>35730.612244897966</v>
      </c>
      <c r="G1918" s="66">
        <f t="shared" si="944"/>
        <v>39572.556390977443</v>
      </c>
      <c r="H1918" s="66">
        <f t="shared" si="944"/>
        <v>37893.461538461539</v>
      </c>
      <c r="I1918" s="66">
        <f t="shared" si="944"/>
        <v>37602.817869415805</v>
      </c>
      <c r="J1918" s="254">
        <f t="shared" si="944"/>
        <v>37602.817869415805</v>
      </c>
    </row>
    <row r="1919" spans="1:10" s="186" customFormat="1" x14ac:dyDescent="0.25">
      <c r="A1919" s="252" t="s">
        <v>24</v>
      </c>
      <c r="B1919" s="253">
        <f t="shared" ref="B1919:I1919" si="945">+B1929/B1906</f>
        <v>26724.657534246577</v>
      </c>
      <c r="C1919" s="66">
        <f t="shared" si="945"/>
        <v>28858.045977011494</v>
      </c>
      <c r="D1919" s="66">
        <f t="shared" si="945"/>
        <v>30912.992125984256</v>
      </c>
      <c r="E1919" s="66">
        <f t="shared" si="945"/>
        <v>28222.727272727272</v>
      </c>
      <c r="F1919" s="66">
        <f t="shared" si="945"/>
        <v>29674.576271186445</v>
      </c>
      <c r="G1919" s="66">
        <f t="shared" si="945"/>
        <v>30075.142857142859</v>
      </c>
      <c r="H1919" s="66">
        <f t="shared" si="945"/>
        <v>30129.357798165136</v>
      </c>
      <c r="I1919" s="66">
        <f t="shared" si="945"/>
        <v>29399.301450832885</v>
      </c>
      <c r="J1919" s="254">
        <f>J1929/J1906</f>
        <v>29399.301450832889</v>
      </c>
    </row>
    <row r="1920" spans="1:10" s="186" customFormat="1" x14ac:dyDescent="0.25">
      <c r="A1920" s="246" t="s">
        <v>25</v>
      </c>
      <c r="B1920" s="255">
        <f t="shared" ref="B1920:H1920" si="946">B1925*B1913</f>
        <v>2456155.7710344829</v>
      </c>
      <c r="C1920" s="92">
        <f t="shared" si="946"/>
        <v>2956765.6055172416</v>
      </c>
      <c r="D1920" s="92">
        <f t="shared" si="946"/>
        <v>5146666.6482758634</v>
      </c>
      <c r="E1920" s="92">
        <f t="shared" si="946"/>
        <v>6467878.9137931038</v>
      </c>
      <c r="F1920" s="92">
        <f t="shared" si="946"/>
        <v>4178097.6068965518</v>
      </c>
      <c r="G1920" s="92">
        <f t="shared" si="946"/>
        <v>6470854.9137931038</v>
      </c>
      <c r="H1920" s="92">
        <f t="shared" si="946"/>
        <v>6718733.3379310342</v>
      </c>
      <c r="I1920" s="31">
        <f t="shared" ref="I1920:I1925" si="947">SUM(B1920:H1920)</f>
        <v>34395152.79724139</v>
      </c>
      <c r="J1920" s="256">
        <f t="shared" ref="J1920:J1929" si="948">I1920/7</f>
        <v>4913593.2567487704</v>
      </c>
    </row>
    <row r="1921" spans="1:10" s="186" customFormat="1" x14ac:dyDescent="0.25">
      <c r="A1921" s="246" t="s">
        <v>26</v>
      </c>
      <c r="B1921" s="255">
        <f t="shared" ref="B1921:H1921" si="949">B1925*B1914</f>
        <v>0</v>
      </c>
      <c r="C1921" s="92">
        <f t="shared" si="949"/>
        <v>41066.188965517249</v>
      </c>
      <c r="D1921" s="92">
        <f t="shared" si="949"/>
        <v>128666.66620689657</v>
      </c>
      <c r="E1921" s="92">
        <f t="shared" si="949"/>
        <v>86238.385517241375</v>
      </c>
      <c r="F1921" s="92">
        <f t="shared" si="949"/>
        <v>0</v>
      </c>
      <c r="G1921" s="92">
        <f t="shared" si="949"/>
        <v>86278.065517241383</v>
      </c>
      <c r="H1921" s="92">
        <f t="shared" si="949"/>
        <v>0</v>
      </c>
      <c r="I1921" s="31">
        <f t="shared" si="947"/>
        <v>342249.30620689655</v>
      </c>
      <c r="J1921" s="256">
        <f t="shared" si="948"/>
        <v>48892.758029556651</v>
      </c>
    </row>
    <row r="1922" spans="1:10" s="186" customFormat="1" x14ac:dyDescent="0.25">
      <c r="A1922" s="246" t="s">
        <v>27</v>
      </c>
      <c r="B1922" s="255">
        <f t="shared" ref="B1922:H1922" si="950">B1925*B1915</f>
        <v>733656.91862068977</v>
      </c>
      <c r="C1922" s="92">
        <f t="shared" si="950"/>
        <v>985588.5351724138</v>
      </c>
      <c r="D1922" s="92">
        <f t="shared" si="950"/>
        <v>1157999.9958620691</v>
      </c>
      <c r="E1922" s="92">
        <f t="shared" si="950"/>
        <v>2069721.252413793</v>
      </c>
      <c r="F1922" s="92">
        <f t="shared" si="950"/>
        <v>1545323.7724137933</v>
      </c>
      <c r="G1922" s="92">
        <f t="shared" si="950"/>
        <v>2070673.5724137931</v>
      </c>
      <c r="H1922" s="92">
        <f t="shared" si="950"/>
        <v>1279758.7310344828</v>
      </c>
      <c r="I1922" s="31">
        <f t="shared" si="947"/>
        <v>9842722.7779310346</v>
      </c>
      <c r="J1922" s="256">
        <f t="shared" si="948"/>
        <v>1406103.2539901477</v>
      </c>
    </row>
    <row r="1923" spans="1:10" s="186" customFormat="1" x14ac:dyDescent="0.25">
      <c r="A1923" s="246" t="s">
        <v>28</v>
      </c>
      <c r="B1923" s="255">
        <f t="shared" ref="B1923:H1923" si="951">B1925*B1916</f>
        <v>0</v>
      </c>
      <c r="C1923" s="92">
        <f t="shared" si="951"/>
        <v>123198.56689655173</v>
      </c>
      <c r="D1923" s="92">
        <f t="shared" si="951"/>
        <v>0</v>
      </c>
      <c r="E1923" s="92">
        <f t="shared" si="951"/>
        <v>0</v>
      </c>
      <c r="F1923" s="92">
        <f t="shared" si="951"/>
        <v>0</v>
      </c>
      <c r="G1923" s="92">
        <f t="shared" si="951"/>
        <v>0</v>
      </c>
      <c r="H1923" s="92">
        <f t="shared" si="951"/>
        <v>0</v>
      </c>
      <c r="I1923" s="31">
        <f t="shared" si="947"/>
        <v>123198.56689655173</v>
      </c>
      <c r="J1923" s="256">
        <f t="shared" si="948"/>
        <v>17599.79527093596</v>
      </c>
    </row>
    <row r="1924" spans="1:10" s="186" customFormat="1" x14ac:dyDescent="0.25">
      <c r="A1924" s="246" t="s">
        <v>29</v>
      </c>
      <c r="B1924" s="255">
        <f t="shared" ref="B1924:H1924" si="952">B1925*B1917</f>
        <v>0</v>
      </c>
      <c r="C1924" s="731">
        <f t="shared" si="952"/>
        <v>0</v>
      </c>
      <c r="D1924" s="731">
        <f t="shared" si="952"/>
        <v>0</v>
      </c>
      <c r="E1924" s="731">
        <f t="shared" si="952"/>
        <v>0</v>
      </c>
      <c r="F1924" s="731">
        <f t="shared" si="952"/>
        <v>0</v>
      </c>
      <c r="G1924" s="731">
        <f t="shared" si="952"/>
        <v>0</v>
      </c>
      <c r="H1924" s="731">
        <f t="shared" si="952"/>
        <v>0</v>
      </c>
      <c r="I1924" s="31">
        <f t="shared" si="947"/>
        <v>0</v>
      </c>
      <c r="J1924" s="256">
        <f t="shared" si="948"/>
        <v>0</v>
      </c>
    </row>
    <row r="1925" spans="1:10" s="186" customFormat="1" x14ac:dyDescent="0.25">
      <c r="A1925" s="257" t="s">
        <v>30</v>
      </c>
      <c r="B1925" s="258">
        <f>(3901800/1.16)-B1926</f>
        <v>3189812.6896551726</v>
      </c>
      <c r="C1925" s="733">
        <f>(5021300/1.16)-C1926</f>
        <v>4106618.8965517245</v>
      </c>
      <c r="D1925" s="733">
        <f>(7851900/1.16)-D1926</f>
        <v>6433333.3103448283</v>
      </c>
      <c r="E1925" s="733">
        <f>(10555300/1.16)-E1926</f>
        <v>8623838.5517241377</v>
      </c>
      <c r="F1925" s="733">
        <f>(7003200/1.16)-F1926</f>
        <v>5723421.3793103453</v>
      </c>
      <c r="G1925" s="733">
        <f>(10526300/1.16)-G1926</f>
        <v>8627806.5517241377</v>
      </c>
      <c r="H1925" s="733">
        <f>(9852300/1.16)-H1926</f>
        <v>7998492.068965517</v>
      </c>
      <c r="I1925" s="730">
        <f t="shared" si="947"/>
        <v>44703323.448275864</v>
      </c>
      <c r="J1925" s="259">
        <f t="shared" si="948"/>
        <v>6386189.0640394092</v>
      </c>
    </row>
    <row r="1926" spans="1:10" s="186" customFormat="1" x14ac:dyDescent="0.25">
      <c r="A1926" s="246" t="s">
        <v>31</v>
      </c>
      <c r="B1926" s="255">
        <f t="shared" ref="B1926:I1926" si="953">2414*B1907</f>
        <v>173808</v>
      </c>
      <c r="C1926" s="732">
        <f t="shared" si="953"/>
        <v>222088</v>
      </c>
      <c r="D1926" s="732">
        <f t="shared" si="953"/>
        <v>335546</v>
      </c>
      <c r="E1926" s="732">
        <f t="shared" si="953"/>
        <v>475558</v>
      </c>
      <c r="F1926" s="732">
        <f t="shared" si="953"/>
        <v>313820</v>
      </c>
      <c r="G1926" s="732">
        <f t="shared" si="953"/>
        <v>446590</v>
      </c>
      <c r="H1926" s="732">
        <f t="shared" si="953"/>
        <v>494870</v>
      </c>
      <c r="I1926" s="31">
        <f t="shared" si="953"/>
        <v>2462280</v>
      </c>
      <c r="J1926" s="256">
        <f t="shared" si="948"/>
        <v>351754.28571428574</v>
      </c>
    </row>
    <row r="1927" spans="1:10" s="186" customFormat="1" x14ac:dyDescent="0.25">
      <c r="A1927" s="260" t="s">
        <v>32</v>
      </c>
      <c r="B1927" s="261">
        <f>B1926+B1925</f>
        <v>3363620.6896551726</v>
      </c>
      <c r="C1927" s="199">
        <f>C1926+C1925</f>
        <v>4328706.8965517245</v>
      </c>
      <c r="D1927" s="199">
        <f>D1926+D1925</f>
        <v>6768879.3103448283</v>
      </c>
      <c r="E1927" s="199">
        <f>E1926+E1925</f>
        <v>9099396.5517241377</v>
      </c>
      <c r="F1927" s="199">
        <f>F1925+F1926</f>
        <v>6037241.3793103453</v>
      </c>
      <c r="G1927" s="199">
        <f>G1926+G1925</f>
        <v>9074396.5517241377</v>
      </c>
      <c r="H1927" s="199">
        <f>H1926+H1925</f>
        <v>8493362.068965517</v>
      </c>
      <c r="I1927" s="199">
        <f>I1925+I1926</f>
        <v>47165603.448275864</v>
      </c>
      <c r="J1927" s="262">
        <f t="shared" si="948"/>
        <v>6737943.3497536946</v>
      </c>
    </row>
    <row r="1928" spans="1:10" s="186" customFormat="1" x14ac:dyDescent="0.25">
      <c r="A1928" s="246" t="s">
        <v>33</v>
      </c>
      <c r="B1928" s="263">
        <f>B1927*16%</f>
        <v>538179.31034482759</v>
      </c>
      <c r="C1928" s="94">
        <f t="shared" ref="C1928:H1928" si="954">C1927*16%</f>
        <v>692593.10344827594</v>
      </c>
      <c r="D1928" s="94">
        <f t="shared" si="954"/>
        <v>1083020.6896551726</v>
      </c>
      <c r="E1928" s="94">
        <f t="shared" si="954"/>
        <v>1455903.448275862</v>
      </c>
      <c r="F1928" s="94">
        <f t="shared" si="954"/>
        <v>965958.6206896553</v>
      </c>
      <c r="G1928" s="94">
        <f t="shared" si="954"/>
        <v>1451903.448275862</v>
      </c>
      <c r="H1928" s="94">
        <f t="shared" si="954"/>
        <v>1358937.9310344828</v>
      </c>
      <c r="I1928" s="94">
        <f>I1927*16%</f>
        <v>7546496.5517241387</v>
      </c>
      <c r="J1928" s="256">
        <f t="shared" si="948"/>
        <v>1078070.9359605913</v>
      </c>
    </row>
    <row r="1929" spans="1:10" s="186" customFormat="1" ht="15.75" thickBot="1" x14ac:dyDescent="0.3">
      <c r="A1929" s="264" t="s">
        <v>34</v>
      </c>
      <c r="B1929" s="265">
        <f>B1927+B1928</f>
        <v>3901800</v>
      </c>
      <c r="C1929" s="266">
        <f t="shared" ref="C1929:H1929" si="955">C1927+C1928</f>
        <v>5021300</v>
      </c>
      <c r="D1929" s="266">
        <f t="shared" si="955"/>
        <v>7851900.0000000009</v>
      </c>
      <c r="E1929" s="266">
        <f t="shared" si="955"/>
        <v>10555300</v>
      </c>
      <c r="F1929" s="266">
        <f t="shared" si="955"/>
        <v>7003200.0000000009</v>
      </c>
      <c r="G1929" s="266">
        <f t="shared" si="955"/>
        <v>10526300</v>
      </c>
      <c r="H1929" s="266">
        <f t="shared" si="955"/>
        <v>9852300</v>
      </c>
      <c r="I1929" s="266">
        <f>I1927+I1928</f>
        <v>54712100</v>
      </c>
      <c r="J1929" s="267">
        <f t="shared" si="948"/>
        <v>7816014.2857142854</v>
      </c>
    </row>
    <row r="1930" spans="1:10" s="186" customFormat="1" ht="15.75" thickBot="1" x14ac:dyDescent="0.3">
      <c r="A1930" s="204"/>
      <c r="B1930" s="112"/>
      <c r="C1930" s="112"/>
      <c r="D1930" s="112"/>
      <c r="E1930" s="112"/>
      <c r="F1930" s="112"/>
      <c r="G1930" s="112"/>
      <c r="H1930" s="112"/>
      <c r="I1930" s="112"/>
      <c r="J1930" s="205"/>
    </row>
    <row r="1931" spans="1:10" s="186" customFormat="1" ht="27" thickBot="1" x14ac:dyDescent="0.3">
      <c r="A1931"/>
      <c r="B1931" s="1002" t="s">
        <v>648</v>
      </c>
      <c r="C1931" s="1002"/>
      <c r="D1931" s="1002"/>
      <c r="E1931" s="1002"/>
      <c r="F1931" s="1002"/>
      <c r="G1931" s="1002"/>
      <c r="H1931" s="1002"/>
      <c r="I1931"/>
      <c r="J1931"/>
    </row>
    <row r="1932" spans="1:10" s="186" customFormat="1" ht="16.5" thickBot="1" x14ac:dyDescent="0.3">
      <c r="A1932" s="238" t="s">
        <v>2</v>
      </c>
      <c r="B1932" s="239" t="s">
        <v>337</v>
      </c>
      <c r="C1932" s="239" t="s">
        <v>338</v>
      </c>
      <c r="D1932" s="239" t="s">
        <v>339</v>
      </c>
      <c r="E1932" s="239" t="s">
        <v>340</v>
      </c>
      <c r="F1932" s="239" t="s">
        <v>341</v>
      </c>
      <c r="G1932" s="239" t="s">
        <v>342</v>
      </c>
      <c r="H1932" s="239" t="s">
        <v>343</v>
      </c>
      <c r="I1932" s="240" t="s">
        <v>96</v>
      </c>
      <c r="J1932" s="241" t="s">
        <v>97</v>
      </c>
    </row>
    <row r="1933" spans="1:10" s="186" customFormat="1" x14ac:dyDescent="0.25">
      <c r="A1933" s="242" t="s">
        <v>11</v>
      </c>
      <c r="B1933" s="243">
        <f>68+42+13</f>
        <v>123</v>
      </c>
      <c r="C1933" s="244">
        <f>90+48+16</f>
        <v>154</v>
      </c>
      <c r="D1933" s="244">
        <f>100+67+23</f>
        <v>190</v>
      </c>
      <c r="E1933" s="244">
        <f>101+62+18</f>
        <v>181</v>
      </c>
      <c r="F1933" s="244">
        <f>165+92+48</f>
        <v>305</v>
      </c>
      <c r="G1933" s="244">
        <f>172+98+25</f>
        <v>295</v>
      </c>
      <c r="H1933" s="268">
        <f>182+99+31</f>
        <v>312</v>
      </c>
      <c r="I1933" s="244">
        <f>SUM(B1933:H1933)</f>
        <v>1560</v>
      </c>
      <c r="J1933" s="245">
        <f>+I1933/7</f>
        <v>222.85714285714286</v>
      </c>
    </row>
    <row r="1934" spans="1:10" s="186" customFormat="1" x14ac:dyDescent="0.25">
      <c r="A1934" s="246" t="s">
        <v>12</v>
      </c>
      <c r="B1934" s="233">
        <v>71</v>
      </c>
      <c r="C1934" s="13">
        <v>88</v>
      </c>
      <c r="D1934" s="13">
        <v>114</v>
      </c>
      <c r="E1934" s="13">
        <v>93</v>
      </c>
      <c r="F1934" s="86">
        <v>151</v>
      </c>
      <c r="G1934" s="11">
        <v>163</v>
      </c>
      <c r="H1934" s="86">
        <v>182</v>
      </c>
      <c r="I1934" s="11">
        <f>SUM('PEPE SIERRA '!$B1934:$H1934)</f>
        <v>862</v>
      </c>
      <c r="J1934" s="247">
        <f t="shared" ref="J1934:J1939" si="956">I1934/7</f>
        <v>123.14285714285714</v>
      </c>
    </row>
    <row r="1935" spans="1:10" s="186" customFormat="1" x14ac:dyDescent="0.25">
      <c r="A1935" s="246" t="s">
        <v>13</v>
      </c>
      <c r="B1935" s="233">
        <v>1</v>
      </c>
      <c r="C1935" s="13">
        <v>3</v>
      </c>
      <c r="D1935" s="13">
        <v>1</v>
      </c>
      <c r="E1935" s="13">
        <v>0</v>
      </c>
      <c r="F1935" s="11">
        <v>2</v>
      </c>
      <c r="G1935" s="11">
        <v>2</v>
      </c>
      <c r="H1935" s="11">
        <v>2</v>
      </c>
      <c r="I1935" s="11">
        <f>SUM('PEPE SIERRA '!$B1935:$H1935)</f>
        <v>11</v>
      </c>
      <c r="J1935" s="247">
        <f t="shared" si="956"/>
        <v>1.5714285714285714</v>
      </c>
    </row>
    <row r="1936" spans="1:10" s="186" customFormat="1" x14ac:dyDescent="0.25">
      <c r="A1936" s="246" t="s">
        <v>14</v>
      </c>
      <c r="B1936" s="233">
        <v>25</v>
      </c>
      <c r="C1936" s="13">
        <v>32</v>
      </c>
      <c r="D1936" s="13">
        <v>29</v>
      </c>
      <c r="E1936" s="13">
        <v>46</v>
      </c>
      <c r="F1936" s="11">
        <v>62</v>
      </c>
      <c r="G1936" s="11">
        <v>71</v>
      </c>
      <c r="H1936" s="86">
        <v>39</v>
      </c>
      <c r="I1936" s="11">
        <f>SUM('PEPE SIERRA '!$B1936:$H1936)</f>
        <v>304</v>
      </c>
      <c r="J1936" s="247">
        <f t="shared" si="956"/>
        <v>43.428571428571431</v>
      </c>
    </row>
    <row r="1937" spans="1:10" s="186" customFormat="1" x14ac:dyDescent="0.25">
      <c r="A1937" s="246" t="s">
        <v>15</v>
      </c>
      <c r="B1937" s="233">
        <v>1</v>
      </c>
      <c r="C1937" s="13">
        <v>0</v>
      </c>
      <c r="D1937" s="13">
        <v>0</v>
      </c>
      <c r="E1937" s="13">
        <v>0</v>
      </c>
      <c r="F1937" s="11">
        <v>0</v>
      </c>
      <c r="G1937" s="11">
        <v>0</v>
      </c>
      <c r="H1937" s="11">
        <v>1</v>
      </c>
      <c r="I1937" s="11">
        <f>SUM('PEPE SIERRA '!$B1937:$H1937)</f>
        <v>2</v>
      </c>
      <c r="J1937" s="247">
        <f t="shared" si="956"/>
        <v>0.2857142857142857</v>
      </c>
    </row>
    <row r="1938" spans="1:10" s="186" customFormat="1" x14ac:dyDescent="0.25">
      <c r="A1938" s="246" t="s">
        <v>16</v>
      </c>
      <c r="B1938" s="233">
        <v>0</v>
      </c>
      <c r="C1938" s="13">
        <v>0</v>
      </c>
      <c r="D1938" s="13">
        <v>0</v>
      </c>
      <c r="E1938" s="13">
        <v>0</v>
      </c>
      <c r="F1938" s="11">
        <v>0</v>
      </c>
      <c r="G1938" s="11">
        <v>0</v>
      </c>
      <c r="H1938" s="11">
        <v>0</v>
      </c>
      <c r="I1938" s="11">
        <f>SUM('PEPE SIERRA '!$B1938:$H1938)</f>
        <v>0</v>
      </c>
      <c r="J1938" s="247">
        <f t="shared" si="956"/>
        <v>0</v>
      </c>
    </row>
    <row r="1939" spans="1:10" s="186" customFormat="1" x14ac:dyDescent="0.25">
      <c r="A1939" s="248" t="s">
        <v>17</v>
      </c>
      <c r="B1939" s="249">
        <f>SUM(B1934:B1938)</f>
        <v>98</v>
      </c>
      <c r="C1939" s="192">
        <f t="shared" ref="C1939:I1939" si="957">SUM(C1934:C1938)</f>
        <v>123</v>
      </c>
      <c r="D1939" s="192">
        <f t="shared" si="957"/>
        <v>144</v>
      </c>
      <c r="E1939" s="192">
        <f t="shared" si="957"/>
        <v>139</v>
      </c>
      <c r="F1939" s="192">
        <f t="shared" si="957"/>
        <v>215</v>
      </c>
      <c r="G1939" s="192">
        <f t="shared" si="957"/>
        <v>236</v>
      </c>
      <c r="H1939" s="192">
        <f t="shared" si="957"/>
        <v>224</v>
      </c>
      <c r="I1939" s="192">
        <f t="shared" si="957"/>
        <v>1179</v>
      </c>
      <c r="J1939" s="250">
        <f t="shared" si="956"/>
        <v>168.42857142857142</v>
      </c>
    </row>
    <row r="1940" spans="1:10" s="186" customFormat="1" x14ac:dyDescent="0.25">
      <c r="A1940" s="246" t="s">
        <v>18</v>
      </c>
      <c r="B1940" s="234">
        <v>0.77</v>
      </c>
      <c r="C1940" s="235">
        <v>0.77</v>
      </c>
      <c r="D1940" s="235">
        <v>0.86</v>
      </c>
      <c r="E1940" s="235">
        <v>0.74</v>
      </c>
      <c r="F1940" s="30">
        <v>0.76</v>
      </c>
      <c r="G1940" s="30">
        <v>0.76</v>
      </c>
      <c r="H1940" s="30">
        <v>0.81</v>
      </c>
      <c r="I1940" s="30">
        <f>I1947/I1952</f>
        <v>0.78159686703830489</v>
      </c>
      <c r="J1940" s="251">
        <f>J1947/J1952</f>
        <v>0.78159686703830489</v>
      </c>
    </row>
    <row r="1941" spans="1:10" s="186" customFormat="1" x14ac:dyDescent="0.25">
      <c r="A1941" s="246" t="s">
        <v>19</v>
      </c>
      <c r="B1941" s="234">
        <v>0.01</v>
      </c>
      <c r="C1941" s="235">
        <v>0.02</v>
      </c>
      <c r="D1941" s="235">
        <v>0.01</v>
      </c>
      <c r="E1941" s="235">
        <v>0</v>
      </c>
      <c r="F1941" s="30">
        <v>0.01</v>
      </c>
      <c r="G1941" s="30">
        <v>0.01</v>
      </c>
      <c r="H1941" s="30">
        <v>0</v>
      </c>
      <c r="I1941" s="30">
        <f>I1948/I1952</f>
        <v>7.7393774236281547E-3</v>
      </c>
      <c r="J1941" s="251">
        <f>J1948/J1952</f>
        <v>7.7393774236281555E-3</v>
      </c>
    </row>
    <row r="1942" spans="1:10" s="186" customFormat="1" x14ac:dyDescent="0.25">
      <c r="A1942" s="246" t="s">
        <v>20</v>
      </c>
      <c r="B1942" s="234">
        <v>0.21</v>
      </c>
      <c r="C1942" s="235">
        <v>0.21</v>
      </c>
      <c r="D1942" s="235">
        <v>0.13</v>
      </c>
      <c r="E1942" s="235">
        <v>0.26</v>
      </c>
      <c r="F1942" s="30">
        <v>0.23</v>
      </c>
      <c r="G1942" s="30">
        <v>0.23</v>
      </c>
      <c r="H1942" s="30">
        <v>0.18</v>
      </c>
      <c r="I1942" s="30">
        <f>I1949/I1952</f>
        <v>0.20789939389740536</v>
      </c>
      <c r="J1942" s="251">
        <f>J1949/J1952</f>
        <v>0.20789939389740536</v>
      </c>
    </row>
    <row r="1943" spans="1:10" s="186" customFormat="1" x14ac:dyDescent="0.25">
      <c r="A1943" s="246" t="s">
        <v>21</v>
      </c>
      <c r="B1943" s="234">
        <v>0.01</v>
      </c>
      <c r="C1943" s="235">
        <v>0</v>
      </c>
      <c r="D1943" s="235">
        <v>0</v>
      </c>
      <c r="E1943" s="235">
        <v>0</v>
      </c>
      <c r="F1943" s="30">
        <v>0</v>
      </c>
      <c r="G1943" s="30">
        <v>0</v>
      </c>
      <c r="H1943" s="30">
        <v>0.01</v>
      </c>
      <c r="I1943" s="30">
        <f>I1950/I1952</f>
        <v>2.7643616406616816E-3</v>
      </c>
      <c r="J1943" s="251">
        <f>J1950/J1952</f>
        <v>2.7643616406616816E-3</v>
      </c>
    </row>
    <row r="1944" spans="1:10" s="186" customFormat="1" x14ac:dyDescent="0.25">
      <c r="A1944" s="246" t="s">
        <v>22</v>
      </c>
      <c r="B1944" s="234">
        <v>0</v>
      </c>
      <c r="C1944" s="235">
        <v>0</v>
      </c>
      <c r="D1944" s="235">
        <v>0</v>
      </c>
      <c r="E1944" s="235">
        <v>0</v>
      </c>
      <c r="F1944" s="30">
        <v>0</v>
      </c>
      <c r="G1944" s="30">
        <v>0</v>
      </c>
      <c r="H1944" s="30">
        <v>0</v>
      </c>
      <c r="I1944" s="30">
        <f>I1951/I1952</f>
        <v>0</v>
      </c>
      <c r="J1944" s="251">
        <f>J1951/J1952</f>
        <v>0</v>
      </c>
    </row>
    <row r="1945" spans="1:10" s="186" customFormat="1" x14ac:dyDescent="0.25">
      <c r="A1945" s="252" t="s">
        <v>23</v>
      </c>
      <c r="B1945" s="253">
        <f t="shared" ref="B1945:J1945" si="958">B1956/B1939</f>
        <v>37086.734693877559</v>
      </c>
      <c r="C1945" s="66">
        <f t="shared" si="958"/>
        <v>35529.268292682929</v>
      </c>
      <c r="D1945" s="66">
        <f t="shared" si="958"/>
        <v>40059.027777777781</v>
      </c>
      <c r="E1945" s="66">
        <f t="shared" si="958"/>
        <v>40323.74100719425</v>
      </c>
      <c r="F1945" s="66">
        <f t="shared" si="958"/>
        <v>40782.79069767442</v>
      </c>
      <c r="G1945" s="66">
        <f t="shared" si="958"/>
        <v>38162.288135593219</v>
      </c>
      <c r="H1945" s="66">
        <f t="shared" si="958"/>
        <v>41196.428571428572</v>
      </c>
      <c r="I1945" s="66">
        <f t="shared" si="958"/>
        <v>39339.016115351995</v>
      </c>
      <c r="J1945" s="254">
        <f t="shared" si="958"/>
        <v>39339.016115351995</v>
      </c>
    </row>
    <row r="1946" spans="1:10" s="186" customFormat="1" x14ac:dyDescent="0.25">
      <c r="A1946" s="252" t="s">
        <v>24</v>
      </c>
      <c r="B1946" s="253">
        <f t="shared" ref="B1946:I1946" si="959">+B1956/B1933</f>
        <v>29548.780487804881</v>
      </c>
      <c r="C1946" s="66">
        <f t="shared" si="959"/>
        <v>28377.272727272728</v>
      </c>
      <c r="D1946" s="66">
        <f t="shared" si="959"/>
        <v>30360.526315789477</v>
      </c>
      <c r="E1946" s="66">
        <f t="shared" si="959"/>
        <v>30966.850828729286</v>
      </c>
      <c r="F1946" s="66">
        <f t="shared" si="959"/>
        <v>28748.524590163935</v>
      </c>
      <c r="G1946" s="66">
        <f t="shared" si="959"/>
        <v>30529.830508474577</v>
      </c>
      <c r="H1946" s="66">
        <f t="shared" si="959"/>
        <v>29576.923076923078</v>
      </c>
      <c r="I1946" s="66">
        <f t="shared" si="959"/>
        <v>29731.217948717949</v>
      </c>
      <c r="J1946" s="254">
        <f>J1956/J1933</f>
        <v>29731.217948717946</v>
      </c>
    </row>
    <row r="1947" spans="1:10" s="186" customFormat="1" x14ac:dyDescent="0.25">
      <c r="A1947" s="246" t="s">
        <v>25</v>
      </c>
      <c r="B1947" s="255">
        <f t="shared" ref="B1947:H1947" si="960">B1952*B1940</f>
        <v>2280582.6544827591</v>
      </c>
      <c r="C1947" s="92">
        <f t="shared" si="960"/>
        <v>2737269.6013793107</v>
      </c>
      <c r="D1947" s="92">
        <f t="shared" si="960"/>
        <v>4039977.9917241386</v>
      </c>
      <c r="E1947" s="92">
        <f t="shared" si="960"/>
        <v>3409471.9682758627</v>
      </c>
      <c r="F1947" s="92">
        <f t="shared" si="960"/>
        <v>5467717.6358620692</v>
      </c>
      <c r="G1947" s="92">
        <f t="shared" si="960"/>
        <v>5601632.990344828</v>
      </c>
      <c r="H1947" s="92">
        <f t="shared" si="960"/>
        <v>6087817.7751724143</v>
      </c>
      <c r="I1947" s="31">
        <f t="shared" ref="I1947:I1952" si="961">SUM(B1947:H1947)</f>
        <v>29624470.617241383</v>
      </c>
      <c r="J1947" s="256">
        <f t="shared" ref="J1947:J1956" si="962">I1947/7</f>
        <v>4232067.2310344828</v>
      </c>
    </row>
    <row r="1948" spans="1:10" s="186" customFormat="1" x14ac:dyDescent="0.25">
      <c r="A1948" s="246" t="s">
        <v>26</v>
      </c>
      <c r="B1948" s="255">
        <f t="shared" ref="B1948:H1948" si="963">B1952*B1941</f>
        <v>29617.956551724143</v>
      </c>
      <c r="C1948" s="92">
        <f t="shared" si="963"/>
        <v>71097.911724137943</v>
      </c>
      <c r="D1948" s="92">
        <f t="shared" si="963"/>
        <v>46976.488275862073</v>
      </c>
      <c r="E1948" s="92">
        <f t="shared" si="963"/>
        <v>0</v>
      </c>
      <c r="F1948" s="92">
        <f t="shared" si="963"/>
        <v>71943.65310344829</v>
      </c>
      <c r="G1948" s="92">
        <f t="shared" si="963"/>
        <v>73705.697241379312</v>
      </c>
      <c r="H1948" s="92">
        <f t="shared" si="963"/>
        <v>0</v>
      </c>
      <c r="I1948" s="31">
        <f t="shared" si="961"/>
        <v>293341.70689655177</v>
      </c>
      <c r="J1948" s="256">
        <f t="shared" si="962"/>
        <v>41905.958128078826</v>
      </c>
    </row>
    <row r="1949" spans="1:10" s="186" customFormat="1" x14ac:dyDescent="0.25">
      <c r="A1949" s="246" t="s">
        <v>27</v>
      </c>
      <c r="B1949" s="255">
        <f t="shared" ref="B1949:H1949" si="964">B1952*B1942</f>
        <v>621977.08758620697</v>
      </c>
      <c r="C1949" s="92">
        <f t="shared" si="964"/>
        <v>746528.07310344826</v>
      </c>
      <c r="D1949" s="92">
        <f t="shared" si="964"/>
        <v>610694.34758620698</v>
      </c>
      <c r="E1949" s="92">
        <f t="shared" si="964"/>
        <v>1197922.5834482762</v>
      </c>
      <c r="F1949" s="92">
        <f t="shared" si="964"/>
        <v>1654704.0213793106</v>
      </c>
      <c r="G1949" s="92">
        <f t="shared" si="964"/>
        <v>1695231.0365517242</v>
      </c>
      <c r="H1949" s="92">
        <f t="shared" si="964"/>
        <v>1352848.3944827586</v>
      </c>
      <c r="I1949" s="31">
        <f t="shared" si="961"/>
        <v>7879905.5441379324</v>
      </c>
      <c r="J1949" s="256">
        <f t="shared" si="962"/>
        <v>1125700.7920197046</v>
      </c>
    </row>
    <row r="1950" spans="1:10" s="186" customFormat="1" x14ac:dyDescent="0.25">
      <c r="A1950" s="246" t="s">
        <v>28</v>
      </c>
      <c r="B1950" s="255">
        <f t="shared" ref="B1950:H1950" si="965">B1952*B1943</f>
        <v>29617.956551724143</v>
      </c>
      <c r="C1950" s="92">
        <f t="shared" si="965"/>
        <v>0</v>
      </c>
      <c r="D1950" s="92">
        <f t="shared" si="965"/>
        <v>0</v>
      </c>
      <c r="E1950" s="92">
        <f t="shared" si="965"/>
        <v>0</v>
      </c>
      <c r="F1950" s="92">
        <f t="shared" si="965"/>
        <v>0</v>
      </c>
      <c r="G1950" s="92">
        <f t="shared" si="965"/>
        <v>0</v>
      </c>
      <c r="H1950" s="92">
        <f t="shared" si="965"/>
        <v>75158.244137931033</v>
      </c>
      <c r="I1950" s="31">
        <f t="shared" si="961"/>
        <v>104776.20068965518</v>
      </c>
      <c r="J1950" s="256">
        <f t="shared" si="962"/>
        <v>14968.02866995074</v>
      </c>
    </row>
    <row r="1951" spans="1:10" s="186" customFormat="1" x14ac:dyDescent="0.25">
      <c r="A1951" s="246" t="s">
        <v>29</v>
      </c>
      <c r="B1951" s="255">
        <f t="shared" ref="B1951:H1951" si="966">B1952*B1944</f>
        <v>0</v>
      </c>
      <c r="C1951" s="731">
        <f t="shared" si="966"/>
        <v>0</v>
      </c>
      <c r="D1951" s="731">
        <f t="shared" si="966"/>
        <v>0</v>
      </c>
      <c r="E1951" s="731">
        <f t="shared" si="966"/>
        <v>0</v>
      </c>
      <c r="F1951" s="731">
        <f t="shared" si="966"/>
        <v>0</v>
      </c>
      <c r="G1951" s="731">
        <f t="shared" si="966"/>
        <v>0</v>
      </c>
      <c r="H1951" s="731">
        <f t="shared" si="966"/>
        <v>0</v>
      </c>
      <c r="I1951" s="31">
        <f t="shared" si="961"/>
        <v>0</v>
      </c>
      <c r="J1951" s="256">
        <f t="shared" si="962"/>
        <v>0</v>
      </c>
    </row>
    <row r="1952" spans="1:10" s="186" customFormat="1" x14ac:dyDescent="0.25">
      <c r="A1952" s="257" t="s">
        <v>30</v>
      </c>
      <c r="B1952" s="258">
        <f>(3634500/1.16)-B1953</f>
        <v>2961795.6551724141</v>
      </c>
      <c r="C1952" s="733">
        <f>(4370100/1.16)-C1953</f>
        <v>3554895.5862068967</v>
      </c>
      <c r="D1952" s="733">
        <f>(5768500/1.16)-D1953</f>
        <v>4697648.8275862075</v>
      </c>
      <c r="E1952" s="733">
        <f>(5605000/1.16)-E1953</f>
        <v>4607394.5517241387</v>
      </c>
      <c r="F1952" s="733">
        <f>(8768300/1.16)-F1953</f>
        <v>7194365.3103448283</v>
      </c>
      <c r="G1952" s="733">
        <f>(9006300/1.16)-G1953</f>
        <v>7370569.7241379311</v>
      </c>
      <c r="H1952" s="733">
        <f>(9228000/1.16)-H1953</f>
        <v>7515824.4137931038</v>
      </c>
      <c r="I1952" s="730">
        <f t="shared" si="961"/>
        <v>37902494.068965517</v>
      </c>
      <c r="J1952" s="259">
        <f t="shared" si="962"/>
        <v>5414642.0098522166</v>
      </c>
    </row>
    <row r="1953" spans="1:10" s="186" customFormat="1" x14ac:dyDescent="0.25">
      <c r="A1953" s="246" t="s">
        <v>31</v>
      </c>
      <c r="B1953" s="255">
        <f t="shared" ref="B1953:I1953" si="967">2414*B1934</f>
        <v>171394</v>
      </c>
      <c r="C1953" s="732">
        <f t="shared" si="967"/>
        <v>212432</v>
      </c>
      <c r="D1953" s="732">
        <f t="shared" si="967"/>
        <v>275196</v>
      </c>
      <c r="E1953" s="732">
        <f t="shared" si="967"/>
        <v>224502</v>
      </c>
      <c r="F1953" s="732">
        <f t="shared" si="967"/>
        <v>364514</v>
      </c>
      <c r="G1953" s="732">
        <f t="shared" si="967"/>
        <v>393482</v>
      </c>
      <c r="H1953" s="732">
        <f t="shared" si="967"/>
        <v>439348</v>
      </c>
      <c r="I1953" s="31">
        <f t="shared" si="967"/>
        <v>2080868</v>
      </c>
      <c r="J1953" s="256">
        <f t="shared" si="962"/>
        <v>297266.85714285716</v>
      </c>
    </row>
    <row r="1954" spans="1:10" s="186" customFormat="1" x14ac:dyDescent="0.25">
      <c r="A1954" s="260" t="s">
        <v>32</v>
      </c>
      <c r="B1954" s="261">
        <f>B1953+B1952</f>
        <v>3133189.6551724141</v>
      </c>
      <c r="C1954" s="199">
        <f>C1953+C1952</f>
        <v>3767327.5862068967</v>
      </c>
      <c r="D1954" s="199">
        <f>D1953+D1952</f>
        <v>4972844.8275862075</v>
      </c>
      <c r="E1954" s="199">
        <f>E1953+E1952</f>
        <v>4831896.5517241387</v>
      </c>
      <c r="F1954" s="199">
        <f>F1952+F1953</f>
        <v>7558879.3103448283</v>
      </c>
      <c r="G1954" s="199">
        <f>G1953+G1952</f>
        <v>7764051.7241379311</v>
      </c>
      <c r="H1954" s="199">
        <f>H1953+H1952</f>
        <v>7955172.4137931038</v>
      </c>
      <c r="I1954" s="199">
        <f>I1952+I1953</f>
        <v>39983362.068965517</v>
      </c>
      <c r="J1954" s="262">
        <f t="shared" si="962"/>
        <v>5711908.8669950739</v>
      </c>
    </row>
    <row r="1955" spans="1:10" s="186" customFormat="1" x14ac:dyDescent="0.25">
      <c r="A1955" s="246" t="s">
        <v>33</v>
      </c>
      <c r="B1955" s="263">
        <f>B1954*16%</f>
        <v>501310.34482758626</v>
      </c>
      <c r="C1955" s="94">
        <f t="shared" ref="C1955:H1955" si="968">C1954*16%</f>
        <v>602772.41379310354</v>
      </c>
      <c r="D1955" s="94">
        <f t="shared" si="968"/>
        <v>795655.17241379328</v>
      </c>
      <c r="E1955" s="94">
        <f t="shared" si="968"/>
        <v>773103.44827586215</v>
      </c>
      <c r="F1955" s="94">
        <f t="shared" si="968"/>
        <v>1209420.6896551726</v>
      </c>
      <c r="G1955" s="94">
        <f t="shared" si="968"/>
        <v>1242248.2758620691</v>
      </c>
      <c r="H1955" s="94">
        <f t="shared" si="968"/>
        <v>1272827.5862068967</v>
      </c>
      <c r="I1955" s="94">
        <f>I1954*16%</f>
        <v>6397337.931034483</v>
      </c>
      <c r="J1955" s="256">
        <f t="shared" si="962"/>
        <v>913905.41871921183</v>
      </c>
    </row>
    <row r="1956" spans="1:10" s="186" customFormat="1" ht="15.75" thickBot="1" x14ac:dyDescent="0.3">
      <c r="A1956" s="264" t="s">
        <v>34</v>
      </c>
      <c r="B1956" s="265">
        <f>B1954+B1955</f>
        <v>3634500.0000000005</v>
      </c>
      <c r="C1956" s="266">
        <f t="shared" ref="C1956:H1956" si="969">C1954+C1955</f>
        <v>4370100</v>
      </c>
      <c r="D1956" s="266">
        <f t="shared" si="969"/>
        <v>5768500.0000000009</v>
      </c>
      <c r="E1956" s="266">
        <f t="shared" si="969"/>
        <v>5605000.0000000009</v>
      </c>
      <c r="F1956" s="266">
        <f t="shared" si="969"/>
        <v>8768300</v>
      </c>
      <c r="G1956" s="266">
        <f t="shared" si="969"/>
        <v>9006300</v>
      </c>
      <c r="H1956" s="266">
        <f t="shared" si="969"/>
        <v>9228000</v>
      </c>
      <c r="I1956" s="266">
        <f>I1954+I1955</f>
        <v>46380700</v>
      </c>
      <c r="J1956" s="267">
        <f t="shared" si="962"/>
        <v>6625814.2857142854</v>
      </c>
    </row>
    <row r="1957" spans="1:10" s="186" customFormat="1" ht="15.75" thickBot="1" x14ac:dyDescent="0.3">
      <c r="A1957" s="204"/>
      <c r="B1957" s="112"/>
      <c r="C1957" s="112"/>
      <c r="D1957" s="112"/>
      <c r="E1957" s="112"/>
      <c r="F1957" s="112"/>
      <c r="G1957" s="112"/>
      <c r="H1957" s="112"/>
      <c r="I1957" s="112"/>
      <c r="J1957" s="205"/>
    </row>
    <row r="1958" spans="1:10" s="186" customFormat="1" ht="27" thickBot="1" x14ac:dyDescent="0.3">
      <c r="A1958"/>
      <c r="B1958" s="1002" t="s">
        <v>651</v>
      </c>
      <c r="C1958" s="1002"/>
      <c r="D1958" s="1002"/>
      <c r="E1958" s="1002"/>
      <c r="F1958" s="1002"/>
      <c r="G1958" s="1002"/>
      <c r="H1958" s="1002"/>
      <c r="I1958"/>
      <c r="J1958"/>
    </row>
    <row r="1959" spans="1:10" s="186" customFormat="1" ht="16.5" thickBot="1" x14ac:dyDescent="0.3">
      <c r="A1959" s="238" t="s">
        <v>2</v>
      </c>
      <c r="B1959" s="239" t="s">
        <v>345</v>
      </c>
      <c r="C1959" s="239" t="s">
        <v>346</v>
      </c>
      <c r="D1959" s="239" t="s">
        <v>347</v>
      </c>
      <c r="E1959" s="239" t="s">
        <v>348</v>
      </c>
      <c r="F1959" s="239" t="s">
        <v>349</v>
      </c>
      <c r="G1959" s="239" t="s">
        <v>350</v>
      </c>
      <c r="H1959" s="239" t="s">
        <v>351</v>
      </c>
      <c r="I1959" s="240" t="s">
        <v>96</v>
      </c>
      <c r="J1959" s="241" t="s">
        <v>97</v>
      </c>
    </row>
    <row r="1960" spans="1:10" s="186" customFormat="1" x14ac:dyDescent="0.25">
      <c r="A1960" s="242" t="s">
        <v>11</v>
      </c>
      <c r="B1960" s="243">
        <f>73+41+16</f>
        <v>130</v>
      </c>
      <c r="C1960" s="244">
        <f>101+62+13</f>
        <v>176</v>
      </c>
      <c r="D1960" s="244">
        <f>115+77+18</f>
        <v>210</v>
      </c>
      <c r="E1960" s="244">
        <f>109+61+26</f>
        <v>196</v>
      </c>
      <c r="F1960" s="244">
        <f>147+79+20</f>
        <v>246</v>
      </c>
      <c r="G1960" s="244">
        <f>64+44+11</f>
        <v>119</v>
      </c>
      <c r="H1960" s="268">
        <f>161+122+32</f>
        <v>315</v>
      </c>
      <c r="I1960" s="244">
        <f>SUM(B1960:H1960)</f>
        <v>1392</v>
      </c>
      <c r="J1960" s="245">
        <f>+I1960/7</f>
        <v>198.85714285714286</v>
      </c>
    </row>
    <row r="1961" spans="1:10" s="186" customFormat="1" x14ac:dyDescent="0.25">
      <c r="A1961" s="246" t="s">
        <v>12</v>
      </c>
      <c r="B1961" s="233">
        <v>67</v>
      </c>
      <c r="C1961" s="13">
        <v>100</v>
      </c>
      <c r="D1961" s="13">
        <v>107</v>
      </c>
      <c r="E1961" s="13">
        <v>102</v>
      </c>
      <c r="F1961" s="86">
        <v>138</v>
      </c>
      <c r="G1961" s="11">
        <v>59</v>
      </c>
      <c r="H1961" s="86">
        <v>181</v>
      </c>
      <c r="I1961" s="11">
        <f>SUM('PEPE SIERRA '!$B1961:$H1961)</f>
        <v>754</v>
      </c>
      <c r="J1961" s="247">
        <f t="shared" ref="J1961:J1966" si="970">I1961/7</f>
        <v>107.71428571428571</v>
      </c>
    </row>
    <row r="1962" spans="1:10" s="186" customFormat="1" x14ac:dyDescent="0.25">
      <c r="A1962" s="246" t="s">
        <v>13</v>
      </c>
      <c r="B1962" s="233">
        <v>0</v>
      </c>
      <c r="C1962" s="13">
        <v>0</v>
      </c>
      <c r="D1962" s="13">
        <v>2</v>
      </c>
      <c r="E1962" s="13">
        <v>4</v>
      </c>
      <c r="F1962" s="11">
        <v>1</v>
      </c>
      <c r="G1962" s="11">
        <v>2</v>
      </c>
      <c r="H1962" s="11">
        <v>0</v>
      </c>
      <c r="I1962" s="11">
        <f>SUM('PEPE SIERRA '!$B1962:$H1962)</f>
        <v>9</v>
      </c>
      <c r="J1962" s="247">
        <f t="shared" si="970"/>
        <v>1.2857142857142858</v>
      </c>
    </row>
    <row r="1963" spans="1:10" s="186" customFormat="1" x14ac:dyDescent="0.25">
      <c r="A1963" s="246" t="s">
        <v>14</v>
      </c>
      <c r="B1963" s="233">
        <v>38</v>
      </c>
      <c r="C1963" s="13">
        <v>30</v>
      </c>
      <c r="D1963" s="13">
        <v>58</v>
      </c>
      <c r="E1963" s="13">
        <v>41</v>
      </c>
      <c r="F1963" s="11">
        <v>42</v>
      </c>
      <c r="G1963" s="11">
        <v>32</v>
      </c>
      <c r="H1963" s="86">
        <v>61</v>
      </c>
      <c r="I1963" s="11">
        <f>SUM('PEPE SIERRA '!$B1963:$H1963)</f>
        <v>302</v>
      </c>
      <c r="J1963" s="247">
        <f t="shared" si="970"/>
        <v>43.142857142857146</v>
      </c>
    </row>
    <row r="1964" spans="1:10" s="186" customFormat="1" x14ac:dyDescent="0.25">
      <c r="A1964" s="246" t="s">
        <v>15</v>
      </c>
      <c r="B1964" s="233">
        <v>0</v>
      </c>
      <c r="C1964" s="13">
        <v>0</v>
      </c>
      <c r="D1964" s="13">
        <v>2</v>
      </c>
      <c r="E1964" s="13">
        <v>0</v>
      </c>
      <c r="F1964" s="11">
        <v>2</v>
      </c>
      <c r="G1964" s="11">
        <v>0</v>
      </c>
      <c r="H1964" s="11">
        <v>0</v>
      </c>
      <c r="I1964" s="11">
        <f>SUM('PEPE SIERRA '!$B1964:$H1964)</f>
        <v>4</v>
      </c>
      <c r="J1964" s="247">
        <f t="shared" si="970"/>
        <v>0.5714285714285714</v>
      </c>
    </row>
    <row r="1965" spans="1:10" s="186" customFormat="1" x14ac:dyDescent="0.25">
      <c r="A1965" s="246" t="s">
        <v>16</v>
      </c>
      <c r="B1965" s="233">
        <v>0</v>
      </c>
      <c r="C1965" s="13">
        <v>0</v>
      </c>
      <c r="D1965" s="13">
        <v>0</v>
      </c>
      <c r="E1965" s="13">
        <v>0</v>
      </c>
      <c r="F1965" s="11">
        <v>0</v>
      </c>
      <c r="G1965" s="11">
        <v>0</v>
      </c>
      <c r="H1965" s="11">
        <v>0</v>
      </c>
      <c r="I1965" s="11">
        <f>SUM('PEPE SIERRA '!$B1965:$H1965)</f>
        <v>0</v>
      </c>
      <c r="J1965" s="247">
        <f t="shared" si="970"/>
        <v>0</v>
      </c>
    </row>
    <row r="1966" spans="1:10" s="186" customFormat="1" x14ac:dyDescent="0.25">
      <c r="A1966" s="248" t="s">
        <v>17</v>
      </c>
      <c r="B1966" s="249">
        <f>SUM(B1961:B1965)</f>
        <v>105</v>
      </c>
      <c r="C1966" s="192">
        <f t="shared" ref="C1966:I1966" si="971">SUM(C1961:C1965)</f>
        <v>130</v>
      </c>
      <c r="D1966" s="192">
        <f t="shared" si="971"/>
        <v>169</v>
      </c>
      <c r="E1966" s="192">
        <f t="shared" si="971"/>
        <v>147</v>
      </c>
      <c r="F1966" s="192">
        <f t="shared" si="971"/>
        <v>183</v>
      </c>
      <c r="G1966" s="192">
        <f t="shared" si="971"/>
        <v>93</v>
      </c>
      <c r="H1966" s="192">
        <f t="shared" si="971"/>
        <v>242</v>
      </c>
      <c r="I1966" s="192">
        <f t="shared" si="971"/>
        <v>1069</v>
      </c>
      <c r="J1966" s="250">
        <f t="shared" si="970"/>
        <v>152.71428571428572</v>
      </c>
    </row>
    <row r="1967" spans="1:10" s="186" customFormat="1" x14ac:dyDescent="0.25">
      <c r="A1967" s="246" t="s">
        <v>18</v>
      </c>
      <c r="B1967" s="234">
        <v>0.72</v>
      </c>
      <c r="C1967" s="235">
        <v>0.83</v>
      </c>
      <c r="D1967" s="235">
        <v>0.73</v>
      </c>
      <c r="E1967" s="235">
        <v>0.78</v>
      </c>
      <c r="F1967" s="30">
        <v>0.82</v>
      </c>
      <c r="G1967" s="30">
        <v>0.71</v>
      </c>
      <c r="H1967" s="30">
        <v>0.79</v>
      </c>
      <c r="I1967" s="30">
        <f>I1974/I1979</f>
        <v>0.77710195820011718</v>
      </c>
      <c r="J1967" s="251">
        <f>J1974/J1979</f>
        <v>0.77710195820011718</v>
      </c>
    </row>
    <row r="1968" spans="1:10" s="186" customFormat="1" x14ac:dyDescent="0.25">
      <c r="A1968" s="246" t="s">
        <v>19</v>
      </c>
      <c r="B1968" s="234">
        <v>0</v>
      </c>
      <c r="C1968" s="235">
        <v>0</v>
      </c>
      <c r="D1968" s="235">
        <v>0.01</v>
      </c>
      <c r="E1968" s="235">
        <v>0.02</v>
      </c>
      <c r="F1968" s="30">
        <v>0</v>
      </c>
      <c r="G1968" s="30">
        <v>0.03</v>
      </c>
      <c r="H1968" s="30">
        <v>0</v>
      </c>
      <c r="I1968" s="30">
        <f>I1975/I1979</f>
        <v>6.9923941154934922E-3</v>
      </c>
      <c r="J1968" s="251">
        <f>J1975/J1979</f>
        <v>6.9923941154934922E-3</v>
      </c>
    </row>
    <row r="1969" spans="1:10" s="186" customFormat="1" x14ac:dyDescent="0.25">
      <c r="A1969" s="246" t="s">
        <v>20</v>
      </c>
      <c r="B1969" s="234">
        <v>0.28000000000000003</v>
      </c>
      <c r="C1969" s="235">
        <v>0.17</v>
      </c>
      <c r="D1969" s="235">
        <v>0.26</v>
      </c>
      <c r="E1969" s="235">
        <v>0.2</v>
      </c>
      <c r="F1969" s="30">
        <v>0.17</v>
      </c>
      <c r="G1969" s="30">
        <v>0.26</v>
      </c>
      <c r="H1969" s="30">
        <v>0.21</v>
      </c>
      <c r="I1969" s="30">
        <f>I1976/I1979</f>
        <v>0.2140712682316209</v>
      </c>
      <c r="J1969" s="251">
        <f>J1976/J1979</f>
        <v>0.21407126823162093</v>
      </c>
    </row>
    <row r="1970" spans="1:10" s="186" customFormat="1" x14ac:dyDescent="0.25">
      <c r="A1970" s="246" t="s">
        <v>21</v>
      </c>
      <c r="B1970" s="234">
        <v>0</v>
      </c>
      <c r="C1970" s="235">
        <v>0</v>
      </c>
      <c r="D1970" s="235">
        <v>0</v>
      </c>
      <c r="E1970" s="235">
        <v>0</v>
      </c>
      <c r="F1970" s="30">
        <v>0.01</v>
      </c>
      <c r="G1970" s="30">
        <v>0</v>
      </c>
      <c r="H1970" s="30">
        <v>0</v>
      </c>
      <c r="I1970" s="30">
        <f>I1977/I1979</f>
        <v>1.8343794527685081E-3</v>
      </c>
      <c r="J1970" s="251">
        <f>J1977/J1979</f>
        <v>1.8343794527685079E-3</v>
      </c>
    </row>
    <row r="1971" spans="1:10" s="186" customFormat="1" x14ac:dyDescent="0.25">
      <c r="A1971" s="246" t="s">
        <v>22</v>
      </c>
      <c r="B1971" s="234">
        <v>0</v>
      </c>
      <c r="C1971" s="235">
        <v>0</v>
      </c>
      <c r="D1971" s="235">
        <v>0</v>
      </c>
      <c r="E1971" s="235">
        <v>0</v>
      </c>
      <c r="F1971" s="30">
        <v>0</v>
      </c>
      <c r="G1971" s="30">
        <v>0</v>
      </c>
      <c r="H1971" s="30">
        <v>0</v>
      </c>
      <c r="I1971" s="30">
        <f>I1978/I1979</f>
        <v>0</v>
      </c>
      <c r="J1971" s="251">
        <f>J1978/J1979</f>
        <v>0</v>
      </c>
    </row>
    <row r="1972" spans="1:10" s="186" customFormat="1" x14ac:dyDescent="0.25">
      <c r="A1972" s="252" t="s">
        <v>23</v>
      </c>
      <c r="B1972" s="253">
        <f t="shared" ref="B1972:J1972" si="972">B1983/B1966</f>
        <v>36421.904761904763</v>
      </c>
      <c r="C1972" s="66">
        <f t="shared" si="972"/>
        <v>40316.153846153844</v>
      </c>
      <c r="D1972" s="66">
        <f t="shared" si="972"/>
        <v>35647.337278106512</v>
      </c>
      <c r="E1972" s="66">
        <f t="shared" si="972"/>
        <v>42254.421768707485</v>
      </c>
      <c r="F1972" s="66">
        <f t="shared" si="972"/>
        <v>42308.743169398906</v>
      </c>
      <c r="G1972" s="66">
        <f t="shared" si="972"/>
        <v>39281.720430107525</v>
      </c>
      <c r="H1972" s="66">
        <f t="shared" si="972"/>
        <v>39320.661157024791</v>
      </c>
      <c r="I1972" s="66">
        <f t="shared" si="972"/>
        <v>39487.839101964455</v>
      </c>
      <c r="J1972" s="254">
        <f t="shared" si="972"/>
        <v>39487.839101964448</v>
      </c>
    </row>
    <row r="1973" spans="1:10" s="186" customFormat="1" x14ac:dyDescent="0.25">
      <c r="A1973" s="252" t="s">
        <v>24</v>
      </c>
      <c r="B1973" s="253">
        <f t="shared" ref="B1973:I1973" si="973">+B1983/B1960</f>
        <v>29417.692307692309</v>
      </c>
      <c r="C1973" s="66">
        <f t="shared" si="973"/>
        <v>29778.977272727272</v>
      </c>
      <c r="D1973" s="66">
        <f t="shared" si="973"/>
        <v>28687.619047619046</v>
      </c>
      <c r="E1973" s="66">
        <f t="shared" si="973"/>
        <v>31690.816326530614</v>
      </c>
      <c r="F1973" s="66">
        <f t="shared" si="973"/>
        <v>31473.577235772358</v>
      </c>
      <c r="G1973" s="66">
        <f t="shared" si="973"/>
        <v>30699.159663865546</v>
      </c>
      <c r="H1973" s="66">
        <f t="shared" si="973"/>
        <v>30208.253968253968</v>
      </c>
      <c r="I1973" s="66">
        <f t="shared" si="973"/>
        <v>30325.071839080461</v>
      </c>
      <c r="J1973" s="254">
        <f>J1983/J1960</f>
        <v>30325.071839080458</v>
      </c>
    </row>
    <row r="1974" spans="1:10" s="186" customFormat="1" x14ac:dyDescent="0.25">
      <c r="A1974" s="246" t="s">
        <v>25</v>
      </c>
      <c r="B1974" s="255">
        <f t="shared" ref="B1974:H1974" si="974">B1979*B1967</f>
        <v>2257252.0882758619</v>
      </c>
      <c r="C1974" s="92">
        <f t="shared" si="974"/>
        <v>3549735.4137931038</v>
      </c>
      <c r="D1974" s="92">
        <f t="shared" si="974"/>
        <v>3602659.7013793103</v>
      </c>
      <c r="E1974" s="92">
        <f t="shared" si="974"/>
        <v>3984573.1944827591</v>
      </c>
      <c r="F1974" s="92">
        <f t="shared" si="974"/>
        <v>5199978.3117241375</v>
      </c>
      <c r="G1974" s="92">
        <f t="shared" si="974"/>
        <v>2134887.8848275864</v>
      </c>
      <c r="H1974" s="92">
        <f t="shared" si="974"/>
        <v>6135273.8641379317</v>
      </c>
      <c r="I1974" s="31">
        <f t="shared" ref="I1974:I1979" si="975">SUM(B1974:H1974)</f>
        <v>26864360.458620694</v>
      </c>
      <c r="J1974" s="256">
        <f t="shared" ref="J1974:J1983" si="976">I1974/7</f>
        <v>3837765.7798029562</v>
      </c>
    </row>
    <row r="1975" spans="1:10" s="186" customFormat="1" x14ac:dyDescent="0.25">
      <c r="A1975" s="246" t="s">
        <v>26</v>
      </c>
      <c r="B1975" s="255">
        <f t="shared" ref="B1975:H1975" si="977">B1979*B1968</f>
        <v>0</v>
      </c>
      <c r="C1975" s="92">
        <f t="shared" si="977"/>
        <v>0</v>
      </c>
      <c r="D1975" s="92">
        <f t="shared" si="977"/>
        <v>49351.502758620692</v>
      </c>
      <c r="E1975" s="92">
        <f t="shared" si="977"/>
        <v>102168.54344827587</v>
      </c>
      <c r="F1975" s="92">
        <f t="shared" si="977"/>
        <v>0</v>
      </c>
      <c r="G1975" s="92">
        <f t="shared" si="977"/>
        <v>90206.530344827581</v>
      </c>
      <c r="H1975" s="92">
        <f t="shared" si="977"/>
        <v>0</v>
      </c>
      <c r="I1975" s="31">
        <f t="shared" si="975"/>
        <v>241726.57655172417</v>
      </c>
      <c r="J1975" s="256">
        <f t="shared" si="976"/>
        <v>34532.368078817737</v>
      </c>
    </row>
    <row r="1976" spans="1:10" s="186" customFormat="1" x14ac:dyDescent="0.25">
      <c r="A1976" s="246" t="s">
        <v>27</v>
      </c>
      <c r="B1976" s="255">
        <f t="shared" ref="B1976:H1976" si="978">B1979*B1969</f>
        <v>877820.25655172428</v>
      </c>
      <c r="C1976" s="92">
        <f t="shared" si="978"/>
        <v>727054.24137931049</v>
      </c>
      <c r="D1976" s="92">
        <f t="shared" si="978"/>
        <v>1283139.071724138</v>
      </c>
      <c r="E1976" s="92">
        <f t="shared" si="978"/>
        <v>1021685.4344827587</v>
      </c>
      <c r="F1976" s="92">
        <f t="shared" si="978"/>
        <v>1078044.2841379312</v>
      </c>
      <c r="G1976" s="92">
        <f t="shared" si="978"/>
        <v>781789.92965517251</v>
      </c>
      <c r="H1976" s="92">
        <f t="shared" si="978"/>
        <v>1630895.584137931</v>
      </c>
      <c r="I1976" s="31">
        <f t="shared" si="975"/>
        <v>7400428.8020689655</v>
      </c>
      <c r="J1976" s="256">
        <f t="shared" si="976"/>
        <v>1057204.1145812809</v>
      </c>
    </row>
    <row r="1977" spans="1:10" s="186" customFormat="1" x14ac:dyDescent="0.25">
      <c r="A1977" s="246" t="s">
        <v>28</v>
      </c>
      <c r="B1977" s="255">
        <f t="shared" ref="B1977:H1977" si="979">B1979*B1970</f>
        <v>0</v>
      </c>
      <c r="C1977" s="92">
        <f t="shared" si="979"/>
        <v>0</v>
      </c>
      <c r="D1977" s="92">
        <f t="shared" si="979"/>
        <v>0</v>
      </c>
      <c r="E1977" s="92">
        <f t="shared" si="979"/>
        <v>0</v>
      </c>
      <c r="F1977" s="92">
        <f t="shared" si="979"/>
        <v>63414.369655172413</v>
      </c>
      <c r="G1977" s="92">
        <f t="shared" si="979"/>
        <v>0</v>
      </c>
      <c r="H1977" s="92">
        <f t="shared" si="979"/>
        <v>0</v>
      </c>
      <c r="I1977" s="31">
        <f t="shared" si="975"/>
        <v>63414.369655172413</v>
      </c>
      <c r="J1977" s="256">
        <f t="shared" si="976"/>
        <v>9059.1956650246302</v>
      </c>
    </row>
    <row r="1978" spans="1:10" s="186" customFormat="1" x14ac:dyDescent="0.25">
      <c r="A1978" s="246" t="s">
        <v>29</v>
      </c>
      <c r="B1978" s="255">
        <f t="shared" ref="B1978:H1978" si="980">B1979*B1971</f>
        <v>0</v>
      </c>
      <c r="C1978" s="731">
        <f t="shared" si="980"/>
        <v>0</v>
      </c>
      <c r="D1978" s="731">
        <f t="shared" si="980"/>
        <v>0</v>
      </c>
      <c r="E1978" s="731">
        <f t="shared" si="980"/>
        <v>0</v>
      </c>
      <c r="F1978" s="731">
        <f t="shared" si="980"/>
        <v>0</v>
      </c>
      <c r="G1978" s="731">
        <f t="shared" si="980"/>
        <v>0</v>
      </c>
      <c r="H1978" s="731">
        <f t="shared" si="980"/>
        <v>0</v>
      </c>
      <c r="I1978" s="31">
        <f t="shared" si="975"/>
        <v>0</v>
      </c>
      <c r="J1978" s="256">
        <f t="shared" si="976"/>
        <v>0</v>
      </c>
    </row>
    <row r="1979" spans="1:10" s="186" customFormat="1" x14ac:dyDescent="0.25">
      <c r="A1979" s="257" t="s">
        <v>30</v>
      </c>
      <c r="B1979" s="258">
        <f>(3824300/1.16)-B1980</f>
        <v>3135072.3448275863</v>
      </c>
      <c r="C1979" s="733">
        <f>(5241100/1.16)-C1980</f>
        <v>4276789.6551724141</v>
      </c>
      <c r="D1979" s="733">
        <f>(6024400/1.16)-D1980</f>
        <v>4935150.2758620689</v>
      </c>
      <c r="E1979" s="733">
        <f>(6211400/1.16)-E1980</f>
        <v>5108427.1724137934</v>
      </c>
      <c r="F1979" s="733">
        <f>(7742500/1.16)-F1980</f>
        <v>6341436.9655172415</v>
      </c>
      <c r="G1979" s="733">
        <f>(3653200/1.16)-G1980</f>
        <v>3006884.3448275863</v>
      </c>
      <c r="H1979" s="733">
        <f>(9515600/1.16)-H1980</f>
        <v>7766169.4482758623</v>
      </c>
      <c r="I1979" s="730">
        <f t="shared" si="975"/>
        <v>34569930.206896551</v>
      </c>
      <c r="J1979" s="259">
        <f t="shared" si="976"/>
        <v>4938561.4581280788</v>
      </c>
    </row>
    <row r="1980" spans="1:10" s="186" customFormat="1" x14ac:dyDescent="0.25">
      <c r="A1980" s="246" t="s">
        <v>31</v>
      </c>
      <c r="B1980" s="255">
        <f t="shared" ref="B1980:I1980" si="981">2414*B1961</f>
        <v>161738</v>
      </c>
      <c r="C1980" s="732">
        <f t="shared" si="981"/>
        <v>241400</v>
      </c>
      <c r="D1980" s="732">
        <f t="shared" si="981"/>
        <v>258298</v>
      </c>
      <c r="E1980" s="732">
        <f t="shared" si="981"/>
        <v>246228</v>
      </c>
      <c r="F1980" s="732">
        <f t="shared" si="981"/>
        <v>333132</v>
      </c>
      <c r="G1980" s="732">
        <f t="shared" si="981"/>
        <v>142426</v>
      </c>
      <c r="H1980" s="732">
        <f t="shared" si="981"/>
        <v>436934</v>
      </c>
      <c r="I1980" s="31">
        <f t="shared" si="981"/>
        <v>1820156</v>
      </c>
      <c r="J1980" s="256">
        <f t="shared" si="976"/>
        <v>260022.28571428571</v>
      </c>
    </row>
    <row r="1981" spans="1:10" s="186" customFormat="1" x14ac:dyDescent="0.25">
      <c r="A1981" s="260" t="s">
        <v>32</v>
      </c>
      <c r="B1981" s="261">
        <f>B1980+B1979</f>
        <v>3296810.3448275863</v>
      </c>
      <c r="C1981" s="199">
        <f>C1980+C1979</f>
        <v>4518189.6551724141</v>
      </c>
      <c r="D1981" s="199">
        <f>D1980+D1979</f>
        <v>5193448.2758620689</v>
      </c>
      <c r="E1981" s="199">
        <f>E1980+E1979</f>
        <v>5354655.1724137934</v>
      </c>
      <c r="F1981" s="199">
        <f>F1979+F1980</f>
        <v>6674568.9655172415</v>
      </c>
      <c r="G1981" s="199">
        <f>G1980+G1979</f>
        <v>3149310.3448275863</v>
      </c>
      <c r="H1981" s="199">
        <f>H1980+H1979</f>
        <v>8203103.4482758623</v>
      </c>
      <c r="I1981" s="199">
        <f>I1979+I1980</f>
        <v>36390086.206896551</v>
      </c>
      <c r="J1981" s="262">
        <f t="shared" si="976"/>
        <v>5198583.7438423643</v>
      </c>
    </row>
    <row r="1982" spans="1:10" s="186" customFormat="1" x14ac:dyDescent="0.25">
      <c r="A1982" s="246" t="s">
        <v>33</v>
      </c>
      <c r="B1982" s="263">
        <f>B1981*16%</f>
        <v>527489.6551724138</v>
      </c>
      <c r="C1982" s="94">
        <f t="shared" ref="C1982:H1982" si="982">C1981*16%</f>
        <v>722910.34482758632</v>
      </c>
      <c r="D1982" s="94">
        <f t="shared" si="982"/>
        <v>830951.72413793101</v>
      </c>
      <c r="E1982" s="94">
        <f t="shared" si="982"/>
        <v>856744.82758620696</v>
      </c>
      <c r="F1982" s="94">
        <f t="shared" si="982"/>
        <v>1067931.0344827587</v>
      </c>
      <c r="G1982" s="94">
        <f t="shared" si="982"/>
        <v>503889.6551724138</v>
      </c>
      <c r="H1982" s="94">
        <f t="shared" si="982"/>
        <v>1312496.551724138</v>
      </c>
      <c r="I1982" s="94">
        <f>I1981*16%</f>
        <v>5822413.7931034481</v>
      </c>
      <c r="J1982" s="256">
        <f t="shared" si="976"/>
        <v>831773.39901477832</v>
      </c>
    </row>
    <row r="1983" spans="1:10" s="186" customFormat="1" ht="15.75" thickBot="1" x14ac:dyDescent="0.3">
      <c r="A1983" s="264" t="s">
        <v>34</v>
      </c>
      <c r="B1983" s="265">
        <f>B1981+B1982</f>
        <v>3824300</v>
      </c>
      <c r="C1983" s="266">
        <f t="shared" ref="C1983:H1983" si="983">C1981+C1982</f>
        <v>5241100</v>
      </c>
      <c r="D1983" s="266">
        <f t="shared" si="983"/>
        <v>6024400</v>
      </c>
      <c r="E1983" s="266">
        <f t="shared" si="983"/>
        <v>6211400</v>
      </c>
      <c r="F1983" s="266">
        <f t="shared" si="983"/>
        <v>7742500</v>
      </c>
      <c r="G1983" s="266">
        <f t="shared" si="983"/>
        <v>3653200</v>
      </c>
      <c r="H1983" s="266">
        <f t="shared" si="983"/>
        <v>9515600</v>
      </c>
      <c r="I1983" s="266">
        <f>I1981+I1982</f>
        <v>42212500</v>
      </c>
      <c r="J1983" s="267">
        <f t="shared" si="976"/>
        <v>6030357.1428571427</v>
      </c>
    </row>
    <row r="1984" spans="1:10" s="186" customFormat="1" ht="15.75" thickBot="1" x14ac:dyDescent="0.3">
      <c r="A1984" s="204"/>
      <c r="B1984" s="112"/>
      <c r="C1984" s="112"/>
      <c r="D1984" s="112"/>
      <c r="E1984" s="112"/>
      <c r="F1984" s="112"/>
      <c r="G1984" s="112"/>
      <c r="H1984" s="112"/>
      <c r="I1984" s="112"/>
      <c r="J1984" s="205"/>
    </row>
    <row r="1985" spans="1:10" s="186" customFormat="1" ht="27" thickBot="1" x14ac:dyDescent="0.3">
      <c r="A1985"/>
      <c r="B1985" s="1002" t="s">
        <v>655</v>
      </c>
      <c r="C1985" s="1002"/>
      <c r="D1985" s="1002"/>
      <c r="E1985" s="1002"/>
      <c r="F1985" s="1002"/>
      <c r="G1985" s="1002"/>
      <c r="H1985" s="1002"/>
      <c r="I1985"/>
      <c r="J1985"/>
    </row>
    <row r="1986" spans="1:10" s="186" customFormat="1" ht="16.5" thickBot="1" x14ac:dyDescent="0.3">
      <c r="A1986" s="238" t="s">
        <v>2</v>
      </c>
      <c r="B1986" s="239" t="s">
        <v>600</v>
      </c>
      <c r="C1986" s="239" t="s">
        <v>601</v>
      </c>
      <c r="D1986" s="239" t="s">
        <v>602</v>
      </c>
      <c r="E1986" s="239" t="s">
        <v>603</v>
      </c>
      <c r="F1986" s="239" t="s">
        <v>604</v>
      </c>
      <c r="G1986" s="239" t="s">
        <v>653</v>
      </c>
      <c r="H1986" s="239" t="s">
        <v>272</v>
      </c>
      <c r="I1986" s="240" t="s">
        <v>96</v>
      </c>
      <c r="J1986" s="241" t="s">
        <v>97</v>
      </c>
    </row>
    <row r="1987" spans="1:10" s="186" customFormat="1" x14ac:dyDescent="0.25">
      <c r="A1987" s="242" t="s">
        <v>11</v>
      </c>
      <c r="B1987" s="243">
        <f>106+48+12</f>
        <v>166</v>
      </c>
      <c r="C1987" s="244">
        <f>86+65+15</f>
        <v>166</v>
      </c>
      <c r="D1987" s="244">
        <f>80+57+19</f>
        <v>156</v>
      </c>
      <c r="E1987" s="244">
        <f>105+46+20</f>
        <v>171</v>
      </c>
      <c r="F1987" s="244">
        <f>98+59+12</f>
        <v>169</v>
      </c>
      <c r="G1987" s="244">
        <f>49+28+13</f>
        <v>90</v>
      </c>
      <c r="H1987" s="268">
        <f>122+70+18</f>
        <v>210</v>
      </c>
      <c r="I1987" s="244">
        <f>SUM(B1987:H1987)</f>
        <v>1128</v>
      </c>
      <c r="J1987" s="245">
        <f>+I1987/7</f>
        <v>161.14285714285714</v>
      </c>
    </row>
    <row r="1988" spans="1:10" s="186" customFormat="1" x14ac:dyDescent="0.25">
      <c r="A1988" s="246" t="s">
        <v>12</v>
      </c>
      <c r="B1988" s="233">
        <v>87</v>
      </c>
      <c r="C1988" s="13">
        <v>78</v>
      </c>
      <c r="D1988" s="13">
        <v>80</v>
      </c>
      <c r="E1988" s="13">
        <v>79</v>
      </c>
      <c r="F1988" s="86">
        <v>87</v>
      </c>
      <c r="G1988" s="11">
        <v>42</v>
      </c>
      <c r="H1988" s="86">
        <v>111</v>
      </c>
      <c r="I1988" s="11">
        <f>SUM('PEPE SIERRA '!$B1988:$H1988)</f>
        <v>564</v>
      </c>
      <c r="J1988" s="247">
        <f t="shared" ref="J1988:J1993" si="984">I1988/7</f>
        <v>80.571428571428569</v>
      </c>
    </row>
    <row r="1989" spans="1:10" s="186" customFormat="1" x14ac:dyDescent="0.25">
      <c r="A1989" s="246" t="s">
        <v>13</v>
      </c>
      <c r="B1989" s="233">
        <v>0</v>
      </c>
      <c r="C1989" s="13">
        <v>1</v>
      </c>
      <c r="D1989" s="13">
        <v>1</v>
      </c>
      <c r="E1989" s="13">
        <v>0</v>
      </c>
      <c r="F1989" s="11">
        <v>1</v>
      </c>
      <c r="G1989" s="11">
        <v>1</v>
      </c>
      <c r="H1989" s="11">
        <v>2</v>
      </c>
      <c r="I1989" s="11">
        <f>SUM('PEPE SIERRA '!$B1989:$H1989)</f>
        <v>6</v>
      </c>
      <c r="J1989" s="247">
        <f t="shared" si="984"/>
        <v>0.8571428571428571</v>
      </c>
    </row>
    <row r="1990" spans="1:10" s="186" customFormat="1" x14ac:dyDescent="0.25">
      <c r="A1990" s="246" t="s">
        <v>14</v>
      </c>
      <c r="B1990" s="233">
        <v>42</v>
      </c>
      <c r="C1990" s="13">
        <v>49</v>
      </c>
      <c r="D1990" s="13">
        <v>40</v>
      </c>
      <c r="E1990" s="13">
        <v>52</v>
      </c>
      <c r="F1990" s="11">
        <v>40</v>
      </c>
      <c r="G1990" s="11">
        <v>25</v>
      </c>
      <c r="H1990" s="86">
        <v>53</v>
      </c>
      <c r="I1990" s="11">
        <f>SUM('PEPE SIERRA '!$B1990:$H1990)</f>
        <v>301</v>
      </c>
      <c r="J1990" s="247">
        <f t="shared" si="984"/>
        <v>43</v>
      </c>
    </row>
    <row r="1991" spans="1:10" s="186" customFormat="1" x14ac:dyDescent="0.25">
      <c r="A1991" s="246" t="s">
        <v>15</v>
      </c>
      <c r="B1991" s="233">
        <v>0</v>
      </c>
      <c r="C1991" s="13">
        <v>3</v>
      </c>
      <c r="D1991" s="13">
        <v>1</v>
      </c>
      <c r="E1991" s="13">
        <v>5</v>
      </c>
      <c r="F1991" s="11">
        <v>4</v>
      </c>
      <c r="G1991" s="11">
        <v>0</v>
      </c>
      <c r="H1991" s="11">
        <v>0</v>
      </c>
      <c r="I1991" s="11">
        <f>SUM('PEPE SIERRA '!$B1991:$H1991)</f>
        <v>13</v>
      </c>
      <c r="J1991" s="247">
        <f t="shared" si="984"/>
        <v>1.8571428571428572</v>
      </c>
    </row>
    <row r="1992" spans="1:10" s="186" customFormat="1" x14ac:dyDescent="0.25">
      <c r="A1992" s="246" t="s">
        <v>16</v>
      </c>
      <c r="B1992" s="233">
        <v>0</v>
      </c>
      <c r="C1992" s="13">
        <v>0</v>
      </c>
      <c r="D1992" s="13">
        <v>0</v>
      </c>
      <c r="E1992" s="13">
        <v>0</v>
      </c>
      <c r="F1992" s="11">
        <v>1</v>
      </c>
      <c r="G1992" s="11">
        <v>0</v>
      </c>
      <c r="H1992" s="11">
        <v>0</v>
      </c>
      <c r="I1992" s="11">
        <f>SUM('PEPE SIERRA '!$B1992:$H1992)</f>
        <v>1</v>
      </c>
      <c r="J1992" s="247">
        <f t="shared" si="984"/>
        <v>0.14285714285714285</v>
      </c>
    </row>
    <row r="1993" spans="1:10" s="186" customFormat="1" x14ac:dyDescent="0.25">
      <c r="A1993" s="248" t="s">
        <v>17</v>
      </c>
      <c r="B1993" s="249">
        <f>SUM(B1988:B1992)</f>
        <v>129</v>
      </c>
      <c r="C1993" s="192">
        <f t="shared" ref="C1993:I1993" si="985">SUM(C1988:C1992)</f>
        <v>131</v>
      </c>
      <c r="D1993" s="192">
        <f t="shared" si="985"/>
        <v>122</v>
      </c>
      <c r="E1993" s="192">
        <f t="shared" si="985"/>
        <v>136</v>
      </c>
      <c r="F1993" s="192">
        <f t="shared" si="985"/>
        <v>133</v>
      </c>
      <c r="G1993" s="192">
        <f t="shared" si="985"/>
        <v>68</v>
      </c>
      <c r="H1993" s="192">
        <f t="shared" si="985"/>
        <v>166</v>
      </c>
      <c r="I1993" s="192">
        <f t="shared" si="985"/>
        <v>885</v>
      </c>
      <c r="J1993" s="250">
        <f t="shared" si="984"/>
        <v>126.42857142857143</v>
      </c>
    </row>
    <row r="1994" spans="1:10" s="186" customFormat="1" x14ac:dyDescent="0.25">
      <c r="A1994" s="246" t="s">
        <v>18</v>
      </c>
      <c r="B1994" s="234">
        <v>0.75</v>
      </c>
      <c r="C1994" s="235">
        <v>0.65</v>
      </c>
      <c r="D1994" s="235">
        <v>0.73</v>
      </c>
      <c r="E1994" s="235">
        <v>0.71</v>
      </c>
      <c r="F1994" s="30">
        <v>0.72</v>
      </c>
      <c r="G1994" s="30">
        <v>0.61</v>
      </c>
      <c r="H1994" s="30">
        <v>0.75</v>
      </c>
      <c r="I1994" s="30">
        <f>I2001/I2006</f>
        <v>0.7107163563431641</v>
      </c>
      <c r="J1994" s="251">
        <f>J2001/J2006</f>
        <v>0.7107163563431641</v>
      </c>
    </row>
    <row r="1995" spans="1:10" s="186" customFormat="1" x14ac:dyDescent="0.25">
      <c r="A1995" s="246" t="s">
        <v>19</v>
      </c>
      <c r="B1995" s="234">
        <v>0</v>
      </c>
      <c r="C1995" s="235">
        <v>0.01</v>
      </c>
      <c r="D1995" s="235">
        <v>0</v>
      </c>
      <c r="E1995" s="235">
        <v>0</v>
      </c>
      <c r="F1995" s="30">
        <v>0.01</v>
      </c>
      <c r="G1995" s="30">
        <v>0.02</v>
      </c>
      <c r="H1995" s="30">
        <v>0.01</v>
      </c>
      <c r="I1995" s="30">
        <f>I2002/I2006</f>
        <v>6.3946697876659372E-3</v>
      </c>
      <c r="J1995" s="251">
        <f>J2002/J2006</f>
        <v>6.3946697876659372E-3</v>
      </c>
    </row>
    <row r="1996" spans="1:10" s="186" customFormat="1" x14ac:dyDescent="0.25">
      <c r="A1996" s="246" t="s">
        <v>20</v>
      </c>
      <c r="B1996" s="234">
        <v>0.25</v>
      </c>
      <c r="C1996" s="235">
        <v>0.33</v>
      </c>
      <c r="D1996" s="235">
        <v>0.26</v>
      </c>
      <c r="E1996" s="235">
        <v>0.25</v>
      </c>
      <c r="F1996" s="30">
        <v>0.24</v>
      </c>
      <c r="G1996" s="30">
        <v>0.37</v>
      </c>
      <c r="H1996" s="30">
        <v>0.24</v>
      </c>
      <c r="I1996" s="30">
        <f>I2003/I2006</f>
        <v>0.26947922414777753</v>
      </c>
      <c r="J1996" s="251">
        <f>J2003/J2006</f>
        <v>0.26947922414777753</v>
      </c>
    </row>
    <row r="1997" spans="1:10" s="186" customFormat="1" x14ac:dyDescent="0.25">
      <c r="A1997" s="246" t="s">
        <v>21</v>
      </c>
      <c r="B1997" s="234">
        <v>0</v>
      </c>
      <c r="C1997" s="235">
        <v>0.01</v>
      </c>
      <c r="D1997" s="235">
        <v>0.01</v>
      </c>
      <c r="E1997" s="235">
        <v>0.04</v>
      </c>
      <c r="F1997" s="30">
        <v>0.02</v>
      </c>
      <c r="G1997" s="30">
        <v>0</v>
      </c>
      <c r="H1997" s="30">
        <v>0</v>
      </c>
      <c r="I1997" s="30">
        <f>I2004/I2006</f>
        <v>1.1925230130129222E-2</v>
      </c>
      <c r="J1997" s="251">
        <f>J2004/J2006</f>
        <v>1.1925230130129222E-2</v>
      </c>
    </row>
    <row r="1998" spans="1:10" s="186" customFormat="1" x14ac:dyDescent="0.25">
      <c r="A1998" s="246" t="s">
        <v>22</v>
      </c>
      <c r="B1998" s="234">
        <v>0</v>
      </c>
      <c r="C1998" s="235">
        <v>0</v>
      </c>
      <c r="D1998" s="235">
        <v>0</v>
      </c>
      <c r="E1998" s="235">
        <v>0</v>
      </c>
      <c r="F1998" s="30">
        <v>0.01</v>
      </c>
      <c r="G1998" s="30">
        <v>0</v>
      </c>
      <c r="H1998" s="30">
        <v>0</v>
      </c>
      <c r="I1998" s="30">
        <f>I2005/I2006</f>
        <v>1.4845195912634025E-3</v>
      </c>
      <c r="J1998" s="251">
        <f>J2005/J2006</f>
        <v>1.4845195912634025E-3</v>
      </c>
    </row>
    <row r="1999" spans="1:10" s="186" customFormat="1" x14ac:dyDescent="0.25">
      <c r="A1999" s="252" t="s">
        <v>23</v>
      </c>
      <c r="B1999" s="253">
        <f t="shared" ref="B1999:J1999" si="986">B2010/B1993</f>
        <v>37763.56589147287</v>
      </c>
      <c r="C1999" s="66">
        <f t="shared" si="986"/>
        <v>39531.297709923674</v>
      </c>
      <c r="D1999" s="66">
        <f t="shared" si="986"/>
        <v>37595.901639344265</v>
      </c>
      <c r="E1999" s="66">
        <f t="shared" si="986"/>
        <v>36527.205882352944</v>
      </c>
      <c r="F1999" s="66">
        <f t="shared" si="986"/>
        <v>37112.030075187969</v>
      </c>
      <c r="G1999" s="66">
        <f t="shared" si="986"/>
        <v>36160.294117647056</v>
      </c>
      <c r="H1999" s="66">
        <f t="shared" si="986"/>
        <v>37277.710843373497</v>
      </c>
      <c r="I1999" s="66">
        <f t="shared" si="986"/>
        <v>37499.887005649711</v>
      </c>
      <c r="J1999" s="254">
        <f t="shared" si="986"/>
        <v>37499.887005649718</v>
      </c>
    </row>
    <row r="2000" spans="1:10" s="186" customFormat="1" x14ac:dyDescent="0.25">
      <c r="A2000" s="252" t="s">
        <v>24</v>
      </c>
      <c r="B2000" s="253">
        <f t="shared" ref="B2000:I2000" si="987">+B2010/B1987</f>
        <v>29346.385542168675</v>
      </c>
      <c r="C2000" s="66">
        <f t="shared" si="987"/>
        <v>31196.385542168679</v>
      </c>
      <c r="D2000" s="66">
        <f t="shared" si="987"/>
        <v>29401.923076923078</v>
      </c>
      <c r="E2000" s="66">
        <f t="shared" si="987"/>
        <v>29050.877192982458</v>
      </c>
      <c r="F2000" s="66">
        <f t="shared" si="987"/>
        <v>29206.508875739644</v>
      </c>
      <c r="G2000" s="66">
        <f t="shared" si="987"/>
        <v>27321.111111111109</v>
      </c>
      <c r="H2000" s="66">
        <f t="shared" si="987"/>
        <v>29467.142857142859</v>
      </c>
      <c r="I2000" s="66">
        <f t="shared" si="987"/>
        <v>29421.453900709217</v>
      </c>
      <c r="J2000" s="254">
        <f>J2010/J1987</f>
        <v>29421.453900709221</v>
      </c>
    </row>
    <row r="2001" spans="1:10" s="186" customFormat="1" x14ac:dyDescent="0.25">
      <c r="A2001" s="246" t="s">
        <v>25</v>
      </c>
      <c r="B2001" s="255">
        <f t="shared" ref="B2001:H2001" si="988">B2006*B1994</f>
        <v>2992163.2241379311</v>
      </c>
      <c r="C2001" s="92">
        <f t="shared" si="988"/>
        <v>2779411.9241379313</v>
      </c>
      <c r="D2001" s="92">
        <f t="shared" si="988"/>
        <v>2745480.1586206895</v>
      </c>
      <c r="E2001" s="92">
        <f t="shared" si="988"/>
        <v>2905173.7399999998</v>
      </c>
      <c r="F2001" s="92">
        <f t="shared" si="988"/>
        <v>2912449.108965517</v>
      </c>
      <c r="G2001" s="92">
        <f t="shared" si="988"/>
        <v>1231195.5613793102</v>
      </c>
      <c r="H2001" s="92">
        <f t="shared" si="988"/>
        <v>3799961.2241379311</v>
      </c>
      <c r="I2001" s="31">
        <f t="shared" ref="I2001:I2006" si="989">SUM(B2001:H2001)</f>
        <v>19365834.941379312</v>
      </c>
      <c r="J2001" s="256">
        <f t="shared" ref="J2001:J2010" si="990">I2001/7</f>
        <v>2766547.8487684731</v>
      </c>
    </row>
    <row r="2002" spans="1:10" s="186" customFormat="1" x14ac:dyDescent="0.25">
      <c r="A2002" s="246" t="s">
        <v>26</v>
      </c>
      <c r="B2002" s="255">
        <f t="shared" ref="B2002:H2002" si="991">B2006*B1995</f>
        <v>0</v>
      </c>
      <c r="C2002" s="92">
        <f t="shared" si="991"/>
        <v>42760.183448275871</v>
      </c>
      <c r="D2002" s="92">
        <f t="shared" si="991"/>
        <v>0</v>
      </c>
      <c r="E2002" s="92">
        <f t="shared" si="991"/>
        <v>0</v>
      </c>
      <c r="F2002" s="92">
        <f t="shared" si="991"/>
        <v>40450.682068965521</v>
      </c>
      <c r="G2002" s="92">
        <f t="shared" si="991"/>
        <v>40367.067586206897</v>
      </c>
      <c r="H2002" s="92">
        <f t="shared" si="991"/>
        <v>50666.149655172419</v>
      </c>
      <c r="I2002" s="31">
        <f t="shared" si="989"/>
        <v>174244.0827586207</v>
      </c>
      <c r="J2002" s="256">
        <f t="shared" si="990"/>
        <v>24892.011822660101</v>
      </c>
    </row>
    <row r="2003" spans="1:10" s="186" customFormat="1" x14ac:dyDescent="0.25">
      <c r="A2003" s="246" t="s">
        <v>27</v>
      </c>
      <c r="B2003" s="255">
        <f t="shared" ref="B2003:H2003" si="992">B2006*B1996</f>
        <v>997387.74137931038</v>
      </c>
      <c r="C2003" s="92">
        <f t="shared" si="992"/>
        <v>1411086.0537931037</v>
      </c>
      <c r="D2003" s="92">
        <f t="shared" si="992"/>
        <v>977842.24827586208</v>
      </c>
      <c r="E2003" s="92">
        <f t="shared" si="992"/>
        <v>1022948.5</v>
      </c>
      <c r="F2003" s="92">
        <f t="shared" si="992"/>
        <v>970816.36965517246</v>
      </c>
      <c r="G2003" s="92">
        <f t="shared" si="992"/>
        <v>746790.75034482754</v>
      </c>
      <c r="H2003" s="92">
        <f t="shared" si="992"/>
        <v>1215987.591724138</v>
      </c>
      <c r="I2003" s="31">
        <f t="shared" si="989"/>
        <v>7342859.2551724138</v>
      </c>
      <c r="J2003" s="256">
        <f t="shared" si="990"/>
        <v>1048979.8935960592</v>
      </c>
    </row>
    <row r="2004" spans="1:10" s="186" customFormat="1" x14ac:dyDescent="0.25">
      <c r="A2004" s="246" t="s">
        <v>28</v>
      </c>
      <c r="B2004" s="255">
        <f t="shared" ref="B2004:H2004" si="993">B2006*B1997</f>
        <v>0</v>
      </c>
      <c r="C2004" s="92">
        <f t="shared" si="993"/>
        <v>42760.183448275871</v>
      </c>
      <c r="D2004" s="92">
        <f t="shared" si="993"/>
        <v>37609.317241379315</v>
      </c>
      <c r="E2004" s="92">
        <f t="shared" si="993"/>
        <v>163671.76</v>
      </c>
      <c r="F2004" s="92">
        <f t="shared" si="993"/>
        <v>80901.364137931043</v>
      </c>
      <c r="G2004" s="92">
        <f t="shared" si="993"/>
        <v>0</v>
      </c>
      <c r="H2004" s="92">
        <f t="shared" si="993"/>
        <v>0</v>
      </c>
      <c r="I2004" s="31">
        <f t="shared" si="989"/>
        <v>324942.62482758623</v>
      </c>
      <c r="J2004" s="256">
        <f t="shared" si="990"/>
        <v>46420.374975369465</v>
      </c>
    </row>
    <row r="2005" spans="1:10" s="186" customFormat="1" x14ac:dyDescent="0.25">
      <c r="A2005" s="246" t="s">
        <v>29</v>
      </c>
      <c r="B2005" s="255">
        <f t="shared" ref="B2005:H2005" si="994">B2006*B1998</f>
        <v>0</v>
      </c>
      <c r="C2005" s="731">
        <f t="shared" si="994"/>
        <v>0</v>
      </c>
      <c r="D2005" s="731">
        <f t="shared" si="994"/>
        <v>0</v>
      </c>
      <c r="E2005" s="731">
        <f t="shared" si="994"/>
        <v>0</v>
      </c>
      <c r="F2005" s="731">
        <f t="shared" si="994"/>
        <v>40450.682068965521</v>
      </c>
      <c r="G2005" s="731">
        <f t="shared" si="994"/>
        <v>0</v>
      </c>
      <c r="H2005" s="731">
        <f t="shared" si="994"/>
        <v>0</v>
      </c>
      <c r="I2005" s="31">
        <f t="shared" si="989"/>
        <v>40450.682068965521</v>
      </c>
      <c r="J2005" s="256">
        <f t="shared" si="990"/>
        <v>5778.6688669950745</v>
      </c>
    </row>
    <row r="2006" spans="1:10" s="186" customFormat="1" x14ac:dyDescent="0.25">
      <c r="A2006" s="257" t="s">
        <v>30</v>
      </c>
      <c r="B2006" s="258">
        <f>(4871500/1.16)-B2007</f>
        <v>3989550.9655172415</v>
      </c>
      <c r="C2006" s="733">
        <f>(5178600/1.16)-C2007</f>
        <v>4276018.3448275868</v>
      </c>
      <c r="D2006" s="733">
        <f>(4586700/1.16)-D2007</f>
        <v>3760931.7241379311</v>
      </c>
      <c r="E2006" s="733">
        <f>(4967700/1.16)-E2007</f>
        <v>4091794</v>
      </c>
      <c r="F2006" s="733">
        <f>(4935900/1.16)-F2007</f>
        <v>4045068.2068965519</v>
      </c>
      <c r="G2006" s="733">
        <f>(2458900/1.16)-G2007</f>
        <v>2018353.3793103448</v>
      </c>
      <c r="H2006" s="733">
        <f>(6188100/1.16)-H2007</f>
        <v>5066614.9655172415</v>
      </c>
      <c r="I2006" s="730">
        <f t="shared" si="989"/>
        <v>27248331.586206894</v>
      </c>
      <c r="J2006" s="259">
        <f t="shared" si="990"/>
        <v>3892618.7980295564</v>
      </c>
    </row>
    <row r="2007" spans="1:10" s="186" customFormat="1" x14ac:dyDescent="0.25">
      <c r="A2007" s="246" t="s">
        <v>31</v>
      </c>
      <c r="B2007" s="255">
        <f t="shared" ref="B2007:I2007" si="995">2414*B1988</f>
        <v>210018</v>
      </c>
      <c r="C2007" s="732">
        <f t="shared" si="995"/>
        <v>188292</v>
      </c>
      <c r="D2007" s="732">
        <f t="shared" si="995"/>
        <v>193120</v>
      </c>
      <c r="E2007" s="732">
        <f t="shared" si="995"/>
        <v>190706</v>
      </c>
      <c r="F2007" s="732">
        <f t="shared" si="995"/>
        <v>210018</v>
      </c>
      <c r="G2007" s="732">
        <f t="shared" si="995"/>
        <v>101388</v>
      </c>
      <c r="H2007" s="732">
        <f t="shared" si="995"/>
        <v>267954</v>
      </c>
      <c r="I2007" s="31">
        <f t="shared" si="995"/>
        <v>1361496</v>
      </c>
      <c r="J2007" s="256">
        <f t="shared" si="990"/>
        <v>194499.42857142858</v>
      </c>
    </row>
    <row r="2008" spans="1:10" s="186" customFormat="1" x14ac:dyDescent="0.25">
      <c r="A2008" s="260" t="s">
        <v>32</v>
      </c>
      <c r="B2008" s="261">
        <f>B2007+B2006</f>
        <v>4199568.9655172415</v>
      </c>
      <c r="C2008" s="199">
        <f>C2007+C2006</f>
        <v>4464310.3448275868</v>
      </c>
      <c r="D2008" s="199">
        <f>D2007+D2006</f>
        <v>3954051.7241379311</v>
      </c>
      <c r="E2008" s="199">
        <f>E2007+E2006</f>
        <v>4282500</v>
      </c>
      <c r="F2008" s="199">
        <f>F2006+F2007</f>
        <v>4255086.2068965519</v>
      </c>
      <c r="G2008" s="199">
        <f>G2007+G2006</f>
        <v>2119741.3793103448</v>
      </c>
      <c r="H2008" s="199">
        <f>H2007+H2006</f>
        <v>5334568.9655172415</v>
      </c>
      <c r="I2008" s="199">
        <f>I2006+I2007</f>
        <v>28609827.586206894</v>
      </c>
      <c r="J2008" s="262">
        <f t="shared" si="990"/>
        <v>4087118.226600985</v>
      </c>
    </row>
    <row r="2009" spans="1:10" s="186" customFormat="1" x14ac:dyDescent="0.25">
      <c r="A2009" s="246" t="s">
        <v>33</v>
      </c>
      <c r="B2009" s="263">
        <f>B2008*16%</f>
        <v>671931.03448275861</v>
      </c>
      <c r="C2009" s="94">
        <f t="shared" ref="C2009:H2009" si="996">C2008*16%</f>
        <v>714289.65517241391</v>
      </c>
      <c r="D2009" s="94">
        <f t="shared" si="996"/>
        <v>632648.27586206899</v>
      </c>
      <c r="E2009" s="94">
        <f t="shared" si="996"/>
        <v>685200</v>
      </c>
      <c r="F2009" s="94">
        <f t="shared" si="996"/>
        <v>680813.79310344835</v>
      </c>
      <c r="G2009" s="94">
        <f t="shared" si="996"/>
        <v>339158.62068965519</v>
      </c>
      <c r="H2009" s="94">
        <f t="shared" si="996"/>
        <v>853531.03448275861</v>
      </c>
      <c r="I2009" s="94">
        <f>I2008*16%</f>
        <v>4577572.4137931028</v>
      </c>
      <c r="J2009" s="256">
        <f t="shared" si="990"/>
        <v>653938.91625615756</v>
      </c>
    </row>
    <row r="2010" spans="1:10" s="186" customFormat="1" ht="15.75" thickBot="1" x14ac:dyDescent="0.3">
      <c r="A2010" s="264" t="s">
        <v>34</v>
      </c>
      <c r="B2010" s="265">
        <f>B2008+B2009</f>
        <v>4871500</v>
      </c>
      <c r="C2010" s="266">
        <f t="shared" ref="C2010:H2010" si="997">C2008+C2009</f>
        <v>5178600.0000000009</v>
      </c>
      <c r="D2010" s="266">
        <f t="shared" si="997"/>
        <v>4586700</v>
      </c>
      <c r="E2010" s="266">
        <f t="shared" si="997"/>
        <v>4967700</v>
      </c>
      <c r="F2010" s="266">
        <f t="shared" si="997"/>
        <v>4935900</v>
      </c>
      <c r="G2010" s="266">
        <f t="shared" si="997"/>
        <v>2458900</v>
      </c>
      <c r="H2010" s="266">
        <f t="shared" si="997"/>
        <v>6188100</v>
      </c>
      <c r="I2010" s="266">
        <f>I2008+I2009</f>
        <v>33187399.999999996</v>
      </c>
      <c r="J2010" s="267">
        <f t="shared" si="990"/>
        <v>4741057.1428571427</v>
      </c>
    </row>
    <row r="2011" spans="1:10" s="186" customFormat="1" ht="15.75" thickBot="1" x14ac:dyDescent="0.3">
      <c r="A2011" s="204"/>
      <c r="B2011" s="112"/>
      <c r="C2011" s="112"/>
      <c r="D2011" s="112"/>
      <c r="E2011" s="112"/>
      <c r="F2011" s="112"/>
      <c r="G2011" s="112"/>
      <c r="H2011" s="112"/>
      <c r="I2011" s="112"/>
      <c r="J2011" s="205"/>
    </row>
    <row r="2012" spans="1:10" s="186" customFormat="1" ht="27" thickBot="1" x14ac:dyDescent="0.3">
      <c r="A2012"/>
      <c r="B2012" s="1002" t="s">
        <v>659</v>
      </c>
      <c r="C2012" s="1002"/>
      <c r="D2012" s="1002"/>
      <c r="E2012" s="1002"/>
      <c r="F2012" s="1002"/>
      <c r="G2012" s="1002"/>
      <c r="H2012" s="1002"/>
      <c r="I2012"/>
      <c r="J2012"/>
    </row>
    <row r="2013" spans="1:10" s="186" customFormat="1" ht="16.5" thickBot="1" x14ac:dyDescent="0.3">
      <c r="A2013" s="238" t="s">
        <v>2</v>
      </c>
      <c r="B2013" s="239" t="s">
        <v>274</v>
      </c>
      <c r="C2013" s="239" t="s">
        <v>275</v>
      </c>
      <c r="D2013" s="239" t="s">
        <v>658</v>
      </c>
      <c r="E2013" s="239" t="s">
        <v>277</v>
      </c>
      <c r="F2013" s="239" t="s">
        <v>278</v>
      </c>
      <c r="G2013" s="239" t="s">
        <v>279</v>
      </c>
      <c r="H2013" s="239" t="s">
        <v>280</v>
      </c>
      <c r="I2013" s="240" t="s">
        <v>96</v>
      </c>
      <c r="J2013" s="241" t="s">
        <v>97</v>
      </c>
    </row>
    <row r="2014" spans="1:10" s="186" customFormat="1" x14ac:dyDescent="0.25">
      <c r="A2014" s="242" t="s">
        <v>11</v>
      </c>
      <c r="B2014" s="243">
        <f>78+56+13</f>
        <v>147</v>
      </c>
      <c r="C2014" s="244">
        <f>73+56+15</f>
        <v>144</v>
      </c>
      <c r="D2014" s="244">
        <f>91+49+13</f>
        <v>153</v>
      </c>
      <c r="E2014" s="244">
        <f>77+52+13</f>
        <v>142</v>
      </c>
      <c r="F2014" s="244">
        <f>132+72+25</f>
        <v>229</v>
      </c>
      <c r="G2014" s="244">
        <f>115+93+28</f>
        <v>236</v>
      </c>
      <c r="H2014" s="268">
        <f>135+92+29</f>
        <v>256</v>
      </c>
      <c r="I2014" s="244">
        <f>SUM(B2014:H2014)</f>
        <v>1307</v>
      </c>
      <c r="J2014" s="245">
        <f>+I2014/7</f>
        <v>186.71428571428572</v>
      </c>
    </row>
    <row r="2015" spans="1:10" s="186" customFormat="1" x14ac:dyDescent="0.25">
      <c r="A2015" s="246" t="s">
        <v>12</v>
      </c>
      <c r="B2015" s="233">
        <v>75</v>
      </c>
      <c r="C2015" s="13">
        <v>74</v>
      </c>
      <c r="D2015" s="13">
        <v>77</v>
      </c>
      <c r="E2015" s="13">
        <v>73</v>
      </c>
      <c r="F2015" s="86">
        <v>138</v>
      </c>
      <c r="G2015" s="11">
        <v>125</v>
      </c>
      <c r="H2015" s="86">
        <v>137</v>
      </c>
      <c r="I2015" s="11">
        <f>SUM('PEPE SIERRA '!$B2015:$H2015)</f>
        <v>699</v>
      </c>
      <c r="J2015" s="247">
        <f t="shared" ref="J2015:J2020" si="998">I2015/7</f>
        <v>99.857142857142861</v>
      </c>
    </row>
    <row r="2016" spans="1:10" s="186" customFormat="1" x14ac:dyDescent="0.25">
      <c r="A2016" s="246" t="s">
        <v>13</v>
      </c>
      <c r="B2016" s="233">
        <v>1</v>
      </c>
      <c r="C2016" s="13">
        <v>1</v>
      </c>
      <c r="D2016" s="13">
        <v>2</v>
      </c>
      <c r="E2016" s="13">
        <v>1</v>
      </c>
      <c r="F2016" s="11">
        <v>0</v>
      </c>
      <c r="G2016" s="11">
        <v>4</v>
      </c>
      <c r="H2016" s="11">
        <v>1</v>
      </c>
      <c r="I2016" s="11">
        <f>SUM('PEPE SIERRA '!$B2016:$H2016)</f>
        <v>10</v>
      </c>
      <c r="J2016" s="247">
        <f t="shared" si="998"/>
        <v>1.4285714285714286</v>
      </c>
    </row>
    <row r="2017" spans="1:10" s="186" customFormat="1" x14ac:dyDescent="0.25">
      <c r="A2017" s="246" t="s">
        <v>14</v>
      </c>
      <c r="B2017" s="233">
        <v>42</v>
      </c>
      <c r="C2017" s="13">
        <v>43</v>
      </c>
      <c r="D2017" s="13">
        <v>38</v>
      </c>
      <c r="E2017" s="13">
        <v>31</v>
      </c>
      <c r="F2017" s="11">
        <v>47</v>
      </c>
      <c r="G2017" s="11">
        <v>49</v>
      </c>
      <c r="H2017" s="86">
        <v>46</v>
      </c>
      <c r="I2017" s="11">
        <f>SUM('PEPE SIERRA '!$B2017:$H2017)</f>
        <v>296</v>
      </c>
      <c r="J2017" s="247">
        <f t="shared" si="998"/>
        <v>42.285714285714285</v>
      </c>
    </row>
    <row r="2018" spans="1:10" s="186" customFormat="1" x14ac:dyDescent="0.25">
      <c r="A2018" s="246" t="s">
        <v>15</v>
      </c>
      <c r="B2018" s="233">
        <v>2</v>
      </c>
      <c r="C2018" s="13">
        <v>1</v>
      </c>
      <c r="D2018" s="13">
        <v>1</v>
      </c>
      <c r="E2018" s="13">
        <v>0</v>
      </c>
      <c r="F2018" s="11">
        <v>1</v>
      </c>
      <c r="G2018" s="11">
        <v>4</v>
      </c>
      <c r="H2018" s="11">
        <v>0</v>
      </c>
      <c r="I2018" s="11">
        <f>SUM('PEPE SIERRA '!$B2018:$H2018)</f>
        <v>9</v>
      </c>
      <c r="J2018" s="247">
        <f t="shared" si="998"/>
        <v>1.2857142857142858</v>
      </c>
    </row>
    <row r="2019" spans="1:10" s="186" customFormat="1" x14ac:dyDescent="0.25">
      <c r="A2019" s="246" t="s">
        <v>16</v>
      </c>
      <c r="B2019" s="233">
        <v>0</v>
      </c>
      <c r="C2019" s="13">
        <v>0</v>
      </c>
      <c r="D2019" s="13">
        <v>0</v>
      </c>
      <c r="E2019" s="13">
        <v>0</v>
      </c>
      <c r="F2019" s="11">
        <v>1</v>
      </c>
      <c r="G2019" s="11">
        <v>0</v>
      </c>
      <c r="H2019" s="11">
        <v>0</v>
      </c>
      <c r="I2019" s="11">
        <f>SUM('PEPE SIERRA '!$B2019:$H2019)</f>
        <v>1</v>
      </c>
      <c r="J2019" s="247">
        <f t="shared" si="998"/>
        <v>0.14285714285714285</v>
      </c>
    </row>
    <row r="2020" spans="1:10" s="186" customFormat="1" x14ac:dyDescent="0.25">
      <c r="A2020" s="248" t="s">
        <v>17</v>
      </c>
      <c r="B2020" s="249">
        <f>SUM(B2015:B2019)</f>
        <v>120</v>
      </c>
      <c r="C2020" s="192">
        <f t="shared" ref="C2020:I2020" si="999">SUM(C2015:C2019)</f>
        <v>119</v>
      </c>
      <c r="D2020" s="192">
        <f t="shared" si="999"/>
        <v>118</v>
      </c>
      <c r="E2020" s="192">
        <f t="shared" si="999"/>
        <v>105</v>
      </c>
      <c r="F2020" s="192">
        <f t="shared" si="999"/>
        <v>187</v>
      </c>
      <c r="G2020" s="192">
        <f t="shared" si="999"/>
        <v>182</v>
      </c>
      <c r="H2020" s="192">
        <f t="shared" si="999"/>
        <v>184</v>
      </c>
      <c r="I2020" s="192">
        <f t="shared" si="999"/>
        <v>1015</v>
      </c>
      <c r="J2020" s="250">
        <f t="shared" si="998"/>
        <v>145</v>
      </c>
    </row>
    <row r="2021" spans="1:10" s="186" customFormat="1" x14ac:dyDescent="0.25">
      <c r="A2021" s="246" t="s">
        <v>18</v>
      </c>
      <c r="B2021" s="234">
        <v>0.67</v>
      </c>
      <c r="C2021" s="235">
        <v>0.69</v>
      </c>
      <c r="D2021" s="235">
        <v>0.69</v>
      </c>
      <c r="E2021" s="235">
        <v>0.76</v>
      </c>
      <c r="F2021" s="30">
        <v>0.79</v>
      </c>
      <c r="G2021" s="30">
        <v>0.73</v>
      </c>
      <c r="H2021" s="30">
        <v>0.81</v>
      </c>
      <c r="I2021" s="30">
        <f>I2028/I2033</f>
        <v>0.74245422289857921</v>
      </c>
      <c r="J2021" s="251">
        <f>J2028/J2033</f>
        <v>0.74245422289857921</v>
      </c>
    </row>
    <row r="2022" spans="1:10" s="186" customFormat="1" x14ac:dyDescent="0.25">
      <c r="A2022" s="246" t="s">
        <v>19</v>
      </c>
      <c r="B2022" s="234">
        <v>0</v>
      </c>
      <c r="C2022" s="235">
        <v>0.01</v>
      </c>
      <c r="D2022" s="235">
        <v>0.01</v>
      </c>
      <c r="E2022" s="235">
        <v>0.01</v>
      </c>
      <c r="F2022" s="30">
        <v>0</v>
      </c>
      <c r="G2022" s="30">
        <v>0.02</v>
      </c>
      <c r="H2022" s="30">
        <v>0</v>
      </c>
      <c r="I2022" s="30">
        <f>I2029/I2033</f>
        <v>7.0261990907736086E-3</v>
      </c>
      <c r="J2022" s="251">
        <f>J2029/J2033</f>
        <v>7.0261990907736086E-3</v>
      </c>
    </row>
    <row r="2023" spans="1:10" s="186" customFormat="1" x14ac:dyDescent="0.25">
      <c r="A2023" s="246" t="s">
        <v>20</v>
      </c>
      <c r="B2023" s="234">
        <v>0.3</v>
      </c>
      <c r="C2023" s="235">
        <v>0.3</v>
      </c>
      <c r="D2023" s="235">
        <v>0.28999999999999998</v>
      </c>
      <c r="E2023" s="235">
        <v>0.23</v>
      </c>
      <c r="F2023" s="30">
        <v>0.2</v>
      </c>
      <c r="G2023" s="30">
        <v>0.24</v>
      </c>
      <c r="H2023" s="30">
        <v>0.19</v>
      </c>
      <c r="I2023" s="30">
        <f>I2030/I2033</f>
        <v>0.2423283829212248</v>
      </c>
      <c r="J2023" s="251">
        <f>J2030/J2033</f>
        <v>0.2423283829212248</v>
      </c>
    </row>
    <row r="2024" spans="1:10" s="186" customFormat="1" x14ac:dyDescent="0.25">
      <c r="A2024" s="246" t="s">
        <v>21</v>
      </c>
      <c r="B2024" s="234">
        <v>0.03</v>
      </c>
      <c r="C2024" s="235">
        <v>0</v>
      </c>
      <c r="D2024" s="235">
        <v>0.01</v>
      </c>
      <c r="E2024" s="235">
        <v>0</v>
      </c>
      <c r="F2024" s="30">
        <v>0</v>
      </c>
      <c r="G2024" s="30">
        <v>0.01</v>
      </c>
      <c r="H2024" s="30">
        <v>0</v>
      </c>
      <c r="I2024" s="30">
        <f>I2031/I2033</f>
        <v>6.4636716173743433E-3</v>
      </c>
      <c r="J2024" s="251">
        <f>J2031/J2033</f>
        <v>6.4636716173743442E-3</v>
      </c>
    </row>
    <row r="2025" spans="1:10" s="186" customFormat="1" x14ac:dyDescent="0.25">
      <c r="A2025" s="246" t="s">
        <v>22</v>
      </c>
      <c r="B2025" s="234">
        <v>0</v>
      </c>
      <c r="C2025" s="235">
        <v>0</v>
      </c>
      <c r="D2025" s="235">
        <v>0</v>
      </c>
      <c r="E2025" s="235">
        <v>0</v>
      </c>
      <c r="F2025" s="30">
        <v>0.01</v>
      </c>
      <c r="G2025" s="30">
        <v>0</v>
      </c>
      <c r="H2025" s="30">
        <v>0</v>
      </c>
      <c r="I2025" s="30">
        <f>I2032/I2033</f>
        <v>1.7275234720481884E-3</v>
      </c>
      <c r="J2025" s="251">
        <f>J2032/J2033</f>
        <v>1.7275234720481884E-3</v>
      </c>
    </row>
    <row r="2026" spans="1:10" s="186" customFormat="1" x14ac:dyDescent="0.25">
      <c r="A2026" s="252" t="s">
        <v>23</v>
      </c>
      <c r="B2026" s="253">
        <f t="shared" ref="B2026:J2026" si="1000">B2037/B2020</f>
        <v>36414.166666666664</v>
      </c>
      <c r="C2026" s="66">
        <f t="shared" si="1000"/>
        <v>35791.596638655465</v>
      </c>
      <c r="D2026" s="66">
        <f t="shared" si="1000"/>
        <v>37699.152542372882</v>
      </c>
      <c r="E2026" s="66">
        <f t="shared" si="1000"/>
        <v>40570.476190476191</v>
      </c>
      <c r="F2026" s="66">
        <f t="shared" si="1000"/>
        <v>35072.192513368987</v>
      </c>
      <c r="G2026" s="66">
        <f t="shared" si="1000"/>
        <v>36985.71428571429</v>
      </c>
      <c r="H2026" s="66">
        <f t="shared" si="1000"/>
        <v>38358.695652173912</v>
      </c>
      <c r="I2026" s="66">
        <f t="shared" si="1000"/>
        <v>37128.275862068964</v>
      </c>
      <c r="J2026" s="254">
        <f t="shared" si="1000"/>
        <v>37128.275862068964</v>
      </c>
    </row>
    <row r="2027" spans="1:10" s="186" customFormat="1" x14ac:dyDescent="0.25">
      <c r="A2027" s="252" t="s">
        <v>24</v>
      </c>
      <c r="B2027" s="253">
        <f t="shared" ref="B2027:I2027" si="1001">+B2037/B2014</f>
        <v>29725.850340136054</v>
      </c>
      <c r="C2027" s="66">
        <f t="shared" si="1001"/>
        <v>29577.777777777777</v>
      </c>
      <c r="D2027" s="66">
        <f t="shared" si="1001"/>
        <v>29075.16339869281</v>
      </c>
      <c r="E2027" s="66">
        <f t="shared" si="1001"/>
        <v>29999.295774647886</v>
      </c>
      <c r="F2027" s="66">
        <f t="shared" si="1001"/>
        <v>28639.737991266378</v>
      </c>
      <c r="G2027" s="66">
        <f t="shared" si="1001"/>
        <v>28522.881355932208</v>
      </c>
      <c r="H2027" s="66">
        <f t="shared" si="1001"/>
        <v>27570.3125</v>
      </c>
      <c r="I2027" s="66">
        <f t="shared" si="1001"/>
        <v>28833.35883703137</v>
      </c>
      <c r="J2027" s="254">
        <f>J2037/J2014</f>
        <v>28833.35883703137</v>
      </c>
    </row>
    <row r="2028" spans="1:10" s="186" customFormat="1" x14ac:dyDescent="0.25">
      <c r="A2028" s="246" t="s">
        <v>25</v>
      </c>
      <c r="B2028" s="255">
        <f t="shared" ref="B2028:H2028" si="1002">B2033*B2021</f>
        <v>2402574.9482758627</v>
      </c>
      <c r="C2028" s="92">
        <f t="shared" si="1002"/>
        <v>2410230.8151724138</v>
      </c>
      <c r="D2028" s="92">
        <f t="shared" si="1002"/>
        <v>2517834.6972413794</v>
      </c>
      <c r="E2028" s="92">
        <f t="shared" si="1002"/>
        <v>2657040.2455172413</v>
      </c>
      <c r="F2028" s="92">
        <f t="shared" si="1002"/>
        <v>4203390.3751724148</v>
      </c>
      <c r="G2028" s="92">
        <f t="shared" si="1002"/>
        <v>4015862.1551724141</v>
      </c>
      <c r="H2028" s="92">
        <f t="shared" si="1002"/>
        <v>4660549.4544827593</v>
      </c>
      <c r="I2028" s="31">
        <f t="shared" ref="I2028:I2033" si="1003">SUM(B2028:H2028)</f>
        <v>22867482.691034488</v>
      </c>
      <c r="J2028" s="256">
        <f t="shared" ref="J2028:J2037" si="1004">I2028/7</f>
        <v>3266783.2415763554</v>
      </c>
    </row>
    <row r="2029" spans="1:10" s="186" customFormat="1" x14ac:dyDescent="0.25">
      <c r="A2029" s="246" t="s">
        <v>26</v>
      </c>
      <c r="B2029" s="255">
        <f t="shared" ref="B2029:H2029" si="1005">B2033*B2022</f>
        <v>0</v>
      </c>
      <c r="C2029" s="92">
        <f t="shared" si="1005"/>
        <v>34930.881379310347</v>
      </c>
      <c r="D2029" s="92">
        <f t="shared" si="1005"/>
        <v>36490.357931034487</v>
      </c>
      <c r="E2029" s="92">
        <f t="shared" si="1005"/>
        <v>34961.05586206897</v>
      </c>
      <c r="F2029" s="92">
        <f t="shared" si="1005"/>
        <v>0</v>
      </c>
      <c r="G2029" s="92">
        <f t="shared" si="1005"/>
        <v>110023.62068965519</v>
      </c>
      <c r="H2029" s="92">
        <f t="shared" si="1005"/>
        <v>0</v>
      </c>
      <c r="I2029" s="31">
        <f t="shared" si="1003"/>
        <v>216405.915862069</v>
      </c>
      <c r="J2029" s="256">
        <f t="shared" si="1004"/>
        <v>30915.130837438428</v>
      </c>
    </row>
    <row r="2030" spans="1:10" s="186" customFormat="1" x14ac:dyDescent="0.25">
      <c r="A2030" s="246" t="s">
        <v>27</v>
      </c>
      <c r="B2030" s="255">
        <f t="shared" ref="B2030:H2030" si="1006">B2033*B2023</f>
        <v>1075779.8275862071</v>
      </c>
      <c r="C2030" s="92">
        <f t="shared" si="1006"/>
        <v>1047926.4413793104</v>
      </c>
      <c r="D2030" s="92">
        <f t="shared" si="1006"/>
        <v>1058220.3800000001</v>
      </c>
      <c r="E2030" s="92">
        <f t="shared" si="1006"/>
        <v>804104.28482758626</v>
      </c>
      <c r="F2030" s="92">
        <f t="shared" si="1006"/>
        <v>1064149.4620689657</v>
      </c>
      <c r="G2030" s="92">
        <f t="shared" si="1006"/>
        <v>1320283.4482758623</v>
      </c>
      <c r="H2030" s="92">
        <f t="shared" si="1006"/>
        <v>1093215.304137931</v>
      </c>
      <c r="I2030" s="31">
        <f t="shared" si="1003"/>
        <v>7463679.1482758634</v>
      </c>
      <c r="J2030" s="256">
        <f t="shared" si="1004"/>
        <v>1066239.8783251233</v>
      </c>
    </row>
    <row r="2031" spans="1:10" s="186" customFormat="1" x14ac:dyDescent="0.25">
      <c r="A2031" s="246" t="s">
        <v>28</v>
      </c>
      <c r="B2031" s="255">
        <f t="shared" ref="B2031:H2031" si="1007">B2033*B2024</f>
        <v>107577.9827586207</v>
      </c>
      <c r="C2031" s="92">
        <f t="shared" si="1007"/>
        <v>0</v>
      </c>
      <c r="D2031" s="92">
        <f t="shared" si="1007"/>
        <v>36490.357931034487</v>
      </c>
      <c r="E2031" s="92">
        <f t="shared" si="1007"/>
        <v>0</v>
      </c>
      <c r="F2031" s="92">
        <f t="shared" si="1007"/>
        <v>0</v>
      </c>
      <c r="G2031" s="92">
        <f t="shared" si="1007"/>
        <v>55011.810344827594</v>
      </c>
      <c r="H2031" s="92">
        <f t="shared" si="1007"/>
        <v>0</v>
      </c>
      <c r="I2031" s="31">
        <f t="shared" si="1003"/>
        <v>199080.15103448278</v>
      </c>
      <c r="J2031" s="256">
        <f t="shared" si="1004"/>
        <v>28440.021576354684</v>
      </c>
    </row>
    <row r="2032" spans="1:10" s="186" customFormat="1" x14ac:dyDescent="0.25">
      <c r="A2032" s="246" t="s">
        <v>29</v>
      </c>
      <c r="B2032" s="255">
        <f t="shared" ref="B2032:H2032" si="1008">B2033*B2025</f>
        <v>0</v>
      </c>
      <c r="C2032" s="731">
        <f t="shared" si="1008"/>
        <v>0</v>
      </c>
      <c r="D2032" s="731">
        <f t="shared" si="1008"/>
        <v>0</v>
      </c>
      <c r="E2032" s="731">
        <f t="shared" si="1008"/>
        <v>0</v>
      </c>
      <c r="F2032" s="731">
        <f t="shared" si="1008"/>
        <v>53207.473103448283</v>
      </c>
      <c r="G2032" s="731">
        <f t="shared" si="1008"/>
        <v>0</v>
      </c>
      <c r="H2032" s="731">
        <f t="shared" si="1008"/>
        <v>0</v>
      </c>
      <c r="I2032" s="31">
        <f t="shared" si="1003"/>
        <v>53207.473103448283</v>
      </c>
      <c r="J2032" s="256">
        <f t="shared" si="1004"/>
        <v>7601.0675862068974</v>
      </c>
    </row>
    <row r="2033" spans="1:10" s="186" customFormat="1" x14ac:dyDescent="0.25">
      <c r="A2033" s="257" t="s">
        <v>30</v>
      </c>
      <c r="B2033" s="258">
        <f>(4369700/1.16)-B2034</f>
        <v>3585932.7586206901</v>
      </c>
      <c r="C2033" s="733">
        <f>(4259200/1.16)-C2034</f>
        <v>3493088.1379310349</v>
      </c>
      <c r="D2033" s="733">
        <f>(4448500/1.16)-D2034</f>
        <v>3649035.7931034486</v>
      </c>
      <c r="E2033" s="733">
        <f>(4259900/1.16)-E2034</f>
        <v>3496105.5862068967</v>
      </c>
      <c r="F2033" s="733">
        <f>(6558500/1.16)-F2034</f>
        <v>5320747.3103448283</v>
      </c>
      <c r="G2033" s="733">
        <f>(6731400/1.16)-G2034</f>
        <v>5501181.0344827594</v>
      </c>
      <c r="H2033" s="733">
        <f>(7058000/1.16)-H2034</f>
        <v>5753764.7586206896</v>
      </c>
      <c r="I2033" s="730">
        <f t="shared" si="1003"/>
        <v>30799855.379310347</v>
      </c>
      <c r="J2033" s="259">
        <f t="shared" si="1004"/>
        <v>4399979.339901478</v>
      </c>
    </row>
    <row r="2034" spans="1:10" s="186" customFormat="1" x14ac:dyDescent="0.25">
      <c r="A2034" s="246" t="s">
        <v>31</v>
      </c>
      <c r="B2034" s="255">
        <f t="shared" ref="B2034:I2034" si="1009">2414*B2015</f>
        <v>181050</v>
      </c>
      <c r="C2034" s="732">
        <f t="shared" si="1009"/>
        <v>178636</v>
      </c>
      <c r="D2034" s="732">
        <f t="shared" si="1009"/>
        <v>185878</v>
      </c>
      <c r="E2034" s="732">
        <f t="shared" si="1009"/>
        <v>176222</v>
      </c>
      <c r="F2034" s="732">
        <f t="shared" si="1009"/>
        <v>333132</v>
      </c>
      <c r="G2034" s="732">
        <f t="shared" si="1009"/>
        <v>301750</v>
      </c>
      <c r="H2034" s="732">
        <f t="shared" si="1009"/>
        <v>330718</v>
      </c>
      <c r="I2034" s="31">
        <f t="shared" si="1009"/>
        <v>1687386</v>
      </c>
      <c r="J2034" s="256">
        <f t="shared" si="1004"/>
        <v>241055.14285714287</v>
      </c>
    </row>
    <row r="2035" spans="1:10" s="186" customFormat="1" x14ac:dyDescent="0.25">
      <c r="A2035" s="260" t="s">
        <v>32</v>
      </c>
      <c r="B2035" s="261">
        <f>B2034+B2033</f>
        <v>3766982.7586206901</v>
      </c>
      <c r="C2035" s="199">
        <f>C2034+C2033</f>
        <v>3671724.1379310349</v>
      </c>
      <c r="D2035" s="199">
        <f>D2034+D2033</f>
        <v>3834913.7931034486</v>
      </c>
      <c r="E2035" s="199">
        <f>E2034+E2033</f>
        <v>3672327.5862068967</v>
      </c>
      <c r="F2035" s="199">
        <f>F2033+F2034</f>
        <v>5653879.3103448283</v>
      </c>
      <c r="G2035" s="199">
        <f>G2034+G2033</f>
        <v>5802931.0344827594</v>
      </c>
      <c r="H2035" s="199">
        <f>H2034+H2033</f>
        <v>6084482.7586206896</v>
      </c>
      <c r="I2035" s="199">
        <f>I2033+I2034</f>
        <v>32487241.379310347</v>
      </c>
      <c r="J2035" s="262">
        <f t="shared" si="1004"/>
        <v>4641034.4827586208</v>
      </c>
    </row>
    <row r="2036" spans="1:10" s="186" customFormat="1" x14ac:dyDescent="0.25">
      <c r="A2036" s="246" t="s">
        <v>33</v>
      </c>
      <c r="B2036" s="263">
        <f>B2035*16%</f>
        <v>602717.24137931038</v>
      </c>
      <c r="C2036" s="94">
        <f t="shared" ref="C2036:H2036" si="1010">C2035*16%</f>
        <v>587475.86206896557</v>
      </c>
      <c r="D2036" s="94">
        <f t="shared" si="1010"/>
        <v>613586.20689655177</v>
      </c>
      <c r="E2036" s="94">
        <f t="shared" si="1010"/>
        <v>587572.41379310354</v>
      </c>
      <c r="F2036" s="94">
        <f t="shared" si="1010"/>
        <v>904620.68965517252</v>
      </c>
      <c r="G2036" s="94">
        <f t="shared" si="1010"/>
        <v>928468.96551724151</v>
      </c>
      <c r="H2036" s="94">
        <f t="shared" si="1010"/>
        <v>973517.24137931038</v>
      </c>
      <c r="I2036" s="94">
        <f>I2035*16%</f>
        <v>5197958.6206896557</v>
      </c>
      <c r="J2036" s="256">
        <f t="shared" si="1004"/>
        <v>742565.51724137936</v>
      </c>
    </row>
    <row r="2037" spans="1:10" s="186" customFormat="1" ht="15.75" thickBot="1" x14ac:dyDescent="0.3">
      <c r="A2037" s="264" t="s">
        <v>34</v>
      </c>
      <c r="B2037" s="265">
        <f>B2035+B2036</f>
        <v>4369700</v>
      </c>
      <c r="C2037" s="266">
        <f t="shared" ref="C2037:H2037" si="1011">C2035+C2036</f>
        <v>4259200</v>
      </c>
      <c r="D2037" s="266">
        <f t="shared" si="1011"/>
        <v>4448500</v>
      </c>
      <c r="E2037" s="266">
        <f t="shared" si="1011"/>
        <v>4259900</v>
      </c>
      <c r="F2037" s="266">
        <f t="shared" si="1011"/>
        <v>6558500.0000000009</v>
      </c>
      <c r="G2037" s="266">
        <f t="shared" si="1011"/>
        <v>6731400.0000000009</v>
      </c>
      <c r="H2037" s="266">
        <f t="shared" si="1011"/>
        <v>7058000</v>
      </c>
      <c r="I2037" s="266">
        <f>I2035+I2036</f>
        <v>37685200</v>
      </c>
      <c r="J2037" s="267">
        <f t="shared" si="1004"/>
        <v>5383600</v>
      </c>
    </row>
    <row r="2038" spans="1:10" s="186" customFormat="1" ht="15.75" thickBot="1" x14ac:dyDescent="0.3">
      <c r="A2038" s="204"/>
      <c r="B2038" s="112"/>
      <c r="C2038" s="112"/>
      <c r="D2038" s="112"/>
      <c r="E2038" s="112"/>
      <c r="F2038" s="112"/>
      <c r="G2038" s="112"/>
      <c r="H2038" s="112"/>
      <c r="I2038" s="112"/>
      <c r="J2038" s="205"/>
    </row>
    <row r="2039" spans="1:10" s="186" customFormat="1" ht="27" thickBot="1" x14ac:dyDescent="0.3">
      <c r="A2039"/>
      <c r="B2039" s="1002" t="s">
        <v>662</v>
      </c>
      <c r="C2039" s="1002"/>
      <c r="D2039" s="1002"/>
      <c r="E2039" s="1002"/>
      <c r="F2039" s="1002"/>
      <c r="G2039" s="1002"/>
      <c r="H2039" s="1002"/>
      <c r="I2039"/>
      <c r="J2039"/>
    </row>
    <row r="2040" spans="1:10" s="186" customFormat="1" ht="16.5" thickBot="1" x14ac:dyDescent="0.3">
      <c r="A2040" s="238" t="s">
        <v>2</v>
      </c>
      <c r="B2040" s="239" t="s">
        <v>282</v>
      </c>
      <c r="C2040" s="239" t="s">
        <v>4</v>
      </c>
      <c r="D2040" s="239" t="s">
        <v>5</v>
      </c>
      <c r="E2040" s="239" t="s">
        <v>6</v>
      </c>
      <c r="F2040" s="239" t="s">
        <v>7</v>
      </c>
      <c r="G2040" s="239" t="s">
        <v>283</v>
      </c>
      <c r="H2040" s="239" t="s">
        <v>9</v>
      </c>
      <c r="I2040" s="240" t="s">
        <v>96</v>
      </c>
      <c r="J2040" s="241" t="s">
        <v>97</v>
      </c>
    </row>
    <row r="2041" spans="1:10" s="186" customFormat="1" x14ac:dyDescent="0.25">
      <c r="A2041" s="242" t="s">
        <v>11</v>
      </c>
      <c r="B2041" s="243">
        <f>112+89+23</f>
        <v>224</v>
      </c>
      <c r="C2041" s="244">
        <f>63+36+6</f>
        <v>105</v>
      </c>
      <c r="D2041" s="244">
        <f>84+50+15</f>
        <v>149</v>
      </c>
      <c r="E2041" s="244">
        <f>76+47+13</f>
        <v>136</v>
      </c>
      <c r="F2041" s="244">
        <f>168+95+18</f>
        <v>281</v>
      </c>
      <c r="G2041" s="244">
        <f>185+120+38</f>
        <v>343</v>
      </c>
      <c r="H2041" s="268">
        <f>156+90+25</f>
        <v>271</v>
      </c>
      <c r="I2041" s="244">
        <f>SUM(B2041:H2041)</f>
        <v>1509</v>
      </c>
      <c r="J2041" s="245">
        <f>+I2041/7</f>
        <v>215.57142857142858</v>
      </c>
    </row>
    <row r="2042" spans="1:10" s="186" customFormat="1" x14ac:dyDescent="0.25">
      <c r="A2042" s="246" t="s">
        <v>12</v>
      </c>
      <c r="B2042" s="233">
        <v>126</v>
      </c>
      <c r="C2042" s="13">
        <v>54</v>
      </c>
      <c r="D2042" s="13">
        <v>75</v>
      </c>
      <c r="E2042" s="13">
        <v>75</v>
      </c>
      <c r="F2042" s="86">
        <v>154</v>
      </c>
      <c r="G2042" s="11">
        <v>183</v>
      </c>
      <c r="H2042" s="86">
        <v>156</v>
      </c>
      <c r="I2042" s="11">
        <f>SUM('PEPE SIERRA '!$B2042:$H2042)</f>
        <v>823</v>
      </c>
      <c r="J2042" s="247">
        <f t="shared" ref="J2042:J2047" si="1012">I2042/7</f>
        <v>117.57142857142857</v>
      </c>
    </row>
    <row r="2043" spans="1:10" s="186" customFormat="1" x14ac:dyDescent="0.25">
      <c r="A2043" s="246" t="s">
        <v>13</v>
      </c>
      <c r="B2043" s="233">
        <v>0</v>
      </c>
      <c r="C2043" s="13">
        <v>1</v>
      </c>
      <c r="D2043" s="13">
        <v>1</v>
      </c>
      <c r="E2043" s="13">
        <v>2</v>
      </c>
      <c r="F2043" s="11">
        <v>1</v>
      </c>
      <c r="G2043" s="11">
        <v>2</v>
      </c>
      <c r="H2043" s="11">
        <v>0</v>
      </c>
      <c r="I2043" s="11">
        <f>SUM('PEPE SIERRA '!$B2043:$H2043)</f>
        <v>7</v>
      </c>
      <c r="J2043" s="247">
        <f t="shared" si="1012"/>
        <v>1</v>
      </c>
    </row>
    <row r="2044" spans="1:10" s="186" customFormat="1" x14ac:dyDescent="0.25">
      <c r="A2044" s="246" t="s">
        <v>14</v>
      </c>
      <c r="B2044" s="233">
        <v>42</v>
      </c>
      <c r="C2044" s="13">
        <v>34</v>
      </c>
      <c r="D2044" s="13">
        <v>30</v>
      </c>
      <c r="E2044" s="13">
        <v>34</v>
      </c>
      <c r="F2044" s="11">
        <v>65</v>
      </c>
      <c r="G2044" s="11">
        <v>55</v>
      </c>
      <c r="H2044" s="86">
        <v>56</v>
      </c>
      <c r="I2044" s="11">
        <f>SUM('PEPE SIERRA '!$B2044:$H2044)</f>
        <v>316</v>
      </c>
      <c r="J2044" s="247">
        <f t="shared" si="1012"/>
        <v>45.142857142857146</v>
      </c>
    </row>
    <row r="2045" spans="1:10" s="186" customFormat="1" x14ac:dyDescent="0.25">
      <c r="A2045" s="246" t="s">
        <v>15</v>
      </c>
      <c r="B2045" s="233">
        <v>8</v>
      </c>
      <c r="C2045" s="13">
        <v>0</v>
      </c>
      <c r="D2045" s="13">
        <v>8</v>
      </c>
      <c r="E2045" s="13">
        <v>2</v>
      </c>
      <c r="F2045" s="11">
        <v>10</v>
      </c>
      <c r="G2045" s="11">
        <v>23</v>
      </c>
      <c r="H2045" s="11">
        <v>7</v>
      </c>
      <c r="I2045" s="11">
        <f>SUM('PEPE SIERRA '!$B2045:$H2045)</f>
        <v>58</v>
      </c>
      <c r="J2045" s="247">
        <f t="shared" si="1012"/>
        <v>8.2857142857142865</v>
      </c>
    </row>
    <row r="2046" spans="1:10" s="186" customFormat="1" x14ac:dyDescent="0.25">
      <c r="A2046" s="246" t="s">
        <v>16</v>
      </c>
      <c r="B2046" s="233">
        <v>0</v>
      </c>
      <c r="C2046" s="13">
        <v>0</v>
      </c>
      <c r="D2046" s="13">
        <v>1</v>
      </c>
      <c r="E2046" s="13">
        <v>0</v>
      </c>
      <c r="F2046" s="11">
        <v>0</v>
      </c>
      <c r="G2046" s="11">
        <v>0</v>
      </c>
      <c r="H2046" s="11">
        <v>0</v>
      </c>
      <c r="I2046" s="11">
        <f>SUM('PEPE SIERRA '!$B2046:$H2046)</f>
        <v>1</v>
      </c>
      <c r="J2046" s="247">
        <f t="shared" si="1012"/>
        <v>0.14285714285714285</v>
      </c>
    </row>
    <row r="2047" spans="1:10" s="186" customFormat="1" x14ac:dyDescent="0.25">
      <c r="A2047" s="248" t="s">
        <v>17</v>
      </c>
      <c r="B2047" s="249">
        <f>SUM(B2042:B2046)</f>
        <v>176</v>
      </c>
      <c r="C2047" s="192">
        <f t="shared" ref="C2047:I2047" si="1013">SUM(C2042:C2046)</f>
        <v>89</v>
      </c>
      <c r="D2047" s="192">
        <f t="shared" si="1013"/>
        <v>115</v>
      </c>
      <c r="E2047" s="192">
        <f t="shared" si="1013"/>
        <v>113</v>
      </c>
      <c r="F2047" s="192">
        <f t="shared" si="1013"/>
        <v>230</v>
      </c>
      <c r="G2047" s="192">
        <f t="shared" si="1013"/>
        <v>263</v>
      </c>
      <c r="H2047" s="192">
        <f t="shared" si="1013"/>
        <v>219</v>
      </c>
      <c r="I2047" s="192">
        <f t="shared" si="1013"/>
        <v>1205</v>
      </c>
      <c r="J2047" s="250">
        <f t="shared" si="1012"/>
        <v>172.14285714285714</v>
      </c>
    </row>
    <row r="2048" spans="1:10" s="186" customFormat="1" x14ac:dyDescent="0.25">
      <c r="A2048" s="246" t="s">
        <v>18</v>
      </c>
      <c r="B2048" s="234">
        <v>0.74</v>
      </c>
      <c r="C2048" s="235">
        <v>0.65</v>
      </c>
      <c r="D2048" s="235">
        <v>0.76</v>
      </c>
      <c r="E2048" s="235">
        <v>0.71</v>
      </c>
      <c r="F2048" s="30">
        <v>0.74</v>
      </c>
      <c r="G2048" s="30">
        <v>0.75</v>
      </c>
      <c r="H2048" s="30">
        <v>0.74</v>
      </c>
      <c r="I2048" s="30">
        <f>I2055/I2060</f>
        <v>0.7353244983463888</v>
      </c>
      <c r="J2048" s="251">
        <f>J2055/J2060</f>
        <v>0.7353244983463888</v>
      </c>
    </row>
    <row r="2049" spans="1:10" s="186" customFormat="1" x14ac:dyDescent="0.25">
      <c r="A2049" s="246" t="s">
        <v>19</v>
      </c>
      <c r="B2049" s="234">
        <v>0</v>
      </c>
      <c r="C2049" s="235">
        <v>0.01</v>
      </c>
      <c r="D2049" s="235">
        <v>0</v>
      </c>
      <c r="E2049" s="235">
        <v>0.01</v>
      </c>
      <c r="F2049" s="30">
        <v>0</v>
      </c>
      <c r="G2049" s="30">
        <v>0.01</v>
      </c>
      <c r="H2049" s="30">
        <v>0</v>
      </c>
      <c r="I2049" s="30">
        <f>I2056/I2060</f>
        <v>3.8517066547025152E-3</v>
      </c>
      <c r="J2049" s="251">
        <f>J2056/J2060</f>
        <v>3.8517066547025143E-3</v>
      </c>
    </row>
    <row r="2050" spans="1:10" s="186" customFormat="1" x14ac:dyDescent="0.25">
      <c r="A2050" s="246" t="s">
        <v>20</v>
      </c>
      <c r="B2050" s="234">
        <v>0.21</v>
      </c>
      <c r="C2050" s="235">
        <v>0.34</v>
      </c>
      <c r="D2050" s="235">
        <v>0.18</v>
      </c>
      <c r="E2050" s="235">
        <v>0.28000000000000003</v>
      </c>
      <c r="F2050" s="30">
        <v>0.23</v>
      </c>
      <c r="G2050" s="30">
        <v>0.17</v>
      </c>
      <c r="H2050" s="30">
        <v>0.23</v>
      </c>
      <c r="I2050" s="30">
        <f>I2057/I2060</f>
        <v>0.22057583035220907</v>
      </c>
      <c r="J2050" s="251">
        <f>J2057/J2060</f>
        <v>0.22057583035220904</v>
      </c>
    </row>
    <row r="2051" spans="1:10" s="186" customFormat="1" x14ac:dyDescent="0.25">
      <c r="A2051" s="246" t="s">
        <v>21</v>
      </c>
      <c r="B2051" s="234">
        <v>0.05</v>
      </c>
      <c r="C2051" s="235">
        <v>0</v>
      </c>
      <c r="D2051" s="235">
        <v>0.05</v>
      </c>
      <c r="E2051" s="235">
        <v>0</v>
      </c>
      <c r="F2051" s="30">
        <v>0.03</v>
      </c>
      <c r="G2051" s="30">
        <v>7.0000000000000007E-2</v>
      </c>
      <c r="H2051" s="30">
        <v>0.03</v>
      </c>
      <c r="I2051" s="30">
        <f>I2058/I2060</f>
        <v>3.9205606407033564E-2</v>
      </c>
      <c r="J2051" s="251">
        <f>J2058/J2060</f>
        <v>3.9205606407033564E-2</v>
      </c>
    </row>
    <row r="2052" spans="1:10" s="186" customFormat="1" x14ac:dyDescent="0.25">
      <c r="A2052" s="246" t="s">
        <v>22</v>
      </c>
      <c r="B2052" s="234">
        <v>0</v>
      </c>
      <c r="C2052" s="235">
        <v>0</v>
      </c>
      <c r="D2052" s="235">
        <v>0.01</v>
      </c>
      <c r="E2052" s="235">
        <v>0</v>
      </c>
      <c r="F2052" s="30">
        <v>0</v>
      </c>
      <c r="G2052" s="30">
        <v>0</v>
      </c>
      <c r="H2052" s="30">
        <v>0</v>
      </c>
      <c r="I2052" s="30">
        <f>I2059/I2060</f>
        <v>1.0423582396659808E-3</v>
      </c>
      <c r="J2052" s="251">
        <f>J2059/J2060</f>
        <v>1.0423582396659808E-3</v>
      </c>
    </row>
    <row r="2053" spans="1:10" s="186" customFormat="1" x14ac:dyDescent="0.25">
      <c r="A2053" s="252" t="s">
        <v>23</v>
      </c>
      <c r="B2053" s="253">
        <f t="shared" ref="B2053:J2053" si="1014">B2064/B2047</f>
        <v>35570.454545454551</v>
      </c>
      <c r="C2053" s="66">
        <f t="shared" si="1014"/>
        <v>34949.438202247198</v>
      </c>
      <c r="D2053" s="66">
        <f t="shared" si="1014"/>
        <v>39622.608695652176</v>
      </c>
      <c r="E2053" s="66">
        <f t="shared" si="1014"/>
        <v>34288.495575221241</v>
      </c>
      <c r="F2053" s="66">
        <f t="shared" si="1014"/>
        <v>36314.782608695656</v>
      </c>
      <c r="G2053" s="66">
        <f t="shared" si="1014"/>
        <v>37832.699619771869</v>
      </c>
      <c r="H2053" s="66">
        <f t="shared" si="1014"/>
        <v>36071.232876712333</v>
      </c>
      <c r="I2053" s="66">
        <f t="shared" si="1014"/>
        <v>36517.925311203326</v>
      </c>
      <c r="J2053" s="254">
        <f t="shared" si="1014"/>
        <v>36517.925311203326</v>
      </c>
    </row>
    <row r="2054" spans="1:10" s="186" customFormat="1" x14ac:dyDescent="0.25">
      <c r="A2054" s="252" t="s">
        <v>24</v>
      </c>
      <c r="B2054" s="253">
        <f t="shared" ref="B2054:I2054" si="1015">+B2064/B2041</f>
        <v>27948.21428571429</v>
      </c>
      <c r="C2054" s="66">
        <f t="shared" si="1015"/>
        <v>29623.809523809527</v>
      </c>
      <c r="D2054" s="66">
        <f t="shared" si="1015"/>
        <v>30581.208053691276</v>
      </c>
      <c r="E2054" s="66">
        <f t="shared" si="1015"/>
        <v>28489.705882352944</v>
      </c>
      <c r="F2054" s="66">
        <f t="shared" si="1015"/>
        <v>29723.843416370109</v>
      </c>
      <c r="G2054" s="66">
        <f t="shared" si="1015"/>
        <v>29008.746355685136</v>
      </c>
      <c r="H2054" s="66">
        <f t="shared" si="1015"/>
        <v>29149.815498154985</v>
      </c>
      <c r="I2054" s="66">
        <f t="shared" si="1015"/>
        <v>29161.100066269057</v>
      </c>
      <c r="J2054" s="254">
        <f>J2064/J2041</f>
        <v>29161.100066269057</v>
      </c>
    </row>
    <row r="2055" spans="1:10" s="186" customFormat="1" x14ac:dyDescent="0.25">
      <c r="A2055" s="246" t="s">
        <v>25</v>
      </c>
      <c r="B2055" s="255">
        <f t="shared" ref="B2055:H2055" si="1016">B2060*B2048</f>
        <v>3768622.0882758624</v>
      </c>
      <c r="C2055" s="92">
        <f t="shared" si="1016"/>
        <v>1658221.1862068968</v>
      </c>
      <c r="D2055" s="92">
        <f t="shared" si="1016"/>
        <v>2847760.6206896552</v>
      </c>
      <c r="E2055" s="92">
        <f t="shared" si="1016"/>
        <v>2242976.9137931038</v>
      </c>
      <c r="F2055" s="92">
        <f t="shared" si="1016"/>
        <v>5053155.7324137939</v>
      </c>
      <c r="G2055" s="92">
        <f t="shared" si="1016"/>
        <v>6101868.1551724151</v>
      </c>
      <c r="H2055" s="92">
        <f t="shared" si="1016"/>
        <v>4760727.8400000008</v>
      </c>
      <c r="I2055" s="31">
        <f t="shared" ref="I2055:I2060" si="1017">SUM(B2055:H2055)</f>
        <v>26433332.536551725</v>
      </c>
      <c r="J2055" s="256">
        <f t="shared" ref="J2055:J2064" si="1018">I2055/7</f>
        <v>3776190.362364532</v>
      </c>
    </row>
    <row r="2056" spans="1:10" s="186" customFormat="1" x14ac:dyDescent="0.25">
      <c r="A2056" s="246" t="s">
        <v>26</v>
      </c>
      <c r="B2056" s="255">
        <f t="shared" ref="B2056:H2056" si="1019">B2060*B2049</f>
        <v>0</v>
      </c>
      <c r="C2056" s="92">
        <f t="shared" si="1019"/>
        <v>25511.095172413799</v>
      </c>
      <c r="D2056" s="92">
        <f t="shared" si="1019"/>
        <v>0</v>
      </c>
      <c r="E2056" s="92">
        <f t="shared" si="1019"/>
        <v>31591.22413793104</v>
      </c>
      <c r="F2056" s="92">
        <f t="shared" si="1019"/>
        <v>0</v>
      </c>
      <c r="G2056" s="92">
        <f t="shared" si="1019"/>
        <v>81358.242068965526</v>
      </c>
      <c r="H2056" s="92">
        <f t="shared" si="1019"/>
        <v>0</v>
      </c>
      <c r="I2056" s="31">
        <f t="shared" si="1017"/>
        <v>138460.56137931038</v>
      </c>
      <c r="J2056" s="256">
        <f t="shared" si="1018"/>
        <v>19780.080197044339</v>
      </c>
    </row>
    <row r="2057" spans="1:10" s="186" customFormat="1" x14ac:dyDescent="0.25">
      <c r="A2057" s="246" t="s">
        <v>27</v>
      </c>
      <c r="B2057" s="255">
        <f t="shared" ref="B2057:H2057" si="1020">B2060*B2050</f>
        <v>1069473.8358620692</v>
      </c>
      <c r="C2057" s="92">
        <f t="shared" si="1020"/>
        <v>867377.23586206918</v>
      </c>
      <c r="D2057" s="92">
        <f t="shared" si="1020"/>
        <v>674469.62068965519</v>
      </c>
      <c r="E2057" s="92">
        <f t="shared" si="1020"/>
        <v>884554.2758620691</v>
      </c>
      <c r="F2057" s="92">
        <f t="shared" si="1020"/>
        <v>1570575.4303448277</v>
      </c>
      <c r="G2057" s="92">
        <f t="shared" si="1020"/>
        <v>1383090.1151724141</v>
      </c>
      <c r="H2057" s="92">
        <f t="shared" si="1020"/>
        <v>1479685.6800000002</v>
      </c>
      <c r="I2057" s="31">
        <f t="shared" si="1017"/>
        <v>7929226.193793105</v>
      </c>
      <c r="J2057" s="256">
        <f t="shared" si="1018"/>
        <v>1132746.5991133007</v>
      </c>
    </row>
    <row r="2058" spans="1:10" s="186" customFormat="1" x14ac:dyDescent="0.25">
      <c r="A2058" s="246" t="s">
        <v>28</v>
      </c>
      <c r="B2058" s="255">
        <f t="shared" ref="B2058:H2058" si="1021">B2060*B2051</f>
        <v>254636.62758620695</v>
      </c>
      <c r="C2058" s="92">
        <f t="shared" si="1021"/>
        <v>0</v>
      </c>
      <c r="D2058" s="92">
        <f t="shared" si="1021"/>
        <v>187352.67241379313</v>
      </c>
      <c r="E2058" s="92">
        <f t="shared" si="1021"/>
        <v>0</v>
      </c>
      <c r="F2058" s="92">
        <f t="shared" si="1021"/>
        <v>204857.66482758621</v>
      </c>
      <c r="G2058" s="92">
        <f t="shared" si="1021"/>
        <v>569507.69448275876</v>
      </c>
      <c r="H2058" s="92">
        <f t="shared" si="1021"/>
        <v>193002.48</v>
      </c>
      <c r="I2058" s="31">
        <f t="shared" si="1017"/>
        <v>1409357.1393103451</v>
      </c>
      <c r="J2058" s="256">
        <f t="shared" si="1018"/>
        <v>201336.73418719214</v>
      </c>
    </row>
    <row r="2059" spans="1:10" s="186" customFormat="1" x14ac:dyDescent="0.25">
      <c r="A2059" s="246" t="s">
        <v>29</v>
      </c>
      <c r="B2059" s="255">
        <f t="shared" ref="B2059:H2059" si="1022">B2060*B2052</f>
        <v>0</v>
      </c>
      <c r="C2059" s="731">
        <f t="shared" si="1022"/>
        <v>0</v>
      </c>
      <c r="D2059" s="731">
        <f t="shared" si="1022"/>
        <v>37470.534482758623</v>
      </c>
      <c r="E2059" s="731">
        <f t="shared" si="1022"/>
        <v>0</v>
      </c>
      <c r="F2059" s="731">
        <f t="shared" si="1022"/>
        <v>0</v>
      </c>
      <c r="G2059" s="731">
        <f t="shared" si="1022"/>
        <v>0</v>
      </c>
      <c r="H2059" s="731">
        <f t="shared" si="1022"/>
        <v>0</v>
      </c>
      <c r="I2059" s="31">
        <f t="shared" si="1017"/>
        <v>37470.534482758623</v>
      </c>
      <c r="J2059" s="256">
        <f t="shared" si="1018"/>
        <v>5352.9334975369466</v>
      </c>
    </row>
    <row r="2060" spans="1:10" s="186" customFormat="1" x14ac:dyDescent="0.25">
      <c r="A2060" s="257" t="s">
        <v>30</v>
      </c>
      <c r="B2060" s="258">
        <f>(6260400/1.16)-B2061</f>
        <v>5092732.5517241387</v>
      </c>
      <c r="C2060" s="733">
        <f>(3110500/1.16)-C2061</f>
        <v>2551109.5172413797</v>
      </c>
      <c r="D2060" s="733">
        <f>(4556600/1.16)-D2061</f>
        <v>3747053.4482758623</v>
      </c>
      <c r="E2060" s="733">
        <f>(3874600/1.16)-E2061</f>
        <v>3159122.4137931038</v>
      </c>
      <c r="F2060" s="733">
        <f>(8352400/1.16)-F2061</f>
        <v>6828588.8275862075</v>
      </c>
      <c r="G2060" s="733">
        <f>(9950000/1.16)-G2061</f>
        <v>8135824.2068965528</v>
      </c>
      <c r="H2060" s="733">
        <f>(7899600/1.16)-H2061</f>
        <v>6433416.0000000009</v>
      </c>
      <c r="I2060" s="730">
        <f t="shared" si="1017"/>
        <v>35947846.965517245</v>
      </c>
      <c r="J2060" s="259">
        <f t="shared" si="1018"/>
        <v>5135406.7093596067</v>
      </c>
    </row>
    <row r="2061" spans="1:10" s="186" customFormat="1" x14ac:dyDescent="0.25">
      <c r="A2061" s="246" t="s">
        <v>31</v>
      </c>
      <c r="B2061" s="255">
        <f t="shared" ref="B2061:I2061" si="1023">2414*B2042</f>
        <v>304164</v>
      </c>
      <c r="C2061" s="732">
        <f t="shared" si="1023"/>
        <v>130356</v>
      </c>
      <c r="D2061" s="732">
        <f t="shared" si="1023"/>
        <v>181050</v>
      </c>
      <c r="E2061" s="732">
        <f t="shared" si="1023"/>
        <v>181050</v>
      </c>
      <c r="F2061" s="732">
        <f t="shared" si="1023"/>
        <v>371756</v>
      </c>
      <c r="G2061" s="732">
        <f t="shared" si="1023"/>
        <v>441762</v>
      </c>
      <c r="H2061" s="732">
        <f t="shared" si="1023"/>
        <v>376584</v>
      </c>
      <c r="I2061" s="31">
        <f t="shared" si="1023"/>
        <v>1986722</v>
      </c>
      <c r="J2061" s="256">
        <f t="shared" si="1018"/>
        <v>283817.42857142858</v>
      </c>
    </row>
    <row r="2062" spans="1:10" s="186" customFormat="1" x14ac:dyDescent="0.25">
      <c r="A2062" s="260" t="s">
        <v>32</v>
      </c>
      <c r="B2062" s="261">
        <f>B2061+B2060</f>
        <v>5396896.5517241387</v>
      </c>
      <c r="C2062" s="199">
        <f>C2061+C2060</f>
        <v>2681465.5172413797</v>
      </c>
      <c r="D2062" s="199">
        <f>D2061+D2060</f>
        <v>3928103.4482758623</v>
      </c>
      <c r="E2062" s="199">
        <f>E2061+E2060</f>
        <v>3340172.4137931038</v>
      </c>
      <c r="F2062" s="199">
        <f>F2060+F2061</f>
        <v>7200344.8275862075</v>
      </c>
      <c r="G2062" s="199">
        <f>G2061+G2060</f>
        <v>8577586.2068965528</v>
      </c>
      <c r="H2062" s="199">
        <f>H2061+H2060</f>
        <v>6810000.0000000009</v>
      </c>
      <c r="I2062" s="199">
        <f>I2060+I2061</f>
        <v>37934568.965517245</v>
      </c>
      <c r="J2062" s="262">
        <f t="shared" si="1018"/>
        <v>5419224.1379310349</v>
      </c>
    </row>
    <row r="2063" spans="1:10" s="186" customFormat="1" x14ac:dyDescent="0.25">
      <c r="A2063" s="246" t="s">
        <v>33</v>
      </c>
      <c r="B2063" s="263">
        <f>B2062*16%</f>
        <v>863503.44827586226</v>
      </c>
      <c r="C2063" s="94">
        <f t="shared" ref="C2063:H2063" si="1024">C2062*16%</f>
        <v>429034.48275862075</v>
      </c>
      <c r="D2063" s="94">
        <f t="shared" si="1024"/>
        <v>628496.55172413797</v>
      </c>
      <c r="E2063" s="94">
        <f t="shared" si="1024"/>
        <v>534427.58620689658</v>
      </c>
      <c r="F2063" s="94">
        <f t="shared" si="1024"/>
        <v>1152055.1724137932</v>
      </c>
      <c r="G2063" s="94">
        <f t="shared" si="1024"/>
        <v>1372413.7931034486</v>
      </c>
      <c r="H2063" s="94">
        <f t="shared" si="1024"/>
        <v>1089600.0000000002</v>
      </c>
      <c r="I2063" s="94">
        <f>I2062*16%</f>
        <v>6069531.0344827594</v>
      </c>
      <c r="J2063" s="256">
        <f t="shared" si="1018"/>
        <v>867075.86206896568</v>
      </c>
    </row>
    <row r="2064" spans="1:10" s="186" customFormat="1" ht="15.75" thickBot="1" x14ac:dyDescent="0.3">
      <c r="A2064" s="264" t="s">
        <v>34</v>
      </c>
      <c r="B2064" s="265">
        <f>B2062+B2063</f>
        <v>6260400.0000000009</v>
      </c>
      <c r="C2064" s="266">
        <f t="shared" ref="C2064:H2064" si="1025">C2062+C2063</f>
        <v>3110500.0000000005</v>
      </c>
      <c r="D2064" s="266">
        <f t="shared" si="1025"/>
        <v>4556600</v>
      </c>
      <c r="E2064" s="266">
        <f t="shared" si="1025"/>
        <v>3874600.0000000005</v>
      </c>
      <c r="F2064" s="266">
        <f t="shared" si="1025"/>
        <v>8352400.0000000009</v>
      </c>
      <c r="G2064" s="266">
        <f t="shared" si="1025"/>
        <v>9950000.0000000019</v>
      </c>
      <c r="H2064" s="266">
        <f t="shared" si="1025"/>
        <v>7899600.0000000009</v>
      </c>
      <c r="I2064" s="266">
        <f>I2062+I2063</f>
        <v>44004100.000000007</v>
      </c>
      <c r="J2064" s="267">
        <f t="shared" si="1018"/>
        <v>6286300.0000000009</v>
      </c>
    </row>
    <row r="2065" spans="1:10" s="186" customFormat="1" ht="15.75" thickBot="1" x14ac:dyDescent="0.3">
      <c r="A2065" s="204"/>
      <c r="B2065" s="112"/>
      <c r="C2065" s="112"/>
      <c r="D2065" s="112"/>
      <c r="E2065" s="112"/>
      <c r="F2065" s="112"/>
      <c r="G2065" s="112"/>
      <c r="H2065" s="112"/>
      <c r="I2065" s="112"/>
      <c r="J2065" s="205"/>
    </row>
    <row r="2066" spans="1:10" s="186" customFormat="1" ht="27" thickBot="1" x14ac:dyDescent="0.3">
      <c r="A2066"/>
      <c r="B2066" s="1002" t="s">
        <v>666</v>
      </c>
      <c r="C2066" s="1002"/>
      <c r="D2066" s="1002"/>
      <c r="E2066" s="1002"/>
      <c r="F2066" s="1002"/>
      <c r="G2066" s="1002"/>
      <c r="H2066" s="1002"/>
      <c r="I2066"/>
      <c r="J2066"/>
    </row>
    <row r="2067" spans="1:10" s="186" customFormat="1" ht="16.5" thickBot="1" x14ac:dyDescent="0.3">
      <c r="A2067" s="238" t="s">
        <v>2</v>
      </c>
      <c r="B2067" s="239" t="s">
        <v>285</v>
      </c>
      <c r="C2067" s="239" t="s">
        <v>37</v>
      </c>
      <c r="D2067" s="239" t="s">
        <v>286</v>
      </c>
      <c r="E2067" s="239" t="s">
        <v>39</v>
      </c>
      <c r="F2067" s="239" t="s">
        <v>40</v>
      </c>
      <c r="G2067" s="239" t="s">
        <v>287</v>
      </c>
      <c r="H2067" s="239" t="s">
        <v>42</v>
      </c>
      <c r="I2067" s="240" t="s">
        <v>96</v>
      </c>
      <c r="J2067" s="241" t="s">
        <v>97</v>
      </c>
    </row>
    <row r="2068" spans="1:10" s="186" customFormat="1" x14ac:dyDescent="0.25">
      <c r="A2068" s="242" t="s">
        <v>11</v>
      </c>
      <c r="B2068" s="243">
        <f>60+37+15</f>
        <v>112</v>
      </c>
      <c r="C2068" s="244">
        <f>79+60+12</f>
        <v>151</v>
      </c>
      <c r="D2068" s="244">
        <f>80+45+15</f>
        <v>140</v>
      </c>
      <c r="E2068" s="244">
        <f>84+47+11</f>
        <v>142</v>
      </c>
      <c r="F2068" s="244">
        <f>192+102+40</f>
        <v>334</v>
      </c>
      <c r="G2068" s="244">
        <f>170+106+28</f>
        <v>304</v>
      </c>
      <c r="H2068" s="268">
        <f>162+117+46</f>
        <v>325</v>
      </c>
      <c r="I2068" s="244">
        <f>SUM(B2068:H2068)</f>
        <v>1508</v>
      </c>
      <c r="J2068" s="245">
        <f>+I2068/7</f>
        <v>215.42857142857142</v>
      </c>
    </row>
    <row r="2069" spans="1:10" s="186" customFormat="1" x14ac:dyDescent="0.25">
      <c r="A2069" s="246" t="s">
        <v>12</v>
      </c>
      <c r="B2069" s="233">
        <v>65</v>
      </c>
      <c r="C2069" s="13">
        <v>86</v>
      </c>
      <c r="D2069" s="13">
        <v>79</v>
      </c>
      <c r="E2069" s="13">
        <v>82</v>
      </c>
      <c r="F2069" s="86">
        <v>175</v>
      </c>
      <c r="G2069" s="11">
        <v>185</v>
      </c>
      <c r="H2069" s="86">
        <v>190</v>
      </c>
      <c r="I2069" s="11">
        <f>SUM('PEPE SIERRA '!$B2069:$H2069)</f>
        <v>862</v>
      </c>
      <c r="J2069" s="247">
        <f t="shared" ref="J2069:J2074" si="1026">I2069/7</f>
        <v>123.14285714285714</v>
      </c>
    </row>
    <row r="2070" spans="1:10" s="186" customFormat="1" x14ac:dyDescent="0.25">
      <c r="A2070" s="246" t="s">
        <v>13</v>
      </c>
      <c r="B2070" s="233">
        <v>1</v>
      </c>
      <c r="C2070" s="13">
        <v>0</v>
      </c>
      <c r="D2070" s="13">
        <v>0</v>
      </c>
      <c r="E2070" s="13">
        <v>0</v>
      </c>
      <c r="F2070" s="11">
        <v>5</v>
      </c>
      <c r="G2070" s="11">
        <v>4</v>
      </c>
      <c r="H2070" s="11">
        <v>1</v>
      </c>
      <c r="I2070" s="11">
        <f>SUM('PEPE SIERRA '!$B2070:$H2070)</f>
        <v>11</v>
      </c>
      <c r="J2070" s="247">
        <f t="shared" si="1026"/>
        <v>1.5714285714285714</v>
      </c>
    </row>
    <row r="2071" spans="1:10" s="186" customFormat="1" x14ac:dyDescent="0.25">
      <c r="A2071" s="246" t="s">
        <v>14</v>
      </c>
      <c r="B2071" s="233">
        <v>25</v>
      </c>
      <c r="C2071" s="13">
        <v>29</v>
      </c>
      <c r="D2071" s="13">
        <v>29</v>
      </c>
      <c r="E2071" s="13">
        <v>29</v>
      </c>
      <c r="F2071" s="11">
        <v>62</v>
      </c>
      <c r="G2071" s="11">
        <v>49</v>
      </c>
      <c r="H2071" s="86">
        <v>60</v>
      </c>
      <c r="I2071" s="11">
        <f>SUM('PEPE SIERRA '!$B2071:$H2071)</f>
        <v>283</v>
      </c>
      <c r="J2071" s="247">
        <f t="shared" si="1026"/>
        <v>40.428571428571431</v>
      </c>
    </row>
    <row r="2072" spans="1:10" s="186" customFormat="1" x14ac:dyDescent="0.25">
      <c r="A2072" s="246" t="s">
        <v>15</v>
      </c>
      <c r="B2072" s="233">
        <v>2</v>
      </c>
      <c r="C2072" s="13">
        <v>2</v>
      </c>
      <c r="D2072" s="13">
        <v>0</v>
      </c>
      <c r="E2072" s="13">
        <v>2</v>
      </c>
      <c r="F2072" s="11">
        <v>1</v>
      </c>
      <c r="G2072" s="11">
        <v>1</v>
      </c>
      <c r="H2072" s="11">
        <v>0</v>
      </c>
      <c r="I2072" s="11">
        <f>SUM('PEPE SIERRA '!$B2072:$H2072)</f>
        <v>8</v>
      </c>
      <c r="J2072" s="247">
        <f t="shared" si="1026"/>
        <v>1.1428571428571428</v>
      </c>
    </row>
    <row r="2073" spans="1:10" s="186" customFormat="1" x14ac:dyDescent="0.25">
      <c r="A2073" s="246" t="s">
        <v>16</v>
      </c>
      <c r="B2073" s="233">
        <v>0</v>
      </c>
      <c r="C2073" s="13">
        <v>0</v>
      </c>
      <c r="D2073" s="13">
        <v>0</v>
      </c>
      <c r="E2073" s="13">
        <v>1</v>
      </c>
      <c r="F2073" s="11">
        <v>1</v>
      </c>
      <c r="G2073" s="11">
        <v>0</v>
      </c>
      <c r="H2073" s="11">
        <v>0</v>
      </c>
      <c r="I2073" s="11">
        <f>SUM('PEPE SIERRA '!$B2073:$H2073)</f>
        <v>2</v>
      </c>
      <c r="J2073" s="247">
        <f t="shared" si="1026"/>
        <v>0.2857142857142857</v>
      </c>
    </row>
    <row r="2074" spans="1:10" s="186" customFormat="1" x14ac:dyDescent="0.25">
      <c r="A2074" s="248" t="s">
        <v>17</v>
      </c>
      <c r="B2074" s="249">
        <f>SUM(B2069:B2073)</f>
        <v>93</v>
      </c>
      <c r="C2074" s="192">
        <f t="shared" ref="C2074:I2074" si="1027">SUM(C2069:C2073)</f>
        <v>117</v>
      </c>
      <c r="D2074" s="192">
        <f t="shared" si="1027"/>
        <v>108</v>
      </c>
      <c r="E2074" s="192">
        <f t="shared" si="1027"/>
        <v>114</v>
      </c>
      <c r="F2074" s="192">
        <f t="shared" si="1027"/>
        <v>244</v>
      </c>
      <c r="G2074" s="192">
        <f t="shared" si="1027"/>
        <v>239</v>
      </c>
      <c r="H2074" s="192">
        <f t="shared" si="1027"/>
        <v>251</v>
      </c>
      <c r="I2074" s="192">
        <f t="shared" si="1027"/>
        <v>1166</v>
      </c>
      <c r="J2074" s="250">
        <f t="shared" si="1026"/>
        <v>166.57142857142858</v>
      </c>
    </row>
    <row r="2075" spans="1:10" s="186" customFormat="1" x14ac:dyDescent="0.25">
      <c r="A2075" s="246" t="s">
        <v>18</v>
      </c>
      <c r="B2075" s="234">
        <v>0.77</v>
      </c>
      <c r="C2075" s="235">
        <v>0.77</v>
      </c>
      <c r="D2075" s="235">
        <v>0.79</v>
      </c>
      <c r="E2075" s="235">
        <v>0.75</v>
      </c>
      <c r="F2075" s="30">
        <v>0.78</v>
      </c>
      <c r="G2075" s="30">
        <v>0.85</v>
      </c>
      <c r="H2075" s="30">
        <v>0.77</v>
      </c>
      <c r="I2075" s="30">
        <f>I2082/I2087</f>
        <v>0.78824559573675834</v>
      </c>
      <c r="J2075" s="251">
        <f>J2082/J2087</f>
        <v>0.78824559573675834</v>
      </c>
    </row>
    <row r="2076" spans="1:10" s="186" customFormat="1" x14ac:dyDescent="0.25">
      <c r="A2076" s="246" t="s">
        <v>19</v>
      </c>
      <c r="B2076" s="234">
        <v>0.01</v>
      </c>
      <c r="C2076" s="235">
        <v>0</v>
      </c>
      <c r="D2076" s="235">
        <v>0</v>
      </c>
      <c r="E2076" s="235">
        <v>0</v>
      </c>
      <c r="F2076" s="30">
        <v>0.01</v>
      </c>
      <c r="G2076" s="30">
        <v>0.01</v>
      </c>
      <c r="H2076" s="30">
        <v>0.01</v>
      </c>
      <c r="I2076" s="30">
        <f>I2083/I2087</f>
        <v>7.0354674500332903E-3</v>
      </c>
      <c r="J2076" s="251">
        <f>J2083/J2087</f>
        <v>7.0354674500332894E-3</v>
      </c>
    </row>
    <row r="2077" spans="1:10" s="186" customFormat="1" x14ac:dyDescent="0.25">
      <c r="A2077" s="246" t="s">
        <v>20</v>
      </c>
      <c r="B2077" s="234">
        <v>0.2</v>
      </c>
      <c r="C2077" s="235">
        <v>0.22</v>
      </c>
      <c r="D2077" s="235">
        <v>0.21</v>
      </c>
      <c r="E2077" s="235">
        <v>0.22</v>
      </c>
      <c r="F2077" s="30">
        <v>0.2</v>
      </c>
      <c r="G2077" s="30">
        <v>0.14000000000000001</v>
      </c>
      <c r="H2077" s="30">
        <v>0.22</v>
      </c>
      <c r="I2077" s="30">
        <f>I2084/I2087</f>
        <v>0.19701801110261249</v>
      </c>
      <c r="J2077" s="251">
        <f>J2084/J2087</f>
        <v>0.19701801110261249</v>
      </c>
    </row>
    <row r="2078" spans="1:10" s="186" customFormat="1" x14ac:dyDescent="0.25">
      <c r="A2078" s="246" t="s">
        <v>21</v>
      </c>
      <c r="B2078" s="234">
        <v>0.02</v>
      </c>
      <c r="C2078" s="235">
        <v>0.01</v>
      </c>
      <c r="D2078" s="235">
        <v>0</v>
      </c>
      <c r="E2078" s="235">
        <v>0.02</v>
      </c>
      <c r="F2078" s="30">
        <v>0.01</v>
      </c>
      <c r="G2078" s="30">
        <v>0</v>
      </c>
      <c r="H2078" s="30">
        <v>0</v>
      </c>
      <c r="I2078" s="30">
        <f>I2085/I2087</f>
        <v>6.717631605655144E-3</v>
      </c>
      <c r="J2078" s="251">
        <f>J2085/J2087</f>
        <v>6.7176316056551432E-3</v>
      </c>
    </row>
    <row r="2079" spans="1:10" s="186" customFormat="1" x14ac:dyDescent="0.25">
      <c r="A2079" s="246" t="s">
        <v>22</v>
      </c>
      <c r="B2079" s="234">
        <v>0</v>
      </c>
      <c r="C2079" s="235">
        <v>0</v>
      </c>
      <c r="D2079" s="235">
        <v>0</v>
      </c>
      <c r="E2079" s="235">
        <v>0.01</v>
      </c>
      <c r="F2079" s="30">
        <v>0</v>
      </c>
      <c r="G2079" s="30">
        <v>0</v>
      </c>
      <c r="H2079" s="30">
        <v>0</v>
      </c>
      <c r="I2079" s="30">
        <f>I2086/I2087</f>
        <v>9.8329410494083338E-4</v>
      </c>
      <c r="J2079" s="251">
        <f>J2086/J2087</f>
        <v>9.8329410494083316E-4</v>
      </c>
    </row>
    <row r="2080" spans="1:10" s="186" customFormat="1" x14ac:dyDescent="0.25">
      <c r="A2080" s="252" t="s">
        <v>23</v>
      </c>
      <c r="B2080" s="253">
        <f t="shared" ref="B2080:J2080" si="1028">B2091/B2074</f>
        <v>36475.268817204298</v>
      </c>
      <c r="C2080" s="66">
        <f t="shared" si="1028"/>
        <v>39720.51282051282</v>
      </c>
      <c r="D2080" s="66">
        <f t="shared" si="1028"/>
        <v>37630.555555555555</v>
      </c>
      <c r="E2080" s="66">
        <f t="shared" si="1028"/>
        <v>37928.070175438595</v>
      </c>
      <c r="F2080" s="66">
        <f t="shared" si="1028"/>
        <v>38710.245901639355</v>
      </c>
      <c r="G2080" s="66">
        <f t="shared" si="1028"/>
        <v>37479.916317991629</v>
      </c>
      <c r="H2080" s="66">
        <f t="shared" si="1028"/>
        <v>36736.254980079684</v>
      </c>
      <c r="I2080" s="66">
        <f t="shared" si="1028"/>
        <v>37779.75986277873</v>
      </c>
      <c r="J2080" s="254">
        <f t="shared" si="1028"/>
        <v>37779.75986277873</v>
      </c>
    </row>
    <row r="2081" spans="1:10" s="186" customFormat="1" x14ac:dyDescent="0.25">
      <c r="A2081" s="252" t="s">
        <v>24</v>
      </c>
      <c r="B2081" s="253">
        <f t="shared" ref="B2081:I2081" si="1029">+B2091/B2068</f>
        <v>30287.5</v>
      </c>
      <c r="C2081" s="66">
        <f t="shared" si="1029"/>
        <v>30776.821192052979</v>
      </c>
      <c r="D2081" s="66">
        <f t="shared" si="1029"/>
        <v>29029.285714285714</v>
      </c>
      <c r="E2081" s="66">
        <f t="shared" si="1029"/>
        <v>30449.295774647886</v>
      </c>
      <c r="F2081" s="66">
        <f t="shared" si="1029"/>
        <v>28279.341317365273</v>
      </c>
      <c r="G2081" s="66">
        <f t="shared" si="1029"/>
        <v>29466.11842105263</v>
      </c>
      <c r="H2081" s="66">
        <f t="shared" si="1029"/>
        <v>28371.692307692309</v>
      </c>
      <c r="I2081" s="66">
        <f t="shared" si="1029"/>
        <v>29211.671087533156</v>
      </c>
      <c r="J2081" s="254">
        <f>J2091/J2068</f>
        <v>29211.671087533159</v>
      </c>
    </row>
    <row r="2082" spans="1:10" s="186" customFormat="1" x14ac:dyDescent="0.25">
      <c r="A2082" s="246" t="s">
        <v>25</v>
      </c>
      <c r="B2082" s="255">
        <f t="shared" ref="B2082:H2082" si="1030">B2087*B2075</f>
        <v>2130898.2655172413</v>
      </c>
      <c r="C2082" s="92">
        <f t="shared" si="1030"/>
        <v>2924990.6096551726</v>
      </c>
      <c r="D2082" s="92">
        <f t="shared" si="1030"/>
        <v>2617134.5013793106</v>
      </c>
      <c r="E2082" s="92">
        <f t="shared" si="1030"/>
        <v>2647099.3448275863</v>
      </c>
      <c r="F2082" s="92">
        <f t="shared" si="1030"/>
        <v>6021639.0000000009</v>
      </c>
      <c r="G2082" s="92">
        <f t="shared" si="1030"/>
        <v>6184230.3965517245</v>
      </c>
      <c r="H2082" s="92">
        <f t="shared" si="1030"/>
        <v>5767535.248275863</v>
      </c>
      <c r="I2082" s="31">
        <f t="shared" ref="I2082:I2087" si="1031">SUM(B2082:H2082)</f>
        <v>28293527.366206899</v>
      </c>
      <c r="J2082" s="256">
        <f t="shared" ref="J2082:J2091" si="1032">I2082/7</f>
        <v>4041932.4808867001</v>
      </c>
    </row>
    <row r="2083" spans="1:10" s="186" customFormat="1" x14ac:dyDescent="0.25">
      <c r="A2083" s="246" t="s">
        <v>26</v>
      </c>
      <c r="B2083" s="255">
        <f t="shared" ref="B2083:H2083" si="1033">B2087*B2076</f>
        <v>27674.003448275864</v>
      </c>
      <c r="C2083" s="92">
        <f t="shared" si="1033"/>
        <v>0</v>
      </c>
      <c r="D2083" s="92">
        <f t="shared" si="1033"/>
        <v>0</v>
      </c>
      <c r="E2083" s="92">
        <f t="shared" si="1033"/>
        <v>0</v>
      </c>
      <c r="F2083" s="92">
        <f t="shared" si="1033"/>
        <v>77200.500000000015</v>
      </c>
      <c r="G2083" s="92">
        <f t="shared" si="1033"/>
        <v>72755.651724137933</v>
      </c>
      <c r="H2083" s="92">
        <f t="shared" si="1033"/>
        <v>74903.055172413806</v>
      </c>
      <c r="I2083" s="31">
        <f t="shared" si="1031"/>
        <v>252533.21034482762</v>
      </c>
      <c r="J2083" s="256">
        <f t="shared" si="1032"/>
        <v>36076.172906403946</v>
      </c>
    </row>
    <row r="2084" spans="1:10" s="186" customFormat="1" x14ac:dyDescent="0.25">
      <c r="A2084" s="246" t="s">
        <v>27</v>
      </c>
      <c r="B2084" s="255">
        <f t="shared" ref="B2084:H2084" si="1034">B2087*B2077</f>
        <v>553480.06896551733</v>
      </c>
      <c r="C2084" s="92">
        <f t="shared" si="1034"/>
        <v>835711.60275862075</v>
      </c>
      <c r="D2084" s="92">
        <f t="shared" si="1034"/>
        <v>695693.98137931037</v>
      </c>
      <c r="E2084" s="92">
        <f t="shared" si="1034"/>
        <v>776482.47448275867</v>
      </c>
      <c r="F2084" s="92">
        <f t="shared" si="1034"/>
        <v>1544010.0000000002</v>
      </c>
      <c r="G2084" s="92">
        <f t="shared" si="1034"/>
        <v>1018579.1241379312</v>
      </c>
      <c r="H2084" s="92">
        <f t="shared" si="1034"/>
        <v>1647867.2137931036</v>
      </c>
      <c r="I2084" s="31">
        <f t="shared" si="1031"/>
        <v>7071824.4655172424</v>
      </c>
      <c r="J2084" s="256">
        <f t="shared" si="1032"/>
        <v>1010260.6379310347</v>
      </c>
    </row>
    <row r="2085" spans="1:10" s="186" customFormat="1" x14ac:dyDescent="0.25">
      <c r="A2085" s="246" t="s">
        <v>28</v>
      </c>
      <c r="B2085" s="255">
        <f t="shared" ref="B2085:H2085" si="1035">B2087*B2078</f>
        <v>55348.006896551728</v>
      </c>
      <c r="C2085" s="92">
        <f t="shared" si="1035"/>
        <v>37986.89103448276</v>
      </c>
      <c r="D2085" s="92">
        <f t="shared" si="1035"/>
        <v>0</v>
      </c>
      <c r="E2085" s="92">
        <f t="shared" si="1035"/>
        <v>70589.315862068979</v>
      </c>
      <c r="F2085" s="92">
        <f t="shared" si="1035"/>
        <v>77200.500000000015</v>
      </c>
      <c r="G2085" s="92">
        <f t="shared" si="1035"/>
        <v>0</v>
      </c>
      <c r="H2085" s="92">
        <f t="shared" si="1035"/>
        <v>0</v>
      </c>
      <c r="I2085" s="31">
        <f t="shared" si="1031"/>
        <v>241124.71379310347</v>
      </c>
      <c r="J2085" s="256">
        <f t="shared" si="1032"/>
        <v>34446.387684729067</v>
      </c>
    </row>
    <row r="2086" spans="1:10" s="186" customFormat="1" x14ac:dyDescent="0.25">
      <c r="A2086" s="246" t="s">
        <v>29</v>
      </c>
      <c r="B2086" s="255">
        <f t="shared" ref="B2086:H2086" si="1036">B2087*B2079</f>
        <v>0</v>
      </c>
      <c r="C2086" s="731">
        <f t="shared" si="1036"/>
        <v>0</v>
      </c>
      <c r="D2086" s="731">
        <f t="shared" si="1036"/>
        <v>0</v>
      </c>
      <c r="E2086" s="731">
        <f t="shared" si="1036"/>
        <v>35294.65793103449</v>
      </c>
      <c r="F2086" s="731">
        <f t="shared" si="1036"/>
        <v>0</v>
      </c>
      <c r="G2086" s="731">
        <f t="shared" si="1036"/>
        <v>0</v>
      </c>
      <c r="H2086" s="731">
        <f t="shared" si="1036"/>
        <v>0</v>
      </c>
      <c r="I2086" s="31">
        <f t="shared" si="1031"/>
        <v>35294.65793103449</v>
      </c>
      <c r="J2086" s="256">
        <f t="shared" si="1032"/>
        <v>5042.0939901477841</v>
      </c>
    </row>
    <row r="2087" spans="1:10" s="186" customFormat="1" x14ac:dyDescent="0.25">
      <c r="A2087" s="257" t="s">
        <v>30</v>
      </c>
      <c r="B2087" s="258">
        <f>(3392200/1.16)-B2088</f>
        <v>2767400.3448275863</v>
      </c>
      <c r="C2087" s="733">
        <f>(4647300/1.16)-C2088</f>
        <v>3798689.1034482759</v>
      </c>
      <c r="D2087" s="733">
        <f>(4064100/1.16)-D2088</f>
        <v>3312828.4827586208</v>
      </c>
      <c r="E2087" s="733">
        <f>(4323800/1.16)-E2088</f>
        <v>3529465.7931034486</v>
      </c>
      <c r="F2087" s="733">
        <f>(9445300/1.16)-F2088</f>
        <v>7720050.0000000009</v>
      </c>
      <c r="G2087" s="733">
        <f>(8957700/1.16)-G2088</f>
        <v>7275565.1724137934</v>
      </c>
      <c r="H2087" s="733">
        <f>(9220800/1.16)-H2088</f>
        <v>7490305.5172413802</v>
      </c>
      <c r="I2087" s="730">
        <f t="shared" si="1031"/>
        <v>35894304.413793102</v>
      </c>
      <c r="J2087" s="259">
        <f t="shared" si="1032"/>
        <v>5127757.773399015</v>
      </c>
    </row>
    <row r="2088" spans="1:10" s="186" customFormat="1" x14ac:dyDescent="0.25">
      <c r="A2088" s="246" t="s">
        <v>31</v>
      </c>
      <c r="B2088" s="255">
        <f t="shared" ref="B2088:I2088" si="1037">2414*B2069</f>
        <v>156910</v>
      </c>
      <c r="C2088" s="732">
        <f t="shared" si="1037"/>
        <v>207604</v>
      </c>
      <c r="D2088" s="732">
        <f t="shared" si="1037"/>
        <v>190706</v>
      </c>
      <c r="E2088" s="732">
        <f t="shared" si="1037"/>
        <v>197948</v>
      </c>
      <c r="F2088" s="732">
        <f t="shared" si="1037"/>
        <v>422450</v>
      </c>
      <c r="G2088" s="732">
        <f t="shared" si="1037"/>
        <v>446590</v>
      </c>
      <c r="H2088" s="732">
        <f t="shared" si="1037"/>
        <v>458660</v>
      </c>
      <c r="I2088" s="31">
        <f t="shared" si="1037"/>
        <v>2080868</v>
      </c>
      <c r="J2088" s="256">
        <f t="shared" si="1032"/>
        <v>297266.85714285716</v>
      </c>
    </row>
    <row r="2089" spans="1:10" s="186" customFormat="1" x14ac:dyDescent="0.25">
      <c r="A2089" s="260" t="s">
        <v>32</v>
      </c>
      <c r="B2089" s="261">
        <f>B2088+B2087</f>
        <v>2924310.3448275863</v>
      </c>
      <c r="C2089" s="199">
        <f>C2088+C2087</f>
        <v>4006293.1034482759</v>
      </c>
      <c r="D2089" s="199">
        <f>D2088+D2087</f>
        <v>3503534.4827586208</v>
      </c>
      <c r="E2089" s="199">
        <f>E2088+E2087</f>
        <v>3727413.7931034486</v>
      </c>
      <c r="F2089" s="199">
        <f>F2087+F2088</f>
        <v>8142500.0000000009</v>
      </c>
      <c r="G2089" s="199">
        <f>G2088+G2087</f>
        <v>7722155.1724137934</v>
      </c>
      <c r="H2089" s="199">
        <f>H2088+H2087</f>
        <v>7948965.5172413802</v>
      </c>
      <c r="I2089" s="199">
        <f>I2087+I2088</f>
        <v>37975172.413793102</v>
      </c>
      <c r="J2089" s="262">
        <f t="shared" si="1032"/>
        <v>5425024.6305418713</v>
      </c>
    </row>
    <row r="2090" spans="1:10" s="186" customFormat="1" x14ac:dyDescent="0.25">
      <c r="A2090" s="246" t="s">
        <v>33</v>
      </c>
      <c r="B2090" s="263">
        <f>B2089*16%</f>
        <v>467889.6551724138</v>
      </c>
      <c r="C2090" s="94">
        <f t="shared" ref="C2090:H2090" si="1038">C2089*16%</f>
        <v>641006.89655172417</v>
      </c>
      <c r="D2090" s="94">
        <f t="shared" si="1038"/>
        <v>560565.51724137936</v>
      </c>
      <c r="E2090" s="94">
        <f t="shared" si="1038"/>
        <v>596386.20689655177</v>
      </c>
      <c r="F2090" s="94">
        <f t="shared" si="1038"/>
        <v>1302800.0000000002</v>
      </c>
      <c r="G2090" s="94">
        <f t="shared" si="1038"/>
        <v>1235544.8275862071</v>
      </c>
      <c r="H2090" s="94">
        <f t="shared" si="1038"/>
        <v>1271834.4827586208</v>
      </c>
      <c r="I2090" s="94">
        <f>I2089*16%</f>
        <v>6076027.5862068962</v>
      </c>
      <c r="J2090" s="256">
        <f t="shared" si="1032"/>
        <v>868003.94088669948</v>
      </c>
    </row>
    <row r="2091" spans="1:10" s="186" customFormat="1" ht="15.75" thickBot="1" x14ac:dyDescent="0.3">
      <c r="A2091" s="264" t="s">
        <v>34</v>
      </c>
      <c r="B2091" s="265">
        <f>B2089+B2090</f>
        <v>3392200</v>
      </c>
      <c r="C2091" s="266">
        <f t="shared" ref="C2091:H2091" si="1039">C2089+C2090</f>
        <v>4647300</v>
      </c>
      <c r="D2091" s="266">
        <f t="shared" si="1039"/>
        <v>4064100</v>
      </c>
      <c r="E2091" s="266">
        <f t="shared" si="1039"/>
        <v>4323800</v>
      </c>
      <c r="F2091" s="266">
        <f t="shared" si="1039"/>
        <v>9445300.0000000019</v>
      </c>
      <c r="G2091" s="266">
        <f t="shared" si="1039"/>
        <v>8957700</v>
      </c>
      <c r="H2091" s="266">
        <f t="shared" si="1039"/>
        <v>9220800</v>
      </c>
      <c r="I2091" s="266">
        <f>I2089+I2090</f>
        <v>44051200</v>
      </c>
      <c r="J2091" s="267">
        <f t="shared" si="1032"/>
        <v>6293028.5714285718</v>
      </c>
    </row>
    <row r="2092" spans="1:10" s="186" customFormat="1" ht="15.75" thickBot="1" x14ac:dyDescent="0.3">
      <c r="A2092" s="204"/>
      <c r="B2092" s="112"/>
      <c r="C2092" s="112"/>
      <c r="D2092" s="112"/>
      <c r="E2092" s="112"/>
      <c r="F2092" s="112"/>
      <c r="G2092" s="112"/>
      <c r="H2092" s="112"/>
      <c r="I2092" s="112"/>
      <c r="J2092" s="205"/>
    </row>
    <row r="2093" spans="1:10" s="186" customFormat="1" ht="27" thickBot="1" x14ac:dyDescent="0.3">
      <c r="A2093"/>
      <c r="B2093" s="1002" t="s">
        <v>669</v>
      </c>
      <c r="C2093" s="1002"/>
      <c r="D2093" s="1002"/>
      <c r="E2093" s="1002"/>
      <c r="F2093" s="1002"/>
      <c r="G2093" s="1002"/>
      <c r="H2093" s="1002"/>
      <c r="I2093"/>
      <c r="J2093"/>
    </row>
    <row r="2094" spans="1:10" s="186" customFormat="1" ht="16.5" thickBot="1" x14ac:dyDescent="0.3">
      <c r="A2094" s="238" t="s">
        <v>2</v>
      </c>
      <c r="B2094" s="239" t="s">
        <v>45</v>
      </c>
      <c r="C2094" s="239" t="s">
        <v>289</v>
      </c>
      <c r="D2094" s="239" t="s">
        <v>47</v>
      </c>
      <c r="E2094" s="239" t="s">
        <v>48</v>
      </c>
      <c r="F2094" s="239" t="s">
        <v>49</v>
      </c>
      <c r="G2094" s="239" t="s">
        <v>50</v>
      </c>
      <c r="H2094" s="239" t="s">
        <v>290</v>
      </c>
      <c r="I2094" s="240" t="s">
        <v>96</v>
      </c>
      <c r="J2094" s="241" t="s">
        <v>97</v>
      </c>
    </row>
    <row r="2095" spans="1:10" s="186" customFormat="1" x14ac:dyDescent="0.25">
      <c r="A2095" s="242" t="s">
        <v>11</v>
      </c>
      <c r="B2095" s="243">
        <f>62+24+9</f>
        <v>95</v>
      </c>
      <c r="C2095" s="244">
        <f>83+45+14</f>
        <v>142</v>
      </c>
      <c r="D2095" s="244">
        <f>77+34+12</f>
        <v>123</v>
      </c>
      <c r="E2095" s="244">
        <f>101+43+9</f>
        <v>153</v>
      </c>
      <c r="F2095" s="244">
        <f>188+108+36</f>
        <v>332</v>
      </c>
      <c r="G2095" s="244">
        <f>199+125+57</f>
        <v>381</v>
      </c>
      <c r="H2095" s="268">
        <f>187+100+41</f>
        <v>328</v>
      </c>
      <c r="I2095" s="244">
        <f>SUM(B2095:H2095)</f>
        <v>1554</v>
      </c>
      <c r="J2095" s="245">
        <f>+I2095/7</f>
        <v>222</v>
      </c>
    </row>
    <row r="2096" spans="1:10" s="186" customFormat="1" x14ac:dyDescent="0.25">
      <c r="A2096" s="246" t="s">
        <v>12</v>
      </c>
      <c r="B2096" s="233">
        <v>57</v>
      </c>
      <c r="C2096" s="13">
        <v>87</v>
      </c>
      <c r="D2096" s="13">
        <v>70</v>
      </c>
      <c r="E2096" s="13">
        <v>84</v>
      </c>
      <c r="F2096" s="86">
        <v>172</v>
      </c>
      <c r="G2096" s="11">
        <v>200</v>
      </c>
      <c r="H2096" s="86">
        <v>209</v>
      </c>
      <c r="I2096" s="11">
        <f>SUM('PEPE SIERRA '!$B2096:$H2096)</f>
        <v>879</v>
      </c>
      <c r="J2096" s="247">
        <f t="shared" ref="J2096:J2101" si="1040">I2096/7</f>
        <v>125.57142857142857</v>
      </c>
    </row>
    <row r="2097" spans="1:10" s="186" customFormat="1" x14ac:dyDescent="0.25">
      <c r="A2097" s="246" t="s">
        <v>13</v>
      </c>
      <c r="B2097" s="233">
        <v>0</v>
      </c>
      <c r="C2097" s="13">
        <v>2</v>
      </c>
      <c r="D2097" s="13">
        <v>1</v>
      </c>
      <c r="E2097" s="13">
        <v>1</v>
      </c>
      <c r="F2097" s="11">
        <v>4</v>
      </c>
      <c r="G2097" s="11">
        <v>1</v>
      </c>
      <c r="H2097" s="11">
        <v>7</v>
      </c>
      <c r="I2097" s="11">
        <f>SUM('PEPE SIERRA '!$B2097:$H2097)</f>
        <v>16</v>
      </c>
      <c r="J2097" s="247">
        <f t="shared" si="1040"/>
        <v>2.2857142857142856</v>
      </c>
    </row>
    <row r="2098" spans="1:10" s="186" customFormat="1" x14ac:dyDescent="0.25">
      <c r="A2098" s="246" t="s">
        <v>14</v>
      </c>
      <c r="B2098" s="233">
        <v>22</v>
      </c>
      <c r="C2098" s="13">
        <v>36</v>
      </c>
      <c r="D2098" s="13">
        <v>32</v>
      </c>
      <c r="E2098" s="13">
        <v>34</v>
      </c>
      <c r="F2098" s="11">
        <v>70</v>
      </c>
      <c r="G2098" s="11">
        <v>69</v>
      </c>
      <c r="H2098" s="86">
        <v>47</v>
      </c>
      <c r="I2098" s="11">
        <f>SUM('PEPE SIERRA '!$B2098:$H2098)</f>
        <v>310</v>
      </c>
      <c r="J2098" s="247">
        <f t="shared" si="1040"/>
        <v>44.285714285714285</v>
      </c>
    </row>
    <row r="2099" spans="1:10" s="186" customFormat="1" x14ac:dyDescent="0.25">
      <c r="A2099" s="246" t="s">
        <v>15</v>
      </c>
      <c r="B2099" s="233">
        <v>1</v>
      </c>
      <c r="C2099" s="13">
        <v>0</v>
      </c>
      <c r="D2099" s="13">
        <v>0</v>
      </c>
      <c r="E2099" s="13">
        <v>3</v>
      </c>
      <c r="F2099" s="11">
        <v>0</v>
      </c>
      <c r="G2099" s="11">
        <v>9</v>
      </c>
      <c r="H2099" s="11">
        <v>2</v>
      </c>
      <c r="I2099" s="11">
        <f>SUM('PEPE SIERRA '!$B2099:$H2099)</f>
        <v>15</v>
      </c>
      <c r="J2099" s="247">
        <f t="shared" si="1040"/>
        <v>2.1428571428571428</v>
      </c>
    </row>
    <row r="2100" spans="1:10" s="186" customFormat="1" x14ac:dyDescent="0.25">
      <c r="A2100" s="246" t="s">
        <v>16</v>
      </c>
      <c r="B2100" s="233">
        <v>0</v>
      </c>
      <c r="C2100" s="13">
        <v>0</v>
      </c>
      <c r="D2100" s="13">
        <v>0</v>
      </c>
      <c r="E2100" s="13">
        <v>0</v>
      </c>
      <c r="F2100" s="11">
        <v>0</v>
      </c>
      <c r="G2100" s="11">
        <v>0</v>
      </c>
      <c r="H2100" s="11">
        <v>0</v>
      </c>
      <c r="I2100" s="11">
        <f>SUM('PEPE SIERRA '!$B2100:$H2100)</f>
        <v>0</v>
      </c>
      <c r="J2100" s="247">
        <f t="shared" si="1040"/>
        <v>0</v>
      </c>
    </row>
    <row r="2101" spans="1:10" s="186" customFormat="1" x14ac:dyDescent="0.25">
      <c r="A2101" s="248" t="s">
        <v>17</v>
      </c>
      <c r="B2101" s="249">
        <f>SUM(B2096:B2100)</f>
        <v>80</v>
      </c>
      <c r="C2101" s="192">
        <f t="shared" ref="C2101:I2101" si="1041">SUM(C2096:C2100)</f>
        <v>125</v>
      </c>
      <c r="D2101" s="192">
        <f t="shared" si="1041"/>
        <v>103</v>
      </c>
      <c r="E2101" s="192">
        <f t="shared" si="1041"/>
        <v>122</v>
      </c>
      <c r="F2101" s="192">
        <f t="shared" si="1041"/>
        <v>246</v>
      </c>
      <c r="G2101" s="192">
        <f t="shared" si="1041"/>
        <v>279</v>
      </c>
      <c r="H2101" s="192">
        <f t="shared" si="1041"/>
        <v>265</v>
      </c>
      <c r="I2101" s="192">
        <f t="shared" si="1041"/>
        <v>1220</v>
      </c>
      <c r="J2101" s="250">
        <f t="shared" si="1040"/>
        <v>174.28571428571428</v>
      </c>
    </row>
    <row r="2102" spans="1:10" s="186" customFormat="1" x14ac:dyDescent="0.25">
      <c r="A2102" s="246" t="s">
        <v>18</v>
      </c>
      <c r="B2102" s="234">
        <v>0.79</v>
      </c>
      <c r="C2102" s="235">
        <v>0.77</v>
      </c>
      <c r="D2102" s="235">
        <v>0.78</v>
      </c>
      <c r="E2102" s="235">
        <v>0.75</v>
      </c>
      <c r="F2102" s="30">
        <v>0.76</v>
      </c>
      <c r="G2102" s="30">
        <v>0.77</v>
      </c>
      <c r="H2102" s="30">
        <v>0.83</v>
      </c>
      <c r="I2102" s="30">
        <f>I2109/I2114</f>
        <v>0.78074738512497377</v>
      </c>
      <c r="J2102" s="251">
        <f>J2109/J2114</f>
        <v>0.78074738512497377</v>
      </c>
    </row>
    <row r="2103" spans="1:10" s="186" customFormat="1" x14ac:dyDescent="0.25">
      <c r="A2103" s="246" t="s">
        <v>19</v>
      </c>
      <c r="B2103" s="234">
        <v>0</v>
      </c>
      <c r="C2103" s="235">
        <v>0.02</v>
      </c>
      <c r="D2103" s="235">
        <v>0.01</v>
      </c>
      <c r="E2103" s="235">
        <v>0</v>
      </c>
      <c r="F2103" s="30">
        <v>0.02</v>
      </c>
      <c r="G2103" s="30">
        <v>0.01</v>
      </c>
      <c r="H2103" s="30">
        <v>0.03</v>
      </c>
      <c r="I2103" s="30">
        <f>I2110/I2114</f>
        <v>1.5745890004237047E-2</v>
      </c>
      <c r="J2103" s="251">
        <f>J2110/J2114</f>
        <v>1.5745890004237047E-2</v>
      </c>
    </row>
    <row r="2104" spans="1:10" s="186" customFormat="1" x14ac:dyDescent="0.25">
      <c r="A2104" s="246" t="s">
        <v>20</v>
      </c>
      <c r="B2104" s="234">
        <v>0.21</v>
      </c>
      <c r="C2104" s="235">
        <v>0.21</v>
      </c>
      <c r="D2104" s="235">
        <v>0.21</v>
      </c>
      <c r="E2104" s="235">
        <v>0.22</v>
      </c>
      <c r="F2104" s="30">
        <v>0.22</v>
      </c>
      <c r="G2104" s="30">
        <v>0.2</v>
      </c>
      <c r="H2104" s="30">
        <v>0.13</v>
      </c>
      <c r="I2104" s="30">
        <f>I2111/I2114</f>
        <v>0.1935331305388942</v>
      </c>
      <c r="J2104" s="251">
        <f>J2111/J2114</f>
        <v>0.19353313053889423</v>
      </c>
    </row>
    <row r="2105" spans="1:10" s="186" customFormat="1" x14ac:dyDescent="0.25">
      <c r="A2105" s="246" t="s">
        <v>21</v>
      </c>
      <c r="B2105" s="234">
        <v>0</v>
      </c>
      <c r="C2105" s="235">
        <v>0</v>
      </c>
      <c r="D2105" s="235">
        <v>0</v>
      </c>
      <c r="E2105" s="235">
        <v>0.03</v>
      </c>
      <c r="F2105" s="30">
        <v>0</v>
      </c>
      <c r="G2105" s="30">
        <v>0.02</v>
      </c>
      <c r="H2105" s="30">
        <v>0.01</v>
      </c>
      <c r="I2105" s="30">
        <f>I2112/I2114</f>
        <v>9.9735943318948733E-3</v>
      </c>
      <c r="J2105" s="251">
        <f>J2112/J2114</f>
        <v>9.9735943318948733E-3</v>
      </c>
    </row>
    <row r="2106" spans="1:10" s="186" customFormat="1" x14ac:dyDescent="0.25">
      <c r="A2106" s="246" t="s">
        <v>22</v>
      </c>
      <c r="B2106" s="234">
        <v>0</v>
      </c>
      <c r="C2106" s="235">
        <v>0</v>
      </c>
      <c r="D2106" s="235">
        <v>0</v>
      </c>
      <c r="E2106" s="235">
        <v>0</v>
      </c>
      <c r="F2106" s="30">
        <v>0</v>
      </c>
      <c r="G2106" s="30">
        <v>0</v>
      </c>
      <c r="H2106" s="30">
        <v>0</v>
      </c>
      <c r="I2106" s="30">
        <f>I2113/I2114</f>
        <v>0</v>
      </c>
      <c r="J2106" s="251">
        <f>J2113/J2114</f>
        <v>0</v>
      </c>
    </row>
    <row r="2107" spans="1:10" s="186" customFormat="1" x14ac:dyDescent="0.25">
      <c r="A2107" s="252" t="s">
        <v>23</v>
      </c>
      <c r="B2107" s="253">
        <f t="shared" ref="B2107:J2107" si="1042">B2118/B2101</f>
        <v>32998.75</v>
      </c>
      <c r="C2107" s="66">
        <f t="shared" si="1042"/>
        <v>32914.400000000001</v>
      </c>
      <c r="D2107" s="66">
        <f t="shared" si="1042"/>
        <v>36749.514563106794</v>
      </c>
      <c r="E2107" s="66">
        <f t="shared" si="1042"/>
        <v>38606.557377049183</v>
      </c>
      <c r="F2107" s="66">
        <f t="shared" si="1042"/>
        <v>39280.081300813006</v>
      </c>
      <c r="G2107" s="66">
        <f t="shared" si="1042"/>
        <v>38059.139784946237</v>
      </c>
      <c r="H2107" s="66">
        <f t="shared" si="1042"/>
        <v>37261.509433962266</v>
      </c>
      <c r="I2107" s="66">
        <f t="shared" si="1042"/>
        <v>37217.295081967211</v>
      </c>
      <c r="J2107" s="254">
        <f t="shared" si="1042"/>
        <v>37217.295081967219</v>
      </c>
    </row>
    <row r="2108" spans="1:10" s="186" customFormat="1" x14ac:dyDescent="0.25">
      <c r="A2108" s="252" t="s">
        <v>24</v>
      </c>
      <c r="B2108" s="253">
        <f t="shared" ref="B2108:I2108" si="1043">+B2118/B2095</f>
        <v>27788.42105263158</v>
      </c>
      <c r="C2108" s="66">
        <f t="shared" si="1043"/>
        <v>28973.943661971833</v>
      </c>
      <c r="D2108" s="66">
        <f t="shared" si="1043"/>
        <v>30773.983739837397</v>
      </c>
      <c r="E2108" s="66">
        <f t="shared" si="1043"/>
        <v>30784.313725490196</v>
      </c>
      <c r="F2108" s="66">
        <f t="shared" si="1043"/>
        <v>29105.120481927712</v>
      </c>
      <c r="G2108" s="66">
        <f t="shared" si="1043"/>
        <v>27870.078740157482</v>
      </c>
      <c r="H2108" s="66">
        <f t="shared" si="1043"/>
        <v>30104.573170731706</v>
      </c>
      <c r="I2108" s="66">
        <f t="shared" si="1043"/>
        <v>29218.211068211069</v>
      </c>
      <c r="J2108" s="254">
        <f>J2118/J2095</f>
        <v>29218.211068211069</v>
      </c>
    </row>
    <row r="2109" spans="1:10" s="186" customFormat="1" x14ac:dyDescent="0.25">
      <c r="A2109" s="246" t="s">
        <v>25</v>
      </c>
      <c r="B2109" s="255">
        <f t="shared" ref="B2109:H2109" si="1044">B2114*B2102</f>
        <v>1689160.5110344829</v>
      </c>
      <c r="C2109" s="92">
        <f t="shared" si="1044"/>
        <v>2569330.1055172416</v>
      </c>
      <c r="D2109" s="92">
        <f t="shared" si="1044"/>
        <v>2413416.2896551727</v>
      </c>
      <c r="E2109" s="92">
        <f t="shared" si="1044"/>
        <v>2893176.6206896552</v>
      </c>
      <c r="F2109" s="92">
        <f t="shared" si="1044"/>
        <v>6015307.4372413792</v>
      </c>
      <c r="G2109" s="92">
        <f t="shared" si="1044"/>
        <v>6676731.0689655179</v>
      </c>
      <c r="H2109" s="92">
        <f t="shared" si="1044"/>
        <v>6646475.3165517235</v>
      </c>
      <c r="I2109" s="31">
        <f t="shared" ref="I2109:I2114" si="1045">SUM(B2109:H2109)</f>
        <v>28903597.34965517</v>
      </c>
      <c r="J2109" s="256">
        <f t="shared" ref="J2109:J2118" si="1046">I2109/7</f>
        <v>4129085.3356650244</v>
      </c>
    </row>
    <row r="2110" spans="1:10" s="186" customFormat="1" x14ac:dyDescent="0.25">
      <c r="A2110" s="246" t="s">
        <v>26</v>
      </c>
      <c r="B2110" s="255">
        <f t="shared" ref="B2110:H2110" si="1047">B2114*B2103</f>
        <v>0</v>
      </c>
      <c r="C2110" s="92">
        <f t="shared" si="1047"/>
        <v>66735.846896551724</v>
      </c>
      <c r="D2110" s="92">
        <f t="shared" si="1047"/>
        <v>30941.234482758624</v>
      </c>
      <c r="E2110" s="92">
        <f t="shared" si="1047"/>
        <v>0</v>
      </c>
      <c r="F2110" s="92">
        <f t="shared" si="1047"/>
        <v>158297.56413793104</v>
      </c>
      <c r="G2110" s="92">
        <f t="shared" si="1047"/>
        <v>86710.79310344829</v>
      </c>
      <c r="H2110" s="92">
        <f t="shared" si="1047"/>
        <v>240234.04758620687</v>
      </c>
      <c r="I2110" s="31">
        <f t="shared" si="1045"/>
        <v>582919.4862068966</v>
      </c>
      <c r="J2110" s="256">
        <f t="shared" si="1046"/>
        <v>83274.212315270939</v>
      </c>
    </row>
    <row r="2111" spans="1:10" s="186" customFormat="1" x14ac:dyDescent="0.25">
      <c r="A2111" s="246" t="s">
        <v>27</v>
      </c>
      <c r="B2111" s="255">
        <f t="shared" ref="B2111:H2111" si="1048">B2114*B2104</f>
        <v>449017.35103448277</v>
      </c>
      <c r="C2111" s="92">
        <f t="shared" si="1048"/>
        <v>700726.39241379313</v>
      </c>
      <c r="D2111" s="92">
        <f t="shared" si="1048"/>
        <v>649765.92413793108</v>
      </c>
      <c r="E2111" s="92">
        <f t="shared" si="1048"/>
        <v>848665.14206896559</v>
      </c>
      <c r="F2111" s="92">
        <f t="shared" si="1048"/>
        <v>1741273.2055172415</v>
      </c>
      <c r="G2111" s="92">
        <f t="shared" si="1048"/>
        <v>1734215.8620689658</v>
      </c>
      <c r="H2111" s="92">
        <f t="shared" si="1048"/>
        <v>1041014.2062068966</v>
      </c>
      <c r="I2111" s="31">
        <f t="shared" si="1045"/>
        <v>7164678.0834482769</v>
      </c>
      <c r="J2111" s="256">
        <f t="shared" si="1046"/>
        <v>1023525.440492611</v>
      </c>
    </row>
    <row r="2112" spans="1:10" s="186" customFormat="1" x14ac:dyDescent="0.25">
      <c r="A2112" s="246" t="s">
        <v>28</v>
      </c>
      <c r="B2112" s="255">
        <f t="shared" ref="B2112:H2112" si="1049">B2114*B2105</f>
        <v>0</v>
      </c>
      <c r="C2112" s="92">
        <f t="shared" si="1049"/>
        <v>0</v>
      </c>
      <c r="D2112" s="92">
        <f t="shared" si="1049"/>
        <v>0</v>
      </c>
      <c r="E2112" s="92">
        <f t="shared" si="1049"/>
        <v>115727.0648275862</v>
      </c>
      <c r="F2112" s="92">
        <f t="shared" si="1049"/>
        <v>0</v>
      </c>
      <c r="G2112" s="92">
        <f t="shared" si="1049"/>
        <v>173421.58620689658</v>
      </c>
      <c r="H2112" s="92">
        <f t="shared" si="1049"/>
        <v>80078.015862068962</v>
      </c>
      <c r="I2112" s="31">
        <f t="shared" si="1045"/>
        <v>369226.66689655173</v>
      </c>
      <c r="J2112" s="256">
        <f t="shared" si="1046"/>
        <v>52746.66669950739</v>
      </c>
    </row>
    <row r="2113" spans="1:10" s="186" customFormat="1" x14ac:dyDescent="0.25">
      <c r="A2113" s="246" t="s">
        <v>29</v>
      </c>
      <c r="B2113" s="255">
        <f t="shared" ref="B2113:H2113" si="1050">B2114*B2106</f>
        <v>0</v>
      </c>
      <c r="C2113" s="731">
        <f t="shared" si="1050"/>
        <v>0</v>
      </c>
      <c r="D2113" s="731">
        <f t="shared" si="1050"/>
        <v>0</v>
      </c>
      <c r="E2113" s="731">
        <f t="shared" si="1050"/>
        <v>0</v>
      </c>
      <c r="F2113" s="731">
        <f t="shared" si="1050"/>
        <v>0</v>
      </c>
      <c r="G2113" s="731">
        <f t="shared" si="1050"/>
        <v>0</v>
      </c>
      <c r="H2113" s="731">
        <f t="shared" si="1050"/>
        <v>0</v>
      </c>
      <c r="I2113" s="31">
        <f t="shared" si="1045"/>
        <v>0</v>
      </c>
      <c r="J2113" s="256">
        <f t="shared" si="1046"/>
        <v>0</v>
      </c>
    </row>
    <row r="2114" spans="1:10" s="186" customFormat="1" x14ac:dyDescent="0.25">
      <c r="A2114" s="257" t="s">
        <v>30</v>
      </c>
      <c r="B2114" s="258">
        <f>(2639900/1.16)-B2115</f>
        <v>2138177.8620689656</v>
      </c>
      <c r="C2114" s="733">
        <f>(4114300/1.16)-C2115</f>
        <v>3336792.3448275863</v>
      </c>
      <c r="D2114" s="733">
        <f>(3785200/1.16)-D2115</f>
        <v>3094123.4482758623</v>
      </c>
      <c r="E2114" s="733">
        <f>(4710000/1.16)-E2115</f>
        <v>3857568.8275862071</v>
      </c>
      <c r="F2114" s="733">
        <f>(9662900/1.16)-F2115</f>
        <v>7914878.2068965519</v>
      </c>
      <c r="G2114" s="733">
        <f>(10618500/1.16)-G2115</f>
        <v>8671079.3103448283</v>
      </c>
      <c r="H2114" s="733">
        <f>(9874300/1.16)-H2115</f>
        <v>8007801.5862068962</v>
      </c>
      <c r="I2114" s="730">
        <f t="shared" si="1045"/>
        <v>37020421.586206898</v>
      </c>
      <c r="J2114" s="259">
        <f t="shared" si="1046"/>
        <v>5288631.6551724141</v>
      </c>
    </row>
    <row r="2115" spans="1:10" s="186" customFormat="1" x14ac:dyDescent="0.25">
      <c r="A2115" s="246" t="s">
        <v>31</v>
      </c>
      <c r="B2115" s="255">
        <f t="shared" ref="B2115:I2115" si="1051">2414*B2096</f>
        <v>137598</v>
      </c>
      <c r="C2115" s="732">
        <f t="shared" si="1051"/>
        <v>210018</v>
      </c>
      <c r="D2115" s="732">
        <f t="shared" si="1051"/>
        <v>168980</v>
      </c>
      <c r="E2115" s="732">
        <f t="shared" si="1051"/>
        <v>202776</v>
      </c>
      <c r="F2115" s="732">
        <f t="shared" si="1051"/>
        <v>415208</v>
      </c>
      <c r="G2115" s="732">
        <f t="shared" si="1051"/>
        <v>482800</v>
      </c>
      <c r="H2115" s="732">
        <f t="shared" si="1051"/>
        <v>504526</v>
      </c>
      <c r="I2115" s="31">
        <f t="shared" si="1051"/>
        <v>2121906</v>
      </c>
      <c r="J2115" s="256">
        <f t="shared" si="1046"/>
        <v>303129.42857142858</v>
      </c>
    </row>
    <row r="2116" spans="1:10" s="186" customFormat="1" x14ac:dyDescent="0.25">
      <c r="A2116" s="260" t="s">
        <v>32</v>
      </c>
      <c r="B2116" s="261">
        <f>B2115+B2114</f>
        <v>2275775.8620689656</v>
      </c>
      <c r="C2116" s="199">
        <f>C2115+C2114</f>
        <v>3546810.3448275863</v>
      </c>
      <c r="D2116" s="199">
        <f>D2115+D2114</f>
        <v>3263103.4482758623</v>
      </c>
      <c r="E2116" s="199">
        <f>E2115+E2114</f>
        <v>4060344.8275862071</v>
      </c>
      <c r="F2116" s="199">
        <f>F2114+F2115</f>
        <v>8330086.2068965519</v>
      </c>
      <c r="G2116" s="199">
        <f>G2115+G2114</f>
        <v>9153879.3103448283</v>
      </c>
      <c r="H2116" s="199">
        <f>H2115+H2114</f>
        <v>8512327.5862068962</v>
      </c>
      <c r="I2116" s="199">
        <f>I2114+I2115</f>
        <v>39142327.586206898</v>
      </c>
      <c r="J2116" s="262">
        <f t="shared" si="1046"/>
        <v>5591761.0837438423</v>
      </c>
    </row>
    <row r="2117" spans="1:10" s="186" customFormat="1" x14ac:dyDescent="0.25">
      <c r="A2117" s="246" t="s">
        <v>33</v>
      </c>
      <c r="B2117" s="263">
        <f>B2116*16%</f>
        <v>364124.13793103449</v>
      </c>
      <c r="C2117" s="94">
        <f t="shared" ref="C2117:H2117" si="1052">C2116*16%</f>
        <v>567489.6551724138</v>
      </c>
      <c r="D2117" s="94">
        <f t="shared" si="1052"/>
        <v>522096.55172413797</v>
      </c>
      <c r="E2117" s="94">
        <f t="shared" si="1052"/>
        <v>649655.17241379316</v>
      </c>
      <c r="F2117" s="94">
        <f t="shared" si="1052"/>
        <v>1332813.7931034483</v>
      </c>
      <c r="G2117" s="94">
        <f t="shared" si="1052"/>
        <v>1464620.6896551726</v>
      </c>
      <c r="H2117" s="94">
        <f t="shared" si="1052"/>
        <v>1361972.4137931035</v>
      </c>
      <c r="I2117" s="94">
        <f>I2116*16%</f>
        <v>6262772.4137931038</v>
      </c>
      <c r="J2117" s="256">
        <f t="shared" si="1046"/>
        <v>894681.77339901484</v>
      </c>
    </row>
    <row r="2118" spans="1:10" s="186" customFormat="1" ht="15.75" thickBot="1" x14ac:dyDescent="0.3">
      <c r="A2118" s="264" t="s">
        <v>34</v>
      </c>
      <c r="B2118" s="265">
        <f>B2116+B2117</f>
        <v>2639900</v>
      </c>
      <c r="C2118" s="266">
        <f t="shared" ref="C2118:H2118" si="1053">C2116+C2117</f>
        <v>4114300</v>
      </c>
      <c r="D2118" s="266">
        <f t="shared" si="1053"/>
        <v>3785200</v>
      </c>
      <c r="E2118" s="266">
        <f t="shared" si="1053"/>
        <v>4710000</v>
      </c>
      <c r="F2118" s="266">
        <f t="shared" si="1053"/>
        <v>9662900</v>
      </c>
      <c r="G2118" s="266">
        <f t="shared" si="1053"/>
        <v>10618500</v>
      </c>
      <c r="H2118" s="266">
        <f t="shared" si="1053"/>
        <v>9874300</v>
      </c>
      <c r="I2118" s="266">
        <f>I2116+I2117</f>
        <v>45405100</v>
      </c>
      <c r="J2118" s="267">
        <f t="shared" si="1046"/>
        <v>6486442.8571428573</v>
      </c>
    </row>
    <row r="2119" spans="1:10" s="186" customFormat="1" ht="15.75" thickBot="1" x14ac:dyDescent="0.3">
      <c r="A2119" s="204"/>
      <c r="B2119" s="112"/>
      <c r="C2119" s="112"/>
      <c r="D2119" s="112"/>
      <c r="E2119" s="112"/>
      <c r="F2119" s="112"/>
      <c r="G2119" s="112"/>
      <c r="H2119" s="112"/>
      <c r="I2119" s="112"/>
      <c r="J2119" s="205"/>
    </row>
    <row r="2120" spans="1:10" s="186" customFormat="1" ht="27" thickBot="1" x14ac:dyDescent="0.3">
      <c r="A2120"/>
      <c r="B2120" s="1002" t="s">
        <v>674</v>
      </c>
      <c r="C2120" s="1002"/>
      <c r="D2120" s="1002"/>
      <c r="E2120" s="1002"/>
      <c r="F2120" s="1002"/>
      <c r="G2120" s="1002"/>
      <c r="H2120" s="1002"/>
      <c r="I2120"/>
      <c r="J2120"/>
    </row>
    <row r="2121" spans="1:10" s="186" customFormat="1" ht="16.5" thickBot="1" x14ac:dyDescent="0.3">
      <c r="A2121" s="238" t="s">
        <v>2</v>
      </c>
      <c r="B2121" s="239" t="s">
        <v>53</v>
      </c>
      <c r="C2121" s="239" t="s">
        <v>54</v>
      </c>
      <c r="D2121" s="239" t="s">
        <v>292</v>
      </c>
      <c r="E2121" s="239" t="s">
        <v>293</v>
      </c>
      <c r="F2121" s="239" t="s">
        <v>294</v>
      </c>
      <c r="G2121" s="239" t="s">
        <v>295</v>
      </c>
      <c r="H2121" s="239" t="s">
        <v>296</v>
      </c>
      <c r="I2121" s="240" t="s">
        <v>96</v>
      </c>
      <c r="J2121" s="241" t="s">
        <v>97</v>
      </c>
    </row>
    <row r="2122" spans="1:10" s="186" customFormat="1" x14ac:dyDescent="0.25">
      <c r="A2122" s="242" t="s">
        <v>11</v>
      </c>
      <c r="B2122" s="243">
        <f>75+42+11</f>
        <v>128</v>
      </c>
      <c r="C2122" s="244">
        <f>60+43+15</f>
        <v>118</v>
      </c>
      <c r="D2122" s="244">
        <f>67+43+14</f>
        <v>124</v>
      </c>
      <c r="E2122" s="244">
        <f>95+46+15</f>
        <v>156</v>
      </c>
      <c r="F2122" s="244">
        <f>177+119+35</f>
        <v>331</v>
      </c>
      <c r="G2122" s="244">
        <f>202+145+50</f>
        <v>397</v>
      </c>
      <c r="H2122" s="268">
        <f>200+135+55</f>
        <v>390</v>
      </c>
      <c r="I2122" s="244">
        <f>SUM(B2122:H2122)</f>
        <v>1644</v>
      </c>
      <c r="J2122" s="245">
        <f>+I2122/7</f>
        <v>234.85714285714286</v>
      </c>
    </row>
    <row r="2123" spans="1:10" s="186" customFormat="1" x14ac:dyDescent="0.25">
      <c r="A2123" s="246" t="s">
        <v>12</v>
      </c>
      <c r="B2123" s="233">
        <v>70</v>
      </c>
      <c r="C2123" s="13">
        <v>65</v>
      </c>
      <c r="D2123" s="13">
        <v>63</v>
      </c>
      <c r="E2123" s="13">
        <v>83</v>
      </c>
      <c r="F2123" s="86">
        <v>167</v>
      </c>
      <c r="G2123" s="11">
        <v>237</v>
      </c>
      <c r="H2123" s="86">
        <v>227</v>
      </c>
      <c r="I2123" s="11">
        <f>SUM('PEPE SIERRA '!$B2123:$H2123)</f>
        <v>912</v>
      </c>
      <c r="J2123" s="247">
        <f t="shared" ref="J2123:J2128" si="1054">I2123/7</f>
        <v>130.28571428571428</v>
      </c>
    </row>
    <row r="2124" spans="1:10" s="186" customFormat="1" x14ac:dyDescent="0.25">
      <c r="A2124" s="246" t="s">
        <v>13</v>
      </c>
      <c r="B2124" s="233">
        <v>0</v>
      </c>
      <c r="C2124" s="13">
        <v>0</v>
      </c>
      <c r="D2124" s="13">
        <v>0</v>
      </c>
      <c r="E2124" s="13">
        <v>0</v>
      </c>
      <c r="F2124" s="11">
        <v>6</v>
      </c>
      <c r="G2124" s="11">
        <v>2</v>
      </c>
      <c r="H2124" s="11">
        <v>3</v>
      </c>
      <c r="I2124" s="11">
        <f>SUM('PEPE SIERRA '!$B2124:$H2124)</f>
        <v>11</v>
      </c>
      <c r="J2124" s="247">
        <f t="shared" si="1054"/>
        <v>1.5714285714285714</v>
      </c>
    </row>
    <row r="2125" spans="1:10" s="186" customFormat="1" x14ac:dyDescent="0.25">
      <c r="A2125" s="246" t="s">
        <v>14</v>
      </c>
      <c r="B2125" s="233">
        <v>30</v>
      </c>
      <c r="C2125" s="13">
        <v>29</v>
      </c>
      <c r="D2125" s="13">
        <v>36</v>
      </c>
      <c r="E2125" s="13">
        <v>38</v>
      </c>
      <c r="F2125" s="11">
        <v>66</v>
      </c>
      <c r="G2125" s="11">
        <v>71</v>
      </c>
      <c r="H2125" s="86">
        <v>76</v>
      </c>
      <c r="I2125" s="11">
        <f>SUM('PEPE SIERRA '!$B2125:$H2125)</f>
        <v>346</v>
      </c>
      <c r="J2125" s="247">
        <f t="shared" si="1054"/>
        <v>49.428571428571431</v>
      </c>
    </row>
    <row r="2126" spans="1:10" s="186" customFormat="1" x14ac:dyDescent="0.25">
      <c r="A2126" s="246" t="s">
        <v>15</v>
      </c>
      <c r="B2126" s="233">
        <v>3</v>
      </c>
      <c r="C2126" s="13">
        <v>0</v>
      </c>
      <c r="D2126" s="13">
        <v>3</v>
      </c>
      <c r="E2126" s="13">
        <v>2</v>
      </c>
      <c r="F2126" s="11">
        <v>13</v>
      </c>
      <c r="G2126" s="11">
        <v>6</v>
      </c>
      <c r="H2126" s="11">
        <v>1</v>
      </c>
      <c r="I2126" s="11">
        <f>SUM('PEPE SIERRA '!$B2126:$H2126)</f>
        <v>28</v>
      </c>
      <c r="J2126" s="247">
        <f t="shared" si="1054"/>
        <v>4</v>
      </c>
    </row>
    <row r="2127" spans="1:10" s="186" customFormat="1" x14ac:dyDescent="0.25">
      <c r="A2127" s="246" t="s">
        <v>16</v>
      </c>
      <c r="B2127" s="233">
        <v>0</v>
      </c>
      <c r="C2127" s="13">
        <v>0</v>
      </c>
      <c r="D2127" s="13">
        <v>0</v>
      </c>
      <c r="E2127" s="13">
        <v>0</v>
      </c>
      <c r="F2127" s="11">
        <v>0</v>
      </c>
      <c r="G2127" s="11">
        <v>0</v>
      </c>
      <c r="H2127" s="11">
        <v>2</v>
      </c>
      <c r="I2127" s="11">
        <f>SUM('PEPE SIERRA '!$B2127:$H2127)</f>
        <v>2</v>
      </c>
      <c r="J2127" s="247">
        <f t="shared" si="1054"/>
        <v>0.2857142857142857</v>
      </c>
    </row>
    <row r="2128" spans="1:10" s="186" customFormat="1" x14ac:dyDescent="0.25">
      <c r="A2128" s="248" t="s">
        <v>17</v>
      </c>
      <c r="B2128" s="249">
        <f>SUM(B2123:B2127)</f>
        <v>103</v>
      </c>
      <c r="C2128" s="192">
        <f t="shared" ref="C2128:I2128" si="1055">SUM(C2123:C2127)</f>
        <v>94</v>
      </c>
      <c r="D2128" s="192">
        <f t="shared" si="1055"/>
        <v>102</v>
      </c>
      <c r="E2128" s="192">
        <f t="shared" si="1055"/>
        <v>123</v>
      </c>
      <c r="F2128" s="192">
        <f t="shared" si="1055"/>
        <v>252</v>
      </c>
      <c r="G2128" s="192">
        <f t="shared" si="1055"/>
        <v>316</v>
      </c>
      <c r="H2128" s="192">
        <f t="shared" si="1055"/>
        <v>309</v>
      </c>
      <c r="I2128" s="192">
        <f t="shared" si="1055"/>
        <v>1299</v>
      </c>
      <c r="J2128" s="250">
        <f t="shared" si="1054"/>
        <v>185.57142857142858</v>
      </c>
    </row>
    <row r="2129" spans="1:10" s="186" customFormat="1" x14ac:dyDescent="0.25">
      <c r="A2129" s="246" t="s">
        <v>18</v>
      </c>
      <c r="B2129" s="234">
        <v>0.76</v>
      </c>
      <c r="C2129" s="235">
        <v>0.73</v>
      </c>
      <c r="D2129" s="235">
        <v>0.67</v>
      </c>
      <c r="E2129" s="235">
        <v>0.73</v>
      </c>
      <c r="F2129" s="30">
        <v>0.74</v>
      </c>
      <c r="G2129" s="30">
        <v>0.81</v>
      </c>
      <c r="H2129" s="30">
        <v>0.8</v>
      </c>
      <c r="I2129" s="30">
        <f>I2136/I2141</f>
        <v>0.76563306910139595</v>
      </c>
      <c r="J2129" s="251">
        <f>J2136/J2141</f>
        <v>0.76563306910139595</v>
      </c>
    </row>
    <row r="2130" spans="1:10" s="186" customFormat="1" x14ac:dyDescent="0.25">
      <c r="A2130" s="246" t="s">
        <v>19</v>
      </c>
      <c r="B2130" s="234">
        <v>0</v>
      </c>
      <c r="C2130" s="235">
        <v>0</v>
      </c>
      <c r="D2130" s="235">
        <v>0</v>
      </c>
      <c r="E2130" s="235">
        <v>0</v>
      </c>
      <c r="F2130" s="30">
        <v>0.02</v>
      </c>
      <c r="G2130" s="30">
        <v>0.01</v>
      </c>
      <c r="H2130" s="30">
        <v>0.01</v>
      </c>
      <c r="I2130" s="30">
        <f>I2137/I2141</f>
        <v>8.9351318650504434E-3</v>
      </c>
      <c r="J2130" s="251">
        <f>J2137/J2141</f>
        <v>8.9351318650504434E-3</v>
      </c>
    </row>
    <row r="2131" spans="1:10" s="186" customFormat="1" x14ac:dyDescent="0.25">
      <c r="A2131" s="246" t="s">
        <v>20</v>
      </c>
      <c r="B2131" s="234">
        <v>0.22</v>
      </c>
      <c r="C2131" s="235">
        <v>0.27</v>
      </c>
      <c r="D2131" s="235">
        <v>0.31</v>
      </c>
      <c r="E2131" s="235">
        <v>0.26</v>
      </c>
      <c r="F2131" s="30">
        <v>0.21</v>
      </c>
      <c r="G2131" s="30">
        <v>0.16</v>
      </c>
      <c r="H2131" s="30">
        <v>0.17</v>
      </c>
      <c r="I2131" s="30">
        <f>I2138/I2141</f>
        <v>0.20576500657956362</v>
      </c>
      <c r="J2131" s="251">
        <f>J2138/J2141</f>
        <v>0.20576500657956362</v>
      </c>
    </row>
    <row r="2132" spans="1:10" s="186" customFormat="1" x14ac:dyDescent="0.25">
      <c r="A2132" s="246" t="s">
        <v>21</v>
      </c>
      <c r="B2132" s="234">
        <v>0.02</v>
      </c>
      <c r="C2132" s="235">
        <v>0</v>
      </c>
      <c r="D2132" s="235">
        <v>0.02</v>
      </c>
      <c r="E2132" s="235">
        <v>0.01</v>
      </c>
      <c r="F2132" s="30">
        <v>0.03</v>
      </c>
      <c r="G2132" s="30">
        <v>0.02</v>
      </c>
      <c r="H2132" s="30">
        <v>0.01</v>
      </c>
      <c r="I2132" s="30">
        <f>I2139/I2141</f>
        <v>1.7381177729759327E-2</v>
      </c>
      <c r="J2132" s="251">
        <f>J2139/J2141</f>
        <v>1.7381177729759327E-2</v>
      </c>
    </row>
    <row r="2133" spans="1:10" s="186" customFormat="1" x14ac:dyDescent="0.25">
      <c r="A2133" s="246" t="s">
        <v>22</v>
      </c>
      <c r="B2133" s="234">
        <v>0</v>
      </c>
      <c r="C2133" s="235">
        <v>0</v>
      </c>
      <c r="D2133" s="235">
        <v>0</v>
      </c>
      <c r="E2133" s="235">
        <v>0</v>
      </c>
      <c r="F2133" s="30">
        <v>0</v>
      </c>
      <c r="G2133" s="30">
        <v>0</v>
      </c>
      <c r="H2133" s="30">
        <v>0.01</v>
      </c>
      <c r="I2133" s="30">
        <f>I2140/I2141</f>
        <v>2.28561472423061E-3</v>
      </c>
      <c r="J2133" s="251">
        <f>J2140/J2141</f>
        <v>2.28561472423061E-3</v>
      </c>
    </row>
    <row r="2134" spans="1:10" s="186" customFormat="1" x14ac:dyDescent="0.25">
      <c r="A2134" s="252" t="s">
        <v>23</v>
      </c>
      <c r="B2134" s="253">
        <f t="shared" ref="B2134:J2134" si="1056">B2145/B2128</f>
        <v>35364.077669902916</v>
      </c>
      <c r="C2134" s="66">
        <f t="shared" si="1056"/>
        <v>38067.021276595748</v>
      </c>
      <c r="D2134" s="66">
        <f t="shared" si="1056"/>
        <v>33670.588235294119</v>
      </c>
      <c r="E2134" s="66">
        <f t="shared" si="1056"/>
        <v>36173.170731707316</v>
      </c>
      <c r="F2134" s="66">
        <f t="shared" si="1056"/>
        <v>39565.476190476198</v>
      </c>
      <c r="G2134" s="66">
        <f t="shared" si="1056"/>
        <v>37099.841772151907</v>
      </c>
      <c r="H2134" s="66">
        <f t="shared" si="1056"/>
        <v>35501.618122977343</v>
      </c>
      <c r="I2134" s="66">
        <f t="shared" si="1056"/>
        <v>36773.325635103931</v>
      </c>
      <c r="J2134" s="254">
        <f t="shared" si="1056"/>
        <v>36773.325635103931</v>
      </c>
    </row>
    <row r="2135" spans="1:10" s="186" customFormat="1" x14ac:dyDescent="0.25">
      <c r="A2135" s="252" t="s">
        <v>24</v>
      </c>
      <c r="B2135" s="253">
        <f t="shared" ref="B2135:I2135" si="1057">+B2145/B2122</f>
        <v>28457.03125</v>
      </c>
      <c r="C2135" s="66">
        <f t="shared" si="1057"/>
        <v>30324.576271186441</v>
      </c>
      <c r="D2135" s="66">
        <f t="shared" si="1057"/>
        <v>27696.77419354839</v>
      </c>
      <c r="E2135" s="66">
        <f t="shared" si="1057"/>
        <v>28521.153846153848</v>
      </c>
      <c r="F2135" s="66">
        <f t="shared" si="1057"/>
        <v>30122.356495468284</v>
      </c>
      <c r="G2135" s="66">
        <f t="shared" si="1057"/>
        <v>29530.352644836275</v>
      </c>
      <c r="H2135" s="66">
        <f t="shared" si="1057"/>
        <v>28128.205128205129</v>
      </c>
      <c r="I2135" s="66">
        <f t="shared" si="1057"/>
        <v>29056.295620437962</v>
      </c>
      <c r="J2135" s="254">
        <f>J2145/J2122</f>
        <v>29056.295620437962</v>
      </c>
    </row>
    <row r="2136" spans="1:10" s="186" customFormat="1" x14ac:dyDescent="0.25">
      <c r="A2136" s="246" t="s">
        <v>25</v>
      </c>
      <c r="B2136" s="255">
        <f t="shared" ref="B2136:H2136" si="1058">B2141*B2129</f>
        <v>2258040.7172413794</v>
      </c>
      <c r="C2136" s="92">
        <f t="shared" si="1058"/>
        <v>2137316.9068965516</v>
      </c>
      <c r="D2136" s="92">
        <f t="shared" si="1058"/>
        <v>1881767.1289655175</v>
      </c>
      <c r="E2136" s="92">
        <f t="shared" si="1058"/>
        <v>2653726.2572413795</v>
      </c>
      <c r="F2136" s="92">
        <f t="shared" si="1058"/>
        <v>6062169.2593103461</v>
      </c>
      <c r="G2136" s="92">
        <f t="shared" si="1058"/>
        <v>7722856.4027586225</v>
      </c>
      <c r="H2136" s="92">
        <f t="shared" si="1058"/>
        <v>7127134.8413793109</v>
      </c>
      <c r="I2136" s="31">
        <f t="shared" ref="I2136:I2141" si="1059">SUM(B2136:H2136)</f>
        <v>29843011.513793107</v>
      </c>
      <c r="J2136" s="256">
        <f t="shared" ref="J2136:J2145" si="1060">I2136/7</f>
        <v>4263287.3591133012</v>
      </c>
    </row>
    <row r="2137" spans="1:10" s="186" customFormat="1" x14ac:dyDescent="0.25">
      <c r="A2137" s="246" t="s">
        <v>26</v>
      </c>
      <c r="B2137" s="255">
        <f t="shared" ref="B2137:H2137" si="1061">B2141*B2130</f>
        <v>0</v>
      </c>
      <c r="C2137" s="92">
        <f t="shared" si="1061"/>
        <v>0</v>
      </c>
      <c r="D2137" s="92">
        <f t="shared" si="1061"/>
        <v>0</v>
      </c>
      <c r="E2137" s="92">
        <f t="shared" si="1061"/>
        <v>0</v>
      </c>
      <c r="F2137" s="92">
        <f t="shared" si="1061"/>
        <v>163842.41241379312</v>
      </c>
      <c r="G2137" s="92">
        <f t="shared" si="1061"/>
        <v>95343.906206896572</v>
      </c>
      <c r="H2137" s="92">
        <f t="shared" si="1061"/>
        <v>89089.185517241378</v>
      </c>
      <c r="I2137" s="31">
        <f t="shared" si="1059"/>
        <v>348275.50413793104</v>
      </c>
      <c r="J2137" s="256">
        <f t="shared" si="1060"/>
        <v>49753.643448275863</v>
      </c>
    </row>
    <row r="2138" spans="1:10" s="186" customFormat="1" x14ac:dyDescent="0.25">
      <c r="A2138" s="246" t="s">
        <v>27</v>
      </c>
      <c r="B2138" s="255">
        <f t="shared" ref="B2138:H2138" si="1062">B2141*B2131</f>
        <v>653643.36551724141</v>
      </c>
      <c r="C2138" s="92">
        <f t="shared" si="1062"/>
        <v>790514.47241379321</v>
      </c>
      <c r="D2138" s="92">
        <f t="shared" si="1062"/>
        <v>870668.37310344842</v>
      </c>
      <c r="E2138" s="92">
        <f t="shared" si="1062"/>
        <v>945162.77655172418</v>
      </c>
      <c r="F2138" s="92">
        <f t="shared" si="1062"/>
        <v>1720345.3303448278</v>
      </c>
      <c r="G2138" s="92">
        <f t="shared" si="1062"/>
        <v>1525502.4993103452</v>
      </c>
      <c r="H2138" s="92">
        <f t="shared" si="1062"/>
        <v>1514516.1537931035</v>
      </c>
      <c r="I2138" s="31">
        <f t="shared" si="1059"/>
        <v>8020352.971034484</v>
      </c>
      <c r="J2138" s="256">
        <f t="shared" si="1060"/>
        <v>1145764.7101477834</v>
      </c>
    </row>
    <row r="2139" spans="1:10" s="186" customFormat="1" x14ac:dyDescent="0.25">
      <c r="A2139" s="246" t="s">
        <v>28</v>
      </c>
      <c r="B2139" s="255">
        <f t="shared" ref="B2139:H2139" si="1063">B2141*B2132</f>
        <v>59422.124137931038</v>
      </c>
      <c r="C2139" s="92">
        <f t="shared" si="1063"/>
        <v>0</v>
      </c>
      <c r="D2139" s="92">
        <f t="shared" si="1063"/>
        <v>56172.153103448283</v>
      </c>
      <c r="E2139" s="92">
        <f t="shared" si="1063"/>
        <v>36352.414482758621</v>
      </c>
      <c r="F2139" s="92">
        <f t="shared" si="1063"/>
        <v>245763.6186206897</v>
      </c>
      <c r="G2139" s="92">
        <f t="shared" si="1063"/>
        <v>190687.81241379314</v>
      </c>
      <c r="H2139" s="92">
        <f t="shared" si="1063"/>
        <v>89089.185517241378</v>
      </c>
      <c r="I2139" s="31">
        <f t="shared" si="1059"/>
        <v>677487.30827586213</v>
      </c>
      <c r="J2139" s="256">
        <f t="shared" si="1060"/>
        <v>96783.901182266025</v>
      </c>
    </row>
    <row r="2140" spans="1:10" s="186" customFormat="1" x14ac:dyDescent="0.25">
      <c r="A2140" s="246" t="s">
        <v>29</v>
      </c>
      <c r="B2140" s="255">
        <f t="shared" ref="B2140:H2140" si="1064">B2141*B2133</f>
        <v>0</v>
      </c>
      <c r="C2140" s="731">
        <f t="shared" si="1064"/>
        <v>0</v>
      </c>
      <c r="D2140" s="731">
        <f t="shared" si="1064"/>
        <v>0</v>
      </c>
      <c r="E2140" s="731">
        <f t="shared" si="1064"/>
        <v>0</v>
      </c>
      <c r="F2140" s="731">
        <f t="shared" si="1064"/>
        <v>0</v>
      </c>
      <c r="G2140" s="731">
        <f t="shared" si="1064"/>
        <v>0</v>
      </c>
      <c r="H2140" s="731">
        <f t="shared" si="1064"/>
        <v>89089.185517241378</v>
      </c>
      <c r="I2140" s="31">
        <f t="shared" si="1059"/>
        <v>89089.185517241378</v>
      </c>
      <c r="J2140" s="256">
        <f t="shared" si="1060"/>
        <v>12727.026502463053</v>
      </c>
    </row>
    <row r="2141" spans="1:10" s="186" customFormat="1" x14ac:dyDescent="0.25">
      <c r="A2141" s="257" t="s">
        <v>30</v>
      </c>
      <c r="B2141" s="258">
        <f>(3642500/1.16)-B2142</f>
        <v>2971106.2068965519</v>
      </c>
      <c r="C2141" s="733">
        <f>(3578300/1.16)-C2142</f>
        <v>2927831.3793103448</v>
      </c>
      <c r="D2141" s="733">
        <f>(3434400/1.16)-D2142</f>
        <v>2808607.6551724141</v>
      </c>
      <c r="E2141" s="733">
        <f>(4449300/1.16)-E2142</f>
        <v>3635241.4482758623</v>
      </c>
      <c r="F2141" s="733">
        <f>(9970500/1.16)-F2142</f>
        <v>8192120.6206896566</v>
      </c>
      <c r="G2141" s="733">
        <f>(11723550/1.16)-G2142</f>
        <v>9534390.6206896566</v>
      </c>
      <c r="H2141" s="733">
        <f>(10970000/1.16)-H2142</f>
        <v>8908918.5517241377</v>
      </c>
      <c r="I2141" s="730">
        <f t="shared" si="1059"/>
        <v>38978216.482758626</v>
      </c>
      <c r="J2141" s="259">
        <f t="shared" si="1060"/>
        <v>5568316.6403940897</v>
      </c>
    </row>
    <row r="2142" spans="1:10" s="186" customFormat="1" x14ac:dyDescent="0.25">
      <c r="A2142" s="246" t="s">
        <v>31</v>
      </c>
      <c r="B2142" s="255">
        <f t="shared" ref="B2142:I2142" si="1065">2414*B2123</f>
        <v>168980</v>
      </c>
      <c r="C2142" s="732">
        <f t="shared" si="1065"/>
        <v>156910</v>
      </c>
      <c r="D2142" s="732">
        <f t="shared" si="1065"/>
        <v>152082</v>
      </c>
      <c r="E2142" s="732">
        <f t="shared" si="1065"/>
        <v>200362</v>
      </c>
      <c r="F2142" s="732">
        <f t="shared" si="1065"/>
        <v>403138</v>
      </c>
      <c r="G2142" s="732">
        <f t="shared" si="1065"/>
        <v>572118</v>
      </c>
      <c r="H2142" s="732">
        <f t="shared" si="1065"/>
        <v>547978</v>
      </c>
      <c r="I2142" s="31">
        <f t="shared" si="1065"/>
        <v>2201568</v>
      </c>
      <c r="J2142" s="256">
        <f t="shared" si="1060"/>
        <v>314509.71428571426</v>
      </c>
    </row>
    <row r="2143" spans="1:10" s="186" customFormat="1" x14ac:dyDescent="0.25">
      <c r="A2143" s="260" t="s">
        <v>32</v>
      </c>
      <c r="B2143" s="261">
        <f>B2142+B2141</f>
        <v>3140086.2068965519</v>
      </c>
      <c r="C2143" s="199">
        <f>C2142+C2141</f>
        <v>3084741.3793103448</v>
      </c>
      <c r="D2143" s="199">
        <f>D2142+D2141</f>
        <v>2960689.6551724141</v>
      </c>
      <c r="E2143" s="199">
        <f>E2142+E2141</f>
        <v>3835603.4482758623</v>
      </c>
      <c r="F2143" s="199">
        <f>F2141+F2142</f>
        <v>8595258.6206896566</v>
      </c>
      <c r="G2143" s="199">
        <f>G2142+G2141</f>
        <v>10106508.620689657</v>
      </c>
      <c r="H2143" s="199">
        <f>H2142+H2141</f>
        <v>9456896.5517241377</v>
      </c>
      <c r="I2143" s="199">
        <f>I2141+I2142</f>
        <v>41179784.482758626</v>
      </c>
      <c r="J2143" s="262">
        <f t="shared" si="1060"/>
        <v>5882826.3546798034</v>
      </c>
    </row>
    <row r="2144" spans="1:10" s="186" customFormat="1" x14ac:dyDescent="0.25">
      <c r="A2144" s="246" t="s">
        <v>33</v>
      </c>
      <c r="B2144" s="263">
        <f>B2143*16%</f>
        <v>502413.79310344829</v>
      </c>
      <c r="C2144" s="94">
        <f t="shared" ref="C2144:H2144" si="1066">C2143*16%</f>
        <v>493558.62068965519</v>
      </c>
      <c r="D2144" s="94">
        <f t="shared" si="1066"/>
        <v>473710.34482758626</v>
      </c>
      <c r="E2144" s="94">
        <f t="shared" si="1066"/>
        <v>613696.55172413797</v>
      </c>
      <c r="F2144" s="94">
        <f t="shared" si="1066"/>
        <v>1375241.379310345</v>
      </c>
      <c r="G2144" s="94">
        <f t="shared" si="1066"/>
        <v>1617041.379310345</v>
      </c>
      <c r="H2144" s="94">
        <f t="shared" si="1066"/>
        <v>1513103.448275862</v>
      </c>
      <c r="I2144" s="94">
        <f>I2143*16%</f>
        <v>6588765.5172413802</v>
      </c>
      <c r="J2144" s="256">
        <f t="shared" si="1060"/>
        <v>941252.21674876858</v>
      </c>
    </row>
    <row r="2145" spans="1:10" s="186" customFormat="1" ht="15.75" thickBot="1" x14ac:dyDescent="0.3">
      <c r="A2145" s="264" t="s">
        <v>34</v>
      </c>
      <c r="B2145" s="265">
        <f>B2143+B2144</f>
        <v>3642500</v>
      </c>
      <c r="C2145" s="266">
        <f t="shared" ref="C2145:H2145" si="1067">C2143+C2144</f>
        <v>3578300</v>
      </c>
      <c r="D2145" s="266">
        <f t="shared" si="1067"/>
        <v>3434400.0000000005</v>
      </c>
      <c r="E2145" s="266">
        <f t="shared" si="1067"/>
        <v>4449300</v>
      </c>
      <c r="F2145" s="266">
        <f t="shared" si="1067"/>
        <v>9970500.0000000019</v>
      </c>
      <c r="G2145" s="266">
        <f t="shared" si="1067"/>
        <v>11723550.000000002</v>
      </c>
      <c r="H2145" s="266">
        <f t="shared" si="1067"/>
        <v>10970000</v>
      </c>
      <c r="I2145" s="266">
        <f>I2143+I2144</f>
        <v>47768550.000000007</v>
      </c>
      <c r="J2145" s="267">
        <f t="shared" si="1060"/>
        <v>6824078.5714285728</v>
      </c>
    </row>
    <row r="2146" spans="1:10" s="186" customFormat="1" ht="15.75" thickBot="1" x14ac:dyDescent="0.3">
      <c r="A2146" s="204"/>
      <c r="B2146" s="112"/>
      <c r="C2146" s="112"/>
      <c r="D2146" s="112"/>
      <c r="E2146" s="112"/>
      <c r="F2146" s="112"/>
      <c r="G2146" s="112"/>
      <c r="H2146" s="112"/>
      <c r="I2146" s="112"/>
      <c r="J2146" s="205"/>
    </row>
    <row r="2147" spans="1:10" s="186" customFormat="1" ht="27" thickBot="1" x14ac:dyDescent="0.3">
      <c r="A2147"/>
      <c r="B2147" s="1002" t="s">
        <v>677</v>
      </c>
      <c r="C2147" s="1002"/>
      <c r="D2147" s="1002"/>
      <c r="E2147" s="1002"/>
      <c r="F2147" s="1002"/>
      <c r="G2147" s="1002"/>
      <c r="H2147" s="1002"/>
      <c r="I2147"/>
      <c r="J2147"/>
    </row>
    <row r="2148" spans="1:10" s="186" customFormat="1" ht="16.5" thickBot="1" x14ac:dyDescent="0.3">
      <c r="A2148" s="238" t="s">
        <v>2</v>
      </c>
      <c r="B2148" s="239" t="s">
        <v>298</v>
      </c>
      <c r="C2148" s="239" t="s">
        <v>299</v>
      </c>
      <c r="D2148" s="239" t="s">
        <v>300</v>
      </c>
      <c r="E2148" s="239" t="s">
        <v>301</v>
      </c>
      <c r="F2148" s="239" t="s">
        <v>65</v>
      </c>
      <c r="G2148" s="239" t="s">
        <v>66</v>
      </c>
      <c r="H2148" s="239" t="s">
        <v>67</v>
      </c>
      <c r="I2148" s="240" t="s">
        <v>96</v>
      </c>
      <c r="J2148" s="241" t="s">
        <v>97</v>
      </c>
    </row>
    <row r="2149" spans="1:10" s="186" customFormat="1" x14ac:dyDescent="0.25">
      <c r="A2149" s="242" t="s">
        <v>11</v>
      </c>
      <c r="B2149" s="243">
        <f>71+35+12</f>
        <v>118</v>
      </c>
      <c r="C2149" s="244">
        <f>68+37+8</f>
        <v>113</v>
      </c>
      <c r="D2149" s="244">
        <f>77+51+14</f>
        <v>142</v>
      </c>
      <c r="E2149" s="244">
        <f>59+37+11</f>
        <v>107</v>
      </c>
      <c r="F2149" s="244">
        <f>193+125+34</f>
        <v>352</v>
      </c>
      <c r="G2149" s="244">
        <f>182+137+41</f>
        <v>360</v>
      </c>
      <c r="H2149" s="268">
        <f>180+123+47</f>
        <v>350</v>
      </c>
      <c r="I2149" s="244">
        <f>SUM(B2149:H2149)</f>
        <v>1542</v>
      </c>
      <c r="J2149" s="245">
        <f>+I2149/7</f>
        <v>220.28571428571428</v>
      </c>
    </row>
    <row r="2150" spans="1:10" s="186" customFormat="1" x14ac:dyDescent="0.25">
      <c r="A2150" s="246" t="s">
        <v>12</v>
      </c>
      <c r="B2150" s="233">
        <v>73</v>
      </c>
      <c r="C2150" s="13">
        <v>65</v>
      </c>
      <c r="D2150" s="13">
        <v>83</v>
      </c>
      <c r="E2150" s="13">
        <v>71</v>
      </c>
      <c r="F2150" s="86">
        <v>188</v>
      </c>
      <c r="G2150" s="11">
        <v>194</v>
      </c>
      <c r="H2150" s="86">
        <v>217</v>
      </c>
      <c r="I2150" s="11">
        <f>SUM('PEPE SIERRA '!$B2150:$H2150)</f>
        <v>891</v>
      </c>
      <c r="J2150" s="247">
        <f t="shared" ref="J2150:J2155" si="1068">I2150/7</f>
        <v>127.28571428571429</v>
      </c>
    </row>
    <row r="2151" spans="1:10" s="186" customFormat="1" x14ac:dyDescent="0.25">
      <c r="A2151" s="246" t="s">
        <v>13</v>
      </c>
      <c r="B2151" s="233">
        <v>2</v>
      </c>
      <c r="C2151" s="13">
        <v>0</v>
      </c>
      <c r="D2151" s="13">
        <v>1</v>
      </c>
      <c r="E2151" s="13">
        <v>0</v>
      </c>
      <c r="F2151" s="11">
        <v>3</v>
      </c>
      <c r="G2151" s="11">
        <v>3</v>
      </c>
      <c r="H2151" s="11">
        <v>2</v>
      </c>
      <c r="I2151" s="11">
        <f>SUM('PEPE SIERRA '!$B2151:$H2151)</f>
        <v>11</v>
      </c>
      <c r="J2151" s="247">
        <f t="shared" si="1068"/>
        <v>1.5714285714285714</v>
      </c>
    </row>
    <row r="2152" spans="1:10" s="186" customFormat="1" x14ac:dyDescent="0.25">
      <c r="A2152" s="246" t="s">
        <v>14</v>
      </c>
      <c r="B2152" s="233">
        <v>22</v>
      </c>
      <c r="C2152" s="13">
        <v>34</v>
      </c>
      <c r="D2152" s="13">
        <v>31</v>
      </c>
      <c r="E2152" s="13">
        <v>19</v>
      </c>
      <c r="F2152" s="11">
        <v>78</v>
      </c>
      <c r="G2152" s="11">
        <v>61</v>
      </c>
      <c r="H2152" s="86">
        <v>41</v>
      </c>
      <c r="I2152" s="11">
        <f>SUM('PEPE SIERRA '!$B2152:$H2152)</f>
        <v>286</v>
      </c>
      <c r="J2152" s="247">
        <f t="shared" si="1068"/>
        <v>40.857142857142854</v>
      </c>
    </row>
    <row r="2153" spans="1:10" s="186" customFormat="1" x14ac:dyDescent="0.25">
      <c r="A2153" s="246" t="s">
        <v>15</v>
      </c>
      <c r="B2153" s="233">
        <v>0</v>
      </c>
      <c r="C2153" s="13">
        <v>0</v>
      </c>
      <c r="D2153" s="13">
        <v>3</v>
      </c>
      <c r="E2153" s="13">
        <v>1</v>
      </c>
      <c r="F2153" s="11">
        <v>0</v>
      </c>
      <c r="G2153" s="11">
        <v>8</v>
      </c>
      <c r="H2153" s="11">
        <v>8</v>
      </c>
      <c r="I2153" s="11">
        <f>SUM('PEPE SIERRA '!$B2153:$H2153)</f>
        <v>20</v>
      </c>
      <c r="J2153" s="247">
        <f t="shared" si="1068"/>
        <v>2.8571428571428572</v>
      </c>
    </row>
    <row r="2154" spans="1:10" s="186" customFormat="1" x14ac:dyDescent="0.25">
      <c r="A2154" s="246" t="s">
        <v>16</v>
      </c>
      <c r="B2154" s="233">
        <v>0</v>
      </c>
      <c r="C2154" s="13">
        <v>0</v>
      </c>
      <c r="D2154" s="13">
        <v>0</v>
      </c>
      <c r="E2154" s="13">
        <v>1</v>
      </c>
      <c r="F2154" s="11">
        <v>0</v>
      </c>
      <c r="G2154" s="11">
        <v>0</v>
      </c>
      <c r="H2154" s="11">
        <v>0</v>
      </c>
      <c r="I2154" s="11">
        <f>SUM('PEPE SIERRA '!$B2154:$H2154)</f>
        <v>1</v>
      </c>
      <c r="J2154" s="247">
        <f t="shared" si="1068"/>
        <v>0.14285714285714285</v>
      </c>
    </row>
    <row r="2155" spans="1:10" s="186" customFormat="1" x14ac:dyDescent="0.25">
      <c r="A2155" s="248" t="s">
        <v>17</v>
      </c>
      <c r="B2155" s="249">
        <f>SUM(B2150:B2154)</f>
        <v>97</v>
      </c>
      <c r="C2155" s="192">
        <f t="shared" ref="C2155:I2155" si="1069">SUM(C2150:C2154)</f>
        <v>99</v>
      </c>
      <c r="D2155" s="192">
        <f t="shared" si="1069"/>
        <v>118</v>
      </c>
      <c r="E2155" s="192">
        <f t="shared" si="1069"/>
        <v>92</v>
      </c>
      <c r="F2155" s="192">
        <f t="shared" si="1069"/>
        <v>269</v>
      </c>
      <c r="G2155" s="192">
        <f t="shared" si="1069"/>
        <v>266</v>
      </c>
      <c r="H2155" s="192">
        <f t="shared" si="1069"/>
        <v>268</v>
      </c>
      <c r="I2155" s="192">
        <f t="shared" si="1069"/>
        <v>1209</v>
      </c>
      <c r="J2155" s="250">
        <f t="shared" si="1068"/>
        <v>172.71428571428572</v>
      </c>
    </row>
    <row r="2156" spans="1:10" s="186" customFormat="1" x14ac:dyDescent="0.25">
      <c r="A2156" s="246" t="s">
        <v>18</v>
      </c>
      <c r="B2156" s="234">
        <v>0.83</v>
      </c>
      <c r="C2156" s="235">
        <v>0.77</v>
      </c>
      <c r="D2156" s="235">
        <v>0.79</v>
      </c>
      <c r="E2156" s="235">
        <v>0.78</v>
      </c>
      <c r="F2156" s="30">
        <v>0.77</v>
      </c>
      <c r="G2156" s="30">
        <v>0.81</v>
      </c>
      <c r="H2156" s="30">
        <v>0.84</v>
      </c>
      <c r="I2156" s="30">
        <f>I2163/I2168</f>
        <v>0.80213514808610331</v>
      </c>
      <c r="J2156" s="251">
        <f>J2163/J2168</f>
        <v>0.80213514808610342</v>
      </c>
    </row>
    <row r="2157" spans="1:10" s="186" customFormat="1" x14ac:dyDescent="0.25">
      <c r="A2157" s="246" t="s">
        <v>19</v>
      </c>
      <c r="B2157" s="234">
        <v>0.01</v>
      </c>
      <c r="C2157" s="235">
        <v>0</v>
      </c>
      <c r="D2157" s="235">
        <v>0</v>
      </c>
      <c r="E2157" s="235">
        <v>0</v>
      </c>
      <c r="F2157" s="30">
        <v>0.01</v>
      </c>
      <c r="G2157" s="30">
        <v>0</v>
      </c>
      <c r="H2157" s="30">
        <v>0.01</v>
      </c>
      <c r="I2157" s="30">
        <f>I2164/I2168</f>
        <v>5.2288287716550728E-3</v>
      </c>
      <c r="J2157" s="251">
        <f>J2164/J2168</f>
        <v>5.2288287716550728E-3</v>
      </c>
    </row>
    <row r="2158" spans="1:10" s="186" customFormat="1" x14ac:dyDescent="0.25">
      <c r="A2158" s="246" t="s">
        <v>20</v>
      </c>
      <c r="B2158" s="234">
        <v>0.16</v>
      </c>
      <c r="C2158" s="235">
        <v>0.23</v>
      </c>
      <c r="D2158" s="235">
        <v>0.2</v>
      </c>
      <c r="E2158" s="235">
        <v>0.19</v>
      </c>
      <c r="F2158" s="30">
        <v>0.22</v>
      </c>
      <c r="G2158" s="30">
        <v>0.18</v>
      </c>
      <c r="H2158" s="30">
        <v>0.14000000000000001</v>
      </c>
      <c r="I2158" s="30">
        <f>I2165/I2168</f>
        <v>0.18495523296466146</v>
      </c>
      <c r="J2158" s="251">
        <f>J2165/J2168</f>
        <v>0.18495523296466146</v>
      </c>
    </row>
    <row r="2159" spans="1:10" s="186" customFormat="1" x14ac:dyDescent="0.25">
      <c r="A2159" s="246" t="s">
        <v>21</v>
      </c>
      <c r="B2159" s="234">
        <v>0</v>
      </c>
      <c r="C2159" s="235">
        <v>0</v>
      </c>
      <c r="D2159" s="235">
        <v>0.01</v>
      </c>
      <c r="E2159" s="235">
        <v>0.02</v>
      </c>
      <c r="F2159" s="30">
        <v>0</v>
      </c>
      <c r="G2159" s="30">
        <v>0.01</v>
      </c>
      <c r="H2159" s="30">
        <v>0.01</v>
      </c>
      <c r="I2159" s="30">
        <f>I2166/I2168</f>
        <v>6.9661272193848817E-3</v>
      </c>
      <c r="J2159" s="251">
        <f>J2166/J2168</f>
        <v>6.9661272193848826E-3</v>
      </c>
    </row>
    <row r="2160" spans="1:10" s="186" customFormat="1" x14ac:dyDescent="0.25">
      <c r="A2160" s="246" t="s">
        <v>22</v>
      </c>
      <c r="B2160" s="234">
        <v>0</v>
      </c>
      <c r="C2160" s="235">
        <v>0</v>
      </c>
      <c r="D2160" s="235">
        <v>0</v>
      </c>
      <c r="E2160" s="235">
        <v>0.01</v>
      </c>
      <c r="F2160" s="30">
        <v>0</v>
      </c>
      <c r="G2160" s="30">
        <v>0</v>
      </c>
      <c r="H2160" s="30">
        <v>0</v>
      </c>
      <c r="I2160" s="30">
        <f>I2167/I2168</f>
        <v>7.1466295819544315E-4</v>
      </c>
      <c r="J2160" s="251">
        <f>J2167/J2168</f>
        <v>7.1466295819544315E-4</v>
      </c>
    </row>
    <row r="2161" spans="1:10" s="186" customFormat="1" x14ac:dyDescent="0.25">
      <c r="A2161" s="252" t="s">
        <v>23</v>
      </c>
      <c r="B2161" s="253">
        <f t="shared" ref="B2161:J2161" si="1070">B2172/B2155</f>
        <v>33527.835051546397</v>
      </c>
      <c r="C2161" s="66">
        <f t="shared" si="1070"/>
        <v>33738.383838383845</v>
      </c>
      <c r="D2161" s="66">
        <f t="shared" si="1070"/>
        <v>33626.271186440681</v>
      </c>
      <c r="E2161" s="66">
        <f t="shared" si="1070"/>
        <v>34777.17391304348</v>
      </c>
      <c r="F2161" s="66">
        <f t="shared" si="1070"/>
        <v>37396.654275092944</v>
      </c>
      <c r="G2161" s="66">
        <f t="shared" si="1070"/>
        <v>40157.518796992481</v>
      </c>
      <c r="H2161" s="66">
        <f t="shared" si="1070"/>
        <v>37242.910447761191</v>
      </c>
      <c r="I2161" s="66">
        <f t="shared" si="1070"/>
        <v>36792.721257237383</v>
      </c>
      <c r="J2161" s="254">
        <f t="shared" si="1070"/>
        <v>36792.72125723739</v>
      </c>
    </row>
    <row r="2162" spans="1:10" s="186" customFormat="1" x14ac:dyDescent="0.25">
      <c r="A2162" s="252" t="s">
        <v>24</v>
      </c>
      <c r="B2162" s="253">
        <f t="shared" ref="B2162:I2162" si="1071">+B2172/B2149</f>
        <v>27561.016949152545</v>
      </c>
      <c r="C2162" s="66">
        <f t="shared" si="1071"/>
        <v>29558.407079646022</v>
      </c>
      <c r="D2162" s="66">
        <f t="shared" si="1071"/>
        <v>27942.957746478874</v>
      </c>
      <c r="E2162" s="66">
        <f t="shared" si="1071"/>
        <v>29901.869158878508</v>
      </c>
      <c r="F2162" s="66">
        <f t="shared" si="1071"/>
        <v>28578.693181818187</v>
      </c>
      <c r="G2162" s="66">
        <f t="shared" si="1071"/>
        <v>29671.944444444445</v>
      </c>
      <c r="H2162" s="66">
        <f t="shared" si="1071"/>
        <v>28517.428571428572</v>
      </c>
      <c r="I2162" s="66">
        <f t="shared" si="1071"/>
        <v>28847.21141374838</v>
      </c>
      <c r="J2162" s="254">
        <f>J2172/J2149</f>
        <v>28847.21141374838</v>
      </c>
    </row>
    <row r="2163" spans="1:10" s="186" customFormat="1" x14ac:dyDescent="0.25">
      <c r="A2163" s="246" t="s">
        <v>25</v>
      </c>
      <c r="B2163" s="255">
        <f t="shared" ref="B2163:H2163" si="1072">B2168*B2156</f>
        <v>2180740.9124137932</v>
      </c>
      <c r="C2163" s="92">
        <f t="shared" si="1072"/>
        <v>2096314.6448275864</v>
      </c>
      <c r="D2163" s="92">
        <f t="shared" si="1072"/>
        <v>2543990.7441379311</v>
      </c>
      <c r="E2163" s="92">
        <f t="shared" si="1072"/>
        <v>2017700.6110344832</v>
      </c>
      <c r="F2163" s="92">
        <f t="shared" si="1072"/>
        <v>6328108.842758622</v>
      </c>
      <c r="G2163" s="92">
        <f t="shared" si="1072"/>
        <v>7079576.9710344831</v>
      </c>
      <c r="H2163" s="92">
        <f t="shared" si="1072"/>
        <v>6787669.1834482756</v>
      </c>
      <c r="I2163" s="31">
        <f t="shared" ref="I2163:I2168" si="1073">SUM(B2163:H2163)</f>
        <v>29034101.909655176</v>
      </c>
      <c r="J2163" s="256">
        <f t="shared" ref="J2163:J2172" si="1074">I2163/7</f>
        <v>4147728.8442364535</v>
      </c>
    </row>
    <row r="2164" spans="1:10" s="186" customFormat="1" x14ac:dyDescent="0.25">
      <c r="A2164" s="246" t="s">
        <v>26</v>
      </c>
      <c r="B2164" s="255">
        <f t="shared" ref="B2164:H2164" si="1075">B2168*B2157</f>
        <v>26273.986896551727</v>
      </c>
      <c r="C2164" s="92">
        <f t="shared" si="1075"/>
        <v>0</v>
      </c>
      <c r="D2164" s="92">
        <f t="shared" si="1075"/>
        <v>0</v>
      </c>
      <c r="E2164" s="92">
        <f t="shared" si="1075"/>
        <v>0</v>
      </c>
      <c r="F2164" s="92">
        <f t="shared" si="1075"/>
        <v>82183.23172413795</v>
      </c>
      <c r="G2164" s="92">
        <f t="shared" si="1075"/>
        <v>0</v>
      </c>
      <c r="H2164" s="92">
        <f t="shared" si="1075"/>
        <v>80805.585517241372</v>
      </c>
      <c r="I2164" s="31">
        <f t="shared" si="1073"/>
        <v>189262.80413793103</v>
      </c>
      <c r="J2164" s="256">
        <f t="shared" si="1074"/>
        <v>27037.543448275861</v>
      </c>
    </row>
    <row r="2165" spans="1:10" s="186" customFormat="1" x14ac:dyDescent="0.25">
      <c r="A2165" s="246" t="s">
        <v>27</v>
      </c>
      <c r="B2165" s="255">
        <f t="shared" ref="B2165:H2165" si="1076">B2168*B2158</f>
        <v>420383.79034482763</v>
      </c>
      <c r="C2165" s="92">
        <f t="shared" si="1076"/>
        <v>626171.90689655184</v>
      </c>
      <c r="D2165" s="92">
        <f t="shared" si="1076"/>
        <v>644048.2896551725</v>
      </c>
      <c r="E2165" s="92">
        <f t="shared" si="1076"/>
        <v>491491.17448275868</v>
      </c>
      <c r="F2165" s="92">
        <f t="shared" si="1076"/>
        <v>1808031.0979310349</v>
      </c>
      <c r="G2165" s="92">
        <f t="shared" si="1076"/>
        <v>1573239.3268965518</v>
      </c>
      <c r="H2165" s="92">
        <f t="shared" si="1076"/>
        <v>1131278.1972413794</v>
      </c>
      <c r="I2165" s="31">
        <f t="shared" si="1073"/>
        <v>6694643.783448277</v>
      </c>
      <c r="J2165" s="256">
        <f t="shared" si="1074"/>
        <v>956377.68334975385</v>
      </c>
    </row>
    <row r="2166" spans="1:10" s="186" customFormat="1" x14ac:dyDescent="0.25">
      <c r="A2166" s="246" t="s">
        <v>28</v>
      </c>
      <c r="B2166" s="255">
        <f t="shared" ref="B2166:H2166" si="1077">B2168*B2159</f>
        <v>0</v>
      </c>
      <c r="C2166" s="92">
        <f t="shared" si="1077"/>
        <v>0</v>
      </c>
      <c r="D2166" s="92">
        <f t="shared" si="1077"/>
        <v>32202.414482758624</v>
      </c>
      <c r="E2166" s="92">
        <f t="shared" si="1077"/>
        <v>51735.913103448285</v>
      </c>
      <c r="F2166" s="92">
        <f t="shared" si="1077"/>
        <v>0</v>
      </c>
      <c r="G2166" s="92">
        <f t="shared" si="1077"/>
        <v>87402.184827586214</v>
      </c>
      <c r="H2166" s="92">
        <f t="shared" si="1077"/>
        <v>80805.585517241372</v>
      </c>
      <c r="I2166" s="31">
        <f t="shared" si="1073"/>
        <v>252146.09793103451</v>
      </c>
      <c r="J2166" s="256">
        <f t="shared" si="1074"/>
        <v>36020.871133004934</v>
      </c>
    </row>
    <row r="2167" spans="1:10" s="186" customFormat="1" x14ac:dyDescent="0.25">
      <c r="A2167" s="246" t="s">
        <v>29</v>
      </c>
      <c r="B2167" s="255">
        <f t="shared" ref="B2167:H2167" si="1078">B2168*B2160</f>
        <v>0</v>
      </c>
      <c r="C2167" s="731">
        <f t="shared" si="1078"/>
        <v>0</v>
      </c>
      <c r="D2167" s="731">
        <f t="shared" si="1078"/>
        <v>0</v>
      </c>
      <c r="E2167" s="731">
        <f t="shared" si="1078"/>
        <v>25867.956551724143</v>
      </c>
      <c r="F2167" s="731">
        <f t="shared" si="1078"/>
        <v>0</v>
      </c>
      <c r="G2167" s="731">
        <f t="shared" si="1078"/>
        <v>0</v>
      </c>
      <c r="H2167" s="731">
        <f t="shared" si="1078"/>
        <v>0</v>
      </c>
      <c r="I2167" s="31">
        <f t="shared" si="1073"/>
        <v>25867.956551724143</v>
      </c>
      <c r="J2167" s="256">
        <f t="shared" si="1074"/>
        <v>3695.4223645320203</v>
      </c>
    </row>
    <row r="2168" spans="1:10" s="186" customFormat="1" x14ac:dyDescent="0.25">
      <c r="A2168" s="257" t="s">
        <v>30</v>
      </c>
      <c r="B2168" s="258">
        <f>(3252200/1.16)-B2169</f>
        <v>2627398.6896551726</v>
      </c>
      <c r="C2168" s="733">
        <f>(3340100/1.16)-C2169</f>
        <v>2722486.5517241382</v>
      </c>
      <c r="D2168" s="733">
        <f>(3967900/1.16)-D2169</f>
        <v>3220241.4482758623</v>
      </c>
      <c r="E2168" s="733">
        <f>(3199500/1.16)-E2169</f>
        <v>2586795.6551724141</v>
      </c>
      <c r="F2168" s="733">
        <f>(10059700/1.16)-F2169</f>
        <v>8218323.1724137943</v>
      </c>
      <c r="G2168" s="733">
        <f>(10681900/1.16)-G2169</f>
        <v>8740218.4827586208</v>
      </c>
      <c r="H2168" s="733">
        <f>(9981100/1.16)-H2169</f>
        <v>8080558.5517241377</v>
      </c>
      <c r="I2168" s="730">
        <f t="shared" si="1073"/>
        <v>36196022.551724136</v>
      </c>
      <c r="J2168" s="259">
        <f t="shared" si="1074"/>
        <v>5170860.364532019</v>
      </c>
    </row>
    <row r="2169" spans="1:10" s="186" customFormat="1" x14ac:dyDescent="0.25">
      <c r="A2169" s="246" t="s">
        <v>31</v>
      </c>
      <c r="B2169" s="255">
        <f t="shared" ref="B2169:I2169" si="1079">2414*B2150</f>
        <v>176222</v>
      </c>
      <c r="C2169" s="732">
        <f t="shared" si="1079"/>
        <v>156910</v>
      </c>
      <c r="D2169" s="732">
        <f t="shared" si="1079"/>
        <v>200362</v>
      </c>
      <c r="E2169" s="732">
        <f t="shared" si="1079"/>
        <v>171394</v>
      </c>
      <c r="F2169" s="732">
        <f t="shared" si="1079"/>
        <v>453832</v>
      </c>
      <c r="G2169" s="732">
        <f t="shared" si="1079"/>
        <v>468316</v>
      </c>
      <c r="H2169" s="732">
        <f t="shared" si="1079"/>
        <v>523838</v>
      </c>
      <c r="I2169" s="31">
        <f t="shared" si="1079"/>
        <v>2150874</v>
      </c>
      <c r="J2169" s="256">
        <f t="shared" si="1074"/>
        <v>307267.71428571426</v>
      </c>
    </row>
    <row r="2170" spans="1:10" s="186" customFormat="1" x14ac:dyDescent="0.25">
      <c r="A2170" s="260" t="s">
        <v>32</v>
      </c>
      <c r="B2170" s="261">
        <f>B2169+B2168</f>
        <v>2803620.6896551726</v>
      </c>
      <c r="C2170" s="199">
        <f>C2169+C2168</f>
        <v>2879396.5517241382</v>
      </c>
      <c r="D2170" s="199">
        <f>D2169+D2168</f>
        <v>3420603.4482758623</v>
      </c>
      <c r="E2170" s="199">
        <f>E2169+E2168</f>
        <v>2758189.6551724141</v>
      </c>
      <c r="F2170" s="199">
        <f>F2168+F2169</f>
        <v>8672155.1724137943</v>
      </c>
      <c r="G2170" s="199">
        <f>G2169+G2168</f>
        <v>9208534.4827586208</v>
      </c>
      <c r="H2170" s="199">
        <f>H2169+H2168</f>
        <v>8604396.5517241377</v>
      </c>
      <c r="I2170" s="199">
        <f>I2168+I2169</f>
        <v>38346896.551724136</v>
      </c>
      <c r="J2170" s="262">
        <f t="shared" si="1074"/>
        <v>5478128.0788177336</v>
      </c>
    </row>
    <row r="2171" spans="1:10" s="186" customFormat="1" x14ac:dyDescent="0.25">
      <c r="A2171" s="246" t="s">
        <v>33</v>
      </c>
      <c r="B2171" s="263">
        <f>B2170*16%</f>
        <v>448579.31034482765</v>
      </c>
      <c r="C2171" s="94">
        <f t="shared" ref="C2171:H2171" si="1080">C2170*16%</f>
        <v>460703.44827586215</v>
      </c>
      <c r="D2171" s="94">
        <f t="shared" si="1080"/>
        <v>547296.55172413797</v>
      </c>
      <c r="E2171" s="94">
        <f t="shared" si="1080"/>
        <v>441310.34482758626</v>
      </c>
      <c r="F2171" s="94">
        <f t="shared" si="1080"/>
        <v>1387544.8275862071</v>
      </c>
      <c r="G2171" s="94">
        <f t="shared" si="1080"/>
        <v>1473365.5172413792</v>
      </c>
      <c r="H2171" s="94">
        <f t="shared" si="1080"/>
        <v>1376703.448275862</v>
      </c>
      <c r="I2171" s="94">
        <f>I2170*16%</f>
        <v>6135503.4482758623</v>
      </c>
      <c r="J2171" s="256">
        <f t="shared" si="1074"/>
        <v>876500.49261083745</v>
      </c>
    </row>
    <row r="2172" spans="1:10" s="186" customFormat="1" ht="15.75" thickBot="1" x14ac:dyDescent="0.3">
      <c r="A2172" s="264" t="s">
        <v>34</v>
      </c>
      <c r="B2172" s="265">
        <f>B2170+B2171</f>
        <v>3252200.0000000005</v>
      </c>
      <c r="C2172" s="266">
        <f t="shared" ref="C2172:H2172" si="1081">C2170+C2171</f>
        <v>3340100.0000000005</v>
      </c>
      <c r="D2172" s="266">
        <f t="shared" si="1081"/>
        <v>3967900</v>
      </c>
      <c r="E2172" s="266">
        <f t="shared" si="1081"/>
        <v>3199500.0000000005</v>
      </c>
      <c r="F2172" s="266">
        <f t="shared" si="1081"/>
        <v>10059700.000000002</v>
      </c>
      <c r="G2172" s="266">
        <f t="shared" si="1081"/>
        <v>10681900</v>
      </c>
      <c r="H2172" s="266">
        <f t="shared" si="1081"/>
        <v>9981100</v>
      </c>
      <c r="I2172" s="266">
        <f>I2170+I2171</f>
        <v>44482400</v>
      </c>
      <c r="J2172" s="267">
        <f t="shared" si="1074"/>
        <v>6354628.5714285718</v>
      </c>
    </row>
    <row r="2173" spans="1:10" s="186" customFormat="1" ht="15.75" thickBot="1" x14ac:dyDescent="0.3">
      <c r="A2173" s="204"/>
      <c r="B2173" s="112"/>
      <c r="C2173" s="112"/>
      <c r="D2173" s="112"/>
      <c r="E2173" s="112"/>
      <c r="F2173" s="112"/>
      <c r="G2173" s="112"/>
      <c r="H2173" s="112"/>
      <c r="I2173" s="112"/>
      <c r="J2173" s="205"/>
    </row>
    <row r="2174" spans="1:10" s="186" customFormat="1" ht="27" thickBot="1" x14ac:dyDescent="0.3">
      <c r="A2174"/>
      <c r="B2174" s="1002" t="s">
        <v>680</v>
      </c>
      <c r="C2174" s="1002"/>
      <c r="D2174" s="1002"/>
      <c r="E2174" s="1002"/>
      <c r="F2174" s="1002"/>
      <c r="G2174" s="1002"/>
      <c r="H2174" s="1002"/>
      <c r="I2174"/>
      <c r="J2174"/>
    </row>
    <row r="2175" spans="1:10" s="186" customFormat="1" ht="16.5" thickBot="1" x14ac:dyDescent="0.3">
      <c r="A2175" s="238" t="s">
        <v>2</v>
      </c>
      <c r="B2175" s="239" t="s">
        <v>70</v>
      </c>
      <c r="C2175" s="239" t="s">
        <v>71</v>
      </c>
      <c r="D2175" s="239" t="s">
        <v>72</v>
      </c>
      <c r="E2175" s="239" t="s">
        <v>73</v>
      </c>
      <c r="F2175" s="239" t="s">
        <v>74</v>
      </c>
      <c r="G2175" s="239" t="s">
        <v>75</v>
      </c>
      <c r="H2175" s="239" t="s">
        <v>76</v>
      </c>
      <c r="I2175" s="240" t="s">
        <v>96</v>
      </c>
      <c r="J2175" s="241" t="s">
        <v>97</v>
      </c>
    </row>
    <row r="2176" spans="1:10" s="186" customFormat="1" x14ac:dyDescent="0.25">
      <c r="A2176" s="242" t="s">
        <v>11</v>
      </c>
      <c r="B2176" s="243">
        <f>43+32+9</f>
        <v>84</v>
      </c>
      <c r="C2176" s="244">
        <f>72+41+18</f>
        <v>131</v>
      </c>
      <c r="D2176" s="244">
        <f>87+52+11</f>
        <v>150</v>
      </c>
      <c r="E2176" s="244">
        <f>75+40+12</f>
        <v>127</v>
      </c>
      <c r="F2176" s="244">
        <f>132+104+22</f>
        <v>258</v>
      </c>
      <c r="G2176" s="244">
        <f>217+139+45</f>
        <v>401</v>
      </c>
      <c r="H2176" s="268">
        <f>176+135+50</f>
        <v>361</v>
      </c>
      <c r="I2176" s="244">
        <f>SUM(B2176:H2176)</f>
        <v>1512</v>
      </c>
      <c r="J2176" s="245">
        <f>+I2176/7</f>
        <v>216</v>
      </c>
    </row>
    <row r="2177" spans="1:10" s="186" customFormat="1" x14ac:dyDescent="0.25">
      <c r="A2177" s="246" t="s">
        <v>12</v>
      </c>
      <c r="B2177" s="233">
        <v>46</v>
      </c>
      <c r="C2177" s="13">
        <v>72</v>
      </c>
      <c r="D2177" s="13">
        <v>85</v>
      </c>
      <c r="E2177" s="13">
        <v>64</v>
      </c>
      <c r="F2177" s="86">
        <v>150</v>
      </c>
      <c r="G2177" s="11">
        <v>233</v>
      </c>
      <c r="H2177" s="86">
        <v>209</v>
      </c>
      <c r="I2177" s="11">
        <f>SUM('PEPE SIERRA '!$B2177:$H2177)</f>
        <v>859</v>
      </c>
      <c r="J2177" s="247">
        <f t="shared" ref="J2177:J2182" si="1082">I2177/7</f>
        <v>122.71428571428571</v>
      </c>
    </row>
    <row r="2178" spans="1:10" s="186" customFormat="1" x14ac:dyDescent="0.25">
      <c r="A2178" s="246" t="s">
        <v>13</v>
      </c>
      <c r="B2178" s="233">
        <v>2</v>
      </c>
      <c r="C2178" s="13">
        <v>1</v>
      </c>
      <c r="D2178" s="13">
        <v>2</v>
      </c>
      <c r="E2178" s="13">
        <v>1</v>
      </c>
      <c r="F2178" s="11">
        <v>1</v>
      </c>
      <c r="G2178" s="11">
        <v>0</v>
      </c>
      <c r="H2178" s="11">
        <v>2</v>
      </c>
      <c r="I2178" s="11">
        <f>SUM('PEPE SIERRA '!$B2178:$H2178)</f>
        <v>9</v>
      </c>
      <c r="J2178" s="247">
        <f t="shared" si="1082"/>
        <v>1.2857142857142858</v>
      </c>
    </row>
    <row r="2179" spans="1:10" s="186" customFormat="1" x14ac:dyDescent="0.25">
      <c r="A2179" s="246" t="s">
        <v>14</v>
      </c>
      <c r="B2179" s="233">
        <v>23</v>
      </c>
      <c r="C2179" s="13">
        <v>31</v>
      </c>
      <c r="D2179" s="13">
        <v>32</v>
      </c>
      <c r="E2179" s="13">
        <v>36</v>
      </c>
      <c r="F2179" s="11">
        <v>55</v>
      </c>
      <c r="G2179" s="11">
        <v>70</v>
      </c>
      <c r="H2179" s="86">
        <v>67</v>
      </c>
      <c r="I2179" s="11">
        <f>SUM('PEPE SIERRA '!$B2179:$H2179)</f>
        <v>314</v>
      </c>
      <c r="J2179" s="247">
        <f t="shared" si="1082"/>
        <v>44.857142857142854</v>
      </c>
    </row>
    <row r="2180" spans="1:10" s="186" customFormat="1" x14ac:dyDescent="0.25">
      <c r="A2180" s="246" t="s">
        <v>15</v>
      </c>
      <c r="B2180" s="233">
        <v>0</v>
      </c>
      <c r="C2180" s="13">
        <v>0</v>
      </c>
      <c r="D2180" s="13">
        <v>0</v>
      </c>
      <c r="E2180" s="13">
        <v>4</v>
      </c>
      <c r="F2180" s="11">
        <v>0</v>
      </c>
      <c r="G2180" s="11">
        <v>3</v>
      </c>
      <c r="H2180" s="11">
        <v>5</v>
      </c>
      <c r="I2180" s="11">
        <f>SUM('PEPE SIERRA '!$B2180:$H2180)</f>
        <v>12</v>
      </c>
      <c r="J2180" s="247">
        <f t="shared" si="1082"/>
        <v>1.7142857142857142</v>
      </c>
    </row>
    <row r="2181" spans="1:10" s="186" customFormat="1" x14ac:dyDescent="0.25">
      <c r="A2181" s="246" t="s">
        <v>16</v>
      </c>
      <c r="B2181" s="233">
        <v>0</v>
      </c>
      <c r="C2181" s="13">
        <v>0</v>
      </c>
      <c r="D2181" s="13">
        <v>0</v>
      </c>
      <c r="E2181" s="13">
        <v>0</v>
      </c>
      <c r="F2181" s="11">
        <v>0</v>
      </c>
      <c r="G2181" s="11">
        <v>0</v>
      </c>
      <c r="H2181" s="11">
        <v>0</v>
      </c>
      <c r="I2181" s="11">
        <f>SUM('PEPE SIERRA '!$B2181:$H2181)</f>
        <v>0</v>
      </c>
      <c r="J2181" s="247">
        <f t="shared" si="1082"/>
        <v>0</v>
      </c>
    </row>
    <row r="2182" spans="1:10" s="186" customFormat="1" x14ac:dyDescent="0.25">
      <c r="A2182" s="248" t="s">
        <v>17</v>
      </c>
      <c r="B2182" s="249">
        <f>SUM(B2177:B2181)</f>
        <v>71</v>
      </c>
      <c r="C2182" s="192">
        <f t="shared" ref="C2182:I2182" si="1083">SUM(C2177:C2181)</f>
        <v>104</v>
      </c>
      <c r="D2182" s="192">
        <f t="shared" si="1083"/>
        <v>119</v>
      </c>
      <c r="E2182" s="192">
        <f t="shared" si="1083"/>
        <v>105</v>
      </c>
      <c r="F2182" s="192">
        <f t="shared" si="1083"/>
        <v>206</v>
      </c>
      <c r="G2182" s="192">
        <f t="shared" si="1083"/>
        <v>306</v>
      </c>
      <c r="H2182" s="192">
        <f t="shared" si="1083"/>
        <v>283</v>
      </c>
      <c r="I2182" s="192">
        <f t="shared" si="1083"/>
        <v>1194</v>
      </c>
      <c r="J2182" s="250">
        <f t="shared" si="1082"/>
        <v>170.57142857142858</v>
      </c>
    </row>
    <row r="2183" spans="1:10" s="186" customFormat="1" x14ac:dyDescent="0.25">
      <c r="A2183" s="246" t="s">
        <v>18</v>
      </c>
      <c r="B2183" s="234">
        <v>0.7</v>
      </c>
      <c r="C2183" s="235">
        <v>0.77</v>
      </c>
      <c r="D2183" s="235">
        <v>0.76</v>
      </c>
      <c r="E2183" s="235">
        <v>0.69</v>
      </c>
      <c r="F2183" s="30">
        <v>0.78</v>
      </c>
      <c r="G2183" s="30">
        <v>0.82</v>
      </c>
      <c r="H2183" s="30">
        <v>0.78</v>
      </c>
      <c r="I2183" s="30">
        <f>I2190/I2195</f>
        <v>0.77635291446940824</v>
      </c>
      <c r="J2183" s="251">
        <f>J2190/J2195</f>
        <v>0.77635291446940824</v>
      </c>
    </row>
    <row r="2184" spans="1:10" s="186" customFormat="1" x14ac:dyDescent="0.25">
      <c r="A2184" s="246" t="s">
        <v>19</v>
      </c>
      <c r="B2184" s="234">
        <v>0.01</v>
      </c>
      <c r="C2184" s="235">
        <v>0.01</v>
      </c>
      <c r="D2184" s="235">
        <v>0.01</v>
      </c>
      <c r="E2184" s="235">
        <v>0.01</v>
      </c>
      <c r="F2184" s="30">
        <v>0.01</v>
      </c>
      <c r="G2184" s="30">
        <v>0</v>
      </c>
      <c r="H2184" s="30">
        <v>0.01</v>
      </c>
      <c r="I2184" s="30">
        <f>I2191/I2195</f>
        <v>7.3288091356739785E-3</v>
      </c>
      <c r="J2184" s="251">
        <f>J2191/J2195</f>
        <v>7.3288091356739794E-3</v>
      </c>
    </row>
    <row r="2185" spans="1:10" s="186" customFormat="1" x14ac:dyDescent="0.25">
      <c r="A2185" s="246" t="s">
        <v>20</v>
      </c>
      <c r="B2185" s="234">
        <v>0.28999999999999998</v>
      </c>
      <c r="C2185" s="235">
        <v>0.22</v>
      </c>
      <c r="D2185" s="235">
        <v>0.23</v>
      </c>
      <c r="E2185" s="235">
        <v>0.27</v>
      </c>
      <c r="F2185" s="30">
        <v>0.21</v>
      </c>
      <c r="G2185" s="30">
        <v>0.17</v>
      </c>
      <c r="H2185" s="30">
        <v>0.19</v>
      </c>
      <c r="I2185" s="30">
        <f>I2192/I2195</f>
        <v>0.2065411995216733</v>
      </c>
      <c r="J2185" s="251">
        <f>J2192/J2195</f>
        <v>0.2065411995216733</v>
      </c>
    </row>
    <row r="2186" spans="1:10" s="186" customFormat="1" x14ac:dyDescent="0.25">
      <c r="A2186" s="246" t="s">
        <v>21</v>
      </c>
      <c r="B2186" s="234">
        <v>0</v>
      </c>
      <c r="C2186" s="235">
        <v>0</v>
      </c>
      <c r="D2186" s="235">
        <v>0</v>
      </c>
      <c r="E2186" s="235">
        <v>0.03</v>
      </c>
      <c r="F2186" s="30">
        <v>0</v>
      </c>
      <c r="G2186" s="30">
        <v>0.01</v>
      </c>
      <c r="H2186" s="30">
        <v>0.02</v>
      </c>
      <c r="I2186" s="30">
        <f>I2193/I2195</f>
        <v>9.7770768732443787E-3</v>
      </c>
      <c r="J2186" s="251">
        <f>J2193/J2195</f>
        <v>9.7770768732443787E-3</v>
      </c>
    </row>
    <row r="2187" spans="1:10" s="186" customFormat="1" x14ac:dyDescent="0.25">
      <c r="A2187" s="246" t="s">
        <v>22</v>
      </c>
      <c r="B2187" s="234">
        <v>0</v>
      </c>
      <c r="C2187" s="235">
        <v>0</v>
      </c>
      <c r="D2187" s="235">
        <v>0</v>
      </c>
      <c r="E2187" s="235">
        <v>0</v>
      </c>
      <c r="F2187" s="30">
        <v>0</v>
      </c>
      <c r="G2187" s="30">
        <v>0</v>
      </c>
      <c r="H2187" s="30">
        <v>0</v>
      </c>
      <c r="I2187" s="30">
        <f>I2194/I2195</f>
        <v>0</v>
      </c>
      <c r="J2187" s="251">
        <f>J2194/J2195</f>
        <v>0</v>
      </c>
    </row>
    <row r="2188" spans="1:10" s="186" customFormat="1" x14ac:dyDescent="0.25">
      <c r="A2188" s="252" t="s">
        <v>23</v>
      </c>
      <c r="B2188" s="253">
        <f t="shared" ref="B2188:J2188" si="1084">B2199/B2182</f>
        <v>32969.014084507042</v>
      </c>
      <c r="C2188" s="66">
        <f t="shared" si="1084"/>
        <v>35033.653846153851</v>
      </c>
      <c r="D2188" s="66">
        <f t="shared" si="1084"/>
        <v>37676.470588235294</v>
      </c>
      <c r="E2188" s="66">
        <f t="shared" si="1084"/>
        <v>33215.238095238092</v>
      </c>
      <c r="F2188" s="66">
        <f t="shared" si="1084"/>
        <v>37987.864077669903</v>
      </c>
      <c r="G2188" s="66">
        <f t="shared" si="1084"/>
        <v>38314.705882352944</v>
      </c>
      <c r="H2188" s="66">
        <f t="shared" si="1084"/>
        <v>36569.964664310952</v>
      </c>
      <c r="I2188" s="66">
        <f t="shared" si="1084"/>
        <v>36729.061976549412</v>
      </c>
      <c r="J2188" s="254">
        <f t="shared" si="1084"/>
        <v>36729.061976549412</v>
      </c>
    </row>
    <row r="2189" spans="1:10" s="186" customFormat="1" x14ac:dyDescent="0.25">
      <c r="A2189" s="252" t="s">
        <v>24</v>
      </c>
      <c r="B2189" s="253">
        <f t="shared" ref="B2189:I2189" si="1085">+B2199/B2176</f>
        <v>27866.666666666668</v>
      </c>
      <c r="C2189" s="66">
        <f t="shared" si="1085"/>
        <v>27812.977099236643</v>
      </c>
      <c r="D2189" s="66">
        <f t="shared" si="1085"/>
        <v>29890</v>
      </c>
      <c r="E2189" s="66">
        <f t="shared" si="1085"/>
        <v>27461.417322834644</v>
      </c>
      <c r="F2189" s="66">
        <f t="shared" si="1085"/>
        <v>30331.39534883721</v>
      </c>
      <c r="G2189" s="66">
        <f t="shared" si="1085"/>
        <v>29237.655860349132</v>
      </c>
      <c r="H2189" s="66">
        <f t="shared" si="1085"/>
        <v>28668.42105263158</v>
      </c>
      <c r="I2189" s="66">
        <f t="shared" si="1085"/>
        <v>29004.298941798941</v>
      </c>
      <c r="J2189" s="254">
        <f>J2199/J2176</f>
        <v>29004.298941798945</v>
      </c>
    </row>
    <row r="2190" spans="1:10" s="186" customFormat="1" x14ac:dyDescent="0.25">
      <c r="A2190" s="246" t="s">
        <v>25</v>
      </c>
      <c r="B2190" s="255">
        <f t="shared" ref="B2190:H2190" si="1086">B2195*B2183</f>
        <v>1334820.9241379311</v>
      </c>
      <c r="C2190" s="92">
        <f t="shared" si="1086"/>
        <v>2284698.0124137932</v>
      </c>
      <c r="D2190" s="92">
        <f t="shared" si="1086"/>
        <v>2781521.1172413793</v>
      </c>
      <c r="E2190" s="92">
        <f t="shared" si="1086"/>
        <v>1967918.4496551724</v>
      </c>
      <c r="F2190" s="92">
        <f t="shared" si="1086"/>
        <v>4979536.1379310349</v>
      </c>
      <c r="G2190" s="92">
        <f t="shared" si="1086"/>
        <v>7826648.4013793105</v>
      </c>
      <c r="H2190" s="92">
        <f t="shared" si="1086"/>
        <v>6565481.7889655177</v>
      </c>
      <c r="I2190" s="31">
        <f t="shared" ref="I2190:I2195" si="1087">SUM(B2190:H2190)</f>
        <v>27740624.831724137</v>
      </c>
      <c r="J2190" s="256">
        <f t="shared" ref="J2190:J2199" si="1088">I2190/7</f>
        <v>3962946.4045320195</v>
      </c>
    </row>
    <row r="2191" spans="1:10" s="186" customFormat="1" x14ac:dyDescent="0.25">
      <c r="A2191" s="246" t="s">
        <v>26</v>
      </c>
      <c r="B2191" s="255">
        <f t="shared" ref="B2191:H2191" si="1089">B2195*B2184</f>
        <v>19068.870344827588</v>
      </c>
      <c r="C2191" s="92">
        <f t="shared" si="1089"/>
        <v>29671.402758620694</v>
      </c>
      <c r="D2191" s="92">
        <f t="shared" si="1089"/>
        <v>36598.96206896552</v>
      </c>
      <c r="E2191" s="92">
        <f t="shared" si="1089"/>
        <v>28520.557241379312</v>
      </c>
      <c r="F2191" s="92">
        <f t="shared" si="1089"/>
        <v>63840.206896551725</v>
      </c>
      <c r="G2191" s="92">
        <f t="shared" si="1089"/>
        <v>0</v>
      </c>
      <c r="H2191" s="92">
        <f t="shared" si="1089"/>
        <v>84172.843448275875</v>
      </c>
      <c r="I2191" s="31">
        <f t="shared" si="1087"/>
        <v>261872.84275862074</v>
      </c>
      <c r="J2191" s="256">
        <f t="shared" si="1088"/>
        <v>37410.406108374395</v>
      </c>
    </row>
    <row r="2192" spans="1:10" s="186" customFormat="1" x14ac:dyDescent="0.25">
      <c r="A2192" s="246" t="s">
        <v>27</v>
      </c>
      <c r="B2192" s="255">
        <f t="shared" ref="B2192:H2192" si="1090">B2195*B2185</f>
        <v>552997.24</v>
      </c>
      <c r="C2192" s="92">
        <f t="shared" si="1090"/>
        <v>652770.8606896553</v>
      </c>
      <c r="D2192" s="92">
        <f t="shared" si="1090"/>
        <v>841776.127586207</v>
      </c>
      <c r="E2192" s="92">
        <f t="shared" si="1090"/>
        <v>770055.04551724147</v>
      </c>
      <c r="F2192" s="92">
        <f t="shared" si="1090"/>
        <v>1340644.3448275863</v>
      </c>
      <c r="G2192" s="92">
        <f t="shared" si="1090"/>
        <v>1622597.8393103452</v>
      </c>
      <c r="H2192" s="92">
        <f t="shared" si="1090"/>
        <v>1599284.0255172416</v>
      </c>
      <c r="I2192" s="31">
        <f t="shared" si="1087"/>
        <v>7380125.4834482763</v>
      </c>
      <c r="J2192" s="256">
        <f t="shared" si="1088"/>
        <v>1054303.6404926109</v>
      </c>
    </row>
    <row r="2193" spans="1:10" s="186" customFormat="1" x14ac:dyDescent="0.25">
      <c r="A2193" s="246" t="s">
        <v>28</v>
      </c>
      <c r="B2193" s="255">
        <f t="shared" ref="B2193:H2193" si="1091">B2195*B2186</f>
        <v>0</v>
      </c>
      <c r="C2193" s="92">
        <f t="shared" si="1091"/>
        <v>0</v>
      </c>
      <c r="D2193" s="92">
        <f t="shared" si="1091"/>
        <v>0</v>
      </c>
      <c r="E2193" s="92">
        <f t="shared" si="1091"/>
        <v>85561.671724137937</v>
      </c>
      <c r="F2193" s="92">
        <f t="shared" si="1091"/>
        <v>0</v>
      </c>
      <c r="G2193" s="92">
        <f t="shared" si="1091"/>
        <v>95446.931724137947</v>
      </c>
      <c r="H2193" s="92">
        <f t="shared" si="1091"/>
        <v>168345.68689655175</v>
      </c>
      <c r="I2193" s="31">
        <f t="shared" si="1087"/>
        <v>349354.29034482763</v>
      </c>
      <c r="J2193" s="256">
        <f t="shared" si="1088"/>
        <v>49907.755763546804</v>
      </c>
    </row>
    <row r="2194" spans="1:10" s="186" customFormat="1" x14ac:dyDescent="0.25">
      <c r="A2194" s="246" t="s">
        <v>29</v>
      </c>
      <c r="B2194" s="255">
        <f t="shared" ref="B2194:H2194" si="1092">B2195*B2187</f>
        <v>0</v>
      </c>
      <c r="C2194" s="731">
        <f t="shared" si="1092"/>
        <v>0</v>
      </c>
      <c r="D2194" s="731">
        <f t="shared" si="1092"/>
        <v>0</v>
      </c>
      <c r="E2194" s="731">
        <f t="shared" si="1092"/>
        <v>0</v>
      </c>
      <c r="F2194" s="731">
        <f t="shared" si="1092"/>
        <v>0</v>
      </c>
      <c r="G2194" s="731">
        <f t="shared" si="1092"/>
        <v>0</v>
      </c>
      <c r="H2194" s="731">
        <f t="shared" si="1092"/>
        <v>0</v>
      </c>
      <c r="I2194" s="31">
        <f t="shared" si="1087"/>
        <v>0</v>
      </c>
      <c r="J2194" s="256">
        <f t="shared" si="1088"/>
        <v>0</v>
      </c>
    </row>
    <row r="2195" spans="1:10" s="186" customFormat="1" x14ac:dyDescent="0.25">
      <c r="A2195" s="257" t="s">
        <v>30</v>
      </c>
      <c r="B2195" s="258">
        <f>(2340800/1.16)-B2196</f>
        <v>1906887.0344827587</v>
      </c>
      <c r="C2195" s="733">
        <f>(3643500/1.16)-C2196</f>
        <v>2967140.2758620693</v>
      </c>
      <c r="D2195" s="733">
        <f>(4483500/1.16)-D2196</f>
        <v>3659896.2068965519</v>
      </c>
      <c r="E2195" s="733">
        <f>(3487600/1.16)-E2196</f>
        <v>2852055.7241379311</v>
      </c>
      <c r="F2195" s="733">
        <f>(7825500/1.16)-F2196</f>
        <v>6384020.6896551726</v>
      </c>
      <c r="G2195" s="733">
        <f>(11724300/1.16)-G2196</f>
        <v>9544693.1724137943</v>
      </c>
      <c r="H2195" s="733">
        <f>(10349300/1.16)-H2196</f>
        <v>8417284.3448275868</v>
      </c>
      <c r="I2195" s="730">
        <f t="shared" si="1087"/>
        <v>35731977.448275864</v>
      </c>
      <c r="J2195" s="259">
        <f t="shared" si="1088"/>
        <v>5104568.2068965519</v>
      </c>
    </row>
    <row r="2196" spans="1:10" s="186" customFormat="1" x14ac:dyDescent="0.25">
      <c r="A2196" s="246" t="s">
        <v>31</v>
      </c>
      <c r="B2196" s="255">
        <f t="shared" ref="B2196:I2196" si="1093">2414*B2177</f>
        <v>111044</v>
      </c>
      <c r="C2196" s="732">
        <f t="shared" si="1093"/>
        <v>173808</v>
      </c>
      <c r="D2196" s="732">
        <f t="shared" si="1093"/>
        <v>205190</v>
      </c>
      <c r="E2196" s="732">
        <f t="shared" si="1093"/>
        <v>154496</v>
      </c>
      <c r="F2196" s="732">
        <f t="shared" si="1093"/>
        <v>362100</v>
      </c>
      <c r="G2196" s="732">
        <f t="shared" si="1093"/>
        <v>562462</v>
      </c>
      <c r="H2196" s="732">
        <f t="shared" si="1093"/>
        <v>504526</v>
      </c>
      <c r="I2196" s="31">
        <f t="shared" si="1093"/>
        <v>2073626</v>
      </c>
      <c r="J2196" s="256">
        <f t="shared" si="1088"/>
        <v>296232.28571428574</v>
      </c>
    </row>
    <row r="2197" spans="1:10" s="186" customFormat="1" x14ac:dyDescent="0.25">
      <c r="A2197" s="260" t="s">
        <v>32</v>
      </c>
      <c r="B2197" s="261">
        <f>B2196+B2195</f>
        <v>2017931.0344827587</v>
      </c>
      <c r="C2197" s="199">
        <f>C2196+C2195</f>
        <v>3140948.2758620693</v>
      </c>
      <c r="D2197" s="199">
        <f>D2196+D2195</f>
        <v>3865086.2068965519</v>
      </c>
      <c r="E2197" s="199">
        <f>E2196+E2195</f>
        <v>3006551.7241379311</v>
      </c>
      <c r="F2197" s="199">
        <f>F2195+F2196</f>
        <v>6746120.6896551726</v>
      </c>
      <c r="G2197" s="199">
        <f>G2196+G2195</f>
        <v>10107155.172413794</v>
      </c>
      <c r="H2197" s="199">
        <f>H2196+H2195</f>
        <v>8921810.3448275868</v>
      </c>
      <c r="I2197" s="199">
        <f>I2195+I2196</f>
        <v>37805603.448275864</v>
      </c>
      <c r="J2197" s="262">
        <f t="shared" si="1088"/>
        <v>5400800.4926108373</v>
      </c>
    </row>
    <row r="2198" spans="1:10" s="186" customFormat="1" x14ac:dyDescent="0.25">
      <c r="A2198" s="246" t="s">
        <v>33</v>
      </c>
      <c r="B2198" s="263">
        <f>B2197*16%</f>
        <v>322868.96551724139</v>
      </c>
      <c r="C2198" s="94">
        <f t="shared" ref="C2198:H2198" si="1094">C2197*16%</f>
        <v>502551.72413793113</v>
      </c>
      <c r="D2198" s="94">
        <f t="shared" si="1094"/>
        <v>618413.79310344835</v>
      </c>
      <c r="E2198" s="94">
        <f t="shared" si="1094"/>
        <v>481048.27586206899</v>
      </c>
      <c r="F2198" s="94">
        <f t="shared" si="1094"/>
        <v>1079379.3103448276</v>
      </c>
      <c r="G2198" s="94">
        <f t="shared" si="1094"/>
        <v>1617144.8275862071</v>
      </c>
      <c r="H2198" s="94">
        <f t="shared" si="1094"/>
        <v>1427489.6551724139</v>
      </c>
      <c r="I2198" s="94">
        <f>I2197*16%</f>
        <v>6048896.5517241387</v>
      </c>
      <c r="J2198" s="256">
        <f t="shared" si="1088"/>
        <v>864128.07881773415</v>
      </c>
    </row>
    <row r="2199" spans="1:10" s="186" customFormat="1" ht="15.75" thickBot="1" x14ac:dyDescent="0.3">
      <c r="A2199" s="264" t="s">
        <v>34</v>
      </c>
      <c r="B2199" s="265">
        <f>B2197+B2198</f>
        <v>2340800</v>
      </c>
      <c r="C2199" s="266">
        <f t="shared" ref="C2199:H2199" si="1095">C2197+C2198</f>
        <v>3643500.0000000005</v>
      </c>
      <c r="D2199" s="266">
        <f t="shared" si="1095"/>
        <v>4483500</v>
      </c>
      <c r="E2199" s="266">
        <f t="shared" si="1095"/>
        <v>3487600</v>
      </c>
      <c r="F2199" s="266">
        <f t="shared" si="1095"/>
        <v>7825500</v>
      </c>
      <c r="G2199" s="266">
        <f t="shared" si="1095"/>
        <v>11724300.000000002</v>
      </c>
      <c r="H2199" s="266">
        <f t="shared" si="1095"/>
        <v>10349300</v>
      </c>
      <c r="I2199" s="266">
        <f>I2197+I2198</f>
        <v>43854500</v>
      </c>
      <c r="J2199" s="267">
        <f t="shared" si="1088"/>
        <v>6264928.5714285718</v>
      </c>
    </row>
    <row r="2200" spans="1:10" s="186" customFormat="1" ht="15.75" thickBot="1" x14ac:dyDescent="0.3">
      <c r="A2200" s="204"/>
      <c r="B2200" s="112"/>
      <c r="C2200" s="112"/>
      <c r="D2200" s="112"/>
      <c r="E2200" s="112"/>
      <c r="F2200" s="112"/>
      <c r="G2200" s="112"/>
      <c r="H2200" s="112"/>
      <c r="I2200" s="112"/>
      <c r="J2200" s="205"/>
    </row>
    <row r="2201" spans="1:10" s="186" customFormat="1" ht="27" thickBot="1" x14ac:dyDescent="0.3">
      <c r="A2201"/>
      <c r="B2201" s="1002" t="s">
        <v>683</v>
      </c>
      <c r="C2201" s="1002"/>
      <c r="D2201" s="1002"/>
      <c r="E2201" s="1002"/>
      <c r="F2201" s="1002"/>
      <c r="G2201" s="1002"/>
      <c r="H2201" s="1002"/>
      <c r="I2201"/>
      <c r="J2201"/>
    </row>
    <row r="2202" spans="1:10" s="186" customFormat="1" ht="16.5" thickBot="1" x14ac:dyDescent="0.3">
      <c r="A2202" s="238" t="s">
        <v>2</v>
      </c>
      <c r="B2202" s="239" t="s">
        <v>81</v>
      </c>
      <c r="C2202" s="239" t="s">
        <v>82</v>
      </c>
      <c r="D2202" s="239" t="s">
        <v>83</v>
      </c>
      <c r="E2202" s="239" t="s">
        <v>84</v>
      </c>
      <c r="F2202" s="239" t="s">
        <v>85</v>
      </c>
      <c r="G2202" s="239" t="s">
        <v>86</v>
      </c>
      <c r="H2202" s="239" t="s">
        <v>87</v>
      </c>
      <c r="I2202" s="240" t="s">
        <v>96</v>
      </c>
      <c r="J2202" s="241" t="s">
        <v>97</v>
      </c>
    </row>
    <row r="2203" spans="1:10" s="186" customFormat="1" x14ac:dyDescent="0.25">
      <c r="A2203" s="242" t="s">
        <v>11</v>
      </c>
      <c r="B2203" s="243">
        <f>42+42+12</f>
        <v>96</v>
      </c>
      <c r="C2203" s="244">
        <f>74+47+10</f>
        <v>131</v>
      </c>
      <c r="D2203" s="244">
        <f>63+41+18</f>
        <v>122</v>
      </c>
      <c r="E2203" s="244">
        <f>67+48+13</f>
        <v>128</v>
      </c>
      <c r="F2203" s="244">
        <f>195+113+35</f>
        <v>343</v>
      </c>
      <c r="G2203" s="244">
        <v>433</v>
      </c>
      <c r="H2203" s="268">
        <f>186+118+37</f>
        <v>341</v>
      </c>
      <c r="I2203" s="244">
        <f>SUM(B2203:H2203)</f>
        <v>1594</v>
      </c>
      <c r="J2203" s="245">
        <f>+I2203/7</f>
        <v>227.71428571428572</v>
      </c>
    </row>
    <row r="2204" spans="1:10" s="186" customFormat="1" x14ac:dyDescent="0.25">
      <c r="A2204" s="246" t="s">
        <v>12</v>
      </c>
      <c r="B2204" s="233">
        <v>67</v>
      </c>
      <c r="C2204" s="13">
        <v>67</v>
      </c>
      <c r="D2204" s="13">
        <v>68</v>
      </c>
      <c r="E2204" s="13">
        <v>75</v>
      </c>
      <c r="F2204" s="86">
        <v>199</v>
      </c>
      <c r="G2204" s="11">
        <v>235</v>
      </c>
      <c r="H2204" s="86">
        <v>228</v>
      </c>
      <c r="I2204" s="11">
        <f>SUM('PEPE SIERRA '!$B2204:$H2204)</f>
        <v>939</v>
      </c>
      <c r="J2204" s="247">
        <f t="shared" ref="J2204:J2209" si="1096">I2204/7</f>
        <v>134.14285714285714</v>
      </c>
    </row>
    <row r="2205" spans="1:10" s="186" customFormat="1" x14ac:dyDescent="0.25">
      <c r="A2205" s="246" t="s">
        <v>13</v>
      </c>
      <c r="B2205" s="233">
        <v>4</v>
      </c>
      <c r="C2205" s="13">
        <v>1</v>
      </c>
      <c r="D2205" s="13">
        <v>0</v>
      </c>
      <c r="E2205" s="13">
        <v>0</v>
      </c>
      <c r="F2205" s="11">
        <v>2</v>
      </c>
      <c r="G2205" s="11">
        <v>3</v>
      </c>
      <c r="H2205" s="11">
        <v>5</v>
      </c>
      <c r="I2205" s="11">
        <f>SUM('PEPE SIERRA '!$B2205:$H2205)</f>
        <v>15</v>
      </c>
      <c r="J2205" s="247">
        <f t="shared" si="1096"/>
        <v>2.1428571428571428</v>
      </c>
    </row>
    <row r="2206" spans="1:10" s="186" customFormat="1" x14ac:dyDescent="0.25">
      <c r="A2206" s="246" t="s">
        <v>14</v>
      </c>
      <c r="B2206" s="233">
        <v>29</v>
      </c>
      <c r="C2206" s="13">
        <v>40</v>
      </c>
      <c r="D2206" s="13">
        <v>26</v>
      </c>
      <c r="E2206" s="13">
        <v>25</v>
      </c>
      <c r="F2206" s="11">
        <v>69</v>
      </c>
      <c r="G2206" s="11">
        <v>74</v>
      </c>
      <c r="H2206" s="86">
        <v>53</v>
      </c>
      <c r="I2206" s="11">
        <f>SUM('PEPE SIERRA '!$B2206:$H2206)</f>
        <v>316</v>
      </c>
      <c r="J2206" s="247">
        <f t="shared" si="1096"/>
        <v>45.142857142857146</v>
      </c>
    </row>
    <row r="2207" spans="1:10" s="186" customFormat="1" x14ac:dyDescent="0.25">
      <c r="A2207" s="246" t="s">
        <v>15</v>
      </c>
      <c r="B2207" s="233">
        <v>0</v>
      </c>
      <c r="C2207" s="13">
        <v>0</v>
      </c>
      <c r="D2207" s="13">
        <v>4</v>
      </c>
      <c r="E2207" s="13">
        <v>1</v>
      </c>
      <c r="F2207" s="11">
        <v>0</v>
      </c>
      <c r="G2207" s="11">
        <v>12</v>
      </c>
      <c r="H2207" s="11">
        <v>0</v>
      </c>
      <c r="I2207" s="11">
        <f>SUM('PEPE SIERRA '!$B2207:$H2207)</f>
        <v>17</v>
      </c>
      <c r="J2207" s="247">
        <f t="shared" si="1096"/>
        <v>2.4285714285714284</v>
      </c>
    </row>
    <row r="2208" spans="1:10" s="186" customFormat="1" x14ac:dyDescent="0.25">
      <c r="A2208" s="246" t="s">
        <v>16</v>
      </c>
      <c r="B2208" s="233">
        <v>0</v>
      </c>
      <c r="C2208" s="13">
        <v>0</v>
      </c>
      <c r="D2208" s="13">
        <v>0</v>
      </c>
      <c r="E2208" s="13">
        <v>0</v>
      </c>
      <c r="F2208" s="11">
        <v>0</v>
      </c>
      <c r="G2208" s="11">
        <v>0</v>
      </c>
      <c r="H2208" s="11">
        <v>0</v>
      </c>
      <c r="I2208" s="11">
        <f>SUM('PEPE SIERRA '!$B2208:$H2208)</f>
        <v>0</v>
      </c>
      <c r="J2208" s="247">
        <f t="shared" si="1096"/>
        <v>0</v>
      </c>
    </row>
    <row r="2209" spans="1:10" s="186" customFormat="1" x14ac:dyDescent="0.25">
      <c r="A2209" s="248" t="s">
        <v>17</v>
      </c>
      <c r="B2209" s="249">
        <f>SUM(B2204:B2208)</f>
        <v>100</v>
      </c>
      <c r="C2209" s="192">
        <f t="shared" ref="C2209:I2209" si="1097">SUM(C2204:C2208)</f>
        <v>108</v>
      </c>
      <c r="D2209" s="192">
        <f t="shared" si="1097"/>
        <v>98</v>
      </c>
      <c r="E2209" s="192">
        <f t="shared" si="1097"/>
        <v>101</v>
      </c>
      <c r="F2209" s="192">
        <f t="shared" si="1097"/>
        <v>270</v>
      </c>
      <c r="G2209" s="192">
        <f t="shared" si="1097"/>
        <v>324</v>
      </c>
      <c r="H2209" s="192">
        <f t="shared" si="1097"/>
        <v>286</v>
      </c>
      <c r="I2209" s="192">
        <f t="shared" si="1097"/>
        <v>1287</v>
      </c>
      <c r="J2209" s="250">
        <f t="shared" si="1096"/>
        <v>183.85714285714286</v>
      </c>
    </row>
    <row r="2210" spans="1:10" s="186" customFormat="1" x14ac:dyDescent="0.25">
      <c r="A2210" s="246" t="s">
        <v>18</v>
      </c>
      <c r="B2210" s="234">
        <v>0.75</v>
      </c>
      <c r="C2210" s="235">
        <v>0.7</v>
      </c>
      <c r="D2210" s="235">
        <v>0.79</v>
      </c>
      <c r="E2210" s="235">
        <v>0.74</v>
      </c>
      <c r="F2210" s="30">
        <v>0.8</v>
      </c>
      <c r="G2210" s="30">
        <v>0.75</v>
      </c>
      <c r="H2210" s="30">
        <v>0.85</v>
      </c>
      <c r="I2210" s="30">
        <f>I2217/I2222</f>
        <v>0.77934192044830564</v>
      </c>
      <c r="J2210" s="251">
        <f>J2217/J2222</f>
        <v>0.77934192044830564</v>
      </c>
    </row>
    <row r="2211" spans="1:10" s="186" customFormat="1" x14ac:dyDescent="0.25">
      <c r="A2211" s="246" t="s">
        <v>19</v>
      </c>
      <c r="B2211" s="234">
        <v>0.03</v>
      </c>
      <c r="C2211" s="235">
        <v>0.01</v>
      </c>
      <c r="D2211" s="235">
        <v>0</v>
      </c>
      <c r="E2211" s="235">
        <v>0</v>
      </c>
      <c r="F2211" s="30">
        <v>0</v>
      </c>
      <c r="G2211" s="30">
        <v>0.01</v>
      </c>
      <c r="H2211" s="30">
        <v>0</v>
      </c>
      <c r="I2211" s="30">
        <f>I2218/I2222</f>
        <v>5.7747432216269734E-3</v>
      </c>
      <c r="J2211" s="251">
        <f>J2218/J2222</f>
        <v>5.7747432216269743E-3</v>
      </c>
    </row>
    <row r="2212" spans="1:10" s="186" customFormat="1" x14ac:dyDescent="0.25">
      <c r="A2212" s="246" t="s">
        <v>20</v>
      </c>
      <c r="B2212" s="234">
        <v>0.22</v>
      </c>
      <c r="C2212" s="235">
        <v>0.28999999999999998</v>
      </c>
      <c r="D2212" s="235">
        <v>0.19</v>
      </c>
      <c r="E2212" s="235">
        <v>0.25</v>
      </c>
      <c r="F2212" s="30">
        <v>0.2</v>
      </c>
      <c r="G2212" s="30">
        <v>0.2</v>
      </c>
      <c r="H2212" s="30">
        <v>0.15</v>
      </c>
      <c r="I2212" s="30">
        <f>I2219/I2222</f>
        <v>0.20159244349017796</v>
      </c>
      <c r="J2212" s="251">
        <f>J2219/J2222</f>
        <v>0.20159244349017799</v>
      </c>
    </row>
    <row r="2213" spans="1:10" s="186" customFormat="1" x14ac:dyDescent="0.25">
      <c r="A2213" s="246" t="s">
        <v>21</v>
      </c>
      <c r="B2213" s="234">
        <v>0</v>
      </c>
      <c r="C2213" s="235">
        <v>0</v>
      </c>
      <c r="D2213" s="235">
        <v>0.02</v>
      </c>
      <c r="E2213" s="235">
        <v>0.01</v>
      </c>
      <c r="F2213" s="30">
        <v>0</v>
      </c>
      <c r="G2213" s="30">
        <v>0.04</v>
      </c>
      <c r="H2213" s="30">
        <v>0</v>
      </c>
      <c r="I2213" s="30">
        <f>I2220/I2222</f>
        <v>1.3290892839889459E-2</v>
      </c>
      <c r="J2213" s="251">
        <f>J2220/J2222</f>
        <v>1.329089283988946E-2</v>
      </c>
    </row>
    <row r="2214" spans="1:10" s="186" customFormat="1" x14ac:dyDescent="0.25">
      <c r="A2214" s="246" t="s">
        <v>22</v>
      </c>
      <c r="B2214" s="234">
        <v>0</v>
      </c>
      <c r="C2214" s="235">
        <v>0</v>
      </c>
      <c r="D2214" s="235">
        <v>0</v>
      </c>
      <c r="E2214" s="235">
        <v>0</v>
      </c>
      <c r="F2214" s="30">
        <v>0</v>
      </c>
      <c r="G2214" s="30">
        <v>0</v>
      </c>
      <c r="H2214" s="30">
        <v>0</v>
      </c>
      <c r="I2214" s="30">
        <f>I2221/I2222</f>
        <v>0</v>
      </c>
      <c r="J2214" s="251">
        <f>J2221/J2222</f>
        <v>0</v>
      </c>
    </row>
    <row r="2215" spans="1:10" s="186" customFormat="1" x14ac:dyDescent="0.25">
      <c r="A2215" s="252" t="s">
        <v>23</v>
      </c>
      <c r="B2215" s="253">
        <f t="shared" ref="B2215:J2215" si="1098">B2226/B2209</f>
        <v>35620.000000000007</v>
      </c>
      <c r="C2215" s="66">
        <f t="shared" si="1098"/>
        <v>35223.148148148153</v>
      </c>
      <c r="D2215" s="66">
        <f t="shared" si="1098"/>
        <v>34830.612244897959</v>
      </c>
      <c r="E2215" s="66">
        <f t="shared" si="1098"/>
        <v>38100.990099009905</v>
      </c>
      <c r="F2215" s="66">
        <f t="shared" si="1098"/>
        <v>38446.666666666672</v>
      </c>
      <c r="G2215" s="66">
        <f t="shared" si="1098"/>
        <v>41170.679012345681</v>
      </c>
      <c r="H2215" s="66">
        <f t="shared" si="1098"/>
        <v>35084.96503496504</v>
      </c>
      <c r="I2215" s="66">
        <f t="shared" si="1098"/>
        <v>37592.773892773897</v>
      </c>
      <c r="J2215" s="254">
        <f t="shared" si="1098"/>
        <v>37592.773892773897</v>
      </c>
    </row>
    <row r="2216" spans="1:10" s="186" customFormat="1" x14ac:dyDescent="0.25">
      <c r="A2216" s="252" t="s">
        <v>24</v>
      </c>
      <c r="B2216" s="253">
        <f t="shared" ref="B2216:I2216" si="1099">+B2226/B2203</f>
        <v>37104.166666666672</v>
      </c>
      <c r="C2216" s="66">
        <f t="shared" si="1099"/>
        <v>29038.931297709929</v>
      </c>
      <c r="D2216" s="66">
        <f t="shared" si="1099"/>
        <v>27978.688524590165</v>
      </c>
      <c r="E2216" s="66">
        <f t="shared" si="1099"/>
        <v>30064.062500000004</v>
      </c>
      <c r="F2216" s="66">
        <f t="shared" si="1099"/>
        <v>30264.139941690966</v>
      </c>
      <c r="G2216" s="66">
        <f t="shared" si="1099"/>
        <v>30806.697459584298</v>
      </c>
      <c r="H2216" s="66">
        <f t="shared" si="1099"/>
        <v>29426.099706744873</v>
      </c>
      <c r="I2216" s="66">
        <f t="shared" si="1099"/>
        <v>30352.509410288585</v>
      </c>
      <c r="J2216" s="254">
        <f>J2226/J2203</f>
        <v>30352.509410288585</v>
      </c>
    </row>
    <row r="2217" spans="1:10" s="186" customFormat="1" x14ac:dyDescent="0.25">
      <c r="A2217" s="246" t="s">
        <v>25</v>
      </c>
      <c r="B2217" s="255">
        <f t="shared" ref="B2217:H2217" si="1100">B2222*B2210</f>
        <v>2181713.7413793104</v>
      </c>
      <c r="C2217" s="92">
        <f t="shared" si="1100"/>
        <v>2182360.9862068966</v>
      </c>
      <c r="D2217" s="92">
        <f t="shared" si="1100"/>
        <v>2194963.0234482759</v>
      </c>
      <c r="E2217" s="92">
        <f t="shared" si="1100"/>
        <v>2320909.2068965519</v>
      </c>
      <c r="F2217" s="92">
        <f t="shared" si="1100"/>
        <v>6774725.6827586219</v>
      </c>
      <c r="G2217" s="92">
        <f t="shared" si="1100"/>
        <v>8199079.9137931047</v>
      </c>
      <c r="H2217" s="92">
        <f t="shared" si="1100"/>
        <v>6884886.6275862083</v>
      </c>
      <c r="I2217" s="31">
        <f t="shared" ref="I2217:I2222" si="1101">SUM(B2217:H2217)</f>
        <v>30738639.18206897</v>
      </c>
      <c r="J2217" s="256">
        <f t="shared" ref="J2217:J2226" si="1102">I2217/7</f>
        <v>4391234.1688669957</v>
      </c>
    </row>
    <row r="2218" spans="1:10" s="186" customFormat="1" x14ac:dyDescent="0.25">
      <c r="A2218" s="246" t="s">
        <v>26</v>
      </c>
      <c r="B2218" s="255">
        <f t="shared" ref="B2218:H2218" si="1103">B2222*B2211</f>
        <v>87268.549655172421</v>
      </c>
      <c r="C2218" s="92">
        <f t="shared" si="1103"/>
        <v>31176.585517241383</v>
      </c>
      <c r="D2218" s="92">
        <f t="shared" si="1103"/>
        <v>0</v>
      </c>
      <c r="E2218" s="92">
        <f t="shared" si="1103"/>
        <v>0</v>
      </c>
      <c r="F2218" s="92">
        <f t="shared" si="1103"/>
        <v>0</v>
      </c>
      <c r="G2218" s="92">
        <f t="shared" si="1103"/>
        <v>109321.0655172414</v>
      </c>
      <c r="H2218" s="92">
        <f t="shared" si="1103"/>
        <v>0</v>
      </c>
      <c r="I2218" s="31">
        <f t="shared" si="1101"/>
        <v>227766.2006896552</v>
      </c>
      <c r="J2218" s="256">
        <f t="shared" si="1102"/>
        <v>32538.028669950745</v>
      </c>
    </row>
    <row r="2219" spans="1:10" s="186" customFormat="1" x14ac:dyDescent="0.25">
      <c r="A2219" s="246" t="s">
        <v>27</v>
      </c>
      <c r="B2219" s="255">
        <f t="shared" ref="B2219:H2219" si="1104">B2222*B2212</f>
        <v>639969.36413793114</v>
      </c>
      <c r="C2219" s="92">
        <f t="shared" si="1104"/>
        <v>904120.98</v>
      </c>
      <c r="D2219" s="92">
        <f t="shared" si="1104"/>
        <v>527902.49931034481</v>
      </c>
      <c r="E2219" s="92">
        <f t="shared" si="1104"/>
        <v>784090.94827586215</v>
      </c>
      <c r="F2219" s="92">
        <f t="shared" si="1104"/>
        <v>1693681.4206896555</v>
      </c>
      <c r="G2219" s="92">
        <f t="shared" si="1104"/>
        <v>2186421.3103448278</v>
      </c>
      <c r="H2219" s="92">
        <f t="shared" si="1104"/>
        <v>1214979.9931034485</v>
      </c>
      <c r="I2219" s="31">
        <f t="shared" si="1101"/>
        <v>7951166.51586207</v>
      </c>
      <c r="J2219" s="256">
        <f t="shared" si="1102"/>
        <v>1135880.9308374387</v>
      </c>
    </row>
    <row r="2220" spans="1:10" s="186" customFormat="1" x14ac:dyDescent="0.25">
      <c r="A2220" s="246" t="s">
        <v>28</v>
      </c>
      <c r="B2220" s="255">
        <f t="shared" ref="B2220:H2220" si="1105">B2222*B2213</f>
        <v>0</v>
      </c>
      <c r="C2220" s="92">
        <f t="shared" si="1105"/>
        <v>0</v>
      </c>
      <c r="D2220" s="92">
        <f t="shared" si="1105"/>
        <v>55568.684137931035</v>
      </c>
      <c r="E2220" s="92">
        <f t="shared" si="1105"/>
        <v>31363.637931034486</v>
      </c>
      <c r="F2220" s="92">
        <f t="shared" si="1105"/>
        <v>0</v>
      </c>
      <c r="G2220" s="92">
        <f t="shared" si="1105"/>
        <v>437284.26206896559</v>
      </c>
      <c r="H2220" s="92">
        <f t="shared" si="1105"/>
        <v>0</v>
      </c>
      <c r="I2220" s="31">
        <f t="shared" si="1101"/>
        <v>524216.58413793112</v>
      </c>
      <c r="J2220" s="256">
        <f t="shared" si="1102"/>
        <v>74888.08344827588</v>
      </c>
    </row>
    <row r="2221" spans="1:10" s="186" customFormat="1" x14ac:dyDescent="0.25">
      <c r="A2221" s="246" t="s">
        <v>29</v>
      </c>
      <c r="B2221" s="255">
        <f t="shared" ref="B2221:H2221" si="1106">B2222*B2214</f>
        <v>0</v>
      </c>
      <c r="C2221" s="731">
        <f t="shared" si="1106"/>
        <v>0</v>
      </c>
      <c r="D2221" s="731">
        <f t="shared" si="1106"/>
        <v>0</v>
      </c>
      <c r="E2221" s="731">
        <f t="shared" si="1106"/>
        <v>0</v>
      </c>
      <c r="F2221" s="731">
        <f t="shared" si="1106"/>
        <v>0</v>
      </c>
      <c r="G2221" s="731">
        <f t="shared" si="1106"/>
        <v>0</v>
      </c>
      <c r="H2221" s="731">
        <f t="shared" si="1106"/>
        <v>0</v>
      </c>
      <c r="I2221" s="31">
        <f t="shared" si="1101"/>
        <v>0</v>
      </c>
      <c r="J2221" s="256">
        <f t="shared" si="1102"/>
        <v>0</v>
      </c>
    </row>
    <row r="2222" spans="1:10" s="186" customFormat="1" x14ac:dyDescent="0.25">
      <c r="A2222" s="257" t="s">
        <v>30</v>
      </c>
      <c r="B2222" s="258">
        <f>(3562000/1.16)-B2223</f>
        <v>2908951.6551724141</v>
      </c>
      <c r="C2222" s="733">
        <f>(3804100/1.16)-C2223</f>
        <v>3117658.5517241382</v>
      </c>
      <c r="D2222" s="733">
        <f>(3413400/1.16)-D2223</f>
        <v>2778434.2068965519</v>
      </c>
      <c r="E2222" s="733">
        <f>(3848200/1.16)-E2223</f>
        <v>3136363.7931034486</v>
      </c>
      <c r="F2222" s="733">
        <f>(10380600/1.16)-F2223</f>
        <v>8468407.1034482773</v>
      </c>
      <c r="G2222" s="733">
        <f>(13339300/1.16)-G2223</f>
        <v>10932106.55172414</v>
      </c>
      <c r="H2222" s="733">
        <f>(10034300/1.16)-H2223</f>
        <v>8099866.6206896566</v>
      </c>
      <c r="I2222" s="730">
        <f t="shared" si="1101"/>
        <v>39441788.482758626</v>
      </c>
      <c r="J2222" s="259">
        <f t="shared" si="1102"/>
        <v>5634541.2118226606</v>
      </c>
    </row>
    <row r="2223" spans="1:10" s="186" customFormat="1" x14ac:dyDescent="0.25">
      <c r="A2223" s="246" t="s">
        <v>31</v>
      </c>
      <c r="B2223" s="255">
        <f t="shared" ref="B2223:I2223" si="1107">2414*B2204</f>
        <v>161738</v>
      </c>
      <c r="C2223" s="732">
        <f t="shared" si="1107"/>
        <v>161738</v>
      </c>
      <c r="D2223" s="732">
        <f t="shared" si="1107"/>
        <v>164152</v>
      </c>
      <c r="E2223" s="732">
        <f t="shared" si="1107"/>
        <v>181050</v>
      </c>
      <c r="F2223" s="732">
        <f t="shared" si="1107"/>
        <v>480386</v>
      </c>
      <c r="G2223" s="732">
        <f t="shared" si="1107"/>
        <v>567290</v>
      </c>
      <c r="H2223" s="732">
        <f t="shared" si="1107"/>
        <v>550392</v>
      </c>
      <c r="I2223" s="31">
        <f t="shared" si="1107"/>
        <v>2266746</v>
      </c>
      <c r="J2223" s="256">
        <f t="shared" si="1102"/>
        <v>323820.85714285716</v>
      </c>
    </row>
    <row r="2224" spans="1:10" s="186" customFormat="1" x14ac:dyDescent="0.25">
      <c r="A2224" s="260" t="s">
        <v>32</v>
      </c>
      <c r="B2224" s="261">
        <f>B2223+B2222</f>
        <v>3070689.6551724141</v>
      </c>
      <c r="C2224" s="199">
        <f>C2223+C2222</f>
        <v>3279396.5517241382</v>
      </c>
      <c r="D2224" s="199">
        <f>D2223+D2222</f>
        <v>2942586.2068965519</v>
      </c>
      <c r="E2224" s="199">
        <f>E2223+E2222</f>
        <v>3317413.7931034486</v>
      </c>
      <c r="F2224" s="199">
        <f>F2222+F2223</f>
        <v>8948793.1034482773</v>
      </c>
      <c r="G2224" s="199">
        <f>G2223+G2222</f>
        <v>11499396.55172414</v>
      </c>
      <c r="H2224" s="199">
        <f>H2223+H2222</f>
        <v>8650258.6206896566</v>
      </c>
      <c r="I2224" s="199">
        <f>I2222+I2223</f>
        <v>41708534.482758626</v>
      </c>
      <c r="J2224" s="262">
        <f t="shared" si="1102"/>
        <v>5958362.0689655179</v>
      </c>
    </row>
    <row r="2225" spans="1:10" s="186" customFormat="1" x14ac:dyDescent="0.25">
      <c r="A2225" s="246" t="s">
        <v>33</v>
      </c>
      <c r="B2225" s="263">
        <f>B2224*16%</f>
        <v>491310.34482758626</v>
      </c>
      <c r="C2225" s="94">
        <f t="shared" ref="C2225:H2225" si="1108">C2224*16%</f>
        <v>524703.44827586215</v>
      </c>
      <c r="D2225" s="94">
        <f t="shared" si="1108"/>
        <v>470813.79310344829</v>
      </c>
      <c r="E2225" s="94">
        <f t="shared" si="1108"/>
        <v>530786.20689655177</v>
      </c>
      <c r="F2225" s="94">
        <f t="shared" si="1108"/>
        <v>1431806.8965517243</v>
      </c>
      <c r="G2225" s="94">
        <f t="shared" si="1108"/>
        <v>1839903.4482758623</v>
      </c>
      <c r="H2225" s="94">
        <f t="shared" si="1108"/>
        <v>1384041.379310345</v>
      </c>
      <c r="I2225" s="94">
        <f>I2224*16%</f>
        <v>6673365.5172413802</v>
      </c>
      <c r="J2225" s="256">
        <f t="shared" si="1102"/>
        <v>953337.9310344829</v>
      </c>
    </row>
    <row r="2226" spans="1:10" s="186" customFormat="1" ht="15.75" thickBot="1" x14ac:dyDescent="0.3">
      <c r="A2226" s="264" t="s">
        <v>34</v>
      </c>
      <c r="B2226" s="265">
        <f>B2224+B2225</f>
        <v>3562000.0000000005</v>
      </c>
      <c r="C2226" s="266">
        <f t="shared" ref="C2226:H2226" si="1109">C2224+C2225</f>
        <v>3804100.0000000005</v>
      </c>
      <c r="D2226" s="266">
        <f t="shared" si="1109"/>
        <v>3413400</v>
      </c>
      <c r="E2226" s="266">
        <f t="shared" si="1109"/>
        <v>3848200.0000000005</v>
      </c>
      <c r="F2226" s="266">
        <f t="shared" si="1109"/>
        <v>10380600.000000002</v>
      </c>
      <c r="G2226" s="266">
        <f t="shared" si="1109"/>
        <v>13339300.000000002</v>
      </c>
      <c r="H2226" s="266">
        <f t="shared" si="1109"/>
        <v>10034300.000000002</v>
      </c>
      <c r="I2226" s="266">
        <f>I2224+I2225</f>
        <v>48381900.000000007</v>
      </c>
      <c r="J2226" s="267">
        <f t="shared" si="1102"/>
        <v>6911700.0000000009</v>
      </c>
    </row>
    <row r="2227" spans="1:10" s="186" customFormat="1" ht="15.75" thickBot="1" x14ac:dyDescent="0.3">
      <c r="A2227" s="204"/>
      <c r="B2227" s="112"/>
      <c r="C2227" s="112"/>
      <c r="D2227" s="112"/>
      <c r="E2227" s="112"/>
      <c r="F2227" s="112"/>
      <c r="G2227" s="112"/>
      <c r="H2227" s="112"/>
      <c r="I2227" s="112"/>
      <c r="J2227" s="205"/>
    </row>
    <row r="2228" spans="1:10" s="186" customFormat="1" ht="27" thickBot="1" x14ac:dyDescent="0.3">
      <c r="A2228"/>
      <c r="B2228" s="1002" t="s">
        <v>686</v>
      </c>
      <c r="C2228" s="1002"/>
      <c r="D2228" s="1002"/>
      <c r="E2228" s="1002"/>
      <c r="F2228" s="1002"/>
      <c r="G2228" s="1002"/>
      <c r="H2228" s="1002"/>
      <c r="I2228"/>
      <c r="J2228"/>
    </row>
    <row r="2229" spans="1:10" s="186" customFormat="1" ht="16.5" thickBot="1" x14ac:dyDescent="0.3">
      <c r="A2229" s="238" t="s">
        <v>2</v>
      </c>
      <c r="B2229" s="239" t="s">
        <v>89</v>
      </c>
      <c r="C2229" s="239" t="s">
        <v>90</v>
      </c>
      <c r="D2229" s="239" t="s">
        <v>172</v>
      </c>
      <c r="E2229" s="239" t="s">
        <v>324</v>
      </c>
      <c r="F2229" s="239" t="s">
        <v>325</v>
      </c>
      <c r="G2229" s="239" t="s">
        <v>326</v>
      </c>
      <c r="H2229" s="239" t="s">
        <v>327</v>
      </c>
      <c r="I2229" s="240" t="s">
        <v>96</v>
      </c>
      <c r="J2229" s="241" t="s">
        <v>97</v>
      </c>
    </row>
    <row r="2230" spans="1:10" s="186" customFormat="1" x14ac:dyDescent="0.25">
      <c r="A2230" s="242" t="s">
        <v>11</v>
      </c>
      <c r="B2230" s="243">
        <f>44+20+7</f>
        <v>71</v>
      </c>
      <c r="C2230" s="244">
        <f>74+43+12</f>
        <v>129</v>
      </c>
      <c r="D2230" s="244">
        <f>107+55+19</f>
        <v>181</v>
      </c>
      <c r="E2230" s="244">
        <f>84+52+13</f>
        <v>149</v>
      </c>
      <c r="F2230" s="244">
        <f>190+101+32</f>
        <v>323</v>
      </c>
      <c r="G2230" s="244">
        <f>222+138+45</f>
        <v>405</v>
      </c>
      <c r="H2230" s="268">
        <f>199+118+50</f>
        <v>367</v>
      </c>
      <c r="I2230" s="244">
        <f>SUM(B2230:H2230)</f>
        <v>1625</v>
      </c>
      <c r="J2230" s="245">
        <f>+I2230/7</f>
        <v>232.14285714285714</v>
      </c>
    </row>
    <row r="2231" spans="1:10" s="186" customFormat="1" x14ac:dyDescent="0.25">
      <c r="A2231" s="246" t="s">
        <v>12</v>
      </c>
      <c r="B2231" s="233">
        <v>41</v>
      </c>
      <c r="C2231" s="13">
        <v>72</v>
      </c>
      <c r="D2231" s="13">
        <v>115</v>
      </c>
      <c r="E2231" s="13">
        <v>78</v>
      </c>
      <c r="F2231" s="86">
        <v>181</v>
      </c>
      <c r="G2231" s="11">
        <v>226</v>
      </c>
      <c r="H2231" s="86">
        <v>214</v>
      </c>
      <c r="I2231" s="11">
        <f>SUM('PEPE SIERRA '!$B2231:$H2231)</f>
        <v>927</v>
      </c>
      <c r="J2231" s="247">
        <f t="shared" ref="J2231:J2236" si="1110">I2231/7</f>
        <v>132.42857142857142</v>
      </c>
    </row>
    <row r="2232" spans="1:10" s="186" customFormat="1" x14ac:dyDescent="0.25">
      <c r="A2232" s="246" t="s">
        <v>13</v>
      </c>
      <c r="B2232" s="233">
        <v>0</v>
      </c>
      <c r="C2232" s="13">
        <v>0</v>
      </c>
      <c r="D2232" s="13">
        <v>1</v>
      </c>
      <c r="E2232" s="13">
        <v>0</v>
      </c>
      <c r="F2232" s="11">
        <v>0</v>
      </c>
      <c r="G2232" s="11">
        <v>2</v>
      </c>
      <c r="H2232" s="11">
        <v>7</v>
      </c>
      <c r="I2232" s="11">
        <f>SUM('PEPE SIERRA '!$B2232:$H2232)</f>
        <v>10</v>
      </c>
      <c r="J2232" s="247">
        <f t="shared" si="1110"/>
        <v>1.4285714285714286</v>
      </c>
    </row>
    <row r="2233" spans="1:10" s="186" customFormat="1" x14ac:dyDescent="0.25">
      <c r="A2233" s="246" t="s">
        <v>14</v>
      </c>
      <c r="B2233" s="233">
        <v>16</v>
      </c>
      <c r="C2233" s="13">
        <v>38</v>
      </c>
      <c r="D2233" s="13">
        <v>22</v>
      </c>
      <c r="E2233" s="13">
        <v>38</v>
      </c>
      <c r="F2233" s="11">
        <v>69</v>
      </c>
      <c r="G2233" s="11">
        <v>85</v>
      </c>
      <c r="H2233" s="86">
        <v>48</v>
      </c>
      <c r="I2233" s="11">
        <f>SUM('PEPE SIERRA '!$B2233:$H2233)</f>
        <v>316</v>
      </c>
      <c r="J2233" s="247">
        <f t="shared" si="1110"/>
        <v>45.142857142857146</v>
      </c>
    </row>
    <row r="2234" spans="1:10" s="186" customFormat="1" x14ac:dyDescent="0.25">
      <c r="A2234" s="246" t="s">
        <v>15</v>
      </c>
      <c r="B2234" s="233">
        <v>0</v>
      </c>
      <c r="C2234" s="13">
        <v>3</v>
      </c>
      <c r="D2234" s="13">
        <v>1</v>
      </c>
      <c r="E2234" s="13">
        <v>2</v>
      </c>
      <c r="F2234" s="11">
        <v>0</v>
      </c>
      <c r="G2234" s="11">
        <v>3</v>
      </c>
      <c r="H2234" s="11">
        <v>6</v>
      </c>
      <c r="I2234" s="11">
        <f>SUM('PEPE SIERRA '!$B2234:$H2234)</f>
        <v>15</v>
      </c>
      <c r="J2234" s="247">
        <f t="shared" si="1110"/>
        <v>2.1428571428571428</v>
      </c>
    </row>
    <row r="2235" spans="1:10" s="186" customFormat="1" x14ac:dyDescent="0.25">
      <c r="A2235" s="246" t="s">
        <v>16</v>
      </c>
      <c r="B2235" s="233">
        <v>0</v>
      </c>
      <c r="C2235" s="13">
        <v>0</v>
      </c>
      <c r="D2235" s="13">
        <v>0</v>
      </c>
      <c r="E2235" s="13">
        <v>0</v>
      </c>
      <c r="F2235" s="11">
        <v>0</v>
      </c>
      <c r="G2235" s="11">
        <v>0</v>
      </c>
      <c r="H2235" s="11">
        <v>1</v>
      </c>
      <c r="I2235" s="11">
        <f>SUM('PEPE SIERRA '!$B2235:$H2235)</f>
        <v>1</v>
      </c>
      <c r="J2235" s="247">
        <f t="shared" si="1110"/>
        <v>0.14285714285714285</v>
      </c>
    </row>
    <row r="2236" spans="1:10" s="186" customFormat="1" x14ac:dyDescent="0.25">
      <c r="A2236" s="248" t="s">
        <v>17</v>
      </c>
      <c r="B2236" s="249">
        <f>SUM(B2231:B2235)</f>
        <v>57</v>
      </c>
      <c r="C2236" s="192">
        <f t="shared" ref="C2236:I2236" si="1111">SUM(C2231:C2235)</f>
        <v>113</v>
      </c>
      <c r="D2236" s="192">
        <f t="shared" si="1111"/>
        <v>139</v>
      </c>
      <c r="E2236" s="192">
        <f t="shared" si="1111"/>
        <v>118</v>
      </c>
      <c r="F2236" s="192">
        <f t="shared" si="1111"/>
        <v>250</v>
      </c>
      <c r="G2236" s="192">
        <f t="shared" si="1111"/>
        <v>316</v>
      </c>
      <c r="H2236" s="192">
        <f t="shared" si="1111"/>
        <v>276</v>
      </c>
      <c r="I2236" s="192">
        <f t="shared" si="1111"/>
        <v>1269</v>
      </c>
      <c r="J2236" s="250">
        <f t="shared" si="1110"/>
        <v>181.28571428571428</v>
      </c>
    </row>
    <row r="2237" spans="1:10" s="186" customFormat="1" x14ac:dyDescent="0.25">
      <c r="A2237" s="246" t="s">
        <v>18</v>
      </c>
      <c r="B2237" s="234">
        <v>0.79</v>
      </c>
      <c r="C2237" s="235">
        <v>0.69</v>
      </c>
      <c r="D2237" s="235">
        <v>0.89</v>
      </c>
      <c r="E2237" s="235">
        <v>0.74</v>
      </c>
      <c r="F2237" s="30">
        <v>0.78</v>
      </c>
      <c r="G2237" s="30">
        <v>0.77</v>
      </c>
      <c r="H2237" s="30">
        <v>0.81</v>
      </c>
      <c r="I2237" s="30">
        <f>I2244/I2249</f>
        <v>0.78618047976085403</v>
      </c>
      <c r="J2237" s="251">
        <f>J2244/J2249</f>
        <v>0.78618047976085403</v>
      </c>
    </row>
    <row r="2238" spans="1:10" s="186" customFormat="1" x14ac:dyDescent="0.25">
      <c r="A2238" s="246" t="s">
        <v>19</v>
      </c>
      <c r="B2238" s="234">
        <v>0</v>
      </c>
      <c r="C2238" s="235">
        <v>0</v>
      </c>
      <c r="D2238" s="235">
        <v>0.01</v>
      </c>
      <c r="E2238" s="235">
        <v>0</v>
      </c>
      <c r="F2238" s="30">
        <v>0</v>
      </c>
      <c r="G2238" s="30">
        <v>0</v>
      </c>
      <c r="H2238" s="30">
        <v>0.01</v>
      </c>
      <c r="I2238" s="30">
        <f>I2245/I2249</f>
        <v>3.325636075420078E-3</v>
      </c>
      <c r="J2238" s="251">
        <f>J2245/J2249</f>
        <v>3.3256360754200776E-3</v>
      </c>
    </row>
    <row r="2239" spans="1:10" s="186" customFormat="1" x14ac:dyDescent="0.25">
      <c r="A2239" s="246" t="s">
        <v>20</v>
      </c>
      <c r="B2239" s="234">
        <v>0.21</v>
      </c>
      <c r="C2239" s="235">
        <v>0.27</v>
      </c>
      <c r="D2239" s="235">
        <v>0.1</v>
      </c>
      <c r="E2239" s="235">
        <v>0.25</v>
      </c>
      <c r="F2239" s="30">
        <v>0.22</v>
      </c>
      <c r="G2239" s="30">
        <v>0.22</v>
      </c>
      <c r="H2239" s="30">
        <v>0.15</v>
      </c>
      <c r="I2239" s="30">
        <f>I2246/I2249</f>
        <v>0.19731258413376956</v>
      </c>
      <c r="J2239" s="251">
        <f>J2246/J2249</f>
        <v>0.19731258413376956</v>
      </c>
    </row>
    <row r="2240" spans="1:10" s="186" customFormat="1" x14ac:dyDescent="0.25">
      <c r="A2240" s="246" t="s">
        <v>21</v>
      </c>
      <c r="B2240" s="234">
        <v>0</v>
      </c>
      <c r="C2240" s="235">
        <v>0.04</v>
      </c>
      <c r="D2240" s="235">
        <v>0</v>
      </c>
      <c r="E2240" s="235">
        <v>0.01</v>
      </c>
      <c r="F2240" s="30">
        <v>0</v>
      </c>
      <c r="G2240" s="30">
        <v>0.01</v>
      </c>
      <c r="H2240" s="30">
        <v>0.02</v>
      </c>
      <c r="I2240" s="30">
        <f>I2247/I2249</f>
        <v>1.1023425470344838E-2</v>
      </c>
      <c r="J2240" s="251">
        <f>J2247/J2249</f>
        <v>1.1023425470344838E-2</v>
      </c>
    </row>
    <row r="2241" spans="1:10" s="186" customFormat="1" x14ac:dyDescent="0.25">
      <c r="A2241" s="246" t="s">
        <v>22</v>
      </c>
      <c r="B2241" s="234">
        <v>0</v>
      </c>
      <c r="C2241" s="235">
        <v>0</v>
      </c>
      <c r="D2241" s="235">
        <v>0</v>
      </c>
      <c r="E2241" s="235">
        <v>0</v>
      </c>
      <c r="F2241" s="30">
        <v>0</v>
      </c>
      <c r="G2241" s="30">
        <v>0</v>
      </c>
      <c r="H2241" s="30">
        <v>0.01</v>
      </c>
      <c r="I2241" s="30">
        <f>I2248/I2249</f>
        <v>2.1578745596115513E-3</v>
      </c>
      <c r="J2241" s="251">
        <f>J2248/J2249</f>
        <v>2.1578745596115508E-3</v>
      </c>
    </row>
    <row r="2242" spans="1:10" s="186" customFormat="1" x14ac:dyDescent="0.25">
      <c r="A2242" s="252" t="s">
        <v>23</v>
      </c>
      <c r="B2242" s="253">
        <f t="shared" ref="B2242:J2242" si="1112">B2253/B2236</f>
        <v>36370.175438596489</v>
      </c>
      <c r="C2242" s="66">
        <f t="shared" si="1112"/>
        <v>33315.044247787613</v>
      </c>
      <c r="D2242" s="66">
        <f t="shared" si="1112"/>
        <v>39212.949640287778</v>
      </c>
      <c r="E2242" s="66">
        <f t="shared" si="1112"/>
        <v>36840.677966101692</v>
      </c>
      <c r="F2242" s="66">
        <f t="shared" si="1112"/>
        <v>36364.800000000003</v>
      </c>
      <c r="G2242" s="66">
        <f t="shared" si="1112"/>
        <v>37059.810126582277</v>
      </c>
      <c r="H2242" s="66">
        <f t="shared" si="1112"/>
        <v>36507.971014492752</v>
      </c>
      <c r="I2242" s="66">
        <f t="shared" si="1112"/>
        <v>36653.900709219859</v>
      </c>
      <c r="J2242" s="254">
        <f t="shared" si="1112"/>
        <v>36653.900709219859</v>
      </c>
    </row>
    <row r="2243" spans="1:10" s="186" customFormat="1" x14ac:dyDescent="0.25">
      <c r="A2243" s="252" t="s">
        <v>24</v>
      </c>
      <c r="B2243" s="253">
        <f t="shared" ref="B2243:I2243" si="1113">+B2253/B2230</f>
        <v>29198.591549295776</v>
      </c>
      <c r="C2243" s="66">
        <f t="shared" si="1113"/>
        <v>29182.945736434107</v>
      </c>
      <c r="D2243" s="66">
        <f t="shared" si="1113"/>
        <v>30113.812154696137</v>
      </c>
      <c r="E2243" s="66">
        <f t="shared" si="1113"/>
        <v>29175.838926174496</v>
      </c>
      <c r="F2243" s="66">
        <f t="shared" si="1113"/>
        <v>28146.130030959754</v>
      </c>
      <c r="G2243" s="66">
        <f t="shared" si="1113"/>
        <v>28915.802469135804</v>
      </c>
      <c r="H2243" s="66">
        <f t="shared" si="1113"/>
        <v>27455.585831062672</v>
      </c>
      <c r="I2243" s="66">
        <f t="shared" si="1113"/>
        <v>28623.876923076925</v>
      </c>
      <c r="J2243" s="254">
        <f>J2253/J2230</f>
        <v>28623.876923076925</v>
      </c>
    </row>
    <row r="2244" spans="1:10" s="186" customFormat="1" x14ac:dyDescent="0.25">
      <c r="A2244" s="246" t="s">
        <v>25</v>
      </c>
      <c r="B2244" s="255">
        <f t="shared" ref="B2244:H2244" si="1114">B2249*B2237</f>
        <v>1333663.1262068967</v>
      </c>
      <c r="C2244" s="92">
        <f t="shared" si="1114"/>
        <v>2119360.4110344825</v>
      </c>
      <c r="D2244" s="92">
        <f t="shared" si="1114"/>
        <v>3934852.9620689661</v>
      </c>
      <c r="E2244" s="92">
        <f t="shared" si="1114"/>
        <v>2633877.7131034485</v>
      </c>
      <c r="F2244" s="92">
        <f t="shared" si="1114"/>
        <v>5772239.7558620693</v>
      </c>
      <c r="G2244" s="92">
        <f t="shared" si="1114"/>
        <v>7353530.3751724139</v>
      </c>
      <c r="H2244" s="92">
        <f t="shared" si="1114"/>
        <v>6617524.4813793115</v>
      </c>
      <c r="I2244" s="31">
        <f t="shared" ref="I2244:I2249" si="1115">SUM(B2244:H2244)</f>
        <v>29765048.824827589</v>
      </c>
      <c r="J2244" s="256">
        <f t="shared" ref="J2244:J2253" si="1116">I2244/7</f>
        <v>4252149.8321182271</v>
      </c>
    </row>
    <row r="2245" spans="1:10" s="186" customFormat="1" x14ac:dyDescent="0.25">
      <c r="A2245" s="246" t="s">
        <v>26</v>
      </c>
      <c r="B2245" s="255">
        <f t="shared" ref="B2245:H2245" si="1117">B2249*B2238</f>
        <v>0</v>
      </c>
      <c r="C2245" s="92">
        <f t="shared" si="1117"/>
        <v>0</v>
      </c>
      <c r="D2245" s="92">
        <f t="shared" si="1117"/>
        <v>44211.831034482762</v>
      </c>
      <c r="E2245" s="92">
        <f t="shared" si="1117"/>
        <v>0</v>
      </c>
      <c r="F2245" s="92">
        <f t="shared" si="1117"/>
        <v>0</v>
      </c>
      <c r="G2245" s="92">
        <f t="shared" si="1117"/>
        <v>0</v>
      </c>
      <c r="H2245" s="92">
        <f t="shared" si="1117"/>
        <v>81697.833103448284</v>
      </c>
      <c r="I2245" s="31">
        <f t="shared" si="1115"/>
        <v>125909.66413793105</v>
      </c>
      <c r="J2245" s="256">
        <f t="shared" si="1116"/>
        <v>17987.094876847292</v>
      </c>
    </row>
    <row r="2246" spans="1:10" s="186" customFormat="1" x14ac:dyDescent="0.25">
      <c r="A2246" s="246" t="s">
        <v>27</v>
      </c>
      <c r="B2246" s="255">
        <f t="shared" ref="B2246:H2246" si="1118">B2249*B2239</f>
        <v>354518.04620689654</v>
      </c>
      <c r="C2246" s="92">
        <f t="shared" si="1118"/>
        <v>829314.94344827591</v>
      </c>
      <c r="D2246" s="92">
        <f t="shared" si="1118"/>
        <v>442118.31034482765</v>
      </c>
      <c r="E2246" s="92">
        <f t="shared" si="1118"/>
        <v>889823.55172413797</v>
      </c>
      <c r="F2246" s="92">
        <f t="shared" si="1118"/>
        <v>1628067.623448276</v>
      </c>
      <c r="G2246" s="92">
        <f t="shared" si="1118"/>
        <v>2101008.6786206895</v>
      </c>
      <c r="H2246" s="92">
        <f t="shared" si="1118"/>
        <v>1225467.4965517242</v>
      </c>
      <c r="I2246" s="31">
        <f t="shared" si="1115"/>
        <v>7470318.6503448281</v>
      </c>
      <c r="J2246" s="256">
        <f t="shared" si="1116"/>
        <v>1067188.3786206897</v>
      </c>
    </row>
    <row r="2247" spans="1:10" s="186" customFormat="1" x14ac:dyDescent="0.25">
      <c r="A2247" s="246" t="s">
        <v>28</v>
      </c>
      <c r="B2247" s="255">
        <f t="shared" ref="B2247:H2247" si="1119">B2249*B2240</f>
        <v>0</v>
      </c>
      <c r="C2247" s="92">
        <f t="shared" si="1119"/>
        <v>122861.47310344828</v>
      </c>
      <c r="D2247" s="92">
        <f t="shared" si="1119"/>
        <v>0</v>
      </c>
      <c r="E2247" s="92">
        <f t="shared" si="1119"/>
        <v>35592.942068965516</v>
      </c>
      <c r="F2247" s="92">
        <f t="shared" si="1119"/>
        <v>0</v>
      </c>
      <c r="G2247" s="92">
        <f t="shared" si="1119"/>
        <v>95500.394482758624</v>
      </c>
      <c r="H2247" s="92">
        <f t="shared" si="1119"/>
        <v>163395.66620689657</v>
      </c>
      <c r="I2247" s="31">
        <f t="shared" si="1115"/>
        <v>417350.475862069</v>
      </c>
      <c r="J2247" s="256">
        <f t="shared" si="1116"/>
        <v>59621.496551724144</v>
      </c>
    </row>
    <row r="2248" spans="1:10" s="186" customFormat="1" x14ac:dyDescent="0.25">
      <c r="A2248" s="246" t="s">
        <v>29</v>
      </c>
      <c r="B2248" s="255">
        <f t="shared" ref="B2248:H2248" si="1120">B2249*B2241</f>
        <v>0</v>
      </c>
      <c r="C2248" s="731">
        <f t="shared" si="1120"/>
        <v>0</v>
      </c>
      <c r="D2248" s="731">
        <f t="shared" si="1120"/>
        <v>0</v>
      </c>
      <c r="E2248" s="731">
        <f t="shared" si="1120"/>
        <v>0</v>
      </c>
      <c r="F2248" s="731">
        <f t="shared" si="1120"/>
        <v>0</v>
      </c>
      <c r="G2248" s="731">
        <f t="shared" si="1120"/>
        <v>0</v>
      </c>
      <c r="H2248" s="731">
        <f t="shared" si="1120"/>
        <v>81697.833103448284</v>
      </c>
      <c r="I2248" s="31">
        <f t="shared" si="1115"/>
        <v>81697.833103448284</v>
      </c>
      <c r="J2248" s="256">
        <f t="shared" si="1116"/>
        <v>11671.119014778325</v>
      </c>
    </row>
    <row r="2249" spans="1:10" s="186" customFormat="1" x14ac:dyDescent="0.25">
      <c r="A2249" s="257" t="s">
        <v>30</v>
      </c>
      <c r="B2249" s="258">
        <f>(2073100/1.16)-B2250</f>
        <v>1688181.1724137932</v>
      </c>
      <c r="C2249" s="733">
        <f>(3764600/1.16)-C2250</f>
        <v>3071536.8275862071</v>
      </c>
      <c r="D2249" s="733">
        <f>(5450600/1.16)-D2250</f>
        <v>4421183.1034482764</v>
      </c>
      <c r="E2249" s="733">
        <f>(4347200/1.16)-E2250</f>
        <v>3559294.2068965519</v>
      </c>
      <c r="F2249" s="733">
        <f>(9091200/1.16)-F2250</f>
        <v>7400307.3793103453</v>
      </c>
      <c r="G2249" s="733">
        <f>(11710900/1.16)-G2250</f>
        <v>9550039.4482758623</v>
      </c>
      <c r="H2249" s="733">
        <f>(10076200/1.16)-H2250</f>
        <v>8169783.3103448283</v>
      </c>
      <c r="I2249" s="730">
        <f t="shared" si="1115"/>
        <v>37860325.448275864</v>
      </c>
      <c r="J2249" s="259">
        <f t="shared" si="1116"/>
        <v>5408617.9211822664</v>
      </c>
    </row>
    <row r="2250" spans="1:10" s="186" customFormat="1" x14ac:dyDescent="0.25">
      <c r="A2250" s="246" t="s">
        <v>31</v>
      </c>
      <c r="B2250" s="255">
        <f t="shared" ref="B2250:I2250" si="1121">2414*B2231</f>
        <v>98974</v>
      </c>
      <c r="C2250" s="732">
        <f t="shared" si="1121"/>
        <v>173808</v>
      </c>
      <c r="D2250" s="732">
        <f t="shared" si="1121"/>
        <v>277610</v>
      </c>
      <c r="E2250" s="732">
        <f t="shared" si="1121"/>
        <v>188292</v>
      </c>
      <c r="F2250" s="732">
        <f t="shared" si="1121"/>
        <v>436934</v>
      </c>
      <c r="G2250" s="732">
        <f t="shared" si="1121"/>
        <v>545564</v>
      </c>
      <c r="H2250" s="732">
        <f t="shared" si="1121"/>
        <v>516596</v>
      </c>
      <c r="I2250" s="31">
        <f t="shared" si="1121"/>
        <v>2237778</v>
      </c>
      <c r="J2250" s="256">
        <f t="shared" si="1116"/>
        <v>319682.57142857142</v>
      </c>
    </row>
    <row r="2251" spans="1:10" s="186" customFormat="1" x14ac:dyDescent="0.25">
      <c r="A2251" s="260" t="s">
        <v>32</v>
      </c>
      <c r="B2251" s="261">
        <f>B2250+B2249</f>
        <v>1787155.1724137932</v>
      </c>
      <c r="C2251" s="199">
        <f>C2250+C2249</f>
        <v>3245344.8275862071</v>
      </c>
      <c r="D2251" s="199">
        <f>D2250+D2249</f>
        <v>4698793.1034482764</v>
      </c>
      <c r="E2251" s="199">
        <f>E2250+E2249</f>
        <v>3747586.2068965519</v>
      </c>
      <c r="F2251" s="199">
        <f>F2249+F2250</f>
        <v>7837241.3793103453</v>
      </c>
      <c r="G2251" s="199">
        <f>G2250+G2249</f>
        <v>10095603.448275862</v>
      </c>
      <c r="H2251" s="199">
        <f>H2250+H2249</f>
        <v>8686379.3103448283</v>
      </c>
      <c r="I2251" s="199">
        <f>I2249+I2250</f>
        <v>40098103.448275864</v>
      </c>
      <c r="J2251" s="262">
        <f t="shared" si="1116"/>
        <v>5728300.4926108373</v>
      </c>
    </row>
    <row r="2252" spans="1:10" s="186" customFormat="1" x14ac:dyDescent="0.25">
      <c r="A2252" s="246" t="s">
        <v>33</v>
      </c>
      <c r="B2252" s="263">
        <f>B2251*16%</f>
        <v>285944.8275862069</v>
      </c>
      <c r="C2252" s="94">
        <f t="shared" ref="C2252:H2252" si="1122">C2251*16%</f>
        <v>519255.17241379316</v>
      </c>
      <c r="D2252" s="94">
        <f t="shared" si="1122"/>
        <v>751806.89655172429</v>
      </c>
      <c r="E2252" s="94">
        <f t="shared" si="1122"/>
        <v>599613.79310344835</v>
      </c>
      <c r="F2252" s="94">
        <f t="shared" si="1122"/>
        <v>1253958.6206896552</v>
      </c>
      <c r="G2252" s="94">
        <f t="shared" si="1122"/>
        <v>1615296.551724138</v>
      </c>
      <c r="H2252" s="94">
        <f t="shared" si="1122"/>
        <v>1389820.6896551726</v>
      </c>
      <c r="I2252" s="94">
        <f>I2251*16%</f>
        <v>6415696.5517241387</v>
      </c>
      <c r="J2252" s="256">
        <f t="shared" si="1116"/>
        <v>916528.07881773415</v>
      </c>
    </row>
    <row r="2253" spans="1:10" s="186" customFormat="1" ht="15.75" thickBot="1" x14ac:dyDescent="0.3">
      <c r="A2253" s="264" t="s">
        <v>34</v>
      </c>
      <c r="B2253" s="265">
        <f>B2251+B2252</f>
        <v>2073100</v>
      </c>
      <c r="C2253" s="266">
        <f t="shared" ref="C2253:H2253" si="1123">C2251+C2252</f>
        <v>3764600</v>
      </c>
      <c r="D2253" s="266">
        <f t="shared" si="1123"/>
        <v>5450600.0000000009</v>
      </c>
      <c r="E2253" s="266">
        <f t="shared" si="1123"/>
        <v>4347200</v>
      </c>
      <c r="F2253" s="266">
        <f t="shared" si="1123"/>
        <v>9091200</v>
      </c>
      <c r="G2253" s="266">
        <f t="shared" si="1123"/>
        <v>11710900</v>
      </c>
      <c r="H2253" s="266">
        <f t="shared" si="1123"/>
        <v>10076200</v>
      </c>
      <c r="I2253" s="266">
        <f>I2251+I2252</f>
        <v>46513800</v>
      </c>
      <c r="J2253" s="267">
        <f t="shared" si="1116"/>
        <v>6644828.5714285718</v>
      </c>
    </row>
    <row r="2254" spans="1:10" s="186" customFormat="1" ht="15.75" thickBot="1" x14ac:dyDescent="0.3">
      <c r="A2254" s="204"/>
      <c r="B2254" s="112"/>
      <c r="C2254" s="112"/>
      <c r="D2254" s="112"/>
      <c r="E2254" s="112"/>
      <c r="F2254" s="112"/>
      <c r="G2254" s="112"/>
      <c r="H2254" s="112"/>
      <c r="I2254" s="112"/>
      <c r="J2254" s="205"/>
    </row>
    <row r="2255" spans="1:10" s="186" customFormat="1" ht="27" thickBot="1" x14ac:dyDescent="0.3">
      <c r="A2255"/>
      <c r="B2255" s="1002" t="s">
        <v>690</v>
      </c>
      <c r="C2255" s="1002"/>
      <c r="D2255" s="1002"/>
      <c r="E2255" s="1002"/>
      <c r="F2255" s="1002"/>
      <c r="G2255" s="1002"/>
      <c r="H2255" s="1002"/>
      <c r="I2255"/>
      <c r="J2255"/>
    </row>
    <row r="2256" spans="1:10" s="186" customFormat="1" ht="16.5" thickBot="1" x14ac:dyDescent="0.3">
      <c r="A2256" s="238" t="s">
        <v>2</v>
      </c>
      <c r="B2256" s="239" t="s">
        <v>329</v>
      </c>
      <c r="C2256" s="239" t="s">
        <v>330</v>
      </c>
      <c r="D2256" s="239" t="s">
        <v>331</v>
      </c>
      <c r="E2256" s="239" t="s">
        <v>332</v>
      </c>
      <c r="F2256" s="239" t="s">
        <v>333</v>
      </c>
      <c r="G2256" s="239" t="s">
        <v>334</v>
      </c>
      <c r="H2256" s="239" t="s">
        <v>335</v>
      </c>
      <c r="I2256" s="240" t="s">
        <v>96</v>
      </c>
      <c r="J2256" s="241" t="s">
        <v>97</v>
      </c>
    </row>
    <row r="2257" spans="1:10" s="186" customFormat="1" x14ac:dyDescent="0.25">
      <c r="A2257" s="242" t="s">
        <v>11</v>
      </c>
      <c r="B2257" s="243">
        <f>62+21+5</f>
        <v>88</v>
      </c>
      <c r="C2257" s="244">
        <f>76+37+15</f>
        <v>128</v>
      </c>
      <c r="D2257" s="244">
        <f>80+42+18</f>
        <v>140</v>
      </c>
      <c r="E2257" s="244">
        <f>102+94+24</f>
        <v>220</v>
      </c>
      <c r="F2257" s="244">
        <f>217+121+44</f>
        <v>382</v>
      </c>
      <c r="G2257" s="244">
        <f>194+160+52</f>
        <v>406</v>
      </c>
      <c r="H2257" s="268">
        <f>180+116+44</f>
        <v>340</v>
      </c>
      <c r="I2257" s="244">
        <f>SUM(B2257:H2257)</f>
        <v>1704</v>
      </c>
      <c r="J2257" s="245">
        <f>+I2257/7</f>
        <v>243.42857142857142</v>
      </c>
    </row>
    <row r="2258" spans="1:10" s="186" customFormat="1" x14ac:dyDescent="0.25">
      <c r="A2258" s="246" t="s">
        <v>12</v>
      </c>
      <c r="B2258" s="233">
        <v>56</v>
      </c>
      <c r="C2258" s="13">
        <v>71</v>
      </c>
      <c r="D2258" s="13">
        <v>72</v>
      </c>
      <c r="E2258" s="13">
        <v>115</v>
      </c>
      <c r="F2258" s="86">
        <v>203</v>
      </c>
      <c r="G2258" s="11">
        <v>243</v>
      </c>
      <c r="H2258" s="86">
        <v>215</v>
      </c>
      <c r="I2258" s="11">
        <f>SUM('PEPE SIERRA '!$B2258:$H2258)</f>
        <v>975</v>
      </c>
      <c r="J2258" s="247">
        <f t="shared" ref="J2258:J2263" si="1124">I2258/7</f>
        <v>139.28571428571428</v>
      </c>
    </row>
    <row r="2259" spans="1:10" s="186" customFormat="1" x14ac:dyDescent="0.25">
      <c r="A2259" s="246" t="s">
        <v>13</v>
      </c>
      <c r="B2259" s="233">
        <v>2</v>
      </c>
      <c r="C2259" s="13">
        <v>1</v>
      </c>
      <c r="D2259" s="13">
        <v>1</v>
      </c>
      <c r="E2259" s="13">
        <v>1</v>
      </c>
      <c r="F2259" s="11">
        <v>0</v>
      </c>
      <c r="G2259" s="11">
        <v>4</v>
      </c>
      <c r="H2259" s="11">
        <v>0</v>
      </c>
      <c r="I2259" s="11">
        <f>SUM('PEPE SIERRA '!$B2259:$H2259)</f>
        <v>9</v>
      </c>
      <c r="J2259" s="247">
        <f t="shared" si="1124"/>
        <v>1.2857142857142858</v>
      </c>
    </row>
    <row r="2260" spans="1:10" s="186" customFormat="1" x14ac:dyDescent="0.25">
      <c r="A2260" s="246" t="s">
        <v>14</v>
      </c>
      <c r="B2260" s="233">
        <v>21</v>
      </c>
      <c r="C2260" s="13">
        <v>29</v>
      </c>
      <c r="D2260" s="13">
        <v>26</v>
      </c>
      <c r="E2260" s="13">
        <v>46</v>
      </c>
      <c r="F2260" s="11">
        <v>70</v>
      </c>
      <c r="G2260" s="11">
        <v>57</v>
      </c>
      <c r="H2260" s="86">
        <v>47</v>
      </c>
      <c r="I2260" s="11">
        <f>SUM('PEPE SIERRA '!$B2260:$H2260)</f>
        <v>296</v>
      </c>
      <c r="J2260" s="247">
        <f t="shared" si="1124"/>
        <v>42.285714285714285</v>
      </c>
    </row>
    <row r="2261" spans="1:10" s="186" customFormat="1" x14ac:dyDescent="0.25">
      <c r="A2261" s="246" t="s">
        <v>15</v>
      </c>
      <c r="B2261" s="233">
        <v>0</v>
      </c>
      <c r="C2261" s="13">
        <v>1</v>
      </c>
      <c r="D2261" s="13">
        <v>0</v>
      </c>
      <c r="E2261" s="13">
        <v>1</v>
      </c>
      <c r="F2261" s="11">
        <v>1</v>
      </c>
      <c r="G2261" s="11">
        <v>6</v>
      </c>
      <c r="H2261" s="11">
        <v>3</v>
      </c>
      <c r="I2261" s="11">
        <f>SUM('PEPE SIERRA '!$B2261:$H2261)</f>
        <v>12</v>
      </c>
      <c r="J2261" s="247">
        <f t="shared" si="1124"/>
        <v>1.7142857142857142</v>
      </c>
    </row>
    <row r="2262" spans="1:10" s="186" customFormat="1" x14ac:dyDescent="0.25">
      <c r="A2262" s="246" t="s">
        <v>16</v>
      </c>
      <c r="B2262" s="233">
        <v>0</v>
      </c>
      <c r="C2262" s="13">
        <v>0</v>
      </c>
      <c r="D2262" s="13">
        <v>0</v>
      </c>
      <c r="E2262" s="13">
        <v>0</v>
      </c>
      <c r="F2262" s="11">
        <v>0</v>
      </c>
      <c r="G2262" s="11">
        <v>0</v>
      </c>
      <c r="H2262" s="11">
        <v>0</v>
      </c>
      <c r="I2262" s="11">
        <f>SUM('PEPE SIERRA '!$B2262:$H2262)</f>
        <v>0</v>
      </c>
      <c r="J2262" s="247">
        <f t="shared" si="1124"/>
        <v>0</v>
      </c>
    </row>
    <row r="2263" spans="1:10" s="186" customFormat="1" x14ac:dyDescent="0.25">
      <c r="A2263" s="248" t="s">
        <v>17</v>
      </c>
      <c r="B2263" s="249">
        <f>SUM(B2258:B2262)</f>
        <v>79</v>
      </c>
      <c r="C2263" s="192">
        <f t="shared" ref="C2263:I2263" si="1125">SUM(C2258:C2262)</f>
        <v>102</v>
      </c>
      <c r="D2263" s="192">
        <f t="shared" si="1125"/>
        <v>99</v>
      </c>
      <c r="E2263" s="192">
        <f t="shared" si="1125"/>
        <v>163</v>
      </c>
      <c r="F2263" s="192">
        <f t="shared" si="1125"/>
        <v>274</v>
      </c>
      <c r="G2263" s="192">
        <f t="shared" si="1125"/>
        <v>310</v>
      </c>
      <c r="H2263" s="192">
        <f t="shared" si="1125"/>
        <v>265</v>
      </c>
      <c r="I2263" s="192">
        <f t="shared" si="1125"/>
        <v>1292</v>
      </c>
      <c r="J2263" s="250">
        <f t="shared" si="1124"/>
        <v>184.57142857142858</v>
      </c>
    </row>
    <row r="2264" spans="1:10" s="186" customFormat="1" x14ac:dyDescent="0.25">
      <c r="A2264" s="246" t="s">
        <v>18</v>
      </c>
      <c r="B2264" s="234">
        <v>0.82</v>
      </c>
      <c r="C2264" s="235">
        <v>0.78</v>
      </c>
      <c r="D2264" s="235">
        <v>0.79</v>
      </c>
      <c r="E2264" s="235">
        <v>0.77</v>
      </c>
      <c r="F2264" s="30">
        <v>0.81</v>
      </c>
      <c r="G2264" s="30">
        <v>0.83</v>
      </c>
      <c r="H2264" s="30">
        <v>0.85</v>
      </c>
      <c r="I2264" s="30">
        <f>I2271/I2276</f>
        <v>0.81420611556267053</v>
      </c>
      <c r="J2264" s="251">
        <f>J2271/J2276</f>
        <v>0.81420611556267042</v>
      </c>
    </row>
    <row r="2265" spans="1:10" s="186" customFormat="1" x14ac:dyDescent="0.25">
      <c r="A2265" s="246" t="s">
        <v>19</v>
      </c>
      <c r="B2265" s="234">
        <v>0.01</v>
      </c>
      <c r="C2265" s="235">
        <v>0</v>
      </c>
      <c r="D2265" s="235">
        <v>0.01</v>
      </c>
      <c r="E2265" s="235">
        <v>0.01</v>
      </c>
      <c r="F2265" s="30">
        <v>0</v>
      </c>
      <c r="G2265" s="30">
        <v>0.01</v>
      </c>
      <c r="H2265" s="30">
        <v>0</v>
      </c>
      <c r="I2265" s="30">
        <f>I2272/I2276</f>
        <v>5.0383839178617237E-3</v>
      </c>
      <c r="J2265" s="251">
        <f>J2272/J2276</f>
        <v>5.0383839178617246E-3</v>
      </c>
    </row>
    <row r="2266" spans="1:10" s="186" customFormat="1" x14ac:dyDescent="0.25">
      <c r="A2266" s="246" t="s">
        <v>20</v>
      </c>
      <c r="B2266" s="234">
        <v>0.17</v>
      </c>
      <c r="C2266" s="235">
        <v>0.21</v>
      </c>
      <c r="D2266" s="235">
        <v>0.2</v>
      </c>
      <c r="E2266" s="235">
        <v>0.22</v>
      </c>
      <c r="F2266" s="30">
        <v>0.19</v>
      </c>
      <c r="G2266" s="30">
        <v>0.15</v>
      </c>
      <c r="H2266" s="30">
        <v>0.13</v>
      </c>
      <c r="I2266" s="30">
        <f>I2273/I2276</f>
        <v>0.1736038127388552</v>
      </c>
      <c r="J2266" s="251">
        <f>J2273/J2276</f>
        <v>0.1736038127388552</v>
      </c>
    </row>
    <row r="2267" spans="1:10" s="186" customFormat="1" x14ac:dyDescent="0.25">
      <c r="A2267" s="246" t="s">
        <v>21</v>
      </c>
      <c r="B2267" s="234">
        <v>0</v>
      </c>
      <c r="C2267" s="235">
        <v>0.01</v>
      </c>
      <c r="D2267" s="235">
        <v>0</v>
      </c>
      <c r="E2267" s="235">
        <v>0</v>
      </c>
      <c r="F2267" s="30">
        <v>0</v>
      </c>
      <c r="G2267" s="30">
        <v>0.01</v>
      </c>
      <c r="H2267" s="30">
        <v>0.02</v>
      </c>
      <c r="I2267" s="30">
        <f>I2274/I2276</f>
        <v>7.1516877806125593E-3</v>
      </c>
      <c r="J2267" s="251">
        <f>J2274/J2276</f>
        <v>7.1516877806125593E-3</v>
      </c>
    </row>
    <row r="2268" spans="1:10" s="186" customFormat="1" x14ac:dyDescent="0.25">
      <c r="A2268" s="246" t="s">
        <v>22</v>
      </c>
      <c r="B2268" s="234">
        <v>0</v>
      </c>
      <c r="C2268" s="235">
        <v>0</v>
      </c>
      <c r="D2268" s="235">
        <v>0</v>
      </c>
      <c r="E2268" s="235">
        <v>0</v>
      </c>
      <c r="F2268" s="30">
        <v>0</v>
      </c>
      <c r="G2268" s="30">
        <v>0</v>
      </c>
      <c r="H2268" s="30">
        <v>0</v>
      </c>
      <c r="I2268" s="30">
        <f>I2275/I2276</f>
        <v>0</v>
      </c>
      <c r="J2268" s="251">
        <f>J2275/J2276</f>
        <v>0</v>
      </c>
    </row>
    <row r="2269" spans="1:10" s="186" customFormat="1" x14ac:dyDescent="0.25">
      <c r="A2269" s="252" t="s">
        <v>23</v>
      </c>
      <c r="B2269" s="253">
        <f t="shared" ref="B2269:J2269" si="1126">B2280/B2263</f>
        <v>31656.962025316461</v>
      </c>
      <c r="C2269" s="66">
        <f t="shared" si="1126"/>
        <v>35904.901960784315</v>
      </c>
      <c r="D2269" s="66">
        <f t="shared" si="1126"/>
        <v>37256.565656565661</v>
      </c>
      <c r="E2269" s="66">
        <f t="shared" si="1126"/>
        <v>40273.006134969328</v>
      </c>
      <c r="F2269" s="66">
        <f t="shared" si="1126"/>
        <v>39943.065693430661</v>
      </c>
      <c r="G2269" s="66">
        <f t="shared" si="1126"/>
        <v>38767.419354838719</v>
      </c>
      <c r="H2269" s="66">
        <f t="shared" si="1126"/>
        <v>37044.150943396227</v>
      </c>
      <c r="I2269" s="66">
        <f t="shared" si="1126"/>
        <v>38076.702786377711</v>
      </c>
      <c r="J2269" s="254">
        <f t="shared" si="1126"/>
        <v>38076.702786377711</v>
      </c>
    </row>
    <row r="2270" spans="1:10" s="186" customFormat="1" x14ac:dyDescent="0.25">
      <c r="A2270" s="252" t="s">
        <v>24</v>
      </c>
      <c r="B2270" s="253">
        <f t="shared" ref="B2270:I2270" si="1127">+B2280/B2257</f>
        <v>28419.318181818187</v>
      </c>
      <c r="C2270" s="66">
        <f t="shared" si="1127"/>
        <v>28611.718750000004</v>
      </c>
      <c r="D2270" s="66">
        <f t="shared" si="1127"/>
        <v>26345.71428571429</v>
      </c>
      <c r="E2270" s="66">
        <f t="shared" si="1127"/>
        <v>29838.636363636364</v>
      </c>
      <c r="F2270" s="66">
        <f t="shared" si="1127"/>
        <v>28650.261780104716</v>
      </c>
      <c r="G2270" s="66">
        <f t="shared" si="1127"/>
        <v>29600.738916256163</v>
      </c>
      <c r="H2270" s="66">
        <f t="shared" si="1127"/>
        <v>28872.647058823528</v>
      </c>
      <c r="I2270" s="66">
        <f t="shared" si="1127"/>
        <v>28870.363849765261</v>
      </c>
      <c r="J2270" s="254">
        <f>J2280/J2257</f>
        <v>28870.363849765265</v>
      </c>
    </row>
    <row r="2271" spans="1:10" s="186" customFormat="1" x14ac:dyDescent="0.25">
      <c r="A2271" s="246" t="s">
        <v>25</v>
      </c>
      <c r="B2271" s="255">
        <f t="shared" ref="B2271:H2271" si="1128">B2276*B2264</f>
        <v>1657026.7062068968</v>
      </c>
      <c r="C2271" s="92">
        <f t="shared" si="1128"/>
        <v>2328893.7144827591</v>
      </c>
      <c r="D2271" s="92">
        <f t="shared" si="1128"/>
        <v>2374619.2662068969</v>
      </c>
      <c r="E2271" s="92">
        <f t="shared" si="1128"/>
        <v>4143710.1275862069</v>
      </c>
      <c r="F2271" s="92">
        <f t="shared" si="1128"/>
        <v>7245276.3248275882</v>
      </c>
      <c r="G2271" s="92">
        <f t="shared" si="1128"/>
        <v>8112134.9951724149</v>
      </c>
      <c r="H2271" s="92">
        <f t="shared" si="1128"/>
        <v>6752113.0517241377</v>
      </c>
      <c r="I2271" s="31">
        <f t="shared" ref="I2271:I2276" si="1129">SUM(B2271:H2271)</f>
        <v>32613774.1862069</v>
      </c>
      <c r="J2271" s="256">
        <f t="shared" ref="J2271:J2280" si="1130">I2271/7</f>
        <v>4659110.5980295567</v>
      </c>
    </row>
    <row r="2272" spans="1:10" s="186" customFormat="1" x14ac:dyDescent="0.25">
      <c r="A2272" s="246" t="s">
        <v>26</v>
      </c>
      <c r="B2272" s="255">
        <f t="shared" ref="B2272:H2272" si="1131">B2276*B2265</f>
        <v>20207.642758620696</v>
      </c>
      <c r="C2272" s="92">
        <f t="shared" si="1131"/>
        <v>0</v>
      </c>
      <c r="D2272" s="92">
        <f t="shared" si="1131"/>
        <v>30058.471724137933</v>
      </c>
      <c r="E2272" s="92">
        <f t="shared" si="1131"/>
        <v>53814.417241379313</v>
      </c>
      <c r="F2272" s="92">
        <f t="shared" si="1131"/>
        <v>0</v>
      </c>
      <c r="G2272" s="92">
        <f t="shared" si="1131"/>
        <v>97736.566206896561</v>
      </c>
      <c r="H2272" s="92">
        <f t="shared" si="1131"/>
        <v>0</v>
      </c>
      <c r="I2272" s="31">
        <f t="shared" si="1129"/>
        <v>201817.09793103451</v>
      </c>
      <c r="J2272" s="256">
        <f t="shared" si="1130"/>
        <v>28831.013990147789</v>
      </c>
    </row>
    <row r="2273" spans="1:10" s="186" customFormat="1" x14ac:dyDescent="0.25">
      <c r="A2273" s="246" t="s">
        <v>27</v>
      </c>
      <c r="B2273" s="255">
        <f t="shared" ref="B2273:H2273" si="1132">B2276*B2266</f>
        <v>343529.9268965518</v>
      </c>
      <c r="C2273" s="92">
        <f t="shared" si="1132"/>
        <v>627009.84620689659</v>
      </c>
      <c r="D2273" s="92">
        <f t="shared" si="1132"/>
        <v>601169.43448275875</v>
      </c>
      <c r="E2273" s="92">
        <f t="shared" si="1132"/>
        <v>1183917.1793103449</v>
      </c>
      <c r="F2273" s="92">
        <f t="shared" si="1132"/>
        <v>1699509.2613793106</v>
      </c>
      <c r="G2273" s="92">
        <f t="shared" si="1132"/>
        <v>1466048.4931034485</v>
      </c>
      <c r="H2273" s="92">
        <f t="shared" si="1132"/>
        <v>1032676.1137931035</v>
      </c>
      <c r="I2273" s="31">
        <f t="shared" si="1129"/>
        <v>6953860.2551724147</v>
      </c>
      <c r="J2273" s="256">
        <f t="shared" si="1130"/>
        <v>993408.6078817735</v>
      </c>
    </row>
    <row r="2274" spans="1:10" s="186" customFormat="1" x14ac:dyDescent="0.25">
      <c r="A2274" s="246" t="s">
        <v>28</v>
      </c>
      <c r="B2274" s="255">
        <f t="shared" ref="B2274:H2274" si="1133">B2276*B2267</f>
        <v>0</v>
      </c>
      <c r="C2274" s="92">
        <f t="shared" si="1133"/>
        <v>29857.611724137936</v>
      </c>
      <c r="D2274" s="92">
        <f t="shared" si="1133"/>
        <v>0</v>
      </c>
      <c r="E2274" s="92">
        <f t="shared" si="1133"/>
        <v>0</v>
      </c>
      <c r="F2274" s="92">
        <f t="shared" si="1133"/>
        <v>0</v>
      </c>
      <c r="G2274" s="92">
        <f t="shared" si="1133"/>
        <v>97736.566206896561</v>
      </c>
      <c r="H2274" s="92">
        <f t="shared" si="1133"/>
        <v>158873.24827586208</v>
      </c>
      <c r="I2274" s="31">
        <f t="shared" si="1129"/>
        <v>286467.42620689655</v>
      </c>
      <c r="J2274" s="256">
        <f t="shared" si="1130"/>
        <v>40923.918029556648</v>
      </c>
    </row>
    <row r="2275" spans="1:10" s="186" customFormat="1" x14ac:dyDescent="0.25">
      <c r="A2275" s="246" t="s">
        <v>29</v>
      </c>
      <c r="B2275" s="255">
        <f t="shared" ref="B2275:H2275" si="1134">B2276*B2268</f>
        <v>0</v>
      </c>
      <c r="C2275" s="731">
        <f t="shared" si="1134"/>
        <v>0</v>
      </c>
      <c r="D2275" s="731">
        <f t="shared" si="1134"/>
        <v>0</v>
      </c>
      <c r="E2275" s="731">
        <f t="shared" si="1134"/>
        <v>0</v>
      </c>
      <c r="F2275" s="731">
        <f t="shared" si="1134"/>
        <v>0</v>
      </c>
      <c r="G2275" s="731">
        <f t="shared" si="1134"/>
        <v>0</v>
      </c>
      <c r="H2275" s="731">
        <f t="shared" si="1134"/>
        <v>0</v>
      </c>
      <c r="I2275" s="31">
        <f t="shared" si="1129"/>
        <v>0</v>
      </c>
      <c r="J2275" s="256">
        <f t="shared" si="1130"/>
        <v>0</v>
      </c>
    </row>
    <row r="2276" spans="1:10" s="186" customFormat="1" x14ac:dyDescent="0.25">
      <c r="A2276" s="257" t="s">
        <v>30</v>
      </c>
      <c r="B2276" s="258">
        <f>(2500900/1.16)-B2277</f>
        <v>2020764.2758620693</v>
      </c>
      <c r="C2276" s="733">
        <f>(3662300/1.16)-C2277</f>
        <v>2985761.1724137934</v>
      </c>
      <c r="D2276" s="733">
        <f>(3688400/1.16)-D2277</f>
        <v>3005847.1724137934</v>
      </c>
      <c r="E2276" s="733">
        <f>(6564500/1.16)-E2277</f>
        <v>5381441.7241379311</v>
      </c>
      <c r="F2276" s="733">
        <f>(10944400/1.16)-F2277</f>
        <v>8944785.5862068981</v>
      </c>
      <c r="G2276" s="733">
        <f>(12017900/1.16)-G2277</f>
        <v>9773656.6206896566</v>
      </c>
      <c r="H2276" s="733">
        <f>(9816700/1.16)-H2277</f>
        <v>7943662.4137931038</v>
      </c>
      <c r="I2276" s="730">
        <f t="shared" si="1129"/>
        <v>40055918.965517245</v>
      </c>
      <c r="J2276" s="259">
        <f t="shared" si="1130"/>
        <v>5722274.1379310349</v>
      </c>
    </row>
    <row r="2277" spans="1:10" s="186" customFormat="1" x14ac:dyDescent="0.25">
      <c r="A2277" s="246" t="s">
        <v>31</v>
      </c>
      <c r="B2277" s="255">
        <f t="shared" ref="B2277:I2277" si="1135">2414*B2258</f>
        <v>135184</v>
      </c>
      <c r="C2277" s="732">
        <f t="shared" si="1135"/>
        <v>171394</v>
      </c>
      <c r="D2277" s="732">
        <f t="shared" si="1135"/>
        <v>173808</v>
      </c>
      <c r="E2277" s="732">
        <f t="shared" si="1135"/>
        <v>277610</v>
      </c>
      <c r="F2277" s="732">
        <f t="shared" si="1135"/>
        <v>490042</v>
      </c>
      <c r="G2277" s="732">
        <f t="shared" si="1135"/>
        <v>586602</v>
      </c>
      <c r="H2277" s="732">
        <f t="shared" si="1135"/>
        <v>519010</v>
      </c>
      <c r="I2277" s="31">
        <f t="shared" si="1135"/>
        <v>2353650</v>
      </c>
      <c r="J2277" s="256">
        <f>+J2258*2414</f>
        <v>336235.71428571426</v>
      </c>
    </row>
    <row r="2278" spans="1:10" s="186" customFormat="1" x14ac:dyDescent="0.25">
      <c r="A2278" s="260" t="s">
        <v>32</v>
      </c>
      <c r="B2278" s="261">
        <f>B2277+B2276</f>
        <v>2155948.2758620693</v>
      </c>
      <c r="C2278" s="199">
        <f>C2277+C2276</f>
        <v>3157155.1724137934</v>
      </c>
      <c r="D2278" s="199">
        <f>D2277+D2276</f>
        <v>3179655.1724137934</v>
      </c>
      <c r="E2278" s="199">
        <f>E2277+E2276</f>
        <v>5659051.7241379311</v>
      </c>
      <c r="F2278" s="199">
        <f>F2276+F2277</f>
        <v>9434827.5862068981</v>
      </c>
      <c r="G2278" s="199">
        <f>G2277+G2276</f>
        <v>10360258.620689657</v>
      </c>
      <c r="H2278" s="199">
        <f>H2277+H2276</f>
        <v>8462672.4137931038</v>
      </c>
      <c r="I2278" s="199">
        <f>I2276+I2277</f>
        <v>42409568.965517245</v>
      </c>
      <c r="J2278" s="262">
        <f t="shared" si="1130"/>
        <v>6058509.8522167495</v>
      </c>
    </row>
    <row r="2279" spans="1:10" s="186" customFormat="1" x14ac:dyDescent="0.25">
      <c r="A2279" s="246" t="s">
        <v>33</v>
      </c>
      <c r="B2279" s="263">
        <f>B2278*16%</f>
        <v>344951.72413793107</v>
      </c>
      <c r="C2279" s="94">
        <f t="shared" ref="C2279:H2279" si="1136">C2278*16%</f>
        <v>505144.82758620696</v>
      </c>
      <c r="D2279" s="94">
        <f t="shared" si="1136"/>
        <v>508744.82758620696</v>
      </c>
      <c r="E2279" s="94">
        <f t="shared" si="1136"/>
        <v>905448.27586206899</v>
      </c>
      <c r="F2279" s="94">
        <f t="shared" si="1136"/>
        <v>1509572.4137931038</v>
      </c>
      <c r="G2279" s="94">
        <f t="shared" si="1136"/>
        <v>1657641.379310345</v>
      </c>
      <c r="H2279" s="94">
        <f t="shared" si="1136"/>
        <v>1354027.5862068967</v>
      </c>
      <c r="I2279" s="94">
        <f>I2278*16%</f>
        <v>6785531.0344827594</v>
      </c>
      <c r="J2279" s="256">
        <f t="shared" si="1130"/>
        <v>969361.57635467988</v>
      </c>
    </row>
    <row r="2280" spans="1:10" s="186" customFormat="1" ht="15.75" thickBot="1" x14ac:dyDescent="0.3">
      <c r="A2280" s="264" t="s">
        <v>34</v>
      </c>
      <c r="B2280" s="265">
        <f>B2278+B2279</f>
        <v>2500900.0000000005</v>
      </c>
      <c r="C2280" s="266">
        <f t="shared" ref="C2280:H2280" si="1137">C2278+C2279</f>
        <v>3662300.0000000005</v>
      </c>
      <c r="D2280" s="266">
        <f t="shared" si="1137"/>
        <v>3688400.0000000005</v>
      </c>
      <c r="E2280" s="266">
        <f t="shared" si="1137"/>
        <v>6564500</v>
      </c>
      <c r="F2280" s="266">
        <f t="shared" si="1137"/>
        <v>10944400.000000002</v>
      </c>
      <c r="G2280" s="266">
        <f t="shared" si="1137"/>
        <v>12017900.000000002</v>
      </c>
      <c r="H2280" s="266">
        <f t="shared" si="1137"/>
        <v>9816700</v>
      </c>
      <c r="I2280" s="266">
        <f>I2278+I2279</f>
        <v>49195100.000000007</v>
      </c>
      <c r="J2280" s="267">
        <f t="shared" si="1130"/>
        <v>7027871.42857143</v>
      </c>
    </row>
    <row r="2281" spans="1:10" s="186" customFormat="1" ht="15.75" thickBot="1" x14ac:dyDescent="0.3">
      <c r="A2281" s="204"/>
      <c r="B2281" s="112"/>
      <c r="C2281" s="112"/>
      <c r="D2281" s="112"/>
      <c r="E2281" s="112"/>
      <c r="F2281" s="112"/>
      <c r="G2281" s="112"/>
      <c r="H2281" s="112"/>
      <c r="I2281" s="112"/>
      <c r="J2281" s="205"/>
    </row>
    <row r="2282" spans="1:10" s="186" customFormat="1" ht="27" thickBot="1" x14ac:dyDescent="0.3">
      <c r="A2282"/>
      <c r="B2282" s="1002" t="s">
        <v>693</v>
      </c>
      <c r="C2282" s="1002"/>
      <c r="D2282" s="1002"/>
      <c r="E2282" s="1002"/>
      <c r="F2282" s="1002"/>
      <c r="G2282" s="1002"/>
      <c r="H2282" s="1002"/>
      <c r="I2282"/>
      <c r="J2282"/>
    </row>
    <row r="2283" spans="1:10" s="186" customFormat="1" ht="16.5" thickBot="1" x14ac:dyDescent="0.3">
      <c r="A2283" s="238" t="s">
        <v>2</v>
      </c>
      <c r="B2283" s="239" t="s">
        <v>337</v>
      </c>
      <c r="C2283" s="239" t="s">
        <v>338</v>
      </c>
      <c r="D2283" s="239" t="s">
        <v>339</v>
      </c>
      <c r="E2283" s="239" t="s">
        <v>340</v>
      </c>
      <c r="F2283" s="239" t="s">
        <v>341</v>
      </c>
      <c r="G2283" s="239" t="s">
        <v>342</v>
      </c>
      <c r="H2283" s="239" t="s">
        <v>343</v>
      </c>
      <c r="I2283" s="240" t="s">
        <v>96</v>
      </c>
      <c r="J2283" s="241" t="s">
        <v>97</v>
      </c>
    </row>
    <row r="2284" spans="1:10" s="186" customFormat="1" x14ac:dyDescent="0.25">
      <c r="A2284" s="242" t="s">
        <v>11</v>
      </c>
      <c r="B2284" s="243">
        <f>66+36+13</f>
        <v>115</v>
      </c>
      <c r="C2284" s="244">
        <f>75+19+9</f>
        <v>103</v>
      </c>
      <c r="D2284" s="244">
        <f>76+51+15</f>
        <v>142</v>
      </c>
      <c r="E2284" s="244">
        <f>102+52+16</f>
        <v>170</v>
      </c>
      <c r="F2284" s="244">
        <f>154+117+36</f>
        <v>307</v>
      </c>
      <c r="G2284" s="244">
        <f>186+115+37</f>
        <v>338</v>
      </c>
      <c r="H2284" s="268">
        <f>154+118+23</f>
        <v>295</v>
      </c>
      <c r="I2284" s="244">
        <f>SUM(B2284:H2284)</f>
        <v>1470</v>
      </c>
      <c r="J2284" s="245">
        <f>+I2284/7</f>
        <v>210</v>
      </c>
    </row>
    <row r="2285" spans="1:10" s="186" customFormat="1" x14ac:dyDescent="0.25">
      <c r="A2285" s="246" t="s">
        <v>12</v>
      </c>
      <c r="B2285" s="233">
        <v>60</v>
      </c>
      <c r="C2285" s="13">
        <v>60</v>
      </c>
      <c r="D2285" s="13">
        <v>89</v>
      </c>
      <c r="E2285" s="13">
        <v>102</v>
      </c>
      <c r="F2285" s="86">
        <v>186</v>
      </c>
      <c r="G2285" s="11">
        <v>210</v>
      </c>
      <c r="H2285" s="86">
        <v>192</v>
      </c>
      <c r="I2285" s="11">
        <f>SUM('PEPE SIERRA '!$B2285:$H2285)</f>
        <v>899</v>
      </c>
      <c r="J2285" s="247">
        <f t="shared" ref="J2285:J2290" si="1138">I2285/7</f>
        <v>128.42857142857142</v>
      </c>
    </row>
    <row r="2286" spans="1:10" s="186" customFormat="1" x14ac:dyDescent="0.25">
      <c r="A2286" s="246" t="s">
        <v>13</v>
      </c>
      <c r="B2286" s="233">
        <v>0</v>
      </c>
      <c r="C2286" s="13">
        <v>0</v>
      </c>
      <c r="D2286" s="13">
        <v>0</v>
      </c>
      <c r="E2286" s="13">
        <v>0</v>
      </c>
      <c r="F2286" s="11">
        <v>3</v>
      </c>
      <c r="G2286" s="11">
        <v>7</v>
      </c>
      <c r="H2286" s="11">
        <v>3</v>
      </c>
      <c r="I2286" s="11">
        <f>SUM('PEPE SIERRA '!$B2286:$H2286)</f>
        <v>13</v>
      </c>
      <c r="J2286" s="247">
        <f t="shared" si="1138"/>
        <v>1.8571428571428572</v>
      </c>
    </row>
    <row r="2287" spans="1:10" s="186" customFormat="1" x14ac:dyDescent="0.25">
      <c r="A2287" s="246" t="s">
        <v>14</v>
      </c>
      <c r="B2287" s="233">
        <v>35</v>
      </c>
      <c r="C2287" s="13">
        <v>22</v>
      </c>
      <c r="D2287" s="13">
        <v>30</v>
      </c>
      <c r="E2287" s="13">
        <v>42</v>
      </c>
      <c r="F2287" s="11">
        <v>57</v>
      </c>
      <c r="G2287" s="11">
        <v>41</v>
      </c>
      <c r="H2287" s="86">
        <v>43</v>
      </c>
      <c r="I2287" s="11">
        <f>SUM('PEPE SIERRA '!$B2287:$H2287)</f>
        <v>270</v>
      </c>
      <c r="J2287" s="247">
        <f t="shared" si="1138"/>
        <v>38.571428571428569</v>
      </c>
    </row>
    <row r="2288" spans="1:10" s="186" customFormat="1" x14ac:dyDescent="0.25">
      <c r="A2288" s="246" t="s">
        <v>15</v>
      </c>
      <c r="B2288" s="233">
        <v>0</v>
      </c>
      <c r="C2288" s="13">
        <v>0</v>
      </c>
      <c r="D2288" s="13">
        <v>0</v>
      </c>
      <c r="E2288" s="13">
        <v>0</v>
      </c>
      <c r="F2288" s="11">
        <v>0</v>
      </c>
      <c r="G2288" s="11">
        <v>4</v>
      </c>
      <c r="H2288" s="11">
        <v>2</v>
      </c>
      <c r="I2288" s="11">
        <f>SUM('PEPE SIERRA '!$B2288:$H2288)</f>
        <v>6</v>
      </c>
      <c r="J2288" s="247">
        <f t="shared" si="1138"/>
        <v>0.8571428571428571</v>
      </c>
    </row>
    <row r="2289" spans="1:10" s="186" customFormat="1" x14ac:dyDescent="0.25">
      <c r="A2289" s="246" t="s">
        <v>16</v>
      </c>
      <c r="B2289" s="233">
        <v>0</v>
      </c>
      <c r="C2289" s="13">
        <v>0</v>
      </c>
      <c r="D2289" s="13">
        <v>0</v>
      </c>
      <c r="E2289" s="13">
        <v>0</v>
      </c>
      <c r="F2289" s="11">
        <v>0</v>
      </c>
      <c r="G2289" s="11">
        <v>0</v>
      </c>
      <c r="H2289" s="11">
        <v>0</v>
      </c>
      <c r="I2289" s="11">
        <f>SUM('PEPE SIERRA '!$B2289:$H2289)</f>
        <v>0</v>
      </c>
      <c r="J2289" s="247">
        <f t="shared" si="1138"/>
        <v>0</v>
      </c>
    </row>
    <row r="2290" spans="1:10" s="186" customFormat="1" x14ac:dyDescent="0.25">
      <c r="A2290" s="248" t="s">
        <v>17</v>
      </c>
      <c r="B2290" s="249">
        <f>SUM(B2285:B2289)</f>
        <v>95</v>
      </c>
      <c r="C2290" s="192">
        <f t="shared" ref="C2290:I2290" si="1139">SUM(C2285:C2289)</f>
        <v>82</v>
      </c>
      <c r="D2290" s="192">
        <f t="shared" si="1139"/>
        <v>119</v>
      </c>
      <c r="E2290" s="192">
        <f t="shared" si="1139"/>
        <v>144</v>
      </c>
      <c r="F2290" s="192">
        <f t="shared" si="1139"/>
        <v>246</v>
      </c>
      <c r="G2290" s="192">
        <f t="shared" si="1139"/>
        <v>262</v>
      </c>
      <c r="H2290" s="192">
        <f t="shared" si="1139"/>
        <v>240</v>
      </c>
      <c r="I2290" s="192">
        <f t="shared" si="1139"/>
        <v>1188</v>
      </c>
      <c r="J2290" s="250">
        <f t="shared" si="1138"/>
        <v>169.71428571428572</v>
      </c>
    </row>
    <row r="2291" spans="1:10" s="186" customFormat="1" x14ac:dyDescent="0.25">
      <c r="A2291" s="246" t="s">
        <v>18</v>
      </c>
      <c r="B2291" s="234">
        <v>0.64</v>
      </c>
      <c r="C2291" s="235">
        <v>0.79</v>
      </c>
      <c r="D2291" s="235">
        <v>0.76</v>
      </c>
      <c r="E2291" s="235">
        <v>0.8</v>
      </c>
      <c r="F2291" s="30">
        <v>0.82</v>
      </c>
      <c r="G2291" s="30">
        <v>0.84</v>
      </c>
      <c r="H2291" s="30">
        <v>0.82</v>
      </c>
      <c r="I2291" s="30">
        <f>I2298/I2303</f>
        <v>0.80114139154323449</v>
      </c>
      <c r="J2291" s="251">
        <f>J2298/J2303</f>
        <v>0.8011413915432346</v>
      </c>
    </row>
    <row r="2292" spans="1:10" s="186" customFormat="1" x14ac:dyDescent="0.25">
      <c r="A2292" s="246" t="s">
        <v>19</v>
      </c>
      <c r="B2292" s="234">
        <v>0</v>
      </c>
      <c r="C2292" s="235">
        <v>0</v>
      </c>
      <c r="D2292" s="235">
        <v>0</v>
      </c>
      <c r="E2292" s="235">
        <v>0</v>
      </c>
      <c r="F2292" s="30">
        <v>0.01</v>
      </c>
      <c r="G2292" s="30">
        <v>0.02</v>
      </c>
      <c r="H2292" s="30">
        <v>0.01</v>
      </c>
      <c r="I2292" s="30">
        <f>I2299/I2303</f>
        <v>8.7720184352664335E-3</v>
      </c>
      <c r="J2292" s="251">
        <f>J2299/J2303</f>
        <v>8.7720184352664335E-3</v>
      </c>
    </row>
    <row r="2293" spans="1:10" s="186" customFormat="1" x14ac:dyDescent="0.25">
      <c r="A2293" s="246" t="s">
        <v>20</v>
      </c>
      <c r="B2293" s="234">
        <v>0.36</v>
      </c>
      <c r="C2293" s="235">
        <v>0.21</v>
      </c>
      <c r="D2293" s="235">
        <v>0.24</v>
      </c>
      <c r="E2293" s="235">
        <v>0.2</v>
      </c>
      <c r="F2293" s="30">
        <v>0.17</v>
      </c>
      <c r="G2293" s="30">
        <v>0.13</v>
      </c>
      <c r="H2293" s="30">
        <v>0.16</v>
      </c>
      <c r="I2293" s="30">
        <f>I2300/I2303</f>
        <v>0.18576282691138302</v>
      </c>
      <c r="J2293" s="251">
        <f>J2300/J2303</f>
        <v>0.18576282691138304</v>
      </c>
    </row>
    <row r="2294" spans="1:10" s="186" customFormat="1" x14ac:dyDescent="0.25">
      <c r="A2294" s="246" t="s">
        <v>21</v>
      </c>
      <c r="B2294" s="234">
        <v>0</v>
      </c>
      <c r="C2294" s="235">
        <v>0</v>
      </c>
      <c r="D2294" s="235">
        <v>0</v>
      </c>
      <c r="E2294" s="235">
        <v>0</v>
      </c>
      <c r="F2294" s="30">
        <v>0</v>
      </c>
      <c r="G2294" s="30">
        <v>0.01</v>
      </c>
      <c r="H2294" s="30">
        <v>0.01</v>
      </c>
      <c r="I2294" s="30">
        <f>I2301/I2303</f>
        <v>4.323763110116053E-3</v>
      </c>
      <c r="J2294" s="251">
        <f>J2301/J2303</f>
        <v>4.323763110116053E-3</v>
      </c>
    </row>
    <row r="2295" spans="1:10" s="186" customFormat="1" x14ac:dyDescent="0.25">
      <c r="A2295" s="246" t="s">
        <v>22</v>
      </c>
      <c r="B2295" s="234">
        <v>0</v>
      </c>
      <c r="C2295" s="235">
        <v>0</v>
      </c>
      <c r="D2295" s="235">
        <v>0</v>
      </c>
      <c r="E2295" s="235">
        <v>0</v>
      </c>
      <c r="F2295" s="30">
        <v>0</v>
      </c>
      <c r="G2295" s="30">
        <v>0</v>
      </c>
      <c r="H2295" s="30">
        <v>0</v>
      </c>
      <c r="I2295" s="30">
        <f>I2302/I2303</f>
        <v>0</v>
      </c>
      <c r="J2295" s="251">
        <f>J2302/J2303</f>
        <v>0</v>
      </c>
    </row>
    <row r="2296" spans="1:10" s="186" customFormat="1" x14ac:dyDescent="0.25">
      <c r="A2296" s="252" t="s">
        <v>23</v>
      </c>
      <c r="B2296" s="253">
        <f t="shared" ref="B2296:J2296" si="1140">B2307/B2290</f>
        <v>34401.052631578947</v>
      </c>
      <c r="C2296" s="66">
        <f t="shared" si="1140"/>
        <v>37739.024390243903</v>
      </c>
      <c r="D2296" s="66">
        <f t="shared" si="1140"/>
        <v>34819.327731092439</v>
      </c>
      <c r="E2296" s="66">
        <f t="shared" si="1140"/>
        <v>35189.583333333343</v>
      </c>
      <c r="F2296" s="66">
        <f t="shared" si="1140"/>
        <v>38156.097560975613</v>
      </c>
      <c r="G2296" s="66">
        <f t="shared" si="1140"/>
        <v>38900.763358778626</v>
      </c>
      <c r="H2296" s="66">
        <f t="shared" si="1140"/>
        <v>37026.25</v>
      </c>
      <c r="I2296" s="66">
        <f t="shared" si="1140"/>
        <v>37069.191919191922</v>
      </c>
      <c r="J2296" s="254">
        <f t="shared" si="1140"/>
        <v>37069.191919191915</v>
      </c>
    </row>
    <row r="2297" spans="1:10" s="186" customFormat="1" x14ac:dyDescent="0.25">
      <c r="A2297" s="252" t="s">
        <v>24</v>
      </c>
      <c r="B2297" s="253">
        <f t="shared" ref="B2297:I2297" si="1141">+B2307/B2284</f>
        <v>28418.260869565216</v>
      </c>
      <c r="C2297" s="66">
        <f t="shared" si="1141"/>
        <v>30044.660194174758</v>
      </c>
      <c r="D2297" s="66">
        <f t="shared" si="1141"/>
        <v>29179.577464788737</v>
      </c>
      <c r="E2297" s="66">
        <f t="shared" si="1141"/>
        <v>29807.647058823535</v>
      </c>
      <c r="F2297" s="66">
        <f t="shared" si="1141"/>
        <v>30574.592833876221</v>
      </c>
      <c r="G2297" s="66">
        <f t="shared" si="1141"/>
        <v>30153.846153846152</v>
      </c>
      <c r="H2297" s="66">
        <f t="shared" si="1141"/>
        <v>30123.050847457627</v>
      </c>
      <c r="I2297" s="66">
        <f t="shared" si="1141"/>
        <v>29957.959183673469</v>
      </c>
      <c r="J2297" s="254">
        <f>J2307/J2284</f>
        <v>29957.959183673469</v>
      </c>
    </row>
    <row r="2298" spans="1:10" s="186" customFormat="1" x14ac:dyDescent="0.25">
      <c r="A2298" s="246" t="s">
        <v>25</v>
      </c>
      <c r="B2298" s="255">
        <f t="shared" ref="B2298:H2298" si="1142">B2303*B2291</f>
        <v>1710392.0551724138</v>
      </c>
      <c r="C2298" s="92">
        <f t="shared" si="1142"/>
        <v>1993105.7103448277</v>
      </c>
      <c r="D2298" s="92">
        <f t="shared" si="1142"/>
        <v>2551423.9365517246</v>
      </c>
      <c r="E2298" s="92">
        <f t="shared" si="1142"/>
        <v>3297707.2551724147</v>
      </c>
      <c r="F2298" s="92">
        <f t="shared" si="1142"/>
        <v>6267030.5131034479</v>
      </c>
      <c r="G2298" s="92">
        <f t="shared" si="1142"/>
        <v>6954584.1931034485</v>
      </c>
      <c r="H2298" s="92">
        <f t="shared" si="1142"/>
        <v>5901634.6675862065</v>
      </c>
      <c r="I2298" s="31">
        <f t="shared" ref="I2298:I2303" si="1143">SUM(B2298:H2298)</f>
        <v>28675878.331034485</v>
      </c>
      <c r="J2298" s="256">
        <f t="shared" ref="J2298:J2303" si="1144">I2298/7</f>
        <v>4096554.0472906409</v>
      </c>
    </row>
    <row r="2299" spans="1:10" s="186" customFormat="1" x14ac:dyDescent="0.25">
      <c r="A2299" s="246" t="s">
        <v>26</v>
      </c>
      <c r="B2299" s="255">
        <f t="shared" ref="B2299:H2299" si="1145">B2303*B2292</f>
        <v>0</v>
      </c>
      <c r="C2299" s="92">
        <f t="shared" si="1145"/>
        <v>0</v>
      </c>
      <c r="D2299" s="92">
        <f t="shared" si="1145"/>
        <v>0</v>
      </c>
      <c r="E2299" s="92">
        <f t="shared" si="1145"/>
        <v>0</v>
      </c>
      <c r="F2299" s="92">
        <f t="shared" si="1145"/>
        <v>76427.201379310354</v>
      </c>
      <c r="G2299" s="92">
        <f t="shared" si="1145"/>
        <v>165585.3379310345</v>
      </c>
      <c r="H2299" s="92">
        <f t="shared" si="1145"/>
        <v>71971.154482758619</v>
      </c>
      <c r="I2299" s="31">
        <f t="shared" si="1143"/>
        <v>313983.69379310345</v>
      </c>
      <c r="J2299" s="256">
        <f t="shared" si="1144"/>
        <v>44854.813399014776</v>
      </c>
    </row>
    <row r="2300" spans="1:10" s="186" customFormat="1" x14ac:dyDescent="0.25">
      <c r="A2300" s="246" t="s">
        <v>27</v>
      </c>
      <c r="B2300" s="255">
        <f t="shared" ref="B2300:H2300" si="1146">B2303*B2293</f>
        <v>962095.53103448276</v>
      </c>
      <c r="C2300" s="92">
        <f t="shared" si="1146"/>
        <v>529812.91034482757</v>
      </c>
      <c r="D2300" s="92">
        <f t="shared" si="1146"/>
        <v>805712.82206896564</v>
      </c>
      <c r="E2300" s="92">
        <f t="shared" si="1146"/>
        <v>824426.81379310368</v>
      </c>
      <c r="F2300" s="92">
        <f t="shared" si="1146"/>
        <v>1299262.423448276</v>
      </c>
      <c r="G2300" s="92">
        <f t="shared" si="1146"/>
        <v>1076304.6965517243</v>
      </c>
      <c r="H2300" s="92">
        <f t="shared" si="1146"/>
        <v>1151538.4717241379</v>
      </c>
      <c r="I2300" s="31">
        <f t="shared" si="1143"/>
        <v>6649153.6689655175</v>
      </c>
      <c r="J2300" s="256">
        <f t="shared" si="1144"/>
        <v>949879.09556650254</v>
      </c>
    </row>
    <row r="2301" spans="1:10" s="186" customFormat="1" x14ac:dyDescent="0.25">
      <c r="A2301" s="246" t="s">
        <v>28</v>
      </c>
      <c r="B2301" s="255">
        <f t="shared" ref="B2301:H2301" si="1147">B2303*B2294</f>
        <v>0</v>
      </c>
      <c r="C2301" s="92">
        <f t="shared" si="1147"/>
        <v>0</v>
      </c>
      <c r="D2301" s="92">
        <f t="shared" si="1147"/>
        <v>0</v>
      </c>
      <c r="E2301" s="92">
        <f t="shared" si="1147"/>
        <v>0</v>
      </c>
      <c r="F2301" s="92">
        <f t="shared" si="1147"/>
        <v>0</v>
      </c>
      <c r="G2301" s="92">
        <f t="shared" si="1147"/>
        <v>82792.668965517252</v>
      </c>
      <c r="H2301" s="92">
        <f t="shared" si="1147"/>
        <v>71971.154482758619</v>
      </c>
      <c r="I2301" s="31">
        <f t="shared" si="1143"/>
        <v>154763.82344827586</v>
      </c>
      <c r="J2301" s="256">
        <f t="shared" si="1144"/>
        <v>22109.117635467981</v>
      </c>
    </row>
    <row r="2302" spans="1:10" s="186" customFormat="1" x14ac:dyDescent="0.25">
      <c r="A2302" s="246" t="s">
        <v>29</v>
      </c>
      <c r="B2302" s="255">
        <f t="shared" ref="B2302:H2302" si="1148">B2303*B2295</f>
        <v>0</v>
      </c>
      <c r="C2302" s="731">
        <f t="shared" si="1148"/>
        <v>0</v>
      </c>
      <c r="D2302" s="731">
        <f t="shared" si="1148"/>
        <v>0</v>
      </c>
      <c r="E2302" s="731">
        <f t="shared" si="1148"/>
        <v>0</v>
      </c>
      <c r="F2302" s="731">
        <f t="shared" si="1148"/>
        <v>0</v>
      </c>
      <c r="G2302" s="731">
        <f t="shared" si="1148"/>
        <v>0</v>
      </c>
      <c r="H2302" s="731">
        <f t="shared" si="1148"/>
        <v>0</v>
      </c>
      <c r="I2302" s="31">
        <f t="shared" si="1143"/>
        <v>0</v>
      </c>
      <c r="J2302" s="256">
        <f t="shared" si="1144"/>
        <v>0</v>
      </c>
    </row>
    <row r="2303" spans="1:10" s="186" customFormat="1" x14ac:dyDescent="0.25">
      <c r="A2303" s="257" t="s">
        <v>30</v>
      </c>
      <c r="B2303" s="258">
        <f>(3268100/1.16)-B2304</f>
        <v>2672487.5862068967</v>
      </c>
      <c r="C2303" s="733">
        <f>(3094600/1.16)-C2304</f>
        <v>2522918.6206896552</v>
      </c>
      <c r="D2303" s="733">
        <f>(4143500/1.16)-D2304</f>
        <v>3357136.7586206901</v>
      </c>
      <c r="E2303" s="733">
        <f>(5067300/1.16)-E2304</f>
        <v>4122134.0689655179</v>
      </c>
      <c r="F2303" s="733">
        <f>(9386400/1.16)-F2304</f>
        <v>7642720.1379310349</v>
      </c>
      <c r="G2303" s="733">
        <f>(10192000/1.16)-G2304</f>
        <v>8279266.8965517245</v>
      </c>
      <c r="H2303" s="733">
        <f>(8886300/1.16)-H2304</f>
        <v>7197115.4482758623</v>
      </c>
      <c r="I2303" s="730">
        <f t="shared" si="1143"/>
        <v>35793779.517241381</v>
      </c>
      <c r="J2303" s="259">
        <f t="shared" si="1144"/>
        <v>5113397.0738916257</v>
      </c>
    </row>
    <row r="2304" spans="1:10" s="186" customFormat="1" x14ac:dyDescent="0.25">
      <c r="A2304" s="246" t="s">
        <v>31</v>
      </c>
      <c r="B2304" s="255">
        <f t="shared" ref="B2304:I2304" si="1149">2414*B2285</f>
        <v>144840</v>
      </c>
      <c r="C2304" s="732">
        <f t="shared" si="1149"/>
        <v>144840</v>
      </c>
      <c r="D2304" s="732">
        <f t="shared" si="1149"/>
        <v>214846</v>
      </c>
      <c r="E2304" s="732">
        <f t="shared" si="1149"/>
        <v>246228</v>
      </c>
      <c r="F2304" s="732">
        <f t="shared" si="1149"/>
        <v>449004</v>
      </c>
      <c r="G2304" s="732">
        <f t="shared" si="1149"/>
        <v>506940</v>
      </c>
      <c r="H2304" s="732">
        <f t="shared" si="1149"/>
        <v>463488</v>
      </c>
      <c r="I2304" s="31">
        <f t="shared" si="1149"/>
        <v>2170186</v>
      </c>
      <c r="J2304" s="256">
        <f>+J2285*2414</f>
        <v>310026.57142857142</v>
      </c>
    </row>
    <row r="2305" spans="1:10" s="186" customFormat="1" x14ac:dyDescent="0.25">
      <c r="A2305" s="260" t="s">
        <v>32</v>
      </c>
      <c r="B2305" s="261">
        <f>B2304+B2303</f>
        <v>2817327.5862068967</v>
      </c>
      <c r="C2305" s="199">
        <f>C2304+C2303</f>
        <v>2667758.6206896552</v>
      </c>
      <c r="D2305" s="199">
        <f>D2304+D2303</f>
        <v>3571982.7586206901</v>
      </c>
      <c r="E2305" s="199">
        <f>E2304+E2303</f>
        <v>4368362.0689655179</v>
      </c>
      <c r="F2305" s="199">
        <f>F2303+F2304</f>
        <v>8091724.1379310349</v>
      </c>
      <c r="G2305" s="199">
        <f>G2304+G2303</f>
        <v>8786206.8965517245</v>
      </c>
      <c r="H2305" s="199">
        <f>H2304+H2303</f>
        <v>7660603.4482758623</v>
      </c>
      <c r="I2305" s="199">
        <f>I2303+I2304</f>
        <v>37963965.517241381</v>
      </c>
      <c r="J2305" s="262">
        <f>I2305/7</f>
        <v>5423423.6453201976</v>
      </c>
    </row>
    <row r="2306" spans="1:10" s="186" customFormat="1" x14ac:dyDescent="0.25">
      <c r="A2306" s="246" t="s">
        <v>33</v>
      </c>
      <c r="B2306" s="263">
        <f>B2305*16%</f>
        <v>450772.41379310348</v>
      </c>
      <c r="C2306" s="94">
        <f t="shared" ref="C2306:H2306" si="1150">C2305*16%</f>
        <v>426841.37931034481</v>
      </c>
      <c r="D2306" s="94">
        <f t="shared" si="1150"/>
        <v>571517.24137931038</v>
      </c>
      <c r="E2306" s="94">
        <f t="shared" si="1150"/>
        <v>698937.9310344829</v>
      </c>
      <c r="F2306" s="94">
        <f t="shared" si="1150"/>
        <v>1294675.8620689656</v>
      </c>
      <c r="G2306" s="94">
        <f t="shared" si="1150"/>
        <v>1405793.1034482759</v>
      </c>
      <c r="H2306" s="94">
        <f t="shared" si="1150"/>
        <v>1225696.551724138</v>
      </c>
      <c r="I2306" s="94">
        <f>I2305*16%</f>
        <v>6074234.4827586208</v>
      </c>
      <c r="J2306" s="256">
        <f>I2306/7</f>
        <v>867747.78325123154</v>
      </c>
    </row>
    <row r="2307" spans="1:10" s="186" customFormat="1" ht="15.75" thickBot="1" x14ac:dyDescent="0.3">
      <c r="A2307" s="264" t="s">
        <v>34</v>
      </c>
      <c r="B2307" s="265">
        <f>B2305+B2306</f>
        <v>3268100</v>
      </c>
      <c r="C2307" s="266">
        <f t="shared" ref="C2307:H2307" si="1151">C2305+C2306</f>
        <v>3094600</v>
      </c>
      <c r="D2307" s="266">
        <f t="shared" si="1151"/>
        <v>4143500.0000000005</v>
      </c>
      <c r="E2307" s="266">
        <f t="shared" si="1151"/>
        <v>5067300.0000000009</v>
      </c>
      <c r="F2307" s="266">
        <f t="shared" si="1151"/>
        <v>9386400</v>
      </c>
      <c r="G2307" s="266">
        <f t="shared" si="1151"/>
        <v>10192000</v>
      </c>
      <c r="H2307" s="266">
        <f t="shared" si="1151"/>
        <v>8886300</v>
      </c>
      <c r="I2307" s="266">
        <f>I2305+I2306</f>
        <v>44038200</v>
      </c>
      <c r="J2307" s="267">
        <f>I2307/7</f>
        <v>6291171.4285714282</v>
      </c>
    </row>
    <row r="2308" spans="1:10" s="186" customFormat="1" ht="15.75" thickBot="1" x14ac:dyDescent="0.3">
      <c r="A2308" s="204"/>
      <c r="B2308" s="112"/>
      <c r="C2308" s="112"/>
      <c r="D2308" s="112"/>
      <c r="E2308" s="112"/>
      <c r="F2308" s="112"/>
      <c r="G2308" s="112"/>
      <c r="H2308" s="112"/>
      <c r="I2308" s="112"/>
      <c r="J2308" s="205"/>
    </row>
    <row r="2309" spans="1:10" s="186" customFormat="1" ht="27" thickBot="1" x14ac:dyDescent="0.3">
      <c r="A2309"/>
      <c r="B2309" s="1002" t="s">
        <v>696</v>
      </c>
      <c r="C2309" s="1002"/>
      <c r="D2309" s="1002"/>
      <c r="E2309" s="1002"/>
      <c r="F2309" s="1002"/>
      <c r="G2309" s="1002"/>
      <c r="H2309" s="1002"/>
      <c r="I2309"/>
      <c r="J2309"/>
    </row>
    <row r="2310" spans="1:10" s="186" customFormat="1" ht="16.5" thickBot="1" x14ac:dyDescent="0.3">
      <c r="A2310" s="238" t="s">
        <v>2</v>
      </c>
      <c r="B2310" s="239" t="s">
        <v>345</v>
      </c>
      <c r="C2310" s="239" t="s">
        <v>346</v>
      </c>
      <c r="D2310" s="239" t="s">
        <v>347</v>
      </c>
      <c r="E2310" s="239" t="s">
        <v>348</v>
      </c>
      <c r="F2310" s="239" t="s">
        <v>349</v>
      </c>
      <c r="G2310" s="239" t="s">
        <v>350</v>
      </c>
      <c r="H2310" s="239" t="s">
        <v>351</v>
      </c>
      <c r="I2310" s="240" t="s">
        <v>96</v>
      </c>
      <c r="J2310" s="241" t="s">
        <v>97</v>
      </c>
    </row>
    <row r="2311" spans="1:10" s="186" customFormat="1" x14ac:dyDescent="0.25">
      <c r="A2311" s="242" t="s">
        <v>11</v>
      </c>
      <c r="B2311" s="243">
        <f>173+119+45</f>
        <v>337</v>
      </c>
      <c r="C2311" s="244">
        <f>81+42+8</f>
        <v>131</v>
      </c>
      <c r="D2311" s="244">
        <f>64+34+15</f>
        <v>113</v>
      </c>
      <c r="E2311" s="244">
        <f>78+49+14</f>
        <v>141</v>
      </c>
      <c r="F2311" s="244">
        <f>185+101+34</f>
        <v>320</v>
      </c>
      <c r="G2311" s="244">
        <f>256+154+49</f>
        <v>459</v>
      </c>
      <c r="H2311" s="268">
        <f>134+91+34</f>
        <v>259</v>
      </c>
      <c r="I2311" s="244">
        <f>SUM(B2311:H2311)</f>
        <v>1760</v>
      </c>
      <c r="J2311" s="245">
        <f>+I2311/7</f>
        <v>251.42857142857142</v>
      </c>
    </row>
    <row r="2312" spans="1:10" s="186" customFormat="1" x14ac:dyDescent="0.25">
      <c r="A2312" s="246" t="s">
        <v>12</v>
      </c>
      <c r="B2312" s="233">
        <v>219</v>
      </c>
      <c r="C2312" s="13">
        <v>80</v>
      </c>
      <c r="D2312" s="13">
        <v>61</v>
      </c>
      <c r="E2312" s="13">
        <v>84</v>
      </c>
      <c r="F2312" s="86">
        <v>180</v>
      </c>
      <c r="G2312" s="11">
        <v>260</v>
      </c>
      <c r="H2312" s="86">
        <v>146</v>
      </c>
      <c r="I2312" s="11">
        <f>SUM('PEPE SIERRA '!$B2312:$H2312)</f>
        <v>1030</v>
      </c>
      <c r="J2312" s="247">
        <f t="shared" ref="J2312:J2317" si="1152">I2312/7</f>
        <v>147.14285714285714</v>
      </c>
    </row>
    <row r="2313" spans="1:10" s="186" customFormat="1" x14ac:dyDescent="0.25">
      <c r="A2313" s="246" t="s">
        <v>13</v>
      </c>
      <c r="B2313" s="233">
        <v>1</v>
      </c>
      <c r="C2313" s="13">
        <v>3</v>
      </c>
      <c r="D2313" s="13">
        <v>0</v>
      </c>
      <c r="E2313" s="13">
        <v>3</v>
      </c>
      <c r="F2313" s="11">
        <v>3</v>
      </c>
      <c r="G2313" s="11">
        <v>2</v>
      </c>
      <c r="H2313" s="11">
        <v>0</v>
      </c>
      <c r="I2313" s="11">
        <f>SUM('PEPE SIERRA '!$B2313:$H2313)</f>
        <v>12</v>
      </c>
      <c r="J2313" s="247">
        <f t="shared" si="1152"/>
        <v>1.7142857142857142</v>
      </c>
    </row>
    <row r="2314" spans="1:10" s="186" customFormat="1" x14ac:dyDescent="0.25">
      <c r="A2314" s="246" t="s">
        <v>14</v>
      </c>
      <c r="B2314" s="233">
        <v>48</v>
      </c>
      <c r="C2314" s="13">
        <v>25</v>
      </c>
      <c r="D2314" s="13">
        <v>28</v>
      </c>
      <c r="E2314" s="13">
        <v>29</v>
      </c>
      <c r="F2314" s="11">
        <v>67</v>
      </c>
      <c r="G2314" s="11">
        <v>80</v>
      </c>
      <c r="H2314" s="86">
        <v>49</v>
      </c>
      <c r="I2314" s="11">
        <f>SUM('PEPE SIERRA '!$B2314:$H2314)</f>
        <v>326</v>
      </c>
      <c r="J2314" s="247">
        <f t="shared" si="1152"/>
        <v>46.571428571428569</v>
      </c>
    </row>
    <row r="2315" spans="1:10" s="186" customFormat="1" x14ac:dyDescent="0.25">
      <c r="A2315" s="246" t="s">
        <v>15</v>
      </c>
      <c r="B2315" s="233">
        <v>3</v>
      </c>
      <c r="C2315" s="13">
        <v>0</v>
      </c>
      <c r="D2315" s="13">
        <v>2</v>
      </c>
      <c r="E2315" s="13">
        <v>0</v>
      </c>
      <c r="F2315" s="11">
        <v>0</v>
      </c>
      <c r="G2315" s="11">
        <v>0</v>
      </c>
      <c r="H2315" s="11">
        <v>0</v>
      </c>
      <c r="I2315" s="11">
        <f>SUM('PEPE SIERRA '!$B2315:$H2315)</f>
        <v>5</v>
      </c>
      <c r="J2315" s="247">
        <f t="shared" si="1152"/>
        <v>0.7142857142857143</v>
      </c>
    </row>
    <row r="2316" spans="1:10" s="186" customFormat="1" x14ac:dyDescent="0.25">
      <c r="A2316" s="246" t="s">
        <v>16</v>
      </c>
      <c r="B2316" s="233">
        <v>0</v>
      </c>
      <c r="C2316" s="13">
        <v>0</v>
      </c>
      <c r="D2316" s="13">
        <v>0</v>
      </c>
      <c r="E2316" s="13">
        <v>0</v>
      </c>
      <c r="F2316" s="11">
        <v>1</v>
      </c>
      <c r="G2316" s="11">
        <v>0</v>
      </c>
      <c r="H2316" s="11">
        <v>0</v>
      </c>
      <c r="I2316" s="11">
        <f>SUM('PEPE SIERRA '!$B2316:$H2316)</f>
        <v>1</v>
      </c>
      <c r="J2316" s="247">
        <f t="shared" si="1152"/>
        <v>0.14285714285714285</v>
      </c>
    </row>
    <row r="2317" spans="1:10" s="186" customFormat="1" x14ac:dyDescent="0.25">
      <c r="A2317" s="248" t="s">
        <v>17</v>
      </c>
      <c r="B2317" s="249">
        <f>SUM(B2312:B2316)</f>
        <v>271</v>
      </c>
      <c r="C2317" s="192">
        <f t="shared" ref="C2317:I2317" si="1153">SUM(C2312:C2316)</f>
        <v>108</v>
      </c>
      <c r="D2317" s="192">
        <f t="shared" si="1153"/>
        <v>91</v>
      </c>
      <c r="E2317" s="192">
        <f t="shared" si="1153"/>
        <v>116</v>
      </c>
      <c r="F2317" s="192">
        <f t="shared" si="1153"/>
        <v>251</v>
      </c>
      <c r="G2317" s="192">
        <f t="shared" si="1153"/>
        <v>342</v>
      </c>
      <c r="H2317" s="192">
        <f t="shared" si="1153"/>
        <v>195</v>
      </c>
      <c r="I2317" s="192">
        <f t="shared" si="1153"/>
        <v>1374</v>
      </c>
      <c r="J2317" s="250">
        <f t="shared" si="1152"/>
        <v>196.28571428571428</v>
      </c>
    </row>
    <row r="2318" spans="1:10" s="186" customFormat="1" x14ac:dyDescent="0.25">
      <c r="A2318" s="246" t="s">
        <v>18</v>
      </c>
      <c r="B2318" s="234">
        <v>0.84</v>
      </c>
      <c r="C2318" s="235">
        <v>0.77</v>
      </c>
      <c r="D2318" s="235">
        <v>0.76</v>
      </c>
      <c r="E2318" s="235">
        <v>0.8</v>
      </c>
      <c r="F2318" s="30">
        <v>0.77</v>
      </c>
      <c r="G2318" s="30">
        <v>0.81</v>
      </c>
      <c r="H2318" s="30">
        <v>0.76</v>
      </c>
      <c r="I2318" s="30">
        <f>I2325/I2330</f>
        <v>0.79436469846182034</v>
      </c>
      <c r="J2318" s="251">
        <f>J2325/J2330</f>
        <v>0.79436469846182034</v>
      </c>
    </row>
    <row r="2319" spans="1:10" s="186" customFormat="1" x14ac:dyDescent="0.25">
      <c r="A2319" s="246" t="s">
        <v>19</v>
      </c>
      <c r="B2319" s="234">
        <v>0</v>
      </c>
      <c r="C2319" s="235">
        <v>0.02</v>
      </c>
      <c r="D2319" s="235">
        <v>0</v>
      </c>
      <c r="E2319" s="235">
        <v>0.02</v>
      </c>
      <c r="F2319" s="30">
        <v>0.01</v>
      </c>
      <c r="G2319" s="30">
        <v>0</v>
      </c>
      <c r="H2319" s="30">
        <v>0</v>
      </c>
      <c r="I2319" s="30">
        <f>I2326/I2330</f>
        <v>4.9403332874372718E-3</v>
      </c>
      <c r="J2319" s="251">
        <f>J2326/J2330</f>
        <v>4.9403332874372726E-3</v>
      </c>
    </row>
    <row r="2320" spans="1:10" s="186" customFormat="1" x14ac:dyDescent="0.25">
      <c r="A2320" s="246" t="s">
        <v>20</v>
      </c>
      <c r="B2320" s="234">
        <v>0.15</v>
      </c>
      <c r="C2320" s="235">
        <v>0.21</v>
      </c>
      <c r="D2320" s="235">
        <v>0.23</v>
      </c>
      <c r="E2320" s="235">
        <v>0.18</v>
      </c>
      <c r="F2320" s="30">
        <v>0.22</v>
      </c>
      <c r="G2320" s="30">
        <v>0.19</v>
      </c>
      <c r="H2320" s="30">
        <v>0.24</v>
      </c>
      <c r="I2320" s="30">
        <f>I2327/I2330</f>
        <v>0.19817294845942413</v>
      </c>
      <c r="J2320" s="251">
        <f>J2327/J2330</f>
        <v>0.19817294845942413</v>
      </c>
    </row>
    <row r="2321" spans="1:10" s="186" customFormat="1" x14ac:dyDescent="0.25">
      <c r="A2321" s="246" t="s">
        <v>21</v>
      </c>
      <c r="B2321" s="234">
        <v>0.01</v>
      </c>
      <c r="C2321" s="235">
        <v>0</v>
      </c>
      <c r="D2321" s="235">
        <v>0.01</v>
      </c>
      <c r="E2321" s="235">
        <v>0</v>
      </c>
      <c r="F2321" s="30">
        <v>0</v>
      </c>
      <c r="G2321" s="30">
        <v>0</v>
      </c>
      <c r="H2321" s="30">
        <v>0</v>
      </c>
      <c r="I2321" s="30">
        <f>I2328/I2330</f>
        <v>2.5220197913182075E-3</v>
      </c>
      <c r="J2321" s="251">
        <f>J2328/J2330</f>
        <v>2.5220197913182075E-3</v>
      </c>
    </row>
    <row r="2322" spans="1:10" s="186" customFormat="1" x14ac:dyDescent="0.25">
      <c r="A2322" s="246" t="s">
        <v>22</v>
      </c>
      <c r="B2322" s="234">
        <v>0</v>
      </c>
      <c r="C2322" s="235">
        <v>0</v>
      </c>
      <c r="D2322" s="235">
        <v>0</v>
      </c>
      <c r="E2322" s="235">
        <v>0</v>
      </c>
      <c r="F2322" s="30">
        <v>0</v>
      </c>
      <c r="G2322" s="30">
        <v>0</v>
      </c>
      <c r="H2322" s="30">
        <v>0</v>
      </c>
      <c r="I2322" s="30">
        <f>I2329/I2330</f>
        <v>0</v>
      </c>
      <c r="J2322" s="251">
        <f>J2329/J2330</f>
        <v>0</v>
      </c>
    </row>
    <row r="2323" spans="1:10" s="186" customFormat="1" x14ac:dyDescent="0.25">
      <c r="A2323" s="252" t="s">
        <v>23</v>
      </c>
      <c r="B2323" s="253">
        <f t="shared" ref="B2323:J2323" si="1154">B2334/B2317</f>
        <v>35931.918819188199</v>
      </c>
      <c r="C2323" s="66">
        <f t="shared" si="1154"/>
        <v>34144.444444444445</v>
      </c>
      <c r="D2323" s="66">
        <f t="shared" si="1154"/>
        <v>32420.879120879123</v>
      </c>
      <c r="E2323" s="66">
        <f t="shared" si="1154"/>
        <v>34750.862068965514</v>
      </c>
      <c r="F2323" s="66">
        <f t="shared" si="1154"/>
        <v>37064.541832669333</v>
      </c>
      <c r="G2323" s="66">
        <f t="shared" si="1154"/>
        <v>38245.029239766089</v>
      </c>
      <c r="H2323" s="66">
        <f t="shared" si="1154"/>
        <v>37405.641025641024</v>
      </c>
      <c r="I2323" s="66">
        <f t="shared" si="1154"/>
        <v>36450.982532751099</v>
      </c>
      <c r="J2323" s="254">
        <f t="shared" si="1154"/>
        <v>36450.982532751099</v>
      </c>
    </row>
    <row r="2324" spans="1:10" s="186" customFormat="1" x14ac:dyDescent="0.25">
      <c r="A2324" s="252" t="s">
        <v>24</v>
      </c>
      <c r="B2324" s="253">
        <f t="shared" ref="B2324:I2324" si="1155">+B2334/B2311</f>
        <v>28894.807121661728</v>
      </c>
      <c r="C2324" s="66">
        <f t="shared" si="1155"/>
        <v>28149.618320610691</v>
      </c>
      <c r="D2324" s="66">
        <f t="shared" si="1155"/>
        <v>26108.849557522124</v>
      </c>
      <c r="E2324" s="66">
        <f t="shared" si="1155"/>
        <v>28589.361702127659</v>
      </c>
      <c r="F2324" s="66">
        <f t="shared" si="1155"/>
        <v>29072.500000000007</v>
      </c>
      <c r="G2324" s="66">
        <f t="shared" si="1155"/>
        <v>28496.296296296299</v>
      </c>
      <c r="H2324" s="66">
        <f t="shared" si="1155"/>
        <v>28162.548262548262</v>
      </c>
      <c r="I2324" s="66">
        <f t="shared" si="1155"/>
        <v>28456.619318181823</v>
      </c>
      <c r="J2324" s="254">
        <f>J2334/J2311</f>
        <v>28456.619318181823</v>
      </c>
    </row>
    <row r="2325" spans="1:10" s="186" customFormat="1" x14ac:dyDescent="0.25">
      <c r="A2325" s="246" t="s">
        <v>25</v>
      </c>
      <c r="B2325" s="255">
        <f t="shared" ref="B2325:H2325" si="1156">B2330*B2318</f>
        <v>6607249.8703448288</v>
      </c>
      <c r="C2325" s="92">
        <f t="shared" si="1156"/>
        <v>2299101.0482758624</v>
      </c>
      <c r="D2325" s="92">
        <f t="shared" si="1156"/>
        <v>1821042.1324137934</v>
      </c>
      <c r="E2325" s="92">
        <f t="shared" si="1156"/>
        <v>2617848.1655172417</v>
      </c>
      <c r="F2325" s="92">
        <f t="shared" si="1156"/>
        <v>5840819.6000000006</v>
      </c>
      <c r="G2325" s="92">
        <f t="shared" si="1156"/>
        <v>8624920.2206896562</v>
      </c>
      <c r="H2325" s="92">
        <f t="shared" si="1156"/>
        <v>4511035.663448276</v>
      </c>
      <c r="I2325" s="31">
        <f t="shared" ref="I2325:I2330" si="1157">SUM(B2325:H2325)</f>
        <v>32322016.700689659</v>
      </c>
      <c r="J2325" s="256">
        <f t="shared" ref="J2325:J2330" si="1158">I2325/7</f>
        <v>4617430.9572413797</v>
      </c>
    </row>
    <row r="2326" spans="1:10" s="186" customFormat="1" x14ac:dyDescent="0.25">
      <c r="A2326" s="246" t="s">
        <v>26</v>
      </c>
      <c r="B2326" s="255">
        <f t="shared" ref="B2326:H2326" si="1159">B2330*B2319</f>
        <v>0</v>
      </c>
      <c r="C2326" s="92">
        <f t="shared" si="1159"/>
        <v>59716.910344827593</v>
      </c>
      <c r="D2326" s="92">
        <f t="shared" si="1159"/>
        <v>0</v>
      </c>
      <c r="E2326" s="92">
        <f t="shared" si="1159"/>
        <v>65446.204137931039</v>
      </c>
      <c r="F2326" s="92">
        <f t="shared" si="1159"/>
        <v>75854.800000000017</v>
      </c>
      <c r="G2326" s="92">
        <f t="shared" si="1159"/>
        <v>0</v>
      </c>
      <c r="H2326" s="92">
        <f t="shared" si="1159"/>
        <v>0</v>
      </c>
      <c r="I2326" s="31">
        <f t="shared" si="1157"/>
        <v>201017.91448275864</v>
      </c>
      <c r="J2326" s="256">
        <f t="shared" si="1158"/>
        <v>28716.844926108377</v>
      </c>
    </row>
    <row r="2327" spans="1:10" s="186" customFormat="1" x14ac:dyDescent="0.25">
      <c r="A2327" s="246" t="s">
        <v>27</v>
      </c>
      <c r="B2327" s="255">
        <f t="shared" ref="B2327:H2327" si="1160">B2330*B2320</f>
        <v>1179866.0482758621</v>
      </c>
      <c r="C2327" s="92">
        <f t="shared" si="1160"/>
        <v>627027.55862068967</v>
      </c>
      <c r="D2327" s="92">
        <f t="shared" si="1160"/>
        <v>551104.85586206906</v>
      </c>
      <c r="E2327" s="92">
        <f t="shared" si="1160"/>
        <v>589015.83724137931</v>
      </c>
      <c r="F2327" s="92">
        <f t="shared" si="1160"/>
        <v>1668805.6000000003</v>
      </c>
      <c r="G2327" s="92">
        <f t="shared" si="1160"/>
        <v>2023129.4344827589</v>
      </c>
      <c r="H2327" s="92">
        <f t="shared" si="1160"/>
        <v>1424537.5779310344</v>
      </c>
      <c r="I2327" s="31">
        <f t="shared" si="1157"/>
        <v>8063486.9124137936</v>
      </c>
      <c r="J2327" s="256">
        <f t="shared" si="1158"/>
        <v>1151926.701773399</v>
      </c>
    </row>
    <row r="2328" spans="1:10" s="186" customFormat="1" x14ac:dyDescent="0.25">
      <c r="A2328" s="246" t="s">
        <v>28</v>
      </c>
      <c r="B2328" s="255">
        <f t="shared" ref="B2328:H2328" si="1161">B2330*B2321</f>
        <v>78657.736551724156</v>
      </c>
      <c r="C2328" s="92">
        <f t="shared" si="1161"/>
        <v>0</v>
      </c>
      <c r="D2328" s="92">
        <f t="shared" si="1161"/>
        <v>23961.080689655177</v>
      </c>
      <c r="E2328" s="92">
        <f t="shared" si="1161"/>
        <v>0</v>
      </c>
      <c r="F2328" s="92">
        <f t="shared" si="1161"/>
        <v>0</v>
      </c>
      <c r="G2328" s="92">
        <f t="shared" si="1161"/>
        <v>0</v>
      </c>
      <c r="H2328" s="92">
        <f t="shared" si="1161"/>
        <v>0</v>
      </c>
      <c r="I2328" s="31">
        <f t="shared" si="1157"/>
        <v>102618.81724137934</v>
      </c>
      <c r="J2328" s="256">
        <f t="shared" si="1158"/>
        <v>14659.831034482762</v>
      </c>
    </row>
    <row r="2329" spans="1:10" s="186" customFormat="1" x14ac:dyDescent="0.25">
      <c r="A2329" s="246" t="s">
        <v>29</v>
      </c>
      <c r="B2329" s="255">
        <f t="shared" ref="B2329:H2329" si="1162">B2330*B2322</f>
        <v>0</v>
      </c>
      <c r="C2329" s="731">
        <f t="shared" si="1162"/>
        <v>0</v>
      </c>
      <c r="D2329" s="731">
        <f t="shared" si="1162"/>
        <v>0</v>
      </c>
      <c r="E2329" s="731">
        <f t="shared" si="1162"/>
        <v>0</v>
      </c>
      <c r="F2329" s="731">
        <f t="shared" si="1162"/>
        <v>0</v>
      </c>
      <c r="G2329" s="731">
        <f t="shared" si="1162"/>
        <v>0</v>
      </c>
      <c r="H2329" s="731">
        <f t="shared" si="1162"/>
        <v>0</v>
      </c>
      <c r="I2329" s="31">
        <f t="shared" si="1157"/>
        <v>0</v>
      </c>
      <c r="J2329" s="256">
        <f t="shared" si="1158"/>
        <v>0</v>
      </c>
    </row>
    <row r="2330" spans="1:10" s="186" customFormat="1" x14ac:dyDescent="0.25">
      <c r="A2330" s="257" t="s">
        <v>30</v>
      </c>
      <c r="B2330" s="258">
        <f>(9737550/1.16)-B2331</f>
        <v>7865773.6551724151</v>
      </c>
      <c r="C2330" s="733">
        <f>(3687600/1.16)-C2331</f>
        <v>2985845.5172413797</v>
      </c>
      <c r="D2330" s="733">
        <f>(2950300/1.16)-D2331</f>
        <v>2396108.0689655175</v>
      </c>
      <c r="E2330" s="733">
        <f>(4031100/1.16)-E2331</f>
        <v>3272310.2068965519</v>
      </c>
      <c r="F2330" s="733">
        <f>(9303200/1.16)-F2331</f>
        <v>7585480.0000000009</v>
      </c>
      <c r="G2330" s="733">
        <f>(13079800/1.16)-G2331</f>
        <v>10648049.655172415</v>
      </c>
      <c r="H2330" s="733">
        <f>(7294100/1.16)-H2331</f>
        <v>5935573.2413793104</v>
      </c>
      <c r="I2330" s="730">
        <f t="shared" si="1157"/>
        <v>40689140.344827592</v>
      </c>
      <c r="J2330" s="259">
        <f t="shared" si="1158"/>
        <v>5812734.3349753702</v>
      </c>
    </row>
    <row r="2331" spans="1:10" s="186" customFormat="1" x14ac:dyDescent="0.25">
      <c r="A2331" s="246" t="s">
        <v>31</v>
      </c>
      <c r="B2331" s="255">
        <f t="shared" ref="B2331:I2331" si="1163">2414*B2312</f>
        <v>528666</v>
      </c>
      <c r="C2331" s="732">
        <f t="shared" si="1163"/>
        <v>193120</v>
      </c>
      <c r="D2331" s="732">
        <f t="shared" si="1163"/>
        <v>147254</v>
      </c>
      <c r="E2331" s="732">
        <f t="shared" si="1163"/>
        <v>202776</v>
      </c>
      <c r="F2331" s="732">
        <f t="shared" si="1163"/>
        <v>434520</v>
      </c>
      <c r="G2331" s="732">
        <f t="shared" si="1163"/>
        <v>627640</v>
      </c>
      <c r="H2331" s="732">
        <f t="shared" si="1163"/>
        <v>352444</v>
      </c>
      <c r="I2331" s="31">
        <f t="shared" si="1163"/>
        <v>2486420</v>
      </c>
      <c r="J2331" s="256">
        <f>+J2312*2414</f>
        <v>355202.85714285716</v>
      </c>
    </row>
    <row r="2332" spans="1:10" s="186" customFormat="1" x14ac:dyDescent="0.25">
      <c r="A2332" s="260" t="s">
        <v>32</v>
      </c>
      <c r="B2332" s="261">
        <f>B2331+B2330</f>
        <v>8394439.6551724151</v>
      </c>
      <c r="C2332" s="199">
        <f>C2331+C2330</f>
        <v>3178965.5172413797</v>
      </c>
      <c r="D2332" s="199">
        <f>D2331+D2330</f>
        <v>2543362.0689655175</v>
      </c>
      <c r="E2332" s="199">
        <f>E2331+E2330</f>
        <v>3475086.2068965519</v>
      </c>
      <c r="F2332" s="199">
        <f>F2330+F2331</f>
        <v>8020000.0000000009</v>
      </c>
      <c r="G2332" s="199">
        <f>G2331+G2330</f>
        <v>11275689.655172415</v>
      </c>
      <c r="H2332" s="199">
        <f>H2331+H2330</f>
        <v>6288017.2413793104</v>
      </c>
      <c r="I2332" s="199">
        <f>I2330+I2331</f>
        <v>43175560.344827592</v>
      </c>
      <c r="J2332" s="262">
        <f>I2332/7</f>
        <v>6167937.1921182275</v>
      </c>
    </row>
    <row r="2333" spans="1:10" s="186" customFormat="1" x14ac:dyDescent="0.25">
      <c r="A2333" s="246" t="s">
        <v>33</v>
      </c>
      <c r="B2333" s="263">
        <f>B2332*16%</f>
        <v>1343110.3448275866</v>
      </c>
      <c r="C2333" s="94">
        <f t="shared" ref="C2333:H2333" si="1164">C2332*16%</f>
        <v>508634.48275862075</v>
      </c>
      <c r="D2333" s="94">
        <f t="shared" si="1164"/>
        <v>406937.93103448278</v>
      </c>
      <c r="E2333" s="94">
        <f t="shared" si="1164"/>
        <v>556013.79310344835</v>
      </c>
      <c r="F2333" s="94">
        <f t="shared" si="1164"/>
        <v>1283200.0000000002</v>
      </c>
      <c r="G2333" s="94">
        <f t="shared" si="1164"/>
        <v>1804110.3448275866</v>
      </c>
      <c r="H2333" s="94">
        <f t="shared" si="1164"/>
        <v>1006082.7586206896</v>
      </c>
      <c r="I2333" s="94">
        <f>I2332*16%</f>
        <v>6908089.6551724151</v>
      </c>
      <c r="J2333" s="256">
        <f>I2333/7</f>
        <v>986869.95073891641</v>
      </c>
    </row>
    <row r="2334" spans="1:10" s="186" customFormat="1" ht="15.75" thickBot="1" x14ac:dyDescent="0.3">
      <c r="A2334" s="264" t="s">
        <v>34</v>
      </c>
      <c r="B2334" s="265">
        <f>B2332+B2333</f>
        <v>9737550.0000000019</v>
      </c>
      <c r="C2334" s="266">
        <f t="shared" ref="C2334:H2334" si="1165">C2332+C2333</f>
        <v>3687600.0000000005</v>
      </c>
      <c r="D2334" s="266">
        <f t="shared" si="1165"/>
        <v>2950300</v>
      </c>
      <c r="E2334" s="266">
        <f t="shared" si="1165"/>
        <v>4031100</v>
      </c>
      <c r="F2334" s="266">
        <f t="shared" si="1165"/>
        <v>9303200.0000000019</v>
      </c>
      <c r="G2334" s="266">
        <f t="shared" si="1165"/>
        <v>13079800.000000002</v>
      </c>
      <c r="H2334" s="266">
        <f t="shared" si="1165"/>
        <v>7294100</v>
      </c>
      <c r="I2334" s="266">
        <f>I2332+I2333</f>
        <v>50083650.000000007</v>
      </c>
      <c r="J2334" s="267">
        <f>I2334/7</f>
        <v>7154807.1428571437</v>
      </c>
    </row>
    <row r="2335" spans="1:10" s="186" customFormat="1" ht="15.75" thickBot="1" x14ac:dyDescent="0.3">
      <c r="A2335" s="204"/>
      <c r="B2335" s="112"/>
      <c r="C2335" s="112"/>
      <c r="D2335" s="112"/>
      <c r="E2335" s="112"/>
      <c r="F2335" s="112"/>
      <c r="G2335" s="112"/>
      <c r="H2335" s="112"/>
      <c r="I2335" s="112"/>
      <c r="J2335" s="205"/>
    </row>
    <row r="2336" spans="1:10" s="186" customFormat="1" ht="27" thickBot="1" x14ac:dyDescent="0.3">
      <c r="A2336"/>
      <c r="B2336" s="1002" t="s">
        <v>703</v>
      </c>
      <c r="C2336" s="1002"/>
      <c r="D2336" s="1002"/>
      <c r="E2336" s="1002"/>
      <c r="F2336" s="1002"/>
      <c r="G2336" s="1002"/>
      <c r="H2336" s="1002"/>
      <c r="I2336"/>
      <c r="J2336"/>
    </row>
    <row r="2337" spans="1:10" s="186" customFormat="1" ht="16.5" thickBot="1" x14ac:dyDescent="0.3">
      <c r="A2337" s="238" t="s">
        <v>2</v>
      </c>
      <c r="B2337" s="239" t="s">
        <v>600</v>
      </c>
      <c r="C2337" s="239" t="s">
        <v>601</v>
      </c>
      <c r="D2337" s="239" t="s">
        <v>602</v>
      </c>
      <c r="E2337" s="239" t="s">
        <v>603</v>
      </c>
      <c r="F2337" s="239" t="s">
        <v>604</v>
      </c>
      <c r="G2337" s="239" t="s">
        <v>653</v>
      </c>
      <c r="H2337" s="239" t="s">
        <v>272</v>
      </c>
      <c r="I2337" s="240" t="s">
        <v>96</v>
      </c>
      <c r="J2337" s="241" t="s">
        <v>97</v>
      </c>
    </row>
    <row r="2338" spans="1:10" s="186" customFormat="1" x14ac:dyDescent="0.25">
      <c r="A2338" s="242" t="s">
        <v>11</v>
      </c>
      <c r="B2338" s="243">
        <f>48+23+7</f>
        <v>78</v>
      </c>
      <c r="C2338" s="244">
        <f>55+26+10</f>
        <v>91</v>
      </c>
      <c r="D2338" s="244">
        <f>85+31+12</f>
        <v>128</v>
      </c>
      <c r="E2338" s="244">
        <f>70+43+12</f>
        <v>125</v>
      </c>
      <c r="F2338" s="244">
        <f>117+72+22</f>
        <v>211</v>
      </c>
      <c r="G2338" s="244">
        <f>159+96+36</f>
        <v>291</v>
      </c>
      <c r="H2338" s="268">
        <f>115+71+27</f>
        <v>213</v>
      </c>
      <c r="I2338" s="244">
        <f>SUM(B2338:H2338)</f>
        <v>1137</v>
      </c>
      <c r="J2338" s="245">
        <f>+I2338/7</f>
        <v>162.42857142857142</v>
      </c>
    </row>
    <row r="2339" spans="1:10" s="186" customFormat="1" x14ac:dyDescent="0.25">
      <c r="A2339" s="246" t="s">
        <v>12</v>
      </c>
      <c r="B2339" s="233">
        <v>43</v>
      </c>
      <c r="C2339" s="13">
        <v>51</v>
      </c>
      <c r="D2339" s="13">
        <v>57</v>
      </c>
      <c r="E2339" s="13">
        <v>70</v>
      </c>
      <c r="F2339" s="86">
        <v>107</v>
      </c>
      <c r="G2339" s="11">
        <v>144</v>
      </c>
      <c r="H2339" s="86">
        <v>128</v>
      </c>
      <c r="I2339" s="11">
        <f>SUM('PEPE SIERRA '!$B2339:$H2339)</f>
        <v>600</v>
      </c>
      <c r="J2339" s="247">
        <f t="shared" ref="J2339:J2344" si="1166">I2339/7</f>
        <v>85.714285714285708</v>
      </c>
    </row>
    <row r="2340" spans="1:10" s="186" customFormat="1" x14ac:dyDescent="0.25">
      <c r="A2340" s="246" t="s">
        <v>13</v>
      </c>
      <c r="B2340" s="233">
        <v>1</v>
      </c>
      <c r="C2340" s="13">
        <v>2</v>
      </c>
      <c r="D2340" s="13">
        <v>4</v>
      </c>
      <c r="E2340" s="13">
        <v>0</v>
      </c>
      <c r="F2340" s="11">
        <v>0</v>
      </c>
      <c r="G2340" s="11">
        <v>1</v>
      </c>
      <c r="H2340" s="11">
        <v>2</v>
      </c>
      <c r="I2340" s="11">
        <f>SUM('PEPE SIERRA '!$B2340:$H2340)</f>
        <v>10</v>
      </c>
      <c r="J2340" s="247">
        <f t="shared" si="1166"/>
        <v>1.4285714285714286</v>
      </c>
    </row>
    <row r="2341" spans="1:10" s="186" customFormat="1" x14ac:dyDescent="0.25">
      <c r="A2341" s="246" t="s">
        <v>14</v>
      </c>
      <c r="B2341" s="233">
        <v>20</v>
      </c>
      <c r="C2341" s="13">
        <v>23</v>
      </c>
      <c r="D2341" s="13">
        <v>35</v>
      </c>
      <c r="E2341" s="13">
        <v>28</v>
      </c>
      <c r="F2341" s="11">
        <v>55</v>
      </c>
      <c r="G2341" s="11">
        <v>76</v>
      </c>
      <c r="H2341" s="86">
        <v>45</v>
      </c>
      <c r="I2341" s="11">
        <f>SUM('PEPE SIERRA '!$B2341:$H2341)</f>
        <v>282</v>
      </c>
      <c r="J2341" s="247">
        <f t="shared" si="1166"/>
        <v>40.285714285714285</v>
      </c>
    </row>
    <row r="2342" spans="1:10" s="186" customFormat="1" x14ac:dyDescent="0.25">
      <c r="A2342" s="246" t="s">
        <v>15</v>
      </c>
      <c r="B2342" s="233">
        <v>0</v>
      </c>
      <c r="C2342" s="13">
        <v>0</v>
      </c>
      <c r="D2342" s="13">
        <v>0</v>
      </c>
      <c r="E2342" s="13">
        <v>0</v>
      </c>
      <c r="F2342" s="11">
        <v>0</v>
      </c>
      <c r="G2342" s="11">
        <v>0</v>
      </c>
      <c r="H2342" s="11">
        <v>0</v>
      </c>
      <c r="I2342" s="11">
        <f>SUM('PEPE SIERRA '!$B2342:$H2342)</f>
        <v>0</v>
      </c>
      <c r="J2342" s="247">
        <f t="shared" si="1166"/>
        <v>0</v>
      </c>
    </row>
    <row r="2343" spans="1:10" s="186" customFormat="1" x14ac:dyDescent="0.25">
      <c r="A2343" s="246" t="s">
        <v>16</v>
      </c>
      <c r="B2343" s="233">
        <v>0</v>
      </c>
      <c r="C2343" s="13">
        <v>0</v>
      </c>
      <c r="D2343" s="13">
        <v>0</v>
      </c>
      <c r="E2343" s="13">
        <v>2</v>
      </c>
      <c r="F2343" s="11">
        <v>0</v>
      </c>
      <c r="G2343" s="11">
        <v>0</v>
      </c>
      <c r="H2343" s="11">
        <v>0</v>
      </c>
      <c r="I2343" s="11">
        <f>SUM('PEPE SIERRA '!$B2343:$H2343)</f>
        <v>2</v>
      </c>
      <c r="J2343" s="247">
        <f t="shared" si="1166"/>
        <v>0.2857142857142857</v>
      </c>
    </row>
    <row r="2344" spans="1:10" s="186" customFormat="1" x14ac:dyDescent="0.25">
      <c r="A2344" s="248" t="s">
        <v>17</v>
      </c>
      <c r="B2344" s="249">
        <f>SUM(B2339:B2343)</f>
        <v>64</v>
      </c>
      <c r="C2344" s="192">
        <f t="shared" ref="C2344:I2344" si="1167">SUM(C2339:C2343)</f>
        <v>76</v>
      </c>
      <c r="D2344" s="192">
        <f t="shared" si="1167"/>
        <v>96</v>
      </c>
      <c r="E2344" s="192">
        <f t="shared" si="1167"/>
        <v>100</v>
      </c>
      <c r="F2344" s="192">
        <f t="shared" si="1167"/>
        <v>162</v>
      </c>
      <c r="G2344" s="192">
        <f t="shared" si="1167"/>
        <v>221</v>
      </c>
      <c r="H2344" s="192">
        <f t="shared" si="1167"/>
        <v>175</v>
      </c>
      <c r="I2344" s="192">
        <f t="shared" si="1167"/>
        <v>894</v>
      </c>
      <c r="J2344" s="250">
        <f t="shared" si="1166"/>
        <v>127.71428571428571</v>
      </c>
    </row>
    <row r="2345" spans="1:10" s="186" customFormat="1" x14ac:dyDescent="0.25">
      <c r="A2345" s="246" t="s">
        <v>18</v>
      </c>
      <c r="B2345" s="234">
        <v>0.75</v>
      </c>
      <c r="C2345" s="235">
        <v>0.74</v>
      </c>
      <c r="D2345" s="235">
        <v>0.63</v>
      </c>
      <c r="E2345" s="235">
        <v>0.77</v>
      </c>
      <c r="F2345" s="30">
        <v>0.75</v>
      </c>
      <c r="G2345" s="30">
        <v>0.73</v>
      </c>
      <c r="H2345" s="30">
        <v>0.75</v>
      </c>
      <c r="I2345" s="30">
        <f>I2352/I2357</f>
        <v>0.73351849148415293</v>
      </c>
      <c r="J2345" s="251">
        <f>J2352/J2357</f>
        <v>0.73351849148415293</v>
      </c>
    </row>
    <row r="2346" spans="1:10" s="186" customFormat="1" x14ac:dyDescent="0.25">
      <c r="A2346" s="246" t="s">
        <v>19</v>
      </c>
      <c r="B2346" s="234">
        <v>0.01</v>
      </c>
      <c r="C2346" s="235">
        <v>0.01</v>
      </c>
      <c r="D2346" s="235">
        <v>0.03</v>
      </c>
      <c r="E2346" s="235">
        <v>0</v>
      </c>
      <c r="F2346" s="30">
        <v>0</v>
      </c>
      <c r="G2346" s="30">
        <v>0.01</v>
      </c>
      <c r="H2346" s="30">
        <v>0.01</v>
      </c>
      <c r="I2346" s="30">
        <f>I2353/I2357</f>
        <v>9.1833994421347664E-3</v>
      </c>
      <c r="J2346" s="251">
        <f>J2353/J2357</f>
        <v>9.1833994421347664E-3</v>
      </c>
    </row>
    <row r="2347" spans="1:10" s="186" customFormat="1" x14ac:dyDescent="0.25">
      <c r="A2347" s="246" t="s">
        <v>20</v>
      </c>
      <c r="B2347" s="234">
        <v>0.24</v>
      </c>
      <c r="C2347" s="235">
        <v>0.25</v>
      </c>
      <c r="D2347" s="235">
        <v>0.34</v>
      </c>
      <c r="E2347" s="235">
        <v>0.22</v>
      </c>
      <c r="F2347" s="30">
        <v>0.25</v>
      </c>
      <c r="G2347" s="30">
        <v>0.26</v>
      </c>
      <c r="H2347" s="30">
        <v>0.24</v>
      </c>
      <c r="I2347" s="30">
        <f>I2354/I2357</f>
        <v>0.25617098549793249</v>
      </c>
      <c r="J2347" s="251">
        <f>J2354/J2357</f>
        <v>0.25617098549793249</v>
      </c>
    </row>
    <row r="2348" spans="1:10" s="186" customFormat="1" x14ac:dyDescent="0.25">
      <c r="A2348" s="246" t="s">
        <v>21</v>
      </c>
      <c r="B2348" s="234">
        <v>0</v>
      </c>
      <c r="C2348" s="235">
        <v>0</v>
      </c>
      <c r="D2348" s="235">
        <v>0</v>
      </c>
      <c r="E2348" s="235">
        <v>0</v>
      </c>
      <c r="F2348" s="30">
        <v>0</v>
      </c>
      <c r="G2348" s="30">
        <v>0</v>
      </c>
      <c r="H2348" s="30">
        <v>0</v>
      </c>
      <c r="I2348" s="30">
        <f>I2355/I2357</f>
        <v>0</v>
      </c>
      <c r="J2348" s="251">
        <f>J2355/J2357</f>
        <v>0</v>
      </c>
    </row>
    <row r="2349" spans="1:10" s="186" customFormat="1" x14ac:dyDescent="0.25">
      <c r="A2349" s="246" t="s">
        <v>22</v>
      </c>
      <c r="B2349" s="234">
        <v>0</v>
      </c>
      <c r="C2349" s="235">
        <v>0</v>
      </c>
      <c r="D2349" s="235">
        <v>0</v>
      </c>
      <c r="E2349" s="235">
        <v>0.01</v>
      </c>
      <c r="F2349" s="30">
        <v>0</v>
      </c>
      <c r="G2349" s="30">
        <v>0</v>
      </c>
      <c r="H2349" s="30">
        <v>0</v>
      </c>
      <c r="I2349" s="30">
        <f>I2356/I2357</f>
        <v>1.1271235757795664E-3</v>
      </c>
      <c r="J2349" s="251">
        <f>J2356/J2357</f>
        <v>1.1271235757795664E-3</v>
      </c>
    </row>
    <row r="2350" spans="1:10" s="186" customFormat="1" x14ac:dyDescent="0.25">
      <c r="A2350" s="252" t="s">
        <v>23</v>
      </c>
      <c r="B2350" s="253">
        <f t="shared" ref="B2350:J2350" si="1168">B2361/B2344</f>
        <v>33367.1875</v>
      </c>
      <c r="C2350" s="66">
        <f t="shared" si="1168"/>
        <v>34014.473684210527</v>
      </c>
      <c r="D2350" s="66">
        <f t="shared" si="1168"/>
        <v>35495.833333333336</v>
      </c>
      <c r="E2350" s="66">
        <f t="shared" si="1168"/>
        <v>36490.000000000007</v>
      </c>
      <c r="F2350" s="66">
        <f t="shared" si="1168"/>
        <v>36075.925925925927</v>
      </c>
      <c r="G2350" s="66">
        <f t="shared" si="1168"/>
        <v>37977.375565610862</v>
      </c>
      <c r="H2350" s="66">
        <f t="shared" si="1168"/>
        <v>36005.71428571429</v>
      </c>
      <c r="I2350" s="66">
        <f t="shared" si="1168"/>
        <v>36147.091722595083</v>
      </c>
      <c r="J2350" s="254">
        <f t="shared" si="1168"/>
        <v>36147.091722595091</v>
      </c>
    </row>
    <row r="2351" spans="1:10" s="186" customFormat="1" x14ac:dyDescent="0.25">
      <c r="A2351" s="252" t="s">
        <v>24</v>
      </c>
      <c r="B2351" s="253">
        <f t="shared" ref="B2351:I2351" si="1169">+B2361/B2338</f>
        <v>27378.205128205129</v>
      </c>
      <c r="C2351" s="66">
        <f t="shared" si="1169"/>
        <v>28407.692307692309</v>
      </c>
      <c r="D2351" s="66">
        <f t="shared" si="1169"/>
        <v>26621.875</v>
      </c>
      <c r="E2351" s="66">
        <f t="shared" si="1169"/>
        <v>29192.000000000004</v>
      </c>
      <c r="F2351" s="66">
        <f t="shared" si="1169"/>
        <v>27698.104265402842</v>
      </c>
      <c r="G2351" s="66">
        <f t="shared" si="1169"/>
        <v>28841.92439862543</v>
      </c>
      <c r="H2351" s="66">
        <f t="shared" si="1169"/>
        <v>29582.159624413151</v>
      </c>
      <c r="I2351" s="66">
        <f t="shared" si="1169"/>
        <v>28421.723834652603</v>
      </c>
      <c r="J2351" s="254">
        <f>J2361/J2338</f>
        <v>28421.723834652603</v>
      </c>
    </row>
    <row r="2352" spans="1:10" s="186" customFormat="1" x14ac:dyDescent="0.25">
      <c r="A2352" s="246" t="s">
        <v>25</v>
      </c>
      <c r="B2352" s="255">
        <f t="shared" ref="B2352:H2352" si="1170">B2357*B2345</f>
        <v>1302859.7068965519</v>
      </c>
      <c r="C2352" s="92">
        <f t="shared" si="1170"/>
        <v>1558011.1572413794</v>
      </c>
      <c r="D2352" s="92">
        <f t="shared" si="1170"/>
        <v>1763992.5703448276</v>
      </c>
      <c r="E2352" s="92">
        <f t="shared" si="1170"/>
        <v>2292066.4344827589</v>
      </c>
      <c r="F2352" s="92">
        <f t="shared" si="1170"/>
        <v>3584918.7413793104</v>
      </c>
      <c r="G2352" s="92">
        <f t="shared" si="1170"/>
        <v>5028042.0441379314</v>
      </c>
      <c r="H2352" s="92">
        <f t="shared" si="1170"/>
        <v>3842178.4137931038</v>
      </c>
      <c r="I2352" s="31">
        <f t="shared" ref="I2352:I2357" si="1171">SUM(B2352:H2352)</f>
        <v>19372069.068275861</v>
      </c>
      <c r="J2352" s="256">
        <f t="shared" ref="J2352:J2357" si="1172">I2352/7</f>
        <v>2767438.4383251229</v>
      </c>
    </row>
    <row r="2353" spans="1:88" s="186" customFormat="1" x14ac:dyDescent="0.25">
      <c r="A2353" s="246" t="s">
        <v>26</v>
      </c>
      <c r="B2353" s="255">
        <f t="shared" ref="B2353:H2353" si="1173">B2357*B2346</f>
        <v>17371.462758620692</v>
      </c>
      <c r="C2353" s="92">
        <f t="shared" si="1173"/>
        <v>21054.204827586207</v>
      </c>
      <c r="D2353" s="92">
        <f t="shared" si="1173"/>
        <v>83999.646206896548</v>
      </c>
      <c r="E2353" s="92">
        <f t="shared" si="1173"/>
        <v>0</v>
      </c>
      <c r="F2353" s="92">
        <f t="shared" si="1173"/>
        <v>0</v>
      </c>
      <c r="G2353" s="92">
        <f t="shared" si="1173"/>
        <v>68877.288275862084</v>
      </c>
      <c r="H2353" s="92">
        <f t="shared" si="1173"/>
        <v>51229.045517241386</v>
      </c>
      <c r="I2353" s="31">
        <f t="shared" si="1171"/>
        <v>242531.64758620691</v>
      </c>
      <c r="J2353" s="256">
        <f t="shared" si="1172"/>
        <v>34647.378226600988</v>
      </c>
    </row>
    <row r="2354" spans="1:88" s="186" customFormat="1" x14ac:dyDescent="0.25">
      <c r="A2354" s="246" t="s">
        <v>27</v>
      </c>
      <c r="B2354" s="255">
        <f t="shared" ref="B2354:H2354" si="1174">B2357*B2347</f>
        <v>416915.10620689654</v>
      </c>
      <c r="C2354" s="92">
        <f t="shared" si="1174"/>
        <v>526355.12068965519</v>
      </c>
      <c r="D2354" s="92">
        <f t="shared" si="1174"/>
        <v>951995.99034482776</v>
      </c>
      <c r="E2354" s="92">
        <f t="shared" si="1174"/>
        <v>654876.12413793115</v>
      </c>
      <c r="F2354" s="92">
        <f t="shared" si="1174"/>
        <v>1194972.9137931035</v>
      </c>
      <c r="G2354" s="92">
        <f t="shared" si="1174"/>
        <v>1790809.495172414</v>
      </c>
      <c r="H2354" s="92">
        <f t="shared" si="1174"/>
        <v>1229497.0924137933</v>
      </c>
      <c r="I2354" s="31">
        <f t="shared" si="1171"/>
        <v>6765421.8427586211</v>
      </c>
      <c r="J2354" s="256">
        <f t="shared" si="1172"/>
        <v>966488.834679803</v>
      </c>
    </row>
    <row r="2355" spans="1:88" s="186" customFormat="1" x14ac:dyDescent="0.25">
      <c r="A2355" s="246" t="s">
        <v>28</v>
      </c>
      <c r="B2355" s="255">
        <f t="shared" ref="B2355:H2355" si="1175">B2357*B2348</f>
        <v>0</v>
      </c>
      <c r="C2355" s="92">
        <f t="shared" si="1175"/>
        <v>0</v>
      </c>
      <c r="D2355" s="92">
        <f t="shared" si="1175"/>
        <v>0</v>
      </c>
      <c r="E2355" s="92">
        <f t="shared" si="1175"/>
        <v>0</v>
      </c>
      <c r="F2355" s="92">
        <f t="shared" si="1175"/>
        <v>0</v>
      </c>
      <c r="G2355" s="92">
        <f t="shared" si="1175"/>
        <v>0</v>
      </c>
      <c r="H2355" s="92">
        <f t="shared" si="1175"/>
        <v>0</v>
      </c>
      <c r="I2355" s="31">
        <f t="shared" si="1171"/>
        <v>0</v>
      </c>
      <c r="J2355" s="256">
        <f t="shared" si="1172"/>
        <v>0</v>
      </c>
    </row>
    <row r="2356" spans="1:88" s="186" customFormat="1" x14ac:dyDescent="0.25">
      <c r="A2356" s="246" t="s">
        <v>29</v>
      </c>
      <c r="B2356" s="255">
        <f t="shared" ref="B2356:H2356" si="1176">B2357*B2349</f>
        <v>0</v>
      </c>
      <c r="C2356" s="731">
        <f t="shared" si="1176"/>
        <v>0</v>
      </c>
      <c r="D2356" s="731">
        <f t="shared" si="1176"/>
        <v>0</v>
      </c>
      <c r="E2356" s="731">
        <f t="shared" si="1176"/>
        <v>29767.096551724142</v>
      </c>
      <c r="F2356" s="731">
        <f t="shared" si="1176"/>
        <v>0</v>
      </c>
      <c r="G2356" s="731">
        <f t="shared" si="1176"/>
        <v>0</v>
      </c>
      <c r="H2356" s="731">
        <f t="shared" si="1176"/>
        <v>0</v>
      </c>
      <c r="I2356" s="31">
        <f t="shared" si="1171"/>
        <v>29767.096551724142</v>
      </c>
      <c r="J2356" s="256">
        <f t="shared" si="1172"/>
        <v>4252.4423645320203</v>
      </c>
    </row>
    <row r="2357" spans="1:88" s="186" customFormat="1" x14ac:dyDescent="0.25">
      <c r="A2357" s="257" t="s">
        <v>30</v>
      </c>
      <c r="B2357" s="258">
        <f>(2135500/1.16)-B2358</f>
        <v>1737146.2758620691</v>
      </c>
      <c r="C2357" s="733">
        <f>(2585100/1.16)-C2358</f>
        <v>2105420.4827586208</v>
      </c>
      <c r="D2357" s="733">
        <f>(3407600/1.16)-D2358</f>
        <v>2799988.2068965519</v>
      </c>
      <c r="E2357" s="733">
        <f>(3649000/1.16)-E2358</f>
        <v>2976709.6551724141</v>
      </c>
      <c r="F2357" s="733">
        <f>(5844300/1.16)-F2358</f>
        <v>4779891.6551724141</v>
      </c>
      <c r="G2357" s="733">
        <f>(8393000/1.16)-G2358</f>
        <v>6887728.8275862075</v>
      </c>
      <c r="H2357" s="733">
        <f>(6301000/1.16)-H2358</f>
        <v>5122904.5517241387</v>
      </c>
      <c r="I2357" s="730">
        <f t="shared" si="1171"/>
        <v>26409789.655172419</v>
      </c>
      <c r="J2357" s="259">
        <f t="shared" si="1172"/>
        <v>3772827.0935960598</v>
      </c>
    </row>
    <row r="2358" spans="1:88" s="186" customFormat="1" x14ac:dyDescent="0.25">
      <c r="A2358" s="246" t="s">
        <v>31</v>
      </c>
      <c r="B2358" s="255">
        <f t="shared" ref="B2358:I2358" si="1177">2414*B2339</f>
        <v>103802</v>
      </c>
      <c r="C2358" s="732">
        <f t="shared" si="1177"/>
        <v>123114</v>
      </c>
      <c r="D2358" s="732">
        <f t="shared" si="1177"/>
        <v>137598</v>
      </c>
      <c r="E2358" s="732">
        <f t="shared" si="1177"/>
        <v>168980</v>
      </c>
      <c r="F2358" s="732">
        <f t="shared" si="1177"/>
        <v>258298</v>
      </c>
      <c r="G2358" s="732">
        <f t="shared" si="1177"/>
        <v>347616</v>
      </c>
      <c r="H2358" s="732">
        <f t="shared" si="1177"/>
        <v>308992</v>
      </c>
      <c r="I2358" s="31">
        <f t="shared" si="1177"/>
        <v>1448400</v>
      </c>
      <c r="J2358" s="256">
        <f>+J2339*2414</f>
        <v>206914.28571428571</v>
      </c>
    </row>
    <row r="2359" spans="1:88" s="186" customFormat="1" x14ac:dyDescent="0.25">
      <c r="A2359" s="260" t="s">
        <v>32</v>
      </c>
      <c r="B2359" s="261">
        <f>B2358+B2357</f>
        <v>1840948.2758620691</v>
      </c>
      <c r="C2359" s="199">
        <f>C2358+C2357</f>
        <v>2228534.4827586208</v>
      </c>
      <c r="D2359" s="199">
        <f>D2358+D2357</f>
        <v>2937586.2068965519</v>
      </c>
      <c r="E2359" s="199">
        <f>E2358+E2357</f>
        <v>3145689.6551724141</v>
      </c>
      <c r="F2359" s="199">
        <f>F2357+F2358</f>
        <v>5038189.6551724141</v>
      </c>
      <c r="G2359" s="199">
        <f>G2358+G2357</f>
        <v>7235344.8275862075</v>
      </c>
      <c r="H2359" s="199">
        <f>H2358+H2357</f>
        <v>5431896.5517241387</v>
      </c>
      <c r="I2359" s="199">
        <f>I2357+I2358</f>
        <v>27858189.655172419</v>
      </c>
      <c r="J2359" s="262">
        <f>I2359/7</f>
        <v>3979741.3793103457</v>
      </c>
    </row>
    <row r="2360" spans="1:88" s="186" customFormat="1" x14ac:dyDescent="0.25">
      <c r="A2360" s="246" t="s">
        <v>33</v>
      </c>
      <c r="B2360" s="263">
        <f>B2359*16%</f>
        <v>294551.72413793107</v>
      </c>
      <c r="C2360" s="94">
        <f t="shared" ref="C2360:H2360" si="1178">C2359*16%</f>
        <v>356565.5172413793</v>
      </c>
      <c r="D2360" s="94">
        <f t="shared" si="1178"/>
        <v>470013.79310344829</v>
      </c>
      <c r="E2360" s="94">
        <f t="shared" si="1178"/>
        <v>503310.34482758626</v>
      </c>
      <c r="F2360" s="94">
        <f t="shared" si="1178"/>
        <v>806110.34482758632</v>
      </c>
      <c r="G2360" s="94">
        <f t="shared" si="1178"/>
        <v>1157655.1724137932</v>
      </c>
      <c r="H2360" s="94">
        <f t="shared" si="1178"/>
        <v>869103.44827586226</v>
      </c>
      <c r="I2360" s="94">
        <f>I2359*16%</f>
        <v>4457310.3448275868</v>
      </c>
      <c r="J2360" s="256">
        <f>I2360/7</f>
        <v>636758.6206896553</v>
      </c>
    </row>
    <row r="2361" spans="1:88" s="186" customFormat="1" ht="15.75" thickBot="1" x14ac:dyDescent="0.3">
      <c r="A2361" s="264" t="s">
        <v>34</v>
      </c>
      <c r="B2361" s="265">
        <f>B2359+B2360</f>
        <v>2135500</v>
      </c>
      <c r="C2361" s="266">
        <f t="shared" ref="C2361:H2361" si="1179">C2359+C2360</f>
        <v>2585100</v>
      </c>
      <c r="D2361" s="266">
        <f t="shared" si="1179"/>
        <v>3407600</v>
      </c>
      <c r="E2361" s="266">
        <f t="shared" si="1179"/>
        <v>3649000.0000000005</v>
      </c>
      <c r="F2361" s="266">
        <f t="shared" si="1179"/>
        <v>5844300</v>
      </c>
      <c r="G2361" s="266">
        <f t="shared" si="1179"/>
        <v>8393000</v>
      </c>
      <c r="H2361" s="266">
        <f t="shared" si="1179"/>
        <v>6301000.0000000009</v>
      </c>
      <c r="I2361" s="266">
        <f>I2359+I2360</f>
        <v>32315500.000000007</v>
      </c>
      <c r="J2361" s="267">
        <f>I2361/7</f>
        <v>4616500.0000000009</v>
      </c>
    </row>
    <row r="2362" spans="1:88" s="186" customFormat="1" x14ac:dyDescent="0.25">
      <c r="A2362" s="204"/>
      <c r="B2362" s="112"/>
      <c r="C2362" s="112"/>
      <c r="D2362" s="112"/>
      <c r="E2362" s="112"/>
      <c r="F2362" s="112"/>
      <c r="G2362" s="112"/>
      <c r="H2362" s="112"/>
      <c r="I2362" s="112"/>
      <c r="J2362" s="205"/>
    </row>
    <row r="2363" spans="1:88" s="186" customFormat="1" ht="15.75" thickBot="1" x14ac:dyDescent="0.3">
      <c r="A2363" s="204"/>
      <c r="B2363" s="112"/>
      <c r="C2363" s="112"/>
      <c r="D2363" s="112"/>
      <c r="E2363" s="112"/>
      <c r="F2363" s="112"/>
      <c r="G2363" s="112"/>
      <c r="H2363" s="112"/>
      <c r="I2363" s="112"/>
      <c r="J2363" s="205"/>
    </row>
    <row r="2364" spans="1:88" s="186" customFormat="1" ht="27" thickBot="1" x14ac:dyDescent="0.3">
      <c r="A2364"/>
      <c r="B2364" s="269" t="s">
        <v>352</v>
      </c>
      <c r="C2364" s="270"/>
      <c r="D2364" s="270"/>
      <c r="E2364" s="270"/>
      <c r="F2364" s="270"/>
      <c r="G2364" s="270"/>
      <c r="H2364" s="270"/>
      <c r="I2364" s="270"/>
      <c r="J2364" s="270"/>
      <c r="K2364" s="270"/>
      <c r="L2364" s="270"/>
      <c r="M2364" s="270"/>
      <c r="N2364" s="270"/>
      <c r="O2364" s="270"/>
      <c r="P2364" s="270"/>
      <c r="Q2364" s="270"/>
      <c r="R2364" s="270"/>
      <c r="S2364" s="270"/>
      <c r="T2364" s="270"/>
      <c r="U2364" s="271"/>
    </row>
    <row r="2365" spans="1:88" s="186" customFormat="1" ht="15.75" x14ac:dyDescent="0.25">
      <c r="A2365" s="187" t="s">
        <v>2</v>
      </c>
      <c r="B2365" s="50" t="s">
        <v>353</v>
      </c>
      <c r="C2365" s="50" t="s">
        <v>354</v>
      </c>
      <c r="D2365" s="50" t="s">
        <v>355</v>
      </c>
      <c r="E2365" s="50" t="s">
        <v>356</v>
      </c>
      <c r="F2365" s="50" t="s">
        <v>357</v>
      </c>
      <c r="G2365" s="50" t="s">
        <v>69</v>
      </c>
      <c r="H2365" s="50" t="s">
        <v>358</v>
      </c>
      <c r="I2365" s="50" t="s">
        <v>359</v>
      </c>
      <c r="J2365" s="50" t="s">
        <v>98</v>
      </c>
      <c r="K2365" s="52" t="s">
        <v>106</v>
      </c>
      <c r="L2365" s="50" t="s">
        <v>114</v>
      </c>
      <c r="M2365" s="50" t="s">
        <v>130</v>
      </c>
      <c r="N2365" s="50" t="s">
        <v>138</v>
      </c>
      <c r="O2365" s="50" t="s">
        <v>146</v>
      </c>
      <c r="P2365" s="50" t="s">
        <v>154</v>
      </c>
      <c r="Q2365" s="50" t="s">
        <v>162</v>
      </c>
      <c r="R2365" s="50" t="s">
        <v>166</v>
      </c>
      <c r="S2365" s="50" t="s">
        <v>169</v>
      </c>
      <c r="T2365" s="50" t="s">
        <v>360</v>
      </c>
      <c r="U2365" s="50" t="s">
        <v>361</v>
      </c>
      <c r="V2365" s="50" t="s">
        <v>362</v>
      </c>
      <c r="W2365" s="50" t="s">
        <v>363</v>
      </c>
      <c r="X2365" s="50" t="s">
        <v>364</v>
      </c>
      <c r="Y2365" s="50" t="s">
        <v>365</v>
      </c>
      <c r="Z2365" s="50" t="s">
        <v>366</v>
      </c>
      <c r="AA2365" s="50" t="s">
        <v>367</v>
      </c>
      <c r="AB2365" s="50" t="s">
        <v>368</v>
      </c>
      <c r="AC2365" s="50" t="s">
        <v>369</v>
      </c>
      <c r="AD2365" s="50" t="s">
        <v>370</v>
      </c>
      <c r="AE2365" s="50" t="s">
        <v>371</v>
      </c>
      <c r="AF2365" s="50" t="s">
        <v>372</v>
      </c>
      <c r="AG2365" s="50" t="s">
        <v>373</v>
      </c>
      <c r="AH2365" s="50" t="s">
        <v>374</v>
      </c>
      <c r="AI2365" s="50" t="s">
        <v>375</v>
      </c>
      <c r="AJ2365" s="50" t="s">
        <v>376</v>
      </c>
      <c r="AK2365" s="50" t="s">
        <v>377</v>
      </c>
      <c r="AL2365" s="50" t="s">
        <v>378</v>
      </c>
      <c r="AM2365" s="50" t="s">
        <v>379</v>
      </c>
      <c r="AN2365" s="50" t="s">
        <v>380</v>
      </c>
      <c r="AO2365" s="50" t="s">
        <v>381</v>
      </c>
      <c r="AP2365" s="50" t="s">
        <v>382</v>
      </c>
      <c r="AQ2365" s="50" t="s">
        <v>383</v>
      </c>
      <c r="AR2365" s="50" t="s">
        <v>384</v>
      </c>
      <c r="AS2365" s="50" t="s">
        <v>385</v>
      </c>
      <c r="AT2365" s="50" t="s">
        <v>386</v>
      </c>
      <c r="AU2365" s="50" t="s">
        <v>387</v>
      </c>
      <c r="AV2365" s="50" t="s">
        <v>388</v>
      </c>
      <c r="AW2365" s="50" t="s">
        <v>389</v>
      </c>
      <c r="AX2365" s="50" t="s">
        <v>390</v>
      </c>
      <c r="AY2365" s="50" t="s">
        <v>391</v>
      </c>
      <c r="AZ2365" s="50" t="s">
        <v>392</v>
      </c>
      <c r="BA2365" s="50" t="s">
        <v>393</v>
      </c>
      <c r="BB2365" s="50" t="s">
        <v>394</v>
      </c>
      <c r="BC2365" s="50" t="s">
        <v>395</v>
      </c>
      <c r="BD2365" s="50" t="s">
        <v>396</v>
      </c>
      <c r="BE2365" s="50" t="s">
        <v>397</v>
      </c>
      <c r="BF2365" s="50" t="s">
        <v>398</v>
      </c>
      <c r="BG2365" s="50" t="s">
        <v>399</v>
      </c>
      <c r="BH2365" s="50" t="s">
        <v>607</v>
      </c>
      <c r="BI2365" s="50" t="s">
        <v>618</v>
      </c>
      <c r="BJ2365" s="50" t="s">
        <v>620</v>
      </c>
      <c r="BK2365" s="50" t="s">
        <v>624</v>
      </c>
      <c r="BL2365" s="50" t="s">
        <v>627</v>
      </c>
      <c r="BM2365" s="50" t="s">
        <v>631</v>
      </c>
      <c r="BN2365" s="50" t="s">
        <v>634</v>
      </c>
      <c r="BO2365" s="50" t="s">
        <v>637</v>
      </c>
      <c r="BP2365" s="50" t="s">
        <v>640</v>
      </c>
      <c r="BQ2365" s="50" t="s">
        <v>643</v>
      </c>
      <c r="BR2365" s="50" t="s">
        <v>646</v>
      </c>
      <c r="BS2365" s="50" t="s">
        <v>649</v>
      </c>
      <c r="BT2365" s="50" t="s">
        <v>652</v>
      </c>
      <c r="BU2365" s="50" t="s">
        <v>656</v>
      </c>
      <c r="BV2365" s="50" t="s">
        <v>660</v>
      </c>
      <c r="BW2365" s="50" t="s">
        <v>663</v>
      </c>
      <c r="BX2365" s="50" t="s">
        <v>667</v>
      </c>
      <c r="BY2365" s="50" t="s">
        <v>670</v>
      </c>
      <c r="BZ2365" s="50" t="s">
        <v>675</v>
      </c>
      <c r="CA2365" s="50" t="s">
        <v>678</v>
      </c>
      <c r="CB2365" s="50" t="s">
        <v>681</v>
      </c>
      <c r="CC2365" s="50" t="s">
        <v>685</v>
      </c>
      <c r="CD2365" s="50" t="s">
        <v>687</v>
      </c>
      <c r="CE2365" s="50" t="s">
        <v>691</v>
      </c>
      <c r="CF2365" s="50" t="s">
        <v>694</v>
      </c>
      <c r="CG2365" s="50" t="s">
        <v>697</v>
      </c>
      <c r="CH2365" s="50" t="s">
        <v>704</v>
      </c>
      <c r="CI2365" s="50" t="s">
        <v>10</v>
      </c>
      <c r="CJ2365" s="52" t="s">
        <v>400</v>
      </c>
    </row>
    <row r="2366" spans="1:88" s="186" customFormat="1" x14ac:dyDescent="0.25">
      <c r="A2366" s="210" t="s">
        <v>11</v>
      </c>
      <c r="B2366" s="189">
        <f t="shared" ref="B2366:B2377" si="1180">+I5</f>
        <v>210</v>
      </c>
      <c r="C2366" s="189">
        <f t="shared" ref="C2366:C2377" si="1181">+I33</f>
        <v>1649</v>
      </c>
      <c r="D2366" s="189">
        <f t="shared" ref="D2366:D2377" si="1182">+I62</f>
        <v>1587</v>
      </c>
      <c r="E2366" s="189">
        <v>1995</v>
      </c>
      <c r="F2366" s="189">
        <f t="shared" ref="F2366:F2377" si="1183">+I118</f>
        <v>1682</v>
      </c>
      <c r="G2366" s="189">
        <f t="shared" ref="G2366:G2377" si="1184">+I145</f>
        <v>1865</v>
      </c>
      <c r="H2366" s="189">
        <f t="shared" ref="H2366:H2377" si="1185">+I175</f>
        <v>1331</v>
      </c>
      <c r="I2366" s="189">
        <f t="shared" ref="I2366:I2377" si="1186">+I203</f>
        <v>1715</v>
      </c>
      <c r="J2366" s="189">
        <f t="shared" ref="J2366:J2372" si="1187">I234</f>
        <v>1826</v>
      </c>
      <c r="K2366" s="189">
        <v>1644</v>
      </c>
      <c r="L2366" s="272">
        <f t="shared" ref="L2366:L2377" si="1188">I290</f>
        <v>1916</v>
      </c>
      <c r="M2366" s="272">
        <f t="shared" ref="M2366:M2372" si="1189">I346</f>
        <v>2127</v>
      </c>
      <c r="N2366" s="272">
        <f t="shared" ref="N2366:N2377" si="1190">I374</f>
        <v>1787</v>
      </c>
      <c r="O2366" s="272">
        <f t="shared" ref="O2366:O2377" si="1191">I402</f>
        <v>2048</v>
      </c>
      <c r="P2366" s="272">
        <f t="shared" ref="P2366:P2377" si="1192">I430</f>
        <v>1827</v>
      </c>
      <c r="Q2366" s="272">
        <f>I458</f>
        <v>2018</v>
      </c>
      <c r="R2366" s="272">
        <f t="shared" ref="R2366:R2377" si="1193">I486</f>
        <v>2166</v>
      </c>
      <c r="S2366" s="272">
        <f>I514</f>
        <v>1786</v>
      </c>
      <c r="T2366" s="272">
        <f>I542</f>
        <v>1703</v>
      </c>
      <c r="U2366" s="272">
        <f>I570</f>
        <v>1508</v>
      </c>
      <c r="V2366" s="272">
        <f t="shared" ref="V2366:V2377" si="1194">I598</f>
        <v>1612</v>
      </c>
      <c r="W2366" s="272">
        <f t="shared" ref="W2366:W2372" si="1195">I625</f>
        <v>1920</v>
      </c>
      <c r="X2366" s="272">
        <f>I653</f>
        <v>1760</v>
      </c>
      <c r="Y2366" s="272">
        <f t="shared" ref="Y2366:Y2372" si="1196">I681</f>
        <v>1852</v>
      </c>
      <c r="Z2366" s="272">
        <f t="shared" ref="Z2366:Z2377" si="1197">I709</f>
        <v>1913</v>
      </c>
      <c r="AA2366" s="272">
        <f t="shared" ref="AA2366:AA2377" si="1198">I737</f>
        <v>1885</v>
      </c>
      <c r="AB2366" s="272">
        <f t="shared" ref="AB2366:AB2372" si="1199">I765</f>
        <v>1808</v>
      </c>
      <c r="AC2366" s="272">
        <f>+I793</f>
        <v>1947</v>
      </c>
      <c r="AD2366" s="272">
        <f t="shared" ref="AD2366:AD2377" si="1200">+I821</f>
        <v>2053</v>
      </c>
      <c r="AE2366" s="272">
        <f t="shared" ref="AE2366:AE2377" si="1201">+I849</f>
        <v>1875</v>
      </c>
      <c r="AF2366" s="272">
        <f t="shared" ref="AF2366:AF2377" si="1202">+I877</f>
        <v>1892</v>
      </c>
      <c r="AG2366" s="272">
        <f t="shared" ref="AG2366:AG2377" si="1203">+I905</f>
        <v>2356</v>
      </c>
      <c r="AH2366" s="272">
        <f t="shared" ref="AH2366:AH2377" si="1204">+I933</f>
        <v>2163</v>
      </c>
      <c r="AI2366" s="272">
        <f t="shared" ref="AI2366:AI2377" si="1205">+I960</f>
        <v>2051</v>
      </c>
      <c r="AJ2366" s="272">
        <f t="shared" ref="AJ2366:AJ2377" si="1206">+I987</f>
        <v>2082</v>
      </c>
      <c r="AK2366" s="272">
        <f t="shared" ref="AK2366:AK2377" si="1207">+I1014</f>
        <v>2068</v>
      </c>
      <c r="AL2366" s="272">
        <f t="shared" ref="AL2366:AL2377" si="1208">+I1041</f>
        <v>1842</v>
      </c>
      <c r="AM2366" s="272">
        <f t="shared" ref="AM2366:AM2377" si="1209">+I1068</f>
        <v>1780</v>
      </c>
      <c r="AN2366" s="272">
        <f t="shared" ref="AN2366:AN2377" si="1210">+I1095</f>
        <v>1900</v>
      </c>
      <c r="AO2366" s="272">
        <f t="shared" ref="AO2366:AO2377" si="1211">+I1122</f>
        <v>2012</v>
      </c>
      <c r="AP2366" s="272">
        <f t="shared" ref="AP2366:AP2377" si="1212">+I1149</f>
        <v>1975</v>
      </c>
      <c r="AQ2366" s="272">
        <f t="shared" ref="AQ2366:AQ2377" si="1213">+I1176</f>
        <v>1869</v>
      </c>
      <c r="AR2366" s="272">
        <f t="shared" ref="AR2366:AR2377" si="1214">+I1203</f>
        <v>2011</v>
      </c>
      <c r="AS2366" s="272">
        <f t="shared" ref="AS2366:AS2377" si="1215">+I1231</f>
        <v>1858</v>
      </c>
      <c r="AT2366" s="272">
        <f t="shared" ref="AT2366:AT2377" si="1216">+I1258</f>
        <v>1622</v>
      </c>
      <c r="AU2366" s="272">
        <f t="shared" ref="AU2366:AU2377" si="1217">+I1285</f>
        <v>1982</v>
      </c>
      <c r="AV2366" s="272">
        <f t="shared" ref="AV2366:AV2377" si="1218">+I1312</f>
        <v>2148</v>
      </c>
      <c r="AW2366" s="272">
        <f t="shared" ref="AW2366:AW2377" si="1219">+I1339</f>
        <v>1776</v>
      </c>
      <c r="AX2366" s="272">
        <f t="shared" ref="AX2366:AX2377" si="1220">+I1366</f>
        <v>1996</v>
      </c>
      <c r="AY2366" s="272">
        <f t="shared" ref="AY2366:AY2377" si="1221">+I1393</f>
        <v>1789</v>
      </c>
      <c r="AZ2366" s="272">
        <f t="shared" ref="AZ2366:AZ2377" si="1222">+I1420</f>
        <v>1886</v>
      </c>
      <c r="BA2366" s="272">
        <f t="shared" ref="BA2366:BA2377" si="1223">+I1447</f>
        <v>1750</v>
      </c>
      <c r="BB2366" s="272">
        <f t="shared" ref="BB2366:BB2377" si="1224">+I1474</f>
        <v>1950</v>
      </c>
      <c r="BC2366" s="272">
        <f t="shared" ref="BC2366:BC2377" si="1225">+I1501</f>
        <v>1512</v>
      </c>
      <c r="BD2366" s="272">
        <f t="shared" ref="BD2366:BD2377" si="1226">+I1528</f>
        <v>1705</v>
      </c>
      <c r="BE2366" s="272">
        <f t="shared" ref="BE2366:BE2377" si="1227">+I1555</f>
        <v>1628</v>
      </c>
      <c r="BF2366" s="272">
        <f t="shared" ref="BF2366:BF2372" si="1228">+I1582</f>
        <v>1636</v>
      </c>
      <c r="BG2366" s="272">
        <f t="shared" ref="BG2366:BG2372" si="1229">+I1609</f>
        <v>1550</v>
      </c>
      <c r="BH2366" s="272">
        <f>+I1636</f>
        <v>1686</v>
      </c>
      <c r="BI2366" s="272">
        <f>+I1663</f>
        <v>1594</v>
      </c>
      <c r="BJ2366" s="272">
        <f>+I1690</f>
        <v>1554</v>
      </c>
      <c r="BK2366" s="272">
        <f>+I1717</f>
        <v>1812</v>
      </c>
      <c r="BL2366" s="272">
        <f>+I1744</f>
        <v>1654</v>
      </c>
      <c r="BM2366" s="272">
        <f>+I1771</f>
        <v>1586</v>
      </c>
      <c r="BN2366" s="272">
        <f>+I1798</f>
        <v>1781</v>
      </c>
      <c r="BO2366" s="272">
        <f>+I1825</f>
        <v>1832</v>
      </c>
      <c r="BP2366" s="272">
        <f>+I1852</f>
        <v>1746</v>
      </c>
      <c r="BQ2366" s="272">
        <f>+I1879</f>
        <v>1725</v>
      </c>
      <c r="BR2366" s="272">
        <f>+I1906</f>
        <v>1861</v>
      </c>
      <c r="BS2366" s="272">
        <f>+I1933</f>
        <v>1560</v>
      </c>
      <c r="BT2366" s="272">
        <f>+I1960</f>
        <v>1392</v>
      </c>
      <c r="BU2366" s="272">
        <f>+I1987</f>
        <v>1128</v>
      </c>
      <c r="BV2366" s="272">
        <f>+I2014</f>
        <v>1307</v>
      </c>
      <c r="BW2366" s="272">
        <f>+I2041</f>
        <v>1509</v>
      </c>
      <c r="BX2366" s="272">
        <f>+I2068</f>
        <v>1508</v>
      </c>
      <c r="BY2366" s="272">
        <f>+I2095</f>
        <v>1554</v>
      </c>
      <c r="BZ2366" s="272">
        <f>+I2122</f>
        <v>1644</v>
      </c>
      <c r="CA2366" s="272">
        <f>+I2149</f>
        <v>1542</v>
      </c>
      <c r="CB2366" s="272">
        <f>+I2176</f>
        <v>1512</v>
      </c>
      <c r="CC2366" s="272">
        <f>+I2203</f>
        <v>1594</v>
      </c>
      <c r="CD2366" s="272">
        <f>+I2230</f>
        <v>1625</v>
      </c>
      <c r="CE2366" s="272">
        <f>+I2257</f>
        <v>1704</v>
      </c>
      <c r="CF2366" s="272">
        <f>+I2284</f>
        <v>1470</v>
      </c>
      <c r="CG2366" s="272">
        <f>+I2311</f>
        <v>1760</v>
      </c>
      <c r="CH2366" s="272">
        <f>+I2338</f>
        <v>1137</v>
      </c>
      <c r="CI2366" s="272">
        <f>SUM('PEPE SIERRA '!$B2366:$CH2366)</f>
        <v>148581</v>
      </c>
      <c r="CJ2366" s="273">
        <f>'PEPE SIERRA '!$CI2366/85</f>
        <v>1748.0117647058823</v>
      </c>
    </row>
    <row r="2367" spans="1:88" s="186" customFormat="1" x14ac:dyDescent="0.25">
      <c r="A2367" s="212" t="s">
        <v>12</v>
      </c>
      <c r="B2367" s="11">
        <f t="shared" si="1180"/>
        <v>58</v>
      </c>
      <c r="C2367" s="11">
        <f t="shared" si="1181"/>
        <v>464</v>
      </c>
      <c r="D2367" s="11">
        <f t="shared" si="1182"/>
        <v>719</v>
      </c>
      <c r="E2367" s="11">
        <f t="shared" ref="E2367:E2377" si="1230">+I91</f>
        <v>728</v>
      </c>
      <c r="F2367" s="11">
        <f t="shared" si="1183"/>
        <v>853</v>
      </c>
      <c r="G2367" s="11">
        <f t="shared" si="1184"/>
        <v>758</v>
      </c>
      <c r="H2367" s="11">
        <f t="shared" si="1185"/>
        <v>749</v>
      </c>
      <c r="I2367" s="11">
        <f t="shared" si="1186"/>
        <v>918</v>
      </c>
      <c r="J2367" s="274">
        <f t="shared" si="1187"/>
        <v>765</v>
      </c>
      <c r="K2367" s="274">
        <v>650</v>
      </c>
      <c r="L2367" s="275">
        <f t="shared" si="1188"/>
        <v>958</v>
      </c>
      <c r="M2367" s="275">
        <f t="shared" si="1189"/>
        <v>1052</v>
      </c>
      <c r="N2367" s="275">
        <f t="shared" si="1190"/>
        <v>1199</v>
      </c>
      <c r="O2367" s="275">
        <f t="shared" si="1191"/>
        <v>1108</v>
      </c>
      <c r="P2367" s="275">
        <f>I431</f>
        <v>1103</v>
      </c>
      <c r="Q2367" s="275">
        <f t="shared" ref="Q2367:Q2372" si="1231">I459</f>
        <v>1067</v>
      </c>
      <c r="R2367" s="275">
        <f t="shared" si="1193"/>
        <v>1138</v>
      </c>
      <c r="S2367" s="275">
        <f t="shared" ref="S2367:S2372" si="1232">I515</f>
        <v>1010</v>
      </c>
      <c r="T2367" s="275">
        <f t="shared" ref="T2367:T2372" si="1233">I543</f>
        <v>797</v>
      </c>
      <c r="U2367" s="275">
        <f t="shared" ref="U2367:U2372" si="1234">I571</f>
        <v>607</v>
      </c>
      <c r="V2367" s="275">
        <f t="shared" si="1194"/>
        <v>691</v>
      </c>
      <c r="W2367" s="275">
        <f t="shared" si="1195"/>
        <v>1047</v>
      </c>
      <c r="X2367" s="275">
        <f t="shared" ref="X2367:X2372" si="1235">I654</f>
        <v>901</v>
      </c>
      <c r="Y2367" s="275">
        <f t="shared" si="1196"/>
        <v>924</v>
      </c>
      <c r="Z2367" s="275">
        <f t="shared" si="1197"/>
        <v>1035</v>
      </c>
      <c r="AA2367" s="275">
        <f t="shared" ref="AA2367:AA2372" si="1236">I738</f>
        <v>1014</v>
      </c>
      <c r="AB2367" s="275">
        <f t="shared" si="1199"/>
        <v>1015</v>
      </c>
      <c r="AC2367" s="275">
        <f t="shared" ref="AC2367:AC2372" si="1237">+I794</f>
        <v>1099</v>
      </c>
      <c r="AD2367" s="275">
        <f t="shared" si="1200"/>
        <v>1142</v>
      </c>
      <c r="AE2367" s="275">
        <f t="shared" si="1201"/>
        <v>1073</v>
      </c>
      <c r="AF2367" s="275">
        <f t="shared" si="1202"/>
        <v>1038</v>
      </c>
      <c r="AG2367" s="275">
        <f t="shared" si="1203"/>
        <v>1237</v>
      </c>
      <c r="AH2367" s="275">
        <f t="shared" si="1204"/>
        <v>1088</v>
      </c>
      <c r="AI2367" s="275">
        <f t="shared" si="1205"/>
        <v>1092</v>
      </c>
      <c r="AJ2367" s="275">
        <f t="shared" si="1206"/>
        <v>1117</v>
      </c>
      <c r="AK2367" s="275">
        <f t="shared" si="1207"/>
        <v>1017</v>
      </c>
      <c r="AL2367" s="275">
        <f t="shared" si="1208"/>
        <v>984</v>
      </c>
      <c r="AM2367" s="275">
        <f t="shared" si="1209"/>
        <v>933</v>
      </c>
      <c r="AN2367" s="275">
        <f t="shared" si="1210"/>
        <v>1016</v>
      </c>
      <c r="AO2367" s="275">
        <f t="shared" si="1211"/>
        <v>987</v>
      </c>
      <c r="AP2367" s="275">
        <f t="shared" si="1212"/>
        <v>1107</v>
      </c>
      <c r="AQ2367" s="275">
        <f t="shared" si="1213"/>
        <v>1001</v>
      </c>
      <c r="AR2367" s="275">
        <f t="shared" si="1214"/>
        <v>1096</v>
      </c>
      <c r="AS2367" s="275">
        <f t="shared" si="1215"/>
        <v>938</v>
      </c>
      <c r="AT2367" s="275">
        <f t="shared" si="1216"/>
        <v>842</v>
      </c>
      <c r="AU2367" s="275">
        <f t="shared" si="1217"/>
        <v>1071</v>
      </c>
      <c r="AV2367" s="275">
        <f t="shared" si="1218"/>
        <v>1088</v>
      </c>
      <c r="AW2367" s="275">
        <f t="shared" si="1219"/>
        <v>986</v>
      </c>
      <c r="AX2367" s="275">
        <f t="shared" si="1220"/>
        <v>1087</v>
      </c>
      <c r="AY2367" s="275">
        <f t="shared" si="1221"/>
        <v>948</v>
      </c>
      <c r="AZ2367" s="275">
        <f t="shared" si="1222"/>
        <v>1023</v>
      </c>
      <c r="BA2367" s="275">
        <f t="shared" si="1223"/>
        <v>999</v>
      </c>
      <c r="BB2367" s="275">
        <f t="shared" si="1224"/>
        <v>1089</v>
      </c>
      <c r="BC2367" s="275">
        <f t="shared" si="1225"/>
        <v>798</v>
      </c>
      <c r="BD2367" s="275">
        <f t="shared" si="1226"/>
        <v>929</v>
      </c>
      <c r="BE2367" s="275">
        <f t="shared" si="1227"/>
        <v>899</v>
      </c>
      <c r="BF2367" s="275">
        <f t="shared" si="1228"/>
        <v>917</v>
      </c>
      <c r="BG2367" s="275">
        <f t="shared" si="1229"/>
        <v>815</v>
      </c>
      <c r="BH2367" s="275">
        <f t="shared" ref="BH2367:BH2372" si="1238">+I1637</f>
        <v>873</v>
      </c>
      <c r="BI2367" s="275">
        <f t="shared" ref="BI2367:BI2372" si="1239">+I1664</f>
        <v>884</v>
      </c>
      <c r="BJ2367" s="275">
        <f t="shared" ref="BJ2367:BJ2372" si="1240">+I1691</f>
        <v>818</v>
      </c>
      <c r="BK2367" s="275">
        <f t="shared" ref="BK2367:BK2372" si="1241">+I1718</f>
        <v>1010</v>
      </c>
      <c r="BL2367" s="275">
        <f t="shared" ref="BL2367:BL2372" si="1242">+I1745</f>
        <v>919</v>
      </c>
      <c r="BM2367" s="275">
        <f t="shared" ref="BM2367:BM2372" si="1243">+I1772</f>
        <v>887</v>
      </c>
      <c r="BN2367" s="275">
        <f t="shared" ref="BN2367:BN2372" si="1244">+I1799</f>
        <v>1030</v>
      </c>
      <c r="BO2367" s="275">
        <f t="shared" ref="BO2367:BO2372" si="1245">+I1826</f>
        <v>1064</v>
      </c>
      <c r="BP2367" s="275">
        <f t="shared" ref="BP2367:BP2372" si="1246">+I1853</f>
        <v>988</v>
      </c>
      <c r="BQ2367" s="275">
        <f t="shared" ref="BQ2367:BQ2372" si="1247">+I1880</f>
        <v>993</v>
      </c>
      <c r="BR2367" s="275">
        <f t="shared" ref="BR2367:BR2372" si="1248">+I1907</f>
        <v>1020</v>
      </c>
      <c r="BS2367" s="275">
        <f t="shared" ref="BS2367:BS2372" si="1249">+I1934</f>
        <v>862</v>
      </c>
      <c r="BT2367" s="275">
        <f t="shared" ref="BT2367:BT2372" si="1250">+I1961</f>
        <v>754</v>
      </c>
      <c r="BU2367" s="275">
        <f t="shared" ref="BU2367:BU2372" si="1251">+I1988</f>
        <v>564</v>
      </c>
      <c r="BV2367" s="275">
        <f t="shared" ref="BV2367:BV2372" si="1252">+I2015</f>
        <v>699</v>
      </c>
      <c r="BW2367" s="275">
        <f t="shared" ref="BW2367:BW2372" si="1253">+I2042</f>
        <v>823</v>
      </c>
      <c r="BX2367" s="275">
        <f t="shared" ref="BX2367:BX2372" si="1254">+I2069</f>
        <v>862</v>
      </c>
      <c r="BY2367" s="275">
        <f t="shared" ref="BY2367:BY2372" si="1255">+I2096</f>
        <v>879</v>
      </c>
      <c r="BZ2367" s="275">
        <f t="shared" ref="BZ2367:BZ2372" si="1256">+I2123</f>
        <v>912</v>
      </c>
      <c r="CA2367" s="275">
        <f t="shared" ref="CA2367:CA2372" si="1257">+I2150</f>
        <v>891</v>
      </c>
      <c r="CB2367" s="275">
        <f t="shared" ref="CB2367:CB2372" si="1258">+I2177</f>
        <v>859</v>
      </c>
      <c r="CC2367" s="275">
        <f t="shared" ref="CC2367:CC2372" si="1259">+I2204</f>
        <v>939</v>
      </c>
      <c r="CD2367" s="275">
        <f t="shared" ref="CD2367:CD2372" si="1260">+I2231</f>
        <v>927</v>
      </c>
      <c r="CE2367" s="275">
        <f t="shared" ref="CE2367:CE2372" si="1261">+I2258</f>
        <v>975</v>
      </c>
      <c r="CF2367" s="275">
        <f t="shared" ref="CF2367:CF2372" si="1262">+I2285</f>
        <v>899</v>
      </c>
      <c r="CG2367" s="275">
        <f t="shared" ref="CG2367:CG2372" si="1263">+I2312</f>
        <v>1030</v>
      </c>
      <c r="CH2367" s="275">
        <f t="shared" ref="CH2367:CH2372" si="1264">+I2339</f>
        <v>600</v>
      </c>
      <c r="CI2367" s="276">
        <f>SUM('PEPE SIERRA '!$B2367:$CH2367)</f>
        <v>78745</v>
      </c>
      <c r="CJ2367" s="277">
        <f>'PEPE SIERRA '!$CI2367/85</f>
        <v>926.41176470588232</v>
      </c>
    </row>
    <row r="2368" spans="1:88" s="186" customFormat="1" x14ac:dyDescent="0.25">
      <c r="A2368" s="212" t="s">
        <v>13</v>
      </c>
      <c r="B2368" s="11">
        <f t="shared" si="1180"/>
        <v>58</v>
      </c>
      <c r="C2368" s="11">
        <f t="shared" si="1181"/>
        <v>576</v>
      </c>
      <c r="D2368" s="11">
        <f t="shared" si="1182"/>
        <v>449</v>
      </c>
      <c r="E2368" s="11">
        <f t="shared" si="1230"/>
        <v>576</v>
      </c>
      <c r="F2368" s="11">
        <f t="shared" si="1183"/>
        <v>378</v>
      </c>
      <c r="G2368" s="11">
        <f t="shared" si="1184"/>
        <v>443</v>
      </c>
      <c r="H2368" s="11">
        <f t="shared" si="1185"/>
        <v>91</v>
      </c>
      <c r="I2368" s="11">
        <f t="shared" si="1186"/>
        <v>19</v>
      </c>
      <c r="J2368" s="274">
        <f t="shared" si="1187"/>
        <v>23</v>
      </c>
      <c r="K2368" s="274">
        <v>20</v>
      </c>
      <c r="L2368" s="275">
        <f t="shared" si="1188"/>
        <v>59</v>
      </c>
      <c r="M2368" s="275">
        <f t="shared" si="1189"/>
        <v>40</v>
      </c>
      <c r="N2368" s="275">
        <f t="shared" si="1190"/>
        <v>29</v>
      </c>
      <c r="O2368" s="275">
        <f t="shared" si="1191"/>
        <v>30</v>
      </c>
      <c r="P2368" s="275">
        <f t="shared" si="1192"/>
        <v>22</v>
      </c>
      <c r="Q2368" s="275">
        <f t="shared" si="1231"/>
        <v>11</v>
      </c>
      <c r="R2368" s="275">
        <f t="shared" si="1193"/>
        <v>24</v>
      </c>
      <c r="S2368" s="275">
        <f t="shared" si="1232"/>
        <v>25</v>
      </c>
      <c r="T2368" s="275">
        <f t="shared" si="1233"/>
        <v>42</v>
      </c>
      <c r="U2368" s="275">
        <f t="shared" si="1234"/>
        <v>55</v>
      </c>
      <c r="V2368" s="275">
        <f t="shared" si="1194"/>
        <v>42</v>
      </c>
      <c r="W2368" s="275">
        <f t="shared" si="1195"/>
        <v>39</v>
      </c>
      <c r="X2368" s="275">
        <f t="shared" si="1235"/>
        <v>50</v>
      </c>
      <c r="Y2368" s="275">
        <f t="shared" si="1196"/>
        <v>38</v>
      </c>
      <c r="Z2368" s="275">
        <f t="shared" si="1197"/>
        <v>41</v>
      </c>
      <c r="AA2368" s="275">
        <f t="shared" si="1236"/>
        <v>43</v>
      </c>
      <c r="AB2368" s="275">
        <f t="shared" si="1199"/>
        <v>30</v>
      </c>
      <c r="AC2368" s="275">
        <f t="shared" si="1237"/>
        <v>29</v>
      </c>
      <c r="AD2368" s="275">
        <f t="shared" si="1200"/>
        <v>29</v>
      </c>
      <c r="AE2368" s="275">
        <f t="shared" si="1201"/>
        <v>21</v>
      </c>
      <c r="AF2368" s="275">
        <f t="shared" si="1202"/>
        <v>31</v>
      </c>
      <c r="AG2368" s="275">
        <f t="shared" si="1203"/>
        <v>42</v>
      </c>
      <c r="AH2368" s="275">
        <f t="shared" si="1204"/>
        <v>43</v>
      </c>
      <c r="AI2368" s="275">
        <f t="shared" si="1205"/>
        <v>39</v>
      </c>
      <c r="AJ2368" s="275">
        <f t="shared" si="1206"/>
        <v>24</v>
      </c>
      <c r="AK2368" s="275">
        <f t="shared" si="1207"/>
        <v>29</v>
      </c>
      <c r="AL2368" s="275">
        <f t="shared" si="1208"/>
        <v>30</v>
      </c>
      <c r="AM2368" s="275">
        <f t="shared" si="1209"/>
        <v>30</v>
      </c>
      <c r="AN2368" s="275">
        <f t="shared" si="1210"/>
        <v>27</v>
      </c>
      <c r="AO2368" s="275">
        <f t="shared" si="1211"/>
        <v>26</v>
      </c>
      <c r="AP2368" s="275">
        <f t="shared" si="1212"/>
        <v>29</v>
      </c>
      <c r="AQ2368" s="275">
        <f t="shared" si="1213"/>
        <v>31</v>
      </c>
      <c r="AR2368" s="275">
        <f t="shared" si="1214"/>
        <v>34</v>
      </c>
      <c r="AS2368" s="275">
        <f t="shared" si="1215"/>
        <v>30</v>
      </c>
      <c r="AT2368" s="275">
        <f t="shared" si="1216"/>
        <v>27</v>
      </c>
      <c r="AU2368" s="275">
        <f t="shared" si="1217"/>
        <v>29</v>
      </c>
      <c r="AV2368" s="275">
        <f t="shared" si="1218"/>
        <v>35</v>
      </c>
      <c r="AW2368" s="275">
        <f t="shared" si="1219"/>
        <v>24</v>
      </c>
      <c r="AX2368" s="275">
        <f t="shared" si="1220"/>
        <v>26</v>
      </c>
      <c r="AY2368" s="275">
        <f t="shared" si="1221"/>
        <v>37</v>
      </c>
      <c r="AZ2368" s="275">
        <f t="shared" si="1222"/>
        <v>35</v>
      </c>
      <c r="BA2368" s="275">
        <f t="shared" si="1223"/>
        <v>29</v>
      </c>
      <c r="BB2368" s="275">
        <f t="shared" si="1224"/>
        <v>29</v>
      </c>
      <c r="BC2368" s="275">
        <f t="shared" si="1225"/>
        <v>30</v>
      </c>
      <c r="BD2368" s="275">
        <f t="shared" si="1226"/>
        <v>33</v>
      </c>
      <c r="BE2368" s="275">
        <f t="shared" si="1227"/>
        <v>26</v>
      </c>
      <c r="BF2368" s="275">
        <f t="shared" si="1228"/>
        <v>26</v>
      </c>
      <c r="BG2368" s="275">
        <f t="shared" si="1229"/>
        <v>22</v>
      </c>
      <c r="BH2368" s="275">
        <f t="shared" si="1238"/>
        <v>28</v>
      </c>
      <c r="BI2368" s="275">
        <f t="shared" si="1239"/>
        <v>25</v>
      </c>
      <c r="BJ2368" s="275">
        <f t="shared" si="1240"/>
        <v>26</v>
      </c>
      <c r="BK2368" s="275">
        <f t="shared" si="1241"/>
        <v>27</v>
      </c>
      <c r="BL2368" s="275">
        <f t="shared" si="1242"/>
        <v>14</v>
      </c>
      <c r="BM2368" s="275">
        <f t="shared" si="1243"/>
        <v>12</v>
      </c>
      <c r="BN2368" s="275">
        <f t="shared" si="1244"/>
        <v>18</v>
      </c>
      <c r="BO2368" s="275">
        <f t="shared" si="1245"/>
        <v>16</v>
      </c>
      <c r="BP2368" s="275">
        <f t="shared" si="1246"/>
        <v>16</v>
      </c>
      <c r="BQ2368" s="275">
        <f t="shared" si="1247"/>
        <v>16</v>
      </c>
      <c r="BR2368" s="275">
        <f t="shared" si="1248"/>
        <v>12</v>
      </c>
      <c r="BS2368" s="275">
        <f t="shared" si="1249"/>
        <v>11</v>
      </c>
      <c r="BT2368" s="275">
        <f t="shared" si="1250"/>
        <v>9</v>
      </c>
      <c r="BU2368" s="275">
        <f t="shared" si="1251"/>
        <v>6</v>
      </c>
      <c r="BV2368" s="275">
        <f t="shared" si="1252"/>
        <v>10</v>
      </c>
      <c r="BW2368" s="275">
        <f t="shared" si="1253"/>
        <v>7</v>
      </c>
      <c r="BX2368" s="275">
        <f t="shared" si="1254"/>
        <v>11</v>
      </c>
      <c r="BY2368" s="275">
        <f t="shared" si="1255"/>
        <v>16</v>
      </c>
      <c r="BZ2368" s="275">
        <f t="shared" si="1256"/>
        <v>11</v>
      </c>
      <c r="CA2368" s="275">
        <f t="shared" si="1257"/>
        <v>11</v>
      </c>
      <c r="CB2368" s="275">
        <f t="shared" si="1258"/>
        <v>9</v>
      </c>
      <c r="CC2368" s="275">
        <f t="shared" si="1259"/>
        <v>15</v>
      </c>
      <c r="CD2368" s="275">
        <f t="shared" si="1260"/>
        <v>10</v>
      </c>
      <c r="CE2368" s="275">
        <f t="shared" si="1261"/>
        <v>9</v>
      </c>
      <c r="CF2368" s="275">
        <f t="shared" si="1262"/>
        <v>13</v>
      </c>
      <c r="CG2368" s="275">
        <f t="shared" si="1263"/>
        <v>12</v>
      </c>
      <c r="CH2368" s="275">
        <f t="shared" si="1264"/>
        <v>10</v>
      </c>
      <c r="CI2368" s="276">
        <f>SUM('PEPE SIERRA '!$B2368:$CH2368)</f>
        <v>4565</v>
      </c>
      <c r="CJ2368" s="277">
        <f>'PEPE SIERRA '!$CI2368/85</f>
        <v>53.705882352941174</v>
      </c>
    </row>
    <row r="2369" spans="1:88" s="186" customFormat="1" x14ac:dyDescent="0.25">
      <c r="A2369" s="212" t="s">
        <v>14</v>
      </c>
      <c r="B2369" s="11">
        <f t="shared" si="1180"/>
        <v>25</v>
      </c>
      <c r="C2369" s="11">
        <f t="shared" si="1181"/>
        <v>385</v>
      </c>
      <c r="D2369" s="11">
        <f t="shared" si="1182"/>
        <v>374</v>
      </c>
      <c r="E2369" s="11">
        <f t="shared" si="1230"/>
        <v>493</v>
      </c>
      <c r="F2369" s="11">
        <f t="shared" si="1183"/>
        <v>688</v>
      </c>
      <c r="G2369" s="11">
        <f t="shared" si="1184"/>
        <v>540</v>
      </c>
      <c r="H2369" s="11">
        <f t="shared" si="1185"/>
        <v>549</v>
      </c>
      <c r="I2369" s="11">
        <f t="shared" si="1186"/>
        <v>558</v>
      </c>
      <c r="J2369" s="274">
        <f t="shared" si="1187"/>
        <v>534</v>
      </c>
      <c r="K2369" s="274">
        <v>631</v>
      </c>
      <c r="L2369" s="275">
        <f t="shared" si="1188"/>
        <v>565</v>
      </c>
      <c r="M2369" s="275">
        <f t="shared" si="1189"/>
        <v>469</v>
      </c>
      <c r="N2369" s="275">
        <f t="shared" si="1190"/>
        <v>422</v>
      </c>
      <c r="O2369" s="275">
        <f t="shared" si="1191"/>
        <v>435</v>
      </c>
      <c r="P2369" s="275">
        <f t="shared" si="1192"/>
        <v>406</v>
      </c>
      <c r="Q2369" s="275">
        <f t="shared" si="1231"/>
        <v>484</v>
      </c>
      <c r="R2369" s="275">
        <f t="shared" si="1193"/>
        <v>527</v>
      </c>
      <c r="S2369" s="275">
        <f t="shared" si="1232"/>
        <v>442</v>
      </c>
      <c r="T2369" s="275">
        <f t="shared" si="1233"/>
        <v>415</v>
      </c>
      <c r="U2369" s="275">
        <f t="shared" si="1234"/>
        <v>394</v>
      </c>
      <c r="V2369" s="275">
        <f t="shared" si="1194"/>
        <v>406</v>
      </c>
      <c r="W2369" s="275">
        <f t="shared" si="1195"/>
        <v>424</v>
      </c>
      <c r="X2369" s="275">
        <f t="shared" si="1235"/>
        <v>427</v>
      </c>
      <c r="Y2369" s="275">
        <f t="shared" si="1196"/>
        <v>406</v>
      </c>
      <c r="Z2369" s="275">
        <f t="shared" si="1197"/>
        <v>414</v>
      </c>
      <c r="AA2369" s="275">
        <f t="shared" si="1236"/>
        <v>351</v>
      </c>
      <c r="AB2369" s="275">
        <f t="shared" si="1199"/>
        <v>388</v>
      </c>
      <c r="AC2369" s="275">
        <f t="shared" si="1237"/>
        <v>385</v>
      </c>
      <c r="AD2369" s="275">
        <f t="shared" si="1200"/>
        <v>389</v>
      </c>
      <c r="AE2369" s="275">
        <f t="shared" si="1201"/>
        <v>382</v>
      </c>
      <c r="AF2369" s="275">
        <f t="shared" si="1202"/>
        <v>403</v>
      </c>
      <c r="AG2369" s="275">
        <f t="shared" si="1203"/>
        <v>384</v>
      </c>
      <c r="AH2369" s="275">
        <f t="shared" si="1204"/>
        <v>494</v>
      </c>
      <c r="AI2369" s="275">
        <f t="shared" si="1205"/>
        <v>366</v>
      </c>
      <c r="AJ2369" s="275">
        <f t="shared" si="1206"/>
        <v>431</v>
      </c>
      <c r="AK2369" s="275">
        <f t="shared" si="1207"/>
        <v>485</v>
      </c>
      <c r="AL2369" s="275">
        <f t="shared" si="1208"/>
        <v>402</v>
      </c>
      <c r="AM2369" s="275">
        <f t="shared" si="1209"/>
        <v>369</v>
      </c>
      <c r="AN2369" s="275">
        <f t="shared" si="1210"/>
        <v>361</v>
      </c>
      <c r="AO2369" s="275">
        <f t="shared" si="1211"/>
        <v>328</v>
      </c>
      <c r="AP2369" s="275">
        <f t="shared" si="1212"/>
        <v>377</v>
      </c>
      <c r="AQ2369" s="275">
        <f t="shared" si="1213"/>
        <v>383</v>
      </c>
      <c r="AR2369" s="275">
        <f t="shared" si="1214"/>
        <v>467</v>
      </c>
      <c r="AS2369" s="275">
        <f t="shared" si="1215"/>
        <v>404</v>
      </c>
      <c r="AT2369" s="275">
        <f t="shared" si="1216"/>
        <v>372</v>
      </c>
      <c r="AU2369" s="275">
        <f t="shared" si="1217"/>
        <v>422</v>
      </c>
      <c r="AV2369" s="275">
        <f t="shared" si="1218"/>
        <v>451</v>
      </c>
      <c r="AW2369" s="275">
        <f t="shared" si="1219"/>
        <v>288</v>
      </c>
      <c r="AX2369" s="275">
        <f t="shared" si="1220"/>
        <v>335</v>
      </c>
      <c r="AY2369" s="275">
        <f t="shared" si="1221"/>
        <v>308</v>
      </c>
      <c r="AZ2369" s="275">
        <f t="shared" si="1222"/>
        <v>316</v>
      </c>
      <c r="BA2369" s="275">
        <f t="shared" si="1223"/>
        <v>259</v>
      </c>
      <c r="BB2369" s="275">
        <f t="shared" si="1224"/>
        <v>321</v>
      </c>
      <c r="BC2369" s="275">
        <f t="shared" si="1225"/>
        <v>263</v>
      </c>
      <c r="BD2369" s="275">
        <f t="shared" si="1226"/>
        <v>317</v>
      </c>
      <c r="BE2369" s="275">
        <f t="shared" si="1227"/>
        <v>270</v>
      </c>
      <c r="BF2369" s="275">
        <f t="shared" si="1228"/>
        <v>287</v>
      </c>
      <c r="BG2369" s="275">
        <f t="shared" si="1229"/>
        <v>276</v>
      </c>
      <c r="BH2369" s="275">
        <f t="shared" si="1238"/>
        <v>330</v>
      </c>
      <c r="BI2369" s="275">
        <f t="shared" si="1239"/>
        <v>294</v>
      </c>
      <c r="BJ2369" s="275">
        <f t="shared" si="1240"/>
        <v>338</v>
      </c>
      <c r="BK2369" s="275">
        <f t="shared" si="1241"/>
        <v>295</v>
      </c>
      <c r="BL2369" s="275">
        <f t="shared" si="1242"/>
        <v>329</v>
      </c>
      <c r="BM2369" s="275">
        <f t="shared" si="1243"/>
        <v>322</v>
      </c>
      <c r="BN2369" s="275">
        <f t="shared" si="1244"/>
        <v>344</v>
      </c>
      <c r="BO2369" s="275">
        <f t="shared" si="1245"/>
        <v>343</v>
      </c>
      <c r="BP2369" s="275">
        <f t="shared" si="1246"/>
        <v>319</v>
      </c>
      <c r="BQ2369" s="275">
        <f t="shared" si="1247"/>
        <v>338</v>
      </c>
      <c r="BR2369" s="275">
        <f t="shared" si="1248"/>
        <v>418</v>
      </c>
      <c r="BS2369" s="275">
        <f t="shared" si="1249"/>
        <v>304</v>
      </c>
      <c r="BT2369" s="275">
        <f t="shared" si="1250"/>
        <v>302</v>
      </c>
      <c r="BU2369" s="275">
        <f t="shared" si="1251"/>
        <v>301</v>
      </c>
      <c r="BV2369" s="275">
        <f t="shared" si="1252"/>
        <v>296</v>
      </c>
      <c r="BW2369" s="275">
        <f t="shared" si="1253"/>
        <v>316</v>
      </c>
      <c r="BX2369" s="275">
        <f t="shared" si="1254"/>
        <v>283</v>
      </c>
      <c r="BY2369" s="275">
        <f t="shared" si="1255"/>
        <v>310</v>
      </c>
      <c r="BZ2369" s="275">
        <f t="shared" si="1256"/>
        <v>346</v>
      </c>
      <c r="CA2369" s="275">
        <f t="shared" si="1257"/>
        <v>286</v>
      </c>
      <c r="CB2369" s="275">
        <f t="shared" si="1258"/>
        <v>314</v>
      </c>
      <c r="CC2369" s="275">
        <f t="shared" si="1259"/>
        <v>316</v>
      </c>
      <c r="CD2369" s="275">
        <f t="shared" si="1260"/>
        <v>316</v>
      </c>
      <c r="CE2369" s="275">
        <f t="shared" si="1261"/>
        <v>296</v>
      </c>
      <c r="CF2369" s="275">
        <f t="shared" si="1262"/>
        <v>270</v>
      </c>
      <c r="CG2369" s="275">
        <f t="shared" si="1263"/>
        <v>326</v>
      </c>
      <c r="CH2369" s="275">
        <f t="shared" si="1264"/>
        <v>282</v>
      </c>
      <c r="CI2369" s="276">
        <f>SUM('PEPE SIERRA '!$B2369:$CH2369)</f>
        <v>31981</v>
      </c>
      <c r="CJ2369" s="277">
        <f>'PEPE SIERRA '!$CI2369/85</f>
        <v>376.24705882352941</v>
      </c>
    </row>
    <row r="2370" spans="1:88" s="186" customFormat="1" x14ac:dyDescent="0.25">
      <c r="A2370" s="212" t="s">
        <v>15</v>
      </c>
      <c r="B2370" s="11">
        <f t="shared" si="1180"/>
        <v>0</v>
      </c>
      <c r="C2370" s="11">
        <f t="shared" si="1181"/>
        <v>0</v>
      </c>
      <c r="D2370" s="11">
        <f t="shared" si="1182"/>
        <v>0</v>
      </c>
      <c r="E2370" s="11">
        <f t="shared" si="1230"/>
        <v>0</v>
      </c>
      <c r="F2370" s="11">
        <f t="shared" si="1183"/>
        <v>0</v>
      </c>
      <c r="G2370" s="11">
        <f t="shared" si="1184"/>
        <v>0</v>
      </c>
      <c r="H2370" s="11">
        <f t="shared" si="1185"/>
        <v>275</v>
      </c>
      <c r="I2370" s="11">
        <f t="shared" si="1186"/>
        <v>318</v>
      </c>
      <c r="J2370" s="274">
        <f t="shared" si="1187"/>
        <v>380</v>
      </c>
      <c r="K2370" s="274">
        <v>265</v>
      </c>
      <c r="L2370" s="275">
        <f t="shared" si="1188"/>
        <v>248</v>
      </c>
      <c r="M2370" s="275">
        <f t="shared" si="1189"/>
        <v>285</v>
      </c>
      <c r="N2370" s="275">
        <f t="shared" si="1190"/>
        <v>222</v>
      </c>
      <c r="O2370" s="275">
        <f t="shared" si="1191"/>
        <v>274</v>
      </c>
      <c r="P2370" s="275">
        <f t="shared" si="1192"/>
        <v>221</v>
      </c>
      <c r="Q2370" s="275">
        <f t="shared" si="1231"/>
        <v>249</v>
      </c>
      <c r="R2370" s="275">
        <f t="shared" si="1193"/>
        <v>211</v>
      </c>
      <c r="S2370" s="275">
        <f t="shared" si="1232"/>
        <v>179</v>
      </c>
      <c r="T2370" s="275">
        <f t="shared" si="1233"/>
        <v>184</v>
      </c>
      <c r="U2370" s="275">
        <f t="shared" si="1234"/>
        <v>180</v>
      </c>
      <c r="V2370" s="275">
        <f t="shared" si="1194"/>
        <v>187</v>
      </c>
      <c r="W2370" s="275">
        <f t="shared" si="1195"/>
        <v>149</v>
      </c>
      <c r="X2370" s="275">
        <f t="shared" si="1235"/>
        <v>165</v>
      </c>
      <c r="Y2370" s="275">
        <f t="shared" si="1196"/>
        <v>186</v>
      </c>
      <c r="Z2370" s="275">
        <f t="shared" si="1197"/>
        <v>158</v>
      </c>
      <c r="AA2370" s="275">
        <f t="shared" si="1236"/>
        <v>156</v>
      </c>
      <c r="AB2370" s="275">
        <f t="shared" si="1199"/>
        <v>89</v>
      </c>
      <c r="AC2370" s="275">
        <f t="shared" si="1237"/>
        <v>121</v>
      </c>
      <c r="AD2370" s="275">
        <f t="shared" si="1200"/>
        <v>132</v>
      </c>
      <c r="AE2370" s="275">
        <f t="shared" si="1201"/>
        <v>118</v>
      </c>
      <c r="AF2370" s="275">
        <f t="shared" si="1202"/>
        <v>102</v>
      </c>
      <c r="AG2370" s="275">
        <f t="shared" si="1203"/>
        <v>121</v>
      </c>
      <c r="AH2370" s="275">
        <f t="shared" si="1204"/>
        <v>97</v>
      </c>
      <c r="AI2370" s="275">
        <f t="shared" si="1205"/>
        <v>86</v>
      </c>
      <c r="AJ2370" s="275">
        <f t="shared" si="1206"/>
        <v>22</v>
      </c>
      <c r="AK2370" s="275">
        <f t="shared" si="1207"/>
        <v>52</v>
      </c>
      <c r="AL2370" s="275">
        <f t="shared" si="1208"/>
        <v>42</v>
      </c>
      <c r="AM2370" s="275">
        <f t="shared" si="1209"/>
        <v>43</v>
      </c>
      <c r="AN2370" s="275">
        <f t="shared" si="1210"/>
        <v>31</v>
      </c>
      <c r="AO2370" s="275">
        <f t="shared" si="1211"/>
        <v>81</v>
      </c>
      <c r="AP2370" s="275">
        <f t="shared" si="1212"/>
        <v>50</v>
      </c>
      <c r="AQ2370" s="275">
        <f t="shared" si="1213"/>
        <v>55</v>
      </c>
      <c r="AR2370" s="275">
        <f t="shared" si="1214"/>
        <v>33</v>
      </c>
      <c r="AS2370" s="275">
        <f t="shared" si="1215"/>
        <v>67</v>
      </c>
      <c r="AT2370" s="275">
        <f t="shared" si="1216"/>
        <v>58</v>
      </c>
      <c r="AU2370" s="275">
        <f t="shared" si="1217"/>
        <v>71</v>
      </c>
      <c r="AV2370" s="275">
        <f t="shared" si="1218"/>
        <v>79</v>
      </c>
      <c r="AW2370" s="275">
        <f t="shared" si="1219"/>
        <v>56</v>
      </c>
      <c r="AX2370" s="275">
        <f t="shared" si="1220"/>
        <v>107</v>
      </c>
      <c r="AY2370" s="275">
        <f t="shared" si="1221"/>
        <v>61</v>
      </c>
      <c r="AZ2370" s="275">
        <f t="shared" si="1222"/>
        <v>69</v>
      </c>
      <c r="BA2370" s="275">
        <f t="shared" si="1223"/>
        <v>72</v>
      </c>
      <c r="BB2370" s="275">
        <f t="shared" si="1224"/>
        <v>76</v>
      </c>
      <c r="BC2370" s="275">
        <f t="shared" si="1225"/>
        <v>71</v>
      </c>
      <c r="BD2370" s="275">
        <f t="shared" si="1226"/>
        <v>65</v>
      </c>
      <c r="BE2370" s="275">
        <f t="shared" si="1227"/>
        <v>60</v>
      </c>
      <c r="BF2370" s="275">
        <f t="shared" si="1228"/>
        <v>67</v>
      </c>
      <c r="BG2370" s="275">
        <f t="shared" si="1229"/>
        <v>56</v>
      </c>
      <c r="BH2370" s="275">
        <f t="shared" si="1238"/>
        <v>76</v>
      </c>
      <c r="BI2370" s="275">
        <f t="shared" si="1239"/>
        <v>53</v>
      </c>
      <c r="BJ2370" s="275">
        <f t="shared" si="1240"/>
        <v>59</v>
      </c>
      <c r="BK2370" s="275">
        <f t="shared" si="1241"/>
        <v>73</v>
      </c>
      <c r="BL2370" s="275">
        <f t="shared" si="1242"/>
        <v>34</v>
      </c>
      <c r="BM2370" s="275">
        <f t="shared" si="1243"/>
        <v>18</v>
      </c>
      <c r="BN2370" s="275">
        <f t="shared" si="1244"/>
        <v>10</v>
      </c>
      <c r="BO2370" s="275">
        <f t="shared" si="1245"/>
        <v>9</v>
      </c>
      <c r="BP2370" s="275">
        <f t="shared" si="1246"/>
        <v>14</v>
      </c>
      <c r="BQ2370" s="275">
        <f t="shared" si="1247"/>
        <v>1</v>
      </c>
      <c r="BR2370" s="275">
        <f t="shared" si="1248"/>
        <v>5</v>
      </c>
      <c r="BS2370" s="275">
        <f t="shared" si="1249"/>
        <v>2</v>
      </c>
      <c r="BT2370" s="275">
        <f t="shared" si="1250"/>
        <v>4</v>
      </c>
      <c r="BU2370" s="275">
        <f t="shared" si="1251"/>
        <v>13</v>
      </c>
      <c r="BV2370" s="275">
        <f t="shared" si="1252"/>
        <v>9</v>
      </c>
      <c r="BW2370" s="275">
        <f t="shared" si="1253"/>
        <v>58</v>
      </c>
      <c r="BX2370" s="275">
        <f t="shared" si="1254"/>
        <v>8</v>
      </c>
      <c r="BY2370" s="275">
        <f t="shared" si="1255"/>
        <v>15</v>
      </c>
      <c r="BZ2370" s="275">
        <f t="shared" si="1256"/>
        <v>28</v>
      </c>
      <c r="CA2370" s="275">
        <f t="shared" si="1257"/>
        <v>20</v>
      </c>
      <c r="CB2370" s="275">
        <f t="shared" si="1258"/>
        <v>12</v>
      </c>
      <c r="CC2370" s="275">
        <f t="shared" si="1259"/>
        <v>17</v>
      </c>
      <c r="CD2370" s="275">
        <f t="shared" si="1260"/>
        <v>15</v>
      </c>
      <c r="CE2370" s="275">
        <f t="shared" si="1261"/>
        <v>12</v>
      </c>
      <c r="CF2370" s="275">
        <f t="shared" si="1262"/>
        <v>6</v>
      </c>
      <c r="CG2370" s="275">
        <f t="shared" si="1263"/>
        <v>5</v>
      </c>
      <c r="CH2370" s="275">
        <f t="shared" si="1264"/>
        <v>0</v>
      </c>
      <c r="CI2370" s="276">
        <f>SUM('PEPE SIERRA '!$B2370:$CH2370)</f>
        <v>7378</v>
      </c>
      <c r="CJ2370" s="277">
        <f>'PEPE SIERRA '!$CI2370/85</f>
        <v>86.8</v>
      </c>
    </row>
    <row r="2371" spans="1:88" s="186" customFormat="1" x14ac:dyDescent="0.25">
      <c r="A2371" s="212" t="s">
        <v>16</v>
      </c>
      <c r="B2371" s="11">
        <f t="shared" si="1180"/>
        <v>0</v>
      </c>
      <c r="C2371" s="11">
        <f t="shared" si="1181"/>
        <v>0</v>
      </c>
      <c r="D2371" s="11">
        <f t="shared" si="1182"/>
        <v>0</v>
      </c>
      <c r="E2371" s="11">
        <f t="shared" si="1230"/>
        <v>0</v>
      </c>
      <c r="F2371" s="11">
        <f t="shared" si="1183"/>
        <v>0</v>
      </c>
      <c r="G2371" s="11">
        <f t="shared" si="1184"/>
        <v>0</v>
      </c>
      <c r="H2371" s="11">
        <f t="shared" si="1185"/>
        <v>11</v>
      </c>
      <c r="I2371" s="11">
        <f t="shared" si="1186"/>
        <v>70</v>
      </c>
      <c r="J2371" s="274">
        <f t="shared" si="1187"/>
        <v>18</v>
      </c>
      <c r="K2371" s="274">
        <v>6</v>
      </c>
      <c r="L2371" s="275">
        <f t="shared" si="1188"/>
        <v>4</v>
      </c>
      <c r="M2371" s="275">
        <f t="shared" si="1189"/>
        <v>2</v>
      </c>
      <c r="N2371" s="275">
        <f t="shared" si="1190"/>
        <v>3</v>
      </c>
      <c r="O2371" s="275">
        <f t="shared" si="1191"/>
        <v>3</v>
      </c>
      <c r="P2371" s="275">
        <f t="shared" si="1192"/>
        <v>2</v>
      </c>
      <c r="Q2371" s="275">
        <f t="shared" si="1231"/>
        <v>2</v>
      </c>
      <c r="R2371" s="275">
        <f t="shared" si="1193"/>
        <v>0</v>
      </c>
      <c r="S2371" s="275">
        <f t="shared" si="1232"/>
        <v>2</v>
      </c>
      <c r="T2371" s="275">
        <f t="shared" si="1233"/>
        <v>6</v>
      </c>
      <c r="U2371" s="275">
        <f t="shared" si="1234"/>
        <v>8</v>
      </c>
      <c r="V2371" s="275">
        <f t="shared" si="1194"/>
        <v>13</v>
      </c>
      <c r="W2371" s="275">
        <f t="shared" si="1195"/>
        <v>1</v>
      </c>
      <c r="X2371" s="275">
        <f t="shared" si="1235"/>
        <v>2</v>
      </c>
      <c r="Y2371" s="275">
        <f t="shared" si="1196"/>
        <v>2</v>
      </c>
      <c r="Z2371" s="275">
        <f t="shared" si="1197"/>
        <v>4</v>
      </c>
      <c r="AA2371" s="275">
        <f t="shared" si="1236"/>
        <v>0</v>
      </c>
      <c r="AB2371" s="275">
        <f t="shared" si="1199"/>
        <v>5</v>
      </c>
      <c r="AC2371" s="275">
        <f t="shared" si="1237"/>
        <v>2</v>
      </c>
      <c r="AD2371" s="275">
        <f t="shared" si="1200"/>
        <v>4</v>
      </c>
      <c r="AE2371" s="275">
        <f t="shared" si="1201"/>
        <v>2</v>
      </c>
      <c r="AF2371" s="275">
        <f t="shared" si="1202"/>
        <v>3</v>
      </c>
      <c r="AG2371" s="275">
        <f t="shared" si="1203"/>
        <v>0</v>
      </c>
      <c r="AH2371" s="275">
        <f t="shared" si="1204"/>
        <v>2</v>
      </c>
      <c r="AI2371" s="275">
        <f t="shared" si="1205"/>
        <v>4</v>
      </c>
      <c r="AJ2371" s="275">
        <f t="shared" si="1206"/>
        <v>5</v>
      </c>
      <c r="AK2371" s="275">
        <f t="shared" si="1207"/>
        <v>1</v>
      </c>
      <c r="AL2371" s="275">
        <f t="shared" si="1208"/>
        <v>2</v>
      </c>
      <c r="AM2371" s="275">
        <f t="shared" si="1209"/>
        <v>8</v>
      </c>
      <c r="AN2371" s="275">
        <f t="shared" si="1210"/>
        <v>1</v>
      </c>
      <c r="AO2371" s="275">
        <f t="shared" si="1211"/>
        <v>2</v>
      </c>
      <c r="AP2371" s="275">
        <f t="shared" si="1212"/>
        <v>4</v>
      </c>
      <c r="AQ2371" s="275">
        <f t="shared" si="1213"/>
        <v>1</v>
      </c>
      <c r="AR2371" s="275">
        <f t="shared" si="1214"/>
        <v>1</v>
      </c>
      <c r="AS2371" s="275">
        <f t="shared" si="1215"/>
        <v>6</v>
      </c>
      <c r="AT2371" s="275">
        <f t="shared" si="1216"/>
        <v>1</v>
      </c>
      <c r="AU2371" s="275">
        <f t="shared" si="1217"/>
        <v>4</v>
      </c>
      <c r="AV2371" s="275">
        <f t="shared" si="1218"/>
        <v>0</v>
      </c>
      <c r="AW2371" s="275">
        <f t="shared" si="1219"/>
        <v>1</v>
      </c>
      <c r="AX2371" s="275">
        <f t="shared" si="1220"/>
        <v>0</v>
      </c>
      <c r="AY2371" s="275">
        <f t="shared" si="1221"/>
        <v>0</v>
      </c>
      <c r="AZ2371" s="275">
        <f t="shared" si="1222"/>
        <v>0</v>
      </c>
      <c r="BA2371" s="275">
        <f t="shared" si="1223"/>
        <v>1</v>
      </c>
      <c r="BB2371" s="275">
        <f t="shared" si="1224"/>
        <v>2</v>
      </c>
      <c r="BC2371" s="275">
        <f t="shared" si="1225"/>
        <v>0</v>
      </c>
      <c r="BD2371" s="275">
        <f t="shared" si="1226"/>
        <v>1</v>
      </c>
      <c r="BE2371" s="275">
        <f t="shared" si="1227"/>
        <v>1</v>
      </c>
      <c r="BF2371" s="275">
        <f t="shared" si="1228"/>
        <v>1</v>
      </c>
      <c r="BG2371" s="275">
        <f t="shared" si="1229"/>
        <v>2</v>
      </c>
      <c r="BH2371" s="275">
        <f t="shared" si="1238"/>
        <v>2</v>
      </c>
      <c r="BI2371" s="275">
        <f t="shared" si="1239"/>
        <v>0</v>
      </c>
      <c r="BJ2371" s="275">
        <f t="shared" si="1240"/>
        <v>2</v>
      </c>
      <c r="BK2371" s="275">
        <f t="shared" si="1241"/>
        <v>3</v>
      </c>
      <c r="BL2371" s="275">
        <f t="shared" si="1242"/>
        <v>0</v>
      </c>
      <c r="BM2371" s="275">
        <f t="shared" si="1243"/>
        <v>0</v>
      </c>
      <c r="BN2371" s="275">
        <f t="shared" si="1244"/>
        <v>0</v>
      </c>
      <c r="BO2371" s="275">
        <f t="shared" si="1245"/>
        <v>0</v>
      </c>
      <c r="BP2371" s="275">
        <f t="shared" si="1246"/>
        <v>0</v>
      </c>
      <c r="BQ2371" s="275">
        <f t="shared" si="1247"/>
        <v>2</v>
      </c>
      <c r="BR2371" s="275">
        <f t="shared" si="1248"/>
        <v>0</v>
      </c>
      <c r="BS2371" s="275">
        <f t="shared" si="1249"/>
        <v>0</v>
      </c>
      <c r="BT2371" s="275">
        <f t="shared" si="1250"/>
        <v>0</v>
      </c>
      <c r="BU2371" s="275">
        <f t="shared" si="1251"/>
        <v>1</v>
      </c>
      <c r="BV2371" s="275">
        <f t="shared" si="1252"/>
        <v>1</v>
      </c>
      <c r="BW2371" s="275">
        <f t="shared" si="1253"/>
        <v>1</v>
      </c>
      <c r="BX2371" s="275">
        <f t="shared" si="1254"/>
        <v>2</v>
      </c>
      <c r="BY2371" s="275">
        <f t="shared" si="1255"/>
        <v>0</v>
      </c>
      <c r="BZ2371" s="275">
        <f t="shared" si="1256"/>
        <v>2</v>
      </c>
      <c r="CA2371" s="275">
        <f t="shared" si="1257"/>
        <v>1</v>
      </c>
      <c r="CB2371" s="275">
        <f t="shared" si="1258"/>
        <v>0</v>
      </c>
      <c r="CC2371" s="275">
        <f t="shared" si="1259"/>
        <v>0</v>
      </c>
      <c r="CD2371" s="275">
        <f t="shared" si="1260"/>
        <v>1</v>
      </c>
      <c r="CE2371" s="275">
        <f t="shared" si="1261"/>
        <v>0</v>
      </c>
      <c r="CF2371" s="275">
        <f t="shared" si="1262"/>
        <v>0</v>
      </c>
      <c r="CG2371" s="275">
        <f t="shared" si="1263"/>
        <v>1</v>
      </c>
      <c r="CH2371" s="275">
        <f t="shared" si="1264"/>
        <v>2</v>
      </c>
      <c r="CI2371" s="276">
        <f>SUM('PEPE SIERRA '!$B2371:$CH2371)</f>
        <v>247</v>
      </c>
      <c r="CJ2371" s="277">
        <f>'PEPE SIERRA '!$CI2371/85</f>
        <v>2.9058823529411764</v>
      </c>
    </row>
    <row r="2372" spans="1:88" s="186" customFormat="1" x14ac:dyDescent="0.25">
      <c r="A2372" s="213" t="s">
        <v>17</v>
      </c>
      <c r="B2372" s="192">
        <f t="shared" si="1180"/>
        <v>141</v>
      </c>
      <c r="C2372" s="192">
        <f t="shared" si="1181"/>
        <v>1425</v>
      </c>
      <c r="D2372" s="192">
        <f t="shared" si="1182"/>
        <v>1542</v>
      </c>
      <c r="E2372" s="192">
        <f t="shared" si="1230"/>
        <v>1797</v>
      </c>
      <c r="F2372" s="192">
        <f t="shared" si="1183"/>
        <v>1919</v>
      </c>
      <c r="G2372" s="192">
        <f t="shared" si="1184"/>
        <v>1741</v>
      </c>
      <c r="H2372" s="192">
        <f t="shared" si="1185"/>
        <v>1675</v>
      </c>
      <c r="I2372" s="192">
        <f t="shared" si="1186"/>
        <v>1883</v>
      </c>
      <c r="J2372" s="192">
        <f t="shared" si="1187"/>
        <v>1720</v>
      </c>
      <c r="K2372" s="192">
        <v>1572</v>
      </c>
      <c r="L2372" s="278">
        <f t="shared" si="1188"/>
        <v>1834</v>
      </c>
      <c r="M2372" s="278">
        <f t="shared" si="1189"/>
        <v>1848</v>
      </c>
      <c r="N2372" s="278">
        <f t="shared" si="1190"/>
        <v>1875</v>
      </c>
      <c r="O2372" s="278">
        <f t="shared" si="1191"/>
        <v>1850</v>
      </c>
      <c r="P2372" s="278">
        <f t="shared" si="1192"/>
        <v>1754</v>
      </c>
      <c r="Q2372" s="278">
        <f t="shared" si="1231"/>
        <v>1813</v>
      </c>
      <c r="R2372" s="278">
        <f t="shared" si="1193"/>
        <v>1900</v>
      </c>
      <c r="S2372" s="278">
        <f t="shared" si="1232"/>
        <v>1658</v>
      </c>
      <c r="T2372" s="278">
        <f t="shared" si="1233"/>
        <v>1444</v>
      </c>
      <c r="U2372" s="278">
        <f t="shared" si="1234"/>
        <v>1244</v>
      </c>
      <c r="V2372" s="278">
        <f t="shared" si="1194"/>
        <v>1339</v>
      </c>
      <c r="W2372" s="278">
        <f t="shared" si="1195"/>
        <v>1660</v>
      </c>
      <c r="X2372" s="278">
        <f t="shared" si="1235"/>
        <v>1545</v>
      </c>
      <c r="Y2372" s="278">
        <f t="shared" si="1196"/>
        <v>1556</v>
      </c>
      <c r="Z2372" s="278">
        <f t="shared" si="1197"/>
        <v>1652</v>
      </c>
      <c r="AA2372" s="278">
        <f t="shared" si="1236"/>
        <v>1564</v>
      </c>
      <c r="AB2372" s="278">
        <f t="shared" si="1199"/>
        <v>1527</v>
      </c>
      <c r="AC2372" s="278">
        <f t="shared" si="1237"/>
        <v>1636</v>
      </c>
      <c r="AD2372" s="278">
        <f t="shared" si="1200"/>
        <v>1696</v>
      </c>
      <c r="AE2372" s="278">
        <f t="shared" si="1201"/>
        <v>1596</v>
      </c>
      <c r="AF2372" s="278">
        <f t="shared" si="1202"/>
        <v>1577</v>
      </c>
      <c r="AG2372" s="278">
        <f t="shared" si="1203"/>
        <v>1784</v>
      </c>
      <c r="AH2372" s="278">
        <f t="shared" si="1204"/>
        <v>1724</v>
      </c>
      <c r="AI2372" s="278">
        <f t="shared" si="1205"/>
        <v>1587</v>
      </c>
      <c r="AJ2372" s="278">
        <f t="shared" si="1206"/>
        <v>1599</v>
      </c>
      <c r="AK2372" s="278">
        <f t="shared" si="1207"/>
        <v>1584</v>
      </c>
      <c r="AL2372" s="278">
        <f t="shared" si="1208"/>
        <v>1460</v>
      </c>
      <c r="AM2372" s="278">
        <f t="shared" si="1209"/>
        <v>1383</v>
      </c>
      <c r="AN2372" s="278">
        <f t="shared" si="1210"/>
        <v>1436</v>
      </c>
      <c r="AO2372" s="278">
        <f t="shared" si="1211"/>
        <v>1424</v>
      </c>
      <c r="AP2372" s="278">
        <f t="shared" si="1212"/>
        <v>1567</v>
      </c>
      <c r="AQ2372" s="278">
        <f t="shared" si="1213"/>
        <v>1471</v>
      </c>
      <c r="AR2372" s="278">
        <f t="shared" si="1214"/>
        <v>1631</v>
      </c>
      <c r="AS2372" s="278">
        <f t="shared" si="1215"/>
        <v>1445</v>
      </c>
      <c r="AT2372" s="278">
        <f t="shared" si="1216"/>
        <v>1300</v>
      </c>
      <c r="AU2372" s="278">
        <f t="shared" si="1217"/>
        <v>1597</v>
      </c>
      <c r="AV2372" s="278">
        <f t="shared" si="1218"/>
        <v>1653</v>
      </c>
      <c r="AW2372" s="278">
        <f t="shared" si="1219"/>
        <v>1355</v>
      </c>
      <c r="AX2372" s="278">
        <f t="shared" si="1220"/>
        <v>1555</v>
      </c>
      <c r="AY2372" s="278">
        <f t="shared" si="1221"/>
        <v>1354</v>
      </c>
      <c r="AZ2372" s="278">
        <f t="shared" si="1222"/>
        <v>1443</v>
      </c>
      <c r="BA2372" s="278">
        <f t="shared" si="1223"/>
        <v>1360</v>
      </c>
      <c r="BB2372" s="278">
        <f t="shared" si="1224"/>
        <v>1517</v>
      </c>
      <c r="BC2372" s="278">
        <f t="shared" si="1225"/>
        <v>1162</v>
      </c>
      <c r="BD2372" s="278">
        <f t="shared" si="1226"/>
        <v>1345</v>
      </c>
      <c r="BE2372" s="278">
        <f t="shared" si="1227"/>
        <v>1256</v>
      </c>
      <c r="BF2372" s="278">
        <f t="shared" si="1228"/>
        <v>1298</v>
      </c>
      <c r="BG2372" s="278">
        <f t="shared" si="1229"/>
        <v>1171</v>
      </c>
      <c r="BH2372" s="278">
        <f t="shared" si="1238"/>
        <v>1309</v>
      </c>
      <c r="BI2372" s="278">
        <f t="shared" si="1239"/>
        <v>1256</v>
      </c>
      <c r="BJ2372" s="278">
        <f t="shared" si="1240"/>
        <v>1243</v>
      </c>
      <c r="BK2372" s="278">
        <f t="shared" si="1241"/>
        <v>1408</v>
      </c>
      <c r="BL2372" s="278">
        <f t="shared" si="1242"/>
        <v>1296</v>
      </c>
      <c r="BM2372" s="278">
        <f t="shared" si="1243"/>
        <v>1239</v>
      </c>
      <c r="BN2372" s="278">
        <f t="shared" si="1244"/>
        <v>1402</v>
      </c>
      <c r="BO2372" s="278">
        <f t="shared" si="1245"/>
        <v>1432</v>
      </c>
      <c r="BP2372" s="278">
        <f t="shared" si="1246"/>
        <v>1337</v>
      </c>
      <c r="BQ2372" s="278">
        <f t="shared" si="1247"/>
        <v>1350</v>
      </c>
      <c r="BR2372" s="278">
        <f t="shared" si="1248"/>
        <v>1455</v>
      </c>
      <c r="BS2372" s="278">
        <f t="shared" si="1249"/>
        <v>1179</v>
      </c>
      <c r="BT2372" s="278">
        <f t="shared" si="1250"/>
        <v>1069</v>
      </c>
      <c r="BU2372" s="278">
        <f t="shared" si="1251"/>
        <v>885</v>
      </c>
      <c r="BV2372" s="278">
        <f t="shared" si="1252"/>
        <v>1015</v>
      </c>
      <c r="BW2372" s="278">
        <f t="shared" si="1253"/>
        <v>1205</v>
      </c>
      <c r="BX2372" s="278">
        <f t="shared" si="1254"/>
        <v>1166</v>
      </c>
      <c r="BY2372" s="278">
        <f t="shared" si="1255"/>
        <v>1220</v>
      </c>
      <c r="BZ2372" s="278">
        <f t="shared" si="1256"/>
        <v>1299</v>
      </c>
      <c r="CA2372" s="278">
        <f t="shared" si="1257"/>
        <v>1209</v>
      </c>
      <c r="CB2372" s="278">
        <f t="shared" si="1258"/>
        <v>1194</v>
      </c>
      <c r="CC2372" s="278">
        <f t="shared" si="1259"/>
        <v>1287</v>
      </c>
      <c r="CD2372" s="278">
        <f t="shared" si="1260"/>
        <v>1269</v>
      </c>
      <c r="CE2372" s="278">
        <f t="shared" si="1261"/>
        <v>1292</v>
      </c>
      <c r="CF2372" s="278">
        <f t="shared" si="1262"/>
        <v>1188</v>
      </c>
      <c r="CG2372" s="278">
        <f t="shared" si="1263"/>
        <v>1374</v>
      </c>
      <c r="CH2372" s="278">
        <f t="shared" si="1264"/>
        <v>894</v>
      </c>
      <c r="CI2372" s="278">
        <f>SUM('PEPE SIERRA '!$B2372:$CH2372)</f>
        <v>122916</v>
      </c>
      <c r="CJ2372" s="214">
        <f>'PEPE SIERRA '!$CI2372/85</f>
        <v>1446.0705882352941</v>
      </c>
    </row>
    <row r="2373" spans="1:88" s="186" customFormat="1" ht="15" hidden="1" customHeight="1" x14ac:dyDescent="0.25">
      <c r="A2373" s="212" t="s">
        <v>18</v>
      </c>
      <c r="B2373" s="30">
        <f t="shared" si="1180"/>
        <v>0.39</v>
      </c>
      <c r="C2373" s="30">
        <f t="shared" si="1181"/>
        <v>0.40889432070048554</v>
      </c>
      <c r="D2373" s="30">
        <f t="shared" si="1182"/>
        <v>0.47242231986770017</v>
      </c>
      <c r="E2373" s="30">
        <f t="shared" si="1230"/>
        <v>0.43538230987480425</v>
      </c>
      <c r="F2373" s="30">
        <f t="shared" si="1183"/>
        <v>0.47506054217199684</v>
      </c>
      <c r="G2373" s="30">
        <f t="shared" si="1184"/>
        <v>0.46548328833444008</v>
      </c>
      <c r="H2373" s="30">
        <f t="shared" si="1185"/>
        <v>0.51222188418791403</v>
      </c>
      <c r="I2373" s="30">
        <f t="shared" si="1186"/>
        <v>0.4754422599494873</v>
      </c>
      <c r="J2373" s="279">
        <v>0.48625870645113922</v>
      </c>
      <c r="K2373" s="280">
        <v>0.4586118791452386</v>
      </c>
      <c r="L2373" s="281">
        <f t="shared" si="1188"/>
        <v>0.5741549856341307</v>
      </c>
      <c r="M2373" s="94">
        <f>2155*M360</f>
        <v>0</v>
      </c>
      <c r="N2373" s="94">
        <f t="shared" si="1190"/>
        <v>0.6209116565481132</v>
      </c>
      <c r="O2373" s="94">
        <f t="shared" si="1191"/>
        <v>0.64145197726606318</v>
      </c>
      <c r="P2373" s="94">
        <f t="shared" si="1192"/>
        <v>0.68130596986652736</v>
      </c>
      <c r="Q2373" s="94"/>
      <c r="R2373" s="94">
        <f t="shared" si="1193"/>
        <v>0.63955973855743398</v>
      </c>
      <c r="S2373" s="94"/>
      <c r="T2373" s="94"/>
      <c r="U2373" s="94"/>
      <c r="V2373" s="94">
        <f t="shared" si="1194"/>
        <v>0.57449702636752764</v>
      </c>
      <c r="W2373" s="94"/>
      <c r="X2373" s="94"/>
      <c r="Y2373" s="94"/>
      <c r="Z2373" s="94">
        <f t="shared" si="1197"/>
        <v>0.68579270057162778</v>
      </c>
      <c r="AA2373" s="94">
        <f t="shared" si="1198"/>
        <v>0.70505379144914371</v>
      </c>
      <c r="AB2373" s="94"/>
      <c r="AC2373" s="94"/>
      <c r="AD2373" s="94">
        <f t="shared" si="1200"/>
        <v>0.72342523160726024</v>
      </c>
      <c r="AE2373" s="94">
        <f t="shared" si="1201"/>
        <v>0.71153355089396586</v>
      </c>
      <c r="AF2373" s="94">
        <f t="shared" si="1202"/>
        <v>0.70187106356953166</v>
      </c>
      <c r="AG2373" s="94">
        <f t="shared" si="1203"/>
        <v>0.68728808558734389</v>
      </c>
      <c r="AH2373" s="94">
        <f t="shared" si="1204"/>
        <v>0.65240183828888076</v>
      </c>
      <c r="AI2373" s="94">
        <f t="shared" si="1205"/>
        <v>0.72834331152986564</v>
      </c>
      <c r="AJ2373" s="94">
        <f t="shared" si="1206"/>
        <v>0.74029365260972835</v>
      </c>
      <c r="AK2373" s="94">
        <f t="shared" si="1207"/>
        <v>0.68155018272628953</v>
      </c>
      <c r="AL2373" s="94">
        <f t="shared" si="1208"/>
        <v>0.71564836140861487</v>
      </c>
      <c r="AM2373" s="94">
        <f t="shared" si="1209"/>
        <v>0.72566088400693463</v>
      </c>
      <c r="AN2373" s="94">
        <f t="shared" si="1210"/>
        <v>0.75433226575462853</v>
      </c>
      <c r="AO2373" s="94">
        <f t="shared" si="1211"/>
        <v>0.73524696021337388</v>
      </c>
      <c r="AP2373" s="94">
        <f t="shared" si="1212"/>
        <v>0.76535020938567044</v>
      </c>
      <c r="AQ2373" s="94">
        <f t="shared" si="1213"/>
        <v>0.7346512146107177</v>
      </c>
      <c r="AR2373" s="94">
        <f t="shared" si="1214"/>
        <v>0.72005471489250938</v>
      </c>
      <c r="AS2373" s="94">
        <f t="shared" si="1215"/>
        <v>0.71551572232978777</v>
      </c>
      <c r="AT2373" s="94">
        <f t="shared" si="1216"/>
        <v>0.70488458323308223</v>
      </c>
      <c r="AU2373" s="94">
        <f t="shared" si="1217"/>
        <v>0.72754833401274643</v>
      </c>
      <c r="AV2373" s="94">
        <f t="shared" si="1218"/>
        <v>0.71999632568701843</v>
      </c>
      <c r="AW2373" s="94">
        <f t="shared" si="1219"/>
        <v>0.77668512287627556</v>
      </c>
      <c r="AX2373" s="94">
        <f t="shared" si="1220"/>
        <v>0.74671730761743649</v>
      </c>
      <c r="AY2373" s="94">
        <f t="shared" si="1221"/>
        <v>0.7463659150820372</v>
      </c>
      <c r="AZ2373" s="94">
        <f t="shared" si="1222"/>
        <v>0.77132091365456412</v>
      </c>
      <c r="BA2373" s="94">
        <f t="shared" si="1223"/>
        <v>0.78099304414828208</v>
      </c>
      <c r="BB2373" s="94">
        <f t="shared" si="1224"/>
        <v>0.77600570658148948</v>
      </c>
      <c r="BC2373" s="94">
        <f t="shared" si="1225"/>
        <v>0.74584883581688532</v>
      </c>
      <c r="BD2373" s="94">
        <f t="shared" si="1226"/>
        <v>0.7399392550345667</v>
      </c>
      <c r="BE2373" s="94">
        <f t="shared" si="1227"/>
        <v>0.76049364935265407</v>
      </c>
      <c r="BF2373" s="94">
        <f>+H1589</f>
        <v>0.83</v>
      </c>
      <c r="BG2373" s="94">
        <f>+I967</f>
        <v>0.72834331152986564</v>
      </c>
      <c r="BH2373" s="94"/>
      <c r="BI2373" s="94"/>
      <c r="BJ2373" s="94"/>
      <c r="BK2373" s="94"/>
      <c r="BL2373" s="94"/>
      <c r="BM2373" s="94"/>
      <c r="BN2373" s="94"/>
      <c r="BO2373" s="94"/>
      <c r="BP2373" s="94"/>
      <c r="BQ2373" s="94"/>
      <c r="BR2373" s="94"/>
      <c r="BS2373" s="94"/>
      <c r="BT2373" s="94"/>
      <c r="BU2373" s="94"/>
      <c r="BV2373" s="94"/>
      <c r="BW2373" s="94"/>
      <c r="BX2373" s="94"/>
      <c r="BY2373" s="94"/>
      <c r="BZ2373" s="94"/>
      <c r="CA2373" s="94"/>
      <c r="CB2373" s="94"/>
      <c r="CC2373" s="94"/>
      <c r="CD2373" s="94"/>
      <c r="CE2373" s="94"/>
      <c r="CF2373" s="94"/>
      <c r="CG2373" s="94"/>
      <c r="CH2373" s="94">
        <f>+I967</f>
        <v>0.72834331152986564</v>
      </c>
      <c r="CI2373" s="94">
        <f>SUM('PEPE SIERRA '!$B2373:$M2373)</f>
        <v>5.1539324963173367</v>
      </c>
      <c r="CJ2373" s="139">
        <f>'PEPE SIERRA '!$CI2373/7</f>
        <v>0.73627607090247671</v>
      </c>
    </row>
    <row r="2374" spans="1:88" s="186" customFormat="1" ht="15" hidden="1" customHeight="1" x14ac:dyDescent="0.25">
      <c r="A2374" s="212" t="s">
        <v>19</v>
      </c>
      <c r="B2374" s="30">
        <f t="shared" si="1180"/>
        <v>0.41</v>
      </c>
      <c r="C2374" s="30">
        <f t="shared" si="1181"/>
        <v>0.35982547473462567</v>
      </c>
      <c r="D2374" s="30">
        <f t="shared" si="1182"/>
        <v>0.30696937805734287</v>
      </c>
      <c r="E2374" s="30">
        <f t="shared" si="1230"/>
        <v>0.31929144899290984</v>
      </c>
      <c r="F2374" s="30">
        <f t="shared" si="1183"/>
        <v>0.18690690391235432</v>
      </c>
      <c r="G2374" s="30">
        <f t="shared" si="1184"/>
        <v>0.2517937868467488</v>
      </c>
      <c r="H2374" s="30">
        <f t="shared" si="1185"/>
        <v>4.0051357374743933E-2</v>
      </c>
      <c r="I2374" s="30">
        <f t="shared" si="1186"/>
        <v>1.070963944060622E-2</v>
      </c>
      <c r="J2374" s="279">
        <v>1.646022793865096E-2</v>
      </c>
      <c r="K2374" s="280">
        <v>1.0802990221314538E-2</v>
      </c>
      <c r="L2374" s="281">
        <f t="shared" si="1188"/>
        <v>3.5221923916720965E-2</v>
      </c>
      <c r="M2374" s="94">
        <f>2155*M361</f>
        <v>0</v>
      </c>
      <c r="N2374" s="94">
        <f t="shared" si="1190"/>
        <v>2.7489153090038621E-2</v>
      </c>
      <c r="O2374" s="94">
        <f t="shared" si="1191"/>
        <v>1.9652802516114266E-2</v>
      </c>
      <c r="P2374" s="94">
        <f t="shared" si="1192"/>
        <v>4.0812269539957959E-3</v>
      </c>
      <c r="Q2374" s="94"/>
      <c r="R2374" s="94">
        <f t="shared" si="1193"/>
        <v>1.7820653660060227E-2</v>
      </c>
      <c r="S2374" s="94"/>
      <c r="T2374" s="94"/>
      <c r="U2374" s="94"/>
      <c r="V2374" s="94">
        <f t="shared" si="1194"/>
        <v>3.6655477886259405E-2</v>
      </c>
      <c r="W2374" s="94"/>
      <c r="X2374" s="94"/>
      <c r="Y2374" s="94"/>
      <c r="Z2374" s="94">
        <f t="shared" si="1197"/>
        <v>2.5578046828610951E-2</v>
      </c>
      <c r="AA2374" s="94">
        <f t="shared" si="1198"/>
        <v>2.6921229500862176E-2</v>
      </c>
      <c r="AB2374" s="94"/>
      <c r="AC2374" s="94"/>
      <c r="AD2374" s="94">
        <f t="shared" si="1200"/>
        <v>1.831529454066623E-2</v>
      </c>
      <c r="AE2374" s="94">
        <f t="shared" si="1201"/>
        <v>1.3658537976412951E-2</v>
      </c>
      <c r="AF2374" s="94">
        <f t="shared" si="1202"/>
        <v>2.281034063987478E-2</v>
      </c>
      <c r="AG2374" s="94">
        <f t="shared" si="1203"/>
        <v>2.1643897428721408E-2</v>
      </c>
      <c r="AH2374" s="94">
        <f t="shared" si="1204"/>
        <v>2.5782749854542028E-2</v>
      </c>
      <c r="AI2374" s="94">
        <f t="shared" si="1205"/>
        <v>2.2581538003044518E-2</v>
      </c>
      <c r="AJ2374" s="94">
        <f t="shared" si="1206"/>
        <v>2.0392342859630808E-2</v>
      </c>
      <c r="AK2374" s="94">
        <f t="shared" si="1207"/>
        <v>2.0533002440853876E-2</v>
      </c>
      <c r="AL2374" s="94">
        <f t="shared" si="1208"/>
        <v>2.122393439163445E-2</v>
      </c>
      <c r="AM2374" s="94">
        <f t="shared" si="1209"/>
        <v>2.3459705377060273E-2</v>
      </c>
      <c r="AN2374" s="94">
        <f t="shared" si="1210"/>
        <v>1.8205748005516269E-2</v>
      </c>
      <c r="AO2374" s="94">
        <f t="shared" si="1211"/>
        <v>2.0137751635392807E-2</v>
      </c>
      <c r="AP2374" s="94">
        <f t="shared" si="1212"/>
        <v>1.4913806762031032E-2</v>
      </c>
      <c r="AQ2374" s="94">
        <f t="shared" si="1213"/>
        <v>2.2306831194184057E-2</v>
      </c>
      <c r="AR2374" s="94">
        <f t="shared" si="1214"/>
        <v>1.8892782000937046E-2</v>
      </c>
      <c r="AS2374" s="94">
        <f t="shared" si="1215"/>
        <v>2.3401842661210443E-2</v>
      </c>
      <c r="AT2374" s="94">
        <f t="shared" si="1216"/>
        <v>2.0705971530260325E-2</v>
      </c>
      <c r="AU2374" s="94">
        <f t="shared" si="1217"/>
        <v>2.1582397478503306E-2</v>
      </c>
      <c r="AV2374" s="94">
        <f t="shared" si="1218"/>
        <v>2.607500809082659E-2</v>
      </c>
      <c r="AW2374" s="94">
        <f t="shared" si="1219"/>
        <v>2.4202053012338479E-2</v>
      </c>
      <c r="AX2374" s="94">
        <f t="shared" si="1220"/>
        <v>1.5055340828235186E-2</v>
      </c>
      <c r="AY2374" s="94">
        <f t="shared" si="1221"/>
        <v>2.4866472597512897E-2</v>
      </c>
      <c r="AZ2374" s="94">
        <f t="shared" si="1222"/>
        <v>2.9245302543826665E-2</v>
      </c>
      <c r="BA2374" s="94">
        <f t="shared" si="1223"/>
        <v>2.1668091741214476E-2</v>
      </c>
      <c r="BB2374" s="94">
        <f t="shared" si="1224"/>
        <v>1.4465459675843052E-2</v>
      </c>
      <c r="BC2374" s="94">
        <f t="shared" si="1225"/>
        <v>2.4638794715574001E-2</v>
      </c>
      <c r="BD2374" s="94">
        <f t="shared" si="1226"/>
        <v>2.2104499407452651E-2</v>
      </c>
      <c r="BE2374" s="94">
        <f t="shared" si="1227"/>
        <v>1.4866499386761446E-2</v>
      </c>
      <c r="BF2374" s="94">
        <f>+H1590</f>
        <v>0.02</v>
      </c>
      <c r="BG2374" s="94">
        <f>+I968</f>
        <v>2.2581538003044518E-2</v>
      </c>
      <c r="BH2374" s="94"/>
      <c r="BI2374" s="94"/>
      <c r="BJ2374" s="94"/>
      <c r="BK2374" s="94"/>
      <c r="BL2374" s="94"/>
      <c r="BM2374" s="94"/>
      <c r="BN2374" s="94"/>
      <c r="BO2374" s="94"/>
      <c r="BP2374" s="94"/>
      <c r="BQ2374" s="94"/>
      <c r="BR2374" s="94"/>
      <c r="BS2374" s="94"/>
      <c r="BT2374" s="94"/>
      <c r="BU2374" s="94"/>
      <c r="BV2374" s="94"/>
      <c r="BW2374" s="94"/>
      <c r="BX2374" s="94"/>
      <c r="BY2374" s="94"/>
      <c r="BZ2374" s="94"/>
      <c r="CA2374" s="94"/>
      <c r="CB2374" s="94"/>
      <c r="CC2374" s="94"/>
      <c r="CD2374" s="94"/>
      <c r="CE2374" s="94"/>
      <c r="CF2374" s="94"/>
      <c r="CG2374" s="94"/>
      <c r="CH2374" s="94">
        <f>+I968</f>
        <v>2.2581538003044518E-2</v>
      </c>
      <c r="CI2374" s="94">
        <f>SUM('PEPE SIERRA '!$B2374:$M2374)</f>
        <v>1.9480331314360182</v>
      </c>
      <c r="CJ2374" s="139">
        <f>'PEPE SIERRA '!$CI2374/7</f>
        <v>0.27829044734800262</v>
      </c>
    </row>
    <row r="2375" spans="1:88" s="186" customFormat="1" ht="15" hidden="1" customHeight="1" x14ac:dyDescent="0.25">
      <c r="A2375" s="212" t="s">
        <v>20</v>
      </c>
      <c r="B2375" s="30">
        <f t="shared" si="1180"/>
        <v>0.2</v>
      </c>
      <c r="C2375" s="30">
        <f t="shared" si="1181"/>
        <v>0.23128020456488885</v>
      </c>
      <c r="D2375" s="30">
        <f t="shared" si="1182"/>
        <v>0.22060830207495694</v>
      </c>
      <c r="E2375" s="30">
        <f t="shared" si="1230"/>
        <v>0.24532624113228579</v>
      </c>
      <c r="F2375" s="30">
        <f t="shared" si="1183"/>
        <v>0.3380325539156489</v>
      </c>
      <c r="G2375" s="30">
        <f t="shared" si="1184"/>
        <v>0.28272292481881106</v>
      </c>
      <c r="H2375" s="30">
        <f t="shared" si="1185"/>
        <v>0.26190435568619425</v>
      </c>
      <c r="I2375" s="30">
        <f t="shared" si="1186"/>
        <v>0.28315337641191329</v>
      </c>
      <c r="J2375" s="279">
        <v>0.25941210997962083</v>
      </c>
      <c r="K2375" s="280">
        <v>0.36484868556025363</v>
      </c>
      <c r="L2375" s="281">
        <f t="shared" si="1188"/>
        <v>0.24756577956904929</v>
      </c>
      <c r="M2375" s="94">
        <f>2155*M362</f>
        <v>0</v>
      </c>
      <c r="N2375" s="94">
        <f t="shared" si="1190"/>
        <v>0.21715966006472856</v>
      </c>
      <c r="O2375" s="94">
        <f t="shared" si="1191"/>
        <v>0.19652431401569798</v>
      </c>
      <c r="P2375" s="94">
        <f t="shared" si="1192"/>
        <v>0.17811646736916348</v>
      </c>
      <c r="Q2375" s="94"/>
      <c r="R2375" s="94">
        <f t="shared" si="1193"/>
        <v>0.23414953228333038</v>
      </c>
      <c r="S2375" s="94"/>
      <c r="T2375" s="94"/>
      <c r="U2375" s="94"/>
      <c r="V2375" s="94">
        <f t="shared" si="1194"/>
        <v>0.24898650841136452</v>
      </c>
      <c r="W2375" s="94"/>
      <c r="X2375" s="94"/>
      <c r="Y2375" s="94"/>
      <c r="Z2375" s="94">
        <f t="shared" si="1197"/>
        <v>0.19846203976121529</v>
      </c>
      <c r="AA2375" s="94">
        <f t="shared" si="1198"/>
        <v>0.17708084026655935</v>
      </c>
      <c r="AB2375" s="94"/>
      <c r="AC2375" s="94"/>
      <c r="AD2375" s="94">
        <f t="shared" si="1200"/>
        <v>0.19054025839587968</v>
      </c>
      <c r="AE2375" s="94">
        <f t="shared" si="1201"/>
        <v>0.20577965338398527</v>
      </c>
      <c r="AF2375" s="94">
        <f t="shared" si="1202"/>
        <v>0.21168475487937544</v>
      </c>
      <c r="AG2375" s="94">
        <f t="shared" si="1203"/>
        <v>0.16169156464433937</v>
      </c>
      <c r="AH2375" s="94">
        <f t="shared" si="1204"/>
        <v>0.26747870426749948</v>
      </c>
      <c r="AI2375" s="94">
        <f t="shared" si="1205"/>
        <v>0.19692996229091494</v>
      </c>
      <c r="AJ2375" s="94">
        <f t="shared" si="1206"/>
        <v>0.22212408580577039</v>
      </c>
      <c r="AK2375" s="94">
        <f t="shared" si="1207"/>
        <v>0.26595766916461133</v>
      </c>
      <c r="AL2375" s="94">
        <f t="shared" si="1208"/>
        <v>0.23369657513129602</v>
      </c>
      <c r="AM2375" s="94">
        <f t="shared" si="1209"/>
        <v>0.21503119418023897</v>
      </c>
      <c r="AN2375" s="94">
        <f t="shared" si="1210"/>
        <v>0.20728957918535418</v>
      </c>
      <c r="AO2375" s="94">
        <f t="shared" si="1211"/>
        <v>0.18633932952929497</v>
      </c>
      <c r="AP2375" s="94">
        <f t="shared" si="1212"/>
        <v>0.18515049046557949</v>
      </c>
      <c r="AQ2375" s="94">
        <f t="shared" si="1213"/>
        <v>0.20702283175316205</v>
      </c>
      <c r="AR2375" s="94">
        <f t="shared" si="1214"/>
        <v>0.23992198967102477</v>
      </c>
      <c r="AS2375" s="94">
        <f t="shared" si="1215"/>
        <v>0.21766530404715875</v>
      </c>
      <c r="AT2375" s="94">
        <f t="shared" si="1216"/>
        <v>0.23205067266005777</v>
      </c>
      <c r="AU2375" s="94">
        <f t="shared" si="1217"/>
        <v>0.20483750560023167</v>
      </c>
      <c r="AV2375" s="94">
        <f t="shared" si="1218"/>
        <v>0.2097472769548159</v>
      </c>
      <c r="AW2375" s="94">
        <f t="shared" si="1219"/>
        <v>0.15843554565016491</v>
      </c>
      <c r="AX2375" s="94">
        <f t="shared" si="1220"/>
        <v>0.17890594414626301</v>
      </c>
      <c r="AY2375" s="94">
        <f t="shared" si="1221"/>
        <v>0.18672898014773504</v>
      </c>
      <c r="AZ2375" s="94">
        <f t="shared" si="1222"/>
        <v>0.1567393480145631</v>
      </c>
      <c r="BA2375" s="94">
        <f t="shared" si="1223"/>
        <v>0.1441132816742268</v>
      </c>
      <c r="BB2375" s="94">
        <f t="shared" si="1224"/>
        <v>0.16239158128598971</v>
      </c>
      <c r="BC2375" s="94">
        <f t="shared" si="1225"/>
        <v>0.17400730887201407</v>
      </c>
      <c r="BD2375" s="94">
        <f t="shared" si="1226"/>
        <v>0.19256244452382595</v>
      </c>
      <c r="BE2375" s="94">
        <f t="shared" si="1227"/>
        <v>0.1775372831045644</v>
      </c>
      <c r="BF2375" s="94">
        <f>+H1591</f>
        <v>0.11</v>
      </c>
      <c r="BG2375" s="94">
        <f>+I969</f>
        <v>0.19692996229091494</v>
      </c>
      <c r="BH2375" s="94"/>
      <c r="BI2375" s="94"/>
      <c r="BJ2375" s="94"/>
      <c r="BK2375" s="94"/>
      <c r="BL2375" s="94"/>
      <c r="BM2375" s="94"/>
      <c r="BN2375" s="94"/>
      <c r="BO2375" s="94"/>
      <c r="BP2375" s="94"/>
      <c r="BQ2375" s="94"/>
      <c r="BR2375" s="94"/>
      <c r="BS2375" s="94"/>
      <c r="BT2375" s="94"/>
      <c r="BU2375" s="94"/>
      <c r="BV2375" s="94"/>
      <c r="BW2375" s="94"/>
      <c r="BX2375" s="94"/>
      <c r="BY2375" s="94"/>
      <c r="BZ2375" s="94"/>
      <c r="CA2375" s="94"/>
      <c r="CB2375" s="94"/>
      <c r="CC2375" s="94"/>
      <c r="CD2375" s="94"/>
      <c r="CE2375" s="94"/>
      <c r="CF2375" s="94"/>
      <c r="CG2375" s="94"/>
      <c r="CH2375" s="94">
        <f>+I969</f>
        <v>0.19692996229091494</v>
      </c>
      <c r="CI2375" s="94">
        <f>SUM('PEPE SIERRA '!$B2375:$M2375)</f>
        <v>2.9348545337136223</v>
      </c>
      <c r="CJ2375" s="139">
        <f>'PEPE SIERRA '!$CI2375/7</f>
        <v>0.4192649333876603</v>
      </c>
    </row>
    <row r="2376" spans="1:88" s="186" customFormat="1" ht="15" hidden="1" customHeight="1" x14ac:dyDescent="0.25">
      <c r="A2376" s="212" t="s">
        <v>21</v>
      </c>
      <c r="B2376" s="30">
        <f t="shared" si="1180"/>
        <v>0</v>
      </c>
      <c r="C2376" s="30">
        <f t="shared" si="1181"/>
        <v>0</v>
      </c>
      <c r="D2376" s="30">
        <f t="shared" si="1182"/>
        <v>0</v>
      </c>
      <c r="E2376" s="30">
        <f t="shared" si="1230"/>
        <v>0</v>
      </c>
      <c r="F2376" s="30">
        <f t="shared" si="1183"/>
        <v>0</v>
      </c>
      <c r="G2376" s="30">
        <f t="shared" si="1184"/>
        <v>0</v>
      </c>
      <c r="H2376" s="30">
        <f t="shared" si="1185"/>
        <v>0.18342255795412485</v>
      </c>
      <c r="I2376" s="30">
        <f t="shared" si="1186"/>
        <v>0.2019671077324528</v>
      </c>
      <c r="J2376" s="279">
        <v>0.22768308728244835</v>
      </c>
      <c r="K2376" s="280">
        <v>0.16077161474740331</v>
      </c>
      <c r="L2376" s="281">
        <f t="shared" si="1188"/>
        <v>0.14026343850443818</v>
      </c>
      <c r="M2376" s="94">
        <f>2155*M363</f>
        <v>0</v>
      </c>
      <c r="N2376" s="94">
        <f t="shared" si="1190"/>
        <v>0.13443953029711964</v>
      </c>
      <c r="O2376" s="94">
        <f t="shared" si="1191"/>
        <v>0.14018231832225711</v>
      </c>
      <c r="P2376" s="94">
        <f t="shared" si="1192"/>
        <v>0.13129140232994183</v>
      </c>
      <c r="Q2376" s="94"/>
      <c r="R2376" s="94">
        <f t="shared" si="1193"/>
        <v>0.10847007549917535</v>
      </c>
      <c r="S2376" s="94"/>
      <c r="T2376" s="94"/>
      <c r="U2376" s="94"/>
      <c r="V2376" s="94">
        <f t="shared" si="1194"/>
        <v>0.13275699006819774</v>
      </c>
      <c r="W2376" s="94"/>
      <c r="X2376" s="94"/>
      <c r="Y2376" s="94"/>
      <c r="Z2376" s="94">
        <f t="shared" si="1197"/>
        <v>8.6954785112336327E-2</v>
      </c>
      <c r="AA2376" s="94">
        <f t="shared" si="1198"/>
        <v>9.0944138783434783E-2</v>
      </c>
      <c r="AB2376" s="94"/>
      <c r="AC2376" s="94"/>
      <c r="AD2376" s="94">
        <f t="shared" si="1200"/>
        <v>6.6824279788334495E-2</v>
      </c>
      <c r="AE2376" s="94">
        <f t="shared" si="1201"/>
        <v>6.7981580290263244E-2</v>
      </c>
      <c r="AF2376" s="94">
        <f t="shared" si="1202"/>
        <v>5.87566175253708E-2</v>
      </c>
      <c r="AG2376" s="94">
        <f t="shared" si="1203"/>
        <v>0.12763701396667407</v>
      </c>
      <c r="AH2376" s="94">
        <f t="shared" si="1204"/>
        <v>5.1895036544997913E-2</v>
      </c>
      <c r="AI2376" s="94">
        <f t="shared" si="1205"/>
        <v>5.1183106523644002E-2</v>
      </c>
      <c r="AJ2376" s="94">
        <f t="shared" si="1206"/>
        <v>1.2199955089282144E-2</v>
      </c>
      <c r="AK2376" s="94">
        <f t="shared" si="1207"/>
        <v>3.0515478137569971E-2</v>
      </c>
      <c r="AL2376" s="94">
        <f t="shared" si="1208"/>
        <v>2.8782106196944577E-2</v>
      </c>
      <c r="AM2376" s="94">
        <f t="shared" si="1209"/>
        <v>2.7496745656643059E-2</v>
      </c>
      <c r="AN2376" s="94">
        <f t="shared" si="1210"/>
        <v>1.8827268426907264E-2</v>
      </c>
      <c r="AO2376" s="94">
        <f t="shared" si="1211"/>
        <v>5.6683260428765106E-2</v>
      </c>
      <c r="AP2376" s="94">
        <f t="shared" si="1212"/>
        <v>3.0843986130576352E-2</v>
      </c>
      <c r="AQ2376" s="94">
        <f t="shared" si="1213"/>
        <v>3.6019122441936169E-2</v>
      </c>
      <c r="AR2376" s="94">
        <f t="shared" si="1214"/>
        <v>1.8974909452345416E-2</v>
      </c>
      <c r="AS2376" s="94">
        <f t="shared" si="1215"/>
        <v>3.7987607542073129E-2</v>
      </c>
      <c r="AT2376" s="94">
        <f t="shared" si="1216"/>
        <v>4.1743658950746797E-2</v>
      </c>
      <c r="AU2376" s="94">
        <f t="shared" si="1217"/>
        <v>4.0407612027725533E-2</v>
      </c>
      <c r="AV2376" s="94">
        <f t="shared" si="1218"/>
        <v>4.418138926733909E-2</v>
      </c>
      <c r="AW2376" s="94">
        <f t="shared" si="1219"/>
        <v>3.9736987782521105E-2</v>
      </c>
      <c r="AX2376" s="94">
        <f t="shared" si="1220"/>
        <v>5.9321407408065213E-2</v>
      </c>
      <c r="AY2376" s="94">
        <f t="shared" si="1221"/>
        <v>4.2038632172714953E-2</v>
      </c>
      <c r="AZ2376" s="94">
        <f t="shared" si="1222"/>
        <v>4.269443578704598E-2</v>
      </c>
      <c r="BA2376" s="94">
        <f t="shared" si="1223"/>
        <v>5.1384636353953003E-2</v>
      </c>
      <c r="BB2376" s="94">
        <f t="shared" si="1224"/>
        <v>4.629069749414471E-2</v>
      </c>
      <c r="BC2376" s="94">
        <f t="shared" si="1225"/>
        <v>5.5505060595526616E-2</v>
      </c>
      <c r="BD2376" s="94">
        <f t="shared" si="1226"/>
        <v>4.3171820862128486E-2</v>
      </c>
      <c r="BE2376" s="94">
        <f t="shared" si="1227"/>
        <v>4.4583278038245452E-2</v>
      </c>
      <c r="BF2376" s="94">
        <f>+H1592</f>
        <v>0.04</v>
      </c>
      <c r="BG2376" s="94">
        <f>+I970</f>
        <v>5.1183106523644002E-2</v>
      </c>
      <c r="BH2376" s="94"/>
      <c r="BI2376" s="94"/>
      <c r="BJ2376" s="94"/>
      <c r="BK2376" s="94"/>
      <c r="BL2376" s="94"/>
      <c r="BM2376" s="94"/>
      <c r="BN2376" s="94"/>
      <c r="BO2376" s="94"/>
      <c r="BP2376" s="94"/>
      <c r="BQ2376" s="94"/>
      <c r="BR2376" s="94"/>
      <c r="BS2376" s="94"/>
      <c r="BT2376" s="94"/>
      <c r="BU2376" s="94"/>
      <c r="BV2376" s="94"/>
      <c r="BW2376" s="94"/>
      <c r="BX2376" s="94"/>
      <c r="BY2376" s="94"/>
      <c r="BZ2376" s="94"/>
      <c r="CA2376" s="94"/>
      <c r="CB2376" s="94"/>
      <c r="CC2376" s="94"/>
      <c r="CD2376" s="94"/>
      <c r="CE2376" s="94"/>
      <c r="CF2376" s="94"/>
      <c r="CG2376" s="94"/>
      <c r="CH2376" s="94">
        <f>+I970</f>
        <v>5.1183106523644002E-2</v>
      </c>
      <c r="CI2376" s="94">
        <f>SUM('PEPE SIERRA '!$B2376:$M2376)</f>
        <v>0.9141078062208674</v>
      </c>
      <c r="CJ2376" s="139">
        <f>'PEPE SIERRA '!$CI2376/7</f>
        <v>0.13058682946012393</v>
      </c>
    </row>
    <row r="2377" spans="1:88" s="186" customFormat="1" ht="15" hidden="1" customHeight="1" x14ac:dyDescent="0.25">
      <c r="A2377" s="212" t="s">
        <v>22</v>
      </c>
      <c r="B2377" s="30">
        <f t="shared" si="1180"/>
        <v>0</v>
      </c>
      <c r="C2377" s="30">
        <f t="shared" si="1181"/>
        <v>0</v>
      </c>
      <c r="D2377" s="30">
        <f t="shared" si="1182"/>
        <v>0</v>
      </c>
      <c r="E2377" s="30">
        <f t="shared" si="1230"/>
        <v>0</v>
      </c>
      <c r="F2377" s="30">
        <f t="shared" si="1183"/>
        <v>0</v>
      </c>
      <c r="G2377" s="30">
        <f t="shared" si="1184"/>
        <v>0</v>
      </c>
      <c r="H2377" s="30">
        <f t="shared" si="1185"/>
        <v>2.3998447970230174E-3</v>
      </c>
      <c r="I2377" s="30">
        <f t="shared" si="1186"/>
        <v>2.8727616465540465E-2</v>
      </c>
      <c r="J2377" s="279">
        <v>1.0290862398326588E-2</v>
      </c>
      <c r="K2377" s="280">
        <v>4.964830325789764E-3</v>
      </c>
      <c r="L2377" s="281">
        <f t="shared" si="1188"/>
        <v>2.7938723756608889E-3</v>
      </c>
      <c r="M2377" s="94">
        <f>2155*M364</f>
        <v>0</v>
      </c>
      <c r="N2377" s="94">
        <f t="shared" si="1190"/>
        <v>0</v>
      </c>
      <c r="O2377" s="94">
        <f t="shared" si="1191"/>
        <v>2.1885878798672547E-3</v>
      </c>
      <c r="P2377" s="94">
        <f t="shared" si="1192"/>
        <v>5.2049334803715118E-3</v>
      </c>
      <c r="Q2377" s="94"/>
      <c r="R2377" s="94">
        <f t="shared" si="1193"/>
        <v>0</v>
      </c>
      <c r="S2377" s="94"/>
      <c r="T2377" s="94"/>
      <c r="U2377" s="94"/>
      <c r="V2377" s="94">
        <f t="shared" si="1194"/>
        <v>7.103997266651025E-3</v>
      </c>
      <c r="W2377" s="94"/>
      <c r="X2377" s="94"/>
      <c r="Y2377" s="94"/>
      <c r="Z2377" s="94">
        <f t="shared" si="1197"/>
        <v>3.2124277262096331E-3</v>
      </c>
      <c r="AA2377" s="94">
        <f t="shared" si="1198"/>
        <v>0</v>
      </c>
      <c r="AB2377" s="94"/>
      <c r="AC2377" s="94"/>
      <c r="AD2377" s="94">
        <f t="shared" si="1200"/>
        <v>8.9493566785934305E-4</v>
      </c>
      <c r="AE2377" s="94">
        <f t="shared" si="1201"/>
        <v>1.0466774553725873E-3</v>
      </c>
      <c r="AF2377" s="94">
        <f t="shared" si="1202"/>
        <v>4.8772233858473202E-3</v>
      </c>
      <c r="AG2377" s="94">
        <f t="shared" si="1203"/>
        <v>0</v>
      </c>
      <c r="AH2377" s="94">
        <f t="shared" si="1204"/>
        <v>2.4416710440798859E-3</v>
      </c>
      <c r="AI2377" s="94">
        <f t="shared" si="1205"/>
        <v>9.6208165253100855E-4</v>
      </c>
      <c r="AJ2377" s="94">
        <f t="shared" si="1206"/>
        <v>4.9899636355883762E-3</v>
      </c>
      <c r="AK2377" s="94">
        <f t="shared" si="1207"/>
        <v>1.44366753067539E-3</v>
      </c>
      <c r="AL2377" s="94">
        <f t="shared" si="1208"/>
        <v>6.4902287151004617E-4</v>
      </c>
      <c r="AM2377" s="94">
        <f t="shared" si="1209"/>
        <v>8.3514707791231685E-3</v>
      </c>
      <c r="AN2377" s="94">
        <f t="shared" si="1210"/>
        <v>1.3451386275937158E-3</v>
      </c>
      <c r="AO2377" s="94">
        <f t="shared" si="1211"/>
        <v>1.5926981931733298E-3</v>
      </c>
      <c r="AP2377" s="94">
        <f t="shared" si="1212"/>
        <v>3.7415072561426876E-3</v>
      </c>
      <c r="AQ2377" s="94">
        <f t="shared" si="1213"/>
        <v>0</v>
      </c>
      <c r="AR2377" s="94">
        <f t="shared" si="1214"/>
        <v>2.1556039831833701E-3</v>
      </c>
      <c r="AS2377" s="94">
        <f t="shared" si="1215"/>
        <v>5.4295234197700697E-3</v>
      </c>
      <c r="AT2377" s="94">
        <f t="shared" si="1216"/>
        <v>6.1511362585281524E-4</v>
      </c>
      <c r="AU2377" s="94">
        <f t="shared" si="1217"/>
        <v>5.6241508807929521E-3</v>
      </c>
      <c r="AV2377" s="94">
        <f t="shared" si="1218"/>
        <v>0</v>
      </c>
      <c r="AW2377" s="94">
        <f t="shared" si="1219"/>
        <v>9.4029067869987038E-4</v>
      </c>
      <c r="AX2377" s="94">
        <f t="shared" si="1220"/>
        <v>0</v>
      </c>
      <c r="AY2377" s="94">
        <f t="shared" si="1221"/>
        <v>0</v>
      </c>
      <c r="AZ2377" s="94">
        <f t="shared" si="1222"/>
        <v>0</v>
      </c>
      <c r="BA2377" s="94">
        <f t="shared" si="1223"/>
        <v>1.8409460823237494E-3</v>
      </c>
      <c r="BB2377" s="94">
        <f t="shared" si="1224"/>
        <v>8.4655496253315497E-4</v>
      </c>
      <c r="BC2377" s="94">
        <f t="shared" si="1225"/>
        <v>0</v>
      </c>
      <c r="BD2377" s="94">
        <f t="shared" si="1226"/>
        <v>2.2219801720262887E-3</v>
      </c>
      <c r="BE2377" s="94">
        <f t="shared" si="1227"/>
        <v>2.5192901177745913E-3</v>
      </c>
      <c r="BF2377" s="94">
        <f>+H1593</f>
        <v>0</v>
      </c>
      <c r="BG2377" s="94">
        <f>+I971</f>
        <v>9.6208165253100855E-4</v>
      </c>
      <c r="BH2377" s="94"/>
      <c r="BI2377" s="94"/>
      <c r="BJ2377" s="94"/>
      <c r="BK2377" s="94"/>
      <c r="BL2377" s="94"/>
      <c r="BM2377" s="94"/>
      <c r="BN2377" s="94"/>
      <c r="BO2377" s="94"/>
      <c r="BP2377" s="94"/>
      <c r="BQ2377" s="94"/>
      <c r="BR2377" s="94"/>
      <c r="BS2377" s="94"/>
      <c r="BT2377" s="94"/>
      <c r="BU2377" s="94"/>
      <c r="BV2377" s="94"/>
      <c r="BW2377" s="94"/>
      <c r="BX2377" s="94"/>
      <c r="BY2377" s="94"/>
      <c r="BZ2377" s="94"/>
      <c r="CA2377" s="94"/>
      <c r="CB2377" s="94"/>
      <c r="CC2377" s="94"/>
      <c r="CD2377" s="94"/>
      <c r="CE2377" s="94"/>
      <c r="CF2377" s="94"/>
      <c r="CG2377" s="94"/>
      <c r="CH2377" s="94">
        <f>+I971</f>
        <v>9.6208165253100855E-4</v>
      </c>
      <c r="CI2377" s="94">
        <f>SUM('PEPE SIERRA '!$B2377:$M2377)</f>
        <v>4.9177026362340726E-2</v>
      </c>
      <c r="CJ2377" s="139">
        <f>'PEPE SIERRA '!$CI2377/7</f>
        <v>7.0252894803343891E-3</v>
      </c>
    </row>
    <row r="2378" spans="1:88" s="186" customFormat="1" x14ac:dyDescent="0.25">
      <c r="A2378" s="212" t="s">
        <v>18</v>
      </c>
      <c r="B2378" s="18">
        <f>I12</f>
        <v>0.39</v>
      </c>
      <c r="C2378" s="18">
        <f>I40</f>
        <v>0.40889432070048554</v>
      </c>
      <c r="D2378" s="18">
        <f>I69</f>
        <v>0.47242231986770017</v>
      </c>
      <c r="E2378" s="18">
        <f>I97</f>
        <v>0.43538230987480425</v>
      </c>
      <c r="F2378" s="18">
        <f>I125</f>
        <v>0.47506054217199684</v>
      </c>
      <c r="G2378" s="18">
        <f>I152</f>
        <v>0.46548328833444008</v>
      </c>
      <c r="H2378" s="18">
        <f>I182</f>
        <v>0.51222188418791403</v>
      </c>
      <c r="I2378" s="18">
        <f>I210</f>
        <v>0.4754422599494873</v>
      </c>
      <c r="J2378" s="18">
        <f t="shared" ref="J2378:J2394" si="1265">I241</f>
        <v>0.48367456844574375</v>
      </c>
      <c r="K2378" s="18">
        <f>K2385/K2390</f>
        <v>0.45861146309907197</v>
      </c>
      <c r="L2378" s="18">
        <f t="shared" ref="L2378:L2390" si="1266">I297</f>
        <v>0.5741549856341307</v>
      </c>
      <c r="M2378" s="18">
        <f t="shared" ref="M2378:M2394" si="1267">I353</f>
        <v>0.60835267954621608</v>
      </c>
      <c r="N2378" s="282">
        <f t="shared" ref="N2378:N2394" si="1268">I381</f>
        <v>0.6209116565481132</v>
      </c>
      <c r="O2378" s="282">
        <f t="shared" ref="O2378:O2394" si="1269">I409</f>
        <v>0.64145197726606318</v>
      </c>
      <c r="P2378" s="282">
        <f t="shared" ref="P2378:P2394" si="1270">I437</f>
        <v>0.68130596986652736</v>
      </c>
      <c r="Q2378" s="282">
        <f t="shared" ref="Q2378:Q2394" si="1271">I465</f>
        <v>0.63287957012188156</v>
      </c>
      <c r="R2378" s="282">
        <f t="shared" ref="R2378:R2394" si="1272">I493</f>
        <v>0.63955973855743398</v>
      </c>
      <c r="S2378" s="282">
        <f t="shared" ref="S2378:S2394" si="1273">I521</f>
        <v>0.65371955023281192</v>
      </c>
      <c r="T2378" s="282">
        <f t="shared" ref="T2378:T2394" si="1274">I549</f>
        <v>0.60246245983456448</v>
      </c>
      <c r="U2378" s="282">
        <f t="shared" ref="U2378:U2394" si="1275">I577</f>
        <v>0.54116871576700853</v>
      </c>
      <c r="V2378" s="282">
        <f t="shared" ref="V2378:V2394" si="1276">I605</f>
        <v>0.57449702636752764</v>
      </c>
      <c r="W2378" s="282">
        <f t="shared" ref="W2378:W2394" si="1277">I632</f>
        <v>0.65704492009268611</v>
      </c>
      <c r="X2378" s="282">
        <f t="shared" ref="X2378:X2394" si="1278">I660</f>
        <v>0.6304156995132506</v>
      </c>
      <c r="Y2378" s="282">
        <f t="shared" ref="Y2378:Y2394" si="1279">I688</f>
        <v>0.64232853854720762</v>
      </c>
      <c r="Z2378" s="282">
        <f t="shared" ref="Z2378:Z2394" si="1280">I716</f>
        <v>0.68579270057162778</v>
      </c>
      <c r="AA2378" s="282">
        <f t="shared" ref="AA2378:AA2394" si="1281">I744</f>
        <v>0.70505379144914371</v>
      </c>
      <c r="AB2378" s="282">
        <f t="shared" ref="AB2378:AB2394" si="1282">I772</f>
        <v>0.71020870782210777</v>
      </c>
      <c r="AC2378" s="282">
        <f>+I800</f>
        <v>0.71032579237304005</v>
      </c>
      <c r="AD2378" s="282">
        <f>+I828</f>
        <v>0.72342523160726024</v>
      </c>
      <c r="AE2378" s="282">
        <f>+I856</f>
        <v>0.71153355089396586</v>
      </c>
      <c r="AF2378" s="282">
        <f>+I884</f>
        <v>0.70187106356953166</v>
      </c>
      <c r="AG2378" s="282">
        <f t="shared" ref="AG2378:AG2394" si="1283">+I912</f>
        <v>0.68728808558734389</v>
      </c>
      <c r="AH2378" s="282">
        <f>+I940</f>
        <v>0.65240183828888076</v>
      </c>
      <c r="AI2378" s="282">
        <f>+I967</f>
        <v>0.72834331152986564</v>
      </c>
      <c r="AJ2378" s="282">
        <f>+I994</f>
        <v>0.74029365260972835</v>
      </c>
      <c r="AK2378" s="282">
        <f>+I1021</f>
        <v>0.68155018272628953</v>
      </c>
      <c r="AL2378" s="282">
        <f>+I1048</f>
        <v>0.71564836140861487</v>
      </c>
      <c r="AM2378" s="282">
        <f>+I1075</f>
        <v>0.72566088400693463</v>
      </c>
      <c r="AN2378" s="282">
        <f>+I1102</f>
        <v>0.75433226575462853</v>
      </c>
      <c r="AO2378" s="282">
        <f>+I1129</f>
        <v>0.73524696021337388</v>
      </c>
      <c r="AP2378" s="282">
        <f>+I1156</f>
        <v>0.76535020938567044</v>
      </c>
      <c r="AQ2378" s="282">
        <f>+I1183</f>
        <v>0.7346512146107177</v>
      </c>
      <c r="AR2378" s="282">
        <f>+I1210</f>
        <v>0.72005471489250938</v>
      </c>
      <c r="AS2378" s="282">
        <f>+I1238</f>
        <v>0.71551572232978777</v>
      </c>
      <c r="AT2378" s="282">
        <f>+I1265</f>
        <v>0.70488458323308223</v>
      </c>
      <c r="AU2378" s="282">
        <f>+I1292</f>
        <v>0.72754833401274643</v>
      </c>
      <c r="AV2378" s="282">
        <f>+I1319</f>
        <v>0.71999632568701843</v>
      </c>
      <c r="AW2378" s="282">
        <f>+I1346</f>
        <v>0.77668512287627556</v>
      </c>
      <c r="AX2378" s="282">
        <f>+I1373</f>
        <v>0.74671730761743649</v>
      </c>
      <c r="AY2378" s="282">
        <f>+I1400</f>
        <v>0.7463659150820372</v>
      </c>
      <c r="AZ2378" s="282">
        <f>+I1427</f>
        <v>0.77132091365456412</v>
      </c>
      <c r="BA2378" s="282">
        <f>+I1454</f>
        <v>0.78099304414828208</v>
      </c>
      <c r="BB2378" s="282">
        <f>+I1481</f>
        <v>0.77600570658148948</v>
      </c>
      <c r="BC2378" s="282">
        <f>+I1508</f>
        <v>0.74584883581688532</v>
      </c>
      <c r="BD2378" s="282">
        <f>+I1535</f>
        <v>0.7399392550345667</v>
      </c>
      <c r="BE2378" s="282">
        <f t="shared" ref="BE2378:BE2394" si="1284">+I1562</f>
        <v>0.76049364935265407</v>
      </c>
      <c r="BF2378" s="282">
        <f t="shared" ref="BF2378:BF2394" si="1285">+I1589</f>
        <v>0.75755607631173738</v>
      </c>
      <c r="BG2378" s="282">
        <f t="shared" ref="BG2378:BG2394" si="1286">+I1616</f>
        <v>0.74791121254698201</v>
      </c>
      <c r="BH2378" s="282">
        <f>+I1643</f>
        <v>0.73111777962879598</v>
      </c>
      <c r="BI2378" s="282">
        <f>+I1670</f>
        <v>0.75326623502570256</v>
      </c>
      <c r="BJ2378" s="282">
        <f>+I1697</f>
        <v>0.70847802929101289</v>
      </c>
      <c r="BK2378" s="282">
        <f>+I1724</f>
        <v>0.75778142138198556</v>
      </c>
      <c r="BL2378" s="282">
        <f>+I1751</f>
        <v>0.76693941002421806</v>
      </c>
      <c r="BM2378" s="282">
        <f>+I1778</f>
        <v>0.77537524000110669</v>
      </c>
      <c r="BN2378" s="282">
        <f>+I1805</f>
        <v>0.78114282128943047</v>
      </c>
      <c r="BO2378" s="282">
        <f>+I1832</f>
        <v>0.78829027347805614</v>
      </c>
      <c r="BP2378" s="282">
        <f>+I1859</f>
        <v>0.78720820475384223</v>
      </c>
      <c r="BQ2378" s="282">
        <f>+I1886</f>
        <v>0.78421240716774376</v>
      </c>
      <c r="BR2378" s="282">
        <f>+I1913</f>
        <v>0.76940929989329365</v>
      </c>
      <c r="BS2378" s="282">
        <f>+I1940</f>
        <v>0.78159686703830489</v>
      </c>
      <c r="BT2378" s="282">
        <f>+I1967</f>
        <v>0.77710195820011718</v>
      </c>
      <c r="BU2378" s="282">
        <f>+I1994</f>
        <v>0.7107163563431641</v>
      </c>
      <c r="BV2378" s="282">
        <f>+I2021</f>
        <v>0.74245422289857921</v>
      </c>
      <c r="BW2378" s="282">
        <f>+I2048</f>
        <v>0.7353244983463888</v>
      </c>
      <c r="BX2378" s="282">
        <f>+I2075</f>
        <v>0.78824559573675834</v>
      </c>
      <c r="BY2378" s="282">
        <f>+I2102</f>
        <v>0.78074738512497377</v>
      </c>
      <c r="BZ2378" s="282">
        <f>+I2129</f>
        <v>0.76563306910139595</v>
      </c>
      <c r="CA2378" s="282">
        <f>+I2156</f>
        <v>0.80213514808610331</v>
      </c>
      <c r="CB2378" s="282">
        <f>+I2183</f>
        <v>0.77635291446940824</v>
      </c>
      <c r="CC2378" s="282">
        <f>+I2210</f>
        <v>0.77934192044830564</v>
      </c>
      <c r="CD2378" s="282">
        <f>+I2237</f>
        <v>0.78618047976085403</v>
      </c>
      <c r="CE2378" s="282">
        <f>+I2264</f>
        <v>0.81420611556267053</v>
      </c>
      <c r="CF2378" s="282">
        <f>+I2291</f>
        <v>0.80114139154323449</v>
      </c>
      <c r="CG2378" s="282">
        <f>+I2318</f>
        <v>0.79436469846182034</v>
      </c>
      <c r="CH2378" s="282">
        <f>+I2345</f>
        <v>0.73351849148415293</v>
      </c>
      <c r="CI2378" s="18">
        <f>CI2385/CI2390</f>
        <v>0.69172521837655909</v>
      </c>
      <c r="CJ2378" s="19">
        <f>CJ2385/CJ2390</f>
        <v>0.69172521837655909</v>
      </c>
    </row>
    <row r="2379" spans="1:88" s="186" customFormat="1" x14ac:dyDescent="0.25">
      <c r="A2379" s="212" t="s">
        <v>19</v>
      </c>
      <c r="B2379" s="18">
        <f>I13</f>
        <v>0.41</v>
      </c>
      <c r="C2379" s="18">
        <f>I41</f>
        <v>0.35982547473462567</v>
      </c>
      <c r="D2379" s="18">
        <f>I70</f>
        <v>0.30696937805734287</v>
      </c>
      <c r="E2379" s="18">
        <f>I98</f>
        <v>0.31929144899290984</v>
      </c>
      <c r="F2379" s="18">
        <f>I126</f>
        <v>0.18690690391235432</v>
      </c>
      <c r="G2379" s="18">
        <f>I153</f>
        <v>0.2517937868467488</v>
      </c>
      <c r="H2379" s="18">
        <f>I183</f>
        <v>4.0051357374743933E-2</v>
      </c>
      <c r="I2379" s="18">
        <f>I211</f>
        <v>1.070963944060622E-2</v>
      </c>
      <c r="J2379" s="18">
        <f t="shared" si="1265"/>
        <v>1.646022793865096E-2</v>
      </c>
      <c r="K2379" s="18">
        <f>K2386/K2390</f>
        <v>1.080292471454331E-2</v>
      </c>
      <c r="L2379" s="18">
        <f t="shared" si="1266"/>
        <v>3.5221923916720965E-2</v>
      </c>
      <c r="M2379" s="18">
        <f t="shared" si="1267"/>
        <v>2.5661540907790333E-2</v>
      </c>
      <c r="N2379" s="282">
        <f t="shared" si="1268"/>
        <v>2.7489153090038621E-2</v>
      </c>
      <c r="O2379" s="282">
        <f t="shared" si="1269"/>
        <v>1.9652802516114266E-2</v>
      </c>
      <c r="P2379" s="282">
        <f t="shared" si="1270"/>
        <v>4.0812269539957959E-3</v>
      </c>
      <c r="Q2379" s="282">
        <f t="shared" si="1271"/>
        <v>6.8046814328718589E-3</v>
      </c>
      <c r="R2379" s="282">
        <f t="shared" si="1272"/>
        <v>1.7820653660060227E-2</v>
      </c>
      <c r="S2379" s="282">
        <f t="shared" si="1273"/>
        <v>1.7298204511415796E-2</v>
      </c>
      <c r="T2379" s="282">
        <f t="shared" si="1274"/>
        <v>3.6007279284737397E-2</v>
      </c>
      <c r="U2379" s="282">
        <f t="shared" si="1275"/>
        <v>4.0634619705224778E-2</v>
      </c>
      <c r="V2379" s="282">
        <f t="shared" si="1276"/>
        <v>3.6655477886259405E-2</v>
      </c>
      <c r="W2379" s="282">
        <f t="shared" si="1277"/>
        <v>2.5412649470128359E-2</v>
      </c>
      <c r="X2379" s="282">
        <f t="shared" si="1278"/>
        <v>4.5272198910608408E-2</v>
      </c>
      <c r="Y2379" s="282">
        <f t="shared" si="1279"/>
        <v>3.1164939026962331E-2</v>
      </c>
      <c r="Z2379" s="282">
        <f t="shared" si="1280"/>
        <v>2.5578046828610951E-2</v>
      </c>
      <c r="AA2379" s="282">
        <f t="shared" si="1281"/>
        <v>2.6921229500862176E-2</v>
      </c>
      <c r="AB2379" s="282">
        <f t="shared" si="1282"/>
        <v>2.0872164689225599E-2</v>
      </c>
      <c r="AC2379" s="282">
        <f t="shared" ref="AC2379:AC2394" si="1287">+I801</f>
        <v>1.9710248013543843E-2</v>
      </c>
      <c r="AD2379" s="282">
        <f>+I829</f>
        <v>1.831529454066623E-2</v>
      </c>
      <c r="AE2379" s="282">
        <f t="shared" ref="AE2379:AE2394" si="1288">+I857</f>
        <v>1.3658537976412951E-2</v>
      </c>
      <c r="AF2379" s="282">
        <f t="shared" ref="AF2379:AF2394" si="1289">+I885</f>
        <v>2.281034063987478E-2</v>
      </c>
      <c r="AG2379" s="282">
        <f t="shared" si="1283"/>
        <v>2.1643897428721408E-2</v>
      </c>
      <c r="AH2379" s="282">
        <f t="shared" ref="AH2379:AH2394" si="1290">+I941</f>
        <v>2.5782749854542028E-2</v>
      </c>
      <c r="AI2379" s="282">
        <f t="shared" ref="AI2379:AI2394" si="1291">+I968</f>
        <v>2.2581538003044518E-2</v>
      </c>
      <c r="AJ2379" s="282">
        <f t="shared" ref="AJ2379:AJ2394" si="1292">+I995</f>
        <v>2.0392342859630808E-2</v>
      </c>
      <c r="AK2379" s="282">
        <f t="shared" ref="AK2379:AK2394" si="1293">+I1022</f>
        <v>2.0533002440853876E-2</v>
      </c>
      <c r="AL2379" s="282">
        <f t="shared" ref="AL2379:AL2394" si="1294">+I1049</f>
        <v>2.122393439163445E-2</v>
      </c>
      <c r="AM2379" s="282">
        <f t="shared" ref="AM2379:AM2394" si="1295">+I1076</f>
        <v>2.3459705377060273E-2</v>
      </c>
      <c r="AN2379" s="282">
        <f t="shared" ref="AN2379:AN2394" si="1296">+I1103</f>
        <v>1.8205748005516269E-2</v>
      </c>
      <c r="AO2379" s="282">
        <f t="shared" ref="AO2379:AO2394" si="1297">+I1130</f>
        <v>2.0137751635392807E-2</v>
      </c>
      <c r="AP2379" s="282">
        <f t="shared" ref="AP2379:AP2394" si="1298">+I1157</f>
        <v>1.4913806762031032E-2</v>
      </c>
      <c r="AQ2379" s="282">
        <f t="shared" ref="AQ2379:AQ2394" si="1299">+I1184</f>
        <v>2.2306831194184057E-2</v>
      </c>
      <c r="AR2379" s="282">
        <f t="shared" ref="AR2379:AR2394" si="1300">+I1211</f>
        <v>1.8892782000937046E-2</v>
      </c>
      <c r="AS2379" s="282">
        <f t="shared" ref="AS2379:AS2394" si="1301">+I1239</f>
        <v>2.3401842661210443E-2</v>
      </c>
      <c r="AT2379" s="282">
        <f t="shared" ref="AT2379:AT2394" si="1302">+I1266</f>
        <v>2.0705971530260325E-2</v>
      </c>
      <c r="AU2379" s="282">
        <f t="shared" ref="AU2379:AU2394" si="1303">+I1293</f>
        <v>2.1582397478503306E-2</v>
      </c>
      <c r="AV2379" s="282">
        <f t="shared" ref="AV2379:AV2394" si="1304">+I1320</f>
        <v>2.607500809082659E-2</v>
      </c>
      <c r="AW2379" s="282">
        <f t="shared" ref="AW2379:AW2394" si="1305">+I1347</f>
        <v>2.4202053012338479E-2</v>
      </c>
      <c r="AX2379" s="282">
        <f t="shared" ref="AX2379:AX2394" si="1306">+I1374</f>
        <v>1.5055340828235186E-2</v>
      </c>
      <c r="AY2379" s="282">
        <f t="shared" ref="AY2379:AY2394" si="1307">+I1401</f>
        <v>2.4866472597512897E-2</v>
      </c>
      <c r="AZ2379" s="282">
        <f t="shared" ref="AZ2379:AZ2394" si="1308">+I1428</f>
        <v>2.9245302543826665E-2</v>
      </c>
      <c r="BA2379" s="282">
        <f t="shared" ref="BA2379:BA2394" si="1309">+I1455</f>
        <v>2.1668091741214476E-2</v>
      </c>
      <c r="BB2379" s="282">
        <f t="shared" ref="BB2379:BB2394" si="1310">+I1482</f>
        <v>1.4465459675843052E-2</v>
      </c>
      <c r="BC2379" s="282">
        <f t="shared" ref="BC2379:BC2394" si="1311">+I1509</f>
        <v>2.4638794715574001E-2</v>
      </c>
      <c r="BD2379" s="282">
        <f t="shared" ref="BD2379:BD2394" si="1312">+I1536</f>
        <v>2.2104499407452651E-2</v>
      </c>
      <c r="BE2379" s="282">
        <f t="shared" si="1284"/>
        <v>1.4866499386761446E-2</v>
      </c>
      <c r="BF2379" s="282">
        <f t="shared" si="1285"/>
        <v>1.6597512259179367E-2</v>
      </c>
      <c r="BG2379" s="282">
        <f t="shared" si="1286"/>
        <v>1.8930290443408E-2</v>
      </c>
      <c r="BH2379" s="282">
        <f t="shared" ref="BH2379:BH2394" si="1313">+I1644</f>
        <v>1.6757576417566401E-2</v>
      </c>
      <c r="BI2379" s="282">
        <f t="shared" ref="BI2379:BI2394" si="1314">+I1671</f>
        <v>1.9841155513700966E-2</v>
      </c>
      <c r="BJ2379" s="282">
        <f t="shared" ref="BJ2379:BJ2394" si="1315">+I1698</f>
        <v>1.7608682954691691E-2</v>
      </c>
      <c r="BK2379" s="282">
        <f t="shared" ref="BK2379:BK2394" si="1316">+I1725</f>
        <v>1.9718196222044737E-2</v>
      </c>
      <c r="BL2379" s="282">
        <f t="shared" ref="BL2379:BL2394" si="1317">+I1752</f>
        <v>1.0774957465842217E-2</v>
      </c>
      <c r="BM2379" s="282">
        <f t="shared" ref="BM2379:BM2394" si="1318">+I1779</f>
        <v>6.5020017221060367E-3</v>
      </c>
      <c r="BN2379" s="282">
        <f t="shared" ref="BN2379:BN2394" si="1319">+I1806</f>
        <v>4.7010522309422252E-3</v>
      </c>
      <c r="BO2379" s="282">
        <f t="shared" ref="BO2379:BO2394" si="1320">+I1833</f>
        <v>9.4749986439513576E-3</v>
      </c>
      <c r="BP2379" s="282">
        <f t="shared" ref="BP2379:BP2394" si="1321">+I1860</f>
        <v>7.7380944085350895E-3</v>
      </c>
      <c r="BQ2379" s="282">
        <f t="shared" ref="BQ2379:BQ2394" si="1322">+I1887</f>
        <v>1.1750938186550725E-2</v>
      </c>
      <c r="BR2379" s="282">
        <f t="shared" ref="BR2379:BR2394" si="1323">+I1914</f>
        <v>7.6560148062122784E-3</v>
      </c>
      <c r="BS2379" s="282">
        <f t="shared" ref="BS2379:BS2394" si="1324">+I1941</f>
        <v>7.7393774236281547E-3</v>
      </c>
      <c r="BT2379" s="282">
        <f t="shared" ref="BT2379:BT2394" si="1325">+I1968</f>
        <v>6.9923941154934922E-3</v>
      </c>
      <c r="BU2379" s="282">
        <f t="shared" ref="BU2379:BU2394" si="1326">+I1995</f>
        <v>6.3946697876659372E-3</v>
      </c>
      <c r="BV2379" s="282">
        <f t="shared" ref="BV2379:BV2394" si="1327">+I2022</f>
        <v>7.0261990907736086E-3</v>
      </c>
      <c r="BW2379" s="282">
        <f t="shared" ref="BW2379:BW2394" si="1328">+I2049</f>
        <v>3.8517066547025152E-3</v>
      </c>
      <c r="BX2379" s="282">
        <f t="shared" ref="BX2379:BX2394" si="1329">+I2076</f>
        <v>7.0354674500332903E-3</v>
      </c>
      <c r="BY2379" s="282">
        <f t="shared" ref="BY2379:BY2394" si="1330">+I2103</f>
        <v>1.5745890004237047E-2</v>
      </c>
      <c r="BZ2379" s="282">
        <f t="shared" ref="BZ2379:BZ2394" si="1331">+I2130</f>
        <v>8.9351318650504434E-3</v>
      </c>
      <c r="CA2379" s="282">
        <f t="shared" ref="CA2379:CA2394" si="1332">+I2157</f>
        <v>5.2288287716550728E-3</v>
      </c>
      <c r="CB2379" s="282">
        <f t="shared" ref="CB2379:CB2394" si="1333">+I2184</f>
        <v>7.3288091356739785E-3</v>
      </c>
      <c r="CC2379" s="282">
        <f t="shared" ref="CC2379:CC2394" si="1334">+I2211</f>
        <v>5.7747432216269734E-3</v>
      </c>
      <c r="CD2379" s="282">
        <f t="shared" ref="CD2379:CD2394" si="1335">+I2238</f>
        <v>3.325636075420078E-3</v>
      </c>
      <c r="CE2379" s="282">
        <f t="shared" ref="CE2379:CE2394" si="1336">+I2265</f>
        <v>5.0383839178617237E-3</v>
      </c>
      <c r="CF2379" s="282">
        <f t="shared" ref="CF2379:CF2394" si="1337">+I2292</f>
        <v>8.7720184352664335E-3</v>
      </c>
      <c r="CG2379" s="282">
        <f t="shared" ref="CG2379:CG2394" si="1338">+I2319</f>
        <v>4.9403332874372718E-3</v>
      </c>
      <c r="CH2379" s="282">
        <f t="shared" ref="CH2379:CH2394" si="1339">+I2346</f>
        <v>9.1833994421347664E-3</v>
      </c>
      <c r="CI2379" s="18">
        <f>CI2386/CI2390</f>
        <v>3.4713484249419307E-2</v>
      </c>
      <c r="CJ2379" s="19">
        <f>CJ2386/CJ2390</f>
        <v>3.4713484249419307E-2</v>
      </c>
    </row>
    <row r="2380" spans="1:88" s="186" customFormat="1" x14ac:dyDescent="0.25">
      <c r="A2380" s="212" t="s">
        <v>20</v>
      </c>
      <c r="B2380" s="18">
        <f>I14</f>
        <v>0.2</v>
      </c>
      <c r="C2380" s="18">
        <f>I42</f>
        <v>0.23128020456488885</v>
      </c>
      <c r="D2380" s="18">
        <f>I71</f>
        <v>0.22060830207495694</v>
      </c>
      <c r="E2380" s="18">
        <f>I99</f>
        <v>0.24532624113228579</v>
      </c>
      <c r="F2380" s="18">
        <f>I127</f>
        <v>0.3380325539156489</v>
      </c>
      <c r="G2380" s="18">
        <f>I154</f>
        <v>0.28272292481881106</v>
      </c>
      <c r="H2380" s="18">
        <f>I184</f>
        <v>0.26190435568619425</v>
      </c>
      <c r="I2380" s="18">
        <f>I212</f>
        <v>0.28315337641191329</v>
      </c>
      <c r="J2380" s="18">
        <f t="shared" si="1265"/>
        <v>0.26189125393483037</v>
      </c>
      <c r="K2380" s="18">
        <f>K2387/K2390</f>
        <v>0.36484901998474767</v>
      </c>
      <c r="L2380" s="18">
        <f t="shared" si="1266"/>
        <v>0.24756577956904929</v>
      </c>
      <c r="M2380" s="18">
        <f t="shared" si="1267"/>
        <v>0.21673135934142052</v>
      </c>
      <c r="N2380" s="282">
        <f t="shared" si="1268"/>
        <v>0.21715966006472856</v>
      </c>
      <c r="O2380" s="282">
        <f t="shared" si="1269"/>
        <v>0.19652431401569798</v>
      </c>
      <c r="P2380" s="282">
        <f t="shared" si="1270"/>
        <v>0.17811646736916348</v>
      </c>
      <c r="Q2380" s="282">
        <f t="shared" si="1271"/>
        <v>0.2242892711821427</v>
      </c>
      <c r="R2380" s="282">
        <f t="shared" si="1272"/>
        <v>0.23414953228333038</v>
      </c>
      <c r="S2380" s="282">
        <f t="shared" si="1273"/>
        <v>0.2298247479674069</v>
      </c>
      <c r="T2380" s="282">
        <f t="shared" si="1274"/>
        <v>0.24397517244708739</v>
      </c>
      <c r="U2380" s="282">
        <f t="shared" si="1275"/>
        <v>0.27341969638479002</v>
      </c>
      <c r="V2380" s="282">
        <f t="shared" si="1276"/>
        <v>0.24898650841136452</v>
      </c>
      <c r="W2380" s="282">
        <f t="shared" si="1277"/>
        <v>0.22839304256440393</v>
      </c>
      <c r="X2380" s="282">
        <f t="shared" si="1278"/>
        <v>0.23187008635243617</v>
      </c>
      <c r="Y2380" s="282">
        <f t="shared" si="1279"/>
        <v>0.20698313511989888</v>
      </c>
      <c r="Z2380" s="282">
        <f t="shared" si="1280"/>
        <v>0.19846203976121529</v>
      </c>
      <c r="AA2380" s="282">
        <f t="shared" si="1281"/>
        <v>0.17708084026655935</v>
      </c>
      <c r="AB2380" s="282">
        <f t="shared" si="1282"/>
        <v>0.21174864935347074</v>
      </c>
      <c r="AC2380" s="282">
        <f t="shared" si="1287"/>
        <v>0.20771461615176107</v>
      </c>
      <c r="AD2380" s="282">
        <f t="shared" ref="AD2380:AD2394" si="1340">+I830</f>
        <v>0.19054025839587968</v>
      </c>
      <c r="AE2380" s="282">
        <f t="shared" si="1288"/>
        <v>0.20577965338398527</v>
      </c>
      <c r="AF2380" s="282">
        <f t="shared" si="1289"/>
        <v>0.21168475487937544</v>
      </c>
      <c r="AG2380" s="282">
        <f t="shared" si="1283"/>
        <v>0.16169156464433937</v>
      </c>
      <c r="AH2380" s="282">
        <f t="shared" si="1290"/>
        <v>0.26747870426749948</v>
      </c>
      <c r="AI2380" s="282">
        <f t="shared" si="1291"/>
        <v>0.19692996229091494</v>
      </c>
      <c r="AJ2380" s="282">
        <f t="shared" si="1292"/>
        <v>0.22212408580577039</v>
      </c>
      <c r="AK2380" s="282">
        <f t="shared" si="1293"/>
        <v>0.26595766916461133</v>
      </c>
      <c r="AL2380" s="282">
        <f t="shared" si="1294"/>
        <v>0.23369657513129602</v>
      </c>
      <c r="AM2380" s="282">
        <f t="shared" si="1295"/>
        <v>0.21503119418023897</v>
      </c>
      <c r="AN2380" s="282">
        <f t="shared" si="1296"/>
        <v>0.20728957918535418</v>
      </c>
      <c r="AO2380" s="282">
        <f t="shared" si="1297"/>
        <v>0.18633932952929497</v>
      </c>
      <c r="AP2380" s="282">
        <f t="shared" si="1298"/>
        <v>0.18515049046557949</v>
      </c>
      <c r="AQ2380" s="282">
        <f t="shared" si="1299"/>
        <v>0.20702283175316205</v>
      </c>
      <c r="AR2380" s="282">
        <f t="shared" si="1300"/>
        <v>0.23992198967102477</v>
      </c>
      <c r="AS2380" s="282">
        <f t="shared" si="1301"/>
        <v>0.21766530404715875</v>
      </c>
      <c r="AT2380" s="282">
        <f t="shared" si="1302"/>
        <v>0.23205067266005777</v>
      </c>
      <c r="AU2380" s="282">
        <f t="shared" si="1303"/>
        <v>0.20483750560023167</v>
      </c>
      <c r="AV2380" s="282">
        <f t="shared" si="1304"/>
        <v>0.2097472769548159</v>
      </c>
      <c r="AW2380" s="282">
        <f t="shared" si="1305"/>
        <v>0.15843554565016491</v>
      </c>
      <c r="AX2380" s="282">
        <f t="shared" si="1306"/>
        <v>0.17890594414626301</v>
      </c>
      <c r="AY2380" s="282">
        <f t="shared" si="1307"/>
        <v>0.18672898014773504</v>
      </c>
      <c r="AZ2380" s="282">
        <f t="shared" si="1308"/>
        <v>0.1567393480145631</v>
      </c>
      <c r="BA2380" s="282">
        <f t="shared" si="1309"/>
        <v>0.1441132816742268</v>
      </c>
      <c r="BB2380" s="282">
        <f t="shared" si="1310"/>
        <v>0.16239158128598971</v>
      </c>
      <c r="BC2380" s="282">
        <f t="shared" si="1311"/>
        <v>0.17400730887201407</v>
      </c>
      <c r="BD2380" s="282">
        <f t="shared" si="1312"/>
        <v>0.19256244452382595</v>
      </c>
      <c r="BE2380" s="282">
        <f t="shared" si="1284"/>
        <v>0.1775372831045644</v>
      </c>
      <c r="BF2380" s="282">
        <f t="shared" si="1285"/>
        <v>0.17932338216799043</v>
      </c>
      <c r="BG2380" s="282">
        <f t="shared" si="1286"/>
        <v>0.18670916667232779</v>
      </c>
      <c r="BH2380" s="282">
        <f t="shared" si="1313"/>
        <v>0.19999023880741515</v>
      </c>
      <c r="BI2380" s="282">
        <f t="shared" si="1314"/>
        <v>0.19063259370543828</v>
      </c>
      <c r="BJ2380" s="282">
        <f t="shared" si="1315"/>
        <v>0.22439565789387944</v>
      </c>
      <c r="BK2380" s="282">
        <f t="shared" si="1316"/>
        <v>0.17606791050975881</v>
      </c>
      <c r="BL2380" s="282">
        <f t="shared" si="1317"/>
        <v>0.19857271861976772</v>
      </c>
      <c r="BM2380" s="282">
        <f t="shared" si="1318"/>
        <v>0.20522535735885325</v>
      </c>
      <c r="BN2380" s="282">
        <f t="shared" si="1319"/>
        <v>0.20315159387912157</v>
      </c>
      <c r="BO2380" s="282">
        <f t="shared" si="1320"/>
        <v>0.1960632530376116</v>
      </c>
      <c r="BP2380" s="282">
        <f t="shared" si="1321"/>
        <v>0.19389121826880826</v>
      </c>
      <c r="BQ2380" s="282">
        <f t="shared" si="1322"/>
        <v>0.20181453525574755</v>
      </c>
      <c r="BR2380" s="282">
        <f t="shared" si="1323"/>
        <v>0.22017877013818873</v>
      </c>
      <c r="BS2380" s="282">
        <f t="shared" si="1324"/>
        <v>0.20789939389740536</v>
      </c>
      <c r="BT2380" s="282">
        <f t="shared" si="1325"/>
        <v>0.2140712682316209</v>
      </c>
      <c r="BU2380" s="282">
        <f t="shared" si="1326"/>
        <v>0.26947922414777753</v>
      </c>
      <c r="BV2380" s="282">
        <f t="shared" si="1327"/>
        <v>0.2423283829212248</v>
      </c>
      <c r="BW2380" s="282">
        <f t="shared" si="1328"/>
        <v>0.22057583035220907</v>
      </c>
      <c r="BX2380" s="282">
        <f t="shared" si="1329"/>
        <v>0.19701801110261249</v>
      </c>
      <c r="BY2380" s="282">
        <f t="shared" si="1330"/>
        <v>0.1935331305388942</v>
      </c>
      <c r="BZ2380" s="282">
        <f t="shared" si="1331"/>
        <v>0.20576500657956362</v>
      </c>
      <c r="CA2380" s="282">
        <f t="shared" si="1332"/>
        <v>0.18495523296466146</v>
      </c>
      <c r="CB2380" s="282">
        <f t="shared" si="1333"/>
        <v>0.2065411995216733</v>
      </c>
      <c r="CC2380" s="282">
        <f t="shared" si="1334"/>
        <v>0.20159244349017796</v>
      </c>
      <c r="CD2380" s="282">
        <f t="shared" si="1335"/>
        <v>0.19731258413376956</v>
      </c>
      <c r="CE2380" s="282">
        <f t="shared" si="1336"/>
        <v>0.1736038127388552</v>
      </c>
      <c r="CF2380" s="282">
        <f t="shared" si="1337"/>
        <v>0.18576282691138302</v>
      </c>
      <c r="CG2380" s="282">
        <f t="shared" si="1338"/>
        <v>0.19817294845942413</v>
      </c>
      <c r="CH2380" s="282">
        <f t="shared" si="1339"/>
        <v>0.25617098549793249</v>
      </c>
      <c r="CI2380" s="18">
        <f>CI2387/CI2390</f>
        <v>0.21396893543305404</v>
      </c>
      <c r="CJ2380" s="19">
        <f>CJ2387/CJ2390</f>
        <v>0.21396893543305404</v>
      </c>
    </row>
    <row r="2381" spans="1:88" s="186" customFormat="1" x14ac:dyDescent="0.25">
      <c r="A2381" s="212" t="s">
        <v>21</v>
      </c>
      <c r="B2381" s="18">
        <f>I15</f>
        <v>0</v>
      </c>
      <c r="C2381" s="18">
        <f>I43</f>
        <v>0</v>
      </c>
      <c r="D2381" s="18">
        <f>I72</f>
        <v>0</v>
      </c>
      <c r="E2381" s="18">
        <f>I100</f>
        <v>0</v>
      </c>
      <c r="F2381" s="18">
        <f>I128</f>
        <v>0</v>
      </c>
      <c r="G2381" s="18">
        <f>I155</f>
        <v>0</v>
      </c>
      <c r="H2381" s="18">
        <f>I185</f>
        <v>0.18342255795412485</v>
      </c>
      <c r="I2381" s="18">
        <f>I213</f>
        <v>0.2019671077324528</v>
      </c>
      <c r="J2381" s="18">
        <f t="shared" si="1265"/>
        <v>0.22768308728244835</v>
      </c>
      <c r="K2381" s="18">
        <f>K2388/K2390</f>
        <v>0.16077179198140126</v>
      </c>
      <c r="L2381" s="18">
        <f t="shared" si="1266"/>
        <v>0.14026343850443818</v>
      </c>
      <c r="M2381" s="18">
        <f t="shared" si="1267"/>
        <v>0.14925442020457305</v>
      </c>
      <c r="N2381" s="282">
        <f t="shared" si="1268"/>
        <v>0.13443953029711964</v>
      </c>
      <c r="O2381" s="282">
        <f t="shared" si="1269"/>
        <v>0.14018231832225711</v>
      </c>
      <c r="P2381" s="282">
        <f t="shared" si="1270"/>
        <v>0.13129140232994183</v>
      </c>
      <c r="Q2381" s="282">
        <f t="shared" si="1271"/>
        <v>0.13507933736056088</v>
      </c>
      <c r="R2381" s="282">
        <f t="shared" si="1272"/>
        <v>0.10847007549917535</v>
      </c>
      <c r="S2381" s="282">
        <f t="shared" si="1273"/>
        <v>9.6106033853247799E-2</v>
      </c>
      <c r="T2381" s="282">
        <f t="shared" si="1274"/>
        <v>0.11095292342514949</v>
      </c>
      <c r="U2381" s="282">
        <f t="shared" si="1275"/>
        <v>0.13985131871618828</v>
      </c>
      <c r="V2381" s="282">
        <f t="shared" si="1276"/>
        <v>0.13275699006819774</v>
      </c>
      <c r="W2381" s="282">
        <f t="shared" si="1277"/>
        <v>8.8489640865903843E-2</v>
      </c>
      <c r="X2381" s="282">
        <f t="shared" si="1278"/>
        <v>9.2442015223704987E-2</v>
      </c>
      <c r="Y2381" s="282">
        <f t="shared" si="1279"/>
        <v>0.11729525344958899</v>
      </c>
      <c r="Z2381" s="282">
        <f t="shared" si="1280"/>
        <v>8.6954785112336327E-2</v>
      </c>
      <c r="AA2381" s="282">
        <f t="shared" si="1281"/>
        <v>9.0944138783434783E-2</v>
      </c>
      <c r="AB2381" s="282">
        <f t="shared" si="1282"/>
        <v>5.0305061867735978E-2</v>
      </c>
      <c r="AC2381" s="282">
        <f t="shared" si="1287"/>
        <v>6.2249343461655018E-2</v>
      </c>
      <c r="AD2381" s="282">
        <f t="shared" si="1340"/>
        <v>6.6824279788334495E-2</v>
      </c>
      <c r="AE2381" s="282">
        <f t="shared" si="1288"/>
        <v>6.7981580290263244E-2</v>
      </c>
      <c r="AF2381" s="282">
        <f t="shared" si="1289"/>
        <v>5.87566175253708E-2</v>
      </c>
      <c r="AG2381" s="282">
        <f t="shared" si="1283"/>
        <v>0.12763701396667407</v>
      </c>
      <c r="AH2381" s="282">
        <f t="shared" si="1290"/>
        <v>5.1895036544997913E-2</v>
      </c>
      <c r="AI2381" s="282">
        <f t="shared" si="1291"/>
        <v>5.1183106523644002E-2</v>
      </c>
      <c r="AJ2381" s="282">
        <f t="shared" si="1292"/>
        <v>1.2199955089282144E-2</v>
      </c>
      <c r="AK2381" s="282">
        <f t="shared" si="1293"/>
        <v>3.0515478137569971E-2</v>
      </c>
      <c r="AL2381" s="282">
        <f t="shared" si="1294"/>
        <v>2.8782106196944577E-2</v>
      </c>
      <c r="AM2381" s="282">
        <f t="shared" si="1295"/>
        <v>2.7496745656643059E-2</v>
      </c>
      <c r="AN2381" s="282">
        <f t="shared" si="1296"/>
        <v>1.8827268426907264E-2</v>
      </c>
      <c r="AO2381" s="282">
        <f t="shared" si="1297"/>
        <v>5.6683260428765106E-2</v>
      </c>
      <c r="AP2381" s="282">
        <f t="shared" si="1298"/>
        <v>3.0843986130576352E-2</v>
      </c>
      <c r="AQ2381" s="282">
        <f t="shared" si="1299"/>
        <v>3.6019122441936169E-2</v>
      </c>
      <c r="AR2381" s="282">
        <f t="shared" si="1300"/>
        <v>1.8974909452345416E-2</v>
      </c>
      <c r="AS2381" s="282">
        <f t="shared" si="1301"/>
        <v>3.7987607542073129E-2</v>
      </c>
      <c r="AT2381" s="282">
        <f t="shared" si="1302"/>
        <v>4.1743658950746797E-2</v>
      </c>
      <c r="AU2381" s="282">
        <f t="shared" si="1303"/>
        <v>4.0407612027725533E-2</v>
      </c>
      <c r="AV2381" s="282">
        <f t="shared" si="1304"/>
        <v>4.418138926733909E-2</v>
      </c>
      <c r="AW2381" s="282">
        <f t="shared" si="1305"/>
        <v>3.9736987782521105E-2</v>
      </c>
      <c r="AX2381" s="282">
        <f t="shared" si="1306"/>
        <v>5.9321407408065213E-2</v>
      </c>
      <c r="AY2381" s="282">
        <f t="shared" si="1307"/>
        <v>4.2038632172714953E-2</v>
      </c>
      <c r="AZ2381" s="282">
        <f t="shared" si="1308"/>
        <v>4.269443578704598E-2</v>
      </c>
      <c r="BA2381" s="282">
        <f t="shared" si="1309"/>
        <v>5.1384636353953003E-2</v>
      </c>
      <c r="BB2381" s="282">
        <f t="shared" si="1310"/>
        <v>4.629069749414471E-2</v>
      </c>
      <c r="BC2381" s="282">
        <f t="shared" si="1311"/>
        <v>5.5505060595526616E-2</v>
      </c>
      <c r="BD2381" s="282">
        <f t="shared" si="1312"/>
        <v>4.3171820862128486E-2</v>
      </c>
      <c r="BE2381" s="282">
        <f t="shared" si="1284"/>
        <v>4.4583278038245452E-2</v>
      </c>
      <c r="BF2381" s="282">
        <f t="shared" si="1285"/>
        <v>4.6523029261092842E-2</v>
      </c>
      <c r="BG2381" s="282">
        <f t="shared" si="1286"/>
        <v>4.2204011663457726E-2</v>
      </c>
      <c r="BH2381" s="282">
        <f t="shared" si="1313"/>
        <v>5.1299528050843438E-2</v>
      </c>
      <c r="BI2381" s="282">
        <f t="shared" si="1314"/>
        <v>3.626001575515838E-2</v>
      </c>
      <c r="BJ2381" s="282">
        <f t="shared" si="1315"/>
        <v>4.7491651713389607E-2</v>
      </c>
      <c r="BK2381" s="282">
        <f t="shared" si="1316"/>
        <v>4.3510017239335334E-2</v>
      </c>
      <c r="BL2381" s="282">
        <f t="shared" si="1317"/>
        <v>2.3712913890171994E-2</v>
      </c>
      <c r="BM2381" s="282">
        <f t="shared" si="1318"/>
        <v>1.2897400917933908E-2</v>
      </c>
      <c r="BN2381" s="282">
        <f t="shared" si="1319"/>
        <v>1.1004532600505683E-2</v>
      </c>
      <c r="BO2381" s="282">
        <f t="shared" si="1320"/>
        <v>6.1714748403808601E-3</v>
      </c>
      <c r="BP2381" s="282">
        <f t="shared" si="1321"/>
        <v>1.1162482568814537E-2</v>
      </c>
      <c r="BQ2381" s="282">
        <f t="shared" si="1322"/>
        <v>1.0935273394170263E-3</v>
      </c>
      <c r="BR2381" s="282">
        <f t="shared" si="1323"/>
        <v>2.7559151623055287E-3</v>
      </c>
      <c r="BS2381" s="282">
        <f t="shared" si="1324"/>
        <v>2.7643616406616816E-3</v>
      </c>
      <c r="BT2381" s="282">
        <f t="shared" si="1325"/>
        <v>1.8343794527685081E-3</v>
      </c>
      <c r="BU2381" s="282">
        <f t="shared" si="1326"/>
        <v>1.1925230130129222E-2</v>
      </c>
      <c r="BV2381" s="282">
        <f t="shared" si="1327"/>
        <v>6.4636716173743433E-3</v>
      </c>
      <c r="BW2381" s="282">
        <f t="shared" si="1328"/>
        <v>3.9205606407033564E-2</v>
      </c>
      <c r="BX2381" s="282">
        <f t="shared" si="1329"/>
        <v>6.717631605655144E-3</v>
      </c>
      <c r="BY2381" s="282">
        <f t="shared" si="1330"/>
        <v>9.9735943318948733E-3</v>
      </c>
      <c r="BZ2381" s="282">
        <f t="shared" si="1331"/>
        <v>1.7381177729759327E-2</v>
      </c>
      <c r="CA2381" s="282">
        <f t="shared" si="1332"/>
        <v>6.9661272193848817E-3</v>
      </c>
      <c r="CB2381" s="282">
        <f t="shared" si="1333"/>
        <v>9.7770768732443787E-3</v>
      </c>
      <c r="CC2381" s="282">
        <f t="shared" si="1334"/>
        <v>1.3290892839889459E-2</v>
      </c>
      <c r="CD2381" s="282">
        <f t="shared" si="1335"/>
        <v>1.1023425470344838E-2</v>
      </c>
      <c r="CE2381" s="282">
        <f t="shared" si="1336"/>
        <v>7.1516877806125593E-3</v>
      </c>
      <c r="CF2381" s="282">
        <f t="shared" si="1337"/>
        <v>4.323763110116053E-3</v>
      </c>
      <c r="CG2381" s="282">
        <f t="shared" si="1338"/>
        <v>2.5220197913182075E-3</v>
      </c>
      <c r="CH2381" s="282">
        <f t="shared" si="1339"/>
        <v>0</v>
      </c>
      <c r="CI2381" s="18">
        <f>CI2388/CI2390</f>
        <v>5.7496419734706664E-2</v>
      </c>
      <c r="CJ2381" s="19">
        <f>CJ2388/CJ2390</f>
        <v>5.7496419734706657E-2</v>
      </c>
    </row>
    <row r="2382" spans="1:88" s="186" customFormat="1" x14ac:dyDescent="0.25">
      <c r="A2382" s="212" t="s">
        <v>22</v>
      </c>
      <c r="B2382" s="18">
        <f>I16</f>
        <v>0</v>
      </c>
      <c r="C2382" s="18">
        <f>I44</f>
        <v>0</v>
      </c>
      <c r="D2382" s="18">
        <f>I73</f>
        <v>0</v>
      </c>
      <c r="E2382" s="18">
        <f>I101</f>
        <v>0</v>
      </c>
      <c r="F2382" s="18">
        <f>I129</f>
        <v>0</v>
      </c>
      <c r="G2382" s="18">
        <f>I156</f>
        <v>0</v>
      </c>
      <c r="H2382" s="18">
        <f>I186</f>
        <v>2.3998447970230174E-3</v>
      </c>
      <c r="I2382" s="18">
        <f>I214</f>
        <v>2.8727616465540465E-2</v>
      </c>
      <c r="J2382" s="18">
        <f t="shared" si="1265"/>
        <v>1.0290862398326588E-2</v>
      </c>
      <c r="K2382" s="18">
        <f>K2389/K2390</f>
        <v>4.9648002202358687E-3</v>
      </c>
      <c r="L2382" s="18">
        <f t="shared" si="1266"/>
        <v>2.7938723756608889E-3</v>
      </c>
      <c r="M2382" s="18">
        <f t="shared" si="1267"/>
        <v>0</v>
      </c>
      <c r="N2382" s="282">
        <f t="shared" si="1268"/>
        <v>0</v>
      </c>
      <c r="O2382" s="282">
        <f t="shared" si="1269"/>
        <v>2.1885878798672547E-3</v>
      </c>
      <c r="P2382" s="282">
        <f t="shared" si="1270"/>
        <v>5.2049334803715118E-3</v>
      </c>
      <c r="Q2382" s="282">
        <f t="shared" si="1271"/>
        <v>9.4713990254303407E-4</v>
      </c>
      <c r="R2382" s="282">
        <f t="shared" si="1272"/>
        <v>0</v>
      </c>
      <c r="S2382" s="282">
        <f t="shared" si="1273"/>
        <v>3.0514634351176658E-3</v>
      </c>
      <c r="T2382" s="282">
        <f t="shared" si="1274"/>
        <v>6.6021650084614209E-3</v>
      </c>
      <c r="U2382" s="282">
        <f t="shared" si="1275"/>
        <v>4.9256494267885843E-3</v>
      </c>
      <c r="V2382" s="282">
        <f t="shared" si="1276"/>
        <v>7.103997266651025E-3</v>
      </c>
      <c r="W2382" s="282">
        <f t="shared" si="1277"/>
        <v>6.5974700687759552E-4</v>
      </c>
      <c r="X2382" s="282">
        <f t="shared" si="1278"/>
        <v>0</v>
      </c>
      <c r="Y2382" s="282">
        <f t="shared" si="1279"/>
        <v>2.2281338563422091E-3</v>
      </c>
      <c r="Z2382" s="282">
        <f t="shared" si="1280"/>
        <v>3.2124277262096331E-3</v>
      </c>
      <c r="AA2382" s="282">
        <f t="shared" si="1281"/>
        <v>0</v>
      </c>
      <c r="AB2382" s="282">
        <f t="shared" si="1282"/>
        <v>6.8654162674598399E-3</v>
      </c>
      <c r="AC2382" s="282">
        <f t="shared" si="1287"/>
        <v>0</v>
      </c>
      <c r="AD2382" s="282">
        <f t="shared" si="1340"/>
        <v>8.9493566785934305E-4</v>
      </c>
      <c r="AE2382" s="282">
        <f t="shared" si="1288"/>
        <v>1.0466774553725873E-3</v>
      </c>
      <c r="AF2382" s="282">
        <f t="shared" si="1289"/>
        <v>4.8772233858473202E-3</v>
      </c>
      <c r="AG2382" s="282">
        <f t="shared" si="1283"/>
        <v>0</v>
      </c>
      <c r="AH2382" s="282">
        <f t="shared" si="1290"/>
        <v>2.4416710440798859E-3</v>
      </c>
      <c r="AI2382" s="282">
        <f t="shared" si="1291"/>
        <v>9.6208165253100855E-4</v>
      </c>
      <c r="AJ2382" s="282">
        <f t="shared" si="1292"/>
        <v>4.9899636355883762E-3</v>
      </c>
      <c r="AK2382" s="282">
        <f t="shared" si="1293"/>
        <v>1.44366753067539E-3</v>
      </c>
      <c r="AL2382" s="282">
        <f t="shared" si="1294"/>
        <v>6.4902287151004617E-4</v>
      </c>
      <c r="AM2382" s="282">
        <f t="shared" si="1295"/>
        <v>8.3514707791231685E-3</v>
      </c>
      <c r="AN2382" s="282">
        <f t="shared" si="1296"/>
        <v>1.3451386275937158E-3</v>
      </c>
      <c r="AO2382" s="282">
        <f t="shared" si="1297"/>
        <v>1.5926981931733298E-3</v>
      </c>
      <c r="AP2382" s="282">
        <f t="shared" si="1298"/>
        <v>3.7415072561426876E-3</v>
      </c>
      <c r="AQ2382" s="283">
        <f t="shared" si="1299"/>
        <v>0</v>
      </c>
      <c r="AR2382" s="282">
        <f t="shared" si="1300"/>
        <v>2.1556039831833701E-3</v>
      </c>
      <c r="AS2382" s="282">
        <f t="shared" si="1301"/>
        <v>5.4295234197700697E-3</v>
      </c>
      <c r="AT2382" s="282">
        <f t="shared" si="1302"/>
        <v>6.1511362585281524E-4</v>
      </c>
      <c r="AU2382" s="282">
        <f t="shared" si="1303"/>
        <v>5.6241508807929521E-3</v>
      </c>
      <c r="AV2382" s="282">
        <f t="shared" si="1304"/>
        <v>0</v>
      </c>
      <c r="AW2382" s="282">
        <f t="shared" si="1305"/>
        <v>9.4029067869987038E-4</v>
      </c>
      <c r="AX2382" s="282">
        <f t="shared" si="1306"/>
        <v>0</v>
      </c>
      <c r="AY2382" s="282">
        <f t="shared" si="1307"/>
        <v>0</v>
      </c>
      <c r="AZ2382" s="282">
        <f t="shared" si="1308"/>
        <v>0</v>
      </c>
      <c r="BA2382" s="282">
        <f t="shared" si="1309"/>
        <v>1.8409460823237494E-3</v>
      </c>
      <c r="BB2382" s="282">
        <f t="shared" si="1310"/>
        <v>8.4655496253315497E-4</v>
      </c>
      <c r="BC2382" s="282">
        <f t="shared" si="1311"/>
        <v>0</v>
      </c>
      <c r="BD2382" s="282">
        <f t="shared" si="1312"/>
        <v>2.2219801720262887E-3</v>
      </c>
      <c r="BE2382" s="282">
        <f t="shared" si="1284"/>
        <v>2.5192901177745913E-3</v>
      </c>
      <c r="BF2382" s="282">
        <f t="shared" si="1285"/>
        <v>0</v>
      </c>
      <c r="BG2382" s="282">
        <f t="shared" si="1286"/>
        <v>4.2453186738243233E-3</v>
      </c>
      <c r="BH2382" s="282">
        <f t="shared" si="1313"/>
        <v>8.3487709537900735E-4</v>
      </c>
      <c r="BI2382" s="282">
        <f t="shared" si="1314"/>
        <v>0</v>
      </c>
      <c r="BJ2382" s="282">
        <f t="shared" si="1315"/>
        <v>2.0259781470263354E-3</v>
      </c>
      <c r="BK2382" s="282">
        <f t="shared" si="1316"/>
        <v>2.9224546468755858E-3</v>
      </c>
      <c r="BL2382" s="282">
        <f t="shared" si="1317"/>
        <v>0</v>
      </c>
      <c r="BM2382" s="282">
        <f t="shared" si="1318"/>
        <v>0</v>
      </c>
      <c r="BN2382" s="282">
        <f t="shared" si="1319"/>
        <v>0</v>
      </c>
      <c r="BO2382" s="282">
        <f t="shared" si="1320"/>
        <v>0</v>
      </c>
      <c r="BP2382" s="282">
        <f t="shared" si="1321"/>
        <v>0</v>
      </c>
      <c r="BQ2382" s="282">
        <f t="shared" si="1322"/>
        <v>1.1285920505409884E-3</v>
      </c>
      <c r="BR2382" s="282">
        <f t="shared" si="1323"/>
        <v>0</v>
      </c>
      <c r="BS2382" s="282">
        <f t="shared" si="1324"/>
        <v>0</v>
      </c>
      <c r="BT2382" s="282">
        <f t="shared" si="1325"/>
        <v>0</v>
      </c>
      <c r="BU2382" s="282">
        <f t="shared" si="1326"/>
        <v>1.4845195912634025E-3</v>
      </c>
      <c r="BV2382" s="282">
        <f t="shared" si="1327"/>
        <v>1.7275234720481884E-3</v>
      </c>
      <c r="BW2382" s="282">
        <f t="shared" si="1328"/>
        <v>1.0423582396659808E-3</v>
      </c>
      <c r="BX2382" s="282">
        <f t="shared" si="1329"/>
        <v>9.8329410494083338E-4</v>
      </c>
      <c r="BY2382" s="282">
        <f t="shared" si="1330"/>
        <v>0</v>
      </c>
      <c r="BZ2382" s="282">
        <f t="shared" si="1331"/>
        <v>2.28561472423061E-3</v>
      </c>
      <c r="CA2382" s="282">
        <f t="shared" si="1332"/>
        <v>7.1466295819544315E-4</v>
      </c>
      <c r="CB2382" s="282">
        <f t="shared" si="1333"/>
        <v>0</v>
      </c>
      <c r="CC2382" s="282">
        <f t="shared" si="1334"/>
        <v>0</v>
      </c>
      <c r="CD2382" s="282">
        <f t="shared" si="1335"/>
        <v>2.1578745596115513E-3</v>
      </c>
      <c r="CE2382" s="282">
        <f t="shared" si="1336"/>
        <v>0</v>
      </c>
      <c r="CF2382" s="282">
        <f t="shared" si="1337"/>
        <v>0</v>
      </c>
      <c r="CG2382" s="282">
        <f t="shared" si="1338"/>
        <v>0</v>
      </c>
      <c r="CH2382" s="282">
        <f t="shared" si="1339"/>
        <v>1.1271235757795664E-3</v>
      </c>
      <c r="CI2382" s="18">
        <f>CI2389/CI2390</f>
        <v>2.0679782986131861E-3</v>
      </c>
      <c r="CJ2382" s="19">
        <f>CJ2389/CJ2390</f>
        <v>2.0679782986131861E-3</v>
      </c>
    </row>
    <row r="2383" spans="1:88" s="186" customFormat="1" x14ac:dyDescent="0.25">
      <c r="A2383" s="215" t="s">
        <v>23</v>
      </c>
      <c r="B2383" s="66">
        <f>+H45</f>
        <v>36185.478547854786</v>
      </c>
      <c r="C2383" s="66">
        <f>+I45</f>
        <v>34025.122807017542</v>
      </c>
      <c r="D2383" s="66">
        <f t="shared" ref="D2383:D2390" si="1341">+I74</f>
        <v>31721.595330739303</v>
      </c>
      <c r="E2383" s="66">
        <f t="shared" ref="E2383:E2390" si="1342">+I102</f>
        <v>32381.914301613804</v>
      </c>
      <c r="F2383" s="66">
        <f t="shared" ref="F2383:F2390" si="1343">+I130</f>
        <v>27068.525273579991</v>
      </c>
      <c r="G2383" s="66">
        <f t="shared" ref="G2383:G2390" si="1344">+I157</f>
        <v>33258.070074669733</v>
      </c>
      <c r="H2383" s="66">
        <f t="shared" ref="H2383:H2390" si="1345">+I187</f>
        <v>32137.075223880598</v>
      </c>
      <c r="I2383" s="66">
        <f t="shared" ref="I2383:I2390" si="1346">+I215</f>
        <v>30308.975039830057</v>
      </c>
      <c r="J2383" s="66">
        <f t="shared" si="1265"/>
        <v>32973.779069767443</v>
      </c>
      <c r="K2383" s="66">
        <v>32505.788804071246</v>
      </c>
      <c r="L2383" s="66">
        <f t="shared" si="1266"/>
        <v>33381.461286804799</v>
      </c>
      <c r="M2383" s="66">
        <f t="shared" si="1267"/>
        <v>36042.803030303032</v>
      </c>
      <c r="N2383" s="66">
        <f t="shared" si="1268"/>
        <v>30251.78666666667</v>
      </c>
      <c r="O2383" s="66">
        <f t="shared" si="1269"/>
        <v>35711.13513513514</v>
      </c>
      <c r="P2383" s="66">
        <f t="shared" si="1270"/>
        <v>33851.482326111749</v>
      </c>
      <c r="Q2383" s="66">
        <f t="shared" si="1271"/>
        <v>34963.15499172642</v>
      </c>
      <c r="R2383" s="66">
        <f t="shared" si="1272"/>
        <v>36110.578947368427</v>
      </c>
      <c r="S2383" s="66">
        <f t="shared" si="1273"/>
        <v>34400.603136308804</v>
      </c>
      <c r="T2383" s="66">
        <f t="shared" si="1274"/>
        <v>37505.817174515236</v>
      </c>
      <c r="U2383" s="66">
        <f t="shared" si="1275"/>
        <v>37077.009646302249</v>
      </c>
      <c r="V2383" s="66">
        <f t="shared" si="1276"/>
        <v>36091.784914115015</v>
      </c>
      <c r="W2383" s="66">
        <f t="shared" si="1277"/>
        <v>37075.060240963867</v>
      </c>
      <c r="X2383" s="66">
        <f t="shared" si="1278"/>
        <v>35817.087378640776</v>
      </c>
      <c r="Y2383" s="66">
        <f t="shared" si="1279"/>
        <v>36465.488431876605</v>
      </c>
      <c r="Z2383" s="66">
        <f t="shared" si="1280"/>
        <v>36322.154963680397</v>
      </c>
      <c r="AA2383" s="66">
        <f t="shared" si="1281"/>
        <v>37556.64961636829</v>
      </c>
      <c r="AB2383" s="66">
        <f t="shared" si="1282"/>
        <v>36815.782580222665</v>
      </c>
      <c r="AC2383" s="66">
        <f t="shared" si="1287"/>
        <v>36569.559902200497</v>
      </c>
      <c r="AD2383" s="66">
        <f t="shared" si="1340"/>
        <v>38691.922169811325</v>
      </c>
      <c r="AE2383" s="66">
        <f t="shared" si="1288"/>
        <v>37187.531328320809</v>
      </c>
      <c r="AF2383" s="66">
        <f t="shared" si="1289"/>
        <v>37848.002536461638</v>
      </c>
      <c r="AG2383" s="66">
        <f t="shared" si="1283"/>
        <v>40406.670403587443</v>
      </c>
      <c r="AH2383" s="66">
        <f t="shared" si="1290"/>
        <v>36276.392111368914</v>
      </c>
      <c r="AI2383" s="66">
        <f t="shared" si="1291"/>
        <v>38457.277882797731</v>
      </c>
      <c r="AJ2383" s="66">
        <f t="shared" si="1292"/>
        <v>38167.354596622892</v>
      </c>
      <c r="AK2383" s="66">
        <f t="shared" si="1293"/>
        <v>38717.297979797979</v>
      </c>
      <c r="AL2383" s="66">
        <f t="shared" si="1294"/>
        <v>37740.205479452052</v>
      </c>
      <c r="AM2383" s="66">
        <f t="shared" si="1295"/>
        <v>37997.975415762834</v>
      </c>
      <c r="AN2383" s="66">
        <f t="shared" si="1296"/>
        <v>41409.1225626741</v>
      </c>
      <c r="AO2383" s="66">
        <f t="shared" si="1297"/>
        <v>42207.654494382026</v>
      </c>
      <c r="AP2383" s="66">
        <f t="shared" si="1298"/>
        <v>38596.936821952782</v>
      </c>
      <c r="AQ2383" s="66">
        <f t="shared" si="1299"/>
        <v>37525.424881033316</v>
      </c>
      <c r="AR2383" s="66">
        <f t="shared" si="1300"/>
        <v>37657.633353770696</v>
      </c>
      <c r="AS2383" s="66">
        <f t="shared" si="1301"/>
        <v>37654.602076124567</v>
      </c>
      <c r="AT2383" s="66">
        <f t="shared" si="1302"/>
        <v>36957.307692307695</v>
      </c>
      <c r="AU2383" s="66">
        <f t="shared" si="1303"/>
        <v>37295.053224796495</v>
      </c>
      <c r="AV2383" s="66">
        <f t="shared" si="1304"/>
        <v>37952.752571082878</v>
      </c>
      <c r="AW2383" s="66">
        <f t="shared" si="1305"/>
        <v>38487.601476014766</v>
      </c>
      <c r="AX2383" s="66">
        <f t="shared" si="1306"/>
        <v>38056.848874598072</v>
      </c>
      <c r="AY2383" s="66">
        <f t="shared" si="1307"/>
        <v>39250.960118168397</v>
      </c>
      <c r="AZ2383" s="66">
        <f t="shared" si="1308"/>
        <v>38936.79833679834</v>
      </c>
      <c r="BA2383" s="66">
        <f t="shared" si="1309"/>
        <v>38793.897058823532</v>
      </c>
      <c r="BB2383" s="66">
        <f t="shared" si="1310"/>
        <v>37416.941331575479</v>
      </c>
      <c r="BC2383" s="66">
        <f t="shared" si="1311"/>
        <v>37497.590361445786</v>
      </c>
      <c r="BD2383" s="66">
        <f t="shared" si="1312"/>
        <v>37193.308550185873</v>
      </c>
      <c r="BE2383" s="66">
        <f t="shared" si="1284"/>
        <v>38008.041401273891</v>
      </c>
      <c r="BF2383" s="66">
        <f t="shared" si="1285"/>
        <v>37250.500770416023</v>
      </c>
      <c r="BG2383" s="66">
        <f t="shared" si="1286"/>
        <v>37817.677198975238</v>
      </c>
      <c r="BH2383" s="66">
        <f t="shared" si="1313"/>
        <v>37872.498090145149</v>
      </c>
      <c r="BI2383" s="66">
        <f t="shared" si="1314"/>
        <v>36690.445859872612</v>
      </c>
      <c r="BJ2383" s="66">
        <f t="shared" si="1315"/>
        <v>36856.395816572811</v>
      </c>
      <c r="BK2383" s="66">
        <f t="shared" si="1316"/>
        <v>37511.079545454544</v>
      </c>
      <c r="BL2383" s="66">
        <f t="shared" si="1317"/>
        <v>38044.212962962971</v>
      </c>
      <c r="BM2383" s="66">
        <f t="shared" si="1318"/>
        <v>37101.775625504444</v>
      </c>
      <c r="BN2383" s="66">
        <f t="shared" si="1319"/>
        <v>37810.48502139801</v>
      </c>
      <c r="BO2383" s="66">
        <f t="shared" si="1320"/>
        <v>37534.497206703913</v>
      </c>
      <c r="BP2383" s="66">
        <f t="shared" si="1321"/>
        <v>37807.554225878834</v>
      </c>
      <c r="BQ2383" s="66">
        <f t="shared" si="1322"/>
        <v>37909.555555555555</v>
      </c>
      <c r="BR2383" s="66">
        <f t="shared" si="1323"/>
        <v>37602.817869415805</v>
      </c>
      <c r="BS2383" s="66">
        <f t="shared" si="1324"/>
        <v>39339.016115351995</v>
      </c>
      <c r="BT2383" s="66">
        <f t="shared" si="1325"/>
        <v>39487.839101964455</v>
      </c>
      <c r="BU2383" s="66">
        <f t="shared" si="1326"/>
        <v>37499.887005649711</v>
      </c>
      <c r="BV2383" s="66">
        <f t="shared" si="1327"/>
        <v>37128.275862068964</v>
      </c>
      <c r="BW2383" s="66">
        <f t="shared" si="1328"/>
        <v>36517.925311203326</v>
      </c>
      <c r="BX2383" s="66">
        <f t="shared" si="1329"/>
        <v>37779.75986277873</v>
      </c>
      <c r="BY2383" s="66">
        <f t="shared" si="1330"/>
        <v>37217.295081967211</v>
      </c>
      <c r="BZ2383" s="66">
        <f t="shared" si="1331"/>
        <v>36773.325635103931</v>
      </c>
      <c r="CA2383" s="66">
        <f t="shared" si="1332"/>
        <v>36792.721257237383</v>
      </c>
      <c r="CB2383" s="66">
        <f t="shared" si="1333"/>
        <v>36729.061976549412</v>
      </c>
      <c r="CC2383" s="66">
        <f t="shared" si="1334"/>
        <v>37592.773892773897</v>
      </c>
      <c r="CD2383" s="66">
        <f t="shared" si="1335"/>
        <v>36653.900709219859</v>
      </c>
      <c r="CE2383" s="66">
        <f t="shared" si="1336"/>
        <v>38076.702786377711</v>
      </c>
      <c r="CF2383" s="66">
        <f t="shared" si="1337"/>
        <v>37069.191919191922</v>
      </c>
      <c r="CG2383" s="66">
        <f t="shared" si="1338"/>
        <v>36450.982532751099</v>
      </c>
      <c r="CH2383" s="66">
        <f t="shared" si="1339"/>
        <v>36147.091722595083</v>
      </c>
      <c r="CI2383" s="66">
        <f>CI2394/CI2372</f>
        <v>36516.257456799751</v>
      </c>
      <c r="CJ2383" s="67">
        <f>CJ2394/CJ2372</f>
        <v>36516.257456799758</v>
      </c>
    </row>
    <row r="2384" spans="1:88" s="186" customFormat="1" x14ac:dyDescent="0.25">
      <c r="A2384" s="215" t="s">
        <v>24</v>
      </c>
      <c r="B2384" s="66">
        <f>+H46</f>
        <v>35368.387096774197</v>
      </c>
      <c r="C2384" s="66">
        <f>+I46</f>
        <v>29403.153426318982</v>
      </c>
      <c r="D2384" s="66">
        <f t="shared" si="1341"/>
        <v>30822.117202268437</v>
      </c>
      <c r="E2384" s="66">
        <f t="shared" si="1342"/>
        <v>29175.382301328656</v>
      </c>
      <c r="F2384" s="66">
        <f t="shared" si="1343"/>
        <v>30882.580261593343</v>
      </c>
      <c r="G2384" s="66">
        <f t="shared" si="1344"/>
        <v>31046.809651474534</v>
      </c>
      <c r="H2384" s="66">
        <f t="shared" si="1345"/>
        <v>40442.97595792637</v>
      </c>
      <c r="I2384" s="66">
        <f t="shared" si="1346"/>
        <v>33278.017492711369</v>
      </c>
      <c r="J2384" s="66">
        <f t="shared" si="1265"/>
        <v>31059.638554216868</v>
      </c>
      <c r="K2384" s="66">
        <v>31082.177615571774</v>
      </c>
      <c r="L2384" s="66">
        <f t="shared" si="1266"/>
        <v>31952.818371607515</v>
      </c>
      <c r="M2384" s="66">
        <f t="shared" si="1267"/>
        <v>31315.044663845794</v>
      </c>
      <c r="N2384" s="66">
        <f t="shared" si="1268"/>
        <v>31741.522104085063</v>
      </c>
      <c r="O2384" s="66">
        <f t="shared" si="1269"/>
        <v>32258.593750000007</v>
      </c>
      <c r="P2384" s="66">
        <f t="shared" si="1270"/>
        <v>32498.905309250142</v>
      </c>
      <c r="Q2384" s="66">
        <f t="shared" si="1271"/>
        <v>31411.39742319128</v>
      </c>
      <c r="R2384" s="66">
        <f t="shared" si="1272"/>
        <v>31675.946445060024</v>
      </c>
      <c r="S2384" s="66">
        <f t="shared" si="1273"/>
        <v>31935.162374020158</v>
      </c>
      <c r="T2384" s="66">
        <f t="shared" si="1274"/>
        <v>31801.761597181445</v>
      </c>
      <c r="U2384" s="66">
        <f t="shared" si="1275"/>
        <v>30586.07427055703</v>
      </c>
      <c r="V2384" s="66">
        <f t="shared" si="1276"/>
        <v>29979.466501240695</v>
      </c>
      <c r="W2384" s="66">
        <f t="shared" si="1277"/>
        <v>32054.479166666675</v>
      </c>
      <c r="X2384" s="66">
        <f t="shared" si="1278"/>
        <v>31441.704545454544</v>
      </c>
      <c r="Y2384" s="66">
        <f t="shared" si="1279"/>
        <v>30637.31101511879</v>
      </c>
      <c r="Z2384" s="66">
        <f t="shared" si="1280"/>
        <v>31366.544694197604</v>
      </c>
      <c r="AA2384" s="66">
        <f t="shared" si="1281"/>
        <v>31161.06100795756</v>
      </c>
      <c r="AB2384" s="66">
        <f t="shared" si="1282"/>
        <v>31093.860619469029</v>
      </c>
      <c r="AC2384" s="66">
        <f t="shared" si="1287"/>
        <v>30728.197226502314</v>
      </c>
      <c r="AD2384" s="66">
        <f t="shared" si="1340"/>
        <v>31963.711641500246</v>
      </c>
      <c r="AE2384" s="66">
        <f t="shared" si="1288"/>
        <v>31654.026666666672</v>
      </c>
      <c r="AF2384" s="66">
        <f t="shared" si="1289"/>
        <v>31546.670190274846</v>
      </c>
      <c r="AG2384" s="66">
        <f t="shared" si="1283"/>
        <v>30596.561969439728</v>
      </c>
      <c r="AH2384" s="66">
        <f t="shared" si="1290"/>
        <v>28913.777161349979</v>
      </c>
      <c r="AI2384" s="66">
        <f t="shared" si="1291"/>
        <v>29757.045343734764</v>
      </c>
      <c r="AJ2384" s="66">
        <f t="shared" si="1292"/>
        <v>29312.968299711814</v>
      </c>
      <c r="AK2384" s="66">
        <f t="shared" si="1293"/>
        <v>29655.802707930368</v>
      </c>
      <c r="AL2384" s="66">
        <f t="shared" si="1294"/>
        <v>29913.517915309447</v>
      </c>
      <c r="AM2384" s="66">
        <f t="shared" si="1295"/>
        <v>29523.146067415732</v>
      </c>
      <c r="AN2384" s="66">
        <f t="shared" si="1296"/>
        <v>31296.578947368424</v>
      </c>
      <c r="AO2384" s="66">
        <f t="shared" si="1297"/>
        <v>29872.614314115312</v>
      </c>
      <c r="AP2384" s="66">
        <f t="shared" si="1298"/>
        <v>30623.493670886081</v>
      </c>
      <c r="AQ2384" s="66">
        <f t="shared" si="1299"/>
        <v>29534.456928838954</v>
      </c>
      <c r="AR2384" s="66">
        <f t="shared" si="1300"/>
        <v>30541.819990054701</v>
      </c>
      <c r="AS2384" s="66">
        <f t="shared" si="1301"/>
        <v>29284.660925726588</v>
      </c>
      <c r="AT2384" s="66">
        <f t="shared" si="1302"/>
        <v>29620.530209617762</v>
      </c>
      <c r="AU2384" s="66">
        <f t="shared" si="1303"/>
        <v>30050.554994954597</v>
      </c>
      <c r="AV2384" s="66">
        <f t="shared" si="1304"/>
        <v>29206.657355679701</v>
      </c>
      <c r="AW2384" s="66">
        <f t="shared" si="1305"/>
        <v>29364.132882882888</v>
      </c>
      <c r="AX2384" s="66">
        <f t="shared" si="1306"/>
        <v>29648.496993987981</v>
      </c>
      <c r="AY2384" s="66">
        <f t="shared" si="1307"/>
        <v>29706.987143655679</v>
      </c>
      <c r="AZ2384" s="66">
        <f t="shared" si="1308"/>
        <v>29790.986214209974</v>
      </c>
      <c r="BA2384" s="66">
        <f t="shared" si="1309"/>
        <v>30148.400000000001</v>
      </c>
      <c r="BB2384" s="66">
        <f t="shared" si="1310"/>
        <v>29108.461538461539</v>
      </c>
      <c r="BC2384" s="66">
        <f t="shared" si="1311"/>
        <v>28817.592592592591</v>
      </c>
      <c r="BD2384" s="66">
        <f t="shared" si="1312"/>
        <v>29340.175953079179</v>
      </c>
      <c r="BE2384" s="66">
        <f t="shared" si="1284"/>
        <v>29323.157248157251</v>
      </c>
      <c r="BF2384" s="66">
        <f t="shared" si="1285"/>
        <v>29554.492665036676</v>
      </c>
      <c r="BG2384" s="66">
        <f t="shared" si="1286"/>
        <v>28570.645161290322</v>
      </c>
      <c r="BH2384" s="66">
        <f t="shared" si="1313"/>
        <v>29403.97390272835</v>
      </c>
      <c r="BI2384" s="66">
        <f t="shared" si="1314"/>
        <v>28910.414052697615</v>
      </c>
      <c r="BJ2384" s="66">
        <f t="shared" si="1315"/>
        <v>29480.373230373236</v>
      </c>
      <c r="BK2384" s="66">
        <f t="shared" si="1316"/>
        <v>29147.682119205299</v>
      </c>
      <c r="BL2384" s="66">
        <f t="shared" si="1317"/>
        <v>29809.733978234588</v>
      </c>
      <c r="BM2384" s="66">
        <f t="shared" si="1318"/>
        <v>28984.300126103408</v>
      </c>
      <c r="BN2384" s="66">
        <f t="shared" si="1319"/>
        <v>29764.345873105001</v>
      </c>
      <c r="BO2384" s="66">
        <f t="shared" si="1320"/>
        <v>29339.192139737996</v>
      </c>
      <c r="BP2384" s="66">
        <f t="shared" si="1321"/>
        <v>28951.145475372279</v>
      </c>
      <c r="BQ2384" s="66">
        <f t="shared" si="1322"/>
        <v>29668.347826086956</v>
      </c>
      <c r="BR2384" s="66">
        <f t="shared" si="1323"/>
        <v>29399.301450832885</v>
      </c>
      <c r="BS2384" s="66">
        <f t="shared" si="1324"/>
        <v>29731.217948717949</v>
      </c>
      <c r="BT2384" s="66">
        <f t="shared" si="1325"/>
        <v>30325.071839080461</v>
      </c>
      <c r="BU2384" s="66">
        <f t="shared" si="1326"/>
        <v>29421.453900709217</v>
      </c>
      <c r="BV2384" s="66">
        <f t="shared" si="1327"/>
        <v>28833.35883703137</v>
      </c>
      <c r="BW2384" s="66">
        <f t="shared" si="1328"/>
        <v>29161.100066269057</v>
      </c>
      <c r="BX2384" s="66">
        <f t="shared" si="1329"/>
        <v>29211.671087533156</v>
      </c>
      <c r="BY2384" s="66">
        <f t="shared" si="1330"/>
        <v>29218.211068211069</v>
      </c>
      <c r="BZ2384" s="66">
        <f t="shared" si="1331"/>
        <v>29056.295620437962</v>
      </c>
      <c r="CA2384" s="66">
        <f t="shared" si="1332"/>
        <v>28847.21141374838</v>
      </c>
      <c r="CB2384" s="66">
        <f t="shared" si="1333"/>
        <v>29004.298941798941</v>
      </c>
      <c r="CC2384" s="66">
        <f t="shared" si="1334"/>
        <v>30352.509410288585</v>
      </c>
      <c r="CD2384" s="66">
        <f t="shared" si="1335"/>
        <v>28623.876923076925</v>
      </c>
      <c r="CE2384" s="66">
        <f t="shared" si="1336"/>
        <v>28870.363849765261</v>
      </c>
      <c r="CF2384" s="66">
        <f t="shared" si="1337"/>
        <v>29957.959183673469</v>
      </c>
      <c r="CG2384" s="66">
        <f t="shared" si="1338"/>
        <v>28456.619318181823</v>
      </c>
      <c r="CH2384" s="66">
        <f t="shared" si="1339"/>
        <v>28421.723834652603</v>
      </c>
      <c r="CI2384" s="66">
        <f>CI2394/CI2366</f>
        <v>30208.655895168282</v>
      </c>
      <c r="CJ2384" s="67">
        <f>CJ2394/CJ2366</f>
        <v>30208.655895168282</v>
      </c>
    </row>
    <row r="2385" spans="1:88" s="186" customFormat="1" x14ac:dyDescent="0.25">
      <c r="A2385" s="212" t="s">
        <v>25</v>
      </c>
      <c r="B2385" s="92">
        <f t="shared" ref="B2385:B2390" si="1347">+I19</f>
        <v>1620622.0034482758</v>
      </c>
      <c r="C2385" s="92">
        <f t="shared" ref="C2385:C2390" si="1348">+I47</f>
        <v>16682145.506896552</v>
      </c>
      <c r="D2385" s="92">
        <f t="shared" si="1341"/>
        <v>19189038.67586207</v>
      </c>
      <c r="E2385" s="92">
        <f t="shared" si="1342"/>
        <v>21157495.529310346</v>
      </c>
      <c r="F2385" s="92">
        <f t="shared" si="1343"/>
        <v>20399824.803448278</v>
      </c>
      <c r="G2385" s="92">
        <f t="shared" si="1344"/>
        <v>22474597.191379312</v>
      </c>
      <c r="H2385" s="92">
        <f t="shared" si="1345"/>
        <v>22942793.881034486</v>
      </c>
      <c r="I2385" s="92">
        <f t="shared" si="1346"/>
        <v>22451114.548275866</v>
      </c>
      <c r="J2385" s="92">
        <f t="shared" si="1265"/>
        <v>22850518.251724139</v>
      </c>
      <c r="K2385" s="94">
        <v>19559869.83275862</v>
      </c>
      <c r="L2385" s="94">
        <f t="shared" si="1266"/>
        <v>29116979.039655175</v>
      </c>
      <c r="M2385" s="94">
        <f t="shared" si="1267"/>
        <v>33552386.389655177</v>
      </c>
      <c r="N2385" s="94">
        <f t="shared" si="1268"/>
        <v>28757223.515517246</v>
      </c>
      <c r="O2385" s="94">
        <f t="shared" si="1269"/>
        <v>35001060.274137929</v>
      </c>
      <c r="P2385" s="94">
        <f t="shared" si="1270"/>
        <v>33253734.222413797</v>
      </c>
      <c r="Q2385" s="94">
        <f t="shared" si="1271"/>
        <v>33128470.318965517</v>
      </c>
      <c r="R2385" s="94">
        <f t="shared" si="1272"/>
        <v>36259358.384482764</v>
      </c>
      <c r="S2385" s="94">
        <f t="shared" si="1273"/>
        <v>30719973.446551725</v>
      </c>
      <c r="T2385" s="94">
        <f t="shared" si="1274"/>
        <v>27093183.160344832</v>
      </c>
      <c r="U2385" s="94">
        <f t="shared" si="1275"/>
        <v>20809999.813793108</v>
      </c>
      <c r="V2385" s="94">
        <f t="shared" si="1276"/>
        <v>23078703.55689656</v>
      </c>
      <c r="W2385" s="94">
        <f t="shared" si="1277"/>
        <v>33377490.772413794</v>
      </c>
      <c r="X2385" s="94">
        <f t="shared" si="1278"/>
        <v>28849713.76551725</v>
      </c>
      <c r="Y2385" s="94">
        <f t="shared" si="1279"/>
        <v>30139873.92586207</v>
      </c>
      <c r="Z2385" s="94">
        <f t="shared" si="1280"/>
        <v>33944910.094827592</v>
      </c>
      <c r="AA2385" s="94">
        <f t="shared" si="1281"/>
        <v>34160951.946551725</v>
      </c>
      <c r="AB2385" s="94">
        <f t="shared" si="1282"/>
        <v>32865766.939655174</v>
      </c>
      <c r="AC2385" s="94">
        <f t="shared" si="1287"/>
        <v>34953246.082758628</v>
      </c>
      <c r="AD2385" s="94">
        <f t="shared" si="1340"/>
        <v>39143995.715517245</v>
      </c>
      <c r="AE2385" s="94">
        <f t="shared" si="1288"/>
        <v>34760263.089655176</v>
      </c>
      <c r="AF2385" s="94">
        <f t="shared" si="1289"/>
        <v>34543859.62068966</v>
      </c>
      <c r="AG2385" s="94">
        <f t="shared" si="1283"/>
        <v>40877790.451724134</v>
      </c>
      <c r="AH2385" s="94">
        <f t="shared" si="1290"/>
        <v>33644091.491379321</v>
      </c>
      <c r="AI2385" s="94">
        <f t="shared" si="1291"/>
        <v>36606734.755172417</v>
      </c>
      <c r="AJ2385" s="94">
        <f t="shared" si="1292"/>
        <v>37166138.670689657</v>
      </c>
      <c r="AK2385" s="94">
        <f t="shared" si="1293"/>
        <v>34539261.382758625</v>
      </c>
      <c r="AL2385" s="94">
        <f t="shared" si="1294"/>
        <v>32476182.360344827</v>
      </c>
      <c r="AM2385" s="94">
        <f t="shared" si="1295"/>
        <v>31415415.210344829</v>
      </c>
      <c r="AN2385" s="94">
        <f t="shared" si="1296"/>
        <v>37016712.077586211</v>
      </c>
      <c r="AO2385" s="94">
        <f t="shared" si="1297"/>
        <v>36531884.470689662</v>
      </c>
      <c r="AP2385" s="94">
        <f t="shared" si="1298"/>
        <v>38078892.153448284</v>
      </c>
      <c r="AQ2385" s="94">
        <f t="shared" si="1299"/>
        <v>33374444.822413795</v>
      </c>
      <c r="AR2385" s="94">
        <f t="shared" si="1300"/>
        <v>36424724.555172414</v>
      </c>
      <c r="AS2385" s="94">
        <f t="shared" si="1301"/>
        <v>32115607.136206903</v>
      </c>
      <c r="AT2385" s="94">
        <f t="shared" si="1302"/>
        <v>27915658.632758621</v>
      </c>
      <c r="AU2385" s="94">
        <f t="shared" si="1303"/>
        <v>35676784.017241381</v>
      </c>
      <c r="AV2385" s="94">
        <f t="shared" si="1304"/>
        <v>37251193.236206897</v>
      </c>
      <c r="AW2385" s="94">
        <f t="shared" si="1305"/>
        <v>33267497.562068969</v>
      </c>
      <c r="AX2385" s="94">
        <f t="shared" si="1306"/>
        <v>36345253.077586211</v>
      </c>
      <c r="AY2385" s="94">
        <f t="shared" si="1307"/>
        <v>32670230.984482765</v>
      </c>
      <c r="AZ2385" s="94">
        <f t="shared" si="1308"/>
        <v>35659299.281034485</v>
      </c>
      <c r="BA2385" s="94">
        <f t="shared" si="1309"/>
        <v>33840159.160344832</v>
      </c>
      <c r="BB2385" s="94">
        <f t="shared" si="1310"/>
        <v>36150639.131034486</v>
      </c>
      <c r="BC2385" s="94">
        <f t="shared" si="1311"/>
        <v>26733125.218965519</v>
      </c>
      <c r="BD2385" s="94">
        <f t="shared" si="1312"/>
        <v>30428525.684482761</v>
      </c>
      <c r="BE2385" s="94">
        <f t="shared" si="1284"/>
        <v>29823663.053448278</v>
      </c>
      <c r="BF2385" s="94">
        <f t="shared" si="1285"/>
        <v>30079438.887931034</v>
      </c>
      <c r="BG2385" s="94">
        <f t="shared" si="1286"/>
        <v>27238902.505172413</v>
      </c>
      <c r="BH2385" s="94">
        <f t="shared" si="1313"/>
        <v>29870431.151724141</v>
      </c>
      <c r="BI2385" s="94">
        <f t="shared" si="1314"/>
        <v>28489942.551724143</v>
      </c>
      <c r="BJ2385" s="94">
        <f t="shared" si="1315"/>
        <v>26731403.494827591</v>
      </c>
      <c r="BK2385" s="94">
        <f t="shared" si="1316"/>
        <v>32852961.57068966</v>
      </c>
      <c r="BL2385" s="94">
        <f t="shared" si="1317"/>
        <v>31079547.725862071</v>
      </c>
      <c r="BM2385" s="94">
        <f t="shared" si="1318"/>
        <v>29244866.294827588</v>
      </c>
      <c r="BN2385" s="94">
        <f t="shared" si="1319"/>
        <v>33963218.491379313</v>
      </c>
      <c r="BO2385" s="94">
        <f t="shared" si="1320"/>
        <v>34718486.9362069</v>
      </c>
      <c r="BP2385" s="94">
        <f t="shared" si="1321"/>
        <v>32426234.430344831</v>
      </c>
      <c r="BQ2385" s="94">
        <f t="shared" si="1322"/>
        <v>32718735.415862072</v>
      </c>
      <c r="BR2385" s="94">
        <f t="shared" si="1323"/>
        <v>34395152.79724139</v>
      </c>
      <c r="BS2385" s="94">
        <f t="shared" si="1324"/>
        <v>29624470.617241383</v>
      </c>
      <c r="BT2385" s="94">
        <f t="shared" si="1325"/>
        <v>26864360.458620694</v>
      </c>
      <c r="BU2385" s="94">
        <f t="shared" si="1326"/>
        <v>19365834.941379312</v>
      </c>
      <c r="BV2385" s="94">
        <f t="shared" si="1327"/>
        <v>22867482.691034488</v>
      </c>
      <c r="BW2385" s="94">
        <f t="shared" si="1328"/>
        <v>26433332.536551725</v>
      </c>
      <c r="BX2385" s="94">
        <f t="shared" si="1329"/>
        <v>28293527.366206899</v>
      </c>
      <c r="BY2385" s="94">
        <f t="shared" si="1330"/>
        <v>28903597.34965517</v>
      </c>
      <c r="BZ2385" s="94">
        <f t="shared" si="1331"/>
        <v>29843011.513793107</v>
      </c>
      <c r="CA2385" s="94">
        <f t="shared" si="1332"/>
        <v>29034101.909655176</v>
      </c>
      <c r="CB2385" s="94">
        <f t="shared" si="1333"/>
        <v>27740624.831724137</v>
      </c>
      <c r="CC2385" s="94">
        <f t="shared" si="1334"/>
        <v>30738639.18206897</v>
      </c>
      <c r="CD2385" s="94">
        <f t="shared" si="1335"/>
        <v>29765048.824827589</v>
      </c>
      <c r="CE2385" s="94">
        <f t="shared" si="1336"/>
        <v>32613774.1862069</v>
      </c>
      <c r="CF2385" s="94">
        <f t="shared" si="1337"/>
        <v>28675878.331034485</v>
      </c>
      <c r="CG2385" s="94">
        <f t="shared" si="1338"/>
        <v>32322016.700689659</v>
      </c>
      <c r="CH2385" s="94">
        <f t="shared" si="1339"/>
        <v>19372069.068275861</v>
      </c>
      <c r="CI2385" s="94">
        <f>SUM('PEPE SIERRA '!$B2385:$CH2385)</f>
        <v>2559136165.6403456</v>
      </c>
      <c r="CJ2385" s="139">
        <f>'PEPE SIERRA '!$CI2385/85</f>
        <v>30107484.301651124</v>
      </c>
    </row>
    <row r="2386" spans="1:88" x14ac:dyDescent="0.25">
      <c r="A2386" s="212" t="s">
        <v>26</v>
      </c>
      <c r="B2386" s="92">
        <f t="shared" si="1347"/>
        <v>1703730.824137931</v>
      </c>
      <c r="C2386" s="92">
        <f t="shared" si="1348"/>
        <v>14680225.72758621</v>
      </c>
      <c r="D2386" s="92">
        <f t="shared" si="1341"/>
        <v>12468604.932758622</v>
      </c>
      <c r="E2386" s="92">
        <f t="shared" si="1342"/>
        <v>15516035.565517243</v>
      </c>
      <c r="F2386" s="92">
        <f t="shared" si="1343"/>
        <v>8026067.7448275872</v>
      </c>
      <c r="G2386" s="92">
        <f t="shared" si="1344"/>
        <v>12157179.594827589</v>
      </c>
      <c r="H2386" s="92">
        <f t="shared" si="1345"/>
        <v>1793929.6724137934</v>
      </c>
      <c r="I2386" s="92">
        <f t="shared" si="1346"/>
        <v>505725.6413793104</v>
      </c>
      <c r="J2386" s="92">
        <f t="shared" si="1265"/>
        <v>777640.09827586217</v>
      </c>
      <c r="K2386" s="94">
        <v>460746.88103448279</v>
      </c>
      <c r="L2386" s="94">
        <f t="shared" si="1266"/>
        <v>1786200.6706896552</v>
      </c>
      <c r="M2386" s="94">
        <f t="shared" si="1267"/>
        <v>1415307.2137931036</v>
      </c>
      <c r="N2386" s="94">
        <f t="shared" si="1268"/>
        <v>1273146.8500000001</v>
      </c>
      <c r="O2386" s="94">
        <f t="shared" si="1269"/>
        <v>1072362.3120689655</v>
      </c>
      <c r="P2386" s="94">
        <f t="shared" si="1270"/>
        <v>199199.83448275866</v>
      </c>
      <c r="Q2386" s="94">
        <f t="shared" si="1271"/>
        <v>356195.23448275868</v>
      </c>
      <c r="R2386" s="94">
        <f t="shared" si="1272"/>
        <v>1010328.5568965519</v>
      </c>
      <c r="S2386" s="94">
        <f t="shared" si="1273"/>
        <v>812887.39655172417</v>
      </c>
      <c r="T2386" s="94">
        <f t="shared" si="1274"/>
        <v>1619274.0258620693</v>
      </c>
      <c r="U2386" s="94">
        <f t="shared" si="1275"/>
        <v>1562556.0086206899</v>
      </c>
      <c r="V2386" s="94">
        <f t="shared" si="1276"/>
        <v>1472524.4327586209</v>
      </c>
      <c r="W2386" s="94">
        <f t="shared" si="1277"/>
        <v>1290947.4637931036</v>
      </c>
      <c r="X2386" s="94">
        <f t="shared" si="1278"/>
        <v>2071791.6465517243</v>
      </c>
      <c r="Y2386" s="94">
        <f t="shared" si="1279"/>
        <v>1462347.1896551724</v>
      </c>
      <c r="Z2386" s="94">
        <f t="shared" si="1280"/>
        <v>1266045.1172413796</v>
      </c>
      <c r="AA2386" s="94">
        <f t="shared" si="1281"/>
        <v>1304375.4086206898</v>
      </c>
      <c r="AB2386" s="94">
        <f t="shared" si="1282"/>
        <v>965884.66551724146</v>
      </c>
      <c r="AC2386" s="94">
        <f t="shared" si="1287"/>
        <v>969888.96724137943</v>
      </c>
      <c r="AD2386" s="94">
        <f t="shared" si="1340"/>
        <v>991026.82586206915</v>
      </c>
      <c r="AE2386" s="94">
        <f t="shared" si="1288"/>
        <v>667255.07586206903</v>
      </c>
      <c r="AF2386" s="94">
        <f t="shared" si="1289"/>
        <v>1122652.3586206897</v>
      </c>
      <c r="AG2386" s="94">
        <f t="shared" si="1283"/>
        <v>1287312.7327586208</v>
      </c>
      <c r="AH2386" s="94">
        <f t="shared" si="1290"/>
        <v>1329605.6879310345</v>
      </c>
      <c r="AI2386" s="94">
        <f t="shared" si="1291"/>
        <v>1134954.2982758624</v>
      </c>
      <c r="AJ2386" s="94">
        <f t="shared" si="1292"/>
        <v>1023789.1948275863</v>
      </c>
      <c r="AK2386" s="94">
        <f t="shared" si="1293"/>
        <v>1040561.2913793104</v>
      </c>
      <c r="AL2386" s="94">
        <f t="shared" si="1294"/>
        <v>963143.91379310342</v>
      </c>
      <c r="AM2386" s="94">
        <f t="shared" si="1295"/>
        <v>1015620.9344827586</v>
      </c>
      <c r="AN2386" s="94">
        <f t="shared" si="1296"/>
        <v>893395.34137931047</v>
      </c>
      <c r="AO2386" s="94">
        <f t="shared" si="1297"/>
        <v>1000575.3931034482</v>
      </c>
      <c r="AP2386" s="94">
        <f t="shared" si="1298"/>
        <v>742014.87413793104</v>
      </c>
      <c r="AQ2386" s="94">
        <f t="shared" si="1299"/>
        <v>1013376.2689655174</v>
      </c>
      <c r="AR2386" s="94">
        <f t="shared" si="1300"/>
        <v>955711.23448275868</v>
      </c>
      <c r="AS2386" s="94">
        <f t="shared" si="1301"/>
        <v>1050381.3706896552</v>
      </c>
      <c r="AT2386" s="94">
        <f t="shared" si="1302"/>
        <v>820021.95344827592</v>
      </c>
      <c r="AU2386" s="94">
        <f t="shared" si="1303"/>
        <v>1058335.9172413794</v>
      </c>
      <c r="AV2386" s="94">
        <f t="shared" si="1304"/>
        <v>1349069.6137931035</v>
      </c>
      <c r="AW2386" s="94">
        <f t="shared" si="1305"/>
        <v>1036638.5500000002</v>
      </c>
      <c r="AX2386" s="94">
        <f t="shared" si="1306"/>
        <v>732794.28103448288</v>
      </c>
      <c r="AY2386" s="94">
        <f t="shared" si="1307"/>
        <v>1088465.3051724138</v>
      </c>
      <c r="AZ2386" s="94">
        <f t="shared" si="1308"/>
        <v>1352053.3120689658</v>
      </c>
      <c r="BA2386" s="94">
        <f t="shared" si="1309"/>
        <v>938870.93965517252</v>
      </c>
      <c r="BB2386" s="94">
        <f t="shared" si="1310"/>
        <v>673881.14310344832</v>
      </c>
      <c r="BC2386" s="94">
        <f t="shared" si="1311"/>
        <v>883117.26551724144</v>
      </c>
      <c r="BD2386" s="94">
        <f t="shared" si="1312"/>
        <v>909003.43965517241</v>
      </c>
      <c r="BE2386" s="94">
        <f t="shared" si="1284"/>
        <v>583007.45689655177</v>
      </c>
      <c r="BF2386" s="94">
        <f t="shared" si="1285"/>
        <v>659019.01034482766</v>
      </c>
      <c r="BG2386" s="94">
        <f t="shared" si="1286"/>
        <v>689440.57413793111</v>
      </c>
      <c r="BH2386" s="94">
        <f t="shared" si="1313"/>
        <v>684644.86379310349</v>
      </c>
      <c r="BI2386" s="94">
        <f t="shared" si="1314"/>
        <v>750429.73448275868</v>
      </c>
      <c r="BJ2386" s="94">
        <f t="shared" si="1315"/>
        <v>664388.71724137943</v>
      </c>
      <c r="BK2386" s="94">
        <f t="shared" si="1316"/>
        <v>854865.43275862071</v>
      </c>
      <c r="BL2386" s="94">
        <f t="shared" si="1317"/>
        <v>436645.71206896554</v>
      </c>
      <c r="BM2386" s="94">
        <f t="shared" si="1318"/>
        <v>245236.3206896552</v>
      </c>
      <c r="BN2386" s="94">
        <f t="shared" si="1319"/>
        <v>204396.50689655176</v>
      </c>
      <c r="BO2386" s="94">
        <f t="shared" si="1320"/>
        <v>417305.18275862071</v>
      </c>
      <c r="BP2386" s="94">
        <f t="shared" si="1321"/>
        <v>318743.2013793104</v>
      </c>
      <c r="BQ2386" s="94">
        <f t="shared" si="1322"/>
        <v>490270.02620689664</v>
      </c>
      <c r="BR2386" s="94">
        <f t="shared" si="1323"/>
        <v>342249.30620689655</v>
      </c>
      <c r="BS2386" s="94">
        <f t="shared" si="1324"/>
        <v>293341.70689655177</v>
      </c>
      <c r="BT2386" s="94">
        <f t="shared" si="1325"/>
        <v>241726.57655172417</v>
      </c>
      <c r="BU2386" s="94">
        <f t="shared" si="1326"/>
        <v>174244.0827586207</v>
      </c>
      <c r="BV2386" s="94">
        <f t="shared" si="1327"/>
        <v>216405.915862069</v>
      </c>
      <c r="BW2386" s="94">
        <f t="shared" si="1328"/>
        <v>138460.56137931038</v>
      </c>
      <c r="BX2386" s="94">
        <f t="shared" si="1329"/>
        <v>252533.21034482762</v>
      </c>
      <c r="BY2386" s="94">
        <f t="shared" si="1330"/>
        <v>582919.4862068966</v>
      </c>
      <c r="BZ2386" s="94">
        <f t="shared" si="1331"/>
        <v>348275.50413793104</v>
      </c>
      <c r="CA2386" s="94">
        <f t="shared" si="1332"/>
        <v>189262.80413793103</v>
      </c>
      <c r="CB2386" s="94">
        <f t="shared" si="1333"/>
        <v>261872.84275862074</v>
      </c>
      <c r="CC2386" s="94">
        <f t="shared" si="1334"/>
        <v>227766.2006896552</v>
      </c>
      <c r="CD2386" s="94">
        <f t="shared" si="1335"/>
        <v>125909.66413793105</v>
      </c>
      <c r="CE2386" s="94">
        <f t="shared" si="1336"/>
        <v>201817.09793103451</v>
      </c>
      <c r="CF2386" s="94">
        <f t="shared" si="1337"/>
        <v>313983.69379310345</v>
      </c>
      <c r="CG2386" s="94">
        <f t="shared" si="1338"/>
        <v>201017.91448275864</v>
      </c>
      <c r="CH2386" s="94">
        <f t="shared" si="1339"/>
        <v>242531.64758620691</v>
      </c>
      <c r="CI2386" s="94">
        <f>SUM('PEPE SIERRA '!$B2386:$CH2386)</f>
        <v>128427489.15034483</v>
      </c>
      <c r="CJ2386" s="139">
        <f>'PEPE SIERRA '!$CI2386/85</f>
        <v>1510911.6370628804</v>
      </c>
    </row>
    <row r="2387" spans="1:88" x14ac:dyDescent="0.25">
      <c r="A2387" s="212" t="s">
        <v>27</v>
      </c>
      <c r="B2387" s="92">
        <f t="shared" si="1347"/>
        <v>831088.20689655177</v>
      </c>
      <c r="C2387" s="92">
        <f t="shared" si="1348"/>
        <v>9435812.2137931045</v>
      </c>
      <c r="D2387" s="92">
        <f t="shared" si="1341"/>
        <v>8960756.2189655174</v>
      </c>
      <c r="E2387" s="92">
        <f t="shared" si="1342"/>
        <v>11921680.629310345</v>
      </c>
      <c r="F2387" s="92">
        <f t="shared" si="1343"/>
        <v>14515633.831034483</v>
      </c>
      <c r="G2387" s="92">
        <f t="shared" si="1344"/>
        <v>13650509.075862071</v>
      </c>
      <c r="H2387" s="92">
        <f t="shared" si="1345"/>
        <v>11730888.184482761</v>
      </c>
      <c r="I2387" s="92">
        <f t="shared" si="1346"/>
        <v>13370937.806896552</v>
      </c>
      <c r="J2387" s="92">
        <f t="shared" si="1265"/>
        <v>12372680.45172414</v>
      </c>
      <c r="K2387" s="94">
        <v>15560883.043103449</v>
      </c>
      <c r="L2387" s="94">
        <f t="shared" si="1266"/>
        <v>12554741.829310346</v>
      </c>
      <c r="M2387" s="94">
        <f t="shared" si="1267"/>
        <v>11953352.974137932</v>
      </c>
      <c r="N2387" s="94">
        <f t="shared" si="1268"/>
        <v>10057644.782758621</v>
      </c>
      <c r="O2387" s="94">
        <f t="shared" si="1269"/>
        <v>10723420.620689657</v>
      </c>
      <c r="P2387" s="94">
        <f t="shared" si="1270"/>
        <v>8693652.9672413804</v>
      </c>
      <c r="Q2387" s="94">
        <f t="shared" si="1271"/>
        <v>11740559.837931037</v>
      </c>
      <c r="R2387" s="94">
        <f t="shared" si="1272"/>
        <v>13274931.636206897</v>
      </c>
      <c r="S2387" s="94">
        <f t="shared" si="1273"/>
        <v>10800059.677586207</v>
      </c>
      <c r="T2387" s="94">
        <f t="shared" si="1274"/>
        <v>10971744.256896555</v>
      </c>
      <c r="U2387" s="94">
        <f t="shared" si="1275"/>
        <v>10514029.479310345</v>
      </c>
      <c r="V2387" s="94">
        <f t="shared" si="1276"/>
        <v>10002289.922413794</v>
      </c>
      <c r="W2387" s="94">
        <f t="shared" si="1277"/>
        <v>11602230.589655174</v>
      </c>
      <c r="X2387" s="94">
        <f t="shared" si="1278"/>
        <v>10611070.801724138</v>
      </c>
      <c r="Y2387" s="94">
        <f t="shared" si="1279"/>
        <v>9712234.8189655188</v>
      </c>
      <c r="Z2387" s="94">
        <f t="shared" si="1280"/>
        <v>9823341.7931034509</v>
      </c>
      <c r="AA2387" s="94">
        <f t="shared" si="1281"/>
        <v>8579841.9189655185</v>
      </c>
      <c r="AB2387" s="94">
        <f t="shared" si="1282"/>
        <v>9798924.8551724143</v>
      </c>
      <c r="AC2387" s="94">
        <f t="shared" si="1287"/>
        <v>10221084.706896551</v>
      </c>
      <c r="AD2387" s="94">
        <f t="shared" si="1340"/>
        <v>10309990.213793105</v>
      </c>
      <c r="AE2387" s="94">
        <f t="shared" si="1288"/>
        <v>10052870.846551726</v>
      </c>
      <c r="AF2387" s="94">
        <f t="shared" si="1289"/>
        <v>10418449.820689656</v>
      </c>
      <c r="AG2387" s="94">
        <f t="shared" si="1283"/>
        <v>9616919.0706896558</v>
      </c>
      <c r="AH2387" s="94">
        <f t="shared" si="1290"/>
        <v>13793765.544827588</v>
      </c>
      <c r="AI2387" s="94">
        <f t="shared" si="1291"/>
        <v>9897753.9586206898</v>
      </c>
      <c r="AJ2387" s="94">
        <f t="shared" si="1292"/>
        <v>11151648.465517242</v>
      </c>
      <c r="AK2387" s="94">
        <f t="shared" si="1293"/>
        <v>13478070.558620691</v>
      </c>
      <c r="AL2387" s="94">
        <f t="shared" si="1294"/>
        <v>10605170.081034483</v>
      </c>
      <c r="AM2387" s="94">
        <f t="shared" si="1295"/>
        <v>9309161.3413793109</v>
      </c>
      <c r="AN2387" s="94">
        <f t="shared" si="1296"/>
        <v>10172146.96724138</v>
      </c>
      <c r="AO2387" s="94">
        <f t="shared" si="1297"/>
        <v>9258558.31724138</v>
      </c>
      <c r="AP2387" s="94">
        <f t="shared" si="1298"/>
        <v>9211894.727586206</v>
      </c>
      <c r="AQ2387" s="94">
        <f t="shared" si="1299"/>
        <v>9404833.1206896547</v>
      </c>
      <c r="AR2387" s="94">
        <f t="shared" si="1300"/>
        <v>12136706.013793105</v>
      </c>
      <c r="AS2387" s="94">
        <f t="shared" si="1301"/>
        <v>9769811.0241379328</v>
      </c>
      <c r="AT2387" s="94">
        <f t="shared" si="1302"/>
        <v>9189940.4775862079</v>
      </c>
      <c r="AU2387" s="94">
        <f t="shared" si="1303"/>
        <v>10044615.737931034</v>
      </c>
      <c r="AV2387" s="94">
        <f t="shared" si="1304"/>
        <v>10851911.413793104</v>
      </c>
      <c r="AW2387" s="94">
        <f t="shared" si="1305"/>
        <v>6786217.4431034494</v>
      </c>
      <c r="AX2387" s="94">
        <f t="shared" si="1306"/>
        <v>8707956.4793103449</v>
      </c>
      <c r="AY2387" s="94">
        <f t="shared" si="1307"/>
        <v>8173576.5120689664</v>
      </c>
      <c r="AZ2387" s="94">
        <f t="shared" si="1308"/>
        <v>7246290.3844827581</v>
      </c>
      <c r="BA2387" s="94">
        <f t="shared" si="1309"/>
        <v>6244378.7758620698</v>
      </c>
      <c r="BB2387" s="94">
        <f t="shared" si="1310"/>
        <v>7565098.3017241396</v>
      </c>
      <c r="BC2387" s="94">
        <f t="shared" si="1311"/>
        <v>6236865.90862069</v>
      </c>
      <c r="BD2387" s="94">
        <f t="shared" si="1312"/>
        <v>7918746.3689655177</v>
      </c>
      <c r="BE2387" s="94">
        <f t="shared" si="1284"/>
        <v>6962335.7344827596</v>
      </c>
      <c r="BF2387" s="94">
        <f t="shared" si="1285"/>
        <v>7120194.6413793117</v>
      </c>
      <c r="BG2387" s="94">
        <f t="shared" si="1286"/>
        <v>6799941.8948275866</v>
      </c>
      <c r="BH2387" s="94">
        <f t="shared" si="1313"/>
        <v>8170769.2327586208</v>
      </c>
      <c r="BI2387" s="94">
        <f t="shared" si="1314"/>
        <v>7210082.4258620702</v>
      </c>
      <c r="BJ2387" s="94">
        <f t="shared" si="1315"/>
        <v>8466615.2310344838</v>
      </c>
      <c r="BK2387" s="94">
        <f t="shared" si="1316"/>
        <v>7633272.7810344826</v>
      </c>
      <c r="BL2387" s="94">
        <f t="shared" si="1317"/>
        <v>8046985.4655172415</v>
      </c>
      <c r="BM2387" s="94">
        <f t="shared" si="1318"/>
        <v>7740494.9586206898</v>
      </c>
      <c r="BN2387" s="94">
        <f t="shared" si="1319"/>
        <v>8832804.6827586219</v>
      </c>
      <c r="BO2387" s="94">
        <f t="shared" si="1320"/>
        <v>8635168.6913793124</v>
      </c>
      <c r="BP2387" s="94">
        <f t="shared" si="1321"/>
        <v>7986657.2268965524</v>
      </c>
      <c r="BQ2387" s="94">
        <f t="shared" si="1322"/>
        <v>8420061.0979310349</v>
      </c>
      <c r="BR2387" s="94">
        <f t="shared" si="1323"/>
        <v>9842722.7779310346</v>
      </c>
      <c r="BS2387" s="94">
        <f t="shared" si="1324"/>
        <v>7879905.5441379324</v>
      </c>
      <c r="BT2387" s="94">
        <f t="shared" si="1325"/>
        <v>7400428.8020689655</v>
      </c>
      <c r="BU2387" s="94">
        <f t="shared" si="1326"/>
        <v>7342859.2551724138</v>
      </c>
      <c r="BV2387" s="94">
        <f t="shared" si="1327"/>
        <v>7463679.1482758634</v>
      </c>
      <c r="BW2387" s="94">
        <f t="shared" si="1328"/>
        <v>7929226.193793105</v>
      </c>
      <c r="BX2387" s="94">
        <f t="shared" si="1329"/>
        <v>7071824.4655172424</v>
      </c>
      <c r="BY2387" s="94">
        <f t="shared" si="1330"/>
        <v>7164678.0834482769</v>
      </c>
      <c r="BZ2387" s="94">
        <f t="shared" si="1331"/>
        <v>8020352.971034484</v>
      </c>
      <c r="CA2387" s="94">
        <f t="shared" si="1332"/>
        <v>6694643.783448277</v>
      </c>
      <c r="CB2387" s="94">
        <f t="shared" si="1333"/>
        <v>7380125.4834482763</v>
      </c>
      <c r="CC2387" s="94">
        <f t="shared" si="1334"/>
        <v>7951166.51586207</v>
      </c>
      <c r="CD2387" s="94">
        <f t="shared" si="1335"/>
        <v>7470318.6503448281</v>
      </c>
      <c r="CE2387" s="94">
        <f t="shared" si="1336"/>
        <v>6953860.2551724147</v>
      </c>
      <c r="CF2387" s="94">
        <f t="shared" si="1337"/>
        <v>6649153.6689655175</v>
      </c>
      <c r="CG2387" s="94">
        <f t="shared" si="1338"/>
        <v>8063486.9124137936</v>
      </c>
      <c r="CH2387" s="94">
        <f t="shared" si="1339"/>
        <v>6765421.8427586211</v>
      </c>
      <c r="CI2387" s="94">
        <f>SUM('PEPE SIERRA '!$B2387:$CH2387)</f>
        <v>791608613.42517245</v>
      </c>
      <c r="CJ2387" s="139">
        <f>'PEPE SIERRA '!$CI2387/85</f>
        <v>9313042.5108843818</v>
      </c>
    </row>
    <row r="2388" spans="1:88" x14ac:dyDescent="0.25">
      <c r="A2388" s="212" t="s">
        <v>28</v>
      </c>
      <c r="B2388" s="92">
        <f t="shared" si="1347"/>
        <v>0</v>
      </c>
      <c r="C2388" s="92">
        <f t="shared" si="1348"/>
        <v>0</v>
      </c>
      <c r="D2388" s="92">
        <f t="shared" si="1341"/>
        <v>0</v>
      </c>
      <c r="E2388" s="92">
        <f t="shared" si="1342"/>
        <v>0</v>
      </c>
      <c r="F2388" s="92">
        <f t="shared" si="1343"/>
        <v>0</v>
      </c>
      <c r="G2388" s="92">
        <f t="shared" si="1344"/>
        <v>0</v>
      </c>
      <c r="H2388" s="92">
        <f t="shared" si="1345"/>
        <v>8215630.9017241383</v>
      </c>
      <c r="I2388" s="92">
        <f t="shared" si="1346"/>
        <v>9537197.3689655177</v>
      </c>
      <c r="J2388" s="92">
        <f t="shared" si="1265"/>
        <v>10756564.187931037</v>
      </c>
      <c r="K2388" s="94">
        <v>6856948.8051724155</v>
      </c>
      <c r="L2388" s="94">
        <f t="shared" si="1266"/>
        <v>7113144.8844827591</v>
      </c>
      <c r="M2388" s="94">
        <f t="shared" si="1267"/>
        <v>8231807.2155172434</v>
      </c>
      <c r="N2388" s="94">
        <f t="shared" si="1268"/>
        <v>6226501.9206896555</v>
      </c>
      <c r="O2388" s="94">
        <f t="shared" si="1269"/>
        <v>7649099.1482758615</v>
      </c>
      <c r="P2388" s="94">
        <f t="shared" si="1270"/>
        <v>6408177.2241379321</v>
      </c>
      <c r="Q2388" s="94">
        <f t="shared" si="1271"/>
        <v>7070810.9879310355</v>
      </c>
      <c r="R2388" s="94">
        <f t="shared" si="1272"/>
        <v>6149629.3534482773</v>
      </c>
      <c r="S2388" s="94">
        <f t="shared" si="1273"/>
        <v>4516271.2465517242</v>
      </c>
      <c r="T2388" s="94">
        <f t="shared" si="1274"/>
        <v>4989635.1672413796</v>
      </c>
      <c r="U2388" s="94">
        <f t="shared" si="1275"/>
        <v>5377816.2551724147</v>
      </c>
      <c r="V2388" s="94">
        <f t="shared" si="1276"/>
        <v>5333115.8879310349</v>
      </c>
      <c r="W2388" s="94">
        <f t="shared" si="1277"/>
        <v>4495221.0741379317</v>
      </c>
      <c r="X2388" s="94">
        <f t="shared" si="1278"/>
        <v>4230423.9586206898</v>
      </c>
      <c r="Y2388" s="94">
        <f t="shared" si="1279"/>
        <v>5503825.4396551736</v>
      </c>
      <c r="Z2388" s="94">
        <f t="shared" si="1280"/>
        <v>4304030.0086206906</v>
      </c>
      <c r="AA2388" s="94">
        <f t="shared" si="1281"/>
        <v>4406384.863793104</v>
      </c>
      <c r="AB2388" s="94">
        <f t="shared" si="1282"/>
        <v>2327927.5810344829</v>
      </c>
      <c r="AC2388" s="94">
        <f t="shared" si="1287"/>
        <v>3063124.8982758624</v>
      </c>
      <c r="AD2388" s="94">
        <f t="shared" si="1340"/>
        <v>3615811.5689655179</v>
      </c>
      <c r="AE2388" s="94">
        <f t="shared" si="1288"/>
        <v>3321076.8672413798</v>
      </c>
      <c r="AF2388" s="94">
        <f t="shared" si="1289"/>
        <v>2891813.6862068968</v>
      </c>
      <c r="AG2388" s="94">
        <f t="shared" si="1283"/>
        <v>7591458.6913793106</v>
      </c>
      <c r="AH2388" s="94">
        <f t="shared" si="1290"/>
        <v>2676205.453448276</v>
      </c>
      <c r="AI2388" s="94">
        <f t="shared" si="1291"/>
        <v>2572476.9827586208</v>
      </c>
      <c r="AJ2388" s="94">
        <f t="shared" si="1292"/>
        <v>612493.73275862075</v>
      </c>
      <c r="AK2388" s="94">
        <f t="shared" si="1293"/>
        <v>1546448.232758621</v>
      </c>
      <c r="AL2388" s="94">
        <f t="shared" si="1294"/>
        <v>1306134.3810344827</v>
      </c>
      <c r="AM2388" s="94">
        <f t="shared" si="1295"/>
        <v>1190393.0620689658</v>
      </c>
      <c r="AN2388" s="94">
        <f t="shared" si="1296"/>
        <v>923894.68965517252</v>
      </c>
      <c r="AO2388" s="94">
        <f t="shared" si="1297"/>
        <v>2816395.6241379315</v>
      </c>
      <c r="AP2388" s="94">
        <f t="shared" si="1298"/>
        <v>1534597.8965517243</v>
      </c>
      <c r="AQ2388" s="94">
        <f t="shared" si="1299"/>
        <v>1636311.477586207</v>
      </c>
      <c r="AR2388" s="94">
        <f t="shared" si="1300"/>
        <v>959865.73793103453</v>
      </c>
      <c r="AS2388" s="94">
        <f t="shared" si="1301"/>
        <v>1705056.9844827587</v>
      </c>
      <c r="AT2388" s="94">
        <f t="shared" si="1302"/>
        <v>1653180.9051724139</v>
      </c>
      <c r="AU2388" s="94">
        <f t="shared" si="1303"/>
        <v>1981467.8689655173</v>
      </c>
      <c r="AV2388" s="94">
        <f t="shared" si="1304"/>
        <v>2285858.1500000004</v>
      </c>
      <c r="AW2388" s="94">
        <f t="shared" si="1305"/>
        <v>1702041.2844827585</v>
      </c>
      <c r="AX2388" s="94">
        <f t="shared" si="1306"/>
        <v>2887373.2310344828</v>
      </c>
      <c r="AY2388" s="94">
        <f t="shared" si="1307"/>
        <v>1840132.0258620691</v>
      </c>
      <c r="AZ2388" s="94">
        <f t="shared" si="1308"/>
        <v>1973826.505172414</v>
      </c>
      <c r="BA2388" s="94">
        <f t="shared" si="1309"/>
        <v>2226478.5655172416</v>
      </c>
      <c r="BB2388" s="94">
        <f t="shared" si="1310"/>
        <v>2156476.7965517244</v>
      </c>
      <c r="BC2388" s="94">
        <f t="shared" si="1311"/>
        <v>1989442.9862068968</v>
      </c>
      <c r="BD2388" s="94">
        <f t="shared" si="1312"/>
        <v>1775355.005172414</v>
      </c>
      <c r="BE2388" s="94">
        <f t="shared" si="1284"/>
        <v>1748386.279310345</v>
      </c>
      <c r="BF2388" s="94">
        <f t="shared" si="1285"/>
        <v>1847238.3224137933</v>
      </c>
      <c r="BG2388" s="94">
        <f t="shared" si="1286"/>
        <v>1537068.7586206896</v>
      </c>
      <c r="BH2388" s="94">
        <f t="shared" si="1313"/>
        <v>2095885.3189655177</v>
      </c>
      <c r="BI2388" s="94">
        <f t="shared" si="1314"/>
        <v>1371421.8396551725</v>
      </c>
      <c r="BJ2388" s="94">
        <f t="shared" si="1315"/>
        <v>1791895.3758620692</v>
      </c>
      <c r="BK2388" s="94">
        <f t="shared" si="1316"/>
        <v>1886339.3637931035</v>
      </c>
      <c r="BL2388" s="94">
        <f t="shared" si="1317"/>
        <v>960945.06206896564</v>
      </c>
      <c r="BM2388" s="94">
        <f t="shared" si="1318"/>
        <v>486451.9086206897</v>
      </c>
      <c r="BN2388" s="94">
        <f t="shared" si="1319"/>
        <v>478464.80172413797</v>
      </c>
      <c r="BO2388" s="94">
        <f t="shared" si="1320"/>
        <v>271808.8448275862</v>
      </c>
      <c r="BP2388" s="94">
        <f t="shared" si="1321"/>
        <v>459798.65862068976</v>
      </c>
      <c r="BQ2388" s="94">
        <f t="shared" si="1322"/>
        <v>45623.904137931037</v>
      </c>
      <c r="BR2388" s="94">
        <f t="shared" si="1323"/>
        <v>123198.56689655173</v>
      </c>
      <c r="BS2388" s="94">
        <f t="shared" si="1324"/>
        <v>104776.20068965518</v>
      </c>
      <c r="BT2388" s="94">
        <f t="shared" si="1325"/>
        <v>63414.369655172413</v>
      </c>
      <c r="BU2388" s="94">
        <f t="shared" si="1326"/>
        <v>324942.62482758623</v>
      </c>
      <c r="BV2388" s="94">
        <f t="shared" si="1327"/>
        <v>199080.15103448278</v>
      </c>
      <c r="BW2388" s="94">
        <f t="shared" si="1328"/>
        <v>1409357.1393103451</v>
      </c>
      <c r="BX2388" s="94">
        <f t="shared" si="1329"/>
        <v>241124.71379310347</v>
      </c>
      <c r="BY2388" s="94">
        <f t="shared" si="1330"/>
        <v>369226.66689655173</v>
      </c>
      <c r="BZ2388" s="94">
        <f t="shared" si="1331"/>
        <v>677487.30827586213</v>
      </c>
      <c r="CA2388" s="94">
        <f t="shared" si="1332"/>
        <v>252146.09793103451</v>
      </c>
      <c r="CB2388" s="94">
        <f t="shared" si="1333"/>
        <v>349354.29034482763</v>
      </c>
      <c r="CC2388" s="94">
        <f t="shared" si="1334"/>
        <v>524216.58413793112</v>
      </c>
      <c r="CD2388" s="94">
        <f t="shared" si="1335"/>
        <v>417350.475862069</v>
      </c>
      <c r="CE2388" s="94">
        <f t="shared" si="1336"/>
        <v>286467.42620689655</v>
      </c>
      <c r="CF2388" s="94">
        <f t="shared" si="1337"/>
        <v>154763.82344827586</v>
      </c>
      <c r="CG2388" s="94">
        <f t="shared" si="1338"/>
        <v>102618.81724137934</v>
      </c>
      <c r="CH2388" s="94">
        <f t="shared" si="1339"/>
        <v>0</v>
      </c>
      <c r="CI2388" s="94">
        <f>SUM('PEPE SIERRA '!$B2388:$CH2388)</f>
        <v>212716210.4675861</v>
      </c>
      <c r="CJ2388" s="139">
        <f>'PEPE SIERRA '!$CI2388/85</f>
        <v>2502543.6525598364</v>
      </c>
    </row>
    <row r="2389" spans="1:88" x14ac:dyDescent="0.25">
      <c r="A2389" s="212" t="s">
        <v>29</v>
      </c>
      <c r="B2389" s="92">
        <f t="shared" si="1347"/>
        <v>0</v>
      </c>
      <c r="C2389" s="92">
        <f t="shared" si="1348"/>
        <v>0</v>
      </c>
      <c r="D2389" s="92">
        <f t="shared" si="1341"/>
        <v>0</v>
      </c>
      <c r="E2389" s="92">
        <f t="shared" si="1342"/>
        <v>0</v>
      </c>
      <c r="F2389" s="92">
        <f t="shared" si="1343"/>
        <v>0</v>
      </c>
      <c r="G2389" s="92">
        <f t="shared" si="1344"/>
        <v>0</v>
      </c>
      <c r="H2389" s="92">
        <f t="shared" si="1345"/>
        <v>107490.80862068967</v>
      </c>
      <c r="I2389" s="92">
        <f t="shared" si="1346"/>
        <v>1356562.2206896553</v>
      </c>
      <c r="J2389" s="92">
        <f t="shared" si="1265"/>
        <v>486177.18275862071</v>
      </c>
      <c r="K2389" s="94">
        <v>211749.71379310347</v>
      </c>
      <c r="L2389" s="94">
        <f t="shared" si="1266"/>
        <v>141684.95517241381</v>
      </c>
      <c r="M2389" s="94">
        <f t="shared" si="1267"/>
        <v>0</v>
      </c>
      <c r="N2389" s="94">
        <f t="shared" si="1268"/>
        <v>0</v>
      </c>
      <c r="O2389" s="94">
        <f t="shared" si="1269"/>
        <v>119421.09310344828</v>
      </c>
      <c r="P2389" s="94">
        <f t="shared" si="1270"/>
        <v>254046.61379310349</v>
      </c>
      <c r="Q2389" s="94">
        <f t="shared" si="1271"/>
        <v>49578.620689655181</v>
      </c>
      <c r="R2389" s="94">
        <f t="shared" si="1272"/>
        <v>0</v>
      </c>
      <c r="S2389" s="94">
        <f t="shared" si="1273"/>
        <v>143396.16379310345</v>
      </c>
      <c r="T2389" s="94">
        <f t="shared" si="1274"/>
        <v>296904.25172413792</v>
      </c>
      <c r="U2389" s="94">
        <f t="shared" si="1275"/>
        <v>189409.99482758623</v>
      </c>
      <c r="V2389" s="94">
        <f t="shared" si="1276"/>
        <v>285381.88965517242</v>
      </c>
      <c r="W2389" s="94">
        <f t="shared" si="1277"/>
        <v>33514.755172413796</v>
      </c>
      <c r="X2389" s="94">
        <f t="shared" si="1278"/>
        <v>0</v>
      </c>
      <c r="Y2389" s="94">
        <f t="shared" si="1279"/>
        <v>104550.35</v>
      </c>
      <c r="Z2389" s="94">
        <f t="shared" si="1280"/>
        <v>159006.60689655173</v>
      </c>
      <c r="AA2389" s="94">
        <f t="shared" si="1281"/>
        <v>0</v>
      </c>
      <c r="AB2389" s="94">
        <f t="shared" si="1282"/>
        <v>317705.44137931039</v>
      </c>
      <c r="AC2389" s="94">
        <f t="shared" si="1287"/>
        <v>0</v>
      </c>
      <c r="AD2389" s="94">
        <f t="shared" si="1340"/>
        <v>48424.296551724139</v>
      </c>
      <c r="AE2389" s="94">
        <f t="shared" si="1288"/>
        <v>51132.913793103457</v>
      </c>
      <c r="AF2389" s="94">
        <f t="shared" si="1289"/>
        <v>240041.4103448276</v>
      </c>
      <c r="AG2389" s="94">
        <f t="shared" si="1283"/>
        <v>0</v>
      </c>
      <c r="AH2389" s="94">
        <f t="shared" si="1290"/>
        <v>125915.9603448276</v>
      </c>
      <c r="AI2389" s="94">
        <f t="shared" si="1291"/>
        <v>48354.487931034491</v>
      </c>
      <c r="AJ2389" s="94">
        <f t="shared" si="1292"/>
        <v>250519.07413793105</v>
      </c>
      <c r="AK2389" s="94">
        <f t="shared" si="1293"/>
        <v>73161.465517241391</v>
      </c>
      <c r="AL2389" s="94">
        <f t="shared" si="1294"/>
        <v>29452.71206896552</v>
      </c>
      <c r="AM2389" s="94">
        <f t="shared" si="1295"/>
        <v>361553.07241379312</v>
      </c>
      <c r="AN2389" s="94">
        <f t="shared" si="1296"/>
        <v>66008.855172413809</v>
      </c>
      <c r="AO2389" s="94">
        <f t="shared" si="1297"/>
        <v>79135.677586206904</v>
      </c>
      <c r="AP2389" s="94">
        <f t="shared" si="1298"/>
        <v>186153.27931034483</v>
      </c>
      <c r="AQ2389" s="94">
        <f t="shared" si="1299"/>
        <v>0</v>
      </c>
      <c r="AR2389" s="94">
        <f t="shared" si="1300"/>
        <v>109043.49310344829</v>
      </c>
      <c r="AS2389" s="94">
        <f t="shared" si="1301"/>
        <v>243701.76034482761</v>
      </c>
      <c r="AT2389" s="94">
        <f t="shared" si="1302"/>
        <v>24360.444827586209</v>
      </c>
      <c r="AU2389" s="94">
        <f t="shared" si="1303"/>
        <v>275791.45862068963</v>
      </c>
      <c r="AV2389" s="94">
        <f t="shared" si="1304"/>
        <v>0</v>
      </c>
      <c r="AW2389" s="94">
        <f t="shared" si="1305"/>
        <v>40275.160344827586</v>
      </c>
      <c r="AX2389" s="94">
        <f t="shared" si="1306"/>
        <v>0</v>
      </c>
      <c r="AY2389" s="94">
        <f t="shared" si="1307"/>
        <v>0</v>
      </c>
      <c r="AZ2389" s="94">
        <f t="shared" si="1308"/>
        <v>0</v>
      </c>
      <c r="BA2389" s="94">
        <f t="shared" si="1309"/>
        <v>79767.558620689655</v>
      </c>
      <c r="BB2389" s="94">
        <f t="shared" si="1310"/>
        <v>39437.213793103452</v>
      </c>
      <c r="BC2389" s="94">
        <f t="shared" si="1311"/>
        <v>0</v>
      </c>
      <c r="BD2389" s="94">
        <f t="shared" si="1312"/>
        <v>91374.501724137939</v>
      </c>
      <c r="BE2389" s="94">
        <f t="shared" si="1284"/>
        <v>98796.958620689664</v>
      </c>
      <c r="BF2389" s="94">
        <f t="shared" si="1285"/>
        <v>0</v>
      </c>
      <c r="BG2389" s="94">
        <f t="shared" si="1286"/>
        <v>154614.37068965519</v>
      </c>
      <c r="BH2389" s="94">
        <f t="shared" si="1313"/>
        <v>34109.605172413794</v>
      </c>
      <c r="BI2389" s="94">
        <f t="shared" si="1314"/>
        <v>0</v>
      </c>
      <c r="BJ2389" s="94">
        <f t="shared" si="1315"/>
        <v>76441.663793103449</v>
      </c>
      <c r="BK2389" s="94">
        <f t="shared" si="1316"/>
        <v>126700.50689655173</v>
      </c>
      <c r="BL2389" s="94">
        <f t="shared" si="1317"/>
        <v>0</v>
      </c>
      <c r="BM2389" s="94">
        <f t="shared" si="1318"/>
        <v>0</v>
      </c>
      <c r="BN2389" s="94">
        <f t="shared" si="1319"/>
        <v>0</v>
      </c>
      <c r="BO2389" s="94">
        <f t="shared" si="1320"/>
        <v>0</v>
      </c>
      <c r="BP2389" s="94">
        <f t="shared" si="1321"/>
        <v>0</v>
      </c>
      <c r="BQ2389" s="94">
        <f t="shared" si="1322"/>
        <v>47086.866206896557</v>
      </c>
      <c r="BR2389" s="94">
        <f t="shared" si="1323"/>
        <v>0</v>
      </c>
      <c r="BS2389" s="94">
        <f t="shared" si="1324"/>
        <v>0</v>
      </c>
      <c r="BT2389" s="94">
        <f t="shared" si="1325"/>
        <v>0</v>
      </c>
      <c r="BU2389" s="94">
        <f t="shared" si="1326"/>
        <v>40450.682068965521</v>
      </c>
      <c r="BV2389" s="94">
        <f t="shared" si="1327"/>
        <v>53207.473103448283</v>
      </c>
      <c r="BW2389" s="94">
        <f t="shared" si="1328"/>
        <v>37470.534482758623</v>
      </c>
      <c r="BX2389" s="94">
        <f t="shared" si="1329"/>
        <v>35294.65793103449</v>
      </c>
      <c r="BY2389" s="94">
        <f t="shared" si="1330"/>
        <v>0</v>
      </c>
      <c r="BZ2389" s="94">
        <f t="shared" si="1331"/>
        <v>89089.185517241378</v>
      </c>
      <c r="CA2389" s="94">
        <f t="shared" si="1332"/>
        <v>25867.956551724143</v>
      </c>
      <c r="CB2389" s="94">
        <f t="shared" si="1333"/>
        <v>0</v>
      </c>
      <c r="CC2389" s="94">
        <f t="shared" si="1334"/>
        <v>0</v>
      </c>
      <c r="CD2389" s="94">
        <f t="shared" si="1335"/>
        <v>81697.833103448284</v>
      </c>
      <c r="CE2389" s="94">
        <f t="shared" si="1336"/>
        <v>0</v>
      </c>
      <c r="CF2389" s="94">
        <f t="shared" si="1337"/>
        <v>0</v>
      </c>
      <c r="CG2389" s="94">
        <f t="shared" si="1338"/>
        <v>0</v>
      </c>
      <c r="CH2389" s="94">
        <f t="shared" si="1339"/>
        <v>29767.096551724142</v>
      </c>
      <c r="CI2389" s="94">
        <f>SUM('PEPE SIERRA '!$B2389:$CH2389)</f>
        <v>7650780.849310345</v>
      </c>
      <c r="CJ2389" s="139">
        <f>'PEPE SIERRA '!$CI2389/85</f>
        <v>90009.186462474652</v>
      </c>
    </row>
    <row r="2390" spans="1:88" x14ac:dyDescent="0.25">
      <c r="A2390" s="216" t="s">
        <v>30</v>
      </c>
      <c r="B2390" s="91">
        <f t="shared" si="1347"/>
        <v>4155441.0344827585</v>
      </c>
      <c r="C2390" s="91">
        <f t="shared" si="1348"/>
        <v>40798183.448275864</v>
      </c>
      <c r="D2390" s="91">
        <f t="shared" si="1341"/>
        <v>40618399.827586211</v>
      </c>
      <c r="E2390" s="91">
        <f t="shared" si="1342"/>
        <v>48595211.72413794</v>
      </c>
      <c r="F2390" s="91">
        <f t="shared" si="1343"/>
        <v>42941526.379310347</v>
      </c>
      <c r="G2390" s="91">
        <f t="shared" si="1344"/>
        <v>48282285.862068973</v>
      </c>
      <c r="H2390" s="91">
        <f t="shared" si="1345"/>
        <v>44790733.448275864</v>
      </c>
      <c r="I2390" s="91">
        <f t="shared" si="1346"/>
        <v>47221537.586206898</v>
      </c>
      <c r="J2390" s="91">
        <f t="shared" si="1265"/>
        <v>47243580.172413796</v>
      </c>
      <c r="K2390" s="91">
        <v>42650198.275862068</v>
      </c>
      <c r="L2390" s="91">
        <f t="shared" si="1266"/>
        <v>50712751.379310347</v>
      </c>
      <c r="M2390" s="91">
        <f t="shared" si="1267"/>
        <v>55152853.793103456</v>
      </c>
      <c r="N2390" s="91">
        <f t="shared" si="1268"/>
        <v>46314517.068965524</v>
      </c>
      <c r="O2390" s="91">
        <f t="shared" si="1269"/>
        <v>54565363.448275872</v>
      </c>
      <c r="P2390" s="91">
        <f t="shared" si="1270"/>
        <v>48808810.862068973</v>
      </c>
      <c r="Q2390" s="91">
        <f t="shared" si="1271"/>
        <v>52345615</v>
      </c>
      <c r="R2390" s="91">
        <f t="shared" si="1272"/>
        <v>56694247.93103449</v>
      </c>
      <c r="S2390" s="91">
        <f t="shared" si="1273"/>
        <v>46992587.931034483</v>
      </c>
      <c r="T2390" s="91">
        <f t="shared" si="1274"/>
        <v>44970740.862068966</v>
      </c>
      <c r="U2390" s="91">
        <f t="shared" si="1275"/>
        <v>38453811.551724136</v>
      </c>
      <c r="V2390" s="91">
        <f t="shared" si="1276"/>
        <v>40172015.68965517</v>
      </c>
      <c r="W2390" s="91">
        <f t="shared" si="1277"/>
        <v>50799404.655172423</v>
      </c>
      <c r="X2390" s="91">
        <f t="shared" si="1278"/>
        <v>45763000.172413796</v>
      </c>
      <c r="Y2390" s="91">
        <f t="shared" si="1279"/>
        <v>46922831.724137932</v>
      </c>
      <c r="Z2390" s="91">
        <f t="shared" si="1280"/>
        <v>49497333.620689668</v>
      </c>
      <c r="AA2390" s="91">
        <f t="shared" si="1281"/>
        <v>48451554.137931034</v>
      </c>
      <c r="AB2390" s="91">
        <f t="shared" si="1282"/>
        <v>46276209.482758626</v>
      </c>
      <c r="AC2390" s="91">
        <f t="shared" si="1287"/>
        <v>49207344.655172423</v>
      </c>
      <c r="AD2390" s="91">
        <f t="shared" si="1340"/>
        <v>54109248.62068966</v>
      </c>
      <c r="AE2390" s="91">
        <f t="shared" si="1288"/>
        <v>48852598.793103456</v>
      </c>
      <c r="AF2390" s="91">
        <f t="shared" si="1289"/>
        <v>49216816.896551728</v>
      </c>
      <c r="AG2390" s="91">
        <f t="shared" si="1283"/>
        <v>59476937.413793109</v>
      </c>
      <c r="AH2390" s="91">
        <f t="shared" si="1290"/>
        <v>51569584.137931041</v>
      </c>
      <c r="AI2390" s="91">
        <f t="shared" si="1291"/>
        <v>50260274.482758619</v>
      </c>
      <c r="AJ2390" s="91">
        <f t="shared" si="1292"/>
        <v>50204589.137931034</v>
      </c>
      <c r="AK2390" s="91">
        <f t="shared" si="1293"/>
        <v>50677502.931034483</v>
      </c>
      <c r="AL2390" s="91">
        <f t="shared" si="1294"/>
        <v>45380083.448275864</v>
      </c>
      <c r="AM2390" s="91">
        <f t="shared" si="1295"/>
        <v>43292143.620689653</v>
      </c>
      <c r="AN2390" s="91">
        <f t="shared" si="1296"/>
        <v>49072157.93103449</v>
      </c>
      <c r="AO2390" s="91">
        <f t="shared" si="1297"/>
        <v>49686549.482758626</v>
      </c>
      <c r="AP2390" s="91">
        <f t="shared" si="1298"/>
        <v>49753552.93103449</v>
      </c>
      <c r="AQ2390" s="91">
        <f t="shared" si="1299"/>
        <v>45428965.689655177</v>
      </c>
      <c r="AR2390" s="91">
        <f t="shared" si="1300"/>
        <v>50586051.034482762</v>
      </c>
      <c r="AS2390" s="91">
        <f t="shared" si="1301"/>
        <v>44884558.275862068</v>
      </c>
      <c r="AT2390" s="91">
        <f t="shared" si="1302"/>
        <v>39603162.413793109</v>
      </c>
      <c r="AU2390" s="91">
        <f t="shared" si="1303"/>
        <v>49036995.000000007</v>
      </c>
      <c r="AV2390" s="91">
        <f t="shared" si="1304"/>
        <v>51738032.413793102</v>
      </c>
      <c r="AW2390" s="91">
        <f t="shared" si="1305"/>
        <v>42832670.000000007</v>
      </c>
      <c r="AX2390" s="91">
        <f t="shared" si="1306"/>
        <v>48673377.068965524</v>
      </c>
      <c r="AY2390" s="91">
        <f t="shared" si="1307"/>
        <v>43772404.827586211</v>
      </c>
      <c r="AZ2390" s="91">
        <f t="shared" si="1308"/>
        <v>46231469.482758626</v>
      </c>
      <c r="BA2390" s="91">
        <f t="shared" si="1309"/>
        <v>43329655</v>
      </c>
      <c r="BB2390" s="91">
        <f t="shared" si="1310"/>
        <v>46585532.586206898</v>
      </c>
      <c r="BC2390" s="91">
        <f t="shared" si="1311"/>
        <v>35842551.379310347</v>
      </c>
      <c r="BD2390" s="91">
        <f t="shared" si="1312"/>
        <v>41123005</v>
      </c>
      <c r="BE2390" s="91">
        <f t="shared" si="1284"/>
        <v>39216189.482758626</v>
      </c>
      <c r="BF2390" s="91">
        <f t="shared" si="1285"/>
        <v>39705890.862068966</v>
      </c>
      <c r="BG2390" s="91">
        <f t="shared" si="1286"/>
        <v>36419968.103448279</v>
      </c>
      <c r="BH2390" s="91">
        <f t="shared" si="1313"/>
        <v>40855840.172413796</v>
      </c>
      <c r="BI2390" s="91">
        <f t="shared" si="1314"/>
        <v>37821876.551724136</v>
      </c>
      <c r="BJ2390" s="91">
        <f t="shared" si="1315"/>
        <v>37730744.482758626</v>
      </c>
      <c r="BK2390" s="91">
        <f t="shared" si="1316"/>
        <v>43354139.655172415</v>
      </c>
      <c r="BL2390" s="91">
        <f t="shared" si="1317"/>
        <v>40524123.965517245</v>
      </c>
      <c r="BM2390" s="91">
        <f t="shared" si="1318"/>
        <v>37717049.482758626</v>
      </c>
      <c r="BN2390" s="91">
        <f t="shared" si="1319"/>
        <v>43478884.482758626</v>
      </c>
      <c r="BO2390" s="91">
        <f t="shared" si="1320"/>
        <v>44042769.655172423</v>
      </c>
      <c r="BP2390" s="91">
        <f t="shared" si="1321"/>
        <v>41191433.517241381</v>
      </c>
      <c r="BQ2390" s="91">
        <f t="shared" si="1322"/>
        <v>41721777.31034483</v>
      </c>
      <c r="BR2390" s="91">
        <f t="shared" si="1323"/>
        <v>44703323.448275864</v>
      </c>
      <c r="BS2390" s="91">
        <f t="shared" si="1324"/>
        <v>37902494.068965517</v>
      </c>
      <c r="BT2390" s="91">
        <f t="shared" si="1325"/>
        <v>34569930.206896551</v>
      </c>
      <c r="BU2390" s="91">
        <f t="shared" si="1326"/>
        <v>27248331.586206894</v>
      </c>
      <c r="BV2390" s="91">
        <f t="shared" si="1327"/>
        <v>30799855.379310347</v>
      </c>
      <c r="BW2390" s="91">
        <f t="shared" si="1328"/>
        <v>35947846.965517245</v>
      </c>
      <c r="BX2390" s="91">
        <f t="shared" si="1329"/>
        <v>35894304.413793102</v>
      </c>
      <c r="BY2390" s="91">
        <f t="shared" si="1330"/>
        <v>37020421.586206898</v>
      </c>
      <c r="BZ2390" s="91">
        <f t="shared" si="1331"/>
        <v>38978216.482758626</v>
      </c>
      <c r="CA2390" s="91">
        <f t="shared" si="1332"/>
        <v>36196022.551724136</v>
      </c>
      <c r="CB2390" s="91">
        <f t="shared" si="1333"/>
        <v>35731977.448275864</v>
      </c>
      <c r="CC2390" s="91">
        <f t="shared" si="1334"/>
        <v>39441788.482758626</v>
      </c>
      <c r="CD2390" s="91">
        <f t="shared" si="1335"/>
        <v>37860325.448275864</v>
      </c>
      <c r="CE2390" s="91">
        <f t="shared" si="1336"/>
        <v>40055918.965517245</v>
      </c>
      <c r="CF2390" s="91">
        <f t="shared" si="1337"/>
        <v>35793779.517241381</v>
      </c>
      <c r="CG2390" s="91">
        <f t="shared" si="1338"/>
        <v>40689140.344827592</v>
      </c>
      <c r="CH2390" s="91">
        <f t="shared" si="1339"/>
        <v>26409789.655172419</v>
      </c>
      <c r="CI2390" s="91">
        <f>SUM('PEPE SIERRA '!$B2390:$CH2390)</f>
        <v>3699642715.999999</v>
      </c>
      <c r="CJ2390" s="136">
        <f>'PEPE SIERRA '!$CI2390/85</f>
        <v>43525208.423529401</v>
      </c>
    </row>
    <row r="2391" spans="1:88" x14ac:dyDescent="0.25">
      <c r="A2391" s="212" t="s">
        <v>31</v>
      </c>
      <c r="B2391" s="92">
        <f>2155*B2367</f>
        <v>124990</v>
      </c>
      <c r="C2391" s="92">
        <f t="shared" ref="C2391:L2391" si="1349">2155*C2367</f>
        <v>999920</v>
      </c>
      <c r="D2391" s="92">
        <f t="shared" si="1349"/>
        <v>1549445</v>
      </c>
      <c r="E2391" s="92">
        <f t="shared" si="1349"/>
        <v>1568840</v>
      </c>
      <c r="F2391" s="92">
        <f t="shared" si="1349"/>
        <v>1838215</v>
      </c>
      <c r="G2391" s="92">
        <f t="shared" si="1349"/>
        <v>1633490</v>
      </c>
      <c r="H2391" s="92">
        <f t="shared" si="1349"/>
        <v>1614095</v>
      </c>
      <c r="I2391" s="92">
        <f t="shared" si="1349"/>
        <v>1978290</v>
      </c>
      <c r="J2391" s="92">
        <f t="shared" si="1265"/>
        <v>1648575</v>
      </c>
      <c r="K2391" s="92">
        <f t="shared" si="1349"/>
        <v>1400750</v>
      </c>
      <c r="L2391" s="92">
        <f t="shared" si="1349"/>
        <v>2064490</v>
      </c>
      <c r="M2391" s="92">
        <f t="shared" si="1267"/>
        <v>2267060</v>
      </c>
      <c r="N2391" s="92">
        <f t="shared" si="1268"/>
        <v>2583845</v>
      </c>
      <c r="O2391" s="92">
        <f t="shared" si="1269"/>
        <v>2387740</v>
      </c>
      <c r="P2391" s="92">
        <f t="shared" si="1270"/>
        <v>2376965</v>
      </c>
      <c r="Q2391" s="92">
        <f t="shared" si="1271"/>
        <v>2299385</v>
      </c>
      <c r="R2391" s="92">
        <f t="shared" si="1272"/>
        <v>2452390</v>
      </c>
      <c r="S2391" s="92">
        <f t="shared" si="1273"/>
        <v>2176550</v>
      </c>
      <c r="T2391" s="92">
        <f t="shared" si="1274"/>
        <v>1717535</v>
      </c>
      <c r="U2391" s="92">
        <f t="shared" si="1275"/>
        <v>1308085</v>
      </c>
      <c r="V2391" s="92">
        <f t="shared" si="1276"/>
        <v>1489105</v>
      </c>
      <c r="W2391" s="92">
        <f t="shared" si="1277"/>
        <v>2256285</v>
      </c>
      <c r="X2391" s="92">
        <f t="shared" si="1278"/>
        <v>1941655</v>
      </c>
      <c r="Y2391" s="92">
        <f t="shared" si="1279"/>
        <v>1991220</v>
      </c>
      <c r="Z2391" s="92">
        <f t="shared" si="1280"/>
        <v>2230425</v>
      </c>
      <c r="AA2391" s="92">
        <f t="shared" si="1281"/>
        <v>2185170</v>
      </c>
      <c r="AB2391" s="92">
        <f t="shared" si="1282"/>
        <v>2187325</v>
      </c>
      <c r="AC2391" s="92">
        <f t="shared" si="1287"/>
        <v>2368345</v>
      </c>
      <c r="AD2391" s="92">
        <f t="shared" si="1340"/>
        <v>2461010</v>
      </c>
      <c r="AE2391" s="92">
        <f t="shared" si="1288"/>
        <v>2312315</v>
      </c>
      <c r="AF2391" s="92">
        <f t="shared" si="1289"/>
        <v>2236890</v>
      </c>
      <c r="AG2391" s="92">
        <f t="shared" si="1283"/>
        <v>2665735</v>
      </c>
      <c r="AH2391" s="92">
        <f t="shared" si="1290"/>
        <v>2344640</v>
      </c>
      <c r="AI2391" s="92">
        <f t="shared" si="1291"/>
        <v>2353260</v>
      </c>
      <c r="AJ2391" s="92">
        <f t="shared" si="1292"/>
        <v>2407135</v>
      </c>
      <c r="AK2391" s="92">
        <f t="shared" si="1293"/>
        <v>2191635</v>
      </c>
      <c r="AL2391" s="92">
        <f t="shared" si="1294"/>
        <v>2120520</v>
      </c>
      <c r="AM2391" s="92">
        <f t="shared" si="1295"/>
        <v>2010615</v>
      </c>
      <c r="AN2391" s="92">
        <f t="shared" si="1296"/>
        <v>2189480</v>
      </c>
      <c r="AO2391" s="92">
        <f t="shared" si="1297"/>
        <v>2126985</v>
      </c>
      <c r="AP2391" s="92">
        <f t="shared" si="1298"/>
        <v>2385585</v>
      </c>
      <c r="AQ2391" s="92">
        <f t="shared" si="1299"/>
        <v>2157155</v>
      </c>
      <c r="AR2391" s="92">
        <f t="shared" si="1300"/>
        <v>2361880</v>
      </c>
      <c r="AS2391" s="92">
        <f t="shared" si="1301"/>
        <v>2021390</v>
      </c>
      <c r="AT2391" s="92">
        <f t="shared" si="1302"/>
        <v>1814510</v>
      </c>
      <c r="AU2391" s="92">
        <f t="shared" si="1303"/>
        <v>2308005</v>
      </c>
      <c r="AV2391" s="92">
        <f t="shared" si="1304"/>
        <v>2344640</v>
      </c>
      <c r="AW2391" s="92">
        <f t="shared" si="1305"/>
        <v>2124830</v>
      </c>
      <c r="AX2391" s="92">
        <f t="shared" si="1306"/>
        <v>2342485</v>
      </c>
      <c r="AY2391" s="92">
        <f t="shared" si="1307"/>
        <v>2042940</v>
      </c>
      <c r="AZ2391" s="92">
        <f t="shared" si="1308"/>
        <v>2204565</v>
      </c>
      <c r="BA2391" s="92">
        <f t="shared" si="1309"/>
        <v>2152845</v>
      </c>
      <c r="BB2391" s="92">
        <f t="shared" si="1310"/>
        <v>2346795</v>
      </c>
      <c r="BC2391" s="92">
        <f t="shared" si="1311"/>
        <v>1719690</v>
      </c>
      <c r="BD2391" s="92">
        <f t="shared" si="1312"/>
        <v>2001995</v>
      </c>
      <c r="BE2391" s="92">
        <f t="shared" si="1284"/>
        <v>1937345</v>
      </c>
      <c r="BF2391" s="92">
        <f t="shared" si="1285"/>
        <v>1976135</v>
      </c>
      <c r="BG2391" s="92">
        <f t="shared" si="1286"/>
        <v>1756325</v>
      </c>
      <c r="BH2391" s="92">
        <f t="shared" si="1313"/>
        <v>1881315</v>
      </c>
      <c r="BI2391" s="92">
        <f t="shared" si="1314"/>
        <v>1905020</v>
      </c>
      <c r="BJ2391" s="92">
        <f t="shared" si="1315"/>
        <v>1762790</v>
      </c>
      <c r="BK2391" s="92">
        <f t="shared" si="1316"/>
        <v>2176550</v>
      </c>
      <c r="BL2391" s="92">
        <f t="shared" si="1317"/>
        <v>1980445</v>
      </c>
      <c r="BM2391" s="92">
        <f t="shared" si="1318"/>
        <v>1911485</v>
      </c>
      <c r="BN2391" s="92">
        <f t="shared" si="1319"/>
        <v>2219650</v>
      </c>
      <c r="BO2391" s="92">
        <f t="shared" si="1320"/>
        <v>2292920</v>
      </c>
      <c r="BP2391" s="92">
        <f t="shared" si="1321"/>
        <v>2385032</v>
      </c>
      <c r="BQ2391" s="92">
        <f t="shared" si="1322"/>
        <v>2397102</v>
      </c>
      <c r="BR2391" s="92">
        <f t="shared" si="1323"/>
        <v>2462280</v>
      </c>
      <c r="BS2391" s="92">
        <f t="shared" si="1324"/>
        <v>2080868</v>
      </c>
      <c r="BT2391" s="92">
        <f t="shared" si="1325"/>
        <v>1820156</v>
      </c>
      <c r="BU2391" s="92">
        <f t="shared" si="1326"/>
        <v>1361496</v>
      </c>
      <c r="BV2391" s="92">
        <f t="shared" si="1327"/>
        <v>1687386</v>
      </c>
      <c r="BW2391" s="92">
        <f t="shared" si="1328"/>
        <v>1986722</v>
      </c>
      <c r="BX2391" s="92">
        <f t="shared" si="1329"/>
        <v>2080868</v>
      </c>
      <c r="BY2391" s="92">
        <f t="shared" si="1330"/>
        <v>2121906</v>
      </c>
      <c r="BZ2391" s="92">
        <f t="shared" si="1331"/>
        <v>2201568</v>
      </c>
      <c r="CA2391" s="92">
        <f t="shared" si="1332"/>
        <v>2150874</v>
      </c>
      <c r="CB2391" s="92">
        <f t="shared" si="1333"/>
        <v>2073626</v>
      </c>
      <c r="CC2391" s="92">
        <f t="shared" si="1334"/>
        <v>2266746</v>
      </c>
      <c r="CD2391" s="92">
        <f t="shared" si="1335"/>
        <v>2237778</v>
      </c>
      <c r="CE2391" s="92">
        <f t="shared" si="1336"/>
        <v>2353650</v>
      </c>
      <c r="CF2391" s="92">
        <f t="shared" si="1337"/>
        <v>2170186</v>
      </c>
      <c r="CG2391" s="92">
        <f t="shared" si="1338"/>
        <v>2486420</v>
      </c>
      <c r="CH2391" s="92">
        <f t="shared" si="1339"/>
        <v>1448400</v>
      </c>
      <c r="CI2391" s="94">
        <f>2155*CI2367</f>
        <v>169695475</v>
      </c>
      <c r="CJ2391" s="139">
        <f>'PEPE SIERRA '!$CI2391/85</f>
        <v>1996417.3529411764</v>
      </c>
    </row>
    <row r="2392" spans="1:88" x14ac:dyDescent="0.25">
      <c r="A2392" s="218" t="s">
        <v>32</v>
      </c>
      <c r="B2392" s="199">
        <f t="shared" ref="B2392:L2392" si="1350">B2390+B2391</f>
        <v>4280431.0344827585</v>
      </c>
      <c r="C2392" s="199">
        <f t="shared" si="1350"/>
        <v>41798103.448275864</v>
      </c>
      <c r="D2392" s="199">
        <f t="shared" si="1350"/>
        <v>42167844.827586211</v>
      </c>
      <c r="E2392" s="199">
        <f t="shared" si="1350"/>
        <v>50164051.72413794</v>
      </c>
      <c r="F2392" s="199">
        <f t="shared" si="1350"/>
        <v>44779741.379310347</v>
      </c>
      <c r="G2392" s="199">
        <f t="shared" si="1350"/>
        <v>49915775.862068973</v>
      </c>
      <c r="H2392" s="199">
        <f t="shared" si="1350"/>
        <v>46404828.448275864</v>
      </c>
      <c r="I2392" s="199">
        <f t="shared" si="1350"/>
        <v>49199827.586206898</v>
      </c>
      <c r="J2392" s="199">
        <f t="shared" si="1265"/>
        <v>48892155.172413796</v>
      </c>
      <c r="K2392" s="199">
        <f t="shared" si="1350"/>
        <v>44050948.275862068</v>
      </c>
      <c r="L2392" s="199">
        <f t="shared" si="1350"/>
        <v>52777241.379310347</v>
      </c>
      <c r="M2392" s="199">
        <f t="shared" si="1267"/>
        <v>57419913.793103456</v>
      </c>
      <c r="N2392" s="199">
        <f t="shared" si="1268"/>
        <v>48898362.068965524</v>
      </c>
      <c r="O2392" s="199">
        <f t="shared" si="1269"/>
        <v>56953103.448275872</v>
      </c>
      <c r="P2392" s="199">
        <f t="shared" si="1270"/>
        <v>51185775.862068973</v>
      </c>
      <c r="Q2392" s="199">
        <f t="shared" si="1271"/>
        <v>54645000</v>
      </c>
      <c r="R2392" s="199">
        <f t="shared" si="1272"/>
        <v>59146637.93103449</v>
      </c>
      <c r="S2392" s="199">
        <f t="shared" si="1273"/>
        <v>49169137.931034483</v>
      </c>
      <c r="T2392" s="199">
        <f t="shared" si="1274"/>
        <v>46688275.862068966</v>
      </c>
      <c r="U2392" s="199">
        <f t="shared" si="1275"/>
        <v>39761896.551724136</v>
      </c>
      <c r="V2392" s="199">
        <f t="shared" si="1276"/>
        <v>41661120.68965517</v>
      </c>
      <c r="W2392" s="199">
        <f t="shared" si="1277"/>
        <v>53055689.655172423</v>
      </c>
      <c r="X2392" s="199">
        <f t="shared" si="1278"/>
        <v>47704655.172413796</v>
      </c>
      <c r="Y2392" s="199">
        <f t="shared" si="1279"/>
        <v>48914051.724137932</v>
      </c>
      <c r="Z2392" s="199">
        <f t="shared" si="1280"/>
        <v>51727758.620689668</v>
      </c>
      <c r="AA2392" s="199">
        <f t="shared" si="1281"/>
        <v>50636724.137931034</v>
      </c>
      <c r="AB2392" s="199">
        <f t="shared" si="1282"/>
        <v>48463534.482758626</v>
      </c>
      <c r="AC2392" s="199">
        <f t="shared" si="1287"/>
        <v>51575689.655172423</v>
      </c>
      <c r="AD2392" s="199">
        <f t="shared" si="1340"/>
        <v>56570258.62068966</v>
      </c>
      <c r="AE2392" s="199">
        <f t="shared" si="1288"/>
        <v>51164913.793103456</v>
      </c>
      <c r="AF2392" s="199">
        <f t="shared" si="1289"/>
        <v>51453706.896551728</v>
      </c>
      <c r="AG2392" s="199">
        <f t="shared" si="1283"/>
        <v>62142672.413793109</v>
      </c>
      <c r="AH2392" s="199">
        <f t="shared" si="1290"/>
        <v>53914224.137931041</v>
      </c>
      <c r="AI2392" s="199">
        <f t="shared" si="1291"/>
        <v>52613534.482758619</v>
      </c>
      <c r="AJ2392" s="199">
        <f t="shared" si="1292"/>
        <v>52611724.137931034</v>
      </c>
      <c r="AK2392" s="199">
        <f t="shared" si="1293"/>
        <v>52869137.931034483</v>
      </c>
      <c r="AL2392" s="199">
        <f t="shared" si="1294"/>
        <v>47500603.448275864</v>
      </c>
      <c r="AM2392" s="199">
        <f t="shared" si="1295"/>
        <v>45302758.620689653</v>
      </c>
      <c r="AN2392" s="199">
        <f t="shared" si="1296"/>
        <v>51261637.93103449</v>
      </c>
      <c r="AO2392" s="199">
        <f t="shared" si="1297"/>
        <v>51813534.482758626</v>
      </c>
      <c r="AP2392" s="199">
        <f t="shared" si="1298"/>
        <v>52139137.93103449</v>
      </c>
      <c r="AQ2392" s="199">
        <f t="shared" si="1299"/>
        <v>47586120.689655177</v>
      </c>
      <c r="AR2392" s="199">
        <f t="shared" si="1300"/>
        <v>52947931.034482762</v>
      </c>
      <c r="AS2392" s="199">
        <f t="shared" si="1301"/>
        <v>46905948.275862068</v>
      </c>
      <c r="AT2392" s="199">
        <f t="shared" si="1302"/>
        <v>41417672.413793109</v>
      </c>
      <c r="AU2392" s="199">
        <f t="shared" si="1303"/>
        <v>51345000.000000007</v>
      </c>
      <c r="AV2392" s="199">
        <f t="shared" si="1304"/>
        <v>54082672.413793102</v>
      </c>
      <c r="AW2392" s="199">
        <f t="shared" si="1305"/>
        <v>44957500.000000007</v>
      </c>
      <c r="AX2392" s="199">
        <f t="shared" si="1306"/>
        <v>51015862.068965524</v>
      </c>
      <c r="AY2392" s="199">
        <f t="shared" si="1307"/>
        <v>45815344.827586211</v>
      </c>
      <c r="AZ2392" s="199">
        <f t="shared" si="1308"/>
        <v>48436034.482758626</v>
      </c>
      <c r="BA2392" s="199">
        <f t="shared" si="1309"/>
        <v>45482500</v>
      </c>
      <c r="BB2392" s="199">
        <f t="shared" si="1310"/>
        <v>48932327.586206898</v>
      </c>
      <c r="BC2392" s="199">
        <f t="shared" si="1311"/>
        <v>37562241.379310347</v>
      </c>
      <c r="BD2392" s="199">
        <f t="shared" si="1312"/>
        <v>43125000</v>
      </c>
      <c r="BE2392" s="199">
        <f t="shared" si="1284"/>
        <v>41153534.482758626</v>
      </c>
      <c r="BF2392" s="199">
        <f t="shared" si="1285"/>
        <v>41682025.862068966</v>
      </c>
      <c r="BG2392" s="199">
        <f t="shared" si="1286"/>
        <v>38176293.103448279</v>
      </c>
      <c r="BH2392" s="199">
        <f t="shared" si="1313"/>
        <v>42737155.172413796</v>
      </c>
      <c r="BI2392" s="199">
        <f t="shared" si="1314"/>
        <v>39726896.551724136</v>
      </c>
      <c r="BJ2392" s="199">
        <f t="shared" si="1315"/>
        <v>39493534.482758626</v>
      </c>
      <c r="BK2392" s="199">
        <f t="shared" si="1316"/>
        <v>45530689.655172415</v>
      </c>
      <c r="BL2392" s="199">
        <f t="shared" si="1317"/>
        <v>42504568.965517245</v>
      </c>
      <c r="BM2392" s="199">
        <f t="shared" si="1318"/>
        <v>39628534.482758626</v>
      </c>
      <c r="BN2392" s="199">
        <f t="shared" si="1319"/>
        <v>45698534.482758626</v>
      </c>
      <c r="BO2392" s="199">
        <f t="shared" si="1320"/>
        <v>46335689.655172423</v>
      </c>
      <c r="BP2392" s="199">
        <f t="shared" si="1321"/>
        <v>43576465.517241381</v>
      </c>
      <c r="BQ2392" s="199">
        <f t="shared" si="1322"/>
        <v>44118879.31034483</v>
      </c>
      <c r="BR2392" s="199">
        <f t="shared" si="1323"/>
        <v>47165603.448275864</v>
      </c>
      <c r="BS2392" s="199">
        <f t="shared" si="1324"/>
        <v>39983362.068965517</v>
      </c>
      <c r="BT2392" s="199">
        <f t="shared" si="1325"/>
        <v>36390086.206896551</v>
      </c>
      <c r="BU2392" s="199">
        <f t="shared" si="1326"/>
        <v>28609827.586206894</v>
      </c>
      <c r="BV2392" s="199">
        <f t="shared" si="1327"/>
        <v>32487241.379310347</v>
      </c>
      <c r="BW2392" s="199">
        <f t="shared" si="1328"/>
        <v>37934568.965517245</v>
      </c>
      <c r="BX2392" s="199">
        <f t="shared" si="1329"/>
        <v>37975172.413793102</v>
      </c>
      <c r="BY2392" s="199">
        <f t="shared" si="1330"/>
        <v>39142327.586206898</v>
      </c>
      <c r="BZ2392" s="199">
        <f t="shared" si="1331"/>
        <v>41179784.482758626</v>
      </c>
      <c r="CA2392" s="199">
        <f t="shared" si="1332"/>
        <v>38346896.551724136</v>
      </c>
      <c r="CB2392" s="199">
        <f t="shared" si="1333"/>
        <v>37805603.448275864</v>
      </c>
      <c r="CC2392" s="199">
        <f t="shared" si="1334"/>
        <v>41708534.482758626</v>
      </c>
      <c r="CD2392" s="199">
        <f t="shared" si="1335"/>
        <v>40098103.448275864</v>
      </c>
      <c r="CE2392" s="199">
        <f t="shared" si="1336"/>
        <v>42409568.965517245</v>
      </c>
      <c r="CF2392" s="199">
        <f t="shared" si="1337"/>
        <v>37963965.517241381</v>
      </c>
      <c r="CG2392" s="199">
        <f t="shared" si="1338"/>
        <v>43175560.344827592</v>
      </c>
      <c r="CH2392" s="199">
        <f t="shared" si="1339"/>
        <v>27858189.655172419</v>
      </c>
      <c r="CI2392" s="199">
        <f>CI2390+CI2391</f>
        <v>3869338190.999999</v>
      </c>
      <c r="CJ2392" s="284">
        <f>'PEPE SIERRA '!$CI2392/85</f>
        <v>45521625.776470579</v>
      </c>
    </row>
    <row r="2393" spans="1:88" x14ac:dyDescent="0.25">
      <c r="A2393" s="212" t="s">
        <v>33</v>
      </c>
      <c r="B2393" s="94">
        <f t="shared" ref="B2393:L2393" si="1351">B2392*16%</f>
        <v>684868.96551724139</v>
      </c>
      <c r="C2393" s="94">
        <f t="shared" si="1351"/>
        <v>6687696.5517241387</v>
      </c>
      <c r="D2393" s="94">
        <f t="shared" si="1351"/>
        <v>6746855.1724137943</v>
      </c>
      <c r="E2393" s="94">
        <f t="shared" si="1351"/>
        <v>8026248.2758620707</v>
      </c>
      <c r="F2393" s="94">
        <f t="shared" si="1351"/>
        <v>7164758.6206896557</v>
      </c>
      <c r="G2393" s="94">
        <f t="shared" si="1351"/>
        <v>7986524.1379310358</v>
      </c>
      <c r="H2393" s="94">
        <f t="shared" si="1351"/>
        <v>7424772.5517241387</v>
      </c>
      <c r="I2393" s="94">
        <f t="shared" si="1351"/>
        <v>7871972.4137931038</v>
      </c>
      <c r="J2393" s="92">
        <f t="shared" si="1265"/>
        <v>7822744.8275862075</v>
      </c>
      <c r="K2393" s="94">
        <f t="shared" si="1351"/>
        <v>7048151.7241379311</v>
      </c>
      <c r="L2393" s="94">
        <f t="shared" si="1351"/>
        <v>8444358.6206896566</v>
      </c>
      <c r="M2393" s="94">
        <f t="shared" si="1267"/>
        <v>9187186.2068965528</v>
      </c>
      <c r="N2393" s="94">
        <f t="shared" si="1268"/>
        <v>7823737.9310344839</v>
      </c>
      <c r="O2393" s="94">
        <f t="shared" si="1269"/>
        <v>9112496.5517241396</v>
      </c>
      <c r="P2393" s="94">
        <f t="shared" si="1270"/>
        <v>8189724.1379310358</v>
      </c>
      <c r="Q2393" s="94">
        <f t="shared" si="1271"/>
        <v>8743200</v>
      </c>
      <c r="R2393" s="94">
        <f t="shared" si="1272"/>
        <v>9463462.0689655188</v>
      </c>
      <c r="S2393" s="94">
        <f t="shared" si="1273"/>
        <v>7867062.068965517</v>
      </c>
      <c r="T2393" s="94">
        <f t="shared" si="1274"/>
        <v>7470124.1379310349</v>
      </c>
      <c r="U2393" s="94">
        <f t="shared" si="1275"/>
        <v>6361903.4482758623</v>
      </c>
      <c r="V2393" s="94">
        <f t="shared" si="1276"/>
        <v>6665779.3103448274</v>
      </c>
      <c r="W2393" s="94">
        <f t="shared" si="1277"/>
        <v>8488910.3448275886</v>
      </c>
      <c r="X2393" s="94">
        <f t="shared" si="1278"/>
        <v>7632744.8275862075</v>
      </c>
      <c r="Y2393" s="94">
        <f t="shared" si="1279"/>
        <v>7826248.2758620689</v>
      </c>
      <c r="Z2393" s="94">
        <f t="shared" si="1280"/>
        <v>8276441.3793103471</v>
      </c>
      <c r="AA2393" s="94">
        <f t="shared" si="1281"/>
        <v>8101875.862068966</v>
      </c>
      <c r="AB2393" s="94">
        <f t="shared" si="1282"/>
        <v>7754165.5172413802</v>
      </c>
      <c r="AC2393" s="94">
        <f t="shared" si="1287"/>
        <v>8252110.3448275877</v>
      </c>
      <c r="AD2393" s="94">
        <f t="shared" si="1340"/>
        <v>9051241.3793103453</v>
      </c>
      <c r="AE2393" s="94">
        <f t="shared" si="1288"/>
        <v>8186386.2068965528</v>
      </c>
      <c r="AF2393" s="94">
        <f t="shared" si="1289"/>
        <v>8232593.1034482764</v>
      </c>
      <c r="AG2393" s="94">
        <f t="shared" si="1283"/>
        <v>9942827.5862068981</v>
      </c>
      <c r="AH2393" s="94">
        <f t="shared" si="1290"/>
        <v>8626275.862068966</v>
      </c>
      <c r="AI2393" s="94">
        <f t="shared" si="1291"/>
        <v>8418165.5172413792</v>
      </c>
      <c r="AJ2393" s="94">
        <f t="shared" si="1292"/>
        <v>8417875.862068966</v>
      </c>
      <c r="AK2393" s="94">
        <f t="shared" si="1293"/>
        <v>8459062.068965517</v>
      </c>
      <c r="AL2393" s="94">
        <f t="shared" si="1294"/>
        <v>7600096.5517241387</v>
      </c>
      <c r="AM2393" s="94">
        <f t="shared" si="1295"/>
        <v>7248441.3793103443</v>
      </c>
      <c r="AN2393" s="94">
        <f t="shared" si="1296"/>
        <v>8201862.0689655188</v>
      </c>
      <c r="AO2393" s="94">
        <f t="shared" si="1297"/>
        <v>8290165.5172413802</v>
      </c>
      <c r="AP2393" s="94">
        <f t="shared" si="1298"/>
        <v>8342262.0689655188</v>
      </c>
      <c r="AQ2393" s="94">
        <f t="shared" si="1299"/>
        <v>7613779.3103448283</v>
      </c>
      <c r="AR2393" s="94">
        <f t="shared" si="1300"/>
        <v>8471668.9655172415</v>
      </c>
      <c r="AS2393" s="94">
        <f t="shared" si="1301"/>
        <v>7504951.7241379311</v>
      </c>
      <c r="AT2393" s="94">
        <f t="shared" si="1302"/>
        <v>6626827.5862068981</v>
      </c>
      <c r="AU2393" s="94">
        <f t="shared" si="1303"/>
        <v>8215200.0000000009</v>
      </c>
      <c r="AV2393" s="94">
        <f t="shared" si="1304"/>
        <v>8653227.5862068962</v>
      </c>
      <c r="AW2393" s="94">
        <f t="shared" si="1305"/>
        <v>7193200.0000000009</v>
      </c>
      <c r="AX2393" s="94">
        <f t="shared" si="1306"/>
        <v>8162537.9310344839</v>
      </c>
      <c r="AY2393" s="94">
        <f t="shared" si="1307"/>
        <v>7330455.1724137943</v>
      </c>
      <c r="AZ2393" s="94">
        <f t="shared" si="1308"/>
        <v>7749765.5172413802</v>
      </c>
      <c r="BA2393" s="94">
        <f t="shared" si="1309"/>
        <v>7277200</v>
      </c>
      <c r="BB2393" s="94">
        <f t="shared" si="1310"/>
        <v>7829172.4137931038</v>
      </c>
      <c r="BC2393" s="94">
        <f t="shared" si="1311"/>
        <v>6009958.6206896557</v>
      </c>
      <c r="BD2393" s="94">
        <f t="shared" si="1312"/>
        <v>6900000</v>
      </c>
      <c r="BE2393" s="94">
        <f t="shared" si="1284"/>
        <v>6584565.5172413802</v>
      </c>
      <c r="BF2393" s="94">
        <f t="shared" si="1285"/>
        <v>6669124.1379310349</v>
      </c>
      <c r="BG2393" s="94">
        <f t="shared" si="1286"/>
        <v>6108206.8965517245</v>
      </c>
      <c r="BH2393" s="94">
        <f t="shared" si="1313"/>
        <v>6837944.8275862075</v>
      </c>
      <c r="BI2393" s="94">
        <f t="shared" si="1314"/>
        <v>6356303.4482758623</v>
      </c>
      <c r="BJ2393" s="94">
        <f t="shared" si="1315"/>
        <v>6318965.5172413802</v>
      </c>
      <c r="BK2393" s="94">
        <f t="shared" si="1316"/>
        <v>7284910.3448275868</v>
      </c>
      <c r="BL2393" s="94">
        <f t="shared" si="1317"/>
        <v>6800731.0344827594</v>
      </c>
      <c r="BM2393" s="94">
        <f t="shared" si="1318"/>
        <v>6340565.5172413802</v>
      </c>
      <c r="BN2393" s="94">
        <f t="shared" si="1319"/>
        <v>7311765.5172413802</v>
      </c>
      <c r="BO2393" s="94">
        <f t="shared" si="1320"/>
        <v>7413710.3448275877</v>
      </c>
      <c r="BP2393" s="94">
        <f t="shared" si="1321"/>
        <v>6972234.4827586208</v>
      </c>
      <c r="BQ2393" s="94">
        <f t="shared" si="1322"/>
        <v>7059020.6896551726</v>
      </c>
      <c r="BR2393" s="94">
        <f t="shared" si="1323"/>
        <v>7546496.5517241387</v>
      </c>
      <c r="BS2393" s="94">
        <f t="shared" si="1324"/>
        <v>6397337.931034483</v>
      </c>
      <c r="BT2393" s="94">
        <f t="shared" si="1325"/>
        <v>5822413.7931034481</v>
      </c>
      <c r="BU2393" s="94">
        <f t="shared" si="1326"/>
        <v>4577572.4137931028</v>
      </c>
      <c r="BV2393" s="94">
        <f t="shared" si="1327"/>
        <v>5197958.6206896557</v>
      </c>
      <c r="BW2393" s="94">
        <f t="shared" si="1328"/>
        <v>6069531.0344827594</v>
      </c>
      <c r="BX2393" s="94">
        <f t="shared" si="1329"/>
        <v>6076027.5862068962</v>
      </c>
      <c r="BY2393" s="94">
        <f t="shared" si="1330"/>
        <v>6262772.4137931038</v>
      </c>
      <c r="BZ2393" s="94">
        <f t="shared" si="1331"/>
        <v>6588765.5172413802</v>
      </c>
      <c r="CA2393" s="94">
        <f t="shared" si="1332"/>
        <v>6135503.4482758623</v>
      </c>
      <c r="CB2393" s="94">
        <f t="shared" si="1333"/>
        <v>6048896.5517241387</v>
      </c>
      <c r="CC2393" s="94">
        <f t="shared" si="1334"/>
        <v>6673365.5172413802</v>
      </c>
      <c r="CD2393" s="94">
        <f t="shared" si="1335"/>
        <v>6415696.5517241387</v>
      </c>
      <c r="CE2393" s="94">
        <f t="shared" si="1336"/>
        <v>6785531.0344827594</v>
      </c>
      <c r="CF2393" s="94">
        <f t="shared" si="1337"/>
        <v>6074234.4827586208</v>
      </c>
      <c r="CG2393" s="94">
        <f t="shared" si="1338"/>
        <v>6908089.6551724151</v>
      </c>
      <c r="CH2393" s="94">
        <f t="shared" si="1339"/>
        <v>4457310.3448275868</v>
      </c>
      <c r="CI2393" s="94">
        <f>CI2392*16%</f>
        <v>619094110.55999982</v>
      </c>
      <c r="CJ2393" s="139">
        <f>'PEPE SIERRA '!$CI2393/85</f>
        <v>7283460.124235292</v>
      </c>
    </row>
    <row r="2394" spans="1:88" x14ac:dyDescent="0.25">
      <c r="A2394" s="220" t="s">
        <v>34</v>
      </c>
      <c r="B2394" s="202">
        <f t="shared" ref="B2394:L2394" si="1352">B2392+B2393</f>
        <v>4965300</v>
      </c>
      <c r="C2394" s="202">
        <f t="shared" si="1352"/>
        <v>48485800</v>
      </c>
      <c r="D2394" s="202">
        <f t="shared" si="1352"/>
        <v>48914700.000000007</v>
      </c>
      <c r="E2394" s="202">
        <f t="shared" si="1352"/>
        <v>58190300.000000007</v>
      </c>
      <c r="F2394" s="202">
        <f t="shared" si="1352"/>
        <v>51944500</v>
      </c>
      <c r="G2394" s="202">
        <f t="shared" si="1352"/>
        <v>57902300.000000007</v>
      </c>
      <c r="H2394" s="202">
        <f t="shared" si="1352"/>
        <v>53829601</v>
      </c>
      <c r="I2394" s="202">
        <f t="shared" si="1352"/>
        <v>57071800</v>
      </c>
      <c r="J2394" s="202">
        <f t="shared" si="1265"/>
        <v>56714900</v>
      </c>
      <c r="K2394" s="202">
        <f t="shared" si="1352"/>
        <v>51099100</v>
      </c>
      <c r="L2394" s="202">
        <f t="shared" si="1352"/>
        <v>61221600</v>
      </c>
      <c r="M2394" s="202">
        <f t="shared" si="1267"/>
        <v>66607100.000000007</v>
      </c>
      <c r="N2394" s="202">
        <f t="shared" si="1268"/>
        <v>56722100.000000007</v>
      </c>
      <c r="O2394" s="202">
        <f t="shared" si="1269"/>
        <v>66065600.000000015</v>
      </c>
      <c r="P2394" s="202">
        <f t="shared" si="1270"/>
        <v>59375500.000000007</v>
      </c>
      <c r="Q2394" s="202">
        <f t="shared" si="1271"/>
        <v>63388200</v>
      </c>
      <c r="R2394" s="202">
        <f t="shared" si="1272"/>
        <v>68610100.000000015</v>
      </c>
      <c r="S2394" s="202">
        <f t="shared" si="1273"/>
        <v>57036200</v>
      </c>
      <c r="T2394" s="202">
        <f t="shared" si="1274"/>
        <v>54158400</v>
      </c>
      <c r="U2394" s="202">
        <f t="shared" si="1275"/>
        <v>46123800</v>
      </c>
      <c r="V2394" s="202">
        <f t="shared" si="1276"/>
        <v>48326900</v>
      </c>
      <c r="W2394" s="202">
        <f t="shared" si="1277"/>
        <v>61544600.000000015</v>
      </c>
      <c r="X2394" s="202">
        <f t="shared" si="1278"/>
        <v>55337400</v>
      </c>
      <c r="Y2394" s="202">
        <f t="shared" si="1279"/>
        <v>56740300</v>
      </c>
      <c r="Z2394" s="202">
        <f t="shared" si="1280"/>
        <v>60004200.000000015</v>
      </c>
      <c r="AA2394" s="202">
        <f t="shared" si="1281"/>
        <v>58738600</v>
      </c>
      <c r="AB2394" s="202">
        <f t="shared" si="1282"/>
        <v>56217700.000000007</v>
      </c>
      <c r="AC2394" s="202">
        <f t="shared" si="1287"/>
        <v>59827800.000000007</v>
      </c>
      <c r="AD2394" s="202">
        <f t="shared" si="1340"/>
        <v>65621500.000000007</v>
      </c>
      <c r="AE2394" s="202">
        <f t="shared" si="1288"/>
        <v>59351300.000000007</v>
      </c>
      <c r="AF2394" s="202">
        <f t="shared" si="1289"/>
        <v>59686300.000000007</v>
      </c>
      <c r="AG2394" s="202">
        <f t="shared" si="1283"/>
        <v>72085500</v>
      </c>
      <c r="AH2394" s="202">
        <f t="shared" si="1290"/>
        <v>62540500.000000007</v>
      </c>
      <c r="AI2394" s="202">
        <f t="shared" si="1291"/>
        <v>61031700</v>
      </c>
      <c r="AJ2394" s="202">
        <f t="shared" si="1292"/>
        <v>61029600</v>
      </c>
      <c r="AK2394" s="202">
        <f t="shared" si="1293"/>
        <v>61328200</v>
      </c>
      <c r="AL2394" s="202">
        <f t="shared" si="1294"/>
        <v>55100700</v>
      </c>
      <c r="AM2394" s="202">
        <f t="shared" si="1295"/>
        <v>52551200</v>
      </c>
      <c r="AN2394" s="202">
        <f t="shared" si="1296"/>
        <v>59463500.000000007</v>
      </c>
      <c r="AO2394" s="202">
        <f t="shared" si="1297"/>
        <v>60103700.000000007</v>
      </c>
      <c r="AP2394" s="202">
        <f t="shared" si="1298"/>
        <v>60481400.000000007</v>
      </c>
      <c r="AQ2394" s="202">
        <f t="shared" si="1299"/>
        <v>55199900.000000007</v>
      </c>
      <c r="AR2394" s="202">
        <f t="shared" si="1300"/>
        <v>61419600</v>
      </c>
      <c r="AS2394" s="202">
        <f t="shared" si="1301"/>
        <v>54410900</v>
      </c>
      <c r="AT2394" s="202">
        <f t="shared" si="1302"/>
        <v>48044500.000000007</v>
      </c>
      <c r="AU2394" s="202">
        <f t="shared" si="1303"/>
        <v>59560200.000000007</v>
      </c>
      <c r="AV2394" s="202">
        <f t="shared" si="1304"/>
        <v>62735900</v>
      </c>
      <c r="AW2394" s="202">
        <f t="shared" si="1305"/>
        <v>52150700.000000007</v>
      </c>
      <c r="AX2394" s="202">
        <f t="shared" si="1306"/>
        <v>59178400.000000007</v>
      </c>
      <c r="AY2394" s="202">
        <f t="shared" si="1307"/>
        <v>53145800.000000007</v>
      </c>
      <c r="AZ2394" s="202">
        <f t="shared" si="1308"/>
        <v>56185800.000000007</v>
      </c>
      <c r="BA2394" s="202">
        <f t="shared" si="1309"/>
        <v>52759700</v>
      </c>
      <c r="BB2394" s="202">
        <f t="shared" si="1310"/>
        <v>56761500</v>
      </c>
      <c r="BC2394" s="202">
        <f t="shared" si="1311"/>
        <v>43572200</v>
      </c>
      <c r="BD2394" s="202">
        <f t="shared" si="1312"/>
        <v>50025000</v>
      </c>
      <c r="BE2394" s="202">
        <f t="shared" si="1284"/>
        <v>47738100.000000007</v>
      </c>
      <c r="BF2394" s="202">
        <f t="shared" si="1285"/>
        <v>48351150</v>
      </c>
      <c r="BG2394" s="202">
        <f t="shared" si="1286"/>
        <v>44284500</v>
      </c>
      <c r="BH2394" s="202">
        <f t="shared" si="1313"/>
        <v>49575100</v>
      </c>
      <c r="BI2394" s="202">
        <f t="shared" si="1314"/>
        <v>46083200</v>
      </c>
      <c r="BJ2394" s="202">
        <f t="shared" si="1315"/>
        <v>45812500.000000007</v>
      </c>
      <c r="BK2394" s="202">
        <f t="shared" si="1316"/>
        <v>52815600</v>
      </c>
      <c r="BL2394" s="202">
        <f t="shared" si="1317"/>
        <v>49305300.000000007</v>
      </c>
      <c r="BM2394" s="202">
        <f t="shared" si="1318"/>
        <v>45969100.000000007</v>
      </c>
      <c r="BN2394" s="202">
        <f t="shared" si="1319"/>
        <v>53010300.000000007</v>
      </c>
      <c r="BO2394" s="202">
        <f t="shared" si="1320"/>
        <v>53749400.000000007</v>
      </c>
      <c r="BP2394" s="202">
        <f t="shared" si="1321"/>
        <v>50548700</v>
      </c>
      <c r="BQ2394" s="202">
        <f t="shared" si="1322"/>
        <v>51177900</v>
      </c>
      <c r="BR2394" s="202">
        <f t="shared" si="1323"/>
        <v>54712100</v>
      </c>
      <c r="BS2394" s="202">
        <f t="shared" si="1324"/>
        <v>46380700</v>
      </c>
      <c r="BT2394" s="202">
        <f t="shared" si="1325"/>
        <v>42212500</v>
      </c>
      <c r="BU2394" s="202">
        <f t="shared" si="1326"/>
        <v>33187399.999999996</v>
      </c>
      <c r="BV2394" s="202">
        <f t="shared" si="1327"/>
        <v>37685200</v>
      </c>
      <c r="BW2394" s="202">
        <f t="shared" si="1328"/>
        <v>44004100.000000007</v>
      </c>
      <c r="BX2394" s="202">
        <f t="shared" si="1329"/>
        <v>44051200</v>
      </c>
      <c r="BY2394" s="202">
        <f t="shared" si="1330"/>
        <v>45405100</v>
      </c>
      <c r="BZ2394" s="202">
        <f t="shared" si="1331"/>
        <v>47768550.000000007</v>
      </c>
      <c r="CA2394" s="202">
        <f t="shared" si="1332"/>
        <v>44482400</v>
      </c>
      <c r="CB2394" s="202">
        <f t="shared" si="1333"/>
        <v>43854500</v>
      </c>
      <c r="CC2394" s="202">
        <f t="shared" si="1334"/>
        <v>48381900.000000007</v>
      </c>
      <c r="CD2394" s="202">
        <f t="shared" si="1335"/>
        <v>46513800</v>
      </c>
      <c r="CE2394" s="202">
        <f t="shared" si="1336"/>
        <v>49195100.000000007</v>
      </c>
      <c r="CF2394" s="202">
        <f t="shared" si="1337"/>
        <v>44038200</v>
      </c>
      <c r="CG2394" s="202">
        <f t="shared" si="1338"/>
        <v>50083650.000000007</v>
      </c>
      <c r="CH2394" s="202">
        <f t="shared" si="1339"/>
        <v>32315500.000000007</v>
      </c>
      <c r="CI2394" s="202">
        <f>CI2392+CI2393</f>
        <v>4488432301.5599985</v>
      </c>
      <c r="CJ2394" s="285">
        <f>'PEPE SIERRA '!$CI2394/85</f>
        <v>52805085.900705867</v>
      </c>
    </row>
    <row r="2397" spans="1:88" ht="26.25" x14ac:dyDescent="0.25">
      <c r="B2397" s="1002" t="s">
        <v>401</v>
      </c>
      <c r="C2397" s="1002"/>
      <c r="D2397" s="1002"/>
      <c r="E2397" s="1002"/>
      <c r="F2397" s="1002"/>
      <c r="G2397" s="1002"/>
      <c r="H2397" s="1002"/>
      <c r="K2397" s="186"/>
      <c r="L2397" s="186"/>
      <c r="M2397" s="186"/>
      <c r="N2397" s="186"/>
      <c r="O2397" s="186"/>
    </row>
    <row r="2398" spans="1:88" ht="15.75" x14ac:dyDescent="0.25">
      <c r="A2398" s="187" t="s">
        <v>2</v>
      </c>
      <c r="B2398" s="50" t="s">
        <v>353</v>
      </c>
      <c r="C2398" s="50" t="s">
        <v>354</v>
      </c>
      <c r="D2398" s="50" t="s">
        <v>355</v>
      </c>
      <c r="E2398" s="50" t="s">
        <v>356</v>
      </c>
      <c r="F2398" s="50" t="s">
        <v>357</v>
      </c>
      <c r="G2398" s="50" t="s">
        <v>69</v>
      </c>
      <c r="H2398" s="50" t="s">
        <v>358</v>
      </c>
      <c r="I2398" s="50" t="s">
        <v>359</v>
      </c>
      <c r="J2398" s="50" t="s">
        <v>98</v>
      </c>
      <c r="K2398" s="52" t="s">
        <v>106</v>
      </c>
      <c r="L2398" s="50" t="s">
        <v>114</v>
      </c>
      <c r="M2398" s="50" t="s">
        <v>130</v>
      </c>
      <c r="N2398" s="50" t="s">
        <v>138</v>
      </c>
      <c r="O2398" s="50" t="s">
        <v>146</v>
      </c>
      <c r="P2398" s="50" t="s">
        <v>154</v>
      </c>
      <c r="Q2398" s="50" t="s">
        <v>162</v>
      </c>
      <c r="R2398" s="50" t="s">
        <v>166</v>
      </c>
      <c r="S2398" s="50" t="s">
        <v>169</v>
      </c>
      <c r="T2398" s="50" t="s">
        <v>360</v>
      </c>
      <c r="U2398" s="50" t="s">
        <v>361</v>
      </c>
      <c r="V2398" s="50" t="s">
        <v>362</v>
      </c>
      <c r="W2398" s="50" t="s">
        <v>363</v>
      </c>
      <c r="X2398" s="50" t="s">
        <v>364</v>
      </c>
      <c r="Y2398" s="50" t="s">
        <v>365</v>
      </c>
      <c r="Z2398" s="50" t="s">
        <v>366</v>
      </c>
      <c r="AA2398" s="50" t="s">
        <v>367</v>
      </c>
      <c r="AB2398" s="50" t="s">
        <v>368</v>
      </c>
      <c r="AC2398" s="50" t="s">
        <v>369</v>
      </c>
      <c r="AD2398" s="50" t="s">
        <v>370</v>
      </c>
      <c r="AE2398" s="50" t="str">
        <f t="shared" ref="AE2398:BD2398" si="1353">+AE2365</f>
        <v>SEMANA 31</v>
      </c>
      <c r="AF2398" s="50" t="str">
        <f t="shared" si="1353"/>
        <v>SEMANA 32</v>
      </c>
      <c r="AG2398" s="50" t="str">
        <f t="shared" si="1353"/>
        <v>SEMANA 33</v>
      </c>
      <c r="AH2398" s="50" t="str">
        <f t="shared" si="1353"/>
        <v>SEMANA 34</v>
      </c>
      <c r="AI2398" s="50" t="str">
        <f t="shared" si="1353"/>
        <v>SEMANA 35</v>
      </c>
      <c r="AJ2398" s="50" t="str">
        <f t="shared" si="1353"/>
        <v>SEMANA 36</v>
      </c>
      <c r="AK2398" s="50" t="str">
        <f t="shared" si="1353"/>
        <v>SEMANA 37</v>
      </c>
      <c r="AL2398" s="50" t="str">
        <f t="shared" si="1353"/>
        <v>SEMANA 38</v>
      </c>
      <c r="AM2398" s="50" t="str">
        <f t="shared" si="1353"/>
        <v>SEMANA 39</v>
      </c>
      <c r="AN2398" s="50" t="str">
        <f t="shared" si="1353"/>
        <v>SEMANA 40</v>
      </c>
      <c r="AO2398" s="50" t="str">
        <f t="shared" si="1353"/>
        <v>SEMANA 41</v>
      </c>
      <c r="AP2398" s="50" t="str">
        <f t="shared" si="1353"/>
        <v>SEMANA 42</v>
      </c>
      <c r="AQ2398" s="50" t="str">
        <f t="shared" si="1353"/>
        <v>SEMANA 43</v>
      </c>
      <c r="AR2398" s="50" t="str">
        <f t="shared" si="1353"/>
        <v>SEMANA 44</v>
      </c>
      <c r="AS2398" s="50" t="str">
        <f t="shared" si="1353"/>
        <v>SEMANA 45</v>
      </c>
      <c r="AT2398" s="50" t="str">
        <f t="shared" si="1353"/>
        <v>SEMANA 46</v>
      </c>
      <c r="AU2398" s="50" t="str">
        <f t="shared" si="1353"/>
        <v>SEMANA 47</v>
      </c>
      <c r="AV2398" s="50" t="str">
        <f t="shared" si="1353"/>
        <v>SEMANA 48</v>
      </c>
      <c r="AW2398" s="50" t="str">
        <f t="shared" si="1353"/>
        <v>SEMANA 49</v>
      </c>
      <c r="AX2398" s="50" t="str">
        <f t="shared" si="1353"/>
        <v>SEMANA 50</v>
      </c>
      <c r="AY2398" s="50" t="str">
        <f t="shared" si="1353"/>
        <v>SEMANA 51</v>
      </c>
      <c r="AZ2398" s="50" t="str">
        <f t="shared" si="1353"/>
        <v>SEMANA 52</v>
      </c>
      <c r="BA2398" s="50" t="str">
        <f t="shared" si="1353"/>
        <v>SEMANA 53</v>
      </c>
      <c r="BB2398" s="50" t="str">
        <f t="shared" si="1353"/>
        <v>SEMANA 54</v>
      </c>
      <c r="BC2398" s="50" t="str">
        <f t="shared" si="1353"/>
        <v>SEMANA 55</v>
      </c>
      <c r="BD2398" s="50" t="str">
        <f t="shared" si="1353"/>
        <v>SEMANA 56</v>
      </c>
      <c r="BE2398" s="50" t="s">
        <v>397</v>
      </c>
      <c r="BF2398" s="50" t="str">
        <f t="shared" ref="BF2398:CH2398" si="1354">+BF2365</f>
        <v>SEMANA 58</v>
      </c>
      <c r="BG2398" s="50" t="str">
        <f t="shared" si="1354"/>
        <v>SEMANA 59</v>
      </c>
      <c r="BH2398" s="50" t="str">
        <f t="shared" si="1354"/>
        <v>SEMANA 60</v>
      </c>
      <c r="BI2398" s="50" t="str">
        <f t="shared" si="1354"/>
        <v>SEMANA 61</v>
      </c>
      <c r="BJ2398" s="50" t="str">
        <f t="shared" si="1354"/>
        <v>SEMANA 62</v>
      </c>
      <c r="BK2398" s="50" t="str">
        <f t="shared" si="1354"/>
        <v>SEMANA 63</v>
      </c>
      <c r="BL2398" s="50" t="str">
        <f t="shared" si="1354"/>
        <v>SEMANA 64</v>
      </c>
      <c r="BM2398" s="50" t="str">
        <f t="shared" si="1354"/>
        <v>SEMANA 65</v>
      </c>
      <c r="BN2398" s="50" t="str">
        <f t="shared" si="1354"/>
        <v>SEMANA 66</v>
      </c>
      <c r="BO2398" s="50" t="str">
        <f t="shared" si="1354"/>
        <v>SEMANA 67</v>
      </c>
      <c r="BP2398" s="50" t="str">
        <f t="shared" si="1354"/>
        <v>SEMANA 68</v>
      </c>
      <c r="BQ2398" s="50" t="str">
        <f t="shared" si="1354"/>
        <v>SEMANA 69</v>
      </c>
      <c r="BR2398" s="50" t="str">
        <f t="shared" si="1354"/>
        <v>SEMANA 70</v>
      </c>
      <c r="BS2398" s="50" t="str">
        <f t="shared" si="1354"/>
        <v>SEMANA 71</v>
      </c>
      <c r="BT2398" s="50" t="str">
        <f t="shared" si="1354"/>
        <v>SEMANA 72</v>
      </c>
      <c r="BU2398" s="50" t="str">
        <f t="shared" si="1354"/>
        <v>SEMANA 73</v>
      </c>
      <c r="BV2398" s="50" t="str">
        <f t="shared" si="1354"/>
        <v>SEMANA 74</v>
      </c>
      <c r="BW2398" s="50" t="str">
        <f t="shared" si="1354"/>
        <v>SEMANA 75</v>
      </c>
      <c r="BX2398" s="50" t="str">
        <f t="shared" si="1354"/>
        <v>SEMANA 76</v>
      </c>
      <c r="BY2398" s="50" t="str">
        <f t="shared" si="1354"/>
        <v>SEMANA 77</v>
      </c>
      <c r="BZ2398" s="50" t="str">
        <f t="shared" si="1354"/>
        <v>SEMANA 78</v>
      </c>
      <c r="CA2398" s="50" t="str">
        <f t="shared" si="1354"/>
        <v>SEMANA 79</v>
      </c>
      <c r="CB2398" s="50" t="str">
        <f t="shared" si="1354"/>
        <v>SEMANA 80</v>
      </c>
      <c r="CC2398" s="50" t="str">
        <f t="shared" si="1354"/>
        <v>SEMANA 81</v>
      </c>
      <c r="CD2398" s="50" t="str">
        <f t="shared" si="1354"/>
        <v>SEMANA 82</v>
      </c>
      <c r="CE2398" s="50" t="str">
        <f t="shared" si="1354"/>
        <v>SEMANA 83</v>
      </c>
      <c r="CF2398" s="50" t="str">
        <f t="shared" si="1354"/>
        <v>SEMANA 84</v>
      </c>
      <c r="CG2398" s="50" t="str">
        <f t="shared" si="1354"/>
        <v>SEMANA 85</v>
      </c>
      <c r="CH2398" s="50" t="str">
        <f t="shared" si="1354"/>
        <v>SEMANA 86</v>
      </c>
      <c r="CI2398" s="50" t="s">
        <v>10</v>
      </c>
      <c r="CJ2398" s="50" t="s">
        <v>400</v>
      </c>
    </row>
    <row r="2399" spans="1:88" x14ac:dyDescent="0.25">
      <c r="A2399" s="188" t="s">
        <v>11</v>
      </c>
      <c r="B2399" s="189">
        <v>210</v>
      </c>
      <c r="C2399" s="189">
        <v>1649</v>
      </c>
      <c r="D2399" s="189">
        <v>1587</v>
      </c>
      <c r="E2399" s="189">
        <v>1995</v>
      </c>
      <c r="F2399" s="189">
        <v>1682</v>
      </c>
      <c r="G2399" s="189">
        <v>1865</v>
      </c>
      <c r="H2399" s="189">
        <v>1331</v>
      </c>
      <c r="I2399" s="189">
        <v>1715</v>
      </c>
      <c r="J2399" s="189">
        <v>1826</v>
      </c>
      <c r="K2399" s="189">
        <v>1644</v>
      </c>
      <c r="L2399" s="272">
        <v>1916</v>
      </c>
      <c r="M2399" s="272">
        <v>2127</v>
      </c>
      <c r="N2399" s="272">
        <f>+N2366</f>
        <v>1787</v>
      </c>
      <c r="O2399" s="272">
        <f t="shared" ref="O2399:T2399" si="1355">O2366</f>
        <v>2048</v>
      </c>
      <c r="P2399" s="272">
        <f t="shared" si="1355"/>
        <v>1827</v>
      </c>
      <c r="Q2399" s="272">
        <f t="shared" si="1355"/>
        <v>2018</v>
      </c>
      <c r="R2399" s="272">
        <f t="shared" si="1355"/>
        <v>2166</v>
      </c>
      <c r="S2399" s="272">
        <f t="shared" si="1355"/>
        <v>1786</v>
      </c>
      <c r="T2399" s="272">
        <f t="shared" si="1355"/>
        <v>1703</v>
      </c>
      <c r="U2399" s="272">
        <f t="shared" ref="U2399:Z2399" si="1356">U2366</f>
        <v>1508</v>
      </c>
      <c r="V2399" s="272">
        <f t="shared" si="1356"/>
        <v>1612</v>
      </c>
      <c r="W2399" s="272">
        <f t="shared" si="1356"/>
        <v>1920</v>
      </c>
      <c r="X2399" s="272">
        <f t="shared" si="1356"/>
        <v>1760</v>
      </c>
      <c r="Y2399" s="272">
        <f t="shared" si="1356"/>
        <v>1852</v>
      </c>
      <c r="Z2399" s="272">
        <f t="shared" si="1356"/>
        <v>1913</v>
      </c>
      <c r="AA2399" s="272">
        <f t="shared" ref="AA2399:CH2399" si="1357">AA2366</f>
        <v>1885</v>
      </c>
      <c r="AB2399" s="272">
        <f t="shared" si="1357"/>
        <v>1808</v>
      </c>
      <c r="AC2399" s="272">
        <f t="shared" si="1357"/>
        <v>1947</v>
      </c>
      <c r="AD2399" s="272">
        <f t="shared" si="1357"/>
        <v>2053</v>
      </c>
      <c r="AE2399" s="272">
        <f t="shared" si="1357"/>
        <v>1875</v>
      </c>
      <c r="AF2399" s="272">
        <f t="shared" si="1357"/>
        <v>1892</v>
      </c>
      <c r="AG2399" s="272">
        <f t="shared" si="1357"/>
        <v>2356</v>
      </c>
      <c r="AH2399" s="272">
        <f t="shared" si="1357"/>
        <v>2163</v>
      </c>
      <c r="AI2399" s="272">
        <f t="shared" si="1357"/>
        <v>2051</v>
      </c>
      <c r="AJ2399" s="272">
        <f t="shared" si="1357"/>
        <v>2082</v>
      </c>
      <c r="AK2399" s="272">
        <f t="shared" si="1357"/>
        <v>2068</v>
      </c>
      <c r="AL2399" s="272">
        <f t="shared" si="1357"/>
        <v>1842</v>
      </c>
      <c r="AM2399" s="272">
        <f t="shared" si="1357"/>
        <v>1780</v>
      </c>
      <c r="AN2399" s="272">
        <f t="shared" si="1357"/>
        <v>1900</v>
      </c>
      <c r="AO2399" s="272">
        <f t="shared" si="1357"/>
        <v>2012</v>
      </c>
      <c r="AP2399" s="272">
        <f t="shared" si="1357"/>
        <v>1975</v>
      </c>
      <c r="AQ2399" s="272">
        <f t="shared" si="1357"/>
        <v>1869</v>
      </c>
      <c r="AR2399" s="272">
        <f t="shared" si="1357"/>
        <v>2011</v>
      </c>
      <c r="AS2399" s="272">
        <f t="shared" si="1357"/>
        <v>1858</v>
      </c>
      <c r="AT2399" s="272">
        <f t="shared" si="1357"/>
        <v>1622</v>
      </c>
      <c r="AU2399" s="272">
        <f t="shared" si="1357"/>
        <v>1982</v>
      </c>
      <c r="AV2399" s="272">
        <f t="shared" si="1357"/>
        <v>2148</v>
      </c>
      <c r="AW2399" s="272">
        <f t="shared" si="1357"/>
        <v>1776</v>
      </c>
      <c r="AX2399" s="272">
        <f t="shared" si="1357"/>
        <v>1996</v>
      </c>
      <c r="AY2399" s="272">
        <f t="shared" si="1357"/>
        <v>1789</v>
      </c>
      <c r="AZ2399" s="272">
        <f t="shared" si="1357"/>
        <v>1886</v>
      </c>
      <c r="BA2399" s="272">
        <f t="shared" si="1357"/>
        <v>1750</v>
      </c>
      <c r="BB2399" s="272">
        <f t="shared" si="1357"/>
        <v>1950</v>
      </c>
      <c r="BC2399" s="272">
        <f t="shared" si="1357"/>
        <v>1512</v>
      </c>
      <c r="BD2399" s="272">
        <f t="shared" si="1357"/>
        <v>1705</v>
      </c>
      <c r="BE2399" s="272">
        <f t="shared" si="1357"/>
        <v>1628</v>
      </c>
      <c r="BF2399" s="272">
        <f t="shared" ref="BF2399:BK2399" si="1358">BF2366</f>
        <v>1636</v>
      </c>
      <c r="BG2399" s="272">
        <f t="shared" si="1358"/>
        <v>1550</v>
      </c>
      <c r="BH2399" s="272">
        <f t="shared" si="1358"/>
        <v>1686</v>
      </c>
      <c r="BI2399" s="272">
        <f t="shared" si="1358"/>
        <v>1594</v>
      </c>
      <c r="BJ2399" s="272">
        <f t="shared" si="1358"/>
        <v>1554</v>
      </c>
      <c r="BK2399" s="272">
        <f t="shared" si="1358"/>
        <v>1812</v>
      </c>
      <c r="BL2399" s="272">
        <f t="shared" ref="BL2399:CG2399" si="1359">BL2366</f>
        <v>1654</v>
      </c>
      <c r="BM2399" s="272">
        <f t="shared" si="1359"/>
        <v>1586</v>
      </c>
      <c r="BN2399" s="272">
        <f t="shared" si="1359"/>
        <v>1781</v>
      </c>
      <c r="BO2399" s="272">
        <f t="shared" si="1359"/>
        <v>1832</v>
      </c>
      <c r="BP2399" s="272">
        <f t="shared" si="1359"/>
        <v>1746</v>
      </c>
      <c r="BQ2399" s="272">
        <f t="shared" si="1359"/>
        <v>1725</v>
      </c>
      <c r="BR2399" s="272">
        <f t="shared" si="1359"/>
        <v>1861</v>
      </c>
      <c r="BS2399" s="272">
        <f t="shared" si="1359"/>
        <v>1560</v>
      </c>
      <c r="BT2399" s="272">
        <f t="shared" si="1359"/>
        <v>1392</v>
      </c>
      <c r="BU2399" s="272">
        <f t="shared" si="1359"/>
        <v>1128</v>
      </c>
      <c r="BV2399" s="272">
        <f t="shared" si="1359"/>
        <v>1307</v>
      </c>
      <c r="BW2399" s="272">
        <f t="shared" si="1359"/>
        <v>1509</v>
      </c>
      <c r="BX2399" s="272">
        <f t="shared" si="1359"/>
        <v>1508</v>
      </c>
      <c r="BY2399" s="272">
        <f t="shared" si="1359"/>
        <v>1554</v>
      </c>
      <c r="BZ2399" s="272">
        <f t="shared" si="1359"/>
        <v>1644</v>
      </c>
      <c r="CA2399" s="272">
        <f t="shared" si="1359"/>
        <v>1542</v>
      </c>
      <c r="CB2399" s="272">
        <f t="shared" si="1359"/>
        <v>1512</v>
      </c>
      <c r="CC2399" s="272">
        <f t="shared" si="1359"/>
        <v>1594</v>
      </c>
      <c r="CD2399" s="272">
        <f t="shared" si="1359"/>
        <v>1625</v>
      </c>
      <c r="CE2399" s="272">
        <f t="shared" si="1359"/>
        <v>1704</v>
      </c>
      <c r="CF2399" s="272">
        <f t="shared" si="1359"/>
        <v>1470</v>
      </c>
      <c r="CG2399" s="272">
        <f t="shared" si="1359"/>
        <v>1760</v>
      </c>
      <c r="CH2399" s="272">
        <f t="shared" si="1357"/>
        <v>1137</v>
      </c>
      <c r="CI2399" s="272">
        <f>SUM(B2399:CH2399)</f>
        <v>148581</v>
      </c>
      <c r="CJ2399" s="286">
        <f>+CI2399/85</f>
        <v>1748.0117647058823</v>
      </c>
    </row>
    <row r="2400" spans="1:88" x14ac:dyDescent="0.25">
      <c r="A2400" s="103" t="s">
        <v>17</v>
      </c>
      <c r="B2400" s="192">
        <v>141</v>
      </c>
      <c r="C2400" s="192">
        <v>1425</v>
      </c>
      <c r="D2400" s="192">
        <v>1542</v>
      </c>
      <c r="E2400" s="192">
        <v>1797</v>
      </c>
      <c r="F2400" s="192">
        <v>1919</v>
      </c>
      <c r="G2400" s="192">
        <v>1741</v>
      </c>
      <c r="H2400" s="192">
        <v>1675</v>
      </c>
      <c r="I2400" s="192">
        <v>1883</v>
      </c>
      <c r="J2400" s="192">
        <v>1720</v>
      </c>
      <c r="K2400" s="192">
        <v>1572</v>
      </c>
      <c r="L2400" s="278">
        <v>1834</v>
      </c>
      <c r="M2400" s="278">
        <v>1848</v>
      </c>
      <c r="N2400" s="278">
        <f>+N2372</f>
        <v>1875</v>
      </c>
      <c r="O2400" s="278">
        <f t="shared" ref="O2400:T2400" si="1360">O2372</f>
        <v>1850</v>
      </c>
      <c r="P2400" s="278">
        <f t="shared" si="1360"/>
        <v>1754</v>
      </c>
      <c r="Q2400" s="278">
        <f t="shared" si="1360"/>
        <v>1813</v>
      </c>
      <c r="R2400" s="278">
        <f t="shared" si="1360"/>
        <v>1900</v>
      </c>
      <c r="S2400" s="278">
        <f t="shared" si="1360"/>
        <v>1658</v>
      </c>
      <c r="T2400" s="278">
        <f t="shared" si="1360"/>
        <v>1444</v>
      </c>
      <c r="U2400" s="278">
        <f t="shared" ref="U2400:Z2400" si="1361">U2372</f>
        <v>1244</v>
      </c>
      <c r="V2400" s="278">
        <f t="shared" si="1361"/>
        <v>1339</v>
      </c>
      <c r="W2400" s="278">
        <f t="shared" si="1361"/>
        <v>1660</v>
      </c>
      <c r="X2400" s="278">
        <f t="shared" si="1361"/>
        <v>1545</v>
      </c>
      <c r="Y2400" s="278">
        <f t="shared" si="1361"/>
        <v>1556</v>
      </c>
      <c r="Z2400" s="278">
        <f t="shared" si="1361"/>
        <v>1652</v>
      </c>
      <c r="AA2400" s="278">
        <f t="shared" ref="AA2400:CH2400" si="1362">AA2372</f>
        <v>1564</v>
      </c>
      <c r="AB2400" s="278">
        <f t="shared" si="1362"/>
        <v>1527</v>
      </c>
      <c r="AC2400" s="278">
        <f t="shared" si="1362"/>
        <v>1636</v>
      </c>
      <c r="AD2400" s="278">
        <f t="shared" si="1362"/>
        <v>1696</v>
      </c>
      <c r="AE2400" s="278">
        <f t="shared" si="1362"/>
        <v>1596</v>
      </c>
      <c r="AF2400" s="278">
        <f t="shared" si="1362"/>
        <v>1577</v>
      </c>
      <c r="AG2400" s="278">
        <f t="shared" si="1362"/>
        <v>1784</v>
      </c>
      <c r="AH2400" s="278">
        <f t="shared" si="1362"/>
        <v>1724</v>
      </c>
      <c r="AI2400" s="278">
        <f t="shared" si="1362"/>
        <v>1587</v>
      </c>
      <c r="AJ2400" s="278">
        <f t="shared" si="1362"/>
        <v>1599</v>
      </c>
      <c r="AK2400" s="278">
        <f t="shared" si="1362"/>
        <v>1584</v>
      </c>
      <c r="AL2400" s="278">
        <f t="shared" si="1362"/>
        <v>1460</v>
      </c>
      <c r="AM2400" s="278">
        <f t="shared" si="1362"/>
        <v>1383</v>
      </c>
      <c r="AN2400" s="278">
        <f t="shared" si="1362"/>
        <v>1436</v>
      </c>
      <c r="AO2400" s="278">
        <f t="shared" si="1362"/>
        <v>1424</v>
      </c>
      <c r="AP2400" s="278">
        <f t="shared" si="1362"/>
        <v>1567</v>
      </c>
      <c r="AQ2400" s="278">
        <f t="shared" si="1362"/>
        <v>1471</v>
      </c>
      <c r="AR2400" s="278">
        <f t="shared" si="1362"/>
        <v>1631</v>
      </c>
      <c r="AS2400" s="278">
        <f t="shared" si="1362"/>
        <v>1445</v>
      </c>
      <c r="AT2400" s="278">
        <f t="shared" si="1362"/>
        <v>1300</v>
      </c>
      <c r="AU2400" s="278">
        <f t="shared" si="1362"/>
        <v>1597</v>
      </c>
      <c r="AV2400" s="278">
        <f t="shared" si="1362"/>
        <v>1653</v>
      </c>
      <c r="AW2400" s="278">
        <f t="shared" si="1362"/>
        <v>1355</v>
      </c>
      <c r="AX2400" s="278">
        <f t="shared" si="1362"/>
        <v>1555</v>
      </c>
      <c r="AY2400" s="278">
        <f t="shared" si="1362"/>
        <v>1354</v>
      </c>
      <c r="AZ2400" s="278">
        <f t="shared" si="1362"/>
        <v>1443</v>
      </c>
      <c r="BA2400" s="278">
        <f t="shared" si="1362"/>
        <v>1360</v>
      </c>
      <c r="BB2400" s="278">
        <f t="shared" si="1362"/>
        <v>1517</v>
      </c>
      <c r="BC2400" s="278">
        <f t="shared" si="1362"/>
        <v>1162</v>
      </c>
      <c r="BD2400" s="278">
        <f t="shared" si="1362"/>
        <v>1345</v>
      </c>
      <c r="BE2400" s="278">
        <f t="shared" si="1362"/>
        <v>1256</v>
      </c>
      <c r="BF2400" s="278">
        <f t="shared" ref="BF2400:BK2400" si="1363">BF2372</f>
        <v>1298</v>
      </c>
      <c r="BG2400" s="278">
        <f t="shared" si="1363"/>
        <v>1171</v>
      </c>
      <c r="BH2400" s="278">
        <f t="shared" si="1363"/>
        <v>1309</v>
      </c>
      <c r="BI2400" s="278">
        <f t="shared" si="1363"/>
        <v>1256</v>
      </c>
      <c r="BJ2400" s="278">
        <f t="shared" si="1363"/>
        <v>1243</v>
      </c>
      <c r="BK2400" s="278">
        <f t="shared" si="1363"/>
        <v>1408</v>
      </c>
      <c r="BL2400" s="278">
        <f t="shared" ref="BL2400:CG2400" si="1364">BL2372</f>
        <v>1296</v>
      </c>
      <c r="BM2400" s="278">
        <f t="shared" si="1364"/>
        <v>1239</v>
      </c>
      <c r="BN2400" s="278">
        <f t="shared" si="1364"/>
        <v>1402</v>
      </c>
      <c r="BO2400" s="278">
        <f t="shared" si="1364"/>
        <v>1432</v>
      </c>
      <c r="BP2400" s="278">
        <f t="shared" si="1364"/>
        <v>1337</v>
      </c>
      <c r="BQ2400" s="278">
        <f t="shared" si="1364"/>
        <v>1350</v>
      </c>
      <c r="BR2400" s="278">
        <f t="shared" si="1364"/>
        <v>1455</v>
      </c>
      <c r="BS2400" s="278">
        <f t="shared" si="1364"/>
        <v>1179</v>
      </c>
      <c r="BT2400" s="278">
        <f t="shared" si="1364"/>
        <v>1069</v>
      </c>
      <c r="BU2400" s="278">
        <f t="shared" si="1364"/>
        <v>885</v>
      </c>
      <c r="BV2400" s="278">
        <f t="shared" si="1364"/>
        <v>1015</v>
      </c>
      <c r="BW2400" s="278">
        <f t="shared" si="1364"/>
        <v>1205</v>
      </c>
      <c r="BX2400" s="278">
        <f t="shared" si="1364"/>
        <v>1166</v>
      </c>
      <c r="BY2400" s="278">
        <f t="shared" si="1364"/>
        <v>1220</v>
      </c>
      <c r="BZ2400" s="278">
        <f t="shared" si="1364"/>
        <v>1299</v>
      </c>
      <c r="CA2400" s="278">
        <f t="shared" si="1364"/>
        <v>1209</v>
      </c>
      <c r="CB2400" s="278">
        <f t="shared" si="1364"/>
        <v>1194</v>
      </c>
      <c r="CC2400" s="278">
        <f t="shared" si="1364"/>
        <v>1287</v>
      </c>
      <c r="CD2400" s="278">
        <f t="shared" si="1364"/>
        <v>1269</v>
      </c>
      <c r="CE2400" s="278">
        <f t="shared" si="1364"/>
        <v>1292</v>
      </c>
      <c r="CF2400" s="278">
        <f t="shared" si="1364"/>
        <v>1188</v>
      </c>
      <c r="CG2400" s="278">
        <f t="shared" si="1364"/>
        <v>1374</v>
      </c>
      <c r="CH2400" s="278">
        <f t="shared" si="1362"/>
        <v>894</v>
      </c>
      <c r="CI2400" s="193">
        <f>SUM(B2400:CH2400)</f>
        <v>122916</v>
      </c>
      <c r="CJ2400" s="193">
        <f>+CI2400/85</f>
        <v>1446.0705882352941</v>
      </c>
    </row>
    <row r="2401" spans="1:88" ht="15.75" x14ac:dyDescent="0.25">
      <c r="A2401" s="187" t="s">
        <v>2</v>
      </c>
      <c r="B2401" s="50" t="s">
        <v>353</v>
      </c>
      <c r="C2401" s="50" t="s">
        <v>354</v>
      </c>
      <c r="D2401" s="50" t="s">
        <v>355</v>
      </c>
      <c r="E2401" s="50" t="s">
        <v>356</v>
      </c>
      <c r="F2401" s="50" t="s">
        <v>357</v>
      </c>
      <c r="G2401" s="50" t="s">
        <v>69</v>
      </c>
      <c r="H2401" s="50" t="s">
        <v>358</v>
      </c>
      <c r="I2401" s="50" t="s">
        <v>359</v>
      </c>
      <c r="J2401" s="50" t="s">
        <v>98</v>
      </c>
      <c r="K2401" s="52" t="s">
        <v>106</v>
      </c>
      <c r="L2401" s="50" t="s">
        <v>114</v>
      </c>
      <c r="M2401" s="50" t="s">
        <v>130</v>
      </c>
      <c r="N2401" s="50" t="s">
        <v>138</v>
      </c>
      <c r="O2401" s="50" t="s">
        <v>146</v>
      </c>
      <c r="P2401" s="50" t="s">
        <v>154</v>
      </c>
      <c r="Q2401" s="50" t="s">
        <v>162</v>
      </c>
      <c r="R2401" s="50" t="s">
        <v>166</v>
      </c>
      <c r="S2401" s="50" t="s">
        <v>169</v>
      </c>
      <c r="T2401" s="50" t="s">
        <v>360</v>
      </c>
      <c r="U2401" s="50" t="s">
        <v>361</v>
      </c>
      <c r="V2401" s="50" t="s">
        <v>362</v>
      </c>
      <c r="W2401" s="50" t="s">
        <v>363</v>
      </c>
      <c r="X2401" s="50" t="s">
        <v>364</v>
      </c>
      <c r="Y2401" s="50" t="s">
        <v>365</v>
      </c>
      <c r="Z2401" s="50" t="s">
        <v>366</v>
      </c>
      <c r="AA2401" s="50" t="s">
        <v>367</v>
      </c>
      <c r="AB2401" s="50" t="s">
        <v>368</v>
      </c>
      <c r="AC2401" s="50" t="s">
        <v>369</v>
      </c>
      <c r="AD2401" s="50" t="s">
        <v>370</v>
      </c>
      <c r="AE2401" s="50" t="str">
        <f t="shared" ref="AE2401:CH2401" si="1365">+AE2398</f>
        <v>SEMANA 31</v>
      </c>
      <c r="AF2401" s="50" t="str">
        <f t="shared" si="1365"/>
        <v>SEMANA 32</v>
      </c>
      <c r="AG2401" s="50" t="str">
        <f t="shared" si="1365"/>
        <v>SEMANA 33</v>
      </c>
      <c r="AH2401" s="50" t="str">
        <f t="shared" si="1365"/>
        <v>SEMANA 34</v>
      </c>
      <c r="AI2401" s="50" t="str">
        <f t="shared" si="1365"/>
        <v>SEMANA 35</v>
      </c>
      <c r="AJ2401" s="50" t="str">
        <f t="shared" si="1365"/>
        <v>SEMANA 36</v>
      </c>
      <c r="AK2401" s="50" t="str">
        <f t="shared" si="1365"/>
        <v>SEMANA 37</v>
      </c>
      <c r="AL2401" s="50" t="str">
        <f t="shared" si="1365"/>
        <v>SEMANA 38</v>
      </c>
      <c r="AM2401" s="50" t="str">
        <f t="shared" si="1365"/>
        <v>SEMANA 39</v>
      </c>
      <c r="AN2401" s="50" t="str">
        <f t="shared" si="1365"/>
        <v>SEMANA 40</v>
      </c>
      <c r="AO2401" s="50" t="str">
        <f t="shared" si="1365"/>
        <v>SEMANA 41</v>
      </c>
      <c r="AP2401" s="50" t="str">
        <f t="shared" si="1365"/>
        <v>SEMANA 42</v>
      </c>
      <c r="AQ2401" s="50" t="str">
        <f t="shared" si="1365"/>
        <v>SEMANA 43</v>
      </c>
      <c r="AR2401" s="50" t="str">
        <f t="shared" si="1365"/>
        <v>SEMANA 44</v>
      </c>
      <c r="AS2401" s="50" t="str">
        <f t="shared" si="1365"/>
        <v>SEMANA 45</v>
      </c>
      <c r="AT2401" s="50" t="str">
        <f t="shared" si="1365"/>
        <v>SEMANA 46</v>
      </c>
      <c r="AU2401" s="50" t="str">
        <f t="shared" si="1365"/>
        <v>SEMANA 47</v>
      </c>
      <c r="AV2401" s="50" t="str">
        <f t="shared" si="1365"/>
        <v>SEMANA 48</v>
      </c>
      <c r="AW2401" s="50" t="str">
        <f t="shared" si="1365"/>
        <v>SEMANA 49</v>
      </c>
      <c r="AX2401" s="50" t="str">
        <f t="shared" si="1365"/>
        <v>SEMANA 50</v>
      </c>
      <c r="AY2401" s="50" t="str">
        <f t="shared" si="1365"/>
        <v>SEMANA 51</v>
      </c>
      <c r="AZ2401" s="50" t="str">
        <f t="shared" si="1365"/>
        <v>SEMANA 52</v>
      </c>
      <c r="BA2401" s="50" t="str">
        <f t="shared" si="1365"/>
        <v>SEMANA 53</v>
      </c>
      <c r="BB2401" s="50" t="str">
        <f t="shared" si="1365"/>
        <v>SEMANA 54</v>
      </c>
      <c r="BC2401" s="50" t="str">
        <f t="shared" si="1365"/>
        <v>SEMANA 55</v>
      </c>
      <c r="BD2401" s="50" t="str">
        <f t="shared" si="1365"/>
        <v>SEMANA 56</v>
      </c>
      <c r="BE2401" s="50" t="str">
        <f t="shared" si="1365"/>
        <v>SEMANA 57</v>
      </c>
      <c r="BF2401" s="50" t="str">
        <f t="shared" ref="BF2401:BK2401" si="1366">+BF2398</f>
        <v>SEMANA 58</v>
      </c>
      <c r="BG2401" s="50" t="str">
        <f t="shared" si="1366"/>
        <v>SEMANA 59</v>
      </c>
      <c r="BH2401" s="50" t="str">
        <f t="shared" si="1366"/>
        <v>SEMANA 60</v>
      </c>
      <c r="BI2401" s="50" t="str">
        <f t="shared" si="1366"/>
        <v>SEMANA 61</v>
      </c>
      <c r="BJ2401" s="50" t="str">
        <f t="shared" si="1366"/>
        <v>SEMANA 62</v>
      </c>
      <c r="BK2401" s="50" t="str">
        <f t="shared" si="1366"/>
        <v>SEMANA 63</v>
      </c>
      <c r="BL2401" s="50" t="str">
        <f t="shared" ref="BL2401:CG2401" si="1367">+BL2398</f>
        <v>SEMANA 64</v>
      </c>
      <c r="BM2401" s="50" t="str">
        <f t="shared" si="1367"/>
        <v>SEMANA 65</v>
      </c>
      <c r="BN2401" s="50" t="str">
        <f t="shared" si="1367"/>
        <v>SEMANA 66</v>
      </c>
      <c r="BO2401" s="50" t="str">
        <f t="shared" si="1367"/>
        <v>SEMANA 67</v>
      </c>
      <c r="BP2401" s="50" t="str">
        <f t="shared" si="1367"/>
        <v>SEMANA 68</v>
      </c>
      <c r="BQ2401" s="50" t="str">
        <f t="shared" si="1367"/>
        <v>SEMANA 69</v>
      </c>
      <c r="BR2401" s="50" t="str">
        <f t="shared" si="1367"/>
        <v>SEMANA 70</v>
      </c>
      <c r="BS2401" s="50" t="str">
        <f t="shared" si="1367"/>
        <v>SEMANA 71</v>
      </c>
      <c r="BT2401" s="50" t="str">
        <f t="shared" si="1367"/>
        <v>SEMANA 72</v>
      </c>
      <c r="BU2401" s="50" t="str">
        <f t="shared" si="1367"/>
        <v>SEMANA 73</v>
      </c>
      <c r="BV2401" s="50" t="str">
        <f t="shared" si="1367"/>
        <v>SEMANA 74</v>
      </c>
      <c r="BW2401" s="50" t="str">
        <f t="shared" si="1367"/>
        <v>SEMANA 75</v>
      </c>
      <c r="BX2401" s="50" t="str">
        <f t="shared" si="1367"/>
        <v>SEMANA 76</v>
      </c>
      <c r="BY2401" s="50" t="str">
        <f t="shared" si="1367"/>
        <v>SEMANA 77</v>
      </c>
      <c r="BZ2401" s="50" t="str">
        <f t="shared" si="1367"/>
        <v>SEMANA 78</v>
      </c>
      <c r="CA2401" s="50" t="str">
        <f t="shared" si="1367"/>
        <v>SEMANA 79</v>
      </c>
      <c r="CB2401" s="50" t="str">
        <f t="shared" si="1367"/>
        <v>SEMANA 80</v>
      </c>
      <c r="CC2401" s="50" t="str">
        <f t="shared" si="1367"/>
        <v>SEMANA 81</v>
      </c>
      <c r="CD2401" s="50" t="str">
        <f t="shared" si="1367"/>
        <v>SEMANA 82</v>
      </c>
      <c r="CE2401" s="50" t="str">
        <f t="shared" si="1367"/>
        <v>SEMANA 83</v>
      </c>
      <c r="CF2401" s="50" t="str">
        <f t="shared" si="1367"/>
        <v>SEMANA 84</v>
      </c>
      <c r="CG2401" s="50" t="str">
        <f t="shared" si="1367"/>
        <v>SEMANA 85</v>
      </c>
      <c r="CH2401" s="50" t="str">
        <f t="shared" si="1365"/>
        <v>SEMANA 86</v>
      </c>
      <c r="CI2401" s="50" t="s">
        <v>10</v>
      </c>
      <c r="CJ2401" s="50" t="s">
        <v>400</v>
      </c>
    </row>
    <row r="2402" spans="1:88" x14ac:dyDescent="0.25">
      <c r="A2402" s="146" t="s">
        <v>25</v>
      </c>
      <c r="B2402" s="92">
        <v>1620622.0034482758</v>
      </c>
      <c r="C2402" s="92">
        <v>16682145.506896552</v>
      </c>
      <c r="D2402" s="92">
        <v>19189038.67586207</v>
      </c>
      <c r="E2402" s="92">
        <v>21157495.529310346</v>
      </c>
      <c r="F2402" s="92">
        <v>20399824.803448278</v>
      </c>
      <c r="G2402" s="92">
        <v>22474597.191379312</v>
      </c>
      <c r="H2402" s="92">
        <v>22942793.881034486</v>
      </c>
      <c r="I2402" s="92">
        <v>22451114.548275866</v>
      </c>
      <c r="J2402" s="92">
        <f>J2385</f>
        <v>22850518.251724139</v>
      </c>
      <c r="K2402" s="94">
        <v>19559869.83275862</v>
      </c>
      <c r="L2402" s="94">
        <v>29116979.039655175</v>
      </c>
      <c r="M2402" s="94">
        <v>33552386.389655177</v>
      </c>
      <c r="N2402" s="94">
        <f>+N2385</f>
        <v>28757223.515517246</v>
      </c>
      <c r="O2402" s="94">
        <f t="shared" ref="O2402:Q2406" si="1368">O2385</f>
        <v>35001060.274137929</v>
      </c>
      <c r="P2402" s="94">
        <f t="shared" si="1368"/>
        <v>33253734.222413797</v>
      </c>
      <c r="Q2402" s="94">
        <f t="shared" ref="Q2402:V2402" si="1369">Q2385</f>
        <v>33128470.318965517</v>
      </c>
      <c r="R2402" s="94">
        <f t="shared" si="1369"/>
        <v>36259358.384482764</v>
      </c>
      <c r="S2402" s="94">
        <f t="shared" si="1369"/>
        <v>30719973.446551725</v>
      </c>
      <c r="T2402" s="94">
        <f t="shared" si="1369"/>
        <v>27093183.160344832</v>
      </c>
      <c r="U2402" s="94">
        <f t="shared" si="1369"/>
        <v>20809999.813793108</v>
      </c>
      <c r="V2402" s="94">
        <f t="shared" si="1369"/>
        <v>23078703.55689656</v>
      </c>
      <c r="W2402" s="94">
        <f t="shared" ref="W2402:CH2402" si="1370">W2385</f>
        <v>33377490.772413794</v>
      </c>
      <c r="X2402" s="94">
        <f t="shared" si="1370"/>
        <v>28849713.76551725</v>
      </c>
      <c r="Y2402" s="94">
        <f t="shared" si="1370"/>
        <v>30139873.92586207</v>
      </c>
      <c r="Z2402" s="94">
        <f t="shared" si="1370"/>
        <v>33944910.094827592</v>
      </c>
      <c r="AA2402" s="94">
        <f t="shared" si="1370"/>
        <v>34160951.946551725</v>
      </c>
      <c r="AB2402" s="94">
        <f t="shared" si="1370"/>
        <v>32865766.939655174</v>
      </c>
      <c r="AC2402" s="94">
        <f t="shared" si="1370"/>
        <v>34953246.082758628</v>
      </c>
      <c r="AD2402" s="94">
        <f t="shared" si="1370"/>
        <v>39143995.715517245</v>
      </c>
      <c r="AE2402" s="94">
        <f t="shared" si="1370"/>
        <v>34760263.089655176</v>
      </c>
      <c r="AF2402" s="94">
        <f t="shared" si="1370"/>
        <v>34543859.62068966</v>
      </c>
      <c r="AG2402" s="94">
        <f t="shared" si="1370"/>
        <v>40877790.451724134</v>
      </c>
      <c r="AH2402" s="94">
        <f t="shared" si="1370"/>
        <v>33644091.491379321</v>
      </c>
      <c r="AI2402" s="94">
        <f t="shared" si="1370"/>
        <v>36606734.755172417</v>
      </c>
      <c r="AJ2402" s="94">
        <f t="shared" si="1370"/>
        <v>37166138.670689657</v>
      </c>
      <c r="AK2402" s="94">
        <f t="shared" si="1370"/>
        <v>34539261.382758625</v>
      </c>
      <c r="AL2402" s="94">
        <f t="shared" si="1370"/>
        <v>32476182.360344827</v>
      </c>
      <c r="AM2402" s="94">
        <f t="shared" si="1370"/>
        <v>31415415.210344829</v>
      </c>
      <c r="AN2402" s="94">
        <f t="shared" si="1370"/>
        <v>37016712.077586211</v>
      </c>
      <c r="AO2402" s="94">
        <f t="shared" si="1370"/>
        <v>36531884.470689662</v>
      </c>
      <c r="AP2402" s="94">
        <f t="shared" si="1370"/>
        <v>38078892.153448284</v>
      </c>
      <c r="AQ2402" s="94">
        <f t="shared" si="1370"/>
        <v>33374444.822413795</v>
      </c>
      <c r="AR2402" s="94">
        <f t="shared" si="1370"/>
        <v>36424724.555172414</v>
      </c>
      <c r="AS2402" s="94">
        <f t="shared" si="1370"/>
        <v>32115607.136206903</v>
      </c>
      <c r="AT2402" s="94">
        <f t="shared" si="1370"/>
        <v>27915658.632758621</v>
      </c>
      <c r="AU2402" s="94">
        <f t="shared" si="1370"/>
        <v>35676784.017241381</v>
      </c>
      <c r="AV2402" s="94">
        <f t="shared" si="1370"/>
        <v>37251193.236206897</v>
      </c>
      <c r="AW2402" s="94">
        <f t="shared" si="1370"/>
        <v>33267497.562068969</v>
      </c>
      <c r="AX2402" s="94">
        <f t="shared" si="1370"/>
        <v>36345253.077586211</v>
      </c>
      <c r="AY2402" s="94">
        <f t="shared" si="1370"/>
        <v>32670230.984482765</v>
      </c>
      <c r="AZ2402" s="94">
        <f t="shared" si="1370"/>
        <v>35659299.281034485</v>
      </c>
      <c r="BA2402" s="94">
        <f t="shared" si="1370"/>
        <v>33840159.160344832</v>
      </c>
      <c r="BB2402" s="94">
        <f t="shared" si="1370"/>
        <v>36150639.131034486</v>
      </c>
      <c r="BC2402" s="94">
        <f t="shared" si="1370"/>
        <v>26733125.218965519</v>
      </c>
      <c r="BD2402" s="94">
        <f t="shared" si="1370"/>
        <v>30428525.684482761</v>
      </c>
      <c r="BE2402" s="94">
        <f t="shared" si="1370"/>
        <v>29823663.053448278</v>
      </c>
      <c r="BF2402" s="94">
        <f t="shared" ref="BF2402:BG2406" si="1371">BF2385</f>
        <v>30079438.887931034</v>
      </c>
      <c r="BG2402" s="94">
        <f t="shared" si="1371"/>
        <v>27238902.505172413</v>
      </c>
      <c r="BH2402" s="94">
        <f t="shared" ref="BH2402:CG2402" si="1372">BH2385</f>
        <v>29870431.151724141</v>
      </c>
      <c r="BI2402" s="94">
        <f t="shared" si="1372"/>
        <v>28489942.551724143</v>
      </c>
      <c r="BJ2402" s="94">
        <f t="shared" si="1372"/>
        <v>26731403.494827591</v>
      </c>
      <c r="BK2402" s="94">
        <f t="shared" si="1372"/>
        <v>32852961.57068966</v>
      </c>
      <c r="BL2402" s="94">
        <f t="shared" si="1372"/>
        <v>31079547.725862071</v>
      </c>
      <c r="BM2402" s="94">
        <f t="shared" si="1372"/>
        <v>29244866.294827588</v>
      </c>
      <c r="BN2402" s="94">
        <f t="shared" si="1372"/>
        <v>33963218.491379313</v>
      </c>
      <c r="BO2402" s="94">
        <f t="shared" si="1372"/>
        <v>34718486.9362069</v>
      </c>
      <c r="BP2402" s="94">
        <f t="shared" si="1372"/>
        <v>32426234.430344831</v>
      </c>
      <c r="BQ2402" s="94">
        <f t="shared" si="1372"/>
        <v>32718735.415862072</v>
      </c>
      <c r="BR2402" s="94">
        <f t="shared" si="1372"/>
        <v>34395152.79724139</v>
      </c>
      <c r="BS2402" s="94">
        <f t="shared" si="1372"/>
        <v>29624470.617241383</v>
      </c>
      <c r="BT2402" s="94">
        <f t="shared" si="1372"/>
        <v>26864360.458620694</v>
      </c>
      <c r="BU2402" s="94">
        <f t="shared" si="1372"/>
        <v>19365834.941379312</v>
      </c>
      <c r="BV2402" s="94">
        <f t="shared" si="1372"/>
        <v>22867482.691034488</v>
      </c>
      <c r="BW2402" s="94">
        <f t="shared" si="1372"/>
        <v>26433332.536551725</v>
      </c>
      <c r="BX2402" s="94">
        <f t="shared" si="1372"/>
        <v>28293527.366206899</v>
      </c>
      <c r="BY2402" s="94">
        <f t="shared" si="1372"/>
        <v>28903597.34965517</v>
      </c>
      <c r="BZ2402" s="94">
        <f t="shared" si="1372"/>
        <v>29843011.513793107</v>
      </c>
      <c r="CA2402" s="94">
        <f t="shared" si="1372"/>
        <v>29034101.909655176</v>
      </c>
      <c r="CB2402" s="94">
        <f t="shared" si="1372"/>
        <v>27740624.831724137</v>
      </c>
      <c r="CC2402" s="94">
        <f t="shared" si="1372"/>
        <v>30738639.18206897</v>
      </c>
      <c r="CD2402" s="94">
        <f t="shared" si="1372"/>
        <v>29765048.824827589</v>
      </c>
      <c r="CE2402" s="94">
        <f t="shared" si="1372"/>
        <v>32613774.1862069</v>
      </c>
      <c r="CF2402" s="94">
        <f t="shared" si="1372"/>
        <v>28675878.331034485</v>
      </c>
      <c r="CG2402" s="94">
        <f t="shared" si="1372"/>
        <v>32322016.700689659</v>
      </c>
      <c r="CH2402" s="94">
        <f t="shared" si="1370"/>
        <v>19372069.068275861</v>
      </c>
      <c r="CI2402" s="94">
        <f t="shared" ref="CI2402:CI2407" si="1373">SUM(B2402:CH2402)</f>
        <v>2559136165.6403456</v>
      </c>
      <c r="CJ2402" s="94">
        <f t="shared" ref="CJ2402:CJ2408" si="1374">+CI2402/85</f>
        <v>30107484.301651124</v>
      </c>
    </row>
    <row r="2403" spans="1:88" x14ac:dyDescent="0.25">
      <c r="A2403" s="146" t="s">
        <v>26</v>
      </c>
      <c r="B2403" s="92">
        <v>1703730.824137931</v>
      </c>
      <c r="C2403" s="92">
        <v>14680225.72758621</v>
      </c>
      <c r="D2403" s="92">
        <v>12468604.932758622</v>
      </c>
      <c r="E2403" s="92">
        <v>15516035.565517243</v>
      </c>
      <c r="F2403" s="92">
        <v>8026067.7448275872</v>
      </c>
      <c r="G2403" s="92">
        <v>12157179.594827589</v>
      </c>
      <c r="H2403" s="92">
        <v>1793929.6724137934</v>
      </c>
      <c r="I2403" s="92">
        <v>505725.6413793104</v>
      </c>
      <c r="J2403" s="92">
        <f>J2386</f>
        <v>777640.09827586217</v>
      </c>
      <c r="K2403" s="94">
        <v>460746.88103448279</v>
      </c>
      <c r="L2403" s="94">
        <v>1786200.6706896552</v>
      </c>
      <c r="M2403" s="94">
        <v>1415307.2137931036</v>
      </c>
      <c r="N2403" s="94">
        <f>+N2386</f>
        <v>1273146.8500000001</v>
      </c>
      <c r="O2403" s="94">
        <f t="shared" si="1368"/>
        <v>1072362.3120689655</v>
      </c>
      <c r="P2403" s="94">
        <f t="shared" si="1368"/>
        <v>199199.83448275866</v>
      </c>
      <c r="Q2403" s="94">
        <f t="shared" si="1368"/>
        <v>356195.23448275868</v>
      </c>
      <c r="R2403" s="94">
        <f t="shared" ref="R2403:S2406" si="1375">R2386</f>
        <v>1010328.5568965519</v>
      </c>
      <c r="S2403" s="94">
        <f t="shared" si="1375"/>
        <v>812887.39655172417</v>
      </c>
      <c r="T2403" s="94">
        <f>T2386</f>
        <v>1619274.0258620693</v>
      </c>
      <c r="U2403" s="94">
        <f t="shared" ref="U2403:AA2406" si="1376">U2386</f>
        <v>1562556.0086206899</v>
      </c>
      <c r="V2403" s="94">
        <f t="shared" si="1376"/>
        <v>1472524.4327586209</v>
      </c>
      <c r="W2403" s="94">
        <f t="shared" si="1376"/>
        <v>1290947.4637931036</v>
      </c>
      <c r="X2403" s="94">
        <f t="shared" si="1376"/>
        <v>2071791.6465517243</v>
      </c>
      <c r="Y2403" s="94">
        <f t="shared" si="1376"/>
        <v>1462347.1896551724</v>
      </c>
      <c r="Z2403" s="94">
        <f t="shared" si="1376"/>
        <v>1266045.1172413796</v>
      </c>
      <c r="AA2403" s="94">
        <f t="shared" si="1376"/>
        <v>1304375.4086206898</v>
      </c>
      <c r="AB2403" s="94">
        <f t="shared" ref="AB2403:AC2406" si="1377">AB2386</f>
        <v>965884.66551724146</v>
      </c>
      <c r="AC2403" s="94">
        <f t="shared" si="1377"/>
        <v>969888.96724137943</v>
      </c>
      <c r="AD2403" s="94">
        <f t="shared" ref="AD2403:AE2406" si="1378">AD2386</f>
        <v>991026.82586206915</v>
      </c>
      <c r="AE2403" s="94">
        <f t="shared" si="1378"/>
        <v>667255.07586206903</v>
      </c>
      <c r="AF2403" s="94">
        <f t="shared" ref="AF2403:CH2403" si="1379">AF2386</f>
        <v>1122652.3586206897</v>
      </c>
      <c r="AG2403" s="94">
        <f t="shared" si="1379"/>
        <v>1287312.7327586208</v>
      </c>
      <c r="AH2403" s="94">
        <f t="shared" si="1379"/>
        <v>1329605.6879310345</v>
      </c>
      <c r="AI2403" s="94">
        <f t="shared" si="1379"/>
        <v>1134954.2982758624</v>
      </c>
      <c r="AJ2403" s="94">
        <f t="shared" si="1379"/>
        <v>1023789.1948275863</v>
      </c>
      <c r="AK2403" s="94">
        <f t="shared" si="1379"/>
        <v>1040561.2913793104</v>
      </c>
      <c r="AL2403" s="94">
        <f t="shared" si="1379"/>
        <v>963143.91379310342</v>
      </c>
      <c r="AM2403" s="94">
        <f t="shared" si="1379"/>
        <v>1015620.9344827586</v>
      </c>
      <c r="AN2403" s="94">
        <f t="shared" si="1379"/>
        <v>893395.34137931047</v>
      </c>
      <c r="AO2403" s="94">
        <f t="shared" si="1379"/>
        <v>1000575.3931034482</v>
      </c>
      <c r="AP2403" s="94">
        <f t="shared" si="1379"/>
        <v>742014.87413793104</v>
      </c>
      <c r="AQ2403" s="94">
        <f t="shared" si="1379"/>
        <v>1013376.2689655174</v>
      </c>
      <c r="AR2403" s="94">
        <f t="shared" si="1379"/>
        <v>955711.23448275868</v>
      </c>
      <c r="AS2403" s="94">
        <f t="shared" si="1379"/>
        <v>1050381.3706896552</v>
      </c>
      <c r="AT2403" s="94">
        <f t="shared" si="1379"/>
        <v>820021.95344827592</v>
      </c>
      <c r="AU2403" s="94">
        <f t="shared" si="1379"/>
        <v>1058335.9172413794</v>
      </c>
      <c r="AV2403" s="94">
        <f t="shared" si="1379"/>
        <v>1349069.6137931035</v>
      </c>
      <c r="AW2403" s="94">
        <f t="shared" si="1379"/>
        <v>1036638.5500000002</v>
      </c>
      <c r="AX2403" s="94">
        <f t="shared" si="1379"/>
        <v>732794.28103448288</v>
      </c>
      <c r="AY2403" s="94">
        <f t="shared" si="1379"/>
        <v>1088465.3051724138</v>
      </c>
      <c r="AZ2403" s="94">
        <f t="shared" si="1379"/>
        <v>1352053.3120689658</v>
      </c>
      <c r="BA2403" s="94">
        <f t="shared" si="1379"/>
        <v>938870.93965517252</v>
      </c>
      <c r="BB2403" s="94">
        <f t="shared" si="1379"/>
        <v>673881.14310344832</v>
      </c>
      <c r="BC2403" s="94">
        <f t="shared" si="1379"/>
        <v>883117.26551724144</v>
      </c>
      <c r="BD2403" s="94">
        <f t="shared" si="1379"/>
        <v>909003.43965517241</v>
      </c>
      <c r="BE2403" s="94">
        <f t="shared" si="1379"/>
        <v>583007.45689655177</v>
      </c>
      <c r="BF2403" s="94">
        <f t="shared" si="1371"/>
        <v>659019.01034482766</v>
      </c>
      <c r="BG2403" s="94">
        <f t="shared" si="1371"/>
        <v>689440.57413793111</v>
      </c>
      <c r="BH2403" s="94">
        <f t="shared" ref="BH2403:CG2403" si="1380">BH2386</f>
        <v>684644.86379310349</v>
      </c>
      <c r="BI2403" s="94">
        <f t="shared" si="1380"/>
        <v>750429.73448275868</v>
      </c>
      <c r="BJ2403" s="94">
        <f t="shared" si="1380"/>
        <v>664388.71724137943</v>
      </c>
      <c r="BK2403" s="94">
        <f t="shared" si="1380"/>
        <v>854865.43275862071</v>
      </c>
      <c r="BL2403" s="94">
        <f t="shared" si="1380"/>
        <v>436645.71206896554</v>
      </c>
      <c r="BM2403" s="94">
        <f t="shared" si="1380"/>
        <v>245236.3206896552</v>
      </c>
      <c r="BN2403" s="94">
        <f t="shared" si="1380"/>
        <v>204396.50689655176</v>
      </c>
      <c r="BO2403" s="94">
        <f t="shared" si="1380"/>
        <v>417305.18275862071</v>
      </c>
      <c r="BP2403" s="94">
        <f t="shared" si="1380"/>
        <v>318743.2013793104</v>
      </c>
      <c r="BQ2403" s="94">
        <f t="shared" si="1380"/>
        <v>490270.02620689664</v>
      </c>
      <c r="BR2403" s="94">
        <f t="shared" si="1380"/>
        <v>342249.30620689655</v>
      </c>
      <c r="BS2403" s="94">
        <f t="shared" si="1380"/>
        <v>293341.70689655177</v>
      </c>
      <c r="BT2403" s="94">
        <f t="shared" si="1380"/>
        <v>241726.57655172417</v>
      </c>
      <c r="BU2403" s="94">
        <f t="shared" si="1380"/>
        <v>174244.0827586207</v>
      </c>
      <c r="BV2403" s="94">
        <f t="shared" si="1380"/>
        <v>216405.915862069</v>
      </c>
      <c r="BW2403" s="94">
        <f t="shared" si="1380"/>
        <v>138460.56137931038</v>
      </c>
      <c r="BX2403" s="94">
        <f t="shared" si="1380"/>
        <v>252533.21034482762</v>
      </c>
      <c r="BY2403" s="94">
        <f t="shared" si="1380"/>
        <v>582919.4862068966</v>
      </c>
      <c r="BZ2403" s="94">
        <f t="shared" si="1380"/>
        <v>348275.50413793104</v>
      </c>
      <c r="CA2403" s="94">
        <f t="shared" si="1380"/>
        <v>189262.80413793103</v>
      </c>
      <c r="CB2403" s="94">
        <f t="shared" si="1380"/>
        <v>261872.84275862074</v>
      </c>
      <c r="CC2403" s="94">
        <f t="shared" si="1380"/>
        <v>227766.2006896552</v>
      </c>
      <c r="CD2403" s="94">
        <f t="shared" si="1380"/>
        <v>125909.66413793105</v>
      </c>
      <c r="CE2403" s="94">
        <f t="shared" si="1380"/>
        <v>201817.09793103451</v>
      </c>
      <c r="CF2403" s="94">
        <f t="shared" si="1380"/>
        <v>313983.69379310345</v>
      </c>
      <c r="CG2403" s="94">
        <f t="shared" si="1380"/>
        <v>201017.91448275864</v>
      </c>
      <c r="CH2403" s="94">
        <f t="shared" si="1379"/>
        <v>242531.64758620691</v>
      </c>
      <c r="CI2403" s="94">
        <f t="shared" si="1373"/>
        <v>128427489.15034483</v>
      </c>
      <c r="CJ2403" s="94">
        <f t="shared" si="1374"/>
        <v>1510911.6370628804</v>
      </c>
    </row>
    <row r="2404" spans="1:88" x14ac:dyDescent="0.25">
      <c r="A2404" s="146" t="s">
        <v>27</v>
      </c>
      <c r="B2404" s="92">
        <v>831088.20689655177</v>
      </c>
      <c r="C2404" s="92">
        <v>9435812.2137931045</v>
      </c>
      <c r="D2404" s="92">
        <v>8960756.2189655174</v>
      </c>
      <c r="E2404" s="92">
        <v>11921680.629310345</v>
      </c>
      <c r="F2404" s="92">
        <v>14515633.831034483</v>
      </c>
      <c r="G2404" s="92">
        <v>13650509.075862071</v>
      </c>
      <c r="H2404" s="92">
        <v>11730888.184482761</v>
      </c>
      <c r="I2404" s="92">
        <v>13370937.806896552</v>
      </c>
      <c r="J2404" s="92">
        <f>J2387</f>
        <v>12372680.45172414</v>
      </c>
      <c r="K2404" s="94">
        <v>15560883.043103449</v>
      </c>
      <c r="L2404" s="94">
        <v>12554741.829310346</v>
      </c>
      <c r="M2404" s="94">
        <v>11953352.974137932</v>
      </c>
      <c r="N2404" s="94">
        <f>+N2387</f>
        <v>10057644.782758621</v>
      </c>
      <c r="O2404" s="94">
        <f t="shared" si="1368"/>
        <v>10723420.620689657</v>
      </c>
      <c r="P2404" s="94">
        <f t="shared" si="1368"/>
        <v>8693652.9672413804</v>
      </c>
      <c r="Q2404" s="94">
        <f t="shared" si="1368"/>
        <v>11740559.837931037</v>
      </c>
      <c r="R2404" s="94">
        <f t="shared" si="1375"/>
        <v>13274931.636206897</v>
      </c>
      <c r="S2404" s="94">
        <f t="shared" si="1375"/>
        <v>10800059.677586207</v>
      </c>
      <c r="T2404" s="94">
        <f>T2387</f>
        <v>10971744.256896555</v>
      </c>
      <c r="U2404" s="94">
        <f t="shared" si="1376"/>
        <v>10514029.479310345</v>
      </c>
      <c r="V2404" s="94">
        <f t="shared" si="1376"/>
        <v>10002289.922413794</v>
      </c>
      <c r="W2404" s="94">
        <f t="shared" si="1376"/>
        <v>11602230.589655174</v>
      </c>
      <c r="X2404" s="94">
        <f t="shared" si="1376"/>
        <v>10611070.801724138</v>
      </c>
      <c r="Y2404" s="94">
        <f t="shared" si="1376"/>
        <v>9712234.8189655188</v>
      </c>
      <c r="Z2404" s="94">
        <f t="shared" si="1376"/>
        <v>9823341.7931034509</v>
      </c>
      <c r="AA2404" s="94">
        <f t="shared" si="1376"/>
        <v>8579841.9189655185</v>
      </c>
      <c r="AB2404" s="94">
        <f t="shared" si="1377"/>
        <v>9798924.8551724143</v>
      </c>
      <c r="AC2404" s="94">
        <f t="shared" si="1377"/>
        <v>10221084.706896551</v>
      </c>
      <c r="AD2404" s="94">
        <f t="shared" si="1378"/>
        <v>10309990.213793105</v>
      </c>
      <c r="AE2404" s="94">
        <f t="shared" si="1378"/>
        <v>10052870.846551726</v>
      </c>
      <c r="AF2404" s="94">
        <f t="shared" ref="AF2404:CH2404" si="1381">AF2387</f>
        <v>10418449.820689656</v>
      </c>
      <c r="AG2404" s="94">
        <f t="shared" si="1381"/>
        <v>9616919.0706896558</v>
      </c>
      <c r="AH2404" s="94">
        <f t="shared" si="1381"/>
        <v>13793765.544827588</v>
      </c>
      <c r="AI2404" s="94">
        <f t="shared" si="1381"/>
        <v>9897753.9586206898</v>
      </c>
      <c r="AJ2404" s="94">
        <f t="shared" si="1381"/>
        <v>11151648.465517242</v>
      </c>
      <c r="AK2404" s="94">
        <f t="shared" si="1381"/>
        <v>13478070.558620691</v>
      </c>
      <c r="AL2404" s="94">
        <f t="shared" si="1381"/>
        <v>10605170.081034483</v>
      </c>
      <c r="AM2404" s="94">
        <f t="shared" si="1381"/>
        <v>9309161.3413793109</v>
      </c>
      <c r="AN2404" s="94">
        <f t="shared" si="1381"/>
        <v>10172146.96724138</v>
      </c>
      <c r="AO2404" s="94">
        <f t="shared" si="1381"/>
        <v>9258558.31724138</v>
      </c>
      <c r="AP2404" s="94">
        <f t="shared" si="1381"/>
        <v>9211894.727586206</v>
      </c>
      <c r="AQ2404" s="94">
        <f t="shared" si="1381"/>
        <v>9404833.1206896547</v>
      </c>
      <c r="AR2404" s="94">
        <f t="shared" si="1381"/>
        <v>12136706.013793105</v>
      </c>
      <c r="AS2404" s="94">
        <f t="shared" si="1381"/>
        <v>9769811.0241379328</v>
      </c>
      <c r="AT2404" s="94">
        <f t="shared" si="1381"/>
        <v>9189940.4775862079</v>
      </c>
      <c r="AU2404" s="94">
        <f t="shared" si="1381"/>
        <v>10044615.737931034</v>
      </c>
      <c r="AV2404" s="94">
        <f t="shared" si="1381"/>
        <v>10851911.413793104</v>
      </c>
      <c r="AW2404" s="94">
        <f t="shared" si="1381"/>
        <v>6786217.4431034494</v>
      </c>
      <c r="AX2404" s="94">
        <f t="shared" si="1381"/>
        <v>8707956.4793103449</v>
      </c>
      <c r="AY2404" s="94">
        <f t="shared" si="1381"/>
        <v>8173576.5120689664</v>
      </c>
      <c r="AZ2404" s="94">
        <f t="shared" si="1381"/>
        <v>7246290.3844827581</v>
      </c>
      <c r="BA2404" s="94">
        <f t="shared" si="1381"/>
        <v>6244378.7758620698</v>
      </c>
      <c r="BB2404" s="94">
        <f t="shared" si="1381"/>
        <v>7565098.3017241396</v>
      </c>
      <c r="BC2404" s="94">
        <f t="shared" si="1381"/>
        <v>6236865.90862069</v>
      </c>
      <c r="BD2404" s="94">
        <f t="shared" si="1381"/>
        <v>7918746.3689655177</v>
      </c>
      <c r="BE2404" s="94">
        <f t="shared" si="1381"/>
        <v>6962335.7344827596</v>
      </c>
      <c r="BF2404" s="94">
        <f t="shared" si="1371"/>
        <v>7120194.6413793117</v>
      </c>
      <c r="BG2404" s="94">
        <f t="shared" si="1371"/>
        <v>6799941.8948275866</v>
      </c>
      <c r="BH2404" s="94">
        <f t="shared" ref="BH2404:CG2404" si="1382">BH2387</f>
        <v>8170769.2327586208</v>
      </c>
      <c r="BI2404" s="94">
        <f t="shared" si="1382"/>
        <v>7210082.4258620702</v>
      </c>
      <c r="BJ2404" s="94">
        <f t="shared" si="1382"/>
        <v>8466615.2310344838</v>
      </c>
      <c r="BK2404" s="94">
        <f t="shared" si="1382"/>
        <v>7633272.7810344826</v>
      </c>
      <c r="BL2404" s="94">
        <f t="shared" si="1382"/>
        <v>8046985.4655172415</v>
      </c>
      <c r="BM2404" s="94">
        <f t="shared" si="1382"/>
        <v>7740494.9586206898</v>
      </c>
      <c r="BN2404" s="94">
        <f t="shared" si="1382"/>
        <v>8832804.6827586219</v>
      </c>
      <c r="BO2404" s="94">
        <f t="shared" si="1382"/>
        <v>8635168.6913793124</v>
      </c>
      <c r="BP2404" s="94">
        <f t="shared" si="1382"/>
        <v>7986657.2268965524</v>
      </c>
      <c r="BQ2404" s="94">
        <f t="shared" si="1382"/>
        <v>8420061.0979310349</v>
      </c>
      <c r="BR2404" s="94">
        <f t="shared" si="1382"/>
        <v>9842722.7779310346</v>
      </c>
      <c r="BS2404" s="94">
        <f t="shared" si="1382"/>
        <v>7879905.5441379324</v>
      </c>
      <c r="BT2404" s="94">
        <f t="shared" si="1382"/>
        <v>7400428.8020689655</v>
      </c>
      <c r="BU2404" s="94">
        <f t="shared" si="1382"/>
        <v>7342859.2551724138</v>
      </c>
      <c r="BV2404" s="94">
        <f t="shared" si="1382"/>
        <v>7463679.1482758634</v>
      </c>
      <c r="BW2404" s="94">
        <f t="shared" si="1382"/>
        <v>7929226.193793105</v>
      </c>
      <c r="BX2404" s="94">
        <f t="shared" si="1382"/>
        <v>7071824.4655172424</v>
      </c>
      <c r="BY2404" s="94">
        <f t="shared" si="1382"/>
        <v>7164678.0834482769</v>
      </c>
      <c r="BZ2404" s="94">
        <f t="shared" si="1382"/>
        <v>8020352.971034484</v>
      </c>
      <c r="CA2404" s="94">
        <f t="shared" si="1382"/>
        <v>6694643.783448277</v>
      </c>
      <c r="CB2404" s="94">
        <f t="shared" si="1382"/>
        <v>7380125.4834482763</v>
      </c>
      <c r="CC2404" s="94">
        <f t="shared" si="1382"/>
        <v>7951166.51586207</v>
      </c>
      <c r="CD2404" s="94">
        <f t="shared" si="1382"/>
        <v>7470318.6503448281</v>
      </c>
      <c r="CE2404" s="94">
        <f t="shared" si="1382"/>
        <v>6953860.2551724147</v>
      </c>
      <c r="CF2404" s="94">
        <f t="shared" si="1382"/>
        <v>6649153.6689655175</v>
      </c>
      <c r="CG2404" s="94">
        <f t="shared" si="1382"/>
        <v>8063486.9124137936</v>
      </c>
      <c r="CH2404" s="94">
        <f t="shared" si="1381"/>
        <v>6765421.8427586211</v>
      </c>
      <c r="CI2404" s="94">
        <f t="shared" si="1373"/>
        <v>791608613.42517245</v>
      </c>
      <c r="CJ2404" s="94">
        <f t="shared" si="1374"/>
        <v>9313042.5108843818</v>
      </c>
    </row>
    <row r="2405" spans="1:88" x14ac:dyDescent="0.25">
      <c r="A2405" s="146" t="s">
        <v>28</v>
      </c>
      <c r="B2405" s="92">
        <v>0</v>
      </c>
      <c r="C2405" s="92">
        <v>0</v>
      </c>
      <c r="D2405" s="92">
        <v>0</v>
      </c>
      <c r="E2405" s="92">
        <v>0</v>
      </c>
      <c r="F2405" s="92">
        <v>0</v>
      </c>
      <c r="G2405" s="92">
        <v>0</v>
      </c>
      <c r="H2405" s="92">
        <v>8215630.9017241383</v>
      </c>
      <c r="I2405" s="92">
        <v>9537197.3689655177</v>
      </c>
      <c r="J2405" s="92">
        <f>J2388</f>
        <v>10756564.187931037</v>
      </c>
      <c r="K2405" s="94">
        <v>6856948.8051724155</v>
      </c>
      <c r="L2405" s="94">
        <v>7113144.8844827591</v>
      </c>
      <c r="M2405" s="94">
        <v>8231807.2155172434</v>
      </c>
      <c r="N2405" s="94">
        <f>+N2388</f>
        <v>6226501.9206896555</v>
      </c>
      <c r="O2405" s="94">
        <f t="shared" si="1368"/>
        <v>7649099.1482758615</v>
      </c>
      <c r="P2405" s="94">
        <f t="shared" si="1368"/>
        <v>6408177.2241379321</v>
      </c>
      <c r="Q2405" s="94">
        <f t="shared" si="1368"/>
        <v>7070810.9879310355</v>
      </c>
      <c r="R2405" s="94">
        <f t="shared" si="1375"/>
        <v>6149629.3534482773</v>
      </c>
      <c r="S2405" s="94">
        <f t="shared" si="1375"/>
        <v>4516271.2465517242</v>
      </c>
      <c r="T2405" s="94">
        <f>T2388</f>
        <v>4989635.1672413796</v>
      </c>
      <c r="U2405" s="94">
        <f t="shared" si="1376"/>
        <v>5377816.2551724147</v>
      </c>
      <c r="V2405" s="94">
        <f t="shared" si="1376"/>
        <v>5333115.8879310349</v>
      </c>
      <c r="W2405" s="94">
        <f t="shared" si="1376"/>
        <v>4495221.0741379317</v>
      </c>
      <c r="X2405" s="94">
        <f t="shared" si="1376"/>
        <v>4230423.9586206898</v>
      </c>
      <c r="Y2405" s="94">
        <f t="shared" si="1376"/>
        <v>5503825.4396551736</v>
      </c>
      <c r="Z2405" s="94">
        <f t="shared" si="1376"/>
        <v>4304030.0086206906</v>
      </c>
      <c r="AA2405" s="94">
        <f t="shared" si="1376"/>
        <v>4406384.863793104</v>
      </c>
      <c r="AB2405" s="94">
        <f t="shared" si="1377"/>
        <v>2327927.5810344829</v>
      </c>
      <c r="AC2405" s="94">
        <f t="shared" si="1377"/>
        <v>3063124.8982758624</v>
      </c>
      <c r="AD2405" s="94">
        <f t="shared" si="1378"/>
        <v>3615811.5689655179</v>
      </c>
      <c r="AE2405" s="94">
        <f t="shared" si="1378"/>
        <v>3321076.8672413798</v>
      </c>
      <c r="AF2405" s="94">
        <f t="shared" ref="AF2405:CH2405" si="1383">AF2388</f>
        <v>2891813.6862068968</v>
      </c>
      <c r="AG2405" s="94">
        <f t="shared" si="1383"/>
        <v>7591458.6913793106</v>
      </c>
      <c r="AH2405" s="94">
        <f t="shared" si="1383"/>
        <v>2676205.453448276</v>
      </c>
      <c r="AI2405" s="94">
        <f t="shared" si="1383"/>
        <v>2572476.9827586208</v>
      </c>
      <c r="AJ2405" s="94">
        <f t="shared" si="1383"/>
        <v>612493.73275862075</v>
      </c>
      <c r="AK2405" s="94">
        <f t="shared" si="1383"/>
        <v>1546448.232758621</v>
      </c>
      <c r="AL2405" s="94">
        <f t="shared" si="1383"/>
        <v>1306134.3810344827</v>
      </c>
      <c r="AM2405" s="94">
        <f t="shared" si="1383"/>
        <v>1190393.0620689658</v>
      </c>
      <c r="AN2405" s="94">
        <f t="shared" si="1383"/>
        <v>923894.68965517252</v>
      </c>
      <c r="AO2405" s="94">
        <f t="shared" si="1383"/>
        <v>2816395.6241379315</v>
      </c>
      <c r="AP2405" s="94">
        <f t="shared" si="1383"/>
        <v>1534597.8965517243</v>
      </c>
      <c r="AQ2405" s="94">
        <f t="shared" si="1383"/>
        <v>1636311.477586207</v>
      </c>
      <c r="AR2405" s="94">
        <f t="shared" si="1383"/>
        <v>959865.73793103453</v>
      </c>
      <c r="AS2405" s="94">
        <f t="shared" si="1383"/>
        <v>1705056.9844827587</v>
      </c>
      <c r="AT2405" s="94">
        <f t="shared" si="1383"/>
        <v>1653180.9051724139</v>
      </c>
      <c r="AU2405" s="94">
        <f t="shared" si="1383"/>
        <v>1981467.8689655173</v>
      </c>
      <c r="AV2405" s="94">
        <f t="shared" si="1383"/>
        <v>2285858.1500000004</v>
      </c>
      <c r="AW2405" s="94">
        <f t="shared" si="1383"/>
        <v>1702041.2844827585</v>
      </c>
      <c r="AX2405" s="94">
        <f t="shared" si="1383"/>
        <v>2887373.2310344828</v>
      </c>
      <c r="AY2405" s="94">
        <f t="shared" si="1383"/>
        <v>1840132.0258620691</v>
      </c>
      <c r="AZ2405" s="94">
        <f t="shared" si="1383"/>
        <v>1973826.505172414</v>
      </c>
      <c r="BA2405" s="94">
        <f t="shared" si="1383"/>
        <v>2226478.5655172416</v>
      </c>
      <c r="BB2405" s="94">
        <f t="shared" si="1383"/>
        <v>2156476.7965517244</v>
      </c>
      <c r="BC2405" s="94">
        <f t="shared" si="1383"/>
        <v>1989442.9862068968</v>
      </c>
      <c r="BD2405" s="94">
        <f t="shared" si="1383"/>
        <v>1775355.005172414</v>
      </c>
      <c r="BE2405" s="94">
        <f t="shared" si="1383"/>
        <v>1748386.279310345</v>
      </c>
      <c r="BF2405" s="94">
        <f t="shared" si="1371"/>
        <v>1847238.3224137933</v>
      </c>
      <c r="BG2405" s="94">
        <f t="shared" si="1371"/>
        <v>1537068.7586206896</v>
      </c>
      <c r="BH2405" s="94">
        <f t="shared" ref="BH2405:CG2405" si="1384">BH2388</f>
        <v>2095885.3189655177</v>
      </c>
      <c r="BI2405" s="94">
        <f t="shared" si="1384"/>
        <v>1371421.8396551725</v>
      </c>
      <c r="BJ2405" s="94">
        <f t="shared" si="1384"/>
        <v>1791895.3758620692</v>
      </c>
      <c r="BK2405" s="94">
        <f t="shared" si="1384"/>
        <v>1886339.3637931035</v>
      </c>
      <c r="BL2405" s="94">
        <f t="shared" si="1384"/>
        <v>960945.06206896564</v>
      </c>
      <c r="BM2405" s="94">
        <f t="shared" si="1384"/>
        <v>486451.9086206897</v>
      </c>
      <c r="BN2405" s="94">
        <f t="shared" si="1384"/>
        <v>478464.80172413797</v>
      </c>
      <c r="BO2405" s="94">
        <f t="shared" si="1384"/>
        <v>271808.8448275862</v>
      </c>
      <c r="BP2405" s="94">
        <f t="shared" si="1384"/>
        <v>459798.65862068976</v>
      </c>
      <c r="BQ2405" s="94">
        <f t="shared" si="1384"/>
        <v>45623.904137931037</v>
      </c>
      <c r="BR2405" s="94">
        <f t="shared" si="1384"/>
        <v>123198.56689655173</v>
      </c>
      <c r="BS2405" s="94">
        <f t="shared" si="1384"/>
        <v>104776.20068965518</v>
      </c>
      <c r="BT2405" s="94">
        <f t="shared" si="1384"/>
        <v>63414.369655172413</v>
      </c>
      <c r="BU2405" s="94">
        <f t="shared" si="1384"/>
        <v>324942.62482758623</v>
      </c>
      <c r="BV2405" s="94">
        <f t="shared" si="1384"/>
        <v>199080.15103448278</v>
      </c>
      <c r="BW2405" s="94">
        <f t="shared" si="1384"/>
        <v>1409357.1393103451</v>
      </c>
      <c r="BX2405" s="94">
        <f t="shared" si="1384"/>
        <v>241124.71379310347</v>
      </c>
      <c r="BY2405" s="94">
        <f t="shared" si="1384"/>
        <v>369226.66689655173</v>
      </c>
      <c r="BZ2405" s="94">
        <f t="shared" si="1384"/>
        <v>677487.30827586213</v>
      </c>
      <c r="CA2405" s="94">
        <f t="shared" si="1384"/>
        <v>252146.09793103451</v>
      </c>
      <c r="CB2405" s="94">
        <f t="shared" si="1384"/>
        <v>349354.29034482763</v>
      </c>
      <c r="CC2405" s="94">
        <f t="shared" si="1384"/>
        <v>524216.58413793112</v>
      </c>
      <c r="CD2405" s="94">
        <f t="shared" si="1384"/>
        <v>417350.475862069</v>
      </c>
      <c r="CE2405" s="94">
        <f t="shared" si="1384"/>
        <v>286467.42620689655</v>
      </c>
      <c r="CF2405" s="94">
        <f t="shared" si="1384"/>
        <v>154763.82344827586</v>
      </c>
      <c r="CG2405" s="94">
        <f t="shared" si="1384"/>
        <v>102618.81724137934</v>
      </c>
      <c r="CH2405" s="94">
        <f t="shared" si="1383"/>
        <v>0</v>
      </c>
      <c r="CI2405" s="94">
        <f t="shared" si="1373"/>
        <v>212716210.4675861</v>
      </c>
      <c r="CJ2405" s="94">
        <f t="shared" si="1374"/>
        <v>2502543.6525598364</v>
      </c>
    </row>
    <row r="2406" spans="1:88" x14ac:dyDescent="0.25">
      <c r="A2406" s="146" t="s">
        <v>29</v>
      </c>
      <c r="B2406" s="92">
        <v>0</v>
      </c>
      <c r="C2406" s="92">
        <v>0</v>
      </c>
      <c r="D2406" s="92">
        <v>0</v>
      </c>
      <c r="E2406" s="92">
        <v>0</v>
      </c>
      <c r="F2406" s="92">
        <v>0</v>
      </c>
      <c r="G2406" s="92">
        <v>0</v>
      </c>
      <c r="H2406" s="92">
        <v>107490.80862068967</v>
      </c>
      <c r="I2406" s="92">
        <v>1356562.2206896553</v>
      </c>
      <c r="J2406" s="92">
        <f>J2389</f>
        <v>486177.18275862071</v>
      </c>
      <c r="K2406" s="94">
        <v>211749.71379310347</v>
      </c>
      <c r="L2406" s="94">
        <v>141684.95517241381</v>
      </c>
      <c r="M2406" s="94">
        <v>0</v>
      </c>
      <c r="N2406" s="94">
        <f>+N2389</f>
        <v>0</v>
      </c>
      <c r="O2406" s="94">
        <f t="shared" si="1368"/>
        <v>119421.09310344828</v>
      </c>
      <c r="P2406" s="94">
        <f t="shared" si="1368"/>
        <v>254046.61379310349</v>
      </c>
      <c r="Q2406" s="94">
        <f t="shared" si="1368"/>
        <v>49578.620689655181</v>
      </c>
      <c r="R2406" s="94">
        <f t="shared" si="1375"/>
        <v>0</v>
      </c>
      <c r="S2406" s="94">
        <f t="shared" si="1375"/>
        <v>143396.16379310345</v>
      </c>
      <c r="T2406" s="94">
        <f>T2389</f>
        <v>296904.25172413792</v>
      </c>
      <c r="U2406" s="94">
        <f t="shared" si="1376"/>
        <v>189409.99482758623</v>
      </c>
      <c r="V2406" s="94">
        <f t="shared" si="1376"/>
        <v>285381.88965517242</v>
      </c>
      <c r="W2406" s="94">
        <f t="shared" si="1376"/>
        <v>33514.755172413796</v>
      </c>
      <c r="X2406" s="94">
        <f t="shared" si="1376"/>
        <v>0</v>
      </c>
      <c r="Y2406" s="94">
        <f t="shared" si="1376"/>
        <v>104550.35</v>
      </c>
      <c r="Z2406" s="94">
        <f t="shared" si="1376"/>
        <v>159006.60689655173</v>
      </c>
      <c r="AA2406" s="94">
        <f t="shared" si="1376"/>
        <v>0</v>
      </c>
      <c r="AB2406" s="94">
        <f t="shared" si="1377"/>
        <v>317705.44137931039</v>
      </c>
      <c r="AC2406" s="94">
        <f t="shared" si="1377"/>
        <v>0</v>
      </c>
      <c r="AD2406" s="94">
        <f t="shared" si="1378"/>
        <v>48424.296551724139</v>
      </c>
      <c r="AE2406" s="94">
        <f t="shared" si="1378"/>
        <v>51132.913793103457</v>
      </c>
      <c r="AF2406" s="94">
        <f t="shared" ref="AF2406:CH2406" si="1385">AF2389</f>
        <v>240041.4103448276</v>
      </c>
      <c r="AG2406" s="94">
        <f t="shared" si="1385"/>
        <v>0</v>
      </c>
      <c r="AH2406" s="94">
        <f t="shared" si="1385"/>
        <v>125915.9603448276</v>
      </c>
      <c r="AI2406" s="94">
        <f t="shared" si="1385"/>
        <v>48354.487931034491</v>
      </c>
      <c r="AJ2406" s="94">
        <f t="shared" si="1385"/>
        <v>250519.07413793105</v>
      </c>
      <c r="AK2406" s="94">
        <f t="shared" si="1385"/>
        <v>73161.465517241391</v>
      </c>
      <c r="AL2406" s="94">
        <f t="shared" si="1385"/>
        <v>29452.71206896552</v>
      </c>
      <c r="AM2406" s="94">
        <f t="shared" si="1385"/>
        <v>361553.07241379312</v>
      </c>
      <c r="AN2406" s="94">
        <f t="shared" si="1385"/>
        <v>66008.855172413809</v>
      </c>
      <c r="AO2406" s="94">
        <f t="shared" si="1385"/>
        <v>79135.677586206904</v>
      </c>
      <c r="AP2406" s="94">
        <f t="shared" si="1385"/>
        <v>186153.27931034483</v>
      </c>
      <c r="AQ2406" s="94">
        <f t="shared" si="1385"/>
        <v>0</v>
      </c>
      <c r="AR2406" s="94">
        <f t="shared" si="1385"/>
        <v>109043.49310344829</v>
      </c>
      <c r="AS2406" s="94">
        <f t="shared" si="1385"/>
        <v>243701.76034482761</v>
      </c>
      <c r="AT2406" s="94">
        <f t="shared" si="1385"/>
        <v>24360.444827586209</v>
      </c>
      <c r="AU2406" s="94">
        <f t="shared" si="1385"/>
        <v>275791.45862068963</v>
      </c>
      <c r="AV2406" s="94">
        <f t="shared" si="1385"/>
        <v>0</v>
      </c>
      <c r="AW2406" s="94">
        <f t="shared" si="1385"/>
        <v>40275.160344827586</v>
      </c>
      <c r="AX2406" s="94">
        <f t="shared" si="1385"/>
        <v>0</v>
      </c>
      <c r="AY2406" s="94">
        <f t="shared" si="1385"/>
        <v>0</v>
      </c>
      <c r="AZ2406" s="94">
        <f t="shared" si="1385"/>
        <v>0</v>
      </c>
      <c r="BA2406" s="94">
        <f t="shared" si="1385"/>
        <v>79767.558620689655</v>
      </c>
      <c r="BB2406" s="94">
        <f t="shared" si="1385"/>
        <v>39437.213793103452</v>
      </c>
      <c r="BC2406" s="94">
        <f t="shared" si="1385"/>
        <v>0</v>
      </c>
      <c r="BD2406" s="94">
        <f t="shared" si="1385"/>
        <v>91374.501724137939</v>
      </c>
      <c r="BE2406" s="94">
        <f t="shared" si="1385"/>
        <v>98796.958620689664</v>
      </c>
      <c r="BF2406" s="94">
        <f t="shared" si="1371"/>
        <v>0</v>
      </c>
      <c r="BG2406" s="94">
        <f t="shared" si="1371"/>
        <v>154614.37068965519</v>
      </c>
      <c r="BH2406" s="94">
        <f t="shared" ref="BH2406:CG2406" si="1386">BH2389</f>
        <v>34109.605172413794</v>
      </c>
      <c r="BI2406" s="94">
        <f t="shared" si="1386"/>
        <v>0</v>
      </c>
      <c r="BJ2406" s="94">
        <f t="shared" si="1386"/>
        <v>76441.663793103449</v>
      </c>
      <c r="BK2406" s="94">
        <f t="shared" si="1386"/>
        <v>126700.50689655173</v>
      </c>
      <c r="BL2406" s="94">
        <f t="shared" si="1386"/>
        <v>0</v>
      </c>
      <c r="BM2406" s="94">
        <f t="shared" si="1386"/>
        <v>0</v>
      </c>
      <c r="BN2406" s="94">
        <f t="shared" si="1386"/>
        <v>0</v>
      </c>
      <c r="BO2406" s="94">
        <f t="shared" si="1386"/>
        <v>0</v>
      </c>
      <c r="BP2406" s="94">
        <f t="shared" si="1386"/>
        <v>0</v>
      </c>
      <c r="BQ2406" s="94">
        <f t="shared" si="1386"/>
        <v>47086.866206896557</v>
      </c>
      <c r="BR2406" s="94">
        <f t="shared" si="1386"/>
        <v>0</v>
      </c>
      <c r="BS2406" s="94">
        <f t="shared" si="1386"/>
        <v>0</v>
      </c>
      <c r="BT2406" s="94">
        <f t="shared" si="1386"/>
        <v>0</v>
      </c>
      <c r="BU2406" s="94">
        <f t="shared" si="1386"/>
        <v>40450.682068965521</v>
      </c>
      <c r="BV2406" s="94">
        <f t="shared" si="1386"/>
        <v>53207.473103448283</v>
      </c>
      <c r="BW2406" s="94">
        <f t="shared" si="1386"/>
        <v>37470.534482758623</v>
      </c>
      <c r="BX2406" s="94">
        <f t="shared" si="1386"/>
        <v>35294.65793103449</v>
      </c>
      <c r="BY2406" s="94">
        <f t="shared" si="1386"/>
        <v>0</v>
      </c>
      <c r="BZ2406" s="94">
        <f t="shared" si="1386"/>
        <v>89089.185517241378</v>
      </c>
      <c r="CA2406" s="94">
        <f t="shared" si="1386"/>
        <v>25867.956551724143</v>
      </c>
      <c r="CB2406" s="94">
        <f t="shared" si="1386"/>
        <v>0</v>
      </c>
      <c r="CC2406" s="94">
        <f t="shared" si="1386"/>
        <v>0</v>
      </c>
      <c r="CD2406" s="94">
        <f t="shared" si="1386"/>
        <v>81697.833103448284</v>
      </c>
      <c r="CE2406" s="94">
        <f t="shared" si="1386"/>
        <v>0</v>
      </c>
      <c r="CF2406" s="94">
        <f t="shared" si="1386"/>
        <v>0</v>
      </c>
      <c r="CG2406" s="94">
        <f t="shared" si="1386"/>
        <v>0</v>
      </c>
      <c r="CH2406" s="94">
        <f t="shared" si="1385"/>
        <v>29767.096551724142</v>
      </c>
      <c r="CI2406" s="94">
        <f t="shared" si="1373"/>
        <v>7650780.849310345</v>
      </c>
      <c r="CJ2406" s="94">
        <f t="shared" si="1374"/>
        <v>90009.186462474652</v>
      </c>
    </row>
    <row r="2407" spans="1:88" x14ac:dyDescent="0.25">
      <c r="A2407" s="146" t="s">
        <v>31</v>
      </c>
      <c r="B2407" s="92">
        <v>124990</v>
      </c>
      <c r="C2407" s="92">
        <v>999920</v>
      </c>
      <c r="D2407" s="92">
        <v>1549445</v>
      </c>
      <c r="E2407" s="92">
        <v>1568840</v>
      </c>
      <c r="F2407" s="92">
        <v>1838215</v>
      </c>
      <c r="G2407" s="92">
        <v>1633490</v>
      </c>
      <c r="H2407" s="92">
        <v>1614095</v>
      </c>
      <c r="I2407" s="92">
        <v>1978290</v>
      </c>
      <c r="J2407" s="92">
        <v>1648575</v>
      </c>
      <c r="K2407" s="92">
        <v>1400750</v>
      </c>
      <c r="L2407" s="92">
        <v>2064490</v>
      </c>
      <c r="M2407" s="92">
        <v>2267060</v>
      </c>
      <c r="N2407" s="94">
        <f>+N2391</f>
        <v>2583845</v>
      </c>
      <c r="O2407" s="94">
        <f t="shared" ref="O2407:T2407" si="1387">O2391</f>
        <v>2387740</v>
      </c>
      <c r="P2407" s="94">
        <f t="shared" si="1387"/>
        <v>2376965</v>
      </c>
      <c r="Q2407" s="94">
        <f t="shared" si="1387"/>
        <v>2299385</v>
      </c>
      <c r="R2407" s="94">
        <f t="shared" si="1387"/>
        <v>2452390</v>
      </c>
      <c r="S2407" s="94">
        <f t="shared" si="1387"/>
        <v>2176550</v>
      </c>
      <c r="T2407" s="94">
        <f t="shared" si="1387"/>
        <v>1717535</v>
      </c>
      <c r="U2407" s="94">
        <f t="shared" ref="U2407:Z2407" si="1388">U2391</f>
        <v>1308085</v>
      </c>
      <c r="V2407" s="94">
        <f t="shared" si="1388"/>
        <v>1489105</v>
      </c>
      <c r="W2407" s="94">
        <f t="shared" si="1388"/>
        <v>2256285</v>
      </c>
      <c r="X2407" s="94">
        <f t="shared" si="1388"/>
        <v>1941655</v>
      </c>
      <c r="Y2407" s="94">
        <f t="shared" si="1388"/>
        <v>1991220</v>
      </c>
      <c r="Z2407" s="94">
        <f t="shared" si="1388"/>
        <v>2230425</v>
      </c>
      <c r="AA2407" s="94">
        <f t="shared" ref="AA2407:CH2407" si="1389">AA2391</f>
        <v>2185170</v>
      </c>
      <c r="AB2407" s="94">
        <f t="shared" si="1389"/>
        <v>2187325</v>
      </c>
      <c r="AC2407" s="94">
        <f t="shared" si="1389"/>
        <v>2368345</v>
      </c>
      <c r="AD2407" s="94">
        <f t="shared" si="1389"/>
        <v>2461010</v>
      </c>
      <c r="AE2407" s="94">
        <f t="shared" si="1389"/>
        <v>2312315</v>
      </c>
      <c r="AF2407" s="94">
        <f t="shared" si="1389"/>
        <v>2236890</v>
      </c>
      <c r="AG2407" s="94">
        <f t="shared" si="1389"/>
        <v>2665735</v>
      </c>
      <c r="AH2407" s="94">
        <f t="shared" si="1389"/>
        <v>2344640</v>
      </c>
      <c r="AI2407" s="94">
        <f t="shared" si="1389"/>
        <v>2353260</v>
      </c>
      <c r="AJ2407" s="94">
        <f t="shared" si="1389"/>
        <v>2407135</v>
      </c>
      <c r="AK2407" s="94">
        <f t="shared" si="1389"/>
        <v>2191635</v>
      </c>
      <c r="AL2407" s="94">
        <f t="shared" si="1389"/>
        <v>2120520</v>
      </c>
      <c r="AM2407" s="94">
        <f t="shared" si="1389"/>
        <v>2010615</v>
      </c>
      <c r="AN2407" s="94">
        <f t="shared" si="1389"/>
        <v>2189480</v>
      </c>
      <c r="AO2407" s="94">
        <f t="shared" si="1389"/>
        <v>2126985</v>
      </c>
      <c r="AP2407" s="94">
        <f t="shared" si="1389"/>
        <v>2385585</v>
      </c>
      <c r="AQ2407" s="94">
        <f t="shared" si="1389"/>
        <v>2157155</v>
      </c>
      <c r="AR2407" s="94">
        <f t="shared" si="1389"/>
        <v>2361880</v>
      </c>
      <c r="AS2407" s="94">
        <f t="shared" si="1389"/>
        <v>2021390</v>
      </c>
      <c r="AT2407" s="94">
        <f t="shared" si="1389"/>
        <v>1814510</v>
      </c>
      <c r="AU2407" s="94">
        <f t="shared" si="1389"/>
        <v>2308005</v>
      </c>
      <c r="AV2407" s="94">
        <f t="shared" si="1389"/>
        <v>2344640</v>
      </c>
      <c r="AW2407" s="94">
        <f t="shared" si="1389"/>
        <v>2124830</v>
      </c>
      <c r="AX2407" s="94">
        <f t="shared" si="1389"/>
        <v>2342485</v>
      </c>
      <c r="AY2407" s="94">
        <f t="shared" si="1389"/>
        <v>2042940</v>
      </c>
      <c r="AZ2407" s="94">
        <f t="shared" si="1389"/>
        <v>2204565</v>
      </c>
      <c r="BA2407" s="94">
        <f t="shared" si="1389"/>
        <v>2152845</v>
      </c>
      <c r="BB2407" s="94">
        <f t="shared" si="1389"/>
        <v>2346795</v>
      </c>
      <c r="BC2407" s="94">
        <f t="shared" si="1389"/>
        <v>1719690</v>
      </c>
      <c r="BD2407" s="94">
        <f t="shared" si="1389"/>
        <v>2001995</v>
      </c>
      <c r="BE2407" s="94">
        <f t="shared" si="1389"/>
        <v>1937345</v>
      </c>
      <c r="BF2407" s="94">
        <f t="shared" ref="BF2407:BK2407" si="1390">BF2391</f>
        <v>1976135</v>
      </c>
      <c r="BG2407" s="94">
        <f t="shared" si="1390"/>
        <v>1756325</v>
      </c>
      <c r="BH2407" s="94">
        <f t="shared" si="1390"/>
        <v>1881315</v>
      </c>
      <c r="BI2407" s="94">
        <f t="shared" si="1390"/>
        <v>1905020</v>
      </c>
      <c r="BJ2407" s="94">
        <f t="shared" si="1390"/>
        <v>1762790</v>
      </c>
      <c r="BK2407" s="94">
        <f t="shared" si="1390"/>
        <v>2176550</v>
      </c>
      <c r="BL2407" s="94">
        <f t="shared" ref="BL2407:CG2407" si="1391">BL2391</f>
        <v>1980445</v>
      </c>
      <c r="BM2407" s="94">
        <f t="shared" si="1391"/>
        <v>1911485</v>
      </c>
      <c r="BN2407" s="94">
        <f t="shared" si="1391"/>
        <v>2219650</v>
      </c>
      <c r="BO2407" s="94">
        <f t="shared" si="1391"/>
        <v>2292920</v>
      </c>
      <c r="BP2407" s="94">
        <f t="shared" si="1391"/>
        <v>2385032</v>
      </c>
      <c r="BQ2407" s="94">
        <f t="shared" si="1391"/>
        <v>2397102</v>
      </c>
      <c r="BR2407" s="94">
        <f t="shared" si="1391"/>
        <v>2462280</v>
      </c>
      <c r="BS2407" s="94">
        <f t="shared" si="1391"/>
        <v>2080868</v>
      </c>
      <c r="BT2407" s="94">
        <f t="shared" si="1391"/>
        <v>1820156</v>
      </c>
      <c r="BU2407" s="94">
        <f t="shared" si="1391"/>
        <v>1361496</v>
      </c>
      <c r="BV2407" s="94">
        <f t="shared" si="1391"/>
        <v>1687386</v>
      </c>
      <c r="BW2407" s="94">
        <f t="shared" si="1391"/>
        <v>1986722</v>
      </c>
      <c r="BX2407" s="94">
        <f t="shared" si="1391"/>
        <v>2080868</v>
      </c>
      <c r="BY2407" s="94">
        <f t="shared" si="1391"/>
        <v>2121906</v>
      </c>
      <c r="BZ2407" s="94">
        <f t="shared" si="1391"/>
        <v>2201568</v>
      </c>
      <c r="CA2407" s="94">
        <f t="shared" si="1391"/>
        <v>2150874</v>
      </c>
      <c r="CB2407" s="94">
        <f t="shared" si="1391"/>
        <v>2073626</v>
      </c>
      <c r="CC2407" s="94">
        <f t="shared" si="1391"/>
        <v>2266746</v>
      </c>
      <c r="CD2407" s="94">
        <f t="shared" si="1391"/>
        <v>2237778</v>
      </c>
      <c r="CE2407" s="94">
        <f t="shared" si="1391"/>
        <v>2353650</v>
      </c>
      <c r="CF2407" s="94">
        <f t="shared" si="1391"/>
        <v>2170186</v>
      </c>
      <c r="CG2407" s="94">
        <f t="shared" si="1391"/>
        <v>2486420</v>
      </c>
      <c r="CH2407" s="94">
        <f t="shared" si="1389"/>
        <v>1448400</v>
      </c>
      <c r="CI2407" s="94">
        <f t="shared" si="1373"/>
        <v>173962759</v>
      </c>
      <c r="CJ2407" s="94">
        <f t="shared" si="1374"/>
        <v>2046620.6941176471</v>
      </c>
    </row>
    <row r="2408" spans="1:88" x14ac:dyDescent="0.25">
      <c r="A2408" s="198" t="s">
        <v>32</v>
      </c>
      <c r="B2408" s="199">
        <f>SUM(B2402:B2407)</f>
        <v>4280431.0344827585</v>
      </c>
      <c r="C2408" s="199">
        <f t="shared" ref="C2408:N2408" si="1392">SUM(C2402:C2407)</f>
        <v>41798103.448275864</v>
      </c>
      <c r="D2408" s="199">
        <f t="shared" si="1392"/>
        <v>42167844.827586211</v>
      </c>
      <c r="E2408" s="199">
        <f t="shared" si="1392"/>
        <v>50164051.72413794</v>
      </c>
      <c r="F2408" s="199">
        <f t="shared" si="1392"/>
        <v>44779741.379310347</v>
      </c>
      <c r="G2408" s="199">
        <f t="shared" si="1392"/>
        <v>49915775.862068973</v>
      </c>
      <c r="H2408" s="199">
        <f t="shared" si="1392"/>
        <v>46404828.448275872</v>
      </c>
      <c r="I2408" s="199">
        <f t="shared" si="1392"/>
        <v>49199827.586206898</v>
      </c>
      <c r="J2408" s="199">
        <f t="shared" si="1392"/>
        <v>48892155.172413804</v>
      </c>
      <c r="K2408" s="199">
        <f t="shared" si="1392"/>
        <v>44050948.275862075</v>
      </c>
      <c r="L2408" s="199">
        <f t="shared" si="1392"/>
        <v>52777241.379310347</v>
      </c>
      <c r="M2408" s="199">
        <f t="shared" si="1392"/>
        <v>57419913.793103456</v>
      </c>
      <c r="N2408" s="199">
        <f t="shared" si="1392"/>
        <v>48898362.068965524</v>
      </c>
      <c r="O2408" s="199">
        <f>SUM(O2402:O2407)</f>
        <v>56953103.448275864</v>
      </c>
      <c r="P2408" s="199">
        <f>SUM(P2402:P2407)</f>
        <v>51185775.862068973</v>
      </c>
      <c r="Q2408" s="199">
        <f>SUM(Q2402:Q2407)</f>
        <v>54645000</v>
      </c>
      <c r="R2408" s="199">
        <f>SUM(R2402:R2407)</f>
        <v>59146637.93103449</v>
      </c>
      <c r="S2408" s="199">
        <f>SUM(S2402:S2407)</f>
        <v>49169137.931034483</v>
      </c>
      <c r="T2408" s="199">
        <f t="shared" ref="T2408:Y2408" si="1393">SUM(T2402:T2407)</f>
        <v>46688275.862068973</v>
      </c>
      <c r="U2408" s="199">
        <f t="shared" si="1393"/>
        <v>39761896.551724143</v>
      </c>
      <c r="V2408" s="199">
        <f t="shared" si="1393"/>
        <v>41661120.689655185</v>
      </c>
      <c r="W2408" s="199">
        <f t="shared" si="1393"/>
        <v>53055689.655172423</v>
      </c>
      <c r="X2408" s="199">
        <f t="shared" si="1393"/>
        <v>47704655.172413804</v>
      </c>
      <c r="Y2408" s="199">
        <f t="shared" si="1393"/>
        <v>48914051.72413794</v>
      </c>
      <c r="Z2408" s="199">
        <f t="shared" ref="Z2408:CI2408" si="1394">SUM(Z2402:Z2407)</f>
        <v>51727758.62068966</v>
      </c>
      <c r="AA2408" s="199">
        <f t="shared" si="1394"/>
        <v>50636724.137931041</v>
      </c>
      <c r="AB2408" s="199">
        <f t="shared" si="1394"/>
        <v>48463534.482758626</v>
      </c>
      <c r="AC2408" s="199">
        <f t="shared" si="1394"/>
        <v>51575689.655172415</v>
      </c>
      <c r="AD2408" s="199">
        <f t="shared" si="1394"/>
        <v>56570258.620689668</v>
      </c>
      <c r="AE2408" s="199">
        <f t="shared" si="1394"/>
        <v>51164913.793103456</v>
      </c>
      <c r="AF2408" s="199">
        <f t="shared" si="1394"/>
        <v>51453706.896551728</v>
      </c>
      <c r="AG2408" s="199">
        <f t="shared" si="1394"/>
        <v>62039215.946551718</v>
      </c>
      <c r="AH2408" s="199">
        <f t="shared" si="1394"/>
        <v>53914224.137931041</v>
      </c>
      <c r="AI2408" s="199">
        <f t="shared" si="1394"/>
        <v>52613534.482758626</v>
      </c>
      <c r="AJ2408" s="199">
        <f t="shared" si="1394"/>
        <v>52611724.137931034</v>
      </c>
      <c r="AK2408" s="199">
        <f t="shared" si="1394"/>
        <v>52869137.931034483</v>
      </c>
      <c r="AL2408" s="199">
        <f t="shared" si="1394"/>
        <v>47500603.448275864</v>
      </c>
      <c r="AM2408" s="199">
        <f t="shared" si="1394"/>
        <v>45302758.62068966</v>
      </c>
      <c r="AN2408" s="199">
        <f t="shared" si="1394"/>
        <v>51261637.931034476</v>
      </c>
      <c r="AO2408" s="199">
        <f t="shared" si="1394"/>
        <v>51813534.482758626</v>
      </c>
      <c r="AP2408" s="199">
        <f t="shared" si="1394"/>
        <v>52139137.931034483</v>
      </c>
      <c r="AQ2408" s="199">
        <f t="shared" si="1394"/>
        <v>47586120.689655177</v>
      </c>
      <c r="AR2408" s="199">
        <f t="shared" si="1394"/>
        <v>52947931.034482755</v>
      </c>
      <c r="AS2408" s="199">
        <f t="shared" si="1394"/>
        <v>46905948.275862075</v>
      </c>
      <c r="AT2408" s="199">
        <f t="shared" si="1394"/>
        <v>41417672.413793109</v>
      </c>
      <c r="AU2408" s="199">
        <f t="shared" si="1394"/>
        <v>51345000</v>
      </c>
      <c r="AV2408" s="199">
        <f t="shared" si="1394"/>
        <v>54082672.413793102</v>
      </c>
      <c r="AW2408" s="199">
        <f t="shared" si="1394"/>
        <v>44957500</v>
      </c>
      <c r="AX2408" s="199">
        <f t="shared" si="1394"/>
        <v>51015862.068965517</v>
      </c>
      <c r="AY2408" s="199">
        <f t="shared" si="1394"/>
        <v>45815344.827586211</v>
      </c>
      <c r="AZ2408" s="199">
        <f t="shared" si="1394"/>
        <v>48436034.482758626</v>
      </c>
      <c r="BA2408" s="199">
        <f t="shared" si="1394"/>
        <v>45482500</v>
      </c>
      <c r="BB2408" s="199">
        <f t="shared" si="1394"/>
        <v>48932327.586206913</v>
      </c>
      <c r="BC2408" s="199">
        <f t="shared" si="1394"/>
        <v>37562241.379310347</v>
      </c>
      <c r="BD2408" s="199">
        <f t="shared" si="1394"/>
        <v>43125000.000000007</v>
      </c>
      <c r="BE2408" s="199">
        <f t="shared" si="1394"/>
        <v>41153534.482758626</v>
      </c>
      <c r="BF2408" s="199">
        <f t="shared" si="1394"/>
        <v>41682025.862068973</v>
      </c>
      <c r="BG2408" s="199">
        <f t="shared" ref="BG2408:CG2408" si="1395">SUM(BG2402:BG2407)</f>
        <v>38176293.103448272</v>
      </c>
      <c r="BH2408" s="199">
        <f t="shared" si="1395"/>
        <v>42737155.172413796</v>
      </c>
      <c r="BI2408" s="199">
        <f t="shared" si="1395"/>
        <v>39726896.551724151</v>
      </c>
      <c r="BJ2408" s="199">
        <f t="shared" si="1395"/>
        <v>39493534.482758626</v>
      </c>
      <c r="BK2408" s="199">
        <f t="shared" si="1395"/>
        <v>45530689.655172423</v>
      </c>
      <c r="BL2408" s="199">
        <f t="shared" si="1395"/>
        <v>42504568.965517245</v>
      </c>
      <c r="BM2408" s="199">
        <f t="shared" si="1395"/>
        <v>39628534.482758626</v>
      </c>
      <c r="BN2408" s="199">
        <f t="shared" si="1395"/>
        <v>45698534.482758626</v>
      </c>
      <c r="BO2408" s="199">
        <f t="shared" si="1395"/>
        <v>46335689.655172415</v>
      </c>
      <c r="BP2408" s="199">
        <f t="shared" si="1395"/>
        <v>43576465.517241389</v>
      </c>
      <c r="BQ2408" s="199">
        <f t="shared" si="1395"/>
        <v>44118879.310344838</v>
      </c>
      <c r="BR2408" s="199">
        <f t="shared" si="1395"/>
        <v>47165603.448275872</v>
      </c>
      <c r="BS2408" s="199">
        <f t="shared" si="1395"/>
        <v>39983362.068965524</v>
      </c>
      <c r="BT2408" s="199">
        <f t="shared" si="1395"/>
        <v>36390086.206896551</v>
      </c>
      <c r="BU2408" s="199">
        <f t="shared" si="1395"/>
        <v>28609827.586206898</v>
      </c>
      <c r="BV2408" s="199">
        <f t="shared" si="1395"/>
        <v>32487241.379310351</v>
      </c>
      <c r="BW2408" s="199">
        <f t="shared" si="1395"/>
        <v>37934568.965517245</v>
      </c>
      <c r="BX2408" s="199">
        <f t="shared" si="1395"/>
        <v>37975172.413793117</v>
      </c>
      <c r="BY2408" s="199">
        <f t="shared" si="1395"/>
        <v>39142327.586206898</v>
      </c>
      <c r="BZ2408" s="199">
        <f t="shared" si="1395"/>
        <v>41179784.482758626</v>
      </c>
      <c r="CA2408" s="199">
        <f t="shared" si="1395"/>
        <v>38346896.551724143</v>
      </c>
      <c r="CB2408" s="199">
        <f t="shared" si="1395"/>
        <v>37805603.448275864</v>
      </c>
      <c r="CC2408" s="199">
        <f t="shared" si="1395"/>
        <v>41708534.482758626</v>
      </c>
      <c r="CD2408" s="199">
        <f t="shared" si="1395"/>
        <v>40098103.448275864</v>
      </c>
      <c r="CE2408" s="199">
        <f t="shared" si="1395"/>
        <v>42409568.965517245</v>
      </c>
      <c r="CF2408" s="199">
        <f t="shared" si="1395"/>
        <v>37963965.517241381</v>
      </c>
      <c r="CG2408" s="199">
        <f t="shared" si="1395"/>
        <v>43175560.344827585</v>
      </c>
      <c r="CH2408" s="199">
        <f t="shared" si="1394"/>
        <v>27858189.655172415</v>
      </c>
      <c r="CI2408" s="199">
        <f t="shared" si="1394"/>
        <v>3873502018.5327592</v>
      </c>
      <c r="CJ2408" s="199">
        <f t="shared" si="1374"/>
        <v>45570611.982738346</v>
      </c>
    </row>
    <row r="2409" spans="1:88" x14ac:dyDescent="0.25">
      <c r="B2409" s="89"/>
      <c r="C2409" s="89"/>
      <c r="D2409" s="89"/>
      <c r="E2409" s="89"/>
      <c r="F2409" s="89"/>
      <c r="G2409" s="89"/>
      <c r="H2409" s="89"/>
      <c r="I2409" s="89"/>
      <c r="J2409" s="89"/>
      <c r="K2409" s="89"/>
      <c r="L2409" s="89"/>
      <c r="M2409" s="89"/>
      <c r="N2409" s="89"/>
      <c r="O2409" s="89"/>
      <c r="P2409" s="89"/>
      <c r="Q2409" s="89"/>
      <c r="R2409" s="89"/>
      <c r="S2409" s="89"/>
      <c r="T2409" s="89"/>
      <c r="U2409" s="89"/>
      <c r="V2409" s="89"/>
      <c r="W2409" s="89"/>
      <c r="X2409" s="89"/>
      <c r="Y2409" s="89"/>
      <c r="Z2409" s="89"/>
      <c r="AA2409" s="89"/>
      <c r="AB2409" s="89"/>
      <c r="AC2409" s="89"/>
      <c r="AD2409" s="89"/>
      <c r="AE2409" s="89"/>
      <c r="AF2409" s="89"/>
      <c r="AG2409" s="89"/>
      <c r="AH2409" s="89"/>
      <c r="AI2409" s="89"/>
      <c r="AJ2409" s="89"/>
      <c r="AK2409" s="89"/>
      <c r="AL2409" s="89"/>
      <c r="AM2409" s="89"/>
      <c r="AN2409" s="89"/>
      <c r="AO2409" s="89"/>
      <c r="AP2409" s="89"/>
      <c r="AQ2409" s="89"/>
      <c r="AR2409" s="89"/>
      <c r="AS2409" s="89"/>
      <c r="AT2409" s="89"/>
      <c r="AU2409" s="89"/>
      <c r="AV2409" s="89"/>
      <c r="AW2409" s="89"/>
      <c r="AX2409" s="89"/>
      <c r="AY2409" s="89"/>
      <c r="AZ2409" s="89"/>
      <c r="BA2409" s="89"/>
      <c r="BB2409" s="89"/>
      <c r="BC2409" s="89"/>
      <c r="BD2409" s="89"/>
      <c r="BE2409" s="89"/>
      <c r="BF2409" s="89"/>
      <c r="BG2409" s="89"/>
      <c r="BH2409" s="89"/>
      <c r="BI2409" s="89"/>
      <c r="BJ2409" s="89"/>
      <c r="BK2409" s="89"/>
      <c r="BL2409" s="89"/>
      <c r="BM2409" s="89"/>
      <c r="BN2409" s="89"/>
      <c r="BO2409" s="89"/>
      <c r="BP2409" s="89"/>
      <c r="BQ2409" s="89"/>
      <c r="BR2409" s="89"/>
      <c r="BS2409" s="89"/>
      <c r="BT2409" s="89"/>
      <c r="BU2409" s="89"/>
      <c r="BV2409" s="89"/>
      <c r="BW2409" s="89"/>
      <c r="BX2409" s="89"/>
      <c r="BY2409" s="89"/>
      <c r="BZ2409" s="89"/>
      <c r="CA2409" s="89"/>
      <c r="CB2409" s="89"/>
      <c r="CC2409" s="89"/>
      <c r="CD2409" s="89"/>
      <c r="CE2409" s="89"/>
      <c r="CF2409" s="89"/>
      <c r="CG2409" s="89"/>
      <c r="CH2409" s="89"/>
    </row>
  </sheetData>
  <sheetProtection selectLockedCells="1" selectUnlockedCells="1"/>
  <mergeCells count="89">
    <mergeCell ref="B1958:H1958"/>
    <mergeCell ref="B1931:H1931"/>
    <mergeCell ref="B1904:H1904"/>
    <mergeCell ref="B1877:H1877"/>
    <mergeCell ref="B2397:H2397"/>
    <mergeCell ref="B1985:H1985"/>
    <mergeCell ref="B2012:H2012"/>
    <mergeCell ref="B2039:H2039"/>
    <mergeCell ref="B2066:H2066"/>
    <mergeCell ref="B2093:H2093"/>
    <mergeCell ref="B2120:H2120"/>
    <mergeCell ref="B2147:H2147"/>
    <mergeCell ref="B2174:H2174"/>
    <mergeCell ref="B2201:H2201"/>
    <mergeCell ref="B2228:H2228"/>
    <mergeCell ref="B2255:H2255"/>
    <mergeCell ref="B1796:H1796"/>
    <mergeCell ref="B1823:H1823"/>
    <mergeCell ref="B1850:H1850"/>
    <mergeCell ref="B1634:H1634"/>
    <mergeCell ref="B1661:H1661"/>
    <mergeCell ref="B1688:H1688"/>
    <mergeCell ref="B1715:H1715"/>
    <mergeCell ref="B1418:H1418"/>
    <mergeCell ref="B1607:H1607"/>
    <mergeCell ref="B1580:H1580"/>
    <mergeCell ref="B1742:H1742"/>
    <mergeCell ref="B1769:H1769"/>
    <mergeCell ref="B1445:H1445"/>
    <mergeCell ref="B1472:H1472"/>
    <mergeCell ref="B1499:H1499"/>
    <mergeCell ref="B1526:H1526"/>
    <mergeCell ref="B1553:H1553"/>
    <mergeCell ref="B1283:H1283"/>
    <mergeCell ref="B1310:H1310"/>
    <mergeCell ref="B1337:H1337"/>
    <mergeCell ref="B1364:H1364"/>
    <mergeCell ref="B1391:H1391"/>
    <mergeCell ref="B1147:H1147"/>
    <mergeCell ref="B1174:H1174"/>
    <mergeCell ref="B1201:H1201"/>
    <mergeCell ref="B1229:H1229"/>
    <mergeCell ref="B1256:H1256"/>
    <mergeCell ref="B1012:H1012"/>
    <mergeCell ref="B1039:H1039"/>
    <mergeCell ref="B1066:H1066"/>
    <mergeCell ref="B1093:H1093"/>
    <mergeCell ref="B1120:H1120"/>
    <mergeCell ref="B875:H875"/>
    <mergeCell ref="B903:H903"/>
    <mergeCell ref="B931:H931"/>
    <mergeCell ref="B958:H958"/>
    <mergeCell ref="B985:H985"/>
    <mergeCell ref="B735:H735"/>
    <mergeCell ref="B763:H763"/>
    <mergeCell ref="B791:H791"/>
    <mergeCell ref="B819:H819"/>
    <mergeCell ref="B847:H847"/>
    <mergeCell ref="B596:H596"/>
    <mergeCell ref="B623:H623"/>
    <mergeCell ref="B651:H651"/>
    <mergeCell ref="B679:H679"/>
    <mergeCell ref="B707:H707"/>
    <mergeCell ref="B456:H456"/>
    <mergeCell ref="B484:H484"/>
    <mergeCell ref="B512:H512"/>
    <mergeCell ref="B540:H540"/>
    <mergeCell ref="B568:H568"/>
    <mergeCell ref="B316:H316"/>
    <mergeCell ref="B344:H344"/>
    <mergeCell ref="B372:H372"/>
    <mergeCell ref="B400:H400"/>
    <mergeCell ref="B428:H428"/>
    <mergeCell ref="B2336:H2336"/>
    <mergeCell ref="B2309:H2309"/>
    <mergeCell ref="B2282:H2282"/>
    <mergeCell ref="C1:H2"/>
    <mergeCell ref="B3:I3"/>
    <mergeCell ref="B31:I31"/>
    <mergeCell ref="B60:I60"/>
    <mergeCell ref="B88:I88"/>
    <mergeCell ref="B116:I116"/>
    <mergeCell ref="B142:I142"/>
    <mergeCell ref="B143:I143"/>
    <mergeCell ref="B173:I173"/>
    <mergeCell ref="B201:H201"/>
    <mergeCell ref="B232:H232"/>
    <mergeCell ref="B260:H260"/>
    <mergeCell ref="B288:H288"/>
  </mergeCells>
  <pageMargins left="0.98402777777777772" right="0.11805555555555555" top="0" bottom="0" header="0.51180555555555551" footer="0.51180555555555551"/>
  <pageSetup scale="65" firstPageNumber="0"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CB2212"/>
  <sheetViews>
    <sheetView topLeftCell="A2142" zoomScale="75" zoomScaleNormal="75" zoomScalePageLayoutView="75" workbookViewId="0">
      <selection activeCell="I2167" sqref="I2167"/>
    </sheetView>
  </sheetViews>
  <sheetFormatPr baseColWidth="10" defaultRowHeight="15" x14ac:dyDescent="0.25"/>
  <cols>
    <col min="1" max="1" width="35.140625" customWidth="1"/>
    <col min="2" max="2" width="15.28515625" customWidth="1"/>
    <col min="3" max="3" width="16.140625" customWidth="1"/>
    <col min="4" max="4" width="18.140625" customWidth="1"/>
    <col min="5" max="5" width="15.42578125" customWidth="1"/>
    <col min="6" max="6" width="16.7109375" customWidth="1"/>
    <col min="7" max="7" width="16.85546875" customWidth="1"/>
    <col min="8" max="8" width="18.7109375" customWidth="1"/>
    <col min="9" max="9" width="16.42578125" customWidth="1"/>
    <col min="10" max="10" width="15.7109375" customWidth="1"/>
    <col min="11" max="78" width="18.42578125" customWidth="1"/>
    <col min="79" max="79" width="18.140625" customWidth="1"/>
    <col min="80" max="80" width="23.7109375" customWidth="1"/>
  </cols>
  <sheetData>
    <row r="1" spans="1:13" ht="26.25" x14ac:dyDescent="0.4">
      <c r="B1" s="1003" t="s">
        <v>402</v>
      </c>
      <c r="C1" s="1003"/>
      <c r="D1" s="1003"/>
      <c r="E1" s="1003"/>
      <c r="F1" s="1003"/>
      <c r="G1" s="1003"/>
      <c r="H1" s="1003"/>
      <c r="I1" s="1003"/>
      <c r="J1" s="1003"/>
    </row>
    <row r="3" spans="1:13" ht="26.25" x14ac:dyDescent="0.25">
      <c r="B3" s="1004" t="s">
        <v>353</v>
      </c>
      <c r="C3" s="1004"/>
      <c r="D3" s="1004"/>
      <c r="E3" s="1004"/>
      <c r="F3" s="1004"/>
      <c r="G3" s="1004"/>
      <c r="H3" s="1004"/>
      <c r="I3" s="1004"/>
    </row>
    <row r="4" spans="1:13" ht="15.75" x14ac:dyDescent="0.25">
      <c r="A4" s="72" t="s">
        <v>2</v>
      </c>
      <c r="B4" s="287" t="s">
        <v>107</v>
      </c>
      <c r="C4" s="51" t="s">
        <v>108</v>
      </c>
      <c r="D4" s="50" t="s">
        <v>109</v>
      </c>
      <c r="E4" s="51" t="s">
        <v>110</v>
      </c>
      <c r="F4" s="51" t="s">
        <v>111</v>
      </c>
      <c r="G4" s="51" t="s">
        <v>112</v>
      </c>
      <c r="H4" s="50" t="s">
        <v>113</v>
      </c>
      <c r="I4" s="51" t="s">
        <v>10</v>
      </c>
      <c r="J4" s="73" t="s">
        <v>68</v>
      </c>
    </row>
    <row r="5" spans="1:13" x14ac:dyDescent="0.25">
      <c r="A5" s="74" t="s">
        <v>11</v>
      </c>
      <c r="B5" s="288"/>
      <c r="C5" s="289">
        <v>18</v>
      </c>
      <c r="D5" s="6">
        <v>60</v>
      </c>
      <c r="E5" s="7">
        <v>71</v>
      </c>
      <c r="F5" s="290">
        <v>156</v>
      </c>
      <c r="G5" s="290">
        <v>197</v>
      </c>
      <c r="H5" s="290">
        <v>128</v>
      </c>
      <c r="I5" s="76">
        <f>FLORESTA!$B5+FLORESTA!$C5+FLORESTA!$D5+FLORESTA!$E5+FLORESTA!$F5+FLORESTA!$G5+FLORESTA!$H5</f>
        <v>630</v>
      </c>
      <c r="J5" s="76">
        <f>FLORESTA!$I5/7</f>
        <v>90</v>
      </c>
    </row>
    <row r="6" spans="1:13" x14ac:dyDescent="0.25">
      <c r="A6" s="77" t="s">
        <v>12</v>
      </c>
      <c r="B6" s="291"/>
      <c r="C6" s="292">
        <v>1</v>
      </c>
      <c r="D6" s="78">
        <v>5</v>
      </c>
      <c r="E6" s="78">
        <v>3</v>
      </c>
      <c r="F6" s="78">
        <v>8</v>
      </c>
      <c r="G6" s="78">
        <v>13</v>
      </c>
      <c r="H6" s="78">
        <v>8</v>
      </c>
      <c r="I6" s="78">
        <f>FLORESTA!$B6+FLORESTA!$C6+FLORESTA!$D6+FLORESTA!$E6+FLORESTA!$F6+FLORESTA!$G6+FLORESTA!$H6</f>
        <v>38</v>
      </c>
      <c r="J6" s="127">
        <f>FLORESTA!$I6/7</f>
        <v>5.4285714285714288</v>
      </c>
      <c r="L6" s="89"/>
      <c r="M6" s="14"/>
    </row>
    <row r="7" spans="1:13" x14ac:dyDescent="0.25">
      <c r="A7" s="77" t="s">
        <v>13</v>
      </c>
      <c r="B7" s="291"/>
      <c r="C7" s="292">
        <v>0</v>
      </c>
      <c r="D7" s="78">
        <v>0</v>
      </c>
      <c r="E7" s="78">
        <v>0</v>
      </c>
      <c r="F7" s="78">
        <v>0</v>
      </c>
      <c r="G7" s="78">
        <v>1</v>
      </c>
      <c r="H7" s="78">
        <v>1</v>
      </c>
      <c r="I7" s="78">
        <f>FLORESTA!$B7+FLORESTA!$C7+FLORESTA!$D7+FLORESTA!$E7+FLORESTA!$F7+FLORESTA!$G7+FLORESTA!$H7</f>
        <v>2</v>
      </c>
      <c r="J7" s="127">
        <f>FLORESTA!$I7/7</f>
        <v>0.2857142857142857</v>
      </c>
    </row>
    <row r="8" spans="1:13" x14ac:dyDescent="0.25">
      <c r="A8" s="77" t="s">
        <v>14</v>
      </c>
      <c r="B8" s="291"/>
      <c r="C8" s="292">
        <v>16</v>
      </c>
      <c r="D8" s="78">
        <v>42</v>
      </c>
      <c r="E8" s="78">
        <v>47</v>
      </c>
      <c r="F8" s="78">
        <v>99</v>
      </c>
      <c r="G8" s="78">
        <v>86</v>
      </c>
      <c r="H8" s="78">
        <v>61</v>
      </c>
      <c r="I8" s="78">
        <f>FLORESTA!$B8+FLORESTA!$C8+FLORESTA!$D8+FLORESTA!$E8+FLORESTA!$F8+FLORESTA!$G8+FLORESTA!$H8</f>
        <v>351</v>
      </c>
      <c r="J8" s="127">
        <f>FLORESTA!$I8/7</f>
        <v>50.142857142857146</v>
      </c>
    </row>
    <row r="9" spans="1:13" x14ac:dyDescent="0.25">
      <c r="A9" s="77" t="s">
        <v>15</v>
      </c>
      <c r="B9" s="291"/>
      <c r="C9" s="292">
        <v>1</v>
      </c>
      <c r="D9" s="78">
        <v>8</v>
      </c>
      <c r="E9" s="78">
        <v>6</v>
      </c>
      <c r="F9" s="78">
        <v>14</v>
      </c>
      <c r="G9" s="78">
        <v>23</v>
      </c>
      <c r="H9" s="78">
        <v>16</v>
      </c>
      <c r="I9" s="78">
        <f>FLORESTA!$B9+FLORESTA!$C9+FLORESTA!$D9+FLORESTA!$E9+FLORESTA!$F9+FLORESTA!$G9+FLORESTA!$H9</f>
        <v>68</v>
      </c>
      <c r="J9" s="127">
        <f>FLORESTA!$I9/7</f>
        <v>9.7142857142857135</v>
      </c>
    </row>
    <row r="10" spans="1:13" x14ac:dyDescent="0.25">
      <c r="A10" s="77" t="s">
        <v>16</v>
      </c>
      <c r="B10" s="291"/>
      <c r="C10" s="292">
        <v>0</v>
      </c>
      <c r="D10" s="78">
        <v>0</v>
      </c>
      <c r="E10" s="78">
        <v>0</v>
      </c>
      <c r="F10" s="78">
        <v>0</v>
      </c>
      <c r="G10" s="78">
        <v>4</v>
      </c>
      <c r="H10" s="78">
        <v>0</v>
      </c>
      <c r="I10" s="78">
        <f>FLORESTA!$B10+FLORESTA!$C10+FLORESTA!$D10+FLORESTA!$E10+FLORESTA!$F10+FLORESTA!$G10+FLORESTA!$H10</f>
        <v>4</v>
      </c>
      <c r="J10" s="127">
        <f>FLORESTA!$I10/7</f>
        <v>0.5714285714285714</v>
      </c>
      <c r="L10">
        <f>I11+I38+I66</f>
        <v>2030</v>
      </c>
    </row>
    <row r="11" spans="1:13" x14ac:dyDescent="0.25">
      <c r="A11" s="79" t="s">
        <v>17</v>
      </c>
      <c r="B11" s="293">
        <f>B6+B7+B8+B9+B10</f>
        <v>0</v>
      </c>
      <c r="C11" s="213">
        <f t="shared" ref="C11:H11" si="0">SUM(C6:C10)</f>
        <v>18</v>
      </c>
      <c r="D11" s="103">
        <f t="shared" si="0"/>
        <v>55</v>
      </c>
      <c r="E11" s="103">
        <f t="shared" si="0"/>
        <v>56</v>
      </c>
      <c r="F11" s="103">
        <f t="shared" si="0"/>
        <v>121</v>
      </c>
      <c r="G11" s="103">
        <f t="shared" si="0"/>
        <v>127</v>
      </c>
      <c r="H11" s="103">
        <f t="shared" si="0"/>
        <v>86</v>
      </c>
      <c r="I11" s="294">
        <f>FLORESTA!$B11+FLORESTA!$C11+FLORESTA!$D11+FLORESTA!$E11+FLORESTA!$F11+FLORESTA!$G11+FLORESTA!$H11</f>
        <v>463</v>
      </c>
      <c r="J11" s="295">
        <f>FLORESTA!$I11/7</f>
        <v>66.142857142857139</v>
      </c>
    </row>
    <row r="12" spans="1:13" x14ac:dyDescent="0.25">
      <c r="A12" s="77" t="s">
        <v>18</v>
      </c>
      <c r="B12" s="296"/>
      <c r="C12" s="297">
        <v>0.05</v>
      </c>
      <c r="D12" s="18">
        <v>0.09</v>
      </c>
      <c r="E12" s="18">
        <v>0.05</v>
      </c>
      <c r="F12" s="18">
        <v>0.06</v>
      </c>
      <c r="G12" s="18">
        <v>0.1</v>
      </c>
      <c r="H12" s="18">
        <v>0.08</v>
      </c>
      <c r="I12" s="18">
        <f>I19/I24</f>
        <v>7.7287522700497893E-2</v>
      </c>
      <c r="J12" s="18">
        <f>J19/J24</f>
        <v>7.7287522700497893E-2</v>
      </c>
    </row>
    <row r="13" spans="1:13" x14ac:dyDescent="0.25">
      <c r="A13" s="77" t="s">
        <v>19</v>
      </c>
      <c r="B13" s="296"/>
      <c r="C13" s="297">
        <v>0</v>
      </c>
      <c r="D13" s="18">
        <v>0</v>
      </c>
      <c r="E13" s="18">
        <v>0</v>
      </c>
      <c r="F13" s="18">
        <v>0</v>
      </c>
      <c r="G13" s="18">
        <v>0.01</v>
      </c>
      <c r="H13" s="18">
        <v>0.01</v>
      </c>
      <c r="I13" s="18">
        <f>I20/I24</f>
        <v>5.0872369952942595E-3</v>
      </c>
      <c r="J13" s="18">
        <f>J20/J24</f>
        <v>5.0872369952942587E-3</v>
      </c>
    </row>
    <row r="14" spans="1:13" x14ac:dyDescent="0.25">
      <c r="A14" s="77" t="s">
        <v>20</v>
      </c>
      <c r="B14" s="296"/>
      <c r="C14" s="297">
        <v>0.89</v>
      </c>
      <c r="D14" s="18">
        <v>0.76</v>
      </c>
      <c r="E14" s="18">
        <v>0.84</v>
      </c>
      <c r="F14" s="18">
        <v>0.8</v>
      </c>
      <c r="G14" s="18">
        <v>0.68</v>
      </c>
      <c r="H14" s="18">
        <v>0.74</v>
      </c>
      <c r="I14" s="18">
        <f>I21/I24</f>
        <v>0.75535068899819102</v>
      </c>
      <c r="J14" s="18">
        <f>J21/J24</f>
        <v>0.75535068899819102</v>
      </c>
    </row>
    <row r="15" spans="1:13" x14ac:dyDescent="0.25">
      <c r="A15" s="77" t="s">
        <v>21</v>
      </c>
      <c r="B15" s="296"/>
      <c r="C15" s="297">
        <v>0.06</v>
      </c>
      <c r="D15" s="18">
        <v>0.15</v>
      </c>
      <c r="E15" s="18">
        <v>0.11</v>
      </c>
      <c r="F15" s="18">
        <v>0.14000000000000001</v>
      </c>
      <c r="G15" s="18">
        <v>0.18</v>
      </c>
      <c r="H15" s="18">
        <v>0.17</v>
      </c>
      <c r="I15" s="18">
        <f>I22/I24</f>
        <v>0.15366387084014765</v>
      </c>
      <c r="J15" s="18">
        <f>J22/J24</f>
        <v>0.15366387084014763</v>
      </c>
    </row>
    <row r="16" spans="1:13" x14ac:dyDescent="0.25">
      <c r="A16" s="77" t="s">
        <v>22</v>
      </c>
      <c r="B16" s="296"/>
      <c r="C16" s="297">
        <v>0</v>
      </c>
      <c r="D16" s="18">
        <v>0</v>
      </c>
      <c r="E16" s="18">
        <v>0</v>
      </c>
      <c r="F16" s="18">
        <v>0</v>
      </c>
      <c r="G16" s="18">
        <v>0.03</v>
      </c>
      <c r="H16" s="18">
        <v>0</v>
      </c>
      <c r="I16" s="18">
        <f>I23/I24</f>
        <v>8.6106804658693924E-3</v>
      </c>
      <c r="J16" s="18">
        <f>J23/J24</f>
        <v>8.6106804658693924E-3</v>
      </c>
    </row>
    <row r="17" spans="1:13" x14ac:dyDescent="0.25">
      <c r="A17" s="81" t="s">
        <v>23</v>
      </c>
      <c r="B17" s="107" t="e">
        <f>B28/B11</f>
        <v>#DIV/0!</v>
      </c>
      <c r="C17" s="298">
        <f t="shared" ref="C17:H17" si="1">C28/C11</f>
        <v>19872.222222222226</v>
      </c>
      <c r="D17" s="107">
        <f t="shared" si="1"/>
        <v>22440.000000000004</v>
      </c>
      <c r="E17" s="107">
        <f t="shared" si="1"/>
        <v>26267.857142857149</v>
      </c>
      <c r="F17" s="107">
        <f t="shared" si="1"/>
        <v>29654.545454545456</v>
      </c>
      <c r="G17" s="107">
        <f t="shared" si="1"/>
        <v>30657.480314960634</v>
      </c>
      <c r="H17" s="107">
        <f t="shared" si="1"/>
        <v>34910.465116279076</v>
      </c>
      <c r="I17" s="107">
        <f>I28/I11</f>
        <v>29258.963282937366</v>
      </c>
      <c r="J17" s="107">
        <f>J28/J11</f>
        <v>29258.96328293737</v>
      </c>
    </row>
    <row r="18" spans="1:13" x14ac:dyDescent="0.25">
      <c r="A18" s="81" t="s">
        <v>24</v>
      </c>
      <c r="B18" s="107" t="e">
        <f>B28/B5</f>
        <v>#DIV/0!</v>
      </c>
      <c r="C18" s="298">
        <f t="shared" ref="C18:H18" si="2">C28/C5</f>
        <v>19872.222222222226</v>
      </c>
      <c r="D18" s="107">
        <f t="shared" si="2"/>
        <v>20570.000000000004</v>
      </c>
      <c r="E18" s="107">
        <f t="shared" si="2"/>
        <v>20718.309859154931</v>
      </c>
      <c r="F18" s="107">
        <f t="shared" si="2"/>
        <v>23001.282051282051</v>
      </c>
      <c r="G18" s="107">
        <f t="shared" si="2"/>
        <v>19763.959390862947</v>
      </c>
      <c r="H18" s="107">
        <f t="shared" si="2"/>
        <v>23455.468750000004</v>
      </c>
      <c r="I18" s="107">
        <f>I28/I5</f>
        <v>21503.015873015873</v>
      </c>
      <c r="J18" s="107">
        <f>J28/J5</f>
        <v>21503.015873015873</v>
      </c>
    </row>
    <row r="19" spans="1:13" x14ac:dyDescent="0.25">
      <c r="A19" s="77" t="s">
        <v>25</v>
      </c>
      <c r="B19" s="299"/>
      <c r="C19" s="300">
        <f t="shared" ref="C19:H19" si="3">C24*C12</f>
        <v>15310.353448275864</v>
      </c>
      <c r="D19" s="92">
        <f t="shared" si="3"/>
        <v>94787.146551724145</v>
      </c>
      <c r="E19" s="92">
        <f t="shared" si="3"/>
        <v>63081.922413793116</v>
      </c>
      <c r="F19" s="92">
        <f t="shared" si="3"/>
        <v>184562.15172413792</v>
      </c>
      <c r="G19" s="92">
        <f t="shared" si="3"/>
        <v>332845.05172413797</v>
      </c>
      <c r="H19" s="92">
        <f t="shared" si="3"/>
        <v>205675.97241379315</v>
      </c>
      <c r="I19" s="92">
        <f>FLORESTA!$B19+FLORESTA!$C19+FLORESTA!$D19+FLORESTA!$E19+FLORESTA!$F19+FLORESTA!$G19+FLORESTA!$H19</f>
        <v>896262.59827586217</v>
      </c>
      <c r="J19" s="92">
        <f>FLORESTA!$I19/7</f>
        <v>128037.51403940888</v>
      </c>
    </row>
    <row r="20" spans="1:13" x14ac:dyDescent="0.25">
      <c r="A20" s="77" t="s">
        <v>26</v>
      </c>
      <c r="B20" s="299"/>
      <c r="C20" s="300">
        <f t="shared" ref="C20:H20" si="4">C24*C13</f>
        <v>0</v>
      </c>
      <c r="D20" s="92">
        <f t="shared" si="4"/>
        <v>0</v>
      </c>
      <c r="E20" s="92">
        <f t="shared" si="4"/>
        <v>0</v>
      </c>
      <c r="F20" s="92">
        <f t="shared" si="4"/>
        <v>0</v>
      </c>
      <c r="G20" s="92">
        <f t="shared" si="4"/>
        <v>33284.505172413796</v>
      </c>
      <c r="H20" s="92">
        <f t="shared" si="4"/>
        <v>25709.496551724144</v>
      </c>
      <c r="I20" s="92">
        <f>FLORESTA!$B20+FLORESTA!$C20+FLORESTA!$D20+FLORESTA!$E20+FLORESTA!$F20+FLORESTA!$G20+FLORESTA!$H20</f>
        <v>58994.001724137939</v>
      </c>
      <c r="J20" s="92">
        <f>FLORESTA!$I20/7</f>
        <v>8427.7145320197051</v>
      </c>
    </row>
    <row r="21" spans="1:13" x14ac:dyDescent="0.25">
      <c r="A21" s="77" t="s">
        <v>27</v>
      </c>
      <c r="B21" s="299"/>
      <c r="C21" s="300">
        <f t="shared" ref="C21:H21" si="5">C24*C14</f>
        <v>272524.29137931037</v>
      </c>
      <c r="D21" s="92">
        <f t="shared" si="5"/>
        <v>800424.79310344846</v>
      </c>
      <c r="E21" s="92">
        <f t="shared" si="5"/>
        <v>1059776.2965517242</v>
      </c>
      <c r="F21" s="92">
        <f t="shared" si="5"/>
        <v>2460828.6896551726</v>
      </c>
      <c r="G21" s="92">
        <f t="shared" si="5"/>
        <v>2263346.3517241385</v>
      </c>
      <c r="H21" s="92">
        <f t="shared" si="5"/>
        <v>1902502.7448275865</v>
      </c>
      <c r="I21" s="92">
        <f>FLORESTA!$B21+FLORESTA!$C21+FLORESTA!$D21+FLORESTA!$E21+FLORESTA!$F21+FLORESTA!$G21+FLORESTA!$H21</f>
        <v>8759403.1672413815</v>
      </c>
      <c r="J21" s="92">
        <f>FLORESTA!$I21/7</f>
        <v>1251343.3096059116</v>
      </c>
    </row>
    <row r="22" spans="1:13" x14ac:dyDescent="0.25">
      <c r="A22" s="77" t="s">
        <v>28</v>
      </c>
      <c r="B22" s="299"/>
      <c r="C22" s="300">
        <f t="shared" ref="C22:H22" si="6">C24*C15</f>
        <v>18372.424137931037</v>
      </c>
      <c r="D22" s="92">
        <f t="shared" si="6"/>
        <v>157978.57758620693</v>
      </c>
      <c r="E22" s="92">
        <f t="shared" si="6"/>
        <v>138780.22931034485</v>
      </c>
      <c r="F22" s="92">
        <f t="shared" si="6"/>
        <v>430645.02068965521</v>
      </c>
      <c r="G22" s="92">
        <f t="shared" si="6"/>
        <v>599121.09310344828</v>
      </c>
      <c r="H22" s="92">
        <f t="shared" si="6"/>
        <v>437061.44137931045</v>
      </c>
      <c r="I22" s="92">
        <f>FLORESTA!$B22+FLORESTA!$C22+FLORESTA!$D22+FLORESTA!$E22+FLORESTA!$F22+FLORESTA!$G22+FLORESTA!$H22</f>
        <v>1781958.7862068969</v>
      </c>
      <c r="J22" s="92">
        <f>FLORESTA!$I22/7</f>
        <v>254565.54088669954</v>
      </c>
    </row>
    <row r="23" spans="1:13" x14ac:dyDescent="0.25">
      <c r="A23" s="77" t="s">
        <v>29</v>
      </c>
      <c r="B23" s="301"/>
      <c r="C23" s="302">
        <f t="shared" ref="C23:H23" si="7">C16*C24</f>
        <v>0</v>
      </c>
      <c r="D23" s="94">
        <f t="shared" si="7"/>
        <v>0</v>
      </c>
      <c r="E23" s="94">
        <f t="shared" si="7"/>
        <v>0</v>
      </c>
      <c r="F23" s="94">
        <f t="shared" si="7"/>
        <v>0</v>
      </c>
      <c r="G23" s="94">
        <f t="shared" si="7"/>
        <v>99853.515517241394</v>
      </c>
      <c r="H23" s="94">
        <f t="shared" si="7"/>
        <v>0</v>
      </c>
      <c r="I23" s="94">
        <f>FLORESTA!$B23+FLORESTA!$C23+FLORESTA!$D23+FLORESTA!$E23+FLORESTA!$F23+FLORESTA!$G23+FLORESTA!$H23</f>
        <v>99853.515517241394</v>
      </c>
      <c r="J23" s="94">
        <f>FLORESTA!$I23/7</f>
        <v>14264.787931034485</v>
      </c>
    </row>
    <row r="24" spans="1:13" x14ac:dyDescent="0.25">
      <c r="A24" s="82" t="s">
        <v>30</v>
      </c>
      <c r="B24" s="257"/>
      <c r="C24" s="303">
        <f>(357700/1.16)-C25</f>
        <v>306207.06896551728</v>
      </c>
      <c r="D24" s="304">
        <f>(1234200/1.16)-D25</f>
        <v>1053190.5172413795</v>
      </c>
      <c r="E24" s="304">
        <f>(1471000/1.16)-E25</f>
        <v>1261638.4482758623</v>
      </c>
      <c r="F24" s="304">
        <f>(3588200/1.16)-F25</f>
        <v>3076035.8620689656</v>
      </c>
      <c r="G24" s="304">
        <f>(3893500/1.16)-G25</f>
        <v>3328450.5172413797</v>
      </c>
      <c r="H24" s="304">
        <f>(3002300/1.16)-H25</f>
        <v>2570949.6551724141</v>
      </c>
      <c r="I24" s="304">
        <f>FLORESTA!$B24+FLORESTA!$C24+FLORESTA!$D24+FLORESTA!$E24+FLORESTA!$F24+FLORESTA!$G24+FLORESTA!$H24</f>
        <v>11596472.068965517</v>
      </c>
      <c r="J24" s="304">
        <f>FLORESTA!$I24/7</f>
        <v>1656638.8669950739</v>
      </c>
    </row>
    <row r="25" spans="1:13" x14ac:dyDescent="0.25">
      <c r="A25" s="77" t="s">
        <v>31</v>
      </c>
      <c r="B25" s="301">
        <f>2155*B6</f>
        <v>0</v>
      </c>
      <c r="C25" s="112">
        <f t="shared" ref="C25:H25" si="8">2155*C6</f>
        <v>2155</v>
      </c>
      <c r="D25" s="113">
        <f t="shared" si="8"/>
        <v>10775</v>
      </c>
      <c r="E25" s="112">
        <f t="shared" si="8"/>
        <v>6465</v>
      </c>
      <c r="F25" s="113">
        <f t="shared" si="8"/>
        <v>17240</v>
      </c>
      <c r="G25" s="113">
        <f t="shared" si="8"/>
        <v>28015</v>
      </c>
      <c r="H25" s="113">
        <f t="shared" si="8"/>
        <v>17240</v>
      </c>
      <c r="I25" s="113">
        <f>2155*I6</f>
        <v>81890</v>
      </c>
      <c r="J25" s="113">
        <f>FLORESTA!$I25/7</f>
        <v>11698.571428571429</v>
      </c>
    </row>
    <row r="26" spans="1:13" x14ac:dyDescent="0.25">
      <c r="A26" s="83" t="s">
        <v>32</v>
      </c>
      <c r="B26" s="305">
        <f t="shared" ref="B26:H26" si="9">B24+B25</f>
        <v>0</v>
      </c>
      <c r="C26" s="306">
        <f t="shared" si="9"/>
        <v>308362.06896551728</v>
      </c>
      <c r="D26" s="115">
        <f t="shared" si="9"/>
        <v>1063965.5172413795</v>
      </c>
      <c r="E26" s="115">
        <f t="shared" si="9"/>
        <v>1268103.4482758623</v>
      </c>
      <c r="F26" s="115">
        <f t="shared" si="9"/>
        <v>3093275.8620689656</v>
      </c>
      <c r="G26" s="115">
        <f t="shared" si="9"/>
        <v>3356465.5172413797</v>
      </c>
      <c r="H26" s="115">
        <f t="shared" si="9"/>
        <v>2588189.6551724141</v>
      </c>
      <c r="I26" s="115">
        <f>I24+I25</f>
        <v>11678362.068965517</v>
      </c>
      <c r="J26" s="115">
        <f>FLORESTA!$I26/7</f>
        <v>1668337.4384236452</v>
      </c>
      <c r="M26">
        <v>6651100</v>
      </c>
    </row>
    <row r="27" spans="1:13" x14ac:dyDescent="0.25">
      <c r="A27" s="77" t="s">
        <v>33</v>
      </c>
      <c r="B27" s="307">
        <f t="shared" ref="B27:H27" si="10">B26*16%</f>
        <v>0</v>
      </c>
      <c r="C27" s="70">
        <f t="shared" si="10"/>
        <v>49337.931034482768</v>
      </c>
      <c r="D27" s="117">
        <f t="shared" si="10"/>
        <v>170234.48275862072</v>
      </c>
      <c r="E27" s="70">
        <f t="shared" si="10"/>
        <v>202896.55172413797</v>
      </c>
      <c r="F27" s="117">
        <f t="shared" si="10"/>
        <v>494924.13793103449</v>
      </c>
      <c r="G27" s="117">
        <f t="shared" si="10"/>
        <v>537034.48275862075</v>
      </c>
      <c r="H27" s="117">
        <f t="shared" si="10"/>
        <v>414110.34482758626</v>
      </c>
      <c r="I27" s="117">
        <f>I26*16%</f>
        <v>1868537.9310344828</v>
      </c>
      <c r="J27" s="117">
        <f>FLORESTA!$I27/7</f>
        <v>266933.99014778325</v>
      </c>
    </row>
    <row r="28" spans="1:13" x14ac:dyDescent="0.25">
      <c r="A28" s="84" t="s">
        <v>34</v>
      </c>
      <c r="B28" s="308">
        <f t="shared" ref="B28:H28" si="11">B26+B27</f>
        <v>0</v>
      </c>
      <c r="C28" s="309">
        <f t="shared" si="11"/>
        <v>357700.00000000006</v>
      </c>
      <c r="D28" s="309">
        <f t="shared" si="11"/>
        <v>1234200.0000000002</v>
      </c>
      <c r="E28" s="309">
        <f t="shared" si="11"/>
        <v>1471000.0000000002</v>
      </c>
      <c r="F28" s="309">
        <f t="shared" si="11"/>
        <v>3588200</v>
      </c>
      <c r="G28" s="309">
        <f t="shared" si="11"/>
        <v>3893500.0000000005</v>
      </c>
      <c r="H28" s="309">
        <f t="shared" si="11"/>
        <v>3002300.0000000005</v>
      </c>
      <c r="I28" s="309">
        <f>I26+I27</f>
        <v>13546900</v>
      </c>
      <c r="J28" s="309">
        <f>FLORESTA!$I28/7</f>
        <v>1935271.4285714286</v>
      </c>
    </row>
    <row r="29" spans="1:13" s="85" customFormat="1" ht="26.25" x14ac:dyDescent="0.25">
      <c r="B29" s="1005"/>
      <c r="C29" s="1005"/>
      <c r="D29" s="1005"/>
      <c r="E29" s="1005"/>
      <c r="F29" s="1005"/>
      <c r="G29" s="1005"/>
      <c r="H29" s="1005"/>
      <c r="I29" s="1005"/>
    </row>
    <row r="30" spans="1:13" s="85" customFormat="1" ht="26.25" x14ac:dyDescent="0.25">
      <c r="B30" s="1002" t="s">
        <v>354</v>
      </c>
      <c r="C30" s="1002"/>
      <c r="D30" s="1002"/>
      <c r="E30" s="1002"/>
      <c r="F30" s="1002"/>
      <c r="G30" s="1002"/>
      <c r="H30" s="1002"/>
      <c r="I30" s="1002"/>
    </row>
    <row r="31" spans="1:13" ht="15.75" x14ac:dyDescent="0.25">
      <c r="A31" s="72" t="s">
        <v>2</v>
      </c>
      <c r="B31" s="121" t="s">
        <v>270</v>
      </c>
      <c r="C31" s="51" t="s">
        <v>116</v>
      </c>
      <c r="D31" s="121" t="s">
        <v>117</v>
      </c>
      <c r="E31" s="51" t="s">
        <v>118</v>
      </c>
      <c r="F31" s="51" t="s">
        <v>119</v>
      </c>
      <c r="G31" s="121" t="s">
        <v>120</v>
      </c>
      <c r="H31" s="121" t="s">
        <v>121</v>
      </c>
      <c r="I31" s="51" t="s">
        <v>10</v>
      </c>
      <c r="J31" s="310" t="s">
        <v>77</v>
      </c>
    </row>
    <row r="32" spans="1:13" x14ac:dyDescent="0.25">
      <c r="A32" s="74" t="s">
        <v>11</v>
      </c>
      <c r="B32" s="55">
        <v>133</v>
      </c>
      <c r="C32" s="56">
        <v>36</v>
      </c>
      <c r="D32" s="55">
        <v>62</v>
      </c>
      <c r="E32" s="58">
        <v>51</v>
      </c>
      <c r="F32" s="57">
        <v>122</v>
      </c>
      <c r="G32" s="58">
        <v>168</v>
      </c>
      <c r="H32" s="57">
        <v>174</v>
      </c>
      <c r="I32" s="311">
        <f>SUM(B32:H32)</f>
        <v>746</v>
      </c>
      <c r="J32" s="312">
        <f>FLORESTA!$I32/7</f>
        <v>106.57142857142857</v>
      </c>
    </row>
    <row r="33" spans="1:10" x14ac:dyDescent="0.25">
      <c r="A33" s="10" t="s">
        <v>12</v>
      </c>
      <c r="B33" s="11">
        <v>11</v>
      </c>
      <c r="C33" s="13">
        <v>10</v>
      </c>
      <c r="D33" s="11">
        <v>4</v>
      </c>
      <c r="E33" s="125">
        <v>3</v>
      </c>
      <c r="F33" s="125">
        <v>6</v>
      </c>
      <c r="G33" s="11">
        <v>34</v>
      </c>
      <c r="H33" s="11">
        <v>40</v>
      </c>
      <c r="I33" s="313">
        <f>B33+C33+D33+E33+F33+G33+H33</f>
        <v>108</v>
      </c>
      <c r="J33" s="292">
        <f>FLORESTA!$I33/7</f>
        <v>15.428571428571429</v>
      </c>
    </row>
    <row r="34" spans="1:10" x14ac:dyDescent="0.25">
      <c r="A34" s="10" t="s">
        <v>13</v>
      </c>
      <c r="B34" s="11">
        <v>0</v>
      </c>
      <c r="C34" s="13">
        <v>0</v>
      </c>
      <c r="D34" s="11">
        <v>0</v>
      </c>
      <c r="E34" s="125">
        <v>0</v>
      </c>
      <c r="F34" s="125">
        <v>0</v>
      </c>
      <c r="G34" s="11">
        <v>0</v>
      </c>
      <c r="H34" s="11">
        <v>0</v>
      </c>
      <c r="I34" s="313">
        <f>B34+C34+D34+E34+F34+G34+H34</f>
        <v>0</v>
      </c>
      <c r="J34" s="292">
        <f>C34+D34+E34+F34+G34+H34+I34</f>
        <v>0</v>
      </c>
    </row>
    <row r="35" spans="1:10" x14ac:dyDescent="0.25">
      <c r="A35" s="10" t="s">
        <v>14</v>
      </c>
      <c r="B35" s="11">
        <v>60</v>
      </c>
      <c r="C35" s="13">
        <v>31</v>
      </c>
      <c r="D35" s="11">
        <v>45</v>
      </c>
      <c r="E35" s="125">
        <v>52</v>
      </c>
      <c r="F35" s="125">
        <v>107</v>
      </c>
      <c r="G35" s="11">
        <v>104</v>
      </c>
      <c r="H35" s="11">
        <v>116</v>
      </c>
      <c r="I35" s="313">
        <f>B35+C35+D35+E35+F35+G35+H35</f>
        <v>515</v>
      </c>
      <c r="J35" s="292">
        <f>FLORESTA!$I35/7</f>
        <v>73.571428571428569</v>
      </c>
    </row>
    <row r="36" spans="1:10" x14ac:dyDescent="0.25">
      <c r="A36" s="10" t="s">
        <v>15</v>
      </c>
      <c r="B36" s="11">
        <v>13</v>
      </c>
      <c r="C36" s="13">
        <v>3</v>
      </c>
      <c r="D36" s="11">
        <v>13</v>
      </c>
      <c r="E36" s="125">
        <v>4</v>
      </c>
      <c r="F36" s="125">
        <v>12</v>
      </c>
      <c r="G36" s="11">
        <v>25</v>
      </c>
      <c r="H36" s="11">
        <v>12</v>
      </c>
      <c r="I36" s="313">
        <f>B36+C36+D36+E36+F36+G36+H36</f>
        <v>82</v>
      </c>
      <c r="J36" s="292">
        <f>FLORESTA!$I36/7</f>
        <v>11.714285714285714</v>
      </c>
    </row>
    <row r="37" spans="1:10" x14ac:dyDescent="0.25">
      <c r="A37" s="10" t="s">
        <v>16</v>
      </c>
      <c r="B37" s="11">
        <v>0</v>
      </c>
      <c r="C37" s="13">
        <v>1</v>
      </c>
      <c r="D37" s="11">
        <v>0</v>
      </c>
      <c r="E37" s="125">
        <v>0</v>
      </c>
      <c r="F37" s="125">
        <v>0</v>
      </c>
      <c r="G37" s="11">
        <v>0</v>
      </c>
      <c r="H37" s="11">
        <v>0</v>
      </c>
      <c r="I37" s="313">
        <f>B37+C37+D37+E37+F37+G37+H37</f>
        <v>1</v>
      </c>
      <c r="J37" s="292">
        <f>FLORESTA!$I37/7</f>
        <v>0.14285714285714285</v>
      </c>
    </row>
    <row r="38" spans="1:10" x14ac:dyDescent="0.25">
      <c r="A38" s="15" t="s">
        <v>17</v>
      </c>
      <c r="B38" s="79">
        <f>B33+B34+B35+B36+B37</f>
        <v>84</v>
      </c>
      <c r="C38" s="79">
        <f t="shared" ref="C38:I38" si="12">SUM(C33:C37)</f>
        <v>45</v>
      </c>
      <c r="D38" s="103">
        <f t="shared" si="12"/>
        <v>62</v>
      </c>
      <c r="E38" s="103">
        <f t="shared" si="12"/>
        <v>59</v>
      </c>
      <c r="F38" s="103">
        <f t="shared" si="12"/>
        <v>125</v>
      </c>
      <c r="G38" s="103">
        <f t="shared" si="12"/>
        <v>163</v>
      </c>
      <c r="H38" s="103">
        <f t="shared" si="12"/>
        <v>168</v>
      </c>
      <c r="I38" s="103">
        <f t="shared" si="12"/>
        <v>706</v>
      </c>
      <c r="J38" s="295">
        <f>FLORESTA!$I38/7</f>
        <v>100.85714285714286</v>
      </c>
    </row>
    <row r="39" spans="1:10" x14ac:dyDescent="0.25">
      <c r="A39" s="10" t="s">
        <v>18</v>
      </c>
      <c r="B39" s="18">
        <v>0.12</v>
      </c>
      <c r="C39" s="19">
        <v>0.13</v>
      </c>
      <c r="D39" s="18">
        <v>0.06</v>
      </c>
      <c r="E39" s="129">
        <v>0.05</v>
      </c>
      <c r="F39" s="129">
        <v>0.05</v>
      </c>
      <c r="G39" s="18">
        <v>0.21</v>
      </c>
      <c r="H39" s="18">
        <v>0.24</v>
      </c>
      <c r="I39" s="18">
        <f>I46/I51</f>
        <v>0.1517063801994866</v>
      </c>
      <c r="J39" s="18">
        <f>J46/J51</f>
        <v>0.1517063801994866</v>
      </c>
    </row>
    <row r="40" spans="1:10" x14ac:dyDescent="0.25">
      <c r="A40" s="10" t="s">
        <v>19</v>
      </c>
      <c r="B40" s="18">
        <v>0</v>
      </c>
      <c r="C40" s="19">
        <v>0</v>
      </c>
      <c r="D40" s="18">
        <v>0</v>
      </c>
      <c r="E40" s="129">
        <v>0</v>
      </c>
      <c r="F40" s="129">
        <v>0</v>
      </c>
      <c r="G40" s="18">
        <v>0</v>
      </c>
      <c r="H40" s="18">
        <v>0</v>
      </c>
      <c r="I40" s="18">
        <f>I47/I51</f>
        <v>0</v>
      </c>
      <c r="J40" s="18">
        <f>J47/J51</f>
        <v>0</v>
      </c>
    </row>
    <row r="41" spans="1:10" x14ac:dyDescent="0.25">
      <c r="A41" s="10" t="s">
        <v>20</v>
      </c>
      <c r="B41" s="18">
        <v>0.74</v>
      </c>
      <c r="C41" s="19">
        <v>0.78</v>
      </c>
      <c r="D41" s="18">
        <v>0.73</v>
      </c>
      <c r="E41" s="18">
        <v>0.88</v>
      </c>
      <c r="F41" s="18">
        <v>0.86</v>
      </c>
      <c r="G41" s="18">
        <v>0.64</v>
      </c>
      <c r="H41" s="18">
        <v>0.69</v>
      </c>
      <c r="I41" s="18">
        <f>I48/I51</f>
        <v>0.7368663584718721</v>
      </c>
      <c r="J41" s="18">
        <f>J48/J51</f>
        <v>0.7368663584718721</v>
      </c>
    </row>
    <row r="42" spans="1:10" x14ac:dyDescent="0.25">
      <c r="A42" s="10" t="s">
        <v>21</v>
      </c>
      <c r="B42" s="18">
        <v>0.14000000000000001</v>
      </c>
      <c r="C42" s="19">
        <v>7.0000000000000007E-2</v>
      </c>
      <c r="D42" s="18">
        <v>0.21</v>
      </c>
      <c r="E42" s="18">
        <v>7.0000000000000007E-2</v>
      </c>
      <c r="F42" s="18">
        <v>0.09</v>
      </c>
      <c r="G42" s="18">
        <v>0.15</v>
      </c>
      <c r="H42" s="18">
        <v>7.0000000000000007E-2</v>
      </c>
      <c r="I42" s="18">
        <f>I49/I51</f>
        <v>0.11022372839378455</v>
      </c>
      <c r="J42" s="18">
        <f>J49/J51</f>
        <v>0.11022372839378455</v>
      </c>
    </row>
    <row r="43" spans="1:10" x14ac:dyDescent="0.25">
      <c r="A43" s="10" t="s">
        <v>22</v>
      </c>
      <c r="B43" s="18">
        <v>0</v>
      </c>
      <c r="C43" s="19">
        <v>0.02</v>
      </c>
      <c r="D43" s="18">
        <v>0</v>
      </c>
      <c r="E43" s="18">
        <v>0</v>
      </c>
      <c r="F43" s="18">
        <v>0</v>
      </c>
      <c r="G43" s="18">
        <v>0</v>
      </c>
      <c r="H43" s="18">
        <v>0</v>
      </c>
      <c r="I43" s="18">
        <f>I50/I51</f>
        <v>1.2035329348567372E-3</v>
      </c>
      <c r="J43" s="18">
        <f>J50/J51</f>
        <v>1.2035329348567372E-3</v>
      </c>
    </row>
    <row r="44" spans="1:10" x14ac:dyDescent="0.25">
      <c r="A44" s="24" t="s">
        <v>23</v>
      </c>
      <c r="B44" s="130">
        <f>B55/B38</f>
        <v>35408.333333333336</v>
      </c>
      <c r="C44" s="131">
        <f t="shared" ref="C44:I44" si="13">C55/C38</f>
        <v>29448.888888888891</v>
      </c>
      <c r="D44" s="130">
        <f>D55/D38</f>
        <v>21561.290322580644</v>
      </c>
      <c r="E44" s="132">
        <f>E55/E38</f>
        <v>30771.186440677971</v>
      </c>
      <c r="F44" s="132">
        <f t="shared" si="13"/>
        <v>28605.599999999999</v>
      </c>
      <c r="G44" s="130">
        <f t="shared" si="13"/>
        <v>31644.78527607362</v>
      </c>
      <c r="H44" s="130">
        <f t="shared" si="13"/>
        <v>33873.809523809527</v>
      </c>
      <c r="I44" s="314">
        <f t="shared" si="13"/>
        <v>30986.402266288951</v>
      </c>
      <c r="J44" s="314">
        <f>J55/J38</f>
        <v>30986.402266288951</v>
      </c>
    </row>
    <row r="45" spans="1:10" x14ac:dyDescent="0.25">
      <c r="A45" s="24" t="s">
        <v>24</v>
      </c>
      <c r="B45" s="130">
        <f>B55/B32</f>
        <v>22363.157894736843</v>
      </c>
      <c r="C45" s="131">
        <f t="shared" ref="C45:I45" si="14">C55/C32</f>
        <v>36811.111111111109</v>
      </c>
      <c r="D45" s="130">
        <f>D55/D32</f>
        <v>21561.290322580644</v>
      </c>
      <c r="E45" s="132">
        <f>E55/E32</f>
        <v>35598.03921568628</v>
      </c>
      <c r="F45" s="132">
        <f t="shared" si="14"/>
        <v>29309.016393442624</v>
      </c>
      <c r="G45" s="130">
        <f t="shared" si="14"/>
        <v>30702.976190476191</v>
      </c>
      <c r="H45" s="130">
        <f t="shared" si="14"/>
        <v>32705.747126436789</v>
      </c>
      <c r="I45" s="314">
        <f t="shared" si="14"/>
        <v>29324.932975871314</v>
      </c>
      <c r="J45" s="314">
        <f>J55/J32</f>
        <v>29324.932975871314</v>
      </c>
    </row>
    <row r="46" spans="1:10" x14ac:dyDescent="0.25">
      <c r="A46" s="10" t="s">
        <v>25</v>
      </c>
      <c r="B46" s="92">
        <f>B51*B39</f>
        <v>304841.60689655173</v>
      </c>
      <c r="C46" s="133">
        <f t="shared" ref="C46:H46" si="15">C51*C39</f>
        <v>145712.29310344829</v>
      </c>
      <c r="D46" s="92">
        <f>D51*D39</f>
        <v>68627.627586206901</v>
      </c>
      <c r="E46" s="134">
        <f>E51*E39</f>
        <v>77931.060344827594</v>
      </c>
      <c r="F46" s="134">
        <f t="shared" si="15"/>
        <v>153478.5</v>
      </c>
      <c r="G46" s="92">
        <f t="shared" si="15"/>
        <v>918407.26551724144</v>
      </c>
      <c r="H46" s="92">
        <f t="shared" si="15"/>
        <v>1156718.8965517243</v>
      </c>
      <c r="I46" s="92">
        <f>FLORESTA!$B46+FLORESTA!$C46+FLORESTA!$D46+FLORESTA!$E46+FLORESTA!$F46+FLORESTA!$G46+FLORESTA!$H46</f>
        <v>2825717.25</v>
      </c>
      <c r="J46" s="92">
        <f>FLORESTA!$I46/7</f>
        <v>403673.89285714284</v>
      </c>
    </row>
    <row r="47" spans="1:10" x14ac:dyDescent="0.25">
      <c r="A47" s="10" t="s">
        <v>26</v>
      </c>
      <c r="B47" s="92">
        <f>B51*B40</f>
        <v>0</v>
      </c>
      <c r="C47" s="133">
        <f t="shared" ref="C47:H47" si="16">C51*C40</f>
        <v>0</v>
      </c>
      <c r="D47" s="92">
        <f>D51*D40</f>
        <v>0</v>
      </c>
      <c r="E47" s="134">
        <f>E51*E40</f>
        <v>0</v>
      </c>
      <c r="F47" s="134">
        <f t="shared" si="16"/>
        <v>0</v>
      </c>
      <c r="G47" s="92">
        <f t="shared" si="16"/>
        <v>0</v>
      </c>
      <c r="H47" s="92">
        <f t="shared" si="16"/>
        <v>0</v>
      </c>
      <c r="I47" s="92">
        <f>FLORESTA!$B47+FLORESTA!$C47+FLORESTA!$D47+FLORESTA!$E47+FLORESTA!$F47+FLORESTA!$G47+FLORESTA!$H47</f>
        <v>0</v>
      </c>
      <c r="J47" s="92">
        <f>FLORESTA!$I47/7</f>
        <v>0</v>
      </c>
    </row>
    <row r="48" spans="1:10" x14ac:dyDescent="0.25">
      <c r="A48" s="10" t="s">
        <v>27</v>
      </c>
      <c r="B48" s="92">
        <f>B51*B41</f>
        <v>1879856.5758620689</v>
      </c>
      <c r="C48" s="133">
        <f t="shared" ref="C48:H48" si="17">C51*C41</f>
        <v>874273.75862068974</v>
      </c>
      <c r="D48" s="92">
        <f>D51*D41</f>
        <v>834969.46896551724</v>
      </c>
      <c r="E48" s="134">
        <f>E51*E41</f>
        <v>1371586.6620689656</v>
      </c>
      <c r="F48" s="134">
        <f t="shared" si="17"/>
        <v>2639830.2000000002</v>
      </c>
      <c r="G48" s="92">
        <f t="shared" si="17"/>
        <v>2798955.4758620691</v>
      </c>
      <c r="H48" s="92">
        <f t="shared" si="17"/>
        <v>3325566.8275862071</v>
      </c>
      <c r="I48" s="92">
        <f>FLORESTA!$B48+FLORESTA!$C48+FLORESTA!$D48+FLORESTA!$E48+FLORESTA!$F48+FLORESTA!$G48+FLORESTA!$H48</f>
        <v>13725038.968965519</v>
      </c>
      <c r="J48" s="92">
        <f>FLORESTA!$I48/7</f>
        <v>1960719.85270936</v>
      </c>
    </row>
    <row r="49" spans="1:10" x14ac:dyDescent="0.25">
      <c r="A49" s="10" t="s">
        <v>28</v>
      </c>
      <c r="B49" s="92">
        <f>B51*B42</f>
        <v>355648.54137931037</v>
      </c>
      <c r="C49" s="133">
        <f t="shared" ref="C49:H49" si="18">C51*C42</f>
        <v>78460.465517241391</v>
      </c>
      <c r="D49" s="92">
        <f>D51*D42</f>
        <v>240196.69655172413</v>
      </c>
      <c r="E49" s="134">
        <f>E51*E42</f>
        <v>109103.48448275865</v>
      </c>
      <c r="F49" s="134">
        <f t="shared" si="18"/>
        <v>276261.3</v>
      </c>
      <c r="G49" s="92">
        <f t="shared" si="18"/>
        <v>656005.18965517241</v>
      </c>
      <c r="H49" s="92">
        <f t="shared" si="18"/>
        <v>337376.34482758626</v>
      </c>
      <c r="I49" s="92">
        <f>FLORESTA!$B49+FLORESTA!$C49+FLORESTA!$D49+FLORESTA!$E49+FLORESTA!$F49+FLORESTA!$G49+FLORESTA!$H49</f>
        <v>2053052.0224137933</v>
      </c>
      <c r="J49" s="92">
        <f>FLORESTA!$I49/7</f>
        <v>293293.14605911332</v>
      </c>
    </row>
    <row r="50" spans="1:10" x14ac:dyDescent="0.25">
      <c r="A50" s="10" t="s">
        <v>29</v>
      </c>
      <c r="B50" s="92">
        <f>B51*B43</f>
        <v>0</v>
      </c>
      <c r="C50" s="133">
        <f t="shared" ref="C50:H50" si="19">C51*C43</f>
        <v>22417.275862068967</v>
      </c>
      <c r="D50" s="92">
        <f>D51*D43</f>
        <v>0</v>
      </c>
      <c r="E50" s="134">
        <f>E51*E43</f>
        <v>0</v>
      </c>
      <c r="F50" s="134">
        <f t="shared" si="19"/>
        <v>0</v>
      </c>
      <c r="G50" s="92">
        <f t="shared" si="19"/>
        <v>0</v>
      </c>
      <c r="H50" s="92">
        <f t="shared" si="19"/>
        <v>0</v>
      </c>
      <c r="I50" s="92">
        <f>FLORESTA!$B50+FLORESTA!$C50+FLORESTA!$D50+FLORESTA!$E50+FLORESTA!$F50+FLORESTA!$G50+FLORESTA!$H50</f>
        <v>22417.275862068967</v>
      </c>
      <c r="J50" s="92">
        <f>FLORESTA!$I50/7</f>
        <v>3202.4679802955666</v>
      </c>
    </row>
    <row r="51" spans="1:10" x14ac:dyDescent="0.25">
      <c r="A51" s="33" t="s">
        <v>30</v>
      </c>
      <c r="B51" s="91">
        <f>(2974300/1.16)-B52</f>
        <v>2540346.7241379311</v>
      </c>
      <c r="C51" s="136">
        <f>(1325200/1.16)-C52</f>
        <v>1120863.7931034483</v>
      </c>
      <c r="D51" s="91">
        <f>(1336800/1.16)-D52</f>
        <v>1143793.7931034483</v>
      </c>
      <c r="E51" s="136">
        <f>(1815500/1.16)-E52</f>
        <v>1558621.2068965519</v>
      </c>
      <c r="F51" s="136">
        <f>(3575700/1.16)-F52</f>
        <v>3069570</v>
      </c>
      <c r="G51" s="91">
        <f>(5158100/1.16)-G52</f>
        <v>4373367.931034483</v>
      </c>
      <c r="H51" s="91">
        <f>(5690800/1.16)-H52</f>
        <v>4819662.0689655179</v>
      </c>
      <c r="I51" s="91">
        <f>FLORESTA!$B51+FLORESTA!$C51+FLORESTA!$D51+FLORESTA!$E51+FLORESTA!$F51+FLORESTA!$G51+FLORESTA!$H51</f>
        <v>18626225.517241381</v>
      </c>
      <c r="J51" s="91">
        <f>FLORESTA!$I51/7</f>
        <v>2660889.3596059117</v>
      </c>
    </row>
    <row r="52" spans="1:10" x14ac:dyDescent="0.25">
      <c r="A52" s="10" t="s">
        <v>31</v>
      </c>
      <c r="B52" s="94">
        <f t="shared" ref="B52:H52" si="20">2155*B33</f>
        <v>23705</v>
      </c>
      <c r="C52" s="139">
        <f t="shared" si="20"/>
        <v>21550</v>
      </c>
      <c r="D52" s="94">
        <f>2155*D33</f>
        <v>8620</v>
      </c>
      <c r="E52" s="112">
        <f>2155*E33</f>
        <v>6465</v>
      </c>
      <c r="F52" s="112">
        <f t="shared" si="20"/>
        <v>12930</v>
      </c>
      <c r="G52" s="94">
        <f t="shared" si="20"/>
        <v>73270</v>
      </c>
      <c r="H52" s="94">
        <f t="shared" si="20"/>
        <v>86200</v>
      </c>
      <c r="I52" s="94">
        <f>2155*I33</f>
        <v>232740</v>
      </c>
      <c r="J52" s="94">
        <f>2155*J33</f>
        <v>33248.571428571428</v>
      </c>
    </row>
    <row r="53" spans="1:10" x14ac:dyDescent="0.25">
      <c r="A53" s="37" t="s">
        <v>32</v>
      </c>
      <c r="B53" s="39">
        <f t="shared" ref="B53:H53" si="21">B51+B52</f>
        <v>2564051.7241379311</v>
      </c>
      <c r="C53" s="40">
        <f t="shared" si="21"/>
        <v>1142413.7931034483</v>
      </c>
      <c r="D53" s="39">
        <f>D51+D52</f>
        <v>1152413.7931034483</v>
      </c>
      <c r="E53" s="40">
        <f>E51+E52</f>
        <v>1565086.2068965519</v>
      </c>
      <c r="F53" s="40">
        <f t="shared" si="21"/>
        <v>3082500</v>
      </c>
      <c r="G53" s="39">
        <f t="shared" si="21"/>
        <v>4446637.931034483</v>
      </c>
      <c r="H53" s="39">
        <f t="shared" si="21"/>
        <v>4905862.0689655179</v>
      </c>
      <c r="I53" s="39">
        <f>I51+I52</f>
        <v>18858965.517241381</v>
      </c>
      <c r="J53" s="39">
        <f>J51+J52</f>
        <v>2694137.931034483</v>
      </c>
    </row>
    <row r="54" spans="1:10" x14ac:dyDescent="0.25">
      <c r="A54" s="10" t="s">
        <v>33</v>
      </c>
      <c r="B54" s="41">
        <f t="shared" ref="B54:H54" si="22">B53*16%</f>
        <v>410248.27586206899</v>
      </c>
      <c r="C54" s="42">
        <f t="shared" si="22"/>
        <v>182786.20689655174</v>
      </c>
      <c r="D54" s="41">
        <f>D53*16%</f>
        <v>184386.20689655174</v>
      </c>
      <c r="E54" s="141">
        <f>E53*16%</f>
        <v>250413.79310344832</v>
      </c>
      <c r="F54" s="141">
        <f t="shared" si="22"/>
        <v>493200</v>
      </c>
      <c r="G54" s="41">
        <f t="shared" si="22"/>
        <v>711462.06896551733</v>
      </c>
      <c r="H54" s="41">
        <f t="shared" si="22"/>
        <v>784937.9310344829</v>
      </c>
      <c r="I54" s="41">
        <f>I53*16%</f>
        <v>3017434.4827586212</v>
      </c>
      <c r="J54" s="41">
        <f>J53*16%</f>
        <v>431062.06896551728</v>
      </c>
    </row>
    <row r="55" spans="1:10" x14ac:dyDescent="0.25">
      <c r="A55" s="43" t="s">
        <v>34</v>
      </c>
      <c r="B55" s="315">
        <f t="shared" ref="B55:H55" si="23">B53+B54</f>
        <v>2974300</v>
      </c>
      <c r="C55" s="315">
        <f t="shared" si="23"/>
        <v>1325200</v>
      </c>
      <c r="D55" s="178">
        <f>D53+D54</f>
        <v>1336800</v>
      </c>
      <c r="E55" s="315">
        <f>E53+E54</f>
        <v>1815500.0000000002</v>
      </c>
      <c r="F55" s="315">
        <f t="shared" si="23"/>
        <v>3575700</v>
      </c>
      <c r="G55" s="178">
        <f t="shared" si="23"/>
        <v>5158100</v>
      </c>
      <c r="H55" s="178">
        <f t="shared" si="23"/>
        <v>5690800.0000000009</v>
      </c>
      <c r="I55" s="178">
        <f>FLORESTA!$B55+FLORESTA!$C55+FLORESTA!$D55+FLORESTA!$E55+FLORESTA!$F55+FLORESTA!$G55+FLORESTA!$H55</f>
        <v>21876400</v>
      </c>
      <c r="J55" s="178">
        <f>FLORESTA!$I55/7</f>
        <v>3125200</v>
      </c>
    </row>
    <row r="56" spans="1:10" x14ac:dyDescent="0.25">
      <c r="A56" s="149"/>
      <c r="B56" s="150"/>
      <c r="C56" s="150"/>
      <c r="D56" s="150"/>
      <c r="E56" s="150"/>
      <c r="F56" s="150"/>
      <c r="G56" s="150"/>
      <c r="H56" s="150"/>
      <c r="I56" s="150"/>
    </row>
    <row r="57" spans="1:10" x14ac:dyDescent="0.25">
      <c r="A57" s="149"/>
      <c r="B57" s="150"/>
      <c r="C57" s="150"/>
      <c r="D57" s="150"/>
      <c r="E57" s="150"/>
      <c r="F57" s="150"/>
      <c r="G57" s="150"/>
      <c r="H57" s="150"/>
      <c r="I57" s="150"/>
    </row>
    <row r="58" spans="1:10" ht="26.25" x14ac:dyDescent="0.25">
      <c r="A58" s="85"/>
      <c r="B58" s="1002" t="s">
        <v>355</v>
      </c>
      <c r="C58" s="1002"/>
      <c r="D58" s="1002"/>
      <c r="E58" s="1002"/>
      <c r="F58" s="1002"/>
      <c r="G58" s="1002"/>
      <c r="H58" s="1002"/>
      <c r="I58" s="1002"/>
      <c r="J58" s="85"/>
    </row>
    <row r="59" spans="1:10" ht="15.75" x14ac:dyDescent="0.25">
      <c r="A59" s="72" t="s">
        <v>2</v>
      </c>
      <c r="B59" s="121" t="s">
        <v>123</v>
      </c>
      <c r="C59" s="51" t="s">
        <v>124</v>
      </c>
      <c r="D59" s="121" t="s">
        <v>125</v>
      </c>
      <c r="E59" s="51" t="s">
        <v>126</v>
      </c>
      <c r="F59" s="51" t="s">
        <v>127</v>
      </c>
      <c r="G59" s="121" t="s">
        <v>128</v>
      </c>
      <c r="H59" s="121" t="s">
        <v>129</v>
      </c>
      <c r="I59" s="51" t="s">
        <v>10</v>
      </c>
      <c r="J59" s="310" t="s">
        <v>77</v>
      </c>
    </row>
    <row r="60" spans="1:10" x14ac:dyDescent="0.25">
      <c r="A60" s="74" t="s">
        <v>11</v>
      </c>
      <c r="B60" s="55">
        <v>58</v>
      </c>
      <c r="C60" s="56">
        <v>34</v>
      </c>
      <c r="D60" s="55">
        <v>63</v>
      </c>
      <c r="E60" s="58">
        <v>62</v>
      </c>
      <c r="F60" s="57">
        <v>216</v>
      </c>
      <c r="G60" s="58">
        <v>225</v>
      </c>
      <c r="H60" s="57">
        <v>226</v>
      </c>
      <c r="I60" s="311">
        <f>SUM(B60:H60)</f>
        <v>884</v>
      </c>
      <c r="J60" s="312">
        <f>FLORESTA!$I60/7</f>
        <v>126.28571428571429</v>
      </c>
    </row>
    <row r="61" spans="1:10" x14ac:dyDescent="0.25">
      <c r="A61" s="10" t="s">
        <v>12</v>
      </c>
      <c r="B61" s="11">
        <v>16</v>
      </c>
      <c r="C61" s="13">
        <v>1</v>
      </c>
      <c r="D61" s="11">
        <v>21</v>
      </c>
      <c r="E61" s="125">
        <v>15</v>
      </c>
      <c r="F61" s="125">
        <v>40</v>
      </c>
      <c r="G61" s="11">
        <v>30</v>
      </c>
      <c r="H61" s="11">
        <v>46</v>
      </c>
      <c r="I61" s="313">
        <f>B61+C61+D61+E61+F61+G61+H61</f>
        <v>169</v>
      </c>
      <c r="J61" s="292">
        <f>FLORESTA!$I61/7</f>
        <v>24.142857142857142</v>
      </c>
    </row>
    <row r="62" spans="1:10" x14ac:dyDescent="0.25">
      <c r="A62" s="10" t="s">
        <v>13</v>
      </c>
      <c r="B62" s="11">
        <v>0</v>
      </c>
      <c r="C62" s="13">
        <v>0</v>
      </c>
      <c r="D62" s="11">
        <v>0</v>
      </c>
      <c r="E62" s="125">
        <v>0</v>
      </c>
      <c r="F62" s="125">
        <v>1</v>
      </c>
      <c r="G62" s="11">
        <v>0</v>
      </c>
      <c r="H62" s="11">
        <v>0</v>
      </c>
      <c r="I62" s="313">
        <f>B62+C62+D62+E62+F62+G62+H62</f>
        <v>1</v>
      </c>
      <c r="J62" s="292">
        <f>C62+D62+E62+F62+G62+H62+I62</f>
        <v>2</v>
      </c>
    </row>
    <row r="63" spans="1:10" x14ac:dyDescent="0.25">
      <c r="A63" s="10" t="s">
        <v>14</v>
      </c>
      <c r="B63" s="11">
        <v>45</v>
      </c>
      <c r="C63" s="13">
        <v>36</v>
      </c>
      <c r="D63" s="11">
        <v>51</v>
      </c>
      <c r="E63" s="125">
        <v>37</v>
      </c>
      <c r="F63" s="125">
        <v>134</v>
      </c>
      <c r="G63" s="11">
        <v>148</v>
      </c>
      <c r="H63" s="11">
        <v>126</v>
      </c>
      <c r="I63" s="313">
        <f>B63+C63+D63+E63+F63+G63+H63</f>
        <v>577</v>
      </c>
      <c r="J63" s="292">
        <f>FLORESTA!$I63/7</f>
        <v>82.428571428571431</v>
      </c>
    </row>
    <row r="64" spans="1:10" x14ac:dyDescent="0.25">
      <c r="A64" s="10" t="s">
        <v>15</v>
      </c>
      <c r="B64" s="11">
        <v>7</v>
      </c>
      <c r="C64" s="13">
        <v>2</v>
      </c>
      <c r="D64" s="11">
        <v>3</v>
      </c>
      <c r="E64" s="125">
        <v>12</v>
      </c>
      <c r="F64" s="125">
        <v>24</v>
      </c>
      <c r="G64" s="11">
        <v>27</v>
      </c>
      <c r="H64" s="11">
        <v>38</v>
      </c>
      <c r="I64" s="313">
        <f>B64+C64+D64+E64+F64+G64+H64</f>
        <v>113</v>
      </c>
      <c r="J64" s="292">
        <f>FLORESTA!$I64/7</f>
        <v>16.142857142857142</v>
      </c>
    </row>
    <row r="65" spans="1:10" x14ac:dyDescent="0.25">
      <c r="A65" s="10" t="s">
        <v>16</v>
      </c>
      <c r="B65" s="11">
        <v>0</v>
      </c>
      <c r="C65" s="13">
        <v>0</v>
      </c>
      <c r="D65" s="11">
        <v>0</v>
      </c>
      <c r="E65" s="125">
        <v>0</v>
      </c>
      <c r="F65" s="125">
        <v>1</v>
      </c>
      <c r="G65" s="11">
        <v>0</v>
      </c>
      <c r="H65" s="11">
        <v>0</v>
      </c>
      <c r="I65" s="313">
        <f>B65+C65+D65+E65+F65+G65+H65</f>
        <v>1</v>
      </c>
      <c r="J65" s="292">
        <f>FLORESTA!$I65/7</f>
        <v>0.14285714285714285</v>
      </c>
    </row>
    <row r="66" spans="1:10" x14ac:dyDescent="0.25">
      <c r="A66" s="15" t="s">
        <v>17</v>
      </c>
      <c r="B66" s="79">
        <f t="shared" ref="B66:I66" si="24">SUM(B61:B65)</f>
        <v>68</v>
      </c>
      <c r="C66" s="79">
        <f t="shared" si="24"/>
        <v>39</v>
      </c>
      <c r="D66" s="103">
        <f t="shared" si="24"/>
        <v>75</v>
      </c>
      <c r="E66" s="103">
        <f t="shared" si="24"/>
        <v>64</v>
      </c>
      <c r="F66" s="103">
        <f t="shared" si="24"/>
        <v>200</v>
      </c>
      <c r="G66" s="103">
        <f t="shared" si="24"/>
        <v>205</v>
      </c>
      <c r="H66" s="103">
        <f t="shared" si="24"/>
        <v>210</v>
      </c>
      <c r="I66" s="103">
        <f t="shared" si="24"/>
        <v>861</v>
      </c>
      <c r="J66" s="295">
        <f>FLORESTA!$I66/7</f>
        <v>123</v>
      </c>
    </row>
    <row r="67" spans="1:10" x14ac:dyDescent="0.25">
      <c r="A67" s="10" t="s">
        <v>18</v>
      </c>
      <c r="B67" s="18">
        <v>0.24</v>
      </c>
      <c r="C67" s="19">
        <v>0.03</v>
      </c>
      <c r="D67" s="18">
        <v>0.25</v>
      </c>
      <c r="E67" s="129">
        <v>0.17</v>
      </c>
      <c r="F67" s="129">
        <v>0.22</v>
      </c>
      <c r="G67" s="18">
        <v>0.19</v>
      </c>
      <c r="H67" s="18">
        <v>0.21</v>
      </c>
      <c r="I67" s="18">
        <f>I74/I79</f>
        <v>0.20257414859549749</v>
      </c>
      <c r="J67" s="18">
        <f>J74/J79</f>
        <v>0.20257414859549752</v>
      </c>
    </row>
    <row r="68" spans="1:10" x14ac:dyDescent="0.25">
      <c r="A68" s="10" t="s">
        <v>19</v>
      </c>
      <c r="B68" s="18">
        <v>0</v>
      </c>
      <c r="C68" s="19">
        <v>0</v>
      </c>
      <c r="D68" s="18">
        <v>0</v>
      </c>
      <c r="E68" s="129">
        <v>0</v>
      </c>
      <c r="F68" s="129">
        <v>0.01</v>
      </c>
      <c r="G68" s="18">
        <v>0</v>
      </c>
      <c r="H68" s="18">
        <v>0</v>
      </c>
      <c r="I68" s="18">
        <f>I75/I79</f>
        <v>2.2968223254154099E-3</v>
      </c>
      <c r="J68" s="18">
        <f>J75/J79</f>
        <v>2.2968223254154099E-3</v>
      </c>
    </row>
    <row r="69" spans="1:10" x14ac:dyDescent="0.25">
      <c r="A69" s="10" t="s">
        <v>20</v>
      </c>
      <c r="B69" s="18">
        <v>0.66</v>
      </c>
      <c r="C69" s="19">
        <v>0.9</v>
      </c>
      <c r="D69" s="18">
        <v>0.69</v>
      </c>
      <c r="E69" s="18">
        <v>0.66</v>
      </c>
      <c r="F69" s="18">
        <v>0.66</v>
      </c>
      <c r="G69" s="18">
        <v>0.68</v>
      </c>
      <c r="H69" s="18">
        <v>0.62</v>
      </c>
      <c r="I69" s="18">
        <f>I76/I79</f>
        <v>0.66575762253714932</v>
      </c>
      <c r="J69" s="18">
        <f>J76/J79</f>
        <v>0.66575762253714943</v>
      </c>
    </row>
    <row r="70" spans="1:10" x14ac:dyDescent="0.25">
      <c r="A70" s="10" t="s">
        <v>21</v>
      </c>
      <c r="B70" s="18">
        <v>0.1</v>
      </c>
      <c r="C70" s="19">
        <v>0.05</v>
      </c>
      <c r="D70" s="18">
        <v>0.06</v>
      </c>
      <c r="E70" s="18">
        <v>0.17</v>
      </c>
      <c r="F70" s="18">
        <v>0.11</v>
      </c>
      <c r="G70" s="18">
        <v>0.13</v>
      </c>
      <c r="H70" s="18">
        <v>0.17</v>
      </c>
      <c r="I70" s="18">
        <f>I77/I79</f>
        <v>0.12860600510461886</v>
      </c>
      <c r="J70" s="18">
        <f>J77/J79</f>
        <v>0.12860600510461889</v>
      </c>
    </row>
    <row r="71" spans="1:10" x14ac:dyDescent="0.25">
      <c r="A71" s="10" t="s">
        <v>22</v>
      </c>
      <c r="B71" s="18">
        <v>0</v>
      </c>
      <c r="C71" s="19">
        <v>0.02</v>
      </c>
      <c r="D71" s="18">
        <v>0</v>
      </c>
      <c r="E71" s="18">
        <v>0</v>
      </c>
      <c r="F71" s="18">
        <v>0</v>
      </c>
      <c r="G71" s="18">
        <v>0</v>
      </c>
      <c r="H71" s="18">
        <v>0</v>
      </c>
      <c r="I71" s="18">
        <f>I78/I79</f>
        <v>7.6540143731899284E-4</v>
      </c>
      <c r="J71" s="18">
        <f>J78/J79</f>
        <v>7.6540143731899295E-4</v>
      </c>
    </row>
    <row r="72" spans="1:10" x14ac:dyDescent="0.25">
      <c r="A72" s="24" t="s">
        <v>23</v>
      </c>
      <c r="B72" s="130">
        <f t="shared" ref="B72:J72" si="25">B83/B66</f>
        <v>27026.470588235297</v>
      </c>
      <c r="C72" s="131">
        <f t="shared" si="25"/>
        <v>25576.923076923082</v>
      </c>
      <c r="D72" s="130">
        <f t="shared" si="25"/>
        <v>26197.333333333332</v>
      </c>
      <c r="E72" s="132">
        <f t="shared" si="25"/>
        <v>29081.250000000004</v>
      </c>
      <c r="F72" s="132">
        <f t="shared" si="25"/>
        <v>30358</v>
      </c>
      <c r="G72" s="130">
        <f t="shared" si="25"/>
        <v>32356.585365853658</v>
      </c>
      <c r="H72" s="130">
        <f t="shared" si="25"/>
        <v>33599.523809523809</v>
      </c>
      <c r="I72" s="314">
        <f t="shared" si="25"/>
        <v>30687.45644599303</v>
      </c>
      <c r="J72" s="314">
        <f t="shared" si="25"/>
        <v>30687.45644599303</v>
      </c>
    </row>
    <row r="73" spans="1:10" x14ac:dyDescent="0.25">
      <c r="A73" s="24" t="s">
        <v>24</v>
      </c>
      <c r="B73" s="130">
        <f t="shared" ref="B73:J73" si="26">B83/B60</f>
        <v>31686.206896551728</v>
      </c>
      <c r="C73" s="131">
        <f t="shared" si="26"/>
        <v>29338.23529411765</v>
      </c>
      <c r="D73" s="130">
        <f t="shared" si="26"/>
        <v>31187.301587301587</v>
      </c>
      <c r="E73" s="132">
        <f t="shared" si="26"/>
        <v>30019.354838709682</v>
      </c>
      <c r="F73" s="132">
        <f t="shared" si="26"/>
        <v>28109.259259259259</v>
      </c>
      <c r="G73" s="130">
        <f t="shared" si="26"/>
        <v>29480.444444444445</v>
      </c>
      <c r="H73" s="130">
        <f t="shared" si="26"/>
        <v>31220.796460176993</v>
      </c>
      <c r="I73" s="314">
        <f t="shared" si="26"/>
        <v>29889.027149321268</v>
      </c>
      <c r="J73" s="314">
        <f t="shared" si="26"/>
        <v>29889.027149321264</v>
      </c>
    </row>
    <row r="74" spans="1:10" x14ac:dyDescent="0.25">
      <c r="A74" s="10" t="s">
        <v>25</v>
      </c>
      <c r="B74" s="92">
        <f t="shared" ref="B74:H74" si="27">B79*B67</f>
        <v>371959.28275862068</v>
      </c>
      <c r="C74" s="133">
        <f t="shared" si="27"/>
        <v>25732.763793103448</v>
      </c>
      <c r="D74" s="92">
        <f t="shared" si="27"/>
        <v>412134.52586206899</v>
      </c>
      <c r="E74" s="134">
        <f t="shared" si="27"/>
        <v>267266.81896551728</v>
      </c>
      <c r="F74" s="134">
        <f t="shared" si="27"/>
        <v>1132546.3448275863</v>
      </c>
      <c r="G74" s="92">
        <f t="shared" si="27"/>
        <v>1074172.5344827587</v>
      </c>
      <c r="H74" s="92">
        <f t="shared" si="27"/>
        <v>1256543.9068965518</v>
      </c>
      <c r="I74" s="92">
        <f>FLORESTA!$B74+FLORESTA!$C74+FLORESTA!$D74+FLORESTA!$E74+FLORESTA!$F74+FLORESTA!$G74+FLORESTA!$H74</f>
        <v>4540356.1775862072</v>
      </c>
      <c r="J74" s="92">
        <f>FLORESTA!$I74/7</f>
        <v>648622.31108374393</v>
      </c>
    </row>
    <row r="75" spans="1:10" x14ac:dyDescent="0.25">
      <c r="A75" s="10" t="s">
        <v>26</v>
      </c>
      <c r="B75" s="92">
        <f t="shared" ref="B75:H75" si="28">B79*B68</f>
        <v>0</v>
      </c>
      <c r="C75" s="133">
        <f t="shared" si="28"/>
        <v>0</v>
      </c>
      <c r="D75" s="92">
        <f t="shared" si="28"/>
        <v>0</v>
      </c>
      <c r="E75" s="134">
        <f t="shared" si="28"/>
        <v>0</v>
      </c>
      <c r="F75" s="134">
        <f t="shared" si="28"/>
        <v>51479.379310344833</v>
      </c>
      <c r="G75" s="92">
        <f t="shared" si="28"/>
        <v>0</v>
      </c>
      <c r="H75" s="92">
        <f t="shared" si="28"/>
        <v>0</v>
      </c>
      <c r="I75" s="92">
        <f>FLORESTA!$B75+FLORESTA!$C75+FLORESTA!$D75+FLORESTA!$E75+FLORESTA!$F75+FLORESTA!$G75+FLORESTA!$H75</f>
        <v>51479.379310344833</v>
      </c>
      <c r="J75" s="92">
        <f>FLORESTA!$I75/7</f>
        <v>7354.1970443349765</v>
      </c>
    </row>
    <row r="76" spans="1:10" x14ac:dyDescent="0.25">
      <c r="A76" s="10" t="s">
        <v>27</v>
      </c>
      <c r="B76" s="92">
        <f t="shared" ref="B76:H76" si="29">B79*B69</f>
        <v>1022888.027586207</v>
      </c>
      <c r="C76" s="133">
        <f t="shared" si="29"/>
        <v>771982.91379310354</v>
      </c>
      <c r="D76" s="92">
        <f t="shared" si="29"/>
        <v>1137491.2913793104</v>
      </c>
      <c r="E76" s="134">
        <f t="shared" si="29"/>
        <v>1037624.1206896553</v>
      </c>
      <c r="F76" s="134">
        <f t="shared" si="29"/>
        <v>3397639.034482759</v>
      </c>
      <c r="G76" s="92">
        <f t="shared" si="29"/>
        <v>3844406.965517242</v>
      </c>
      <c r="H76" s="92">
        <f t="shared" si="29"/>
        <v>3709796.2965517244</v>
      </c>
      <c r="I76" s="92">
        <f>FLORESTA!$B76+FLORESTA!$C76+FLORESTA!$D76+FLORESTA!$E76+FLORESTA!$F76+FLORESTA!$G76+FLORESTA!$H76</f>
        <v>14921828.650000002</v>
      </c>
      <c r="J76" s="92">
        <f>FLORESTA!$I76/7</f>
        <v>2131689.8071428575</v>
      </c>
    </row>
    <row r="77" spans="1:10" x14ac:dyDescent="0.25">
      <c r="A77" s="10" t="s">
        <v>28</v>
      </c>
      <c r="B77" s="92">
        <f t="shared" ref="B77:H77" si="30">B79*B70</f>
        <v>154983.03448275864</v>
      </c>
      <c r="C77" s="133">
        <f t="shared" si="30"/>
        <v>42887.93965517242</v>
      </c>
      <c r="D77" s="92">
        <f t="shared" si="30"/>
        <v>98912.286206896548</v>
      </c>
      <c r="E77" s="134">
        <f t="shared" si="30"/>
        <v>267266.81896551728</v>
      </c>
      <c r="F77" s="134">
        <f t="shared" si="30"/>
        <v>566273.17241379316</v>
      </c>
      <c r="G77" s="92">
        <f t="shared" si="30"/>
        <v>734960.15517241391</v>
      </c>
      <c r="H77" s="92">
        <f t="shared" si="30"/>
        <v>1017202.2103448277</v>
      </c>
      <c r="I77" s="92">
        <f>FLORESTA!$B77+FLORESTA!$C77+FLORESTA!$D77+FLORESTA!$E77+FLORESTA!$F77+FLORESTA!$G77+FLORESTA!$H77</f>
        <v>2882485.6172413798</v>
      </c>
      <c r="J77" s="92">
        <f>FLORESTA!$I77/7</f>
        <v>411783.65960591141</v>
      </c>
    </row>
    <row r="78" spans="1:10" x14ac:dyDescent="0.25">
      <c r="A78" s="10" t="s">
        <v>29</v>
      </c>
      <c r="B78" s="92">
        <f t="shared" ref="B78:H78" si="31">B79*B71</f>
        <v>0</v>
      </c>
      <c r="C78" s="133">
        <f t="shared" si="31"/>
        <v>17155.175862068969</v>
      </c>
      <c r="D78" s="92">
        <f t="shared" si="31"/>
        <v>0</v>
      </c>
      <c r="E78" s="134">
        <f t="shared" si="31"/>
        <v>0</v>
      </c>
      <c r="F78" s="134">
        <f t="shared" si="31"/>
        <v>0</v>
      </c>
      <c r="G78" s="92">
        <f t="shared" si="31"/>
        <v>0</v>
      </c>
      <c r="H78" s="92">
        <f t="shared" si="31"/>
        <v>0</v>
      </c>
      <c r="I78" s="92">
        <f>FLORESTA!$B78+FLORESTA!$C78+FLORESTA!$D78+FLORESTA!$E78+FLORESTA!$F78+FLORESTA!$G78+FLORESTA!$H78</f>
        <v>17155.175862068969</v>
      </c>
      <c r="J78" s="92">
        <f>FLORESTA!$I78/7</f>
        <v>2450.7394088669957</v>
      </c>
    </row>
    <row r="79" spans="1:10" x14ac:dyDescent="0.25">
      <c r="A79" s="33" t="s">
        <v>30</v>
      </c>
      <c r="B79" s="91">
        <f>(1837800/1.16)-B80</f>
        <v>1549830.3448275863</v>
      </c>
      <c r="C79" s="136">
        <f>(997500/1.16)-C80</f>
        <v>857758.79310344835</v>
      </c>
      <c r="D79" s="91">
        <f>(1964800/1.16)-D80</f>
        <v>1648538.1034482759</v>
      </c>
      <c r="E79" s="136">
        <f>(1861200/1.16)-E80</f>
        <v>1572157.7586206899</v>
      </c>
      <c r="F79" s="136">
        <f>(6071600/1.16)-F80</f>
        <v>5147937.931034483</v>
      </c>
      <c r="G79" s="91">
        <f>(6633100/1.16)-G80</f>
        <v>5653539.6551724141</v>
      </c>
      <c r="H79" s="91">
        <f>(7055900/1.16)-H80</f>
        <v>5983542.4137931038</v>
      </c>
      <c r="I79" s="91">
        <f>FLORESTA!$B79+FLORESTA!$C79+FLORESTA!$D79+FLORESTA!$E79+FLORESTA!$F79+FLORESTA!$G79+FLORESTA!$H79</f>
        <v>22413305</v>
      </c>
      <c r="J79" s="91">
        <f>FLORESTA!$I79/7</f>
        <v>3201900.7142857141</v>
      </c>
    </row>
    <row r="80" spans="1:10" x14ac:dyDescent="0.25">
      <c r="A80" s="10" t="s">
        <v>31</v>
      </c>
      <c r="B80" s="94">
        <f t="shared" ref="B80:J80" si="32">2155*B61</f>
        <v>34480</v>
      </c>
      <c r="C80" s="139">
        <f t="shared" si="32"/>
        <v>2155</v>
      </c>
      <c r="D80" s="94">
        <f t="shared" si="32"/>
        <v>45255</v>
      </c>
      <c r="E80" s="112">
        <f t="shared" si="32"/>
        <v>32325</v>
      </c>
      <c r="F80" s="112">
        <f t="shared" si="32"/>
        <v>86200</v>
      </c>
      <c r="G80" s="94">
        <f t="shared" si="32"/>
        <v>64650</v>
      </c>
      <c r="H80" s="94">
        <f t="shared" si="32"/>
        <v>99130</v>
      </c>
      <c r="I80" s="94">
        <f t="shared" si="32"/>
        <v>364195</v>
      </c>
      <c r="J80" s="94">
        <f t="shared" si="32"/>
        <v>52027.857142857145</v>
      </c>
    </row>
    <row r="81" spans="1:13" x14ac:dyDescent="0.25">
      <c r="A81" s="37" t="s">
        <v>32</v>
      </c>
      <c r="B81" s="39">
        <f t="shared" ref="B81:J81" si="33">B79+B80</f>
        <v>1584310.3448275863</v>
      </c>
      <c r="C81" s="40">
        <f t="shared" si="33"/>
        <v>859913.79310344835</v>
      </c>
      <c r="D81" s="39">
        <f t="shared" si="33"/>
        <v>1693793.1034482759</v>
      </c>
      <c r="E81" s="40">
        <f t="shared" si="33"/>
        <v>1604482.7586206899</v>
      </c>
      <c r="F81" s="40">
        <f t="shared" si="33"/>
        <v>5234137.931034483</v>
      </c>
      <c r="G81" s="39">
        <f t="shared" si="33"/>
        <v>5718189.6551724141</v>
      </c>
      <c r="H81" s="39">
        <f t="shared" si="33"/>
        <v>6082672.4137931038</v>
      </c>
      <c r="I81" s="39">
        <f t="shared" si="33"/>
        <v>22777500</v>
      </c>
      <c r="J81" s="39">
        <f t="shared" si="33"/>
        <v>3253928.5714285714</v>
      </c>
    </row>
    <row r="82" spans="1:13" x14ac:dyDescent="0.25">
      <c r="A82" s="10" t="s">
        <v>33</v>
      </c>
      <c r="B82" s="41">
        <f t="shared" ref="B82:J82" si="34">B81*16%</f>
        <v>253489.65517241383</v>
      </c>
      <c r="C82" s="42">
        <f t="shared" si="34"/>
        <v>137586.20689655174</v>
      </c>
      <c r="D82" s="41">
        <f t="shared" si="34"/>
        <v>271006.89655172417</v>
      </c>
      <c r="E82" s="141">
        <f t="shared" si="34"/>
        <v>256717.24137931038</v>
      </c>
      <c r="F82" s="141">
        <f t="shared" si="34"/>
        <v>837462.06896551733</v>
      </c>
      <c r="G82" s="41">
        <f t="shared" si="34"/>
        <v>914910.34482758632</v>
      </c>
      <c r="H82" s="41">
        <f t="shared" si="34"/>
        <v>973227.58620689658</v>
      </c>
      <c r="I82" s="41">
        <f t="shared" si="34"/>
        <v>3644400</v>
      </c>
      <c r="J82" s="41">
        <f t="shared" si="34"/>
        <v>520628.57142857142</v>
      </c>
    </row>
    <row r="83" spans="1:13" x14ac:dyDescent="0.25">
      <c r="A83" s="43" t="s">
        <v>34</v>
      </c>
      <c r="B83" s="315">
        <f t="shared" ref="B83:H83" si="35">B81+B82</f>
        <v>1837800.0000000002</v>
      </c>
      <c r="C83" s="315">
        <f t="shared" si="35"/>
        <v>997500.00000000012</v>
      </c>
      <c r="D83" s="178">
        <f t="shared" si="35"/>
        <v>1964800</v>
      </c>
      <c r="E83" s="315">
        <f t="shared" si="35"/>
        <v>1861200.0000000002</v>
      </c>
      <c r="F83" s="315">
        <f t="shared" si="35"/>
        <v>6071600</v>
      </c>
      <c r="G83" s="178">
        <f t="shared" si="35"/>
        <v>6633100</v>
      </c>
      <c r="H83" s="178">
        <f t="shared" si="35"/>
        <v>7055900</v>
      </c>
      <c r="I83" s="178">
        <f>FLORESTA!$B83+FLORESTA!$C83+FLORESTA!$D83+FLORESTA!$E83+FLORESTA!$F83+FLORESTA!$G83+FLORESTA!$H83</f>
        <v>26421900</v>
      </c>
      <c r="J83" s="178">
        <f>FLORESTA!$I83/7</f>
        <v>3774557.1428571427</v>
      </c>
    </row>
    <row r="84" spans="1:13" x14ac:dyDescent="0.25">
      <c r="A84" s="149"/>
      <c r="B84" s="150"/>
      <c r="C84" s="150"/>
      <c r="D84" s="150"/>
      <c r="E84" s="150"/>
      <c r="F84" s="150"/>
      <c r="G84" s="150"/>
      <c r="H84" s="150"/>
      <c r="I84" s="150"/>
    </row>
    <row r="85" spans="1:13" x14ac:dyDescent="0.25">
      <c r="A85" s="149"/>
      <c r="B85" s="150"/>
      <c r="C85" s="150"/>
      <c r="D85" s="150"/>
      <c r="E85" s="150"/>
      <c r="F85" s="150"/>
      <c r="G85" s="150"/>
      <c r="H85" s="150"/>
      <c r="I85" s="150"/>
    </row>
    <row r="86" spans="1:13" ht="26.25" x14ac:dyDescent="0.25">
      <c r="A86" s="85"/>
      <c r="B86" s="1002" t="s">
        <v>356</v>
      </c>
      <c r="C86" s="1002"/>
      <c r="D86" s="1002"/>
      <c r="E86" s="1002"/>
      <c r="F86" s="1002"/>
      <c r="G86" s="1002"/>
      <c r="H86" s="1002"/>
      <c r="I86" s="1002"/>
      <c r="J86" s="85"/>
    </row>
    <row r="87" spans="1:13" ht="15.75" x14ac:dyDescent="0.25">
      <c r="A87" s="72" t="s">
        <v>2</v>
      </c>
      <c r="B87" s="121" t="s">
        <v>403</v>
      </c>
      <c r="C87" s="51" t="s">
        <v>132</v>
      </c>
      <c r="D87" s="121" t="s">
        <v>133</v>
      </c>
      <c r="E87" s="51" t="s">
        <v>134</v>
      </c>
      <c r="F87" s="51" t="s">
        <v>135</v>
      </c>
      <c r="G87" s="121" t="s">
        <v>136</v>
      </c>
      <c r="H87" s="121" t="s">
        <v>137</v>
      </c>
      <c r="I87" s="51" t="s">
        <v>10</v>
      </c>
      <c r="J87" s="310" t="s">
        <v>77</v>
      </c>
      <c r="M87" s="89"/>
    </row>
    <row r="88" spans="1:13" x14ac:dyDescent="0.25">
      <c r="A88" s="74" t="s">
        <v>11</v>
      </c>
      <c r="B88" s="55">
        <v>208</v>
      </c>
      <c r="C88" s="56">
        <v>46</v>
      </c>
      <c r="D88" s="54">
        <v>74</v>
      </c>
      <c r="E88" s="316">
        <v>97</v>
      </c>
      <c r="F88" s="311">
        <v>189</v>
      </c>
      <c r="G88" s="58">
        <v>203</v>
      </c>
      <c r="H88" s="57">
        <v>272</v>
      </c>
      <c r="I88" s="311">
        <f>SUM(B88:H88)</f>
        <v>1089</v>
      </c>
      <c r="J88" s="317">
        <f>FLORESTA!$I88/7</f>
        <v>155.57142857142858</v>
      </c>
    </row>
    <row r="89" spans="1:13" x14ac:dyDescent="0.25">
      <c r="A89" s="10" t="s">
        <v>12</v>
      </c>
      <c r="B89" s="11">
        <v>33</v>
      </c>
      <c r="C89" s="13">
        <v>7</v>
      </c>
      <c r="D89" s="13">
        <v>17</v>
      </c>
      <c r="E89" s="11">
        <v>17</v>
      </c>
      <c r="F89" s="125">
        <v>34</v>
      </c>
      <c r="G89" s="11">
        <v>38</v>
      </c>
      <c r="H89" s="11">
        <v>63</v>
      </c>
      <c r="I89" s="313">
        <f>B89+C89+D89+E89+F89+G89+H89</f>
        <v>209</v>
      </c>
      <c r="J89" s="318">
        <f>FLORESTA!$I89/7</f>
        <v>29.857142857142858</v>
      </c>
    </row>
    <row r="90" spans="1:13" x14ac:dyDescent="0.25">
      <c r="A90" s="10" t="s">
        <v>13</v>
      </c>
      <c r="B90" s="11">
        <v>1</v>
      </c>
      <c r="C90" s="13">
        <v>0</v>
      </c>
      <c r="D90" s="13">
        <v>0</v>
      </c>
      <c r="E90" s="11">
        <v>0</v>
      </c>
      <c r="F90" s="125">
        <v>0</v>
      </c>
      <c r="G90" s="11">
        <v>0</v>
      </c>
      <c r="H90" s="11">
        <v>0</v>
      </c>
      <c r="I90" s="313">
        <f>B90+C90+D90+E90+F90+G90+H90</f>
        <v>1</v>
      </c>
      <c r="J90" s="318">
        <f>C90+D90+E90+F90+G90+H90+I90</f>
        <v>1</v>
      </c>
    </row>
    <row r="91" spans="1:13" x14ac:dyDescent="0.25">
      <c r="A91" s="10" t="s">
        <v>14</v>
      </c>
      <c r="B91" s="11">
        <v>139</v>
      </c>
      <c r="C91" s="13">
        <v>42</v>
      </c>
      <c r="D91" s="13">
        <v>46</v>
      </c>
      <c r="E91" s="11">
        <v>79</v>
      </c>
      <c r="F91" s="125">
        <v>140</v>
      </c>
      <c r="G91" s="11">
        <v>145</v>
      </c>
      <c r="H91" s="11">
        <v>175</v>
      </c>
      <c r="I91" s="313">
        <f>B91+C91+D91+E91+F91+G91+H91</f>
        <v>766</v>
      </c>
      <c r="J91" s="318">
        <f>FLORESTA!$I91/7</f>
        <v>109.42857142857143</v>
      </c>
      <c r="L91">
        <f>I94+I122+I151+I180+B208+C208</f>
        <v>4271</v>
      </c>
    </row>
    <row r="92" spans="1:13" x14ac:dyDescent="0.25">
      <c r="A92" s="10" t="s">
        <v>15</v>
      </c>
      <c r="B92" s="11">
        <v>34</v>
      </c>
      <c r="C92" s="13">
        <v>2</v>
      </c>
      <c r="D92" s="13">
        <v>5</v>
      </c>
      <c r="E92" s="11">
        <v>3</v>
      </c>
      <c r="F92" s="125">
        <v>2</v>
      </c>
      <c r="G92" s="11">
        <v>3</v>
      </c>
      <c r="H92" s="11">
        <v>5</v>
      </c>
      <c r="I92" s="313">
        <f>B92+C92+D92+E92+F92+G92+H92</f>
        <v>54</v>
      </c>
      <c r="J92" s="318">
        <f>FLORESTA!$I92/7</f>
        <v>7.7142857142857144</v>
      </c>
    </row>
    <row r="93" spans="1:13" x14ac:dyDescent="0.25">
      <c r="A93" s="10" t="s">
        <v>16</v>
      </c>
      <c r="B93" s="11">
        <v>0</v>
      </c>
      <c r="C93" s="13">
        <v>0</v>
      </c>
      <c r="D93" s="13">
        <v>0</v>
      </c>
      <c r="E93" s="11">
        <v>0</v>
      </c>
      <c r="F93" s="125">
        <v>0</v>
      </c>
      <c r="G93" s="11">
        <v>0</v>
      </c>
      <c r="H93" s="11">
        <v>1</v>
      </c>
      <c r="I93" s="313">
        <f>B93+C93+D93+E93+F93+G93+H93</f>
        <v>1</v>
      </c>
      <c r="J93" s="318">
        <f>FLORESTA!$I93/7</f>
        <v>0.14285714285714285</v>
      </c>
    </row>
    <row r="94" spans="1:13" x14ac:dyDescent="0.25">
      <c r="A94" s="15" t="s">
        <v>17</v>
      </c>
      <c r="B94" s="79">
        <f t="shared" ref="B94:I94" si="36">SUM(B89:B93)</f>
        <v>207</v>
      </c>
      <c r="C94" s="79">
        <f t="shared" si="36"/>
        <v>51</v>
      </c>
      <c r="D94" s="79">
        <f t="shared" si="36"/>
        <v>68</v>
      </c>
      <c r="E94" s="103">
        <f t="shared" si="36"/>
        <v>99</v>
      </c>
      <c r="F94" s="213">
        <f t="shared" si="36"/>
        <v>176</v>
      </c>
      <c r="G94" s="103">
        <f t="shared" si="36"/>
        <v>186</v>
      </c>
      <c r="H94" s="103">
        <f t="shared" si="36"/>
        <v>244</v>
      </c>
      <c r="I94" s="103">
        <f t="shared" si="36"/>
        <v>1031</v>
      </c>
      <c r="J94" s="319">
        <f>FLORESTA!$I94/7</f>
        <v>147.28571428571428</v>
      </c>
    </row>
    <row r="95" spans="1:13" x14ac:dyDescent="0.25">
      <c r="A95" s="10" t="s">
        <v>18</v>
      </c>
      <c r="B95" s="18">
        <v>0.18</v>
      </c>
      <c r="C95" s="19">
        <v>0.19</v>
      </c>
      <c r="D95" s="19">
        <v>0.19</v>
      </c>
      <c r="E95" s="18">
        <v>0.24</v>
      </c>
      <c r="F95" s="129">
        <v>0.28999999999999998</v>
      </c>
      <c r="G95" s="18">
        <v>0.26</v>
      </c>
      <c r="H95" s="18">
        <v>0.26</v>
      </c>
      <c r="I95" s="18">
        <f>I102/I107</f>
        <v>0.24062512202630082</v>
      </c>
      <c r="J95" s="19">
        <f>J102/J107</f>
        <v>0.24062512202630082</v>
      </c>
    </row>
    <row r="96" spans="1:13" x14ac:dyDescent="0.25">
      <c r="A96" s="10" t="s">
        <v>19</v>
      </c>
      <c r="B96" s="18">
        <v>0.01</v>
      </c>
      <c r="C96" s="19">
        <v>0</v>
      </c>
      <c r="D96" s="19">
        <v>0</v>
      </c>
      <c r="E96" s="18">
        <v>0</v>
      </c>
      <c r="F96" s="129">
        <v>0</v>
      </c>
      <c r="G96" s="18">
        <v>0</v>
      </c>
      <c r="H96" s="18">
        <v>0</v>
      </c>
      <c r="I96" s="18">
        <f>I103/I107</f>
        <v>1.9374238906974513E-3</v>
      </c>
      <c r="J96" s="19">
        <f>J103/J107</f>
        <v>1.9374238906974513E-3</v>
      </c>
    </row>
    <row r="97" spans="1:10" x14ac:dyDescent="0.25">
      <c r="A97" s="10" t="s">
        <v>20</v>
      </c>
      <c r="B97" s="18">
        <v>0.65</v>
      </c>
      <c r="C97" s="19">
        <v>0.79</v>
      </c>
      <c r="D97" s="19">
        <v>0.76</v>
      </c>
      <c r="E97" s="18">
        <v>0.74</v>
      </c>
      <c r="F97" s="297">
        <v>0.7</v>
      </c>
      <c r="G97" s="18">
        <v>0.74</v>
      </c>
      <c r="H97" s="18">
        <v>0.72</v>
      </c>
      <c r="I97" s="18">
        <f>I104/I107</f>
        <v>0.71410544240470375</v>
      </c>
      <c r="J97" s="19">
        <f>J104/J107</f>
        <v>0.71410544240470364</v>
      </c>
    </row>
    <row r="98" spans="1:10" x14ac:dyDescent="0.25">
      <c r="A98" s="10" t="s">
        <v>21</v>
      </c>
      <c r="B98" s="18">
        <v>0.16</v>
      </c>
      <c r="C98" s="19">
        <v>0.02</v>
      </c>
      <c r="D98" s="19">
        <v>0.05</v>
      </c>
      <c r="E98" s="18">
        <v>0.02</v>
      </c>
      <c r="F98" s="297">
        <v>0.01</v>
      </c>
      <c r="G98" s="18">
        <v>0</v>
      </c>
      <c r="H98" s="18">
        <v>0.02</v>
      </c>
      <c r="I98" s="18">
        <f>I105/I107</f>
        <v>4.3332011678297935E-2</v>
      </c>
      <c r="J98" s="19">
        <f>J105/J107</f>
        <v>4.3332011678297935E-2</v>
      </c>
    </row>
    <row r="99" spans="1:10" x14ac:dyDescent="0.25">
      <c r="A99" s="10" t="s">
        <v>22</v>
      </c>
      <c r="B99" s="18">
        <v>0</v>
      </c>
      <c r="C99" s="19">
        <v>0</v>
      </c>
      <c r="D99" s="19">
        <v>0</v>
      </c>
      <c r="E99" s="18">
        <v>0</v>
      </c>
      <c r="F99" s="297">
        <v>0</v>
      </c>
      <c r="G99" s="18">
        <v>0</v>
      </c>
      <c r="H99" s="18">
        <v>0</v>
      </c>
      <c r="I99" s="18">
        <f>I106/I107</f>
        <v>0</v>
      </c>
      <c r="J99" s="19">
        <f>J106/J107</f>
        <v>0</v>
      </c>
    </row>
    <row r="100" spans="1:10" x14ac:dyDescent="0.25">
      <c r="A100" s="24" t="s">
        <v>23</v>
      </c>
      <c r="B100" s="130">
        <f t="shared" ref="B100:J100" si="37">B111/B94</f>
        <v>29789.371980676333</v>
      </c>
      <c r="C100" s="131">
        <f t="shared" si="37"/>
        <v>25935.294117647059</v>
      </c>
      <c r="D100" s="131">
        <f t="shared" si="37"/>
        <v>28308.823529411769</v>
      </c>
      <c r="E100" s="130">
        <f t="shared" si="37"/>
        <v>25704.040404040403</v>
      </c>
      <c r="F100" s="132">
        <f t="shared" si="37"/>
        <v>29173.29545454546</v>
      </c>
      <c r="G100" s="130">
        <f t="shared" si="37"/>
        <v>34127.419354838712</v>
      </c>
      <c r="H100" s="130">
        <f t="shared" si="37"/>
        <v>34768.442622950817</v>
      </c>
      <c r="I100" s="314">
        <f t="shared" si="37"/>
        <v>30964.597478176536</v>
      </c>
      <c r="J100" s="132">
        <f t="shared" si="37"/>
        <v>30964.597478176536</v>
      </c>
    </row>
    <row r="101" spans="1:10" x14ac:dyDescent="0.25">
      <c r="A101" s="24" t="s">
        <v>24</v>
      </c>
      <c r="B101" s="130">
        <f t="shared" ref="B101:J101" si="38">B111/B88</f>
        <v>29646.153846153851</v>
      </c>
      <c r="C101" s="131">
        <f t="shared" si="38"/>
        <v>28754.347826086956</v>
      </c>
      <c r="D101" s="131">
        <f t="shared" si="38"/>
        <v>26013.513513513517</v>
      </c>
      <c r="E101" s="130">
        <f t="shared" si="38"/>
        <v>26234.0206185567</v>
      </c>
      <c r="F101" s="132">
        <f t="shared" si="38"/>
        <v>27166.666666666672</v>
      </c>
      <c r="G101" s="130">
        <f t="shared" si="38"/>
        <v>31269.458128078819</v>
      </c>
      <c r="H101" s="130">
        <f t="shared" si="38"/>
        <v>31189.338235294119</v>
      </c>
      <c r="I101" s="314">
        <f t="shared" si="38"/>
        <v>29315.426997245188</v>
      </c>
      <c r="J101" s="132">
        <f t="shared" si="38"/>
        <v>29315.426997245184</v>
      </c>
    </row>
    <row r="102" spans="1:10" x14ac:dyDescent="0.25">
      <c r="A102" s="10" t="s">
        <v>25</v>
      </c>
      <c r="B102" s="92">
        <f t="shared" ref="B102:H102" si="39">B107*B95</f>
        <v>944054.47241379321</v>
      </c>
      <c r="C102" s="133">
        <f t="shared" si="39"/>
        <v>213782.9879310345</v>
      </c>
      <c r="D102" s="133">
        <f t="shared" si="39"/>
        <v>308341.07413793105</v>
      </c>
      <c r="E102" s="92">
        <f t="shared" si="39"/>
        <v>517697.25517241377</v>
      </c>
      <c r="F102" s="134">
        <f t="shared" si="39"/>
        <v>1262376.7000000002</v>
      </c>
      <c r="G102" s="92">
        <f t="shared" si="39"/>
        <v>1401468.9448275864</v>
      </c>
      <c r="H102" s="92">
        <f t="shared" si="39"/>
        <v>1866175.2379310348</v>
      </c>
      <c r="I102" s="92">
        <f>FLORESTA!$B102+FLORESTA!$C102+FLORESTA!$D102+FLORESTA!$E102+FLORESTA!$F102+FLORESTA!$G102+FLORESTA!$H102</f>
        <v>6513896.6724137934</v>
      </c>
      <c r="J102" s="133">
        <f>FLORESTA!$I102/7</f>
        <v>930556.66748768475</v>
      </c>
    </row>
    <row r="103" spans="1:10" x14ac:dyDescent="0.25">
      <c r="A103" s="10" t="s">
        <v>26</v>
      </c>
      <c r="B103" s="92">
        <f t="shared" ref="B103:H103" si="40">B107*B96</f>
        <v>52447.47068965518</v>
      </c>
      <c r="C103" s="133">
        <f t="shared" si="40"/>
        <v>0</v>
      </c>
      <c r="D103" s="133">
        <f t="shared" si="40"/>
        <v>0</v>
      </c>
      <c r="E103" s="92">
        <f t="shared" si="40"/>
        <v>0</v>
      </c>
      <c r="F103" s="134">
        <f t="shared" si="40"/>
        <v>0</v>
      </c>
      <c r="G103" s="92">
        <f t="shared" si="40"/>
        <v>0</v>
      </c>
      <c r="H103" s="92">
        <f t="shared" si="40"/>
        <v>0</v>
      </c>
      <c r="I103" s="92">
        <f>FLORESTA!$B103+FLORESTA!$C103+FLORESTA!$D103+FLORESTA!$E103+FLORESTA!$F103+FLORESTA!$G103+FLORESTA!$H103</f>
        <v>52447.47068965518</v>
      </c>
      <c r="J103" s="133">
        <f>FLORESTA!$I103/7</f>
        <v>7492.4958128078824</v>
      </c>
    </row>
    <row r="104" spans="1:10" x14ac:dyDescent="0.25">
      <c r="A104" s="10" t="s">
        <v>27</v>
      </c>
      <c r="B104" s="92">
        <f t="shared" ref="B104:H104" si="41">B107*B97</f>
        <v>3409085.5948275868</v>
      </c>
      <c r="C104" s="133">
        <f t="shared" si="41"/>
        <v>888887.16034482769</v>
      </c>
      <c r="D104" s="133">
        <f t="shared" si="41"/>
        <v>1233364.2965517242</v>
      </c>
      <c r="E104" s="92">
        <f t="shared" si="41"/>
        <v>1596233.2034482758</v>
      </c>
      <c r="F104" s="134">
        <f t="shared" si="41"/>
        <v>3047116.1724137934</v>
      </c>
      <c r="G104" s="92">
        <f t="shared" si="41"/>
        <v>3988796.227586207</v>
      </c>
      <c r="H104" s="92">
        <f t="shared" si="41"/>
        <v>5167869.8896551728</v>
      </c>
      <c r="I104" s="92">
        <f>FLORESTA!$B104+FLORESTA!$C104+FLORESTA!$D104+FLORESTA!$E104+FLORESTA!$F104+FLORESTA!$G104+FLORESTA!$H104</f>
        <v>19331352.544827588</v>
      </c>
      <c r="J104" s="133">
        <f>FLORESTA!$I104/7</f>
        <v>2761621.7921182266</v>
      </c>
    </row>
    <row r="105" spans="1:10" x14ac:dyDescent="0.25">
      <c r="A105" s="10" t="s">
        <v>28</v>
      </c>
      <c r="B105" s="92">
        <f t="shared" ref="B105:H105" si="42">B107*B98</f>
        <v>839159.53103448288</v>
      </c>
      <c r="C105" s="133">
        <f t="shared" si="42"/>
        <v>22503.472413793104</v>
      </c>
      <c r="D105" s="133">
        <f t="shared" si="42"/>
        <v>81142.387931034493</v>
      </c>
      <c r="E105" s="92">
        <f t="shared" si="42"/>
        <v>43141.437931034481</v>
      </c>
      <c r="F105" s="134">
        <f t="shared" si="42"/>
        <v>43530.231034482764</v>
      </c>
      <c r="G105" s="92">
        <f t="shared" si="42"/>
        <v>0</v>
      </c>
      <c r="H105" s="92">
        <f t="shared" si="42"/>
        <v>143551.94137931036</v>
      </c>
      <c r="I105" s="92">
        <f>FLORESTA!$B105+FLORESTA!$C105+FLORESTA!$D105+FLORESTA!$E105+FLORESTA!$F105+FLORESTA!$G105+FLORESTA!$H105</f>
        <v>1173029.0017241382</v>
      </c>
      <c r="J105" s="133">
        <f>FLORESTA!$I105/7</f>
        <v>167575.57167487688</v>
      </c>
    </row>
    <row r="106" spans="1:10" x14ac:dyDescent="0.25">
      <c r="A106" s="10" t="s">
        <v>29</v>
      </c>
      <c r="B106" s="92">
        <f t="shared" ref="B106:H106" si="43">B107*B99</f>
        <v>0</v>
      </c>
      <c r="C106" s="133">
        <f t="shared" si="43"/>
        <v>0</v>
      </c>
      <c r="D106" s="133">
        <f t="shared" si="43"/>
        <v>0</v>
      </c>
      <c r="E106" s="92">
        <f t="shared" si="43"/>
        <v>0</v>
      </c>
      <c r="F106" s="134">
        <f t="shared" si="43"/>
        <v>0</v>
      </c>
      <c r="G106" s="92">
        <f t="shared" si="43"/>
        <v>0</v>
      </c>
      <c r="H106" s="92">
        <f t="shared" si="43"/>
        <v>0</v>
      </c>
      <c r="I106" s="92">
        <f>FLORESTA!$B106+FLORESTA!$C106+FLORESTA!$D106+FLORESTA!$E106+FLORESTA!$F106+FLORESTA!$G106+FLORESTA!$H106</f>
        <v>0</v>
      </c>
      <c r="J106" s="133">
        <f>FLORESTA!$I106/7</f>
        <v>0</v>
      </c>
    </row>
    <row r="107" spans="1:10" x14ac:dyDescent="0.25">
      <c r="A107" s="33" t="s">
        <v>30</v>
      </c>
      <c r="B107" s="91">
        <f>(6166400/1.16)-B108</f>
        <v>5244747.0689655179</v>
      </c>
      <c r="C107" s="136">
        <f>(1322700/1.16)-C108</f>
        <v>1125173.6206896552</v>
      </c>
      <c r="D107" s="136">
        <f>(1925000/1.16)-D108</f>
        <v>1622847.7586206899</v>
      </c>
      <c r="E107" s="91">
        <f>(2544700/1.16)-E108</f>
        <v>2157071.8965517241</v>
      </c>
      <c r="F107" s="137">
        <f>(5134500/1.16)-F108</f>
        <v>4353023.1034482764</v>
      </c>
      <c r="G107" s="91">
        <f>(6347700/1.16)-G108</f>
        <v>5390265.1724137934</v>
      </c>
      <c r="H107" s="91">
        <f>(8483500/1.16)-H108</f>
        <v>7177597.0689655179</v>
      </c>
      <c r="I107" s="91">
        <f>SUM(I102:I106)</f>
        <v>27070725.689655177</v>
      </c>
      <c r="J107" s="136">
        <f>FLORESTA!$I107/7</f>
        <v>3867246.5270935968</v>
      </c>
    </row>
    <row r="108" spans="1:10" x14ac:dyDescent="0.25">
      <c r="A108" s="10" t="s">
        <v>31</v>
      </c>
      <c r="B108" s="94">
        <f t="shared" ref="B108:J108" si="44">2155*B89</f>
        <v>71115</v>
      </c>
      <c r="C108" s="139">
        <f t="shared" si="44"/>
        <v>15085</v>
      </c>
      <c r="D108" s="139">
        <f t="shared" si="44"/>
        <v>36635</v>
      </c>
      <c r="E108" s="94">
        <f t="shared" si="44"/>
        <v>36635</v>
      </c>
      <c r="F108" s="112">
        <f t="shared" si="44"/>
        <v>73270</v>
      </c>
      <c r="G108" s="94">
        <f t="shared" si="44"/>
        <v>81890</v>
      </c>
      <c r="H108" s="94">
        <f t="shared" si="44"/>
        <v>135765</v>
      </c>
      <c r="I108" s="94">
        <f t="shared" si="44"/>
        <v>450395</v>
      </c>
      <c r="J108" s="139">
        <f t="shared" si="44"/>
        <v>64342.142857142855</v>
      </c>
    </row>
    <row r="109" spans="1:10" x14ac:dyDescent="0.25">
      <c r="A109" s="37" t="s">
        <v>32</v>
      </c>
      <c r="B109" s="39">
        <f t="shared" ref="B109:J109" si="45">B107+B108</f>
        <v>5315862.0689655179</v>
      </c>
      <c r="C109" s="40">
        <f t="shared" si="45"/>
        <v>1140258.6206896552</v>
      </c>
      <c r="D109" s="40">
        <f t="shared" si="45"/>
        <v>1659482.7586206899</v>
      </c>
      <c r="E109" s="39">
        <f t="shared" si="45"/>
        <v>2193706.8965517241</v>
      </c>
      <c r="F109" s="140">
        <f t="shared" si="45"/>
        <v>4426293.1034482764</v>
      </c>
      <c r="G109" s="39">
        <f t="shared" si="45"/>
        <v>5472155.1724137934</v>
      </c>
      <c r="H109" s="39">
        <f t="shared" si="45"/>
        <v>7313362.0689655179</v>
      </c>
      <c r="I109" s="39">
        <f>I107+I108</f>
        <v>27521120.689655177</v>
      </c>
      <c r="J109" s="40">
        <f t="shared" si="45"/>
        <v>3931588.6699507395</v>
      </c>
    </row>
    <row r="110" spans="1:10" x14ac:dyDescent="0.25">
      <c r="A110" s="10" t="s">
        <v>33</v>
      </c>
      <c r="B110" s="41">
        <f t="shared" ref="B110:J110" si="46">B109*16%</f>
        <v>850537.9310344829</v>
      </c>
      <c r="C110" s="42">
        <f t="shared" si="46"/>
        <v>182441.37931034484</v>
      </c>
      <c r="D110" s="42">
        <f t="shared" si="46"/>
        <v>265517.24137931038</v>
      </c>
      <c r="E110" s="41">
        <f t="shared" si="46"/>
        <v>350993.10344827588</v>
      </c>
      <c r="F110" s="141">
        <f t="shared" si="46"/>
        <v>708206.89655172429</v>
      </c>
      <c r="G110" s="41">
        <f t="shared" si="46"/>
        <v>875544.82758620696</v>
      </c>
      <c r="H110" s="41">
        <f t="shared" si="46"/>
        <v>1170137.9310344828</v>
      </c>
      <c r="I110" s="41">
        <f>I109*16%</f>
        <v>4403379.3103448283</v>
      </c>
      <c r="J110" s="42">
        <f t="shared" si="46"/>
        <v>629054.18719211838</v>
      </c>
    </row>
    <row r="111" spans="1:10" x14ac:dyDescent="0.25">
      <c r="A111" s="43" t="s">
        <v>34</v>
      </c>
      <c r="B111" s="315">
        <f t="shared" ref="B111:H111" si="47">B109+B110</f>
        <v>6166400.0000000009</v>
      </c>
      <c r="C111" s="315">
        <f t="shared" si="47"/>
        <v>1322700</v>
      </c>
      <c r="D111" s="315">
        <f t="shared" si="47"/>
        <v>1925000.0000000002</v>
      </c>
      <c r="E111" s="178">
        <f t="shared" si="47"/>
        <v>2544700</v>
      </c>
      <c r="F111" s="182">
        <f t="shared" si="47"/>
        <v>5134500.0000000009</v>
      </c>
      <c r="G111" s="178">
        <f t="shared" si="47"/>
        <v>6347700</v>
      </c>
      <c r="H111" s="178">
        <f t="shared" si="47"/>
        <v>8483500</v>
      </c>
      <c r="I111" s="178">
        <f>I109+I110</f>
        <v>31924500.000000007</v>
      </c>
      <c r="J111" s="315">
        <f>FLORESTA!$I111/7</f>
        <v>4560642.8571428582</v>
      </c>
    </row>
    <row r="112" spans="1:10" x14ac:dyDescent="0.25">
      <c r="A112" s="149"/>
      <c r="B112" s="150"/>
      <c r="C112" s="150"/>
      <c r="D112" s="150"/>
      <c r="E112" s="150"/>
      <c r="F112" s="150"/>
      <c r="G112" s="150"/>
      <c r="H112" s="150"/>
      <c r="I112" s="150"/>
    </row>
    <row r="113" spans="1:10" x14ac:dyDescent="0.25">
      <c r="A113" s="149"/>
      <c r="B113" s="150"/>
      <c r="C113" s="150"/>
      <c r="D113" s="150"/>
      <c r="E113" s="150"/>
      <c r="F113" s="150"/>
      <c r="G113" s="150"/>
      <c r="H113" s="150"/>
      <c r="I113" s="150"/>
    </row>
    <row r="114" spans="1:10" ht="26.25" x14ac:dyDescent="0.25">
      <c r="A114" s="85"/>
      <c r="B114" s="1002" t="s">
        <v>404</v>
      </c>
      <c r="C114" s="1002"/>
      <c r="D114" s="1002"/>
      <c r="E114" s="1002"/>
      <c r="F114" s="1002"/>
      <c r="G114" s="1002"/>
      <c r="H114" s="1002"/>
      <c r="I114" s="1002"/>
      <c r="J114" s="85"/>
    </row>
    <row r="115" spans="1:10" ht="15.75" x14ac:dyDescent="0.25">
      <c r="A115" s="72" t="s">
        <v>2</v>
      </c>
      <c r="B115" s="121" t="s">
        <v>139</v>
      </c>
      <c r="C115" s="51" t="s">
        <v>140</v>
      </c>
      <c r="D115" s="121" t="s">
        <v>141</v>
      </c>
      <c r="E115" s="51" t="s">
        <v>142</v>
      </c>
      <c r="F115" s="51" t="s">
        <v>143</v>
      </c>
      <c r="G115" s="121" t="s">
        <v>144</v>
      </c>
      <c r="H115" s="121" t="s">
        <v>145</v>
      </c>
      <c r="I115" s="51" t="s">
        <v>10</v>
      </c>
      <c r="J115" s="310" t="s">
        <v>77</v>
      </c>
    </row>
    <row r="116" spans="1:10" x14ac:dyDescent="0.25">
      <c r="A116" s="74" t="s">
        <v>11</v>
      </c>
      <c r="B116" s="55">
        <v>56</v>
      </c>
      <c r="C116" s="56">
        <v>60</v>
      </c>
      <c r="D116" s="54">
        <v>61</v>
      </c>
      <c r="E116" s="316">
        <v>84</v>
      </c>
      <c r="F116" s="311">
        <v>194</v>
      </c>
      <c r="G116" s="58">
        <v>268</v>
      </c>
      <c r="H116" s="57">
        <v>247</v>
      </c>
      <c r="I116" s="311">
        <f>SUM(B116:H116)</f>
        <v>970</v>
      </c>
      <c r="J116" s="317">
        <f>FLORESTA!$I116/7</f>
        <v>138.57142857142858</v>
      </c>
    </row>
    <row r="117" spans="1:10" x14ac:dyDescent="0.25">
      <c r="A117" s="10" t="s">
        <v>12</v>
      </c>
      <c r="B117" s="11">
        <v>7</v>
      </c>
      <c r="C117" s="13">
        <v>22</v>
      </c>
      <c r="D117" s="13">
        <v>72</v>
      </c>
      <c r="E117" s="11">
        <v>81</v>
      </c>
      <c r="F117" s="125">
        <v>52</v>
      </c>
      <c r="G117" s="11">
        <v>63</v>
      </c>
      <c r="H117" s="11">
        <v>64</v>
      </c>
      <c r="I117" s="313">
        <f>B117+C117+D117+E117+F117+G117+H117</f>
        <v>361</v>
      </c>
      <c r="J117" s="318">
        <f>FLORESTA!$I117/7</f>
        <v>51.571428571428569</v>
      </c>
    </row>
    <row r="118" spans="1:10" x14ac:dyDescent="0.25">
      <c r="A118" s="10" t="s">
        <v>13</v>
      </c>
      <c r="B118" s="11">
        <v>0</v>
      </c>
      <c r="C118" s="13">
        <v>0</v>
      </c>
      <c r="D118" s="13">
        <v>0</v>
      </c>
      <c r="E118" s="11">
        <v>0</v>
      </c>
      <c r="F118" s="125">
        <v>0</v>
      </c>
      <c r="G118" s="11">
        <v>2</v>
      </c>
      <c r="H118" s="11">
        <v>3</v>
      </c>
      <c r="I118" s="313">
        <f>B118+C118+D118+E118+F118+G118+H118</f>
        <v>5</v>
      </c>
      <c r="J118" s="318">
        <f>C118+D118+E118+F118+G118+H118+I118</f>
        <v>10</v>
      </c>
    </row>
    <row r="119" spans="1:10" x14ac:dyDescent="0.25">
      <c r="A119" s="10" t="s">
        <v>14</v>
      </c>
      <c r="B119" s="11">
        <v>46</v>
      </c>
      <c r="C119" s="13">
        <v>33</v>
      </c>
      <c r="D119" s="13">
        <v>53</v>
      </c>
      <c r="E119" s="11">
        <v>60</v>
      </c>
      <c r="F119" s="125">
        <v>113</v>
      </c>
      <c r="G119" s="11">
        <v>168</v>
      </c>
      <c r="H119" s="11">
        <v>167</v>
      </c>
      <c r="I119" s="313">
        <f>B119+C119+D119+E119+F119+G119+H119</f>
        <v>640</v>
      </c>
      <c r="J119" s="318">
        <f>FLORESTA!$I119/7</f>
        <v>91.428571428571431</v>
      </c>
    </row>
    <row r="120" spans="1:10" x14ac:dyDescent="0.25">
      <c r="A120" s="10" t="s">
        <v>15</v>
      </c>
      <c r="B120" s="11">
        <v>0</v>
      </c>
      <c r="C120" s="13">
        <v>4</v>
      </c>
      <c r="D120" s="13">
        <v>0</v>
      </c>
      <c r="E120" s="11">
        <v>1</v>
      </c>
      <c r="F120" s="125">
        <v>0</v>
      </c>
      <c r="G120" s="11">
        <v>12</v>
      </c>
      <c r="H120" s="11">
        <v>0</v>
      </c>
      <c r="I120" s="313">
        <f>B120+C120+D120+E120+F120+G120+H120</f>
        <v>17</v>
      </c>
      <c r="J120" s="318">
        <f>FLORESTA!$I120/7</f>
        <v>2.4285714285714284</v>
      </c>
    </row>
    <row r="121" spans="1:10" x14ac:dyDescent="0.25">
      <c r="A121" s="10" t="s">
        <v>16</v>
      </c>
      <c r="B121" s="11">
        <v>0</v>
      </c>
      <c r="C121" s="13">
        <v>0</v>
      </c>
      <c r="D121" s="13">
        <v>0</v>
      </c>
      <c r="E121" s="11">
        <v>0</v>
      </c>
      <c r="F121" s="125">
        <v>0</v>
      </c>
      <c r="G121" s="11">
        <v>0</v>
      </c>
      <c r="H121" s="11">
        <v>0</v>
      </c>
      <c r="I121" s="313">
        <f>B121+C121+D121+E121+F121+G121+H121</f>
        <v>0</v>
      </c>
      <c r="J121" s="318">
        <f>FLORESTA!$I121/7</f>
        <v>0</v>
      </c>
    </row>
    <row r="122" spans="1:10" x14ac:dyDescent="0.25">
      <c r="A122" s="15" t="s">
        <v>17</v>
      </c>
      <c r="B122" s="79">
        <f t="shared" ref="B122:I122" si="48">SUM(B117:B121)</f>
        <v>53</v>
      </c>
      <c r="C122" s="79">
        <f t="shared" si="48"/>
        <v>59</v>
      </c>
      <c r="D122" s="79">
        <f t="shared" si="48"/>
        <v>125</v>
      </c>
      <c r="E122" s="103">
        <f t="shared" si="48"/>
        <v>142</v>
      </c>
      <c r="F122" s="213">
        <f t="shared" si="48"/>
        <v>165</v>
      </c>
      <c r="G122" s="103">
        <f t="shared" si="48"/>
        <v>245</v>
      </c>
      <c r="H122" s="103">
        <f t="shared" si="48"/>
        <v>234</v>
      </c>
      <c r="I122" s="103">
        <f t="shared" si="48"/>
        <v>1023</v>
      </c>
      <c r="J122" s="319">
        <f>FLORESTA!$I122/7</f>
        <v>146.14285714285714</v>
      </c>
    </row>
    <row r="123" spans="1:10" x14ac:dyDescent="0.25">
      <c r="A123" s="10" t="s">
        <v>18</v>
      </c>
      <c r="B123" s="18">
        <v>0.13</v>
      </c>
      <c r="C123" s="19">
        <v>0.34</v>
      </c>
      <c r="D123" s="19">
        <v>0.57999999999999996</v>
      </c>
      <c r="E123" s="18">
        <v>0.56999999999999995</v>
      </c>
      <c r="F123" s="129">
        <v>0.36</v>
      </c>
      <c r="G123" s="18">
        <v>0.63</v>
      </c>
      <c r="H123" s="18">
        <v>0.3</v>
      </c>
      <c r="I123" s="18">
        <f>I130/I135</f>
        <v>0.4355271925853843</v>
      </c>
      <c r="J123" s="19">
        <f>J130/J135</f>
        <v>0.4355271925853843</v>
      </c>
    </row>
    <row r="124" spans="1:10" x14ac:dyDescent="0.25">
      <c r="A124" s="10" t="s">
        <v>19</v>
      </c>
      <c r="B124" s="18">
        <v>0</v>
      </c>
      <c r="C124" s="19">
        <v>0</v>
      </c>
      <c r="D124" s="19">
        <v>0</v>
      </c>
      <c r="E124" s="18">
        <v>0</v>
      </c>
      <c r="F124" s="129">
        <v>0.01</v>
      </c>
      <c r="G124" s="18">
        <v>0.01</v>
      </c>
      <c r="H124" s="18">
        <v>0.02</v>
      </c>
      <c r="I124" s="18">
        <f>I131/I135</f>
        <v>1.018249757366696E-2</v>
      </c>
      <c r="J124" s="19">
        <f>J131/J135</f>
        <v>1.0182497573666962E-2</v>
      </c>
    </row>
    <row r="125" spans="1:10" x14ac:dyDescent="0.25">
      <c r="A125" s="10" t="s">
        <v>20</v>
      </c>
      <c r="B125" s="18">
        <v>0.87</v>
      </c>
      <c r="C125" s="19">
        <v>0.62</v>
      </c>
      <c r="D125" s="19">
        <v>0.42</v>
      </c>
      <c r="E125" s="18">
        <v>0.42</v>
      </c>
      <c r="F125" s="297">
        <v>0.63</v>
      </c>
      <c r="G125" s="18">
        <v>0.3</v>
      </c>
      <c r="H125" s="18">
        <v>0.68</v>
      </c>
      <c r="I125" s="18">
        <f>I132/I135</f>
        <v>0.53426021778988975</v>
      </c>
      <c r="J125" s="19">
        <f>J132/J135</f>
        <v>0.53426021778988975</v>
      </c>
    </row>
    <row r="126" spans="1:10" x14ac:dyDescent="0.25">
      <c r="A126" s="10" t="s">
        <v>21</v>
      </c>
      <c r="B126" s="18">
        <v>0</v>
      </c>
      <c r="C126" s="19">
        <v>0.04</v>
      </c>
      <c r="D126" s="19">
        <v>0</v>
      </c>
      <c r="E126" s="18">
        <v>0.01</v>
      </c>
      <c r="F126" s="297">
        <v>0</v>
      </c>
      <c r="G126" s="18">
        <v>0.06</v>
      </c>
      <c r="H126" s="18">
        <v>0</v>
      </c>
      <c r="I126" s="18">
        <f>I133/I135</f>
        <v>2.003009205105908E-2</v>
      </c>
      <c r="J126" s="19">
        <f>J133/J135</f>
        <v>2.0030092051059083E-2</v>
      </c>
    </row>
    <row r="127" spans="1:10" x14ac:dyDescent="0.25">
      <c r="A127" s="10" t="s">
        <v>22</v>
      </c>
      <c r="B127" s="18">
        <v>0</v>
      </c>
      <c r="C127" s="19">
        <v>0</v>
      </c>
      <c r="D127" s="19">
        <v>0</v>
      </c>
      <c r="E127" s="18">
        <v>0</v>
      </c>
      <c r="F127" s="297">
        <v>0</v>
      </c>
      <c r="G127" s="18">
        <v>0</v>
      </c>
      <c r="H127" s="18">
        <v>0</v>
      </c>
      <c r="I127" s="18">
        <f>I134/I135</f>
        <v>0</v>
      </c>
      <c r="J127" s="19">
        <f>J134/J135</f>
        <v>0</v>
      </c>
    </row>
    <row r="128" spans="1:10" x14ac:dyDescent="0.25">
      <c r="A128" s="24" t="s">
        <v>23</v>
      </c>
      <c r="B128" s="130">
        <f t="shared" ref="B128:J128" si="49">B139/B122</f>
        <v>30171.698113207549</v>
      </c>
      <c r="C128" s="131">
        <f t="shared" si="49"/>
        <v>29693.22033898305</v>
      </c>
      <c r="D128" s="131">
        <f t="shared" si="49"/>
        <v>14416.8</v>
      </c>
      <c r="E128" s="130">
        <f t="shared" si="49"/>
        <v>17878.169014084506</v>
      </c>
      <c r="F128" s="132">
        <f t="shared" si="49"/>
        <v>37071.515151515152</v>
      </c>
      <c r="G128" s="130">
        <f t="shared" si="49"/>
        <v>34267.346938775518</v>
      </c>
      <c r="H128" s="130">
        <f t="shared" si="49"/>
        <v>33890.170940170945</v>
      </c>
      <c r="I128" s="314">
        <f t="shared" si="49"/>
        <v>29456.891495601172</v>
      </c>
      <c r="J128" s="132">
        <f t="shared" si="49"/>
        <v>29456.891495601172</v>
      </c>
    </row>
    <row r="129" spans="1:10" x14ac:dyDescent="0.25">
      <c r="A129" s="24" t="s">
        <v>24</v>
      </c>
      <c r="B129" s="130">
        <f t="shared" ref="B129:J129" si="50">B139/B116</f>
        <v>28555.357142857141</v>
      </c>
      <c r="C129" s="131">
        <f t="shared" si="50"/>
        <v>29198.333333333332</v>
      </c>
      <c r="D129" s="131">
        <f t="shared" si="50"/>
        <v>29542.622950819674</v>
      </c>
      <c r="E129" s="130">
        <f t="shared" si="50"/>
        <v>30222.619047619046</v>
      </c>
      <c r="F129" s="132">
        <f t="shared" si="50"/>
        <v>31529.896907216495</v>
      </c>
      <c r="G129" s="130">
        <f t="shared" si="50"/>
        <v>31326.492537313439</v>
      </c>
      <c r="H129" s="130">
        <f t="shared" si="50"/>
        <v>32106.477732793526</v>
      </c>
      <c r="I129" s="314">
        <f t="shared" si="50"/>
        <v>31066.391752577321</v>
      </c>
      <c r="J129" s="132">
        <f t="shared" si="50"/>
        <v>31066.391752577314</v>
      </c>
    </row>
    <row r="130" spans="1:10" x14ac:dyDescent="0.25">
      <c r="A130" s="10" t="s">
        <v>25</v>
      </c>
      <c r="B130" s="92">
        <f t="shared" ref="B130:H130" si="51">B135*B123</f>
        <v>177248.43275862071</v>
      </c>
      <c r="C130" s="133">
        <f t="shared" si="51"/>
        <v>497368.53103448282</v>
      </c>
      <c r="D130" s="133">
        <f t="shared" si="51"/>
        <v>811057.2</v>
      </c>
      <c r="E130" s="92">
        <f t="shared" si="51"/>
        <v>1147968.3051724138</v>
      </c>
      <c r="F130" s="134">
        <f t="shared" si="51"/>
        <v>1857975.6413793103</v>
      </c>
      <c r="G130" s="92">
        <f t="shared" si="51"/>
        <v>4474093.0500000007</v>
      </c>
      <c r="H130" s="92">
        <f t="shared" si="51"/>
        <v>2009563.6551724139</v>
      </c>
      <c r="I130" s="92">
        <f>FLORESTA!$B130+FLORESTA!$C130+FLORESTA!$D130+FLORESTA!$E130+FLORESTA!$F130+FLORESTA!$G130+FLORESTA!$H130</f>
        <v>10975274.815517241</v>
      </c>
      <c r="J130" s="133">
        <f>FLORESTA!$I130/7</f>
        <v>1567896.4022167488</v>
      </c>
    </row>
    <row r="131" spans="1:10" x14ac:dyDescent="0.25">
      <c r="A131" s="10" t="s">
        <v>26</v>
      </c>
      <c r="B131" s="92">
        <f t="shared" ref="B131:H131" si="52">B135*B124</f>
        <v>0</v>
      </c>
      <c r="C131" s="133">
        <f t="shared" si="52"/>
        <v>0</v>
      </c>
      <c r="D131" s="133">
        <f t="shared" si="52"/>
        <v>0</v>
      </c>
      <c r="E131" s="92">
        <f t="shared" si="52"/>
        <v>0</v>
      </c>
      <c r="F131" s="134">
        <f t="shared" si="52"/>
        <v>51610.434482758625</v>
      </c>
      <c r="G131" s="92">
        <f t="shared" si="52"/>
        <v>71017.350000000006</v>
      </c>
      <c r="H131" s="92">
        <f t="shared" si="52"/>
        <v>133970.9103448276</v>
      </c>
      <c r="I131" s="92">
        <f>FLORESTA!$B131+FLORESTA!$C131+FLORESTA!$D131+FLORESTA!$E131+FLORESTA!$F131+FLORESTA!$G131+FLORESTA!$H131</f>
        <v>256598.69482758624</v>
      </c>
      <c r="J131" s="133">
        <f>FLORESTA!$I131/7</f>
        <v>36656.956403940894</v>
      </c>
    </row>
    <row r="132" spans="1:10" x14ac:dyDescent="0.25">
      <c r="A132" s="10" t="s">
        <v>27</v>
      </c>
      <c r="B132" s="92">
        <f t="shared" ref="B132:H132" si="53">B135*B125</f>
        <v>1186201.05</v>
      </c>
      <c r="C132" s="133">
        <f t="shared" si="53"/>
        <v>906966.14482758625</v>
      </c>
      <c r="D132" s="133">
        <f t="shared" si="53"/>
        <v>587317.28275862068</v>
      </c>
      <c r="E132" s="92">
        <f t="shared" si="53"/>
        <v>845871.38275862066</v>
      </c>
      <c r="F132" s="134">
        <f t="shared" si="53"/>
        <v>3251457.3724137931</v>
      </c>
      <c r="G132" s="92">
        <f t="shared" si="53"/>
        <v>2130520.5</v>
      </c>
      <c r="H132" s="92">
        <f t="shared" si="53"/>
        <v>4555010.951724139</v>
      </c>
      <c r="I132" s="92">
        <f>FLORESTA!$B132+FLORESTA!$C132+FLORESTA!$D132+FLORESTA!$E132+FLORESTA!$F132+FLORESTA!$G132+FLORESTA!$H132</f>
        <v>13463344.684482761</v>
      </c>
      <c r="J132" s="133">
        <f>FLORESTA!$I132/7</f>
        <v>1923334.9549261087</v>
      </c>
    </row>
    <row r="133" spans="1:10" x14ac:dyDescent="0.25">
      <c r="A133" s="10" t="s">
        <v>28</v>
      </c>
      <c r="B133" s="92">
        <f t="shared" ref="B133:H133" si="54">B135*B126</f>
        <v>0</v>
      </c>
      <c r="C133" s="133">
        <f t="shared" si="54"/>
        <v>58513.944827586209</v>
      </c>
      <c r="D133" s="133">
        <f t="shared" si="54"/>
        <v>0</v>
      </c>
      <c r="E133" s="92">
        <f t="shared" si="54"/>
        <v>20139.794827586207</v>
      </c>
      <c r="F133" s="134">
        <f t="shared" si="54"/>
        <v>0</v>
      </c>
      <c r="G133" s="92">
        <f t="shared" si="54"/>
        <v>426104.10000000003</v>
      </c>
      <c r="H133" s="92">
        <f t="shared" si="54"/>
        <v>0</v>
      </c>
      <c r="I133" s="92">
        <f>FLORESTA!$B133+FLORESTA!$C133+FLORESTA!$D133+FLORESTA!$E133+FLORESTA!$F133+FLORESTA!$G133+FLORESTA!$H133</f>
        <v>504757.83965517243</v>
      </c>
      <c r="J133" s="133">
        <f>FLORESTA!$I133/7</f>
        <v>72108.26280788178</v>
      </c>
    </row>
    <row r="134" spans="1:10" x14ac:dyDescent="0.25">
      <c r="A134" s="10" t="s">
        <v>29</v>
      </c>
      <c r="B134" s="92">
        <f t="shared" ref="B134:H134" si="55">B135*B127</f>
        <v>0</v>
      </c>
      <c r="C134" s="133">
        <f t="shared" si="55"/>
        <v>0</v>
      </c>
      <c r="D134" s="133">
        <f t="shared" si="55"/>
        <v>0</v>
      </c>
      <c r="E134" s="92">
        <f t="shared" si="55"/>
        <v>0</v>
      </c>
      <c r="F134" s="134">
        <f t="shared" si="55"/>
        <v>0</v>
      </c>
      <c r="G134" s="92">
        <f t="shared" si="55"/>
        <v>0</v>
      </c>
      <c r="H134" s="92">
        <f t="shared" si="55"/>
        <v>0</v>
      </c>
      <c r="I134" s="92">
        <f>FLORESTA!$B134+FLORESTA!$C134+FLORESTA!$D134+FLORESTA!$E134+FLORESTA!$F134+FLORESTA!$G134+FLORESTA!$H134</f>
        <v>0</v>
      </c>
      <c r="J134" s="133">
        <f>FLORESTA!$I134/7</f>
        <v>0</v>
      </c>
    </row>
    <row r="135" spans="1:10" x14ac:dyDescent="0.25">
      <c r="A135" s="33" t="s">
        <v>30</v>
      </c>
      <c r="B135" s="91">
        <f>(1599100/1.16)-B136</f>
        <v>1363449.4827586208</v>
      </c>
      <c r="C135" s="136">
        <f>(1751900/1.16)-C136</f>
        <v>1462848.6206896552</v>
      </c>
      <c r="D135" s="136">
        <f>(1802100/1.16)-D136</f>
        <v>1398374.4827586208</v>
      </c>
      <c r="E135" s="91">
        <f>(2538700/1.16)-E136</f>
        <v>2013979.4827586208</v>
      </c>
      <c r="F135" s="137">
        <f>(6116800/1.16)-F136</f>
        <v>5161043.4482758623</v>
      </c>
      <c r="G135" s="91">
        <f>(8395500/1.16)-G136</f>
        <v>7101735.0000000009</v>
      </c>
      <c r="H135" s="91">
        <f>(7930300/1.16)-H136</f>
        <v>6698545.5172413802</v>
      </c>
      <c r="I135" s="91">
        <f>SUM(I130:I134)</f>
        <v>25199976.034482758</v>
      </c>
      <c r="J135" s="136">
        <f>FLORESTA!$I135/7</f>
        <v>3599996.5763546797</v>
      </c>
    </row>
    <row r="136" spans="1:10" x14ac:dyDescent="0.25">
      <c r="A136" s="10" t="s">
        <v>31</v>
      </c>
      <c r="B136" s="94">
        <f t="shared" ref="B136:J136" si="56">2155*B117</f>
        <v>15085</v>
      </c>
      <c r="C136" s="139">
        <f t="shared" si="56"/>
        <v>47410</v>
      </c>
      <c r="D136" s="139">
        <f t="shared" si="56"/>
        <v>155160</v>
      </c>
      <c r="E136" s="94">
        <f t="shared" si="56"/>
        <v>174555</v>
      </c>
      <c r="F136" s="112">
        <f t="shared" si="56"/>
        <v>112060</v>
      </c>
      <c r="G136" s="94">
        <f t="shared" si="56"/>
        <v>135765</v>
      </c>
      <c r="H136" s="94">
        <f t="shared" si="56"/>
        <v>137920</v>
      </c>
      <c r="I136" s="94">
        <f t="shared" si="56"/>
        <v>777955</v>
      </c>
      <c r="J136" s="139">
        <f t="shared" si="56"/>
        <v>111136.42857142857</v>
      </c>
    </row>
    <row r="137" spans="1:10" x14ac:dyDescent="0.25">
      <c r="A137" s="37" t="s">
        <v>32</v>
      </c>
      <c r="B137" s="39">
        <f t="shared" ref="B137:H137" si="57">B135+B136</f>
        <v>1378534.4827586208</v>
      </c>
      <c r="C137" s="40">
        <f t="shared" si="57"/>
        <v>1510258.6206896552</v>
      </c>
      <c r="D137" s="40">
        <f t="shared" si="57"/>
        <v>1553534.4827586208</v>
      </c>
      <c r="E137" s="39">
        <f t="shared" si="57"/>
        <v>2188534.4827586208</v>
      </c>
      <c r="F137" s="140">
        <f t="shared" si="57"/>
        <v>5273103.4482758623</v>
      </c>
      <c r="G137" s="39">
        <f t="shared" si="57"/>
        <v>7237500.0000000009</v>
      </c>
      <c r="H137" s="39">
        <f t="shared" si="57"/>
        <v>6836465.5172413802</v>
      </c>
      <c r="I137" s="39">
        <f>I135+I136</f>
        <v>25977931.034482758</v>
      </c>
      <c r="J137" s="40">
        <f>J135+J136</f>
        <v>3711133.0049261083</v>
      </c>
    </row>
    <row r="138" spans="1:10" x14ac:dyDescent="0.25">
      <c r="A138" s="10" t="s">
        <v>33</v>
      </c>
      <c r="B138" s="41">
        <f t="shared" ref="B138:H138" si="58">B137*16%</f>
        <v>220565.51724137933</v>
      </c>
      <c r="C138" s="42">
        <f t="shared" si="58"/>
        <v>241641.37931034484</v>
      </c>
      <c r="D138" s="42">
        <f t="shared" si="58"/>
        <v>248565.51724137933</v>
      </c>
      <c r="E138" s="41">
        <f t="shared" si="58"/>
        <v>350165.5172413793</v>
      </c>
      <c r="F138" s="141">
        <f t="shared" si="58"/>
        <v>843696.55172413797</v>
      </c>
      <c r="G138" s="41">
        <f t="shared" si="58"/>
        <v>1158000.0000000002</v>
      </c>
      <c r="H138" s="41">
        <f t="shared" si="58"/>
        <v>1093834.4827586208</v>
      </c>
      <c r="I138" s="41">
        <f>I137*16%</f>
        <v>4156468.9655172415</v>
      </c>
      <c r="J138" s="42">
        <f>J137*16%</f>
        <v>593781.28078817739</v>
      </c>
    </row>
    <row r="139" spans="1:10" x14ac:dyDescent="0.25">
      <c r="A139" s="43" t="s">
        <v>34</v>
      </c>
      <c r="B139" s="315">
        <f t="shared" ref="B139:H139" si="59">B137+B138</f>
        <v>1599100</v>
      </c>
      <c r="C139" s="315">
        <f t="shared" si="59"/>
        <v>1751900</v>
      </c>
      <c r="D139" s="315">
        <f t="shared" si="59"/>
        <v>1802100</v>
      </c>
      <c r="E139" s="178">
        <f t="shared" si="59"/>
        <v>2538700</v>
      </c>
      <c r="F139" s="182">
        <f t="shared" si="59"/>
        <v>6116800</v>
      </c>
      <c r="G139" s="178">
        <f t="shared" si="59"/>
        <v>8395500.0000000019</v>
      </c>
      <c r="H139" s="178">
        <f t="shared" si="59"/>
        <v>7930300.0000000009</v>
      </c>
      <c r="I139" s="178">
        <f>I137+I138</f>
        <v>30134400</v>
      </c>
      <c r="J139" s="315">
        <f>FLORESTA!$I139/7</f>
        <v>4304914.2857142854</v>
      </c>
    </row>
    <row r="140" spans="1:10" ht="14.25" customHeight="1" x14ac:dyDescent="0.25"/>
    <row r="141" spans="1:10" ht="14.25" customHeight="1" x14ac:dyDescent="0.25">
      <c r="A141" s="149"/>
      <c r="B141" s="150"/>
      <c r="C141" s="150"/>
      <c r="D141" s="150"/>
      <c r="E141" s="150"/>
      <c r="F141" s="150"/>
      <c r="G141" s="150"/>
      <c r="H141" s="150"/>
      <c r="I141" s="150"/>
    </row>
    <row r="142" spans="1:10" ht="14.25" customHeight="1" x14ac:dyDescent="0.25">
      <c r="A142" s="149"/>
      <c r="B142" s="1006" t="s">
        <v>69</v>
      </c>
      <c r="C142" s="1006"/>
      <c r="D142" s="1006"/>
      <c r="E142" s="1006"/>
      <c r="F142" s="1006"/>
      <c r="G142" s="1006"/>
      <c r="H142" s="1006"/>
      <c r="I142" s="1006"/>
    </row>
    <row r="143" spans="1:10" ht="14.25" customHeight="1" x14ac:dyDescent="0.25">
      <c r="A143" s="149"/>
      <c r="B143" s="1006"/>
      <c r="C143" s="1006"/>
      <c r="D143" s="1006"/>
      <c r="E143" s="1006"/>
      <c r="F143" s="1006"/>
      <c r="G143" s="1006"/>
      <c r="H143" s="1006"/>
      <c r="I143" s="1006"/>
    </row>
    <row r="144" spans="1:10" ht="15.75" x14ac:dyDescent="0.25">
      <c r="A144" s="72" t="s">
        <v>2</v>
      </c>
      <c r="B144" s="121" t="s">
        <v>405</v>
      </c>
      <c r="C144" s="51" t="s">
        <v>148</v>
      </c>
      <c r="D144" s="121" t="s">
        <v>149</v>
      </c>
      <c r="E144" s="51" t="s">
        <v>150</v>
      </c>
      <c r="F144" s="51" t="s">
        <v>151</v>
      </c>
      <c r="G144" s="121" t="s">
        <v>152</v>
      </c>
      <c r="H144" s="121" t="s">
        <v>153</v>
      </c>
      <c r="I144" s="51" t="s">
        <v>10</v>
      </c>
      <c r="J144" s="310" t="s">
        <v>77</v>
      </c>
    </row>
    <row r="145" spans="1:10" x14ac:dyDescent="0.25">
      <c r="A145" s="74" t="s">
        <v>11</v>
      </c>
      <c r="B145" s="55">
        <v>222</v>
      </c>
      <c r="C145" s="56">
        <v>46</v>
      </c>
      <c r="D145" s="54">
        <v>75</v>
      </c>
      <c r="E145" s="316">
        <v>70</v>
      </c>
      <c r="F145" s="311">
        <v>166</v>
      </c>
      <c r="G145" s="58">
        <v>280</v>
      </c>
      <c r="H145" s="57">
        <v>220</v>
      </c>
      <c r="I145" s="311">
        <f>SUM(B145:H145)</f>
        <v>1079</v>
      </c>
      <c r="J145" s="317">
        <f>FLORESTA!$I145/7</f>
        <v>154.14285714285714</v>
      </c>
    </row>
    <row r="146" spans="1:10" x14ac:dyDescent="0.25">
      <c r="A146" s="10" t="s">
        <v>12</v>
      </c>
      <c r="B146" s="11">
        <v>64</v>
      </c>
      <c r="C146" s="13">
        <v>11</v>
      </c>
      <c r="D146" s="13">
        <v>22</v>
      </c>
      <c r="E146" s="11">
        <v>15</v>
      </c>
      <c r="F146" s="125">
        <v>44</v>
      </c>
      <c r="G146" s="11">
        <v>58</v>
      </c>
      <c r="H146" s="11">
        <v>54</v>
      </c>
      <c r="I146" s="313">
        <f>B146+C146+D146+E146+F146+G146+H146</f>
        <v>268</v>
      </c>
      <c r="J146" s="318">
        <f>FLORESTA!$I146/7</f>
        <v>38.285714285714285</v>
      </c>
    </row>
    <row r="147" spans="1:10" x14ac:dyDescent="0.25">
      <c r="A147" s="10" t="s">
        <v>13</v>
      </c>
      <c r="B147" s="11">
        <v>0</v>
      </c>
      <c r="C147" s="13">
        <v>0</v>
      </c>
      <c r="D147" s="13">
        <v>0</v>
      </c>
      <c r="E147" s="11">
        <v>0</v>
      </c>
      <c r="F147" s="125">
        <v>1</v>
      </c>
      <c r="G147" s="11">
        <v>4</v>
      </c>
      <c r="H147" s="11">
        <v>1</v>
      </c>
      <c r="I147" s="313">
        <f>B147+C147+D147+E147+F147+G147+H147</f>
        <v>6</v>
      </c>
      <c r="J147" s="318">
        <f>C147+D147+E147+F147+G147+H147+I147</f>
        <v>12</v>
      </c>
    </row>
    <row r="148" spans="1:10" x14ac:dyDescent="0.25">
      <c r="A148" s="10" t="s">
        <v>14</v>
      </c>
      <c r="B148" s="11">
        <v>116</v>
      </c>
      <c r="C148" s="13">
        <v>46</v>
      </c>
      <c r="D148" s="13">
        <v>38</v>
      </c>
      <c r="E148" s="11">
        <v>53</v>
      </c>
      <c r="F148" s="125">
        <v>101</v>
      </c>
      <c r="G148" s="11">
        <v>181</v>
      </c>
      <c r="H148" s="11">
        <v>141</v>
      </c>
      <c r="I148" s="313">
        <f>B148+C148+D148+E148+F148+G148+H148</f>
        <v>676</v>
      </c>
      <c r="J148" s="318">
        <f>FLORESTA!$I148/7</f>
        <v>96.571428571428569</v>
      </c>
    </row>
    <row r="149" spans="1:10" x14ac:dyDescent="0.25">
      <c r="A149" s="10" t="s">
        <v>15</v>
      </c>
      <c r="B149" s="11">
        <v>22</v>
      </c>
      <c r="C149" s="13">
        <v>10</v>
      </c>
      <c r="D149" s="13">
        <v>9</v>
      </c>
      <c r="E149" s="11">
        <v>4</v>
      </c>
      <c r="F149" s="125">
        <v>13</v>
      </c>
      <c r="G149" s="11">
        <v>5</v>
      </c>
      <c r="H149" s="11">
        <v>2</v>
      </c>
      <c r="I149" s="313">
        <f>B149+C149+D149+E149+F149+G149+H149</f>
        <v>65</v>
      </c>
      <c r="J149" s="318">
        <f>FLORESTA!$I149/7</f>
        <v>9.2857142857142865</v>
      </c>
    </row>
    <row r="150" spans="1:10" x14ac:dyDescent="0.25">
      <c r="A150" s="10" t="s">
        <v>16</v>
      </c>
      <c r="B150" s="11">
        <v>0</v>
      </c>
      <c r="C150" s="13">
        <v>0</v>
      </c>
      <c r="D150" s="13">
        <v>0</v>
      </c>
      <c r="E150" s="11">
        <v>0</v>
      </c>
      <c r="F150" s="125">
        <v>0</v>
      </c>
      <c r="G150" s="11">
        <v>1</v>
      </c>
      <c r="H150" s="11">
        <v>0</v>
      </c>
      <c r="I150" s="313">
        <f>B150+C150+D150+E150+F150+G150+H150</f>
        <v>1</v>
      </c>
      <c r="J150" s="318">
        <f>FLORESTA!$I150/7</f>
        <v>0.14285714285714285</v>
      </c>
    </row>
    <row r="151" spans="1:10" x14ac:dyDescent="0.25">
      <c r="A151" s="15" t="s">
        <v>17</v>
      </c>
      <c r="B151" s="79">
        <f t="shared" ref="B151:I151" si="60">SUM(B146:B150)</f>
        <v>202</v>
      </c>
      <c r="C151" s="79">
        <f t="shared" si="60"/>
        <v>67</v>
      </c>
      <c r="D151" s="79">
        <f t="shared" si="60"/>
        <v>69</v>
      </c>
      <c r="E151" s="103">
        <f t="shared" si="60"/>
        <v>72</v>
      </c>
      <c r="F151" s="213">
        <f t="shared" si="60"/>
        <v>159</v>
      </c>
      <c r="G151" s="103">
        <f t="shared" si="60"/>
        <v>249</v>
      </c>
      <c r="H151" s="103">
        <f t="shared" si="60"/>
        <v>198</v>
      </c>
      <c r="I151" s="103">
        <f t="shared" si="60"/>
        <v>1016</v>
      </c>
      <c r="J151" s="319">
        <f>FLORESTA!$I151/7</f>
        <v>145.14285714285714</v>
      </c>
    </row>
    <row r="152" spans="1:10" x14ac:dyDescent="0.25">
      <c r="A152" s="10" t="s">
        <v>18</v>
      </c>
      <c r="B152" s="18">
        <v>0.35</v>
      </c>
      <c r="C152" s="19">
        <v>0.17</v>
      </c>
      <c r="D152" s="19">
        <v>0.35</v>
      </c>
      <c r="E152" s="18">
        <v>0.22</v>
      </c>
      <c r="F152" s="129">
        <v>0.33</v>
      </c>
      <c r="G152" s="18">
        <v>0.26</v>
      </c>
      <c r="H152" s="18">
        <v>0.27</v>
      </c>
      <c r="I152" s="18">
        <f>I159/I164</f>
        <v>0.29008552915465696</v>
      </c>
      <c r="J152" s="19">
        <f>J159/J164</f>
        <v>0.29008552915465696</v>
      </c>
    </row>
    <row r="153" spans="1:10" x14ac:dyDescent="0.25">
      <c r="A153" s="10" t="s">
        <v>19</v>
      </c>
      <c r="B153" s="18">
        <v>0</v>
      </c>
      <c r="C153" s="19">
        <v>0</v>
      </c>
      <c r="D153" s="19">
        <v>0</v>
      </c>
      <c r="E153" s="18">
        <v>0</v>
      </c>
      <c r="F153" s="129">
        <v>0</v>
      </c>
      <c r="G153" s="18">
        <v>0.02</v>
      </c>
      <c r="H153" s="18">
        <v>0.01</v>
      </c>
      <c r="I153" s="18">
        <f>I160/I164</f>
        <v>7.1378823513985412E-3</v>
      </c>
      <c r="J153" s="19">
        <f>J160/J164</f>
        <v>7.1378823513985421E-3</v>
      </c>
    </row>
    <row r="154" spans="1:10" x14ac:dyDescent="0.25">
      <c r="A154" s="10" t="s">
        <v>20</v>
      </c>
      <c r="B154" s="18">
        <v>0.56000000000000005</v>
      </c>
      <c r="C154" s="19">
        <v>0.7</v>
      </c>
      <c r="D154" s="19">
        <v>0.53</v>
      </c>
      <c r="E154" s="18">
        <v>0.69</v>
      </c>
      <c r="F154" s="297">
        <v>0.6</v>
      </c>
      <c r="G154" s="18">
        <v>0.71</v>
      </c>
      <c r="H154" s="18">
        <v>0.71</v>
      </c>
      <c r="I154" s="18">
        <f>I161/I164</f>
        <v>0.64847454107372293</v>
      </c>
      <c r="J154" s="19">
        <f>J161/J164</f>
        <v>0.64847454107372293</v>
      </c>
    </row>
    <row r="155" spans="1:10" x14ac:dyDescent="0.25">
      <c r="A155" s="10" t="s">
        <v>21</v>
      </c>
      <c r="B155" s="18">
        <v>0.09</v>
      </c>
      <c r="C155" s="19">
        <v>0.13</v>
      </c>
      <c r="D155" s="19">
        <v>0.12</v>
      </c>
      <c r="E155" s="18">
        <v>0.09</v>
      </c>
      <c r="F155" s="297">
        <v>7.0000000000000007E-2</v>
      </c>
      <c r="G155" s="18">
        <v>0.01</v>
      </c>
      <c r="H155" s="18">
        <v>0.01</v>
      </c>
      <c r="I155" s="18">
        <f>I162/I164</f>
        <v>5.43020474202216E-2</v>
      </c>
      <c r="J155" s="19">
        <f>J162/J164</f>
        <v>5.43020474202216E-2</v>
      </c>
    </row>
    <row r="156" spans="1:10" x14ac:dyDescent="0.25">
      <c r="A156" s="10" t="s">
        <v>22</v>
      </c>
      <c r="B156" s="18">
        <v>0</v>
      </c>
      <c r="C156" s="19">
        <v>0</v>
      </c>
      <c r="D156" s="19">
        <v>0</v>
      </c>
      <c r="E156" s="18">
        <v>0</v>
      </c>
      <c r="F156" s="297">
        <v>0</v>
      </c>
      <c r="G156" s="18">
        <v>0</v>
      </c>
      <c r="H156" s="18">
        <v>0</v>
      </c>
      <c r="I156" s="18">
        <f>I163/I164</f>
        <v>0</v>
      </c>
      <c r="J156" s="19">
        <f>J163/J164</f>
        <v>0</v>
      </c>
    </row>
    <row r="157" spans="1:10" x14ac:dyDescent="0.25">
      <c r="A157" s="24" t="s">
        <v>23</v>
      </c>
      <c r="B157" s="130">
        <f t="shared" ref="B157:J157" si="61">B168/B151</f>
        <v>33500.495049504949</v>
      </c>
      <c r="C157" s="131">
        <f t="shared" si="61"/>
        <v>25710.447761194031</v>
      </c>
      <c r="D157" s="131">
        <f t="shared" si="61"/>
        <v>31911.594202898552</v>
      </c>
      <c r="E157" s="130">
        <f t="shared" si="61"/>
        <v>27843.055555555555</v>
      </c>
      <c r="F157" s="132">
        <f t="shared" si="61"/>
        <v>31174.842767295599</v>
      </c>
      <c r="G157" s="130">
        <f t="shared" si="61"/>
        <v>33164.658634538158</v>
      </c>
      <c r="H157" s="130">
        <f t="shared" si="61"/>
        <v>33982.828282828283</v>
      </c>
      <c r="I157" s="314">
        <f t="shared" si="61"/>
        <v>32125.688976377958</v>
      </c>
      <c r="J157" s="132">
        <f t="shared" si="61"/>
        <v>32125.688976377958</v>
      </c>
    </row>
    <row r="158" spans="1:10" x14ac:dyDescent="0.25">
      <c r="A158" s="24" t="s">
        <v>24</v>
      </c>
      <c r="B158" s="130">
        <f t="shared" ref="B158:J158" si="62">B168/B145</f>
        <v>30482.432432432433</v>
      </c>
      <c r="C158" s="131">
        <f t="shared" si="62"/>
        <v>37447.82608695652</v>
      </c>
      <c r="D158" s="131">
        <f t="shared" si="62"/>
        <v>29358.666666666668</v>
      </c>
      <c r="E158" s="130">
        <f t="shared" si="62"/>
        <v>28638.571428571428</v>
      </c>
      <c r="F158" s="132">
        <f t="shared" si="62"/>
        <v>29860.24096385542</v>
      </c>
      <c r="G158" s="130">
        <f t="shared" si="62"/>
        <v>29492.857142857145</v>
      </c>
      <c r="H158" s="130">
        <f t="shared" si="62"/>
        <v>30584.545454545456</v>
      </c>
      <c r="I158" s="314">
        <f t="shared" si="62"/>
        <v>30249.953660797037</v>
      </c>
      <c r="J158" s="132">
        <f t="shared" si="62"/>
        <v>30249.95366079704</v>
      </c>
    </row>
    <row r="159" spans="1:10" x14ac:dyDescent="0.25">
      <c r="A159" s="10" t="s">
        <v>25</v>
      </c>
      <c r="B159" s="92">
        <f t="shared" ref="B159:H159" si="63">B164*B152</f>
        <v>1993525.4137931035</v>
      </c>
      <c r="C159" s="133">
        <f t="shared" si="63"/>
        <v>248420.15000000002</v>
      </c>
      <c r="D159" s="133">
        <f t="shared" si="63"/>
        <v>647772.87931034481</v>
      </c>
      <c r="E159" s="92">
        <f t="shared" si="63"/>
        <v>373090.22413793107</v>
      </c>
      <c r="F159" s="134">
        <f t="shared" si="63"/>
        <v>1378833.5379310346</v>
      </c>
      <c r="G159" s="92">
        <f t="shared" si="63"/>
        <v>1818433.6344827588</v>
      </c>
      <c r="H159" s="92">
        <f t="shared" si="63"/>
        <v>1534719.755172414</v>
      </c>
      <c r="I159" s="92">
        <f>FLORESTA!$B159+FLORESTA!$C159+FLORESTA!$D159+FLORESTA!$E159+FLORESTA!$F159+FLORESTA!$G159+FLORESTA!$H159</f>
        <v>7994795.5948275868</v>
      </c>
      <c r="J159" s="133">
        <f>FLORESTA!$I159/7</f>
        <v>1142113.6564039409</v>
      </c>
    </row>
    <row r="160" spans="1:10" x14ac:dyDescent="0.25">
      <c r="A160" s="10" t="s">
        <v>26</v>
      </c>
      <c r="B160" s="92">
        <f t="shared" ref="B160:H160" si="64">B164*B153</f>
        <v>0</v>
      </c>
      <c r="C160" s="133">
        <f t="shared" si="64"/>
        <v>0</v>
      </c>
      <c r="D160" s="133">
        <f t="shared" si="64"/>
        <v>0</v>
      </c>
      <c r="E160" s="92">
        <f t="shared" si="64"/>
        <v>0</v>
      </c>
      <c r="F160" s="134">
        <f t="shared" si="64"/>
        <v>0</v>
      </c>
      <c r="G160" s="92">
        <f t="shared" si="64"/>
        <v>139879.51034482761</v>
      </c>
      <c r="H160" s="92">
        <f t="shared" si="64"/>
        <v>56841.472413793104</v>
      </c>
      <c r="I160" s="92">
        <f>FLORESTA!$B160+FLORESTA!$C160+FLORESTA!$D160+FLORESTA!$E160+FLORESTA!$F160+FLORESTA!$G160+FLORESTA!$H160</f>
        <v>196720.9827586207</v>
      </c>
      <c r="J160" s="133">
        <f>FLORESTA!$I160/7</f>
        <v>28102.997536945815</v>
      </c>
    </row>
    <row r="161" spans="1:10" x14ac:dyDescent="0.25">
      <c r="A161" s="10" t="s">
        <v>27</v>
      </c>
      <c r="B161" s="92">
        <f t="shared" ref="B161:H161" si="65">B164*B154</f>
        <v>3189640.6620689658</v>
      </c>
      <c r="C161" s="133">
        <f t="shared" si="65"/>
        <v>1022906.4999999999</v>
      </c>
      <c r="D161" s="133">
        <f t="shared" si="65"/>
        <v>980913.21724137943</v>
      </c>
      <c r="E161" s="92">
        <f t="shared" si="65"/>
        <v>1170146.6120689656</v>
      </c>
      <c r="F161" s="134">
        <f t="shared" si="65"/>
        <v>2506970.0689655175</v>
      </c>
      <c r="G161" s="92">
        <f t="shared" si="65"/>
        <v>4965722.6172413798</v>
      </c>
      <c r="H161" s="92">
        <f t="shared" si="65"/>
        <v>4035744.5413793102</v>
      </c>
      <c r="I161" s="92">
        <f>FLORESTA!$B161+FLORESTA!$C161+FLORESTA!$D161+FLORESTA!$E161+FLORESTA!$F161+FLORESTA!$G161+FLORESTA!$H161</f>
        <v>17872044.218965519</v>
      </c>
      <c r="J161" s="133">
        <f>FLORESTA!$I161/7</f>
        <v>2553149.1741379313</v>
      </c>
    </row>
    <row r="162" spans="1:10" x14ac:dyDescent="0.25">
      <c r="A162" s="10" t="s">
        <v>28</v>
      </c>
      <c r="B162" s="92">
        <f t="shared" ref="B162:H162" si="66">B164*B155</f>
        <v>512620.8206896552</v>
      </c>
      <c r="C162" s="133">
        <f t="shared" si="66"/>
        <v>189968.35</v>
      </c>
      <c r="D162" s="133">
        <f t="shared" si="66"/>
        <v>222093.55862068967</v>
      </c>
      <c r="E162" s="92">
        <f t="shared" si="66"/>
        <v>152627.81896551725</v>
      </c>
      <c r="F162" s="134">
        <f t="shared" si="66"/>
        <v>292479.84137931041</v>
      </c>
      <c r="G162" s="92">
        <f t="shared" si="66"/>
        <v>69939.755172413803</v>
      </c>
      <c r="H162" s="92">
        <f t="shared" si="66"/>
        <v>56841.472413793104</v>
      </c>
      <c r="I162" s="92">
        <f>FLORESTA!$B162+FLORESTA!$C162+FLORESTA!$D162+FLORESTA!$E162+FLORESTA!$F162+FLORESTA!$G162+FLORESTA!$H162</f>
        <v>1496571.6172413796</v>
      </c>
      <c r="J162" s="133">
        <f>FLORESTA!$I162/7</f>
        <v>213795.94532019709</v>
      </c>
    </row>
    <row r="163" spans="1:10" x14ac:dyDescent="0.25">
      <c r="A163" s="10" t="s">
        <v>29</v>
      </c>
      <c r="B163" s="92">
        <f t="shared" ref="B163:H163" si="67">B164*B156</f>
        <v>0</v>
      </c>
      <c r="C163" s="133">
        <f t="shared" si="67"/>
        <v>0</v>
      </c>
      <c r="D163" s="133">
        <f t="shared" si="67"/>
        <v>0</v>
      </c>
      <c r="E163" s="92">
        <f t="shared" si="67"/>
        <v>0</v>
      </c>
      <c r="F163" s="134">
        <f t="shared" si="67"/>
        <v>0</v>
      </c>
      <c r="G163" s="92">
        <f t="shared" si="67"/>
        <v>0</v>
      </c>
      <c r="H163" s="92">
        <f t="shared" si="67"/>
        <v>0</v>
      </c>
      <c r="I163" s="92">
        <f>FLORESTA!$B163+FLORESTA!$C163+FLORESTA!$D163+FLORESTA!$E163+FLORESTA!$F163+FLORESTA!$G163+FLORESTA!$H163</f>
        <v>0</v>
      </c>
      <c r="J163" s="133">
        <f>FLORESTA!$I163/7</f>
        <v>0</v>
      </c>
    </row>
    <row r="164" spans="1:10" x14ac:dyDescent="0.25">
      <c r="A164" s="33" t="s">
        <v>30</v>
      </c>
      <c r="B164" s="91">
        <f>(6767100/1.16)-B165</f>
        <v>5695786.8965517245</v>
      </c>
      <c r="C164" s="136">
        <f>(1722600/1.16)-C165</f>
        <v>1461295</v>
      </c>
      <c r="D164" s="136">
        <f>(2201900/1.16)-D165</f>
        <v>1850779.6551724139</v>
      </c>
      <c r="E164" s="91">
        <f>(2004700/1.16)-E165</f>
        <v>1695864.6551724139</v>
      </c>
      <c r="F164" s="137">
        <f>(4956800/1.16)-F165</f>
        <v>4178283.4482758623</v>
      </c>
      <c r="G164" s="91">
        <f>(8258000/1.16)-G165</f>
        <v>6993975.5172413802</v>
      </c>
      <c r="H164" s="91">
        <f>(6728600/1.16)-H165</f>
        <v>5684147.2413793104</v>
      </c>
      <c r="I164" s="91">
        <f>SUM(I159:I163)</f>
        <v>27560132.413793106</v>
      </c>
      <c r="J164" s="136">
        <f>FLORESTA!$I164/7</f>
        <v>3937161.773399015</v>
      </c>
    </row>
    <row r="165" spans="1:10" x14ac:dyDescent="0.25">
      <c r="A165" s="10" t="s">
        <v>31</v>
      </c>
      <c r="B165" s="94">
        <f t="shared" ref="B165:J165" si="68">2155*B146</f>
        <v>137920</v>
      </c>
      <c r="C165" s="139">
        <f t="shared" si="68"/>
        <v>23705</v>
      </c>
      <c r="D165" s="139">
        <f t="shared" si="68"/>
        <v>47410</v>
      </c>
      <c r="E165" s="94">
        <f t="shared" si="68"/>
        <v>32325</v>
      </c>
      <c r="F165" s="112">
        <f t="shared" si="68"/>
        <v>94820</v>
      </c>
      <c r="G165" s="94">
        <f t="shared" si="68"/>
        <v>124990</v>
      </c>
      <c r="H165" s="94">
        <f t="shared" si="68"/>
        <v>116370</v>
      </c>
      <c r="I165" s="94">
        <f t="shared" si="68"/>
        <v>577540</v>
      </c>
      <c r="J165" s="139">
        <f t="shared" si="68"/>
        <v>82505.71428571429</v>
      </c>
    </row>
    <row r="166" spans="1:10" x14ac:dyDescent="0.25">
      <c r="A166" s="37" t="s">
        <v>32</v>
      </c>
      <c r="B166" s="39">
        <f t="shared" ref="B166:H166" si="69">B164+B165</f>
        <v>5833706.8965517245</v>
      </c>
      <c r="C166" s="40">
        <f t="shared" si="69"/>
        <v>1485000</v>
      </c>
      <c r="D166" s="40">
        <f t="shared" si="69"/>
        <v>1898189.6551724139</v>
      </c>
      <c r="E166" s="39">
        <f t="shared" si="69"/>
        <v>1728189.6551724139</v>
      </c>
      <c r="F166" s="140">
        <f t="shared" si="69"/>
        <v>4273103.4482758623</v>
      </c>
      <c r="G166" s="39">
        <f t="shared" si="69"/>
        <v>7118965.5172413802</v>
      </c>
      <c r="H166" s="39">
        <f t="shared" si="69"/>
        <v>5800517.2413793104</v>
      </c>
      <c r="I166" s="39">
        <f>I164+I165</f>
        <v>28137672.413793106</v>
      </c>
      <c r="J166" s="40">
        <f>J164+J165</f>
        <v>4019667.487684729</v>
      </c>
    </row>
    <row r="167" spans="1:10" x14ac:dyDescent="0.25">
      <c r="A167" s="10" t="s">
        <v>33</v>
      </c>
      <c r="B167" s="41">
        <f t="shared" ref="B167:H167" si="70">B166*16%</f>
        <v>933393.10344827594</v>
      </c>
      <c r="C167" s="42">
        <f t="shared" si="70"/>
        <v>237600</v>
      </c>
      <c r="D167" s="42">
        <f t="shared" si="70"/>
        <v>303710.34482758626</v>
      </c>
      <c r="E167" s="41">
        <f t="shared" si="70"/>
        <v>276510.3448275862</v>
      </c>
      <c r="F167" s="141">
        <f t="shared" si="70"/>
        <v>683696.55172413797</v>
      </c>
      <c r="G167" s="41">
        <f t="shared" si="70"/>
        <v>1139034.4827586208</v>
      </c>
      <c r="H167" s="41">
        <f t="shared" si="70"/>
        <v>928082.75862068962</v>
      </c>
      <c r="I167" s="41">
        <f>I166*16%</f>
        <v>4502027.5862068972</v>
      </c>
      <c r="J167" s="42">
        <f>J166*16%</f>
        <v>643146.79802955664</v>
      </c>
    </row>
    <row r="168" spans="1:10" x14ac:dyDescent="0.25">
      <c r="A168" s="43" t="s">
        <v>34</v>
      </c>
      <c r="B168" s="315">
        <f t="shared" ref="B168:H168" si="71">B166+B167</f>
        <v>6767100</v>
      </c>
      <c r="C168" s="315">
        <f t="shared" si="71"/>
        <v>1722600</v>
      </c>
      <c r="D168" s="315">
        <f t="shared" si="71"/>
        <v>2201900</v>
      </c>
      <c r="E168" s="178">
        <f t="shared" si="71"/>
        <v>2004700</v>
      </c>
      <c r="F168" s="182">
        <f t="shared" si="71"/>
        <v>4956800</v>
      </c>
      <c r="G168" s="178">
        <f t="shared" si="71"/>
        <v>8258000.0000000009</v>
      </c>
      <c r="H168" s="178">
        <f t="shared" si="71"/>
        <v>6728600</v>
      </c>
      <c r="I168" s="178">
        <f>I166+I167</f>
        <v>32639700.000000004</v>
      </c>
      <c r="J168" s="315">
        <f>FLORESTA!$I168/7</f>
        <v>4662814.2857142864</v>
      </c>
    </row>
    <row r="169" spans="1:10" ht="14.25" customHeight="1" x14ac:dyDescent="0.25">
      <c r="A169" s="149"/>
      <c r="B169" s="150"/>
      <c r="C169" s="150"/>
      <c r="D169" s="150"/>
      <c r="E169" s="150"/>
      <c r="F169" s="150"/>
      <c r="G169" s="150"/>
      <c r="H169" s="150"/>
      <c r="I169" s="150"/>
    </row>
    <row r="170" spans="1:10" ht="14.25" customHeight="1" x14ac:dyDescent="0.25">
      <c r="A170" s="149"/>
      <c r="B170" s="150"/>
      <c r="C170" s="150"/>
      <c r="D170" s="150"/>
      <c r="E170" s="150"/>
      <c r="F170" s="150"/>
      <c r="G170" s="150"/>
      <c r="H170" s="150"/>
      <c r="I170" s="150"/>
    </row>
    <row r="171" spans="1:10" ht="14.25" customHeight="1" x14ac:dyDescent="0.25">
      <c r="A171" s="149"/>
      <c r="B171" s="1006" t="s">
        <v>358</v>
      </c>
      <c r="C171" s="1006"/>
      <c r="D171" s="1006"/>
      <c r="E171" s="1006"/>
      <c r="F171" s="1006"/>
      <c r="G171" s="1006"/>
      <c r="H171" s="1006"/>
      <c r="I171" s="1006"/>
    </row>
    <row r="172" spans="1:10" ht="14.25" customHeight="1" x14ac:dyDescent="0.25">
      <c r="A172" s="149"/>
      <c r="B172" s="1006"/>
      <c r="C172" s="1006"/>
      <c r="D172" s="1006"/>
      <c r="E172" s="1006"/>
      <c r="F172" s="1006"/>
      <c r="G172" s="1006"/>
      <c r="H172" s="1006"/>
      <c r="I172" s="1006"/>
    </row>
    <row r="173" spans="1:10" ht="15.75" x14ac:dyDescent="0.25">
      <c r="A173" s="72" t="s">
        <v>2</v>
      </c>
      <c r="B173" s="121" t="s">
        <v>155</v>
      </c>
      <c r="C173" s="51" t="s">
        <v>156</v>
      </c>
      <c r="D173" s="121" t="s">
        <v>157</v>
      </c>
      <c r="E173" s="51" t="s">
        <v>158</v>
      </c>
      <c r="F173" s="51" t="s">
        <v>159</v>
      </c>
      <c r="G173" s="121" t="s">
        <v>160</v>
      </c>
      <c r="H173" s="121" t="s">
        <v>161</v>
      </c>
      <c r="I173" s="51" t="s">
        <v>10</v>
      </c>
      <c r="J173" s="310" t="s">
        <v>77</v>
      </c>
    </row>
    <row r="174" spans="1:10" x14ac:dyDescent="0.25">
      <c r="A174" s="74" t="s">
        <v>11</v>
      </c>
      <c r="B174" s="55">
        <v>71</v>
      </c>
      <c r="C174" s="56">
        <v>70</v>
      </c>
      <c r="D174" s="54">
        <v>84</v>
      </c>
      <c r="E174" s="316">
        <v>75</v>
      </c>
      <c r="F174" s="311">
        <v>226</v>
      </c>
      <c r="G174" s="58">
        <v>245</v>
      </c>
      <c r="H174" s="57">
        <v>234</v>
      </c>
      <c r="I174" s="311">
        <f>SUM(B174:H174)</f>
        <v>1005</v>
      </c>
      <c r="J174" s="317">
        <f>FLORESTA!$I174/7</f>
        <v>143.57142857142858</v>
      </c>
    </row>
    <row r="175" spans="1:10" x14ac:dyDescent="0.25">
      <c r="A175" s="10" t="s">
        <v>12</v>
      </c>
      <c r="B175" s="11">
        <v>15</v>
      </c>
      <c r="C175" s="13">
        <v>17</v>
      </c>
      <c r="D175" s="320">
        <v>30</v>
      </c>
      <c r="E175" s="11">
        <v>14</v>
      </c>
      <c r="F175" s="125">
        <v>51</v>
      </c>
      <c r="G175" s="11">
        <v>61</v>
      </c>
      <c r="H175" s="11">
        <v>48</v>
      </c>
      <c r="I175" s="313">
        <f>B175+C175+D175+E175+F175+G175+H175</f>
        <v>236</v>
      </c>
      <c r="J175" s="318">
        <f>FLORESTA!$I175/7</f>
        <v>33.714285714285715</v>
      </c>
    </row>
    <row r="176" spans="1:10" x14ac:dyDescent="0.25">
      <c r="A176" s="10" t="s">
        <v>13</v>
      </c>
      <c r="B176" s="11">
        <v>0</v>
      </c>
      <c r="C176" s="13">
        <v>1</v>
      </c>
      <c r="D176" s="13">
        <v>0</v>
      </c>
      <c r="E176" s="11">
        <v>1</v>
      </c>
      <c r="F176" s="125">
        <v>0</v>
      </c>
      <c r="G176" s="11">
        <v>0</v>
      </c>
      <c r="H176" s="11">
        <v>0</v>
      </c>
      <c r="I176" s="313">
        <f>B176+C176+D176+E176+F176+G176+H176</f>
        <v>2</v>
      </c>
      <c r="J176" s="318">
        <f>C176+D176+E176+F176+G176+H176+I176</f>
        <v>4</v>
      </c>
    </row>
    <row r="177" spans="1:10" x14ac:dyDescent="0.25">
      <c r="A177" s="10" t="s">
        <v>14</v>
      </c>
      <c r="B177" s="11">
        <v>55</v>
      </c>
      <c r="C177" s="13">
        <v>51</v>
      </c>
      <c r="D177" s="13">
        <v>58</v>
      </c>
      <c r="E177" s="11">
        <v>81</v>
      </c>
      <c r="F177" s="125">
        <v>141</v>
      </c>
      <c r="G177" s="11">
        <v>153</v>
      </c>
      <c r="H177" s="11">
        <v>149</v>
      </c>
      <c r="I177" s="313">
        <f>B177+C177+D177+E177+F177+G177+H177</f>
        <v>688</v>
      </c>
      <c r="J177" s="318">
        <f>FLORESTA!$I177/7</f>
        <v>98.285714285714292</v>
      </c>
    </row>
    <row r="178" spans="1:10" x14ac:dyDescent="0.25">
      <c r="A178" s="10" t="s">
        <v>15</v>
      </c>
      <c r="B178" s="11">
        <v>2</v>
      </c>
      <c r="C178" s="13">
        <v>3</v>
      </c>
      <c r="D178" s="13">
        <v>0</v>
      </c>
      <c r="E178" s="11">
        <v>9</v>
      </c>
      <c r="F178" s="125">
        <v>10</v>
      </c>
      <c r="G178" s="11">
        <v>19</v>
      </c>
      <c r="H178" s="11">
        <v>9</v>
      </c>
      <c r="I178" s="313">
        <f>B178+C178+D178+E178+F178+G178+H178</f>
        <v>52</v>
      </c>
      <c r="J178" s="318">
        <f>FLORESTA!$I178/7</f>
        <v>7.4285714285714288</v>
      </c>
    </row>
    <row r="179" spans="1:10" x14ac:dyDescent="0.25">
      <c r="A179" s="10" t="s">
        <v>16</v>
      </c>
      <c r="B179" s="11">
        <v>0</v>
      </c>
      <c r="C179" s="13">
        <v>0</v>
      </c>
      <c r="D179" s="13">
        <v>0</v>
      </c>
      <c r="E179" s="11">
        <v>1</v>
      </c>
      <c r="F179" s="125">
        <v>0</v>
      </c>
      <c r="G179" s="11">
        <v>1</v>
      </c>
      <c r="H179" s="11">
        <v>0</v>
      </c>
      <c r="I179" s="313">
        <f>B179+C179+D179+E179+F179+G179+H179</f>
        <v>2</v>
      </c>
      <c r="J179" s="318">
        <f>FLORESTA!$I179/7</f>
        <v>0.2857142857142857</v>
      </c>
    </row>
    <row r="180" spans="1:10" x14ac:dyDescent="0.25">
      <c r="A180" s="15" t="s">
        <v>17</v>
      </c>
      <c r="B180" s="79">
        <f t="shared" ref="B180:I180" si="72">SUM(B175:B179)</f>
        <v>72</v>
      </c>
      <c r="C180" s="79">
        <f t="shared" si="72"/>
        <v>72</v>
      </c>
      <c r="D180" s="79">
        <f t="shared" si="72"/>
        <v>88</v>
      </c>
      <c r="E180" s="103">
        <f t="shared" si="72"/>
        <v>106</v>
      </c>
      <c r="F180" s="213">
        <f t="shared" si="72"/>
        <v>202</v>
      </c>
      <c r="G180" s="103">
        <f t="shared" si="72"/>
        <v>234</v>
      </c>
      <c r="H180" s="103">
        <f t="shared" si="72"/>
        <v>206</v>
      </c>
      <c r="I180" s="103">
        <f t="shared" si="72"/>
        <v>980</v>
      </c>
      <c r="J180" s="319">
        <f>FLORESTA!$I180/7</f>
        <v>140</v>
      </c>
    </row>
    <row r="181" spans="1:10" x14ac:dyDescent="0.25">
      <c r="A181" s="10" t="s">
        <v>18</v>
      </c>
      <c r="B181" s="18">
        <v>0.21</v>
      </c>
      <c r="C181" s="19">
        <v>0.33</v>
      </c>
      <c r="D181" s="19">
        <v>0.3</v>
      </c>
      <c r="E181" s="18">
        <v>0.19</v>
      </c>
      <c r="F181" s="129">
        <v>0.31</v>
      </c>
      <c r="G181" s="18">
        <v>0.3</v>
      </c>
      <c r="H181" s="18">
        <v>0.24</v>
      </c>
      <c r="I181" s="18">
        <f>I188/I193</f>
        <v>0.2733367936068305</v>
      </c>
      <c r="J181" s="19">
        <f>J188/J193</f>
        <v>0.2733367936068305</v>
      </c>
    </row>
    <row r="182" spans="1:10" x14ac:dyDescent="0.25">
      <c r="A182" s="10" t="s">
        <v>19</v>
      </c>
      <c r="B182" s="18">
        <v>0</v>
      </c>
      <c r="C182" s="19">
        <v>0.03</v>
      </c>
      <c r="D182" s="19">
        <v>0</v>
      </c>
      <c r="E182" s="18">
        <v>0.01</v>
      </c>
      <c r="F182" s="129">
        <v>0</v>
      </c>
      <c r="G182" s="18">
        <v>0</v>
      </c>
      <c r="H182" s="18">
        <v>0</v>
      </c>
      <c r="I182" s="18">
        <f>I189/I193</f>
        <v>2.8589090314606971E-3</v>
      </c>
      <c r="J182" s="19">
        <f>J189/J193</f>
        <v>2.8589090314606971E-3</v>
      </c>
    </row>
    <row r="183" spans="1:10" x14ac:dyDescent="0.25">
      <c r="A183" s="10" t="s">
        <v>20</v>
      </c>
      <c r="B183" s="18">
        <v>0.78</v>
      </c>
      <c r="C183" s="19">
        <v>0.61</v>
      </c>
      <c r="D183" s="19">
        <v>0.7</v>
      </c>
      <c r="E183" s="18">
        <v>0.7</v>
      </c>
      <c r="F183" s="297">
        <v>0.64</v>
      </c>
      <c r="G183" s="18">
        <v>0.6</v>
      </c>
      <c r="H183" s="18">
        <v>0.71</v>
      </c>
      <c r="I183" s="18">
        <f>I190/I193</f>
        <v>0.66444677419297538</v>
      </c>
      <c r="J183" s="19">
        <f>J190/J193</f>
        <v>0.66444677419297549</v>
      </c>
    </row>
    <row r="184" spans="1:10" x14ac:dyDescent="0.25">
      <c r="A184" s="10" t="s">
        <v>21</v>
      </c>
      <c r="B184" s="18">
        <v>0.01</v>
      </c>
      <c r="C184" s="19">
        <v>0.03</v>
      </c>
      <c r="D184" s="19">
        <v>0</v>
      </c>
      <c r="E184" s="18">
        <v>0.08</v>
      </c>
      <c r="F184" s="297">
        <v>0.05</v>
      </c>
      <c r="G184" s="18">
        <v>0.09</v>
      </c>
      <c r="H184" s="18">
        <v>0.05</v>
      </c>
      <c r="I184" s="18">
        <f>I191/I193</f>
        <v>5.4959622711759429E-2</v>
      </c>
      <c r="J184" s="19">
        <f>J191/J193</f>
        <v>5.4959622711759436E-2</v>
      </c>
    </row>
    <row r="185" spans="1:10" x14ac:dyDescent="0.25">
      <c r="A185" s="10" t="s">
        <v>22</v>
      </c>
      <c r="B185" s="18">
        <v>0</v>
      </c>
      <c r="C185" s="19">
        <v>0</v>
      </c>
      <c r="D185" s="19">
        <v>0</v>
      </c>
      <c r="E185" s="18">
        <v>0.02</v>
      </c>
      <c r="F185" s="297">
        <v>0</v>
      </c>
      <c r="G185" s="18">
        <v>0.01</v>
      </c>
      <c r="H185" s="18">
        <v>0</v>
      </c>
      <c r="I185" s="18">
        <f>I192/I193</f>
        <v>4.3979004569738786E-3</v>
      </c>
      <c r="J185" s="19">
        <f>J192/J193</f>
        <v>4.3979004569738786E-3</v>
      </c>
    </row>
    <row r="186" spans="1:10" x14ac:dyDescent="0.25">
      <c r="A186" s="24" t="s">
        <v>23</v>
      </c>
      <c r="B186" s="130">
        <f t="shared" ref="B186:J186" si="73">B197/B180</f>
        <v>28938.888888888891</v>
      </c>
      <c r="C186" s="131">
        <f t="shared" si="73"/>
        <v>26631.944444444445</v>
      </c>
      <c r="D186" s="131">
        <f t="shared" si="73"/>
        <v>26586.363636363636</v>
      </c>
      <c r="E186" s="130">
        <f t="shared" si="73"/>
        <v>26228.301886792451</v>
      </c>
      <c r="F186" s="132">
        <f t="shared" si="73"/>
        <v>30822.277227722778</v>
      </c>
      <c r="G186" s="130">
        <f t="shared" si="73"/>
        <v>32214.10256410257</v>
      </c>
      <c r="H186" s="130">
        <f t="shared" si="73"/>
        <v>33895.631067961171</v>
      </c>
      <c r="I186" s="314">
        <f t="shared" si="73"/>
        <v>30477.142857142862</v>
      </c>
      <c r="J186" s="132">
        <f t="shared" si="73"/>
        <v>30477.142857142862</v>
      </c>
    </row>
    <row r="187" spans="1:10" x14ac:dyDescent="0.25">
      <c r="A187" s="24" t="s">
        <v>24</v>
      </c>
      <c r="B187" s="130">
        <f t="shared" ref="B187:J187" si="74">B197/B174</f>
        <v>29346.478873239441</v>
      </c>
      <c r="C187" s="131">
        <f t="shared" si="74"/>
        <v>27392.857142857141</v>
      </c>
      <c r="D187" s="131">
        <f t="shared" si="74"/>
        <v>27852.380952380954</v>
      </c>
      <c r="E187" s="130">
        <f t="shared" si="74"/>
        <v>37069.333333333336</v>
      </c>
      <c r="F187" s="132">
        <f t="shared" si="74"/>
        <v>27549.115044247792</v>
      </c>
      <c r="G187" s="130">
        <f t="shared" si="74"/>
        <v>30767.755102040821</v>
      </c>
      <c r="H187" s="130">
        <f t="shared" si="74"/>
        <v>29839.743589743593</v>
      </c>
      <c r="I187" s="314">
        <f t="shared" si="74"/>
        <v>29719.004975124382</v>
      </c>
      <c r="J187" s="132">
        <f t="shared" si="74"/>
        <v>29719.004975124382</v>
      </c>
    </row>
    <row r="188" spans="1:10" x14ac:dyDescent="0.25">
      <c r="A188" s="10" t="s">
        <v>25</v>
      </c>
      <c r="B188" s="92">
        <f t="shared" ref="B188:H188" si="75">B193*B181</f>
        <v>370415.19827586209</v>
      </c>
      <c r="C188" s="133">
        <f t="shared" si="75"/>
        <v>533406.13965517248</v>
      </c>
      <c r="D188" s="133">
        <f t="shared" si="75"/>
        <v>585673.96551724139</v>
      </c>
      <c r="E188" s="92">
        <f t="shared" si="75"/>
        <v>449645.28620689653</v>
      </c>
      <c r="F188" s="134">
        <f t="shared" si="75"/>
        <v>1629801.0017241382</v>
      </c>
      <c r="G188" s="92">
        <f t="shared" si="75"/>
        <v>1910072.1206896552</v>
      </c>
      <c r="H188" s="92">
        <f t="shared" si="75"/>
        <v>1419829.5724137933</v>
      </c>
      <c r="I188" s="92">
        <f>FLORESTA!$B188+FLORESTA!$C188+FLORESTA!$D188+FLORESTA!$E188+FLORESTA!$F188+FLORESTA!$G188+FLORESTA!$H188</f>
        <v>6898843.2844827585</v>
      </c>
      <c r="J188" s="133">
        <f>FLORESTA!$I188/7</f>
        <v>985549.04064039409</v>
      </c>
    </row>
    <row r="189" spans="1:10" x14ac:dyDescent="0.25">
      <c r="A189" s="10" t="s">
        <v>26</v>
      </c>
      <c r="B189" s="92">
        <f t="shared" ref="B189:H189" si="76">B193*B182</f>
        <v>0</v>
      </c>
      <c r="C189" s="133">
        <f t="shared" si="76"/>
        <v>48491.467241379309</v>
      </c>
      <c r="D189" s="133">
        <f t="shared" si="76"/>
        <v>0</v>
      </c>
      <c r="E189" s="92">
        <f t="shared" si="76"/>
        <v>23665.541379310343</v>
      </c>
      <c r="F189" s="134">
        <f t="shared" si="76"/>
        <v>0</v>
      </c>
      <c r="G189" s="92">
        <f t="shared" si="76"/>
        <v>0</v>
      </c>
      <c r="H189" s="92">
        <f t="shared" si="76"/>
        <v>0</v>
      </c>
      <c r="I189" s="92">
        <f>FLORESTA!$B189+FLORESTA!$C189+FLORESTA!$D189+FLORESTA!$E189+FLORESTA!$F189+FLORESTA!$G189+FLORESTA!$H189</f>
        <v>72157.008620689652</v>
      </c>
      <c r="J189" s="133">
        <f>FLORESTA!$I189/7</f>
        <v>10308.144088669951</v>
      </c>
    </row>
    <row r="190" spans="1:10" x14ac:dyDescent="0.25">
      <c r="A190" s="10" t="s">
        <v>27</v>
      </c>
      <c r="B190" s="92">
        <f t="shared" ref="B190:H190" si="77">B193*B183</f>
        <v>1375827.879310345</v>
      </c>
      <c r="C190" s="133">
        <f t="shared" si="77"/>
        <v>985993.16724137927</v>
      </c>
      <c r="D190" s="133">
        <f t="shared" si="77"/>
        <v>1366572.5862068965</v>
      </c>
      <c r="E190" s="92">
        <f t="shared" si="77"/>
        <v>1656587.8965517241</v>
      </c>
      <c r="F190" s="134">
        <f t="shared" si="77"/>
        <v>3364750.4551724144</v>
      </c>
      <c r="G190" s="92">
        <f t="shared" si="77"/>
        <v>3820144.2413793104</v>
      </c>
      <c r="H190" s="92">
        <f t="shared" si="77"/>
        <v>4200329.1517241383</v>
      </c>
      <c r="I190" s="92">
        <f>FLORESTA!$B190+FLORESTA!$C190+FLORESTA!$D190+FLORESTA!$E190+FLORESTA!$F190+FLORESTA!$G190+FLORESTA!$H190</f>
        <v>16770205.377586208</v>
      </c>
      <c r="J190" s="133">
        <f>FLORESTA!$I190/7</f>
        <v>2395743.6253694585</v>
      </c>
    </row>
    <row r="191" spans="1:10" x14ac:dyDescent="0.25">
      <c r="A191" s="10" t="s">
        <v>28</v>
      </c>
      <c r="B191" s="92">
        <f t="shared" ref="B191:H191" si="78">B193*B184</f>
        <v>17638.818965517243</v>
      </c>
      <c r="C191" s="133">
        <f t="shared" si="78"/>
        <v>48491.467241379309</v>
      </c>
      <c r="D191" s="133">
        <f t="shared" si="78"/>
        <v>0</v>
      </c>
      <c r="E191" s="92">
        <f t="shared" si="78"/>
        <v>189324.33103448275</v>
      </c>
      <c r="F191" s="134">
        <f t="shared" si="78"/>
        <v>262871.12931034487</v>
      </c>
      <c r="G191" s="92">
        <f t="shared" si="78"/>
        <v>573021.63620689663</v>
      </c>
      <c r="H191" s="92">
        <f t="shared" si="78"/>
        <v>295797.82758620696</v>
      </c>
      <c r="I191" s="92">
        <f>FLORESTA!$B191+FLORESTA!$C191+FLORESTA!$D191+FLORESTA!$E191+FLORESTA!$F191+FLORESTA!$G191+FLORESTA!$H191</f>
        <v>1387145.2103448277</v>
      </c>
      <c r="J191" s="133">
        <f>FLORESTA!$I191/7</f>
        <v>198163.60147783253</v>
      </c>
    </row>
    <row r="192" spans="1:10" x14ac:dyDescent="0.25">
      <c r="A192" s="10" t="s">
        <v>29</v>
      </c>
      <c r="B192" s="92">
        <f t="shared" ref="B192:H192" si="79">B193*B185</f>
        <v>0</v>
      </c>
      <c r="C192" s="133">
        <f t="shared" si="79"/>
        <v>0</v>
      </c>
      <c r="D192" s="133">
        <f t="shared" si="79"/>
        <v>0</v>
      </c>
      <c r="E192" s="92">
        <f t="shared" si="79"/>
        <v>47331.082758620687</v>
      </c>
      <c r="F192" s="134">
        <f t="shared" si="79"/>
        <v>0</v>
      </c>
      <c r="G192" s="92">
        <f t="shared" si="79"/>
        <v>63669.070689655178</v>
      </c>
      <c r="H192" s="92">
        <f t="shared" si="79"/>
        <v>0</v>
      </c>
      <c r="I192" s="92">
        <f>FLORESTA!$B192+FLORESTA!$C192+FLORESTA!$D192+FLORESTA!$E192+FLORESTA!$F192+FLORESTA!$G192+FLORESTA!$H192</f>
        <v>111000.15344827587</v>
      </c>
      <c r="J192" s="133">
        <f>FLORESTA!$I192/7</f>
        <v>15857.164778325125</v>
      </c>
    </row>
    <row r="193" spans="1:12" x14ac:dyDescent="0.25">
      <c r="A193" s="33" t="s">
        <v>30</v>
      </c>
      <c r="B193" s="91">
        <f>(2083600/1.16)-B194</f>
        <v>1763881.8965517243</v>
      </c>
      <c r="C193" s="136">
        <f>(1917500/1.16)-C194</f>
        <v>1616382.2413793104</v>
      </c>
      <c r="D193" s="136">
        <f>(2339600/1.16)-D194</f>
        <v>1952246.551724138</v>
      </c>
      <c r="E193" s="91">
        <f>(2780200/1.16)-E194</f>
        <v>2366554.1379310344</v>
      </c>
      <c r="F193" s="137">
        <f>(6226100/1.16)-F194</f>
        <v>5257422.5862068972</v>
      </c>
      <c r="G193" s="91">
        <f>(7538100/1.16)-G194</f>
        <v>6366907.0689655179</v>
      </c>
      <c r="H193" s="91">
        <f>(6982500/1.16)-H194</f>
        <v>5915956.5517241387</v>
      </c>
      <c r="I193" s="91">
        <f>SUM(I188:I192)</f>
        <v>25239351.034482762</v>
      </c>
      <c r="J193" s="136">
        <f>FLORESTA!$I193/7</f>
        <v>3605621.5763546801</v>
      </c>
    </row>
    <row r="194" spans="1:12" x14ac:dyDescent="0.25">
      <c r="A194" s="10" t="s">
        <v>31</v>
      </c>
      <c r="B194" s="94">
        <f t="shared" ref="B194:J194" si="80">2155*B175</f>
        <v>32325</v>
      </c>
      <c r="C194" s="139">
        <f t="shared" si="80"/>
        <v>36635</v>
      </c>
      <c r="D194" s="139">
        <f t="shared" si="80"/>
        <v>64650</v>
      </c>
      <c r="E194" s="94">
        <f t="shared" si="80"/>
        <v>30170</v>
      </c>
      <c r="F194" s="112">
        <f t="shared" si="80"/>
        <v>109905</v>
      </c>
      <c r="G194" s="94">
        <f t="shared" si="80"/>
        <v>131455</v>
      </c>
      <c r="H194" s="94">
        <f t="shared" si="80"/>
        <v>103440</v>
      </c>
      <c r="I194" s="94">
        <f t="shared" si="80"/>
        <v>508580</v>
      </c>
      <c r="J194" s="139">
        <f t="shared" si="80"/>
        <v>72654.28571428571</v>
      </c>
    </row>
    <row r="195" spans="1:12" x14ac:dyDescent="0.25">
      <c r="A195" s="37" t="s">
        <v>32</v>
      </c>
      <c r="B195" s="39">
        <f t="shared" ref="B195:H195" si="81">B193+B194</f>
        <v>1796206.8965517243</v>
      </c>
      <c r="C195" s="40">
        <f t="shared" si="81"/>
        <v>1653017.2413793104</v>
      </c>
      <c r="D195" s="40">
        <f t="shared" si="81"/>
        <v>2016896.551724138</v>
      </c>
      <c r="E195" s="39">
        <f t="shared" si="81"/>
        <v>2396724.1379310344</v>
      </c>
      <c r="F195" s="140">
        <f t="shared" si="81"/>
        <v>5367327.5862068972</v>
      </c>
      <c r="G195" s="39">
        <f t="shared" si="81"/>
        <v>6498362.0689655179</v>
      </c>
      <c r="H195" s="39">
        <f t="shared" si="81"/>
        <v>6019396.5517241387</v>
      </c>
      <c r="I195" s="39">
        <f>I193+I194</f>
        <v>25747931.034482762</v>
      </c>
      <c r="J195" s="40">
        <f>J193+J194</f>
        <v>3678275.862068966</v>
      </c>
    </row>
    <row r="196" spans="1:12" x14ac:dyDescent="0.25">
      <c r="A196" s="10" t="s">
        <v>33</v>
      </c>
      <c r="B196" s="41">
        <f t="shared" ref="B196:H196" si="82">B195*16%</f>
        <v>287393.10344827588</v>
      </c>
      <c r="C196" s="42">
        <f t="shared" si="82"/>
        <v>264482.75862068968</v>
      </c>
      <c r="D196" s="42">
        <f t="shared" si="82"/>
        <v>322703.44827586209</v>
      </c>
      <c r="E196" s="41">
        <f t="shared" si="82"/>
        <v>383475.86206896551</v>
      </c>
      <c r="F196" s="141">
        <f t="shared" si="82"/>
        <v>858772.41379310354</v>
      </c>
      <c r="G196" s="41">
        <f t="shared" si="82"/>
        <v>1039737.9310344829</v>
      </c>
      <c r="H196" s="41">
        <f t="shared" si="82"/>
        <v>963103.44827586226</v>
      </c>
      <c r="I196" s="41">
        <f>I195*16%</f>
        <v>4119668.965517242</v>
      </c>
      <c r="J196" s="42">
        <f>J195*16%</f>
        <v>588524.13793103455</v>
      </c>
    </row>
    <row r="197" spans="1:12" x14ac:dyDescent="0.25">
      <c r="A197" s="43" t="s">
        <v>34</v>
      </c>
      <c r="B197" s="315">
        <f t="shared" ref="B197:H197" si="83">B195+B196</f>
        <v>2083600.0000000002</v>
      </c>
      <c r="C197" s="315">
        <f t="shared" si="83"/>
        <v>1917500</v>
      </c>
      <c r="D197" s="315">
        <f t="shared" si="83"/>
        <v>2339600</v>
      </c>
      <c r="E197" s="178">
        <f t="shared" si="83"/>
        <v>2780200</v>
      </c>
      <c r="F197" s="182">
        <f t="shared" si="83"/>
        <v>6226100.0000000009</v>
      </c>
      <c r="G197" s="178">
        <f t="shared" si="83"/>
        <v>7538100.0000000009</v>
      </c>
      <c r="H197" s="178">
        <f t="shared" si="83"/>
        <v>6982500.0000000009</v>
      </c>
      <c r="I197" s="178">
        <f>I195+I196</f>
        <v>29867600.000000004</v>
      </c>
      <c r="J197" s="315">
        <f>FLORESTA!$I197/7</f>
        <v>4266800.0000000009</v>
      </c>
    </row>
    <row r="198" spans="1:12" ht="14.25" customHeight="1" x14ac:dyDescent="0.25">
      <c r="A198" s="149"/>
      <c r="B198" s="150"/>
      <c r="C198" s="150"/>
      <c r="D198" s="150"/>
      <c r="E198" s="150"/>
      <c r="F198" s="150"/>
      <c r="G198" s="150"/>
      <c r="H198" s="150"/>
      <c r="I198" s="150"/>
    </row>
    <row r="199" spans="1:12" ht="14.25" customHeight="1" x14ac:dyDescent="0.25">
      <c r="A199" s="149"/>
      <c r="B199" s="1006" t="s">
        <v>359</v>
      </c>
      <c r="C199" s="1006"/>
      <c r="D199" s="1006"/>
      <c r="E199" s="1006"/>
      <c r="F199" s="1006"/>
      <c r="G199" s="1006"/>
      <c r="H199" s="1006"/>
      <c r="I199" s="1006"/>
    </row>
    <row r="200" spans="1:12" ht="14.25" customHeight="1" x14ac:dyDescent="0.25">
      <c r="A200" s="149"/>
      <c r="B200" s="1006"/>
      <c r="C200" s="1006"/>
      <c r="D200" s="1006"/>
      <c r="E200" s="1006"/>
      <c r="F200" s="1006"/>
      <c r="G200" s="1006"/>
      <c r="H200" s="1006"/>
      <c r="I200" s="1006"/>
    </row>
    <row r="201" spans="1:12" ht="14.25" customHeight="1" x14ac:dyDescent="0.25">
      <c r="A201" s="72" t="s">
        <v>2</v>
      </c>
      <c r="B201" s="121" t="s">
        <v>163</v>
      </c>
      <c r="C201" s="51" t="s">
        <v>164</v>
      </c>
      <c r="D201" s="121" t="s">
        <v>55</v>
      </c>
      <c r="E201" s="51" t="s">
        <v>56</v>
      </c>
      <c r="F201" s="51" t="s">
        <v>165</v>
      </c>
      <c r="G201" s="121" t="s">
        <v>58</v>
      </c>
      <c r="H201" s="121" t="s">
        <v>59</v>
      </c>
      <c r="I201" s="51" t="s">
        <v>10</v>
      </c>
      <c r="J201" s="310" t="s">
        <v>77</v>
      </c>
    </row>
    <row r="202" spans="1:12" ht="14.25" customHeight="1" x14ac:dyDescent="0.25">
      <c r="A202" s="74" t="s">
        <v>11</v>
      </c>
      <c r="B202" s="55">
        <v>99</v>
      </c>
      <c r="C202" s="56">
        <v>150</v>
      </c>
      <c r="D202" s="54">
        <v>127</v>
      </c>
      <c r="E202" s="316">
        <v>125</v>
      </c>
      <c r="F202" s="311">
        <v>188</v>
      </c>
      <c r="G202" s="58">
        <v>215</v>
      </c>
      <c r="H202" s="57">
        <v>238</v>
      </c>
      <c r="I202" s="311">
        <f>SUM(B202:H202)</f>
        <v>1142</v>
      </c>
      <c r="J202" s="317">
        <f>FLORESTA!$I202/7</f>
        <v>163.14285714285714</v>
      </c>
    </row>
    <row r="203" spans="1:12" ht="14.25" customHeight="1" x14ac:dyDescent="0.25">
      <c r="A203" s="10" t="s">
        <v>12</v>
      </c>
      <c r="B203" s="11">
        <v>27</v>
      </c>
      <c r="C203" s="13">
        <v>18</v>
      </c>
      <c r="D203" s="320">
        <v>27</v>
      </c>
      <c r="E203" s="11">
        <v>27</v>
      </c>
      <c r="F203" s="125">
        <v>53</v>
      </c>
      <c r="G203" s="11">
        <v>66</v>
      </c>
      <c r="H203" s="11">
        <v>53</v>
      </c>
      <c r="I203" s="313">
        <f>B203+C203+D203+E203+F203+G203+H203</f>
        <v>271</v>
      </c>
      <c r="J203" s="318">
        <f>FLORESTA!$I203/7</f>
        <v>38.714285714285715</v>
      </c>
      <c r="L203" s="89"/>
    </row>
    <row r="204" spans="1:12" ht="14.25" customHeight="1" x14ac:dyDescent="0.25">
      <c r="A204" s="10" t="s">
        <v>13</v>
      </c>
      <c r="B204" s="11">
        <v>0</v>
      </c>
      <c r="C204" s="13">
        <v>1</v>
      </c>
      <c r="D204" s="13">
        <v>1</v>
      </c>
      <c r="E204" s="11">
        <v>0</v>
      </c>
      <c r="F204" s="125">
        <v>2</v>
      </c>
      <c r="G204" s="11">
        <v>1</v>
      </c>
      <c r="H204" s="11">
        <v>1</v>
      </c>
      <c r="I204" s="313">
        <f>B204+C204+D204+E204+F204+G204+H204</f>
        <v>6</v>
      </c>
      <c r="J204" s="318">
        <f>C204+D204+E204+F204+G204+H204+I204</f>
        <v>12</v>
      </c>
    </row>
    <row r="205" spans="1:12" ht="14.25" customHeight="1" x14ac:dyDescent="0.25">
      <c r="A205" s="10" t="s">
        <v>14</v>
      </c>
      <c r="B205" s="11">
        <v>70</v>
      </c>
      <c r="C205" s="13">
        <v>100</v>
      </c>
      <c r="D205" s="13">
        <v>86</v>
      </c>
      <c r="E205" s="11">
        <v>89</v>
      </c>
      <c r="F205" s="125">
        <v>127</v>
      </c>
      <c r="G205" s="11">
        <v>145</v>
      </c>
      <c r="H205" s="11">
        <v>173</v>
      </c>
      <c r="I205" s="313">
        <f>B205+C205+D205+E205+F205+G205+H205</f>
        <v>790</v>
      </c>
      <c r="J205" s="318">
        <f>FLORESTA!$I205/7</f>
        <v>112.85714285714286</v>
      </c>
    </row>
    <row r="206" spans="1:12" ht="14.25" customHeight="1" x14ac:dyDescent="0.25">
      <c r="A206" s="10" t="s">
        <v>15</v>
      </c>
      <c r="B206" s="11">
        <v>4</v>
      </c>
      <c r="C206" s="13">
        <v>1</v>
      </c>
      <c r="D206" s="13">
        <v>1</v>
      </c>
      <c r="E206" s="11">
        <v>2</v>
      </c>
      <c r="F206" s="125">
        <v>10</v>
      </c>
      <c r="G206" s="11">
        <v>7</v>
      </c>
      <c r="H206" s="11">
        <v>4</v>
      </c>
      <c r="I206" s="313">
        <f>B206+C206+D206+E206+F206+G206+H206</f>
        <v>29</v>
      </c>
      <c r="J206" s="318">
        <f>FLORESTA!$I206/7</f>
        <v>4.1428571428571432</v>
      </c>
    </row>
    <row r="207" spans="1:12" ht="14.25" customHeight="1" x14ac:dyDescent="0.25">
      <c r="A207" s="10" t="s">
        <v>16</v>
      </c>
      <c r="B207" s="11">
        <v>0</v>
      </c>
      <c r="C207" s="13">
        <v>0</v>
      </c>
      <c r="D207" s="13">
        <v>0</v>
      </c>
      <c r="E207" s="11">
        <v>0</v>
      </c>
      <c r="F207" s="125">
        <v>0</v>
      </c>
      <c r="G207" s="11">
        <v>1</v>
      </c>
      <c r="H207" s="11">
        <v>1</v>
      </c>
      <c r="I207" s="313">
        <f>B207+C207+D207+E207+F207+G207+H207</f>
        <v>2</v>
      </c>
      <c r="J207" s="318">
        <f>FLORESTA!$I207/7</f>
        <v>0.2857142857142857</v>
      </c>
    </row>
    <row r="208" spans="1:12" ht="14.25" customHeight="1" x14ac:dyDescent="0.25">
      <c r="A208" s="15" t="s">
        <v>17</v>
      </c>
      <c r="B208" s="79">
        <f t="shared" ref="B208:I208" si="84">SUM(B203:B207)</f>
        <v>101</v>
      </c>
      <c r="C208" s="79">
        <f t="shared" si="84"/>
        <v>120</v>
      </c>
      <c r="D208" s="79">
        <f t="shared" si="84"/>
        <v>115</v>
      </c>
      <c r="E208" s="103">
        <f t="shared" si="84"/>
        <v>118</v>
      </c>
      <c r="F208" s="213">
        <f t="shared" si="84"/>
        <v>192</v>
      </c>
      <c r="G208" s="103">
        <f t="shared" si="84"/>
        <v>220</v>
      </c>
      <c r="H208" s="103">
        <f t="shared" si="84"/>
        <v>232</v>
      </c>
      <c r="I208" s="103">
        <f t="shared" si="84"/>
        <v>1098</v>
      </c>
      <c r="J208" s="319">
        <f>FLORESTA!$I208/7</f>
        <v>156.85714285714286</v>
      </c>
    </row>
    <row r="209" spans="1:12" ht="14.25" customHeight="1" x14ac:dyDescent="0.25">
      <c r="A209" s="10" t="s">
        <v>18</v>
      </c>
      <c r="B209" s="18">
        <v>0.28999999999999998</v>
      </c>
      <c r="C209" s="19">
        <v>0.19</v>
      </c>
      <c r="D209" s="19">
        <v>0.25</v>
      </c>
      <c r="E209" s="18">
        <v>0.26</v>
      </c>
      <c r="F209" s="129">
        <v>0.31</v>
      </c>
      <c r="G209" s="18">
        <v>0.33</v>
      </c>
      <c r="H209" s="18">
        <v>0.26</v>
      </c>
      <c r="I209" s="18">
        <f>I216/I221</f>
        <v>0.27713021365788587</v>
      </c>
      <c r="J209" s="19">
        <f>J216/J221</f>
        <v>0.27713021365788582</v>
      </c>
      <c r="L209">
        <f>D208+E208+F208+G208+H208+I236+I266</f>
        <v>2964</v>
      </c>
    </row>
    <row r="210" spans="1:12" ht="14.25" customHeight="1" x14ac:dyDescent="0.25">
      <c r="A210" s="10" t="s">
        <v>19</v>
      </c>
      <c r="B210" s="18">
        <v>0</v>
      </c>
      <c r="C210" s="19">
        <v>0.01</v>
      </c>
      <c r="D210" s="19">
        <v>0.01</v>
      </c>
      <c r="E210" s="18">
        <v>0</v>
      </c>
      <c r="F210" s="129">
        <v>0.01</v>
      </c>
      <c r="G210" s="18">
        <v>0</v>
      </c>
      <c r="H210" s="18">
        <v>0.01</v>
      </c>
      <c r="I210" s="18">
        <f>I217/I221</f>
        <v>6.0738506759351763E-3</v>
      </c>
      <c r="J210" s="19">
        <f>J217/J221</f>
        <v>6.0738506759351763E-3</v>
      </c>
    </row>
    <row r="211" spans="1:12" ht="14.25" customHeight="1" x14ac:dyDescent="0.25">
      <c r="A211" s="10" t="s">
        <v>20</v>
      </c>
      <c r="B211" s="18">
        <v>0.68</v>
      </c>
      <c r="C211" s="19">
        <v>0.8</v>
      </c>
      <c r="D211" s="19">
        <v>0.73</v>
      </c>
      <c r="E211" s="18">
        <v>0.74</v>
      </c>
      <c r="F211" s="297">
        <v>0.64</v>
      </c>
      <c r="G211" s="18">
        <v>0.61</v>
      </c>
      <c r="H211" s="18">
        <v>0.7</v>
      </c>
      <c r="I211" s="18">
        <f>I218/I221</f>
        <v>0.68740122381948277</v>
      </c>
      <c r="J211" s="19">
        <f>J218/J221</f>
        <v>0.68740122381948277</v>
      </c>
    </row>
    <row r="212" spans="1:12" ht="14.25" customHeight="1" x14ac:dyDescent="0.25">
      <c r="A212" s="10" t="s">
        <v>21</v>
      </c>
      <c r="B212" s="18">
        <v>0.03</v>
      </c>
      <c r="C212" s="19">
        <v>0</v>
      </c>
      <c r="D212" s="19">
        <v>0.01</v>
      </c>
      <c r="E212" s="18">
        <v>0</v>
      </c>
      <c r="F212" s="297">
        <v>0.04</v>
      </c>
      <c r="G212" s="18">
        <v>0.05</v>
      </c>
      <c r="H212" s="18">
        <v>0.02</v>
      </c>
      <c r="I212" s="18">
        <f>I219/I221</f>
        <v>2.5249728136474116E-2</v>
      </c>
      <c r="J212" s="19">
        <f>J219/J221</f>
        <v>2.5249728136474116E-2</v>
      </c>
    </row>
    <row r="213" spans="1:12" ht="14.25" customHeight="1" x14ac:dyDescent="0.25">
      <c r="A213" s="10" t="s">
        <v>22</v>
      </c>
      <c r="B213" s="18">
        <v>0</v>
      </c>
      <c r="C213" s="19">
        <v>0</v>
      </c>
      <c r="D213" s="19">
        <v>0</v>
      </c>
      <c r="E213" s="18">
        <v>0</v>
      </c>
      <c r="F213" s="297">
        <v>0</v>
      </c>
      <c r="G213" s="18">
        <v>0.01</v>
      </c>
      <c r="H213" s="18">
        <v>0.01</v>
      </c>
      <c r="I213" s="18">
        <f>I220/I221</f>
        <v>4.1449837102219842E-3</v>
      </c>
      <c r="J213" s="19">
        <f>J220/J221</f>
        <v>4.1449837102219833E-3</v>
      </c>
    </row>
    <row r="214" spans="1:12" ht="14.25" customHeight="1" x14ac:dyDescent="0.25">
      <c r="A214" s="24" t="s">
        <v>23</v>
      </c>
      <c r="B214" s="130">
        <f t="shared" ref="B214:J214" si="85">B225/B208</f>
        <v>28423.762376237624</v>
      </c>
      <c r="C214" s="131">
        <f t="shared" si="85"/>
        <v>30768.333333333336</v>
      </c>
      <c r="D214" s="131">
        <f t="shared" si="85"/>
        <v>31938.260869565216</v>
      </c>
      <c r="E214" s="130">
        <f t="shared" si="85"/>
        <v>29797.457627118649</v>
      </c>
      <c r="F214" s="132">
        <f t="shared" si="85"/>
        <v>31941.145833333339</v>
      </c>
      <c r="G214" s="130">
        <f t="shared" si="85"/>
        <v>31782.727272727276</v>
      </c>
      <c r="H214" s="130">
        <f t="shared" si="85"/>
        <v>30661.206896551728</v>
      </c>
      <c r="I214" s="314">
        <f t="shared" si="85"/>
        <v>30956.557377049186</v>
      </c>
      <c r="J214" s="132">
        <f t="shared" si="85"/>
        <v>30956.557377049183</v>
      </c>
    </row>
    <row r="215" spans="1:12" ht="14.25" customHeight="1" x14ac:dyDescent="0.25">
      <c r="A215" s="24" t="s">
        <v>24</v>
      </c>
      <c r="B215" s="130">
        <f t="shared" ref="B215:J215" si="86">B225/B202</f>
        <v>28997.979797979799</v>
      </c>
      <c r="C215" s="131">
        <f t="shared" si="86"/>
        <v>24614.666666666672</v>
      </c>
      <c r="D215" s="131">
        <f t="shared" si="86"/>
        <v>28920.472440944883</v>
      </c>
      <c r="E215" s="130">
        <f t="shared" si="86"/>
        <v>28128.800000000003</v>
      </c>
      <c r="F215" s="132">
        <f t="shared" si="86"/>
        <v>32620.744680851069</v>
      </c>
      <c r="G215" s="130">
        <f t="shared" si="86"/>
        <v>32521.860465116282</v>
      </c>
      <c r="H215" s="130">
        <f t="shared" si="86"/>
        <v>29888.23529411765</v>
      </c>
      <c r="I215" s="314">
        <f t="shared" si="86"/>
        <v>29763.835376532406</v>
      </c>
      <c r="J215" s="132">
        <f t="shared" si="86"/>
        <v>29763.835376532406</v>
      </c>
    </row>
    <row r="216" spans="1:12" ht="14.25" customHeight="1" x14ac:dyDescent="0.25">
      <c r="A216" s="10" t="s">
        <v>25</v>
      </c>
      <c r="B216" s="92">
        <f t="shared" ref="B216:H216" si="87">B221*B209</f>
        <v>700826.35</v>
      </c>
      <c r="C216" s="133">
        <f t="shared" si="87"/>
        <v>597386.7965517242</v>
      </c>
      <c r="D216" s="133">
        <f t="shared" si="87"/>
        <v>777027.02586206899</v>
      </c>
      <c r="E216" s="92">
        <f t="shared" si="87"/>
        <v>772963.27931034495</v>
      </c>
      <c r="F216" s="134">
        <f t="shared" si="87"/>
        <v>1603504.556896552</v>
      </c>
      <c r="G216" s="92">
        <f t="shared" si="87"/>
        <v>1942224.4448275864</v>
      </c>
      <c r="H216" s="92">
        <f t="shared" si="87"/>
        <v>1564686.8586206897</v>
      </c>
      <c r="I216" s="92">
        <f>FLORESTA!$B216+FLORESTA!$C216+FLORESTA!$D216+FLORESTA!$E216+FLORESTA!$F216+FLORESTA!$G216+FLORESTA!$H216</f>
        <v>7958619.3120689671</v>
      </c>
      <c r="J216" s="133">
        <f>FLORESTA!$I216/7</f>
        <v>1136945.6160098524</v>
      </c>
    </row>
    <row r="217" spans="1:12" ht="14.25" customHeight="1" x14ac:dyDescent="0.25">
      <c r="A217" s="10" t="s">
        <v>26</v>
      </c>
      <c r="B217" s="92">
        <f t="shared" ref="B217:H217" si="88">B221*B210</f>
        <v>0</v>
      </c>
      <c r="C217" s="133">
        <f t="shared" si="88"/>
        <v>31441.410344827589</v>
      </c>
      <c r="D217" s="133">
        <f t="shared" si="88"/>
        <v>31081.081034482759</v>
      </c>
      <c r="E217" s="92">
        <f t="shared" si="88"/>
        <v>0</v>
      </c>
      <c r="F217" s="134">
        <f t="shared" si="88"/>
        <v>51725.953448275868</v>
      </c>
      <c r="G217" s="92">
        <f t="shared" si="88"/>
        <v>0</v>
      </c>
      <c r="H217" s="92">
        <f t="shared" si="88"/>
        <v>60180.263793103455</v>
      </c>
      <c r="I217" s="92">
        <f>FLORESTA!$B217+FLORESTA!$C217+FLORESTA!$D217+FLORESTA!$E217+FLORESTA!$F217+FLORESTA!$G217+FLORESTA!$H217</f>
        <v>174428.70862068966</v>
      </c>
      <c r="J217" s="133">
        <f>FLORESTA!$I217/7</f>
        <v>24918.38694581281</v>
      </c>
    </row>
    <row r="218" spans="1:12" ht="14.25" customHeight="1" x14ac:dyDescent="0.25">
      <c r="A218" s="10" t="s">
        <v>27</v>
      </c>
      <c r="B218" s="92">
        <f t="shared" ref="B218:H218" si="89">B221*B211</f>
        <v>1643316.9586206898</v>
      </c>
      <c r="C218" s="133">
        <f t="shared" si="89"/>
        <v>2515312.8275862075</v>
      </c>
      <c r="D218" s="133">
        <f t="shared" si="89"/>
        <v>2268918.9155172412</v>
      </c>
      <c r="E218" s="92">
        <f t="shared" si="89"/>
        <v>2199972.4103448279</v>
      </c>
      <c r="F218" s="134">
        <f t="shared" si="89"/>
        <v>3310461.0206896556</v>
      </c>
      <c r="G218" s="92">
        <f t="shared" si="89"/>
        <v>3590172.4586206898</v>
      </c>
      <c r="H218" s="92">
        <f t="shared" si="89"/>
        <v>4212618.4655172415</v>
      </c>
      <c r="I218" s="92">
        <f>FLORESTA!$B218+FLORESTA!$C218+FLORESTA!$D218+FLORESTA!$E218+FLORESTA!$F218+FLORESTA!$G218+FLORESTA!$H218</f>
        <v>19740773.056896552</v>
      </c>
      <c r="J218" s="133">
        <f>FLORESTA!$I218/7</f>
        <v>2820110.4366995073</v>
      </c>
    </row>
    <row r="219" spans="1:12" ht="14.25" customHeight="1" x14ac:dyDescent="0.25">
      <c r="A219" s="10" t="s">
        <v>28</v>
      </c>
      <c r="B219" s="92">
        <f t="shared" ref="B219:H219" si="90">B221*B212</f>
        <v>72499.277586206896</v>
      </c>
      <c r="C219" s="133">
        <f t="shared" si="90"/>
        <v>0</v>
      </c>
      <c r="D219" s="133">
        <f t="shared" si="90"/>
        <v>31081.081034482759</v>
      </c>
      <c r="E219" s="92">
        <f t="shared" si="90"/>
        <v>0</v>
      </c>
      <c r="F219" s="134">
        <f t="shared" si="90"/>
        <v>206903.81379310347</v>
      </c>
      <c r="G219" s="92">
        <f t="shared" si="90"/>
        <v>294276.43103448278</v>
      </c>
      <c r="H219" s="92">
        <f t="shared" si="90"/>
        <v>120360.52758620691</v>
      </c>
      <c r="I219" s="92">
        <f>FLORESTA!$B219+FLORESTA!$C219+FLORESTA!$D219+FLORESTA!$E219+FLORESTA!$F219+FLORESTA!$G219+FLORESTA!$H219</f>
        <v>725121.13103448285</v>
      </c>
      <c r="J219" s="133">
        <f>FLORESTA!$I219/7</f>
        <v>103588.73300492612</v>
      </c>
    </row>
    <row r="220" spans="1:12" ht="14.25" customHeight="1" x14ac:dyDescent="0.25">
      <c r="A220" s="10" t="s">
        <v>29</v>
      </c>
      <c r="B220" s="92">
        <f t="shared" ref="B220:H220" si="91">B221*B213</f>
        <v>0</v>
      </c>
      <c r="C220" s="133">
        <f t="shared" si="91"/>
        <v>0</v>
      </c>
      <c r="D220" s="133">
        <f t="shared" si="91"/>
        <v>0</v>
      </c>
      <c r="E220" s="92">
        <f t="shared" si="91"/>
        <v>0</v>
      </c>
      <c r="F220" s="134">
        <f t="shared" si="91"/>
        <v>0</v>
      </c>
      <c r="G220" s="92">
        <f t="shared" si="91"/>
        <v>58855.286206896555</v>
      </c>
      <c r="H220" s="92">
        <f t="shared" si="91"/>
        <v>60180.263793103455</v>
      </c>
      <c r="I220" s="92">
        <f>FLORESTA!$B220+FLORESTA!$C220+FLORESTA!$D220+FLORESTA!$E220+FLORESTA!$F220+FLORESTA!$G220+FLORESTA!$H220</f>
        <v>119035.55000000002</v>
      </c>
      <c r="J220" s="133">
        <f>FLORESTA!$I220/7</f>
        <v>17005.078571428574</v>
      </c>
    </row>
    <row r="221" spans="1:12" ht="14.25" customHeight="1" x14ac:dyDescent="0.25">
      <c r="A221" s="33" t="s">
        <v>30</v>
      </c>
      <c r="B221" s="91">
        <f>(2870800/1.16)-B222</f>
        <v>2416642.5862068967</v>
      </c>
      <c r="C221" s="136">
        <f>(3692200/1.16)-C222</f>
        <v>3144141.034482759</v>
      </c>
      <c r="D221" s="136">
        <f>(3672900/1.16)-D222</f>
        <v>3108108.1034482759</v>
      </c>
      <c r="E221" s="91">
        <f>(3516100/1.16)-E222</f>
        <v>2972935.6896551726</v>
      </c>
      <c r="F221" s="137">
        <f>(6132700/1.16)-F222</f>
        <v>5172595.3448275868</v>
      </c>
      <c r="G221" s="91">
        <f>(6992200/1.16)-G222</f>
        <v>5885528.6206896557</v>
      </c>
      <c r="H221" s="91">
        <f>(7113400/1.16)-H222</f>
        <v>6018026.3793103453</v>
      </c>
      <c r="I221" s="91">
        <f>SUM(I216:I220)</f>
        <v>28717977.758620694</v>
      </c>
      <c r="J221" s="136">
        <f>FLORESTA!$I221/7</f>
        <v>4102568.2512315279</v>
      </c>
    </row>
    <row r="222" spans="1:12" ht="14.25" customHeight="1" x14ac:dyDescent="0.25">
      <c r="A222" s="10" t="s">
        <v>31</v>
      </c>
      <c r="B222" s="94">
        <f t="shared" ref="B222:J222" si="92">2155*B203</f>
        <v>58185</v>
      </c>
      <c r="C222" s="139">
        <f t="shared" si="92"/>
        <v>38790</v>
      </c>
      <c r="D222" s="139">
        <f t="shared" si="92"/>
        <v>58185</v>
      </c>
      <c r="E222" s="94">
        <f t="shared" si="92"/>
        <v>58185</v>
      </c>
      <c r="F222" s="112">
        <f t="shared" si="92"/>
        <v>114215</v>
      </c>
      <c r="G222" s="94">
        <f t="shared" si="92"/>
        <v>142230</v>
      </c>
      <c r="H222" s="94">
        <f t="shared" si="92"/>
        <v>114215</v>
      </c>
      <c r="I222" s="94">
        <f t="shared" si="92"/>
        <v>584005</v>
      </c>
      <c r="J222" s="139">
        <f t="shared" si="92"/>
        <v>83429.28571428571</v>
      </c>
    </row>
    <row r="223" spans="1:12" ht="14.25" customHeight="1" x14ac:dyDescent="0.25">
      <c r="A223" s="37" t="s">
        <v>32</v>
      </c>
      <c r="B223" s="39">
        <f t="shared" ref="B223:H223" si="93">B221+B222</f>
        <v>2474827.5862068967</v>
      </c>
      <c r="C223" s="40">
        <f t="shared" si="93"/>
        <v>3182931.034482759</v>
      </c>
      <c r="D223" s="40">
        <f t="shared" si="93"/>
        <v>3166293.1034482759</v>
      </c>
      <c r="E223" s="39">
        <f t="shared" si="93"/>
        <v>3031120.6896551726</v>
      </c>
      <c r="F223" s="140">
        <f t="shared" si="93"/>
        <v>5286810.3448275868</v>
      </c>
      <c r="G223" s="39">
        <f t="shared" si="93"/>
        <v>6027758.6206896557</v>
      </c>
      <c r="H223" s="39">
        <f t="shared" si="93"/>
        <v>6132241.3793103453</v>
      </c>
      <c r="I223" s="39">
        <f>I221+I222</f>
        <v>29301982.758620694</v>
      </c>
      <c r="J223" s="40">
        <f>J221+J222</f>
        <v>4185997.5369458138</v>
      </c>
    </row>
    <row r="224" spans="1:12" ht="14.25" customHeight="1" x14ac:dyDescent="0.25">
      <c r="A224" s="10" t="s">
        <v>33</v>
      </c>
      <c r="B224" s="41">
        <f t="shared" ref="B224:H224" si="94">B223*16%</f>
        <v>395972.41379310348</v>
      </c>
      <c r="C224" s="42">
        <f t="shared" si="94"/>
        <v>509268.96551724145</v>
      </c>
      <c r="D224" s="42">
        <f t="shared" si="94"/>
        <v>506606.89655172417</v>
      </c>
      <c r="E224" s="41">
        <f t="shared" si="94"/>
        <v>484979.31034482765</v>
      </c>
      <c r="F224" s="141">
        <f t="shared" si="94"/>
        <v>845889.65517241391</v>
      </c>
      <c r="G224" s="41">
        <f t="shared" si="94"/>
        <v>964441.37931034493</v>
      </c>
      <c r="H224" s="41">
        <f t="shared" si="94"/>
        <v>981158.6206896553</v>
      </c>
      <c r="I224" s="41">
        <f>I223*16%</f>
        <v>4688317.2413793113</v>
      </c>
      <c r="J224" s="42">
        <f>J223*16%</f>
        <v>669759.6059113302</v>
      </c>
    </row>
    <row r="225" spans="1:10" ht="14.25" customHeight="1" x14ac:dyDescent="0.25">
      <c r="A225" s="43" t="s">
        <v>34</v>
      </c>
      <c r="B225" s="315">
        <f t="shared" ref="B225:H225" si="95">B223+B224</f>
        <v>2870800</v>
      </c>
      <c r="C225" s="315">
        <f t="shared" si="95"/>
        <v>3692200.0000000005</v>
      </c>
      <c r="D225" s="315">
        <f t="shared" si="95"/>
        <v>3672900</v>
      </c>
      <c r="E225" s="178">
        <f t="shared" si="95"/>
        <v>3516100.0000000005</v>
      </c>
      <c r="F225" s="182">
        <f t="shared" si="95"/>
        <v>6132700.0000000009</v>
      </c>
      <c r="G225" s="178">
        <f t="shared" si="95"/>
        <v>6992200.0000000009</v>
      </c>
      <c r="H225" s="178">
        <f t="shared" si="95"/>
        <v>7113400.0000000009</v>
      </c>
      <c r="I225" s="178">
        <f>I223+I224</f>
        <v>33990300.000000007</v>
      </c>
      <c r="J225" s="315">
        <f>FLORESTA!$I225/7</f>
        <v>4855757.1428571437</v>
      </c>
    </row>
    <row r="226" spans="1:10" ht="14.25" customHeight="1" x14ac:dyDescent="0.25">
      <c r="A226" s="149"/>
      <c r="B226" s="150"/>
      <c r="C226" s="150"/>
      <c r="D226" s="150"/>
      <c r="E226" s="150"/>
      <c r="F226" s="150"/>
      <c r="G226" s="150"/>
      <c r="H226" s="150"/>
      <c r="I226" s="150"/>
    </row>
    <row r="227" spans="1:10" ht="12.75" customHeight="1" x14ac:dyDescent="0.25">
      <c r="A227" s="149"/>
      <c r="B227" s="1006" t="s">
        <v>98</v>
      </c>
      <c r="C227" s="1006"/>
      <c r="D227" s="1006"/>
      <c r="E227" s="1006"/>
      <c r="F227" s="1006"/>
      <c r="G227" s="1006"/>
      <c r="H227" s="1006"/>
      <c r="I227" s="1006"/>
    </row>
    <row r="228" spans="1:10" x14ac:dyDescent="0.25">
      <c r="A228" s="149"/>
      <c r="B228" s="1006"/>
      <c r="C228" s="1006"/>
      <c r="D228" s="1006"/>
      <c r="E228" s="1006"/>
      <c r="F228" s="1006"/>
      <c r="G228" s="1006"/>
      <c r="H228" s="1006"/>
      <c r="I228" s="1006"/>
    </row>
    <row r="229" spans="1:10" ht="15.75" x14ac:dyDescent="0.25">
      <c r="A229" s="72" t="s">
        <v>2</v>
      </c>
      <c r="B229" s="121" t="s">
        <v>167</v>
      </c>
      <c r="C229" s="51" t="s">
        <v>62</v>
      </c>
      <c r="D229" s="121" t="s">
        <v>63</v>
      </c>
      <c r="E229" s="51" t="s">
        <v>168</v>
      </c>
      <c r="F229" s="51" t="s">
        <v>65</v>
      </c>
      <c r="G229" s="121" t="s">
        <v>66</v>
      </c>
      <c r="H229" s="121" t="s">
        <v>67</v>
      </c>
      <c r="I229" s="51" t="s">
        <v>10</v>
      </c>
      <c r="J229" s="310" t="s">
        <v>77</v>
      </c>
    </row>
    <row r="230" spans="1:10" x14ac:dyDescent="0.25">
      <c r="A230" s="74" t="s">
        <v>11</v>
      </c>
      <c r="B230" s="55">
        <v>95</v>
      </c>
      <c r="C230" s="56">
        <v>147</v>
      </c>
      <c r="D230" s="54">
        <v>232</v>
      </c>
      <c r="E230" s="316">
        <v>100</v>
      </c>
      <c r="F230" s="311">
        <v>154</v>
      </c>
      <c r="G230" s="58">
        <v>237</v>
      </c>
      <c r="H230" s="57">
        <v>225</v>
      </c>
      <c r="I230" s="311">
        <f>SUM(B230:H230)</f>
        <v>1190</v>
      </c>
      <c r="J230" s="317">
        <f>FLORESTA!$I230/7</f>
        <v>170</v>
      </c>
    </row>
    <row r="231" spans="1:10" x14ac:dyDescent="0.25">
      <c r="A231" s="10" t="s">
        <v>12</v>
      </c>
      <c r="B231" s="11">
        <v>20</v>
      </c>
      <c r="C231" s="13">
        <v>37</v>
      </c>
      <c r="D231" s="320">
        <v>49</v>
      </c>
      <c r="E231" s="11">
        <v>20</v>
      </c>
      <c r="F231" s="125">
        <v>42</v>
      </c>
      <c r="G231" s="11">
        <v>59</v>
      </c>
      <c r="H231" s="11">
        <v>53</v>
      </c>
      <c r="I231" s="313">
        <f>B231+C231+D231+E231+F231+G231+H231</f>
        <v>280</v>
      </c>
      <c r="J231" s="318">
        <f>FLORESTA!$I231/7</f>
        <v>40</v>
      </c>
    </row>
    <row r="232" spans="1:10" x14ac:dyDescent="0.25">
      <c r="A232" s="10" t="s">
        <v>13</v>
      </c>
      <c r="B232" s="11">
        <v>1</v>
      </c>
      <c r="C232" s="13">
        <v>1</v>
      </c>
      <c r="D232" s="13">
        <v>1</v>
      </c>
      <c r="E232" s="11">
        <v>0</v>
      </c>
      <c r="F232" s="125">
        <v>0</v>
      </c>
      <c r="G232" s="11">
        <v>0</v>
      </c>
      <c r="H232" s="11">
        <v>0</v>
      </c>
      <c r="I232" s="313">
        <f>B232+C232+D232+E232+F232+G232+H232</f>
        <v>3</v>
      </c>
      <c r="J232" s="318">
        <f>C232+D232+E232+F232+G232+H232+I232</f>
        <v>5</v>
      </c>
    </row>
    <row r="233" spans="1:10" x14ac:dyDescent="0.25">
      <c r="A233" s="10" t="s">
        <v>14</v>
      </c>
      <c r="B233" s="11">
        <v>67</v>
      </c>
      <c r="C233" s="13">
        <v>93</v>
      </c>
      <c r="D233" s="13">
        <v>156</v>
      </c>
      <c r="E233" s="11">
        <v>81</v>
      </c>
      <c r="F233" s="125">
        <v>108</v>
      </c>
      <c r="G233" s="11">
        <v>164</v>
      </c>
      <c r="H233" s="11">
        <v>131</v>
      </c>
      <c r="I233" s="313">
        <f>B233+C233+D233+E233+F233+G233+H233</f>
        <v>800</v>
      </c>
      <c r="J233" s="318">
        <f>FLORESTA!$I233/7</f>
        <v>114.28571428571429</v>
      </c>
    </row>
    <row r="234" spans="1:10" x14ac:dyDescent="0.25">
      <c r="A234" s="10" t="s">
        <v>15</v>
      </c>
      <c r="B234" s="11">
        <v>1</v>
      </c>
      <c r="C234" s="13">
        <v>4</v>
      </c>
      <c r="D234" s="13">
        <v>1</v>
      </c>
      <c r="E234" s="11">
        <v>0</v>
      </c>
      <c r="F234" s="125">
        <v>2</v>
      </c>
      <c r="G234" s="11">
        <v>0</v>
      </c>
      <c r="H234" s="11">
        <v>12</v>
      </c>
      <c r="I234" s="313">
        <f>B234+C234+D234+E234+F234+G234+H234</f>
        <v>20</v>
      </c>
      <c r="J234" s="318">
        <f>FLORESTA!$I234/7</f>
        <v>2.8571428571428572</v>
      </c>
    </row>
    <row r="235" spans="1:10" x14ac:dyDescent="0.25">
      <c r="A235" s="10" t="s">
        <v>16</v>
      </c>
      <c r="B235" s="11">
        <v>0</v>
      </c>
      <c r="C235" s="13">
        <v>0</v>
      </c>
      <c r="D235" s="13">
        <v>0</v>
      </c>
      <c r="E235" s="11">
        <v>0</v>
      </c>
      <c r="F235" s="125">
        <v>0</v>
      </c>
      <c r="G235" s="11">
        <v>0</v>
      </c>
      <c r="H235" s="11">
        <v>0</v>
      </c>
      <c r="I235" s="313">
        <f>B235+C235+D235+E235+F235+G235+H235</f>
        <v>0</v>
      </c>
      <c r="J235" s="318">
        <f>FLORESTA!$I235/7</f>
        <v>0</v>
      </c>
    </row>
    <row r="236" spans="1:10" x14ac:dyDescent="0.25">
      <c r="A236" s="15" t="s">
        <v>17</v>
      </c>
      <c r="B236" s="79">
        <f t="shared" ref="B236:I236" si="96">SUM(B231:B235)</f>
        <v>89</v>
      </c>
      <c r="C236" s="79">
        <f t="shared" si="96"/>
        <v>135</v>
      </c>
      <c r="D236" s="79">
        <f t="shared" si="96"/>
        <v>207</v>
      </c>
      <c r="E236" s="103">
        <f t="shared" si="96"/>
        <v>101</v>
      </c>
      <c r="F236" s="213">
        <f t="shared" si="96"/>
        <v>152</v>
      </c>
      <c r="G236" s="103">
        <f t="shared" si="96"/>
        <v>223</v>
      </c>
      <c r="H236" s="103">
        <f t="shared" si="96"/>
        <v>196</v>
      </c>
      <c r="I236" s="103">
        <f t="shared" si="96"/>
        <v>1103</v>
      </c>
      <c r="J236" s="319">
        <f>FLORESTA!$I236/7</f>
        <v>157.57142857142858</v>
      </c>
    </row>
    <row r="237" spans="1:10" x14ac:dyDescent="0.25">
      <c r="A237" s="10" t="s">
        <v>18</v>
      </c>
      <c r="B237" s="18">
        <v>0.23</v>
      </c>
      <c r="C237" s="19">
        <v>0.33</v>
      </c>
      <c r="D237" s="19">
        <v>0.25</v>
      </c>
      <c r="E237" s="18">
        <v>0.23</v>
      </c>
      <c r="F237" s="129">
        <v>0.31</v>
      </c>
      <c r="G237" s="18">
        <v>0.34</v>
      </c>
      <c r="H237" s="18">
        <v>0.28999999999999998</v>
      </c>
      <c r="I237" s="18">
        <f>I244/I249</f>
        <v>0.29084228018919878</v>
      </c>
      <c r="J237" s="19">
        <f>J244/J249</f>
        <v>0.29084228018919878</v>
      </c>
    </row>
    <row r="238" spans="1:10" x14ac:dyDescent="0.25">
      <c r="A238" s="10" t="s">
        <v>19</v>
      </c>
      <c r="B238" s="18">
        <v>0</v>
      </c>
      <c r="C238" s="19">
        <v>0.01</v>
      </c>
      <c r="D238" s="19">
        <v>0</v>
      </c>
      <c r="E238" s="18">
        <v>0</v>
      </c>
      <c r="F238" s="129">
        <v>0</v>
      </c>
      <c r="G238" s="18">
        <v>0</v>
      </c>
      <c r="H238" s="18">
        <v>0</v>
      </c>
      <c r="I238" s="18">
        <f>I245/I249</f>
        <v>1.2526887807152523E-3</v>
      </c>
      <c r="J238" s="19">
        <f>J245/J249</f>
        <v>1.2526887807152521E-3</v>
      </c>
    </row>
    <row r="239" spans="1:10" x14ac:dyDescent="0.25">
      <c r="A239" s="10" t="s">
        <v>20</v>
      </c>
      <c r="B239" s="18">
        <v>0.76</v>
      </c>
      <c r="C239" s="19">
        <v>0.63</v>
      </c>
      <c r="D239" s="19">
        <v>0.73</v>
      </c>
      <c r="E239" s="18">
        <v>0.77</v>
      </c>
      <c r="F239" s="297">
        <v>0.67</v>
      </c>
      <c r="G239" s="18">
        <v>0.66</v>
      </c>
      <c r="H239" s="18">
        <v>0.63</v>
      </c>
      <c r="I239" s="18">
        <f>I246/I249</f>
        <v>0.68042847925402905</v>
      </c>
      <c r="J239" s="19">
        <f>J246/J249</f>
        <v>0.68042847925402905</v>
      </c>
    </row>
    <row r="240" spans="1:10" x14ac:dyDescent="0.25">
      <c r="A240" s="10" t="s">
        <v>21</v>
      </c>
      <c r="B240" s="18">
        <v>0.01</v>
      </c>
      <c r="C240" s="19">
        <v>0.03</v>
      </c>
      <c r="D240" s="19">
        <v>0.02</v>
      </c>
      <c r="E240" s="18">
        <v>0</v>
      </c>
      <c r="F240" s="297">
        <v>0.02</v>
      </c>
      <c r="G240" s="18">
        <v>0</v>
      </c>
      <c r="H240" s="18">
        <v>0.08</v>
      </c>
      <c r="I240" s="18">
        <f>I247/I249</f>
        <v>2.7476551776056988E-2</v>
      </c>
      <c r="J240" s="19">
        <f>J247/J249</f>
        <v>2.7476551776056988E-2</v>
      </c>
    </row>
    <row r="241" spans="1:10" x14ac:dyDescent="0.25">
      <c r="A241" s="10" t="s">
        <v>22</v>
      </c>
      <c r="B241" s="18">
        <v>0</v>
      </c>
      <c r="C241" s="19">
        <v>0</v>
      </c>
      <c r="D241" s="19">
        <v>0</v>
      </c>
      <c r="E241" s="18">
        <v>0</v>
      </c>
      <c r="F241" s="297">
        <v>0</v>
      </c>
      <c r="G241" s="18">
        <v>0</v>
      </c>
      <c r="H241" s="18">
        <v>0</v>
      </c>
      <c r="I241" s="18">
        <f>I248/I249</f>
        <v>0</v>
      </c>
      <c r="J241" s="19">
        <f>J248/J249</f>
        <v>0</v>
      </c>
    </row>
    <row r="242" spans="1:10" x14ac:dyDescent="0.25">
      <c r="A242" s="24" t="s">
        <v>23</v>
      </c>
      <c r="B242" s="130">
        <f t="shared" ref="B242:J242" si="97">B253/B236</f>
        <v>29762.921348314605</v>
      </c>
      <c r="C242" s="131">
        <f t="shared" si="97"/>
        <v>32781.481481481482</v>
      </c>
      <c r="D242" s="131">
        <f t="shared" si="97"/>
        <v>33451.690821256045</v>
      </c>
      <c r="E242" s="130">
        <f t="shared" si="97"/>
        <v>24539.603960396045</v>
      </c>
      <c r="F242" s="132">
        <f t="shared" si="97"/>
        <v>30890.789473684217</v>
      </c>
      <c r="G242" s="130">
        <f t="shared" si="97"/>
        <v>30951.121076233183</v>
      </c>
      <c r="H242" s="130">
        <f t="shared" si="97"/>
        <v>36809.693877551021</v>
      </c>
      <c r="I242" s="314">
        <f t="shared" si="97"/>
        <v>31994.197642792384</v>
      </c>
      <c r="J242" s="132">
        <f t="shared" si="97"/>
        <v>31994.19764279238</v>
      </c>
    </row>
    <row r="243" spans="1:10" x14ac:dyDescent="0.25">
      <c r="A243" s="24" t="s">
        <v>24</v>
      </c>
      <c r="B243" s="130">
        <f t="shared" ref="B243:J243" si="98">B253/B230</f>
        <v>27883.157894736843</v>
      </c>
      <c r="C243" s="131">
        <f t="shared" si="98"/>
        <v>30105.442176870747</v>
      </c>
      <c r="D243" s="131">
        <f t="shared" si="98"/>
        <v>29846.982758620692</v>
      </c>
      <c r="E243" s="130">
        <f t="shared" si="98"/>
        <v>24785.000000000004</v>
      </c>
      <c r="F243" s="132">
        <f t="shared" si="98"/>
        <v>30489.610389610396</v>
      </c>
      <c r="G243" s="130">
        <f t="shared" si="98"/>
        <v>29122.784810126581</v>
      </c>
      <c r="H243" s="130">
        <f t="shared" si="98"/>
        <v>32065.333333333332</v>
      </c>
      <c r="I243" s="314">
        <f t="shared" si="98"/>
        <v>29655.126050420167</v>
      </c>
      <c r="J243" s="132">
        <f t="shared" si="98"/>
        <v>29655.126050420167</v>
      </c>
    </row>
    <row r="244" spans="1:10" x14ac:dyDescent="0.25">
      <c r="A244" s="10" t="s">
        <v>25</v>
      </c>
      <c r="B244" s="92">
        <f t="shared" ref="B244:H244" si="99">B249*B237</f>
        <v>515299.93103448278</v>
      </c>
      <c r="C244" s="133">
        <f t="shared" si="99"/>
        <v>1232665.8982758622</v>
      </c>
      <c r="D244" s="133">
        <f t="shared" si="99"/>
        <v>1465950.3879310347</v>
      </c>
      <c r="E244" s="92">
        <f t="shared" si="99"/>
        <v>481513.72413793113</v>
      </c>
      <c r="F244" s="134">
        <f t="shared" si="99"/>
        <v>1226747.0724137933</v>
      </c>
      <c r="G244" s="92">
        <f t="shared" si="99"/>
        <v>1979800.0103448278</v>
      </c>
      <c r="H244" s="92">
        <f t="shared" si="99"/>
        <v>1770552.65</v>
      </c>
      <c r="I244" s="92">
        <f>FLORESTA!$B244+FLORESTA!$C244+FLORESTA!$D244+FLORESTA!$E244+FLORESTA!$F244+FLORESTA!$G244+FLORESTA!$H244</f>
        <v>8672529.6741379313</v>
      </c>
      <c r="J244" s="133">
        <f>FLORESTA!$I244/7</f>
        <v>1238932.8105911331</v>
      </c>
    </row>
    <row r="245" spans="1:10" x14ac:dyDescent="0.25">
      <c r="A245" s="10" t="s">
        <v>26</v>
      </c>
      <c r="B245" s="92">
        <f t="shared" ref="B245:H245" si="100">B249*B238</f>
        <v>0</v>
      </c>
      <c r="C245" s="133">
        <f t="shared" si="100"/>
        <v>37353.512068965523</v>
      </c>
      <c r="D245" s="133">
        <f t="shared" si="100"/>
        <v>0</v>
      </c>
      <c r="E245" s="92">
        <f t="shared" si="100"/>
        <v>0</v>
      </c>
      <c r="F245" s="134">
        <f t="shared" si="100"/>
        <v>0</v>
      </c>
      <c r="G245" s="92">
        <f t="shared" si="100"/>
        <v>0</v>
      </c>
      <c r="H245" s="92">
        <f t="shared" si="100"/>
        <v>0</v>
      </c>
      <c r="I245" s="92">
        <f>FLORESTA!$B245+FLORESTA!$C245+FLORESTA!$D245+FLORESTA!$E245+FLORESTA!$F245+FLORESTA!$G245+FLORESTA!$H245</f>
        <v>37353.512068965523</v>
      </c>
      <c r="J245" s="133">
        <f>FLORESTA!$I245/7</f>
        <v>5336.2160098522172</v>
      </c>
    </row>
    <row r="246" spans="1:10" x14ac:dyDescent="0.25">
      <c r="A246" s="10" t="s">
        <v>27</v>
      </c>
      <c r="B246" s="92">
        <f t="shared" ref="B246:H246" si="101">B249*B239</f>
        <v>1702730.2068965519</v>
      </c>
      <c r="C246" s="133">
        <f t="shared" si="101"/>
        <v>2353271.2603448275</v>
      </c>
      <c r="D246" s="133">
        <f t="shared" si="101"/>
        <v>4280575.1327586211</v>
      </c>
      <c r="E246" s="92">
        <f t="shared" si="101"/>
        <v>1612024.2068965519</v>
      </c>
      <c r="F246" s="134">
        <f t="shared" si="101"/>
        <v>2651356.5758620696</v>
      </c>
      <c r="G246" s="92">
        <f t="shared" si="101"/>
        <v>3843141.1965517243</v>
      </c>
      <c r="H246" s="92">
        <f t="shared" si="101"/>
        <v>3846372.9982758621</v>
      </c>
      <c r="I246" s="92">
        <f>FLORESTA!$B246+FLORESTA!$C246+FLORESTA!$D246+FLORESTA!$E246+FLORESTA!$F246+FLORESTA!$G246+FLORESTA!$H246</f>
        <v>20289471.577586208</v>
      </c>
      <c r="J246" s="133">
        <f>FLORESTA!$I246/7</f>
        <v>2898495.9396551726</v>
      </c>
    </row>
    <row r="247" spans="1:10" x14ac:dyDescent="0.25">
      <c r="A247" s="10" t="s">
        <v>28</v>
      </c>
      <c r="B247" s="92">
        <f t="shared" ref="B247:H247" si="102">B249*B240</f>
        <v>22404.344827586207</v>
      </c>
      <c r="C247" s="133">
        <f t="shared" si="102"/>
        <v>112060.53620689655</v>
      </c>
      <c r="D247" s="133">
        <f t="shared" si="102"/>
        <v>117276.03103448277</v>
      </c>
      <c r="E247" s="92">
        <f t="shared" si="102"/>
        <v>0</v>
      </c>
      <c r="F247" s="134">
        <f t="shared" si="102"/>
        <v>79144.972413793119</v>
      </c>
      <c r="G247" s="92">
        <f t="shared" si="102"/>
        <v>0</v>
      </c>
      <c r="H247" s="92">
        <f t="shared" si="102"/>
        <v>488428.31724137935</v>
      </c>
      <c r="I247" s="92">
        <f>FLORESTA!$B247+FLORESTA!$C247+FLORESTA!$D247+FLORESTA!$E247+FLORESTA!$F247+FLORESTA!$G247+FLORESTA!$H247</f>
        <v>819314.20172413811</v>
      </c>
      <c r="J247" s="133">
        <f>FLORESTA!$I247/7</f>
        <v>117044.88596059116</v>
      </c>
    </row>
    <row r="248" spans="1:10" x14ac:dyDescent="0.25">
      <c r="A248" s="10" t="s">
        <v>29</v>
      </c>
      <c r="B248" s="92">
        <f t="shared" ref="B248:H248" si="103">B249*B241</f>
        <v>0</v>
      </c>
      <c r="C248" s="133">
        <f t="shared" si="103"/>
        <v>0</v>
      </c>
      <c r="D248" s="133">
        <f t="shared" si="103"/>
        <v>0</v>
      </c>
      <c r="E248" s="92">
        <f t="shared" si="103"/>
        <v>0</v>
      </c>
      <c r="F248" s="134">
        <f t="shared" si="103"/>
        <v>0</v>
      </c>
      <c r="G248" s="92">
        <f t="shared" si="103"/>
        <v>0</v>
      </c>
      <c r="H248" s="92">
        <f t="shared" si="103"/>
        <v>0</v>
      </c>
      <c r="I248" s="92">
        <f>FLORESTA!$B248+FLORESTA!$C248+FLORESTA!$D248+FLORESTA!$E248+FLORESTA!$F248+FLORESTA!$G248+FLORESTA!$H248</f>
        <v>0</v>
      </c>
      <c r="J248" s="133">
        <f>FLORESTA!$I248/7</f>
        <v>0</v>
      </c>
    </row>
    <row r="249" spans="1:10" x14ac:dyDescent="0.25">
      <c r="A249" s="33" t="s">
        <v>30</v>
      </c>
      <c r="B249" s="91">
        <f>(2648900/1.16)-B250</f>
        <v>2240434.4827586208</v>
      </c>
      <c r="C249" s="136">
        <f>(4425500/1.16)-C250</f>
        <v>3735351.2068965519</v>
      </c>
      <c r="D249" s="136">
        <f>(6924500/1.16)-D250</f>
        <v>5863801.5517241387</v>
      </c>
      <c r="E249" s="91">
        <f>(2478500/1.16)-E250</f>
        <v>2093537.931034483</v>
      </c>
      <c r="F249" s="137">
        <f>(4695400/1.16)-F250</f>
        <v>3957248.6206896557</v>
      </c>
      <c r="G249" s="91">
        <f>(6902100/1.16)-G250</f>
        <v>5822941.2068965519</v>
      </c>
      <c r="H249" s="91">
        <f>(7214700/1.16)-H250</f>
        <v>6105353.9655172415</v>
      </c>
      <c r="I249" s="91">
        <f>SUM(I244:I248)</f>
        <v>29818668.965517242</v>
      </c>
      <c r="J249" s="136">
        <f>FLORESTA!$I249/7</f>
        <v>4259809.8522167485</v>
      </c>
    </row>
    <row r="250" spans="1:10" x14ac:dyDescent="0.25">
      <c r="A250" s="10" t="s">
        <v>31</v>
      </c>
      <c r="B250" s="94">
        <f t="shared" ref="B250:J250" si="104">2155*B231</f>
        <v>43100</v>
      </c>
      <c r="C250" s="139">
        <f t="shared" si="104"/>
        <v>79735</v>
      </c>
      <c r="D250" s="139">
        <f t="shared" si="104"/>
        <v>105595</v>
      </c>
      <c r="E250" s="94">
        <f t="shared" si="104"/>
        <v>43100</v>
      </c>
      <c r="F250" s="112">
        <f t="shared" si="104"/>
        <v>90510</v>
      </c>
      <c r="G250" s="94">
        <f t="shared" si="104"/>
        <v>127145</v>
      </c>
      <c r="H250" s="94">
        <f t="shared" si="104"/>
        <v>114215</v>
      </c>
      <c r="I250" s="94">
        <f t="shared" si="104"/>
        <v>603400</v>
      </c>
      <c r="J250" s="139">
        <f t="shared" si="104"/>
        <v>86200</v>
      </c>
    </row>
    <row r="251" spans="1:10" x14ac:dyDescent="0.25">
      <c r="A251" s="37" t="s">
        <v>32</v>
      </c>
      <c r="B251" s="39">
        <f t="shared" ref="B251:H251" si="105">B249+B250</f>
        <v>2283534.4827586208</v>
      </c>
      <c r="C251" s="40">
        <f t="shared" si="105"/>
        <v>3815086.2068965519</v>
      </c>
      <c r="D251" s="40">
        <f t="shared" si="105"/>
        <v>5969396.5517241387</v>
      </c>
      <c r="E251" s="39">
        <f t="shared" si="105"/>
        <v>2136637.931034483</v>
      </c>
      <c r="F251" s="140">
        <f t="shared" si="105"/>
        <v>4047758.6206896557</v>
      </c>
      <c r="G251" s="39">
        <f t="shared" si="105"/>
        <v>5950086.2068965519</v>
      </c>
      <c r="H251" s="39">
        <f t="shared" si="105"/>
        <v>6219568.9655172415</v>
      </c>
      <c r="I251" s="39">
        <f>I249+I250</f>
        <v>30422068.965517242</v>
      </c>
      <c r="J251" s="40">
        <f>J249+J250</f>
        <v>4346009.8522167485</v>
      </c>
    </row>
    <row r="252" spans="1:10" x14ac:dyDescent="0.25">
      <c r="A252" s="10" t="s">
        <v>33</v>
      </c>
      <c r="B252" s="41">
        <f t="shared" ref="B252:H252" si="106">B251*16%</f>
        <v>365365.5172413793</v>
      </c>
      <c r="C252" s="42">
        <f t="shared" si="106"/>
        <v>610413.79310344835</v>
      </c>
      <c r="D252" s="42">
        <f t="shared" si="106"/>
        <v>955103.44827586226</v>
      </c>
      <c r="E252" s="41">
        <f t="shared" si="106"/>
        <v>341862.06896551728</v>
      </c>
      <c r="F252" s="141">
        <f t="shared" si="106"/>
        <v>647641.37931034493</v>
      </c>
      <c r="G252" s="41">
        <f t="shared" si="106"/>
        <v>952013.79310344835</v>
      </c>
      <c r="H252" s="41">
        <f t="shared" si="106"/>
        <v>995131.03448275861</v>
      </c>
      <c r="I252" s="41">
        <f>I251*16%</f>
        <v>4867531.0344827585</v>
      </c>
      <c r="J252" s="42">
        <f>J251*16%</f>
        <v>695361.57635467977</v>
      </c>
    </row>
    <row r="253" spans="1:10" x14ac:dyDescent="0.25">
      <c r="A253" s="43" t="s">
        <v>34</v>
      </c>
      <c r="B253" s="315">
        <f t="shared" ref="B253:H253" si="107">B251+B252</f>
        <v>2648900</v>
      </c>
      <c r="C253" s="315">
        <f t="shared" si="107"/>
        <v>4425500</v>
      </c>
      <c r="D253" s="315">
        <f t="shared" si="107"/>
        <v>6924500.0000000009</v>
      </c>
      <c r="E253" s="178">
        <f t="shared" si="107"/>
        <v>2478500.0000000005</v>
      </c>
      <c r="F253" s="182">
        <f t="shared" si="107"/>
        <v>4695400.0000000009</v>
      </c>
      <c r="G253" s="178">
        <f t="shared" si="107"/>
        <v>6902100</v>
      </c>
      <c r="H253" s="178">
        <f t="shared" si="107"/>
        <v>7214700</v>
      </c>
      <c r="I253" s="178">
        <f>I251+I252</f>
        <v>35289600</v>
      </c>
      <c r="J253" s="315">
        <f>FLORESTA!$I253/7</f>
        <v>5041371.4285714282</v>
      </c>
    </row>
    <row r="257" spans="1:10" ht="12.75" customHeight="1" x14ac:dyDescent="0.25">
      <c r="A257" s="149"/>
      <c r="B257" s="1006" t="s">
        <v>106</v>
      </c>
      <c r="C257" s="1006"/>
      <c r="D257" s="1006"/>
      <c r="E257" s="1006"/>
      <c r="F257" s="1006"/>
      <c r="G257" s="1006"/>
      <c r="H257" s="1006"/>
      <c r="I257" s="1006"/>
    </row>
    <row r="258" spans="1:10" x14ac:dyDescent="0.25">
      <c r="A258" s="149"/>
      <c r="B258" s="1006"/>
      <c r="C258" s="1006"/>
      <c r="D258" s="1006"/>
      <c r="E258" s="1006"/>
      <c r="F258" s="1006"/>
      <c r="G258" s="1006"/>
      <c r="H258" s="1006"/>
      <c r="I258" s="1006"/>
    </row>
    <row r="259" spans="1:10" ht="15.75" x14ac:dyDescent="0.25">
      <c r="A259" s="72" t="s">
        <v>2</v>
      </c>
      <c r="B259" s="121" t="s">
        <v>70</v>
      </c>
      <c r="C259" s="51" t="s">
        <v>71</v>
      </c>
      <c r="D259" s="121" t="s">
        <v>72</v>
      </c>
      <c r="E259" s="51" t="s">
        <v>73</v>
      </c>
      <c r="F259" s="51" t="s">
        <v>74</v>
      </c>
      <c r="G259" s="121" t="s">
        <v>75</v>
      </c>
      <c r="H259" s="121" t="s">
        <v>76</v>
      </c>
      <c r="I259" s="51" t="s">
        <v>10</v>
      </c>
      <c r="J259" s="310" t="s">
        <v>77</v>
      </c>
    </row>
    <row r="260" spans="1:10" x14ac:dyDescent="0.25">
      <c r="A260" s="74" t="s">
        <v>11</v>
      </c>
      <c r="B260" s="55">
        <v>102</v>
      </c>
      <c r="C260" s="56">
        <v>132</v>
      </c>
      <c r="D260" s="54">
        <v>152</v>
      </c>
      <c r="E260" s="316">
        <v>106</v>
      </c>
      <c r="F260" s="311">
        <v>164</v>
      </c>
      <c r="G260" s="58">
        <v>284</v>
      </c>
      <c r="H260" s="57">
        <v>201</v>
      </c>
      <c r="I260" s="311">
        <f>SUM(B260:H260)</f>
        <v>1141</v>
      </c>
      <c r="J260" s="317">
        <f>FLORESTA!$I260/7</f>
        <v>163</v>
      </c>
    </row>
    <row r="261" spans="1:10" x14ac:dyDescent="0.25">
      <c r="A261" s="10" t="s">
        <v>12</v>
      </c>
      <c r="B261" s="11">
        <v>14</v>
      </c>
      <c r="C261" s="13">
        <v>27</v>
      </c>
      <c r="D261" s="320">
        <v>32</v>
      </c>
      <c r="E261" s="11">
        <v>16</v>
      </c>
      <c r="F261" s="125">
        <v>32</v>
      </c>
      <c r="G261" s="11">
        <v>62</v>
      </c>
      <c r="H261" s="11">
        <v>52</v>
      </c>
      <c r="I261" s="313">
        <f>B261+C261+D261+E261+F261+G261+H261</f>
        <v>235</v>
      </c>
      <c r="J261" s="318">
        <f>FLORESTA!$I261/7</f>
        <v>33.571428571428569</v>
      </c>
    </row>
    <row r="262" spans="1:10" x14ac:dyDescent="0.25">
      <c r="A262" s="10" t="s">
        <v>13</v>
      </c>
      <c r="B262" s="11">
        <v>0</v>
      </c>
      <c r="C262" s="13">
        <v>2</v>
      </c>
      <c r="D262" s="13">
        <v>0</v>
      </c>
      <c r="E262" s="11">
        <v>0</v>
      </c>
      <c r="F262" s="125">
        <v>2</v>
      </c>
      <c r="G262" s="11">
        <v>2</v>
      </c>
      <c r="H262" s="11">
        <v>2</v>
      </c>
      <c r="I262" s="313">
        <f>B262+C262+D262+E262+F262+G262+H262</f>
        <v>8</v>
      </c>
      <c r="J262" s="318">
        <f>C262+D262+E262+F262+G262+H262+I262</f>
        <v>16</v>
      </c>
    </row>
    <row r="263" spans="1:10" x14ac:dyDescent="0.25">
      <c r="A263" s="10" t="s">
        <v>14</v>
      </c>
      <c r="B263" s="11">
        <v>66</v>
      </c>
      <c r="C263" s="13">
        <v>75</v>
      </c>
      <c r="D263" s="13">
        <v>92</v>
      </c>
      <c r="E263" s="11">
        <v>77</v>
      </c>
      <c r="F263" s="125">
        <v>112</v>
      </c>
      <c r="G263" s="11">
        <v>162</v>
      </c>
      <c r="H263" s="11">
        <v>144</v>
      </c>
      <c r="I263" s="313">
        <f>B263+C263+D263+E263+F263+G263+H263</f>
        <v>728</v>
      </c>
      <c r="J263" s="318">
        <f>FLORESTA!$I263/7</f>
        <v>104</v>
      </c>
    </row>
    <row r="264" spans="1:10" x14ac:dyDescent="0.25">
      <c r="A264" s="10" t="s">
        <v>15</v>
      </c>
      <c r="B264" s="11">
        <v>1</v>
      </c>
      <c r="C264" s="13">
        <v>0</v>
      </c>
      <c r="D264" s="13">
        <v>0</v>
      </c>
      <c r="E264" s="11">
        <v>1</v>
      </c>
      <c r="F264" s="125">
        <v>2</v>
      </c>
      <c r="G264" s="11">
        <v>1</v>
      </c>
      <c r="H264" s="11">
        <v>0</v>
      </c>
      <c r="I264" s="313">
        <f>B264+C264+D264+E264+F264+G264+H264</f>
        <v>5</v>
      </c>
      <c r="J264" s="318">
        <f>FLORESTA!$I264/7</f>
        <v>0.7142857142857143</v>
      </c>
    </row>
    <row r="265" spans="1:10" x14ac:dyDescent="0.25">
      <c r="A265" s="10" t="s">
        <v>16</v>
      </c>
      <c r="B265" s="11">
        <v>0</v>
      </c>
      <c r="C265" s="13">
        <v>0</v>
      </c>
      <c r="D265" s="13">
        <v>0</v>
      </c>
      <c r="E265" s="11">
        <v>0</v>
      </c>
      <c r="F265" s="125">
        <v>5</v>
      </c>
      <c r="G265" s="11">
        <v>1</v>
      </c>
      <c r="H265" s="11">
        <v>2</v>
      </c>
      <c r="I265" s="313">
        <f>B265+C265+D265+E265+F265+G265+H265</f>
        <v>8</v>
      </c>
      <c r="J265" s="318">
        <f>FLORESTA!$I265/7</f>
        <v>1.1428571428571428</v>
      </c>
    </row>
    <row r="266" spans="1:10" x14ac:dyDescent="0.25">
      <c r="A266" s="15" t="s">
        <v>17</v>
      </c>
      <c r="B266" s="79">
        <f t="shared" ref="B266:I266" si="108">SUM(B261:B265)</f>
        <v>81</v>
      </c>
      <c r="C266" s="79">
        <f t="shared" si="108"/>
        <v>104</v>
      </c>
      <c r="D266" s="79">
        <f t="shared" si="108"/>
        <v>124</v>
      </c>
      <c r="E266" s="103">
        <f t="shared" si="108"/>
        <v>94</v>
      </c>
      <c r="F266" s="213">
        <f t="shared" si="108"/>
        <v>153</v>
      </c>
      <c r="G266" s="103">
        <f t="shared" si="108"/>
        <v>228</v>
      </c>
      <c r="H266" s="103">
        <f t="shared" si="108"/>
        <v>200</v>
      </c>
      <c r="I266" s="103">
        <f t="shared" si="108"/>
        <v>984</v>
      </c>
      <c r="J266" s="319">
        <f>FLORESTA!$I266/7</f>
        <v>140.57142857142858</v>
      </c>
    </row>
    <row r="267" spans="1:10" x14ac:dyDescent="0.25">
      <c r="A267" s="10" t="s">
        <v>18</v>
      </c>
      <c r="B267" s="18">
        <v>0.23</v>
      </c>
      <c r="C267" s="19">
        <v>0.35</v>
      </c>
      <c r="D267" s="19">
        <v>0.28000000000000003</v>
      </c>
      <c r="E267" s="18">
        <v>0.18</v>
      </c>
      <c r="F267" s="129">
        <v>0.24</v>
      </c>
      <c r="G267" s="18">
        <v>0.31</v>
      </c>
      <c r="H267" s="18">
        <v>0.25</v>
      </c>
      <c r="I267" s="18">
        <f>I274/I279</f>
        <v>0.26980087509453898</v>
      </c>
      <c r="J267" s="19">
        <f>J274/J279</f>
        <v>0.26980087509453904</v>
      </c>
    </row>
    <row r="268" spans="1:10" x14ac:dyDescent="0.25">
      <c r="A268" s="10" t="s">
        <v>19</v>
      </c>
      <c r="B268" s="18">
        <v>0</v>
      </c>
      <c r="C268" s="19">
        <v>0.02</v>
      </c>
      <c r="D268" s="19">
        <v>0</v>
      </c>
      <c r="E268" s="18">
        <v>0</v>
      </c>
      <c r="F268" s="129">
        <v>0.03</v>
      </c>
      <c r="G268" s="18">
        <v>0.01</v>
      </c>
      <c r="H268" s="18">
        <v>0.01</v>
      </c>
      <c r="I268" s="18">
        <f>I275/I279</f>
        <v>1.1043957491046367E-2</v>
      </c>
      <c r="J268" s="19">
        <f>J275/J279</f>
        <v>1.1043957491046367E-2</v>
      </c>
    </row>
    <row r="269" spans="1:10" x14ac:dyDescent="0.25">
      <c r="A269" s="10" t="s">
        <v>20</v>
      </c>
      <c r="B269" s="18">
        <v>0.76</v>
      </c>
      <c r="C269" s="19">
        <v>0.63</v>
      </c>
      <c r="D269" s="19">
        <v>0.72</v>
      </c>
      <c r="E269" s="18">
        <v>0.81</v>
      </c>
      <c r="F269" s="297">
        <v>0.7</v>
      </c>
      <c r="G269" s="18">
        <v>0.68</v>
      </c>
      <c r="H269" s="18">
        <v>0.74</v>
      </c>
      <c r="I269" s="18">
        <f>I276/I279</f>
        <v>0.71299202887658719</v>
      </c>
      <c r="J269" s="19">
        <f>J276/J279</f>
        <v>0.71299202887658719</v>
      </c>
    </row>
    <row r="270" spans="1:10" x14ac:dyDescent="0.25">
      <c r="A270" s="10" t="s">
        <v>21</v>
      </c>
      <c r="B270" s="18">
        <v>0.01</v>
      </c>
      <c r="C270" s="19">
        <v>0</v>
      </c>
      <c r="D270" s="19">
        <v>0</v>
      </c>
      <c r="E270" s="18">
        <v>0.01</v>
      </c>
      <c r="F270" s="297">
        <v>0.01</v>
      </c>
      <c r="G270" s="18">
        <v>0</v>
      </c>
      <c r="H270" s="18">
        <v>0</v>
      </c>
      <c r="I270" s="18">
        <f>I277/I279</f>
        <v>3.2481068913931578E-3</v>
      </c>
      <c r="J270" s="19">
        <f>J277/J279</f>
        <v>3.2481068913931578E-3</v>
      </c>
    </row>
    <row r="271" spans="1:10" x14ac:dyDescent="0.25">
      <c r="A271" s="10" t="s">
        <v>22</v>
      </c>
      <c r="B271" s="18">
        <v>0</v>
      </c>
      <c r="C271" s="19">
        <v>0</v>
      </c>
      <c r="D271" s="19">
        <v>0</v>
      </c>
      <c r="E271" s="18">
        <v>0</v>
      </c>
      <c r="F271" s="297">
        <v>0.02</v>
      </c>
      <c r="G271" s="18">
        <v>0</v>
      </c>
      <c r="H271" s="18">
        <v>0</v>
      </c>
      <c r="I271" s="18">
        <f>I278/I279</f>
        <v>2.9150316464343763E-3</v>
      </c>
      <c r="J271" s="19">
        <f>J278/J279</f>
        <v>2.9150316464343767E-3</v>
      </c>
    </row>
    <row r="272" spans="1:10" x14ac:dyDescent="0.25">
      <c r="A272" s="24" t="s">
        <v>23</v>
      </c>
      <c r="B272" s="130">
        <f t="shared" ref="B272:J272" si="109">B283/B266</f>
        <v>34260.493827160491</v>
      </c>
      <c r="C272" s="131">
        <f t="shared" si="109"/>
        <v>34270.192307692305</v>
      </c>
      <c r="D272" s="131">
        <f t="shared" si="109"/>
        <v>30969.354838709678</v>
      </c>
      <c r="E272" s="130">
        <f t="shared" si="109"/>
        <v>33664.893617021276</v>
      </c>
      <c r="F272" s="132">
        <f t="shared" si="109"/>
        <v>31723.529411764706</v>
      </c>
      <c r="G272" s="130">
        <f t="shared" si="109"/>
        <v>37764.035087719298</v>
      </c>
      <c r="H272" s="130">
        <f t="shared" si="109"/>
        <v>32660</v>
      </c>
      <c r="I272" s="314">
        <f t="shared" si="109"/>
        <v>33881.91056910569</v>
      </c>
      <c r="J272" s="132">
        <f t="shared" si="109"/>
        <v>33881.91056910569</v>
      </c>
    </row>
    <row r="273" spans="1:10" x14ac:dyDescent="0.25">
      <c r="A273" s="24" t="s">
        <v>24</v>
      </c>
      <c r="B273" s="130">
        <f t="shared" ref="B273:J273" si="110">B283/B260</f>
        <v>27206.862745098038</v>
      </c>
      <c r="C273" s="131">
        <f t="shared" si="110"/>
        <v>27000.757575757576</v>
      </c>
      <c r="D273" s="131">
        <f t="shared" si="110"/>
        <v>25264.473684210527</v>
      </c>
      <c r="E273" s="130">
        <f t="shared" si="110"/>
        <v>29853.773584905659</v>
      </c>
      <c r="F273" s="132">
        <f t="shared" si="110"/>
        <v>29595.731707317074</v>
      </c>
      <c r="G273" s="130">
        <f t="shared" si="110"/>
        <v>30317.605633802817</v>
      </c>
      <c r="H273" s="130">
        <f t="shared" si="110"/>
        <v>32497.512437810947</v>
      </c>
      <c r="I273" s="314">
        <f t="shared" si="110"/>
        <v>29219.807186678354</v>
      </c>
      <c r="J273" s="132">
        <f t="shared" si="110"/>
        <v>29219.807186678354</v>
      </c>
    </row>
    <row r="274" spans="1:10" x14ac:dyDescent="0.25">
      <c r="A274" s="10" t="s">
        <v>25</v>
      </c>
      <c r="B274" s="92">
        <f t="shared" ref="B274:H274" si="111">B279*B267</f>
        <v>543296.24482758623</v>
      </c>
      <c r="C274" s="133">
        <f t="shared" si="111"/>
        <v>1055010.25</v>
      </c>
      <c r="D274" s="133">
        <f t="shared" si="111"/>
        <v>907636.02758620703</v>
      </c>
      <c r="E274" s="92">
        <f t="shared" si="111"/>
        <v>484836.70344827586</v>
      </c>
      <c r="F274" s="134">
        <f t="shared" si="111"/>
        <v>987663.39310344832</v>
      </c>
      <c r="G274" s="92">
        <f t="shared" si="111"/>
        <v>2259582.624137931</v>
      </c>
      <c r="H274" s="92">
        <f t="shared" si="111"/>
        <v>1379743.6206896552</v>
      </c>
      <c r="I274" s="92">
        <f>FLORESTA!$B274+FLORESTA!$C274+FLORESTA!$D274+FLORESTA!$E274+FLORESTA!$F274+FLORESTA!$G274+FLORESTA!$H274</f>
        <v>7617768.863793103</v>
      </c>
      <c r="J274" s="133">
        <f>FLORESTA!$I274/7</f>
        <v>1088252.6948275862</v>
      </c>
    </row>
    <row r="275" spans="1:10" x14ac:dyDescent="0.25">
      <c r="A275" s="10" t="s">
        <v>26</v>
      </c>
      <c r="B275" s="92">
        <f t="shared" ref="B275:H275" si="112">B279*B268</f>
        <v>0</v>
      </c>
      <c r="C275" s="133">
        <f t="shared" si="112"/>
        <v>60286.3</v>
      </c>
      <c r="D275" s="133">
        <f t="shared" si="112"/>
        <v>0</v>
      </c>
      <c r="E275" s="92">
        <f t="shared" si="112"/>
        <v>0</v>
      </c>
      <c r="F275" s="134">
        <f t="shared" si="112"/>
        <v>123457.92413793104</v>
      </c>
      <c r="G275" s="92">
        <f t="shared" si="112"/>
        <v>72889.762068965516</v>
      </c>
      <c r="H275" s="92">
        <f t="shared" si="112"/>
        <v>55189.744827586212</v>
      </c>
      <c r="I275" s="92">
        <f>FLORESTA!$B275+FLORESTA!$C275+FLORESTA!$D275+FLORESTA!$E275+FLORESTA!$F275+FLORESTA!$G275+FLORESTA!$H275</f>
        <v>311823.73103448277</v>
      </c>
      <c r="J275" s="133">
        <f>FLORESTA!$I275/7</f>
        <v>44546.247290640393</v>
      </c>
    </row>
    <row r="276" spans="1:10" x14ac:dyDescent="0.25">
      <c r="A276" s="10" t="s">
        <v>27</v>
      </c>
      <c r="B276" s="92">
        <f t="shared" ref="B276:H276" si="113">B279*B269</f>
        <v>1795239.7655172416</v>
      </c>
      <c r="C276" s="133">
        <f t="shared" si="113"/>
        <v>1899018.45</v>
      </c>
      <c r="D276" s="133">
        <f t="shared" si="113"/>
        <v>2333921.2137931036</v>
      </c>
      <c r="E276" s="92">
        <f t="shared" si="113"/>
        <v>2181765.1655172417</v>
      </c>
      <c r="F276" s="134">
        <f t="shared" si="113"/>
        <v>2880684.8965517241</v>
      </c>
      <c r="G276" s="92">
        <f t="shared" si="113"/>
        <v>4956503.8206896558</v>
      </c>
      <c r="H276" s="92">
        <f t="shared" si="113"/>
        <v>4084041.1172413793</v>
      </c>
      <c r="I276" s="92">
        <f>FLORESTA!$B276+FLORESTA!$C276+FLORESTA!$D276+FLORESTA!$E276+FLORESTA!$F276+FLORESTA!$G276+FLORESTA!$H276</f>
        <v>20131174.429310348</v>
      </c>
      <c r="J276" s="133">
        <f>FLORESTA!$I276/7</f>
        <v>2875882.0613300498</v>
      </c>
    </row>
    <row r="277" spans="1:10" x14ac:dyDescent="0.25">
      <c r="A277" s="10" t="s">
        <v>28</v>
      </c>
      <c r="B277" s="92">
        <f t="shared" ref="B277:H277" si="114">B279*B270</f>
        <v>23621.575862068967</v>
      </c>
      <c r="C277" s="133">
        <f t="shared" si="114"/>
        <v>0</v>
      </c>
      <c r="D277" s="133">
        <f t="shared" si="114"/>
        <v>0</v>
      </c>
      <c r="E277" s="92">
        <f t="shared" si="114"/>
        <v>26935.372413793106</v>
      </c>
      <c r="F277" s="134">
        <f t="shared" si="114"/>
        <v>41152.641379310349</v>
      </c>
      <c r="G277" s="92">
        <f t="shared" si="114"/>
        <v>0</v>
      </c>
      <c r="H277" s="92">
        <f t="shared" si="114"/>
        <v>0</v>
      </c>
      <c r="I277" s="92">
        <f>FLORESTA!$B277+FLORESTA!$C277+FLORESTA!$D277+FLORESTA!$E277+FLORESTA!$F277+FLORESTA!$G277+FLORESTA!$H277</f>
        <v>91709.589655172429</v>
      </c>
      <c r="J277" s="133">
        <f>FLORESTA!$I277/7</f>
        <v>13101.369950738919</v>
      </c>
    </row>
    <row r="278" spans="1:10" x14ac:dyDescent="0.25">
      <c r="A278" s="10" t="s">
        <v>29</v>
      </c>
      <c r="B278" s="92">
        <f t="shared" ref="B278:H278" si="115">B279*B271</f>
        <v>0</v>
      </c>
      <c r="C278" s="133">
        <f t="shared" si="115"/>
        <v>0</v>
      </c>
      <c r="D278" s="133">
        <f t="shared" si="115"/>
        <v>0</v>
      </c>
      <c r="E278" s="92">
        <f t="shared" si="115"/>
        <v>0</v>
      </c>
      <c r="F278" s="134">
        <f t="shared" si="115"/>
        <v>82305.282758620699</v>
      </c>
      <c r="G278" s="92">
        <f t="shared" si="115"/>
        <v>0</v>
      </c>
      <c r="H278" s="92">
        <f t="shared" si="115"/>
        <v>0</v>
      </c>
      <c r="I278" s="92">
        <f>FLORESTA!$B278+FLORESTA!$C278+FLORESTA!$D278+FLORESTA!$E278+FLORESTA!$F278+FLORESTA!$G278+FLORESTA!$H278</f>
        <v>82305.282758620699</v>
      </c>
      <c r="J278" s="133">
        <f>FLORESTA!$I278/7</f>
        <v>11757.897536945815</v>
      </c>
    </row>
    <row r="279" spans="1:10" x14ac:dyDescent="0.25">
      <c r="A279" s="33" t="s">
        <v>30</v>
      </c>
      <c r="B279" s="91">
        <f>(2775100/1.16)-B280</f>
        <v>2362157.5862068967</v>
      </c>
      <c r="C279" s="136">
        <f>(3564100/1.16)-C280</f>
        <v>3014315</v>
      </c>
      <c r="D279" s="136">
        <f>(3840200/1.16)-D280</f>
        <v>3241557.2413793104</v>
      </c>
      <c r="E279" s="91">
        <f>(3164500/1.16)-E280</f>
        <v>2693537.2413793104</v>
      </c>
      <c r="F279" s="137">
        <f>(4853700/1.16)-F280</f>
        <v>4115264.1379310349</v>
      </c>
      <c r="G279" s="91">
        <f>(8610200/1.16)-G280</f>
        <v>7288976.2068965519</v>
      </c>
      <c r="H279" s="91">
        <f>(6532000/1.16)-H280</f>
        <v>5518974.4827586208</v>
      </c>
      <c r="I279" s="91">
        <f>SUM(I274:I278)</f>
        <v>28234781.896551725</v>
      </c>
      <c r="J279" s="136">
        <f>FLORESTA!$I279/7</f>
        <v>4033540.2709359606</v>
      </c>
    </row>
    <row r="280" spans="1:10" x14ac:dyDescent="0.25">
      <c r="A280" s="10" t="s">
        <v>31</v>
      </c>
      <c r="B280" s="94">
        <f t="shared" ref="B280:J280" si="116">2155*B261</f>
        <v>30170</v>
      </c>
      <c r="C280" s="139">
        <f t="shared" si="116"/>
        <v>58185</v>
      </c>
      <c r="D280" s="139">
        <f t="shared" si="116"/>
        <v>68960</v>
      </c>
      <c r="E280" s="94">
        <f t="shared" si="116"/>
        <v>34480</v>
      </c>
      <c r="F280" s="112">
        <f t="shared" si="116"/>
        <v>68960</v>
      </c>
      <c r="G280" s="94">
        <f t="shared" si="116"/>
        <v>133610</v>
      </c>
      <c r="H280" s="94">
        <f t="shared" si="116"/>
        <v>112060</v>
      </c>
      <c r="I280" s="94">
        <f t="shared" si="116"/>
        <v>506425</v>
      </c>
      <c r="J280" s="139">
        <f t="shared" si="116"/>
        <v>72346.428571428565</v>
      </c>
    </row>
    <row r="281" spans="1:10" x14ac:dyDescent="0.25">
      <c r="A281" s="37" t="s">
        <v>32</v>
      </c>
      <c r="B281" s="39">
        <f t="shared" ref="B281:H281" si="117">B279+B280</f>
        <v>2392327.5862068967</v>
      </c>
      <c r="C281" s="40">
        <f t="shared" si="117"/>
        <v>3072500</v>
      </c>
      <c r="D281" s="40">
        <f t="shared" si="117"/>
        <v>3310517.2413793104</v>
      </c>
      <c r="E281" s="39">
        <f t="shared" si="117"/>
        <v>2728017.2413793104</v>
      </c>
      <c r="F281" s="140">
        <f t="shared" si="117"/>
        <v>4184224.1379310349</v>
      </c>
      <c r="G281" s="39">
        <f t="shared" si="117"/>
        <v>7422586.2068965519</v>
      </c>
      <c r="H281" s="39">
        <f t="shared" si="117"/>
        <v>5631034.4827586208</v>
      </c>
      <c r="I281" s="39">
        <f>I279+I280</f>
        <v>28741206.896551725</v>
      </c>
      <c r="J281" s="40">
        <f>J279+J280</f>
        <v>4105886.6995073892</v>
      </c>
    </row>
    <row r="282" spans="1:10" x14ac:dyDescent="0.25">
      <c r="A282" s="10" t="s">
        <v>33</v>
      </c>
      <c r="B282" s="41">
        <f t="shared" ref="B282:H282" si="118">B281*16%</f>
        <v>382772.41379310348</v>
      </c>
      <c r="C282" s="42">
        <f t="shared" si="118"/>
        <v>491600</v>
      </c>
      <c r="D282" s="42">
        <f t="shared" si="118"/>
        <v>529682.75862068962</v>
      </c>
      <c r="E282" s="41">
        <f t="shared" si="118"/>
        <v>436482.75862068968</v>
      </c>
      <c r="F282" s="141">
        <f t="shared" si="118"/>
        <v>669475.86206896557</v>
      </c>
      <c r="G282" s="41">
        <f t="shared" si="118"/>
        <v>1187613.7931034483</v>
      </c>
      <c r="H282" s="41">
        <f t="shared" si="118"/>
        <v>900965.51724137936</v>
      </c>
      <c r="I282" s="41">
        <f>I281*16%</f>
        <v>4598593.1034482764</v>
      </c>
      <c r="J282" s="42">
        <f>J281*16%</f>
        <v>656941.87192118226</v>
      </c>
    </row>
    <row r="283" spans="1:10" x14ac:dyDescent="0.25">
      <c r="A283" s="43" t="s">
        <v>34</v>
      </c>
      <c r="B283" s="315">
        <f t="shared" ref="B283:H283" si="119">B281+B282</f>
        <v>2775100</v>
      </c>
      <c r="C283" s="315">
        <f t="shared" si="119"/>
        <v>3564100</v>
      </c>
      <c r="D283" s="315">
        <f t="shared" si="119"/>
        <v>3840200</v>
      </c>
      <c r="E283" s="178">
        <f t="shared" si="119"/>
        <v>3164500</v>
      </c>
      <c r="F283" s="182">
        <f t="shared" si="119"/>
        <v>4853700</v>
      </c>
      <c r="G283" s="178">
        <f t="shared" si="119"/>
        <v>8610200</v>
      </c>
      <c r="H283" s="178">
        <f t="shared" si="119"/>
        <v>6532000</v>
      </c>
      <c r="I283" s="178">
        <f>I281+I282</f>
        <v>33339800</v>
      </c>
      <c r="J283" s="315">
        <f>FLORESTA!$I283/7</f>
        <v>4762828.5714285718</v>
      </c>
    </row>
    <row r="286" spans="1:10" ht="12.75" customHeight="1" x14ac:dyDescent="0.25">
      <c r="A286" s="149"/>
      <c r="B286" s="1006" t="s">
        <v>114</v>
      </c>
      <c r="C286" s="1006"/>
      <c r="D286" s="1006"/>
      <c r="E286" s="1006"/>
      <c r="F286" s="1006"/>
      <c r="G286" s="1006"/>
      <c r="H286" s="1006"/>
      <c r="I286" s="1006"/>
    </row>
    <row r="287" spans="1:10" x14ac:dyDescent="0.25">
      <c r="A287" s="149"/>
      <c r="B287" s="1006"/>
      <c r="C287" s="1006"/>
      <c r="D287" s="1006"/>
      <c r="E287" s="1006"/>
      <c r="F287" s="1006"/>
      <c r="G287" s="1006"/>
      <c r="H287" s="1006"/>
      <c r="I287" s="1006"/>
    </row>
    <row r="288" spans="1:10" ht="15.75" x14ac:dyDescent="0.25">
      <c r="A288" s="72" t="s">
        <v>2</v>
      </c>
      <c r="B288" s="121" t="s">
        <v>81</v>
      </c>
      <c r="C288" s="51" t="s">
        <v>82</v>
      </c>
      <c r="D288" s="121" t="s">
        <v>83</v>
      </c>
      <c r="E288" s="51" t="s">
        <v>84</v>
      </c>
      <c r="F288" s="51" t="s">
        <v>85</v>
      </c>
      <c r="G288" s="121" t="s">
        <v>86</v>
      </c>
      <c r="H288" s="121" t="s">
        <v>87</v>
      </c>
      <c r="I288" s="51" t="s">
        <v>10</v>
      </c>
      <c r="J288" s="310" t="s">
        <v>77</v>
      </c>
    </row>
    <row r="289" spans="1:12" x14ac:dyDescent="0.25">
      <c r="A289" s="74" t="s">
        <v>11</v>
      </c>
      <c r="B289" s="55">
        <v>127</v>
      </c>
      <c r="C289" s="56">
        <v>132</v>
      </c>
      <c r="D289" s="54">
        <v>178</v>
      </c>
      <c r="E289" s="316">
        <v>136</v>
      </c>
      <c r="F289" s="311">
        <v>147</v>
      </c>
      <c r="G289" s="58">
        <v>111</v>
      </c>
      <c r="H289" s="57">
        <v>236</v>
      </c>
      <c r="I289" s="311">
        <f>SUM(B289:H289)</f>
        <v>1067</v>
      </c>
      <c r="J289" s="317">
        <f>FLORESTA!$I289/7</f>
        <v>152.42857142857142</v>
      </c>
      <c r="L289">
        <v>115</v>
      </c>
    </row>
    <row r="290" spans="1:12" x14ac:dyDescent="0.25">
      <c r="A290" s="10" t="s">
        <v>12</v>
      </c>
      <c r="B290" s="11">
        <v>30</v>
      </c>
      <c r="C290" s="13">
        <v>27</v>
      </c>
      <c r="D290" s="320">
        <v>38</v>
      </c>
      <c r="E290" s="11">
        <v>23</v>
      </c>
      <c r="F290" s="125">
        <v>22</v>
      </c>
      <c r="G290" s="11">
        <v>37</v>
      </c>
      <c r="H290" s="11">
        <v>46</v>
      </c>
      <c r="I290" s="313">
        <f>B290+C290+D290+E290+F290+G290+H290</f>
        <v>223</v>
      </c>
      <c r="J290" s="318">
        <f>FLORESTA!$I290/7</f>
        <v>31.857142857142858</v>
      </c>
      <c r="L290">
        <v>105</v>
      </c>
    </row>
    <row r="291" spans="1:12" x14ac:dyDescent="0.25">
      <c r="A291" s="10" t="s">
        <v>13</v>
      </c>
      <c r="B291" s="11">
        <v>0</v>
      </c>
      <c r="C291" s="13">
        <v>0</v>
      </c>
      <c r="D291" s="13">
        <v>0</v>
      </c>
      <c r="E291" s="11">
        <v>4</v>
      </c>
      <c r="F291" s="125">
        <v>2</v>
      </c>
      <c r="G291" s="11">
        <v>3</v>
      </c>
      <c r="H291" s="11">
        <v>2</v>
      </c>
      <c r="I291" s="313">
        <f>B291+C291+D291+E291+F291+G291+H291</f>
        <v>11</v>
      </c>
      <c r="J291" s="318">
        <f>C291+D291+E291+F291+G291+H291+I291</f>
        <v>22</v>
      </c>
      <c r="L291">
        <v>16</v>
      </c>
    </row>
    <row r="292" spans="1:12" x14ac:dyDescent="0.25">
      <c r="A292" s="10" t="s">
        <v>14</v>
      </c>
      <c r="B292" s="11">
        <v>79</v>
      </c>
      <c r="C292" s="13">
        <v>95</v>
      </c>
      <c r="D292" s="13">
        <v>107</v>
      </c>
      <c r="E292" s="11">
        <v>103</v>
      </c>
      <c r="F292" s="125">
        <v>87</v>
      </c>
      <c r="G292" s="11">
        <v>54</v>
      </c>
      <c r="H292" s="11">
        <v>154</v>
      </c>
      <c r="I292" s="313">
        <f>B292+C292+D292+E292+F292+G292+H292</f>
        <v>679</v>
      </c>
      <c r="J292" s="318">
        <f>FLORESTA!$I292/7</f>
        <v>97</v>
      </c>
      <c r="L292">
        <f>SUM(L289:L291)</f>
        <v>236</v>
      </c>
    </row>
    <row r="293" spans="1:12" x14ac:dyDescent="0.25">
      <c r="A293" s="10" t="s">
        <v>15</v>
      </c>
      <c r="B293" s="11">
        <v>0</v>
      </c>
      <c r="C293" s="13">
        <v>1</v>
      </c>
      <c r="D293" s="13">
        <v>1</v>
      </c>
      <c r="E293" s="11">
        <v>2</v>
      </c>
      <c r="F293" s="125">
        <v>1</v>
      </c>
      <c r="G293" s="11">
        <v>0</v>
      </c>
      <c r="H293" s="11">
        <v>0</v>
      </c>
      <c r="I293" s="313">
        <f>B293+C293+D293+E293+F293+G293+H293</f>
        <v>5</v>
      </c>
      <c r="J293" s="318">
        <f>FLORESTA!$I293/7</f>
        <v>0.7142857142857143</v>
      </c>
    </row>
    <row r="294" spans="1:12" x14ac:dyDescent="0.25">
      <c r="A294" s="10" t="s">
        <v>16</v>
      </c>
      <c r="B294" s="11">
        <v>0</v>
      </c>
      <c r="C294" s="13">
        <v>1</v>
      </c>
      <c r="D294" s="13">
        <v>0</v>
      </c>
      <c r="E294" s="11">
        <v>0</v>
      </c>
      <c r="F294" s="125">
        <v>0</v>
      </c>
      <c r="G294" s="11">
        <v>0</v>
      </c>
      <c r="H294" s="11">
        <v>0</v>
      </c>
      <c r="I294" s="313">
        <f>B294+C294+D294+E294+F294+G294+H294</f>
        <v>1</v>
      </c>
      <c r="J294" s="318">
        <f>FLORESTA!$I294/7</f>
        <v>0.14285714285714285</v>
      </c>
    </row>
    <row r="295" spans="1:12" x14ac:dyDescent="0.25">
      <c r="A295" s="15" t="s">
        <v>17</v>
      </c>
      <c r="B295" s="79">
        <f t="shared" ref="B295:I295" si="120">SUM(B290:B294)</f>
        <v>109</v>
      </c>
      <c r="C295" s="79">
        <f t="shared" si="120"/>
        <v>124</v>
      </c>
      <c r="D295" s="79">
        <f t="shared" si="120"/>
        <v>146</v>
      </c>
      <c r="E295" s="103">
        <f t="shared" si="120"/>
        <v>132</v>
      </c>
      <c r="F295" s="213">
        <f t="shared" si="120"/>
        <v>112</v>
      </c>
      <c r="G295" s="103">
        <f t="shared" si="120"/>
        <v>94</v>
      </c>
      <c r="H295" s="103">
        <f t="shared" si="120"/>
        <v>202</v>
      </c>
      <c r="I295" s="103">
        <f t="shared" si="120"/>
        <v>919</v>
      </c>
      <c r="J295" s="319">
        <f>FLORESTA!$I295/7</f>
        <v>131.28571428571428</v>
      </c>
    </row>
    <row r="296" spans="1:12" x14ac:dyDescent="0.25">
      <c r="A296" s="10" t="s">
        <v>18</v>
      </c>
      <c r="B296" s="18">
        <v>0.26</v>
      </c>
      <c r="C296" s="19">
        <v>0.25</v>
      </c>
      <c r="D296" s="19">
        <v>0.36</v>
      </c>
      <c r="E296" s="18">
        <v>0.22</v>
      </c>
      <c r="F296" s="129">
        <v>0.2</v>
      </c>
      <c r="G296" s="18">
        <v>0.4</v>
      </c>
      <c r="H296" s="18">
        <v>0.27</v>
      </c>
      <c r="I296" s="18">
        <f>I303/I308</f>
        <v>0.28053734491554638</v>
      </c>
      <c r="J296" s="19">
        <f>J303/J308</f>
        <v>0.28053734491554638</v>
      </c>
    </row>
    <row r="297" spans="1:12" x14ac:dyDescent="0.25">
      <c r="A297" s="10" t="s">
        <v>19</v>
      </c>
      <c r="B297" s="18">
        <v>0</v>
      </c>
      <c r="C297" s="19">
        <v>0</v>
      </c>
      <c r="D297" s="19">
        <v>0</v>
      </c>
      <c r="E297" s="18">
        <v>0.02</v>
      </c>
      <c r="F297" s="129">
        <v>0.02</v>
      </c>
      <c r="G297" s="18">
        <v>0.03</v>
      </c>
      <c r="H297" s="18">
        <v>0.01</v>
      </c>
      <c r="I297" s="18">
        <f>I304/I308</f>
        <v>1.0748891360655991E-2</v>
      </c>
      <c r="J297" s="19">
        <f>J304/J308</f>
        <v>1.0748891360655991E-2</v>
      </c>
    </row>
    <row r="298" spans="1:12" x14ac:dyDescent="0.25">
      <c r="A298" s="10" t="s">
        <v>20</v>
      </c>
      <c r="B298" s="18">
        <v>0.74</v>
      </c>
      <c r="C298" s="19">
        <v>0.71</v>
      </c>
      <c r="D298" s="19">
        <v>0.63</v>
      </c>
      <c r="E298" s="18">
        <v>0.74</v>
      </c>
      <c r="F298" s="297">
        <v>0.76</v>
      </c>
      <c r="G298" s="18">
        <v>0.56999999999999995</v>
      </c>
      <c r="H298" s="18">
        <v>0.72</v>
      </c>
      <c r="I298" s="18">
        <f>I305/I308</f>
        <v>0.6969529692485873</v>
      </c>
      <c r="J298" s="19">
        <f>J305/J308</f>
        <v>0.6969529692485873</v>
      </c>
    </row>
    <row r="299" spans="1:12" x14ac:dyDescent="0.25">
      <c r="A299" s="10" t="s">
        <v>21</v>
      </c>
      <c r="B299" s="18">
        <v>0</v>
      </c>
      <c r="C299" s="19">
        <v>0.01</v>
      </c>
      <c r="D299" s="19">
        <v>0.01</v>
      </c>
      <c r="E299" s="18">
        <v>0.02</v>
      </c>
      <c r="F299" s="297">
        <v>0.02</v>
      </c>
      <c r="G299" s="18">
        <v>0</v>
      </c>
      <c r="H299" s="18">
        <v>0</v>
      </c>
      <c r="I299" s="18">
        <f>I306/I308</f>
        <v>7.999623990477385E-3</v>
      </c>
      <c r="J299" s="19">
        <f>J306/J308</f>
        <v>7.999623990477385E-3</v>
      </c>
    </row>
    <row r="300" spans="1:12" x14ac:dyDescent="0.25">
      <c r="A300" s="10" t="s">
        <v>22</v>
      </c>
      <c r="B300" s="18">
        <v>0</v>
      </c>
      <c r="C300" s="19">
        <v>0.03</v>
      </c>
      <c r="D300" s="19">
        <v>0</v>
      </c>
      <c r="E300" s="18">
        <v>0</v>
      </c>
      <c r="F300" s="297">
        <v>0</v>
      </c>
      <c r="G300" s="18">
        <v>0</v>
      </c>
      <c r="H300" s="18">
        <v>0</v>
      </c>
      <c r="I300" s="18">
        <f>I307/I308</f>
        <v>3.7611704847328687E-3</v>
      </c>
      <c r="J300" s="19">
        <f>J307/J308</f>
        <v>3.7611704847328692E-3</v>
      </c>
    </row>
    <row r="301" spans="1:12" x14ac:dyDescent="0.25">
      <c r="A301" s="24" t="s">
        <v>23</v>
      </c>
      <c r="B301" s="130">
        <f t="shared" ref="B301:J301" si="121">B312/B295</f>
        <v>30902.752293577982</v>
      </c>
      <c r="C301" s="131">
        <f t="shared" si="121"/>
        <v>30786.290322580648</v>
      </c>
      <c r="D301" s="131">
        <f t="shared" si="121"/>
        <v>34617.808219178085</v>
      </c>
      <c r="E301" s="130">
        <f t="shared" si="121"/>
        <v>30079.545454545456</v>
      </c>
      <c r="F301" s="132">
        <f t="shared" si="121"/>
        <v>33492.857142857145</v>
      </c>
      <c r="G301" s="130">
        <f t="shared" si="121"/>
        <v>36268.085106382983</v>
      </c>
      <c r="H301" s="130">
        <f t="shared" si="121"/>
        <v>35135.64356435644</v>
      </c>
      <c r="I301" s="314">
        <f t="shared" si="121"/>
        <v>33153.862894450496</v>
      </c>
      <c r="J301" s="132">
        <f t="shared" si="121"/>
        <v>33153.862894450496</v>
      </c>
    </row>
    <row r="302" spans="1:12" x14ac:dyDescent="0.25">
      <c r="A302" s="24" t="s">
        <v>24</v>
      </c>
      <c r="B302" s="130">
        <f t="shared" ref="B302:J302" si="122">B312/B289</f>
        <v>26522.834645669293</v>
      </c>
      <c r="C302" s="131">
        <f t="shared" si="122"/>
        <v>28920.454545454548</v>
      </c>
      <c r="D302" s="131">
        <f t="shared" si="122"/>
        <v>28394.382022471909</v>
      </c>
      <c r="E302" s="130">
        <f t="shared" si="122"/>
        <v>29194.852941176472</v>
      </c>
      <c r="F302" s="132">
        <f t="shared" si="122"/>
        <v>25518.367346938776</v>
      </c>
      <c r="G302" s="130">
        <f t="shared" si="122"/>
        <v>30713.513513513517</v>
      </c>
      <c r="H302" s="130">
        <f t="shared" si="122"/>
        <v>30073.728813559326</v>
      </c>
      <c r="I302" s="314">
        <f t="shared" si="122"/>
        <v>28555.201499531398</v>
      </c>
      <c r="J302" s="132">
        <f t="shared" si="122"/>
        <v>28555.201499531402</v>
      </c>
    </row>
    <row r="303" spans="1:12" x14ac:dyDescent="0.25">
      <c r="A303" s="10" t="s">
        <v>25</v>
      </c>
      <c r="B303" s="92">
        <f t="shared" ref="B303:H303" si="123">B308*B296</f>
        <v>738177.20689655177</v>
      </c>
      <c r="C303" s="133">
        <f t="shared" si="123"/>
        <v>808190.81896551733</v>
      </c>
      <c r="D303" s="133">
        <f t="shared" si="123"/>
        <v>1539064.4275862069</v>
      </c>
      <c r="E303" s="92">
        <f t="shared" si="123"/>
        <v>742121.56206896552</v>
      </c>
      <c r="F303" s="134">
        <f t="shared" si="123"/>
        <v>637276.62068965519</v>
      </c>
      <c r="G303" s="92">
        <f t="shared" si="123"/>
        <v>1143692.2068965519</v>
      </c>
      <c r="H303" s="92">
        <f t="shared" si="123"/>
        <v>1625215.9344827589</v>
      </c>
      <c r="I303" s="92">
        <f>FLORESTA!$B303+FLORESTA!$C303+FLORESTA!$D303+FLORESTA!$E303+FLORESTA!$F303+FLORESTA!$G303+FLORESTA!$H303</f>
        <v>7233738.7775862077</v>
      </c>
      <c r="J303" s="133">
        <f>FLORESTA!$I303/7</f>
        <v>1033391.2539408868</v>
      </c>
    </row>
    <row r="304" spans="1:12" x14ac:dyDescent="0.25">
      <c r="A304" s="10" t="s">
        <v>26</v>
      </c>
      <c r="B304" s="92">
        <f t="shared" ref="B304:H304" si="124">B308*B297</f>
        <v>0</v>
      </c>
      <c r="C304" s="133">
        <f t="shared" si="124"/>
        <v>0</v>
      </c>
      <c r="D304" s="133">
        <f t="shared" si="124"/>
        <v>0</v>
      </c>
      <c r="E304" s="92">
        <f t="shared" si="124"/>
        <v>67465.596551724142</v>
      </c>
      <c r="F304" s="134">
        <f t="shared" si="124"/>
        <v>63727.662068965517</v>
      </c>
      <c r="G304" s="92">
        <f t="shared" si="124"/>
        <v>85776.915517241388</v>
      </c>
      <c r="H304" s="92">
        <f t="shared" si="124"/>
        <v>60193.1827586207</v>
      </c>
      <c r="I304" s="92">
        <f>FLORESTA!$B304+FLORESTA!$C304+FLORESTA!$D304+FLORESTA!$E304+FLORESTA!$F304+FLORESTA!$G304+FLORESTA!$H304</f>
        <v>277163.35689655173</v>
      </c>
      <c r="J304" s="133">
        <f>FLORESTA!$I304/7</f>
        <v>39594.765270935961</v>
      </c>
    </row>
    <row r="305" spans="1:10" x14ac:dyDescent="0.25">
      <c r="A305" s="10" t="s">
        <v>27</v>
      </c>
      <c r="B305" s="92">
        <f t="shared" ref="B305:H305" si="125">B308*B298</f>
        <v>2100965.8965517241</v>
      </c>
      <c r="C305" s="133">
        <f t="shared" si="125"/>
        <v>2295261.9258620692</v>
      </c>
      <c r="D305" s="133">
        <f t="shared" si="125"/>
        <v>2693362.7482758621</v>
      </c>
      <c r="E305" s="92">
        <f t="shared" si="125"/>
        <v>2496227.0724137933</v>
      </c>
      <c r="F305" s="134">
        <f t="shared" si="125"/>
        <v>2421651.1586206895</v>
      </c>
      <c r="G305" s="92">
        <f t="shared" si="125"/>
        <v>1629761.3948275864</v>
      </c>
      <c r="H305" s="92">
        <f t="shared" si="125"/>
        <v>4333909.15862069</v>
      </c>
      <c r="I305" s="92">
        <f>FLORESTA!$B305+FLORESTA!$C305+FLORESTA!$D305+FLORESTA!$E305+FLORESTA!$F305+FLORESTA!$G305+FLORESTA!$H305</f>
        <v>17971139.355172414</v>
      </c>
      <c r="J305" s="133">
        <f>FLORESTA!$I305/7</f>
        <v>2567305.6221674876</v>
      </c>
    </row>
    <row r="306" spans="1:10" x14ac:dyDescent="0.25">
      <c r="A306" s="10" t="s">
        <v>28</v>
      </c>
      <c r="B306" s="92">
        <f t="shared" ref="B306:H306" si="126">B308*B299</f>
        <v>0</v>
      </c>
      <c r="C306" s="133">
        <f t="shared" si="126"/>
        <v>32327.632758620693</v>
      </c>
      <c r="D306" s="133">
        <f t="shared" si="126"/>
        <v>42751.789655172419</v>
      </c>
      <c r="E306" s="92">
        <f t="shared" si="126"/>
        <v>67465.596551724142</v>
      </c>
      <c r="F306" s="134">
        <f t="shared" si="126"/>
        <v>63727.662068965517</v>
      </c>
      <c r="G306" s="92">
        <f t="shared" si="126"/>
        <v>0</v>
      </c>
      <c r="H306" s="92">
        <f t="shared" si="126"/>
        <v>0</v>
      </c>
      <c r="I306" s="92">
        <f>FLORESTA!$B306+FLORESTA!$C306+FLORESTA!$D306+FLORESTA!$E306+FLORESTA!$F306+FLORESTA!$G306+FLORESTA!$H306</f>
        <v>206272.68103448278</v>
      </c>
      <c r="J306" s="133">
        <f>FLORESTA!$I306/7</f>
        <v>29467.525862068967</v>
      </c>
    </row>
    <row r="307" spans="1:10" x14ac:dyDescent="0.25">
      <c r="A307" s="10" t="s">
        <v>29</v>
      </c>
      <c r="B307" s="92">
        <f t="shared" ref="B307:H307" si="127">B308*B300</f>
        <v>0</v>
      </c>
      <c r="C307" s="133">
        <f t="shared" si="127"/>
        <v>96982.89827586207</v>
      </c>
      <c r="D307" s="133">
        <f t="shared" si="127"/>
        <v>0</v>
      </c>
      <c r="E307" s="92">
        <f t="shared" si="127"/>
        <v>0</v>
      </c>
      <c r="F307" s="134">
        <f t="shared" si="127"/>
        <v>0</v>
      </c>
      <c r="G307" s="92">
        <f t="shared" si="127"/>
        <v>0</v>
      </c>
      <c r="H307" s="92">
        <f t="shared" si="127"/>
        <v>0</v>
      </c>
      <c r="I307" s="92">
        <f>FLORESTA!$B307+FLORESTA!$C307+FLORESTA!$D307+FLORESTA!$E307+FLORESTA!$F307+FLORESTA!$G307+FLORESTA!$H307</f>
        <v>96982.89827586207</v>
      </c>
      <c r="J307" s="133">
        <f>FLORESTA!$I307/7</f>
        <v>13854.699753694582</v>
      </c>
    </row>
    <row r="308" spans="1:10" x14ac:dyDescent="0.25">
      <c r="A308" s="33" t="s">
        <v>30</v>
      </c>
      <c r="B308" s="91">
        <f>(3368400/1.16)-B309</f>
        <v>2839143.1034482759</v>
      </c>
      <c r="C308" s="136">
        <f>(3817500/1.16)-C309</f>
        <v>3232763.2758620693</v>
      </c>
      <c r="D308" s="136">
        <f>(5054200/1.16)-D309</f>
        <v>4275178.9655172415</v>
      </c>
      <c r="E308" s="91">
        <f>(3970500/1.16)-E309</f>
        <v>3373279.8275862071</v>
      </c>
      <c r="F308" s="137">
        <f>(3751200/1.16)-F309</f>
        <v>3186383.1034482759</v>
      </c>
      <c r="G308" s="91">
        <f>(3409200/1.16)-G309</f>
        <v>2859230.5172413797</v>
      </c>
      <c r="H308" s="91">
        <f>(7097400/1.16)-H309</f>
        <v>6019318.2758620698</v>
      </c>
      <c r="I308" s="91">
        <f>SUM(I303:I307)</f>
        <v>25785297.068965521</v>
      </c>
      <c r="J308" s="136">
        <f>FLORESTA!$I308/7</f>
        <v>3683613.8669950743</v>
      </c>
    </row>
    <row r="309" spans="1:10" x14ac:dyDescent="0.25">
      <c r="A309" s="10" t="s">
        <v>31</v>
      </c>
      <c r="B309" s="94">
        <f t="shared" ref="B309:J309" si="128">2155*B290</f>
        <v>64650</v>
      </c>
      <c r="C309" s="139">
        <f t="shared" si="128"/>
        <v>58185</v>
      </c>
      <c r="D309" s="139">
        <f t="shared" si="128"/>
        <v>81890</v>
      </c>
      <c r="E309" s="94">
        <f t="shared" si="128"/>
        <v>49565</v>
      </c>
      <c r="F309" s="112">
        <f t="shared" si="128"/>
        <v>47410</v>
      </c>
      <c r="G309" s="94">
        <f>2155*G290</f>
        <v>79735</v>
      </c>
      <c r="H309" s="94">
        <f t="shared" si="128"/>
        <v>99130</v>
      </c>
      <c r="I309" s="94">
        <f t="shared" si="128"/>
        <v>480565</v>
      </c>
      <c r="J309" s="139">
        <f t="shared" si="128"/>
        <v>68652.142857142855</v>
      </c>
    </row>
    <row r="310" spans="1:10" x14ac:dyDescent="0.25">
      <c r="A310" s="37" t="s">
        <v>32</v>
      </c>
      <c r="B310" s="39">
        <f t="shared" ref="B310:H310" si="129">B308+B309</f>
        <v>2903793.1034482759</v>
      </c>
      <c r="C310" s="40">
        <f t="shared" si="129"/>
        <v>3290948.2758620693</v>
      </c>
      <c r="D310" s="40">
        <f t="shared" si="129"/>
        <v>4357068.9655172415</v>
      </c>
      <c r="E310" s="39">
        <f t="shared" si="129"/>
        <v>3422844.8275862071</v>
      </c>
      <c r="F310" s="140">
        <f t="shared" si="129"/>
        <v>3233793.1034482759</v>
      </c>
      <c r="G310" s="39">
        <f t="shared" si="129"/>
        <v>2938965.5172413797</v>
      </c>
      <c r="H310" s="39">
        <f t="shared" si="129"/>
        <v>6118448.2758620698</v>
      </c>
      <c r="I310" s="39">
        <f>I308+I309</f>
        <v>26265862.068965521</v>
      </c>
      <c r="J310" s="40">
        <f>J308+J309</f>
        <v>3752266.009852217</v>
      </c>
    </row>
    <row r="311" spans="1:10" x14ac:dyDescent="0.25">
      <c r="A311" s="10" t="s">
        <v>33</v>
      </c>
      <c r="B311" s="41">
        <f t="shared" ref="B311:H311" si="130">B310*16%</f>
        <v>464606.89655172417</v>
      </c>
      <c r="C311" s="42">
        <f t="shared" si="130"/>
        <v>526551.72413793113</v>
      </c>
      <c r="D311" s="42">
        <f t="shared" si="130"/>
        <v>697131.03448275861</v>
      </c>
      <c r="E311" s="41">
        <f t="shared" si="130"/>
        <v>547655.17241379316</v>
      </c>
      <c r="F311" s="141">
        <f t="shared" si="130"/>
        <v>517406.89655172417</v>
      </c>
      <c r="G311" s="41">
        <f t="shared" si="130"/>
        <v>470234.48275862075</v>
      </c>
      <c r="H311" s="41">
        <f t="shared" si="130"/>
        <v>978951.72413793113</v>
      </c>
      <c r="I311" s="41">
        <f>I310*16%</f>
        <v>4202537.931034483</v>
      </c>
      <c r="J311" s="42">
        <f>J310*16%</f>
        <v>600362.56157635478</v>
      </c>
    </row>
    <row r="312" spans="1:10" x14ac:dyDescent="0.25">
      <c r="A312" s="43" t="s">
        <v>34</v>
      </c>
      <c r="B312" s="315">
        <f t="shared" ref="B312:H312" si="131">B310+B311</f>
        <v>3368400</v>
      </c>
      <c r="C312" s="315">
        <f t="shared" si="131"/>
        <v>3817500.0000000005</v>
      </c>
      <c r="D312" s="315">
        <f t="shared" si="131"/>
        <v>5054200</v>
      </c>
      <c r="E312" s="178">
        <f t="shared" si="131"/>
        <v>3970500</v>
      </c>
      <c r="F312" s="182">
        <f t="shared" si="131"/>
        <v>3751200</v>
      </c>
      <c r="G312" s="178">
        <f t="shared" si="131"/>
        <v>3409200.0000000005</v>
      </c>
      <c r="H312" s="178">
        <f t="shared" si="131"/>
        <v>7097400.0000000009</v>
      </c>
      <c r="I312" s="178">
        <f>I310+I311</f>
        <v>30468400.000000004</v>
      </c>
      <c r="J312" s="315">
        <f>FLORESTA!$I312/7</f>
        <v>4352628.5714285718</v>
      </c>
    </row>
    <row r="315" spans="1:10" ht="12.75" customHeight="1" x14ac:dyDescent="0.25">
      <c r="A315" s="149"/>
      <c r="B315" s="1006" t="s">
        <v>122</v>
      </c>
      <c r="C315" s="1006"/>
      <c r="D315" s="1006"/>
      <c r="E315" s="1006"/>
      <c r="F315" s="1006"/>
      <c r="G315" s="1006"/>
      <c r="H315" s="1006"/>
      <c r="I315" s="1006"/>
    </row>
    <row r="316" spans="1:10" x14ac:dyDescent="0.25">
      <c r="A316" s="149"/>
      <c r="B316" s="1006"/>
      <c r="C316" s="1006"/>
      <c r="D316" s="1006"/>
      <c r="E316" s="1006"/>
      <c r="F316" s="1006"/>
      <c r="G316" s="1006"/>
      <c r="H316" s="1006"/>
      <c r="I316" s="1006"/>
    </row>
    <row r="317" spans="1:10" ht="15.75" x14ac:dyDescent="0.25">
      <c r="A317" s="72" t="s">
        <v>2</v>
      </c>
      <c r="B317" s="121" t="s">
        <v>89</v>
      </c>
      <c r="C317" s="51" t="s">
        <v>90</v>
      </c>
      <c r="D317" s="121" t="s">
        <v>172</v>
      </c>
      <c r="E317" s="51" t="s">
        <v>92</v>
      </c>
      <c r="F317" s="51" t="s">
        <v>173</v>
      </c>
      <c r="G317" s="121" t="s">
        <v>174</v>
      </c>
      <c r="H317" s="121" t="s">
        <v>175</v>
      </c>
      <c r="I317" s="51" t="s">
        <v>10</v>
      </c>
      <c r="J317" s="310" t="s">
        <v>77</v>
      </c>
    </row>
    <row r="318" spans="1:10" x14ac:dyDescent="0.25">
      <c r="A318" s="74" t="s">
        <v>11</v>
      </c>
      <c r="B318" s="55">
        <v>164</v>
      </c>
      <c r="C318" s="56">
        <v>165</v>
      </c>
      <c r="D318" s="54">
        <v>129</v>
      </c>
      <c r="E318" s="316">
        <v>192</v>
      </c>
      <c r="F318" s="311">
        <v>111</v>
      </c>
      <c r="G318" s="58">
        <v>62</v>
      </c>
      <c r="H318" s="57">
        <v>214</v>
      </c>
      <c r="I318" s="311">
        <f>SUM(B318:H318)</f>
        <v>1037</v>
      </c>
      <c r="J318" s="317">
        <f>FLORESTA!$I318/7</f>
        <v>148.14285714285714</v>
      </c>
    </row>
    <row r="319" spans="1:10" x14ac:dyDescent="0.25">
      <c r="A319" s="10" t="s">
        <v>12</v>
      </c>
      <c r="B319" s="11">
        <v>33</v>
      </c>
      <c r="C319" s="13">
        <v>37</v>
      </c>
      <c r="D319" s="320">
        <v>24</v>
      </c>
      <c r="E319" s="11">
        <v>26</v>
      </c>
      <c r="F319" s="125">
        <v>15</v>
      </c>
      <c r="G319" s="11">
        <v>14</v>
      </c>
      <c r="H319" s="11">
        <v>38</v>
      </c>
      <c r="I319" s="313">
        <f>B319+C319+D319+E319+F319+G319+H319</f>
        <v>187</v>
      </c>
      <c r="J319" s="318">
        <f>FLORESTA!$I319/7</f>
        <v>26.714285714285715</v>
      </c>
    </row>
    <row r="320" spans="1:10" x14ac:dyDescent="0.25">
      <c r="A320" s="10" t="s">
        <v>13</v>
      </c>
      <c r="B320" s="11">
        <v>0</v>
      </c>
      <c r="C320" s="13">
        <v>0</v>
      </c>
      <c r="D320" s="13">
        <v>1</v>
      </c>
      <c r="E320" s="11">
        <v>3</v>
      </c>
      <c r="F320" s="125">
        <v>0</v>
      </c>
      <c r="G320" s="11">
        <v>0</v>
      </c>
      <c r="H320" s="11">
        <v>3</v>
      </c>
      <c r="I320" s="313">
        <f>B320+C320+D320+E320+F320+G320+H320</f>
        <v>7</v>
      </c>
      <c r="J320" s="318">
        <f>C320+D320+E320+F320+G320+H320+I320</f>
        <v>14</v>
      </c>
    </row>
    <row r="321" spans="1:10" x14ac:dyDescent="0.25">
      <c r="A321" s="10" t="s">
        <v>14</v>
      </c>
      <c r="B321" s="11">
        <v>115</v>
      </c>
      <c r="C321" s="13">
        <v>115</v>
      </c>
      <c r="D321" s="13">
        <v>110</v>
      </c>
      <c r="E321" s="11">
        <v>146</v>
      </c>
      <c r="F321" s="125">
        <v>74</v>
      </c>
      <c r="G321" s="11">
        <v>41</v>
      </c>
      <c r="H321" s="11">
        <v>134</v>
      </c>
      <c r="I321" s="313">
        <f>B321+C321+D321+E321+F321+G321+H321</f>
        <v>735</v>
      </c>
      <c r="J321" s="318">
        <f>FLORESTA!$I321/7</f>
        <v>105</v>
      </c>
    </row>
    <row r="322" spans="1:10" x14ac:dyDescent="0.25">
      <c r="A322" s="10" t="s">
        <v>15</v>
      </c>
      <c r="B322" s="11">
        <v>0</v>
      </c>
      <c r="C322" s="13">
        <v>0</v>
      </c>
      <c r="D322" s="13">
        <v>0</v>
      </c>
      <c r="E322" s="11">
        <v>0</v>
      </c>
      <c r="F322" s="125">
        <v>0</v>
      </c>
      <c r="G322" s="11">
        <v>0</v>
      </c>
      <c r="H322" s="11">
        <v>0</v>
      </c>
      <c r="I322" s="313">
        <f>B322+C322+D322+E322+F322+G322+H322</f>
        <v>0</v>
      </c>
      <c r="J322" s="318">
        <f>FLORESTA!$I322/7</f>
        <v>0</v>
      </c>
    </row>
    <row r="323" spans="1:10" x14ac:dyDescent="0.25">
      <c r="A323" s="10" t="s">
        <v>16</v>
      </c>
      <c r="B323" s="11">
        <v>0</v>
      </c>
      <c r="C323" s="13">
        <v>0</v>
      </c>
      <c r="D323" s="13">
        <v>0</v>
      </c>
      <c r="E323" s="11">
        <v>0</v>
      </c>
      <c r="F323" s="125">
        <v>0</v>
      </c>
      <c r="G323" s="11">
        <v>0</v>
      </c>
      <c r="H323" s="11">
        <v>0</v>
      </c>
      <c r="I323" s="313">
        <f>B323+C323+D323+E323+F323+G323+H323</f>
        <v>0</v>
      </c>
      <c r="J323" s="318">
        <f>FLORESTA!$I323/7</f>
        <v>0</v>
      </c>
    </row>
    <row r="324" spans="1:10" x14ac:dyDescent="0.25">
      <c r="A324" s="15" t="s">
        <v>17</v>
      </c>
      <c r="B324" s="79">
        <f t="shared" ref="B324:I324" si="132">SUM(B319:B323)</f>
        <v>148</v>
      </c>
      <c r="C324" s="79">
        <f t="shared" si="132"/>
        <v>152</v>
      </c>
      <c r="D324" s="79">
        <f t="shared" si="132"/>
        <v>135</v>
      </c>
      <c r="E324" s="103">
        <f t="shared" si="132"/>
        <v>175</v>
      </c>
      <c r="F324" s="213">
        <f t="shared" si="132"/>
        <v>89</v>
      </c>
      <c r="G324" s="103">
        <f t="shared" si="132"/>
        <v>55</v>
      </c>
      <c r="H324" s="103">
        <f t="shared" si="132"/>
        <v>175</v>
      </c>
      <c r="I324" s="103">
        <f t="shared" si="132"/>
        <v>929</v>
      </c>
      <c r="J324" s="319">
        <f>FLORESTA!$I324/7</f>
        <v>132.71428571428572</v>
      </c>
    </row>
    <row r="325" spans="1:10" x14ac:dyDescent="0.25">
      <c r="A325" s="10" t="s">
        <v>18</v>
      </c>
      <c r="B325" s="18">
        <v>0.22</v>
      </c>
      <c r="C325" s="19">
        <v>0.3</v>
      </c>
      <c r="D325" s="19">
        <v>0.17</v>
      </c>
      <c r="E325" s="18">
        <v>0.18</v>
      </c>
      <c r="F325" s="129">
        <v>0.18</v>
      </c>
      <c r="G325" s="18">
        <v>0.27</v>
      </c>
      <c r="H325" s="18">
        <v>0.23</v>
      </c>
      <c r="I325" s="18">
        <f>I332/I337</f>
        <v>0.2193693821437116</v>
      </c>
      <c r="J325" s="19">
        <f>J332/J337</f>
        <v>0.2193693821437116</v>
      </c>
    </row>
    <row r="326" spans="1:10" x14ac:dyDescent="0.25">
      <c r="A326" s="10" t="s">
        <v>19</v>
      </c>
      <c r="B326" s="18">
        <v>0</v>
      </c>
      <c r="C326" s="19">
        <v>0</v>
      </c>
      <c r="D326" s="19">
        <v>0.02</v>
      </c>
      <c r="E326" s="18">
        <v>0.03</v>
      </c>
      <c r="F326" s="129">
        <v>0</v>
      </c>
      <c r="G326" s="18">
        <v>0</v>
      </c>
      <c r="H326" s="18">
        <v>0.02</v>
      </c>
      <c r="I326" s="18">
        <f>I333/I337</f>
        <v>1.2236082234826553E-2</v>
      </c>
      <c r="J326" s="19">
        <f>J333/J337</f>
        <v>1.2236082234826553E-2</v>
      </c>
    </row>
    <row r="327" spans="1:10" x14ac:dyDescent="0.25">
      <c r="A327" s="10" t="s">
        <v>20</v>
      </c>
      <c r="B327" s="18">
        <v>0.78</v>
      </c>
      <c r="C327" s="19">
        <v>0.7</v>
      </c>
      <c r="D327" s="19">
        <v>0.81</v>
      </c>
      <c r="E327" s="18">
        <v>0.79</v>
      </c>
      <c r="F327" s="297">
        <v>0.82</v>
      </c>
      <c r="G327" s="18">
        <v>0.73</v>
      </c>
      <c r="H327" s="18">
        <v>0.75</v>
      </c>
      <c r="I327" s="18">
        <f>I334/I337</f>
        <v>0.76839453562146187</v>
      </c>
      <c r="J327" s="19">
        <f>J334/J337</f>
        <v>0.76839453562146187</v>
      </c>
    </row>
    <row r="328" spans="1:10" x14ac:dyDescent="0.25">
      <c r="A328" s="10" t="s">
        <v>21</v>
      </c>
      <c r="B328" s="18">
        <v>0</v>
      </c>
      <c r="C328" s="19">
        <v>0</v>
      </c>
      <c r="D328" s="19">
        <v>0</v>
      </c>
      <c r="E328" s="18">
        <v>0</v>
      </c>
      <c r="F328" s="297">
        <v>0</v>
      </c>
      <c r="G328" s="18">
        <v>0</v>
      </c>
      <c r="H328" s="18">
        <v>0</v>
      </c>
      <c r="I328" s="18">
        <f>I335/I337</f>
        <v>0</v>
      </c>
      <c r="J328" s="19">
        <f>J335/J337</f>
        <v>0</v>
      </c>
    </row>
    <row r="329" spans="1:10" x14ac:dyDescent="0.25">
      <c r="A329" s="10" t="s">
        <v>22</v>
      </c>
      <c r="B329" s="18">
        <v>0</v>
      </c>
      <c r="C329" s="19">
        <v>0</v>
      </c>
      <c r="D329" s="19">
        <v>0</v>
      </c>
      <c r="E329" s="18">
        <v>0</v>
      </c>
      <c r="F329" s="297">
        <v>0</v>
      </c>
      <c r="G329" s="18">
        <v>0</v>
      </c>
      <c r="H329" s="18">
        <v>0</v>
      </c>
      <c r="I329" s="18">
        <f>I336/I337</f>
        <v>0</v>
      </c>
      <c r="J329" s="19">
        <f>J336/J337</f>
        <v>0</v>
      </c>
    </row>
    <row r="330" spans="1:10" x14ac:dyDescent="0.25">
      <c r="A330" s="24" t="s">
        <v>23</v>
      </c>
      <c r="B330" s="130">
        <f t="shared" ref="B330:J330" si="133">B341/B324</f>
        <v>31690.54054054054</v>
      </c>
      <c r="C330" s="131">
        <f t="shared" si="133"/>
        <v>30762.5</v>
      </c>
      <c r="D330" s="131">
        <f t="shared" si="133"/>
        <v>29494.814814814814</v>
      </c>
      <c r="E330" s="130">
        <f t="shared" si="133"/>
        <v>31525.142857142859</v>
      </c>
      <c r="F330" s="132">
        <f t="shared" si="133"/>
        <v>36355.056179775282</v>
      </c>
      <c r="G330" s="130">
        <f t="shared" si="133"/>
        <v>35287.272727272728</v>
      </c>
      <c r="H330" s="130">
        <f t="shared" si="133"/>
        <v>35590.857142857145</v>
      </c>
      <c r="I330" s="314">
        <f t="shared" si="133"/>
        <v>32582.992465016145</v>
      </c>
      <c r="J330" s="132">
        <f t="shared" si="133"/>
        <v>32582.992465016148</v>
      </c>
    </row>
    <row r="331" spans="1:10" x14ac:dyDescent="0.25">
      <c r="A331" s="24" t="s">
        <v>24</v>
      </c>
      <c r="B331" s="130">
        <f t="shared" ref="B331:J331" si="134">B341/B318</f>
        <v>28598.780487804877</v>
      </c>
      <c r="C331" s="131">
        <f t="shared" si="134"/>
        <v>28338.78787878788</v>
      </c>
      <c r="D331" s="131">
        <f t="shared" si="134"/>
        <v>30866.666666666668</v>
      </c>
      <c r="E331" s="130">
        <f t="shared" si="134"/>
        <v>28733.854166666668</v>
      </c>
      <c r="F331" s="132">
        <f t="shared" si="134"/>
        <v>29149.549549549549</v>
      </c>
      <c r="G331" s="130">
        <f t="shared" si="134"/>
        <v>31303.225806451617</v>
      </c>
      <c r="H331" s="130">
        <f t="shared" si="134"/>
        <v>29104.672897196266</v>
      </c>
      <c r="I331" s="314">
        <f t="shared" si="134"/>
        <v>29189.585342333656</v>
      </c>
      <c r="J331" s="132">
        <f t="shared" si="134"/>
        <v>29189.585342333659</v>
      </c>
    </row>
    <row r="332" spans="1:10" x14ac:dyDescent="0.25">
      <c r="A332" s="10" t="s">
        <v>25</v>
      </c>
      <c r="B332" s="92">
        <f t="shared" ref="B332:H332" si="135">B337*B325</f>
        <v>873875.38965517248</v>
      </c>
      <c r="C332" s="133">
        <f t="shared" si="135"/>
        <v>1185363.9827586208</v>
      </c>
      <c r="D332" s="133">
        <f t="shared" si="135"/>
        <v>574747.25517241389</v>
      </c>
      <c r="E332" s="92">
        <f t="shared" si="135"/>
        <v>845985.28965517238</v>
      </c>
      <c r="F332" s="134">
        <f t="shared" si="135"/>
        <v>496257.36206896551</v>
      </c>
      <c r="G332" s="92">
        <f t="shared" si="135"/>
        <v>443592.03103448282</v>
      </c>
      <c r="H332" s="92">
        <f t="shared" si="135"/>
        <v>1216106.6793103451</v>
      </c>
      <c r="I332" s="92">
        <f>FLORESTA!$B332+FLORESTA!$C332+FLORESTA!$D332+FLORESTA!$E332+FLORESTA!$F332+FLORESTA!$G332+FLORESTA!$H332</f>
        <v>5635927.9896551725</v>
      </c>
      <c r="J332" s="133">
        <f>FLORESTA!$I332/7</f>
        <v>805132.56995073892</v>
      </c>
    </row>
    <row r="333" spans="1:10" x14ac:dyDescent="0.25">
      <c r="A333" s="10" t="s">
        <v>26</v>
      </c>
      <c r="B333" s="92">
        <f t="shared" ref="B333:H333" si="136">B337*B326</f>
        <v>0</v>
      </c>
      <c r="C333" s="133">
        <f t="shared" si="136"/>
        <v>0</v>
      </c>
      <c r="D333" s="133">
        <f t="shared" si="136"/>
        <v>67617.324137931035</v>
      </c>
      <c r="E333" s="92">
        <f t="shared" si="136"/>
        <v>140997.54827586206</v>
      </c>
      <c r="F333" s="134">
        <f t="shared" si="136"/>
        <v>0</v>
      </c>
      <c r="G333" s="92">
        <f t="shared" si="136"/>
        <v>0</v>
      </c>
      <c r="H333" s="92">
        <f t="shared" si="136"/>
        <v>105748.40689655174</v>
      </c>
      <c r="I333" s="92">
        <f>FLORESTA!$B333+FLORESTA!$C333+FLORESTA!$D333+FLORESTA!$E333+FLORESTA!$F333+FLORESTA!$G333+FLORESTA!$H333</f>
        <v>314363.27931034483</v>
      </c>
      <c r="J333" s="133">
        <f>FLORESTA!$I333/7</f>
        <v>44909.03990147783</v>
      </c>
    </row>
    <row r="334" spans="1:10" x14ac:dyDescent="0.25">
      <c r="A334" s="10" t="s">
        <v>27</v>
      </c>
      <c r="B334" s="92">
        <f t="shared" ref="B334:H334" si="137">B337*B327</f>
        <v>3098285.4724137932</v>
      </c>
      <c r="C334" s="133">
        <f t="shared" si="137"/>
        <v>2765849.2931034486</v>
      </c>
      <c r="D334" s="133">
        <f t="shared" si="137"/>
        <v>2738501.6275862074</v>
      </c>
      <c r="E334" s="92">
        <f t="shared" si="137"/>
        <v>3712935.4379310347</v>
      </c>
      <c r="F334" s="134">
        <f t="shared" si="137"/>
        <v>2260727.9827586208</v>
      </c>
      <c r="G334" s="92">
        <f t="shared" si="137"/>
        <v>1199341.4172413794</v>
      </c>
      <c r="H334" s="92">
        <f t="shared" si="137"/>
        <v>3965565.2586206901</v>
      </c>
      <c r="I334" s="92">
        <f>FLORESTA!$B334+FLORESTA!$C334+FLORESTA!$D334+FLORESTA!$E334+FLORESTA!$F334+FLORESTA!$G334+FLORESTA!$H334</f>
        <v>19741206.489655174</v>
      </c>
      <c r="J334" s="133">
        <f>FLORESTA!$I334/7</f>
        <v>2820172.3556650248</v>
      </c>
    </row>
    <row r="335" spans="1:10" x14ac:dyDescent="0.25">
      <c r="A335" s="10" t="s">
        <v>28</v>
      </c>
      <c r="B335" s="92">
        <f t="shared" ref="B335:H335" si="138">B337*B328</f>
        <v>0</v>
      </c>
      <c r="C335" s="133">
        <f t="shared" si="138"/>
        <v>0</v>
      </c>
      <c r="D335" s="133">
        <f t="shared" si="138"/>
        <v>0</v>
      </c>
      <c r="E335" s="92">
        <f t="shared" si="138"/>
        <v>0</v>
      </c>
      <c r="F335" s="134">
        <f t="shared" si="138"/>
        <v>0</v>
      </c>
      <c r="G335" s="92">
        <f t="shared" si="138"/>
        <v>0</v>
      </c>
      <c r="H335" s="92">
        <f t="shared" si="138"/>
        <v>0</v>
      </c>
      <c r="I335" s="92">
        <f>FLORESTA!$B335+FLORESTA!$C335+FLORESTA!$D335+FLORESTA!$E335+FLORESTA!$F335+FLORESTA!$G335+FLORESTA!$H335</f>
        <v>0</v>
      </c>
      <c r="J335" s="133">
        <f>FLORESTA!$I335/7</f>
        <v>0</v>
      </c>
    </row>
    <row r="336" spans="1:10" x14ac:dyDescent="0.25">
      <c r="A336" s="10" t="s">
        <v>29</v>
      </c>
      <c r="B336" s="92">
        <f t="shared" ref="B336:H336" si="139">B337*B329</f>
        <v>0</v>
      </c>
      <c r="C336" s="133">
        <f t="shared" si="139"/>
        <v>0</v>
      </c>
      <c r="D336" s="133">
        <f t="shared" si="139"/>
        <v>0</v>
      </c>
      <c r="E336" s="92">
        <f t="shared" si="139"/>
        <v>0</v>
      </c>
      <c r="F336" s="134">
        <f t="shared" si="139"/>
        <v>0</v>
      </c>
      <c r="G336" s="92">
        <f t="shared" si="139"/>
        <v>0</v>
      </c>
      <c r="H336" s="92">
        <f t="shared" si="139"/>
        <v>0</v>
      </c>
      <c r="I336" s="92">
        <f>FLORESTA!$B336+FLORESTA!$C336+FLORESTA!$D336+FLORESTA!$E336+FLORESTA!$F336+FLORESTA!$G336+FLORESTA!$H336</f>
        <v>0</v>
      </c>
      <c r="J336" s="133">
        <f>FLORESTA!$I336/7</f>
        <v>0</v>
      </c>
    </row>
    <row r="337" spans="1:12" x14ac:dyDescent="0.25">
      <c r="A337" s="33" t="s">
        <v>30</v>
      </c>
      <c r="B337" s="91">
        <f>(4690200/1.16)-B338</f>
        <v>3972160.8620689656</v>
      </c>
      <c r="C337" s="136">
        <f>(4675900/1.16)-C338</f>
        <v>3951213.2758620693</v>
      </c>
      <c r="D337" s="136">
        <f>(3981800/1.16)-D338</f>
        <v>3380866.2068965519</v>
      </c>
      <c r="E337" s="91">
        <f>(5516900/1.16)-E338</f>
        <v>4699918.2758620689</v>
      </c>
      <c r="F337" s="137">
        <f>(3235600/1.16)-F338</f>
        <v>2756985.3448275863</v>
      </c>
      <c r="G337" s="91">
        <f>(1940800/1.16)-G338</f>
        <v>1642933.4482758623</v>
      </c>
      <c r="H337" s="91">
        <f>(6228400/1.16)-H338</f>
        <v>5287420.3448275868</v>
      </c>
      <c r="I337" s="91">
        <f>SUM(I332:I336)</f>
        <v>25691497.758620691</v>
      </c>
      <c r="J337" s="136">
        <f>FLORESTA!$I337/7</f>
        <v>3670213.9655172415</v>
      </c>
    </row>
    <row r="338" spans="1:12" x14ac:dyDescent="0.25">
      <c r="A338" s="10" t="s">
        <v>31</v>
      </c>
      <c r="B338" s="94">
        <f t="shared" ref="B338:J338" si="140">2155*B319</f>
        <v>71115</v>
      </c>
      <c r="C338" s="139">
        <f t="shared" si="140"/>
        <v>79735</v>
      </c>
      <c r="D338" s="139">
        <f t="shared" si="140"/>
        <v>51720</v>
      </c>
      <c r="E338" s="94">
        <f t="shared" si="140"/>
        <v>56030</v>
      </c>
      <c r="F338" s="112">
        <f t="shared" si="140"/>
        <v>32325</v>
      </c>
      <c r="G338" s="94">
        <f t="shared" si="140"/>
        <v>30170</v>
      </c>
      <c r="H338" s="94">
        <f t="shared" si="140"/>
        <v>81890</v>
      </c>
      <c r="I338" s="94">
        <f t="shared" si="140"/>
        <v>402985</v>
      </c>
      <c r="J338" s="139">
        <f t="shared" si="140"/>
        <v>57569.285714285717</v>
      </c>
    </row>
    <row r="339" spans="1:12" x14ac:dyDescent="0.25">
      <c r="A339" s="37" t="s">
        <v>32</v>
      </c>
      <c r="B339" s="39">
        <f t="shared" ref="B339:H339" si="141">B337+B338</f>
        <v>4043275.8620689656</v>
      </c>
      <c r="C339" s="40">
        <f t="shared" si="141"/>
        <v>4030948.2758620693</v>
      </c>
      <c r="D339" s="40">
        <f t="shared" si="141"/>
        <v>3432586.2068965519</v>
      </c>
      <c r="E339" s="39">
        <f t="shared" si="141"/>
        <v>4755948.2758620689</v>
      </c>
      <c r="F339" s="140">
        <f t="shared" si="141"/>
        <v>2789310.3448275863</v>
      </c>
      <c r="G339" s="39">
        <f t="shared" si="141"/>
        <v>1673103.4482758623</v>
      </c>
      <c r="H339" s="39">
        <f t="shared" si="141"/>
        <v>5369310.3448275868</v>
      </c>
      <c r="I339" s="39">
        <f>I337+I338</f>
        <v>26094482.758620691</v>
      </c>
      <c r="J339" s="40">
        <f>J337+J338</f>
        <v>3727783.2512315274</v>
      </c>
    </row>
    <row r="340" spans="1:12" x14ac:dyDescent="0.25">
      <c r="A340" s="10" t="s">
        <v>33</v>
      </c>
      <c r="B340" s="41">
        <f t="shared" ref="B340:H340" si="142">B339*16%</f>
        <v>646924.13793103455</v>
      </c>
      <c r="C340" s="42">
        <f t="shared" si="142"/>
        <v>644951.72413793113</v>
      </c>
      <c r="D340" s="42">
        <f t="shared" si="142"/>
        <v>549213.79310344835</v>
      </c>
      <c r="E340" s="41">
        <f t="shared" si="142"/>
        <v>760951.72413793101</v>
      </c>
      <c r="F340" s="141">
        <f t="shared" si="142"/>
        <v>446289.6551724138</v>
      </c>
      <c r="G340" s="41">
        <f t="shared" si="142"/>
        <v>267696.55172413797</v>
      </c>
      <c r="H340" s="41">
        <f t="shared" si="142"/>
        <v>859089.65517241391</v>
      </c>
      <c r="I340" s="41">
        <f>I339*16%</f>
        <v>4175117.2413793104</v>
      </c>
      <c r="J340" s="42">
        <f>J339*16%</f>
        <v>596445.32019704441</v>
      </c>
    </row>
    <row r="341" spans="1:12" x14ac:dyDescent="0.25">
      <c r="A341" s="43" t="s">
        <v>34</v>
      </c>
      <c r="B341" s="315">
        <f t="shared" ref="B341:H341" si="143">B339+B340</f>
        <v>4690200</v>
      </c>
      <c r="C341" s="315">
        <f t="shared" si="143"/>
        <v>4675900</v>
      </c>
      <c r="D341" s="315">
        <f t="shared" si="143"/>
        <v>3981800</v>
      </c>
      <c r="E341" s="178">
        <f t="shared" si="143"/>
        <v>5516900</v>
      </c>
      <c r="F341" s="182">
        <f t="shared" si="143"/>
        <v>3235600</v>
      </c>
      <c r="G341" s="178">
        <f t="shared" si="143"/>
        <v>1940800.0000000002</v>
      </c>
      <c r="H341" s="178">
        <f t="shared" si="143"/>
        <v>6228400.0000000009</v>
      </c>
      <c r="I341" s="178">
        <f>I339+I340</f>
        <v>30269600</v>
      </c>
      <c r="J341" s="315">
        <f>FLORESTA!$I341/7</f>
        <v>4324228.5714285718</v>
      </c>
    </row>
    <row r="343" spans="1:12" ht="12.75" customHeight="1" x14ac:dyDescent="0.25">
      <c r="A343" s="149"/>
      <c r="B343" s="1006" t="s">
        <v>130</v>
      </c>
      <c r="C343" s="1006"/>
      <c r="D343" s="1006"/>
      <c r="E343" s="1006"/>
      <c r="F343" s="1006"/>
      <c r="G343" s="1006"/>
      <c r="H343" s="1006"/>
      <c r="I343" s="1006"/>
    </row>
    <row r="344" spans="1:12" x14ac:dyDescent="0.25">
      <c r="A344" s="149"/>
      <c r="B344" s="1006"/>
      <c r="C344" s="1006"/>
      <c r="D344" s="1006"/>
      <c r="E344" s="1006"/>
      <c r="F344" s="1006"/>
      <c r="G344" s="1006"/>
      <c r="H344" s="1006"/>
      <c r="I344" s="1006"/>
    </row>
    <row r="345" spans="1:12" ht="15.75" x14ac:dyDescent="0.25">
      <c r="A345" s="72" t="s">
        <v>2</v>
      </c>
      <c r="B345" s="121" t="s">
        <v>177</v>
      </c>
      <c r="C345" s="51" t="s">
        <v>178</v>
      </c>
      <c r="D345" s="121" t="s">
        <v>179</v>
      </c>
      <c r="E345" s="51" t="s">
        <v>180</v>
      </c>
      <c r="F345" s="51" t="s">
        <v>181</v>
      </c>
      <c r="G345" s="121" t="s">
        <v>182</v>
      </c>
      <c r="H345" s="121" t="s">
        <v>183</v>
      </c>
      <c r="I345" s="51" t="s">
        <v>10</v>
      </c>
      <c r="J345" s="310" t="s">
        <v>77</v>
      </c>
    </row>
    <row r="346" spans="1:12" x14ac:dyDescent="0.25">
      <c r="A346" s="74" t="s">
        <v>11</v>
      </c>
      <c r="B346" s="55">
        <v>143</v>
      </c>
      <c r="C346" s="56">
        <v>141</v>
      </c>
      <c r="D346" s="54">
        <v>108</v>
      </c>
      <c r="E346" s="316">
        <v>153</v>
      </c>
      <c r="F346" s="311">
        <v>187</v>
      </c>
      <c r="G346" s="58">
        <v>206</v>
      </c>
      <c r="H346" s="57">
        <v>190</v>
      </c>
      <c r="I346" s="311">
        <f>SUM(B346:H346)</f>
        <v>1128</v>
      </c>
      <c r="J346" s="317">
        <f>FLORESTA!$I346/7</f>
        <v>161.14285714285714</v>
      </c>
      <c r="L346">
        <v>86</v>
      </c>
    </row>
    <row r="347" spans="1:12" x14ac:dyDescent="0.25">
      <c r="A347" s="10" t="s">
        <v>12</v>
      </c>
      <c r="B347" s="11">
        <v>29</v>
      </c>
      <c r="C347" s="13">
        <v>21</v>
      </c>
      <c r="D347" s="320">
        <v>5</v>
      </c>
      <c r="E347" s="11">
        <v>31</v>
      </c>
      <c r="F347" s="125">
        <v>53</v>
      </c>
      <c r="G347" s="11">
        <v>48</v>
      </c>
      <c r="H347" s="11">
        <v>38</v>
      </c>
      <c r="I347" s="313">
        <f>B347+C347+D347+E347+F347+G347+H347</f>
        <v>225</v>
      </c>
      <c r="J347" s="318">
        <f>FLORESTA!$I347/7</f>
        <v>32.142857142857146</v>
      </c>
      <c r="L347">
        <v>91</v>
      </c>
    </row>
    <row r="348" spans="1:12" x14ac:dyDescent="0.25">
      <c r="A348" s="10" t="s">
        <v>13</v>
      </c>
      <c r="B348" s="11">
        <v>1</v>
      </c>
      <c r="C348" s="13">
        <v>1</v>
      </c>
      <c r="D348" s="13">
        <v>0</v>
      </c>
      <c r="E348" s="11">
        <v>0</v>
      </c>
      <c r="F348" s="125">
        <v>3</v>
      </c>
      <c r="G348" s="11">
        <v>1</v>
      </c>
      <c r="H348" s="11">
        <v>4</v>
      </c>
      <c r="I348" s="313">
        <f>B348+C348+D348+E348+F348+G348+H348</f>
        <v>10</v>
      </c>
      <c r="J348" s="318">
        <f>C348+D348+E348+F348+G348+H348+I348</f>
        <v>19</v>
      </c>
      <c r="L348">
        <v>13</v>
      </c>
    </row>
    <row r="349" spans="1:12" x14ac:dyDescent="0.25">
      <c r="A349" s="10" t="s">
        <v>14</v>
      </c>
      <c r="B349" s="11">
        <v>96</v>
      </c>
      <c r="C349" s="13">
        <v>100</v>
      </c>
      <c r="D349" s="13">
        <v>91</v>
      </c>
      <c r="E349" s="11">
        <v>113</v>
      </c>
      <c r="F349" s="125">
        <v>115</v>
      </c>
      <c r="G349" s="11">
        <v>124</v>
      </c>
      <c r="H349" s="11">
        <v>124</v>
      </c>
      <c r="I349" s="313">
        <f>B349+C349+D349+E349+F349+G349+H349</f>
        <v>763</v>
      </c>
      <c r="J349" s="318">
        <f>FLORESTA!$I349/7</f>
        <v>109</v>
      </c>
      <c r="L349">
        <f>SUM(L346:L348)</f>
        <v>190</v>
      </c>
    </row>
    <row r="350" spans="1:12" x14ac:dyDescent="0.25">
      <c r="A350" s="10" t="s">
        <v>15</v>
      </c>
      <c r="B350" s="11">
        <v>0</v>
      </c>
      <c r="C350" s="13">
        <v>0</v>
      </c>
      <c r="D350" s="13">
        <v>2</v>
      </c>
      <c r="E350" s="11">
        <v>0</v>
      </c>
      <c r="F350" s="125">
        <v>0</v>
      </c>
      <c r="G350" s="11">
        <v>0</v>
      </c>
      <c r="H350" s="11">
        <v>0</v>
      </c>
      <c r="I350" s="313">
        <f>B350+C350+D350+E350+F350+G350+H350</f>
        <v>2</v>
      </c>
      <c r="J350" s="318">
        <f>FLORESTA!$I350/7</f>
        <v>0.2857142857142857</v>
      </c>
    </row>
    <row r="351" spans="1:12" x14ac:dyDescent="0.25">
      <c r="A351" s="10" t="s">
        <v>16</v>
      </c>
      <c r="B351" s="11">
        <v>0</v>
      </c>
      <c r="C351" s="13">
        <v>0</v>
      </c>
      <c r="D351" s="13">
        <v>0</v>
      </c>
      <c r="E351" s="11">
        <v>0</v>
      </c>
      <c r="F351" s="125">
        <v>0</v>
      </c>
      <c r="G351" s="11">
        <v>0</v>
      </c>
      <c r="H351" s="11">
        <v>0</v>
      </c>
      <c r="I351" s="313">
        <f>B351+C351+D351+E351+F351+G351+H351</f>
        <v>0</v>
      </c>
      <c r="J351" s="318">
        <f>FLORESTA!$I351/7</f>
        <v>0</v>
      </c>
    </row>
    <row r="352" spans="1:12" x14ac:dyDescent="0.25">
      <c r="A352" s="15" t="s">
        <v>17</v>
      </c>
      <c r="B352" s="79">
        <f t="shared" ref="B352:I352" si="144">SUM(B347:B351)</f>
        <v>126</v>
      </c>
      <c r="C352" s="79">
        <f t="shared" si="144"/>
        <v>122</v>
      </c>
      <c r="D352" s="79">
        <f t="shared" si="144"/>
        <v>98</v>
      </c>
      <c r="E352" s="103">
        <f t="shared" si="144"/>
        <v>144</v>
      </c>
      <c r="F352" s="213">
        <f t="shared" si="144"/>
        <v>171</v>
      </c>
      <c r="G352" s="103">
        <f t="shared" si="144"/>
        <v>173</v>
      </c>
      <c r="H352" s="103">
        <f t="shared" si="144"/>
        <v>166</v>
      </c>
      <c r="I352" s="103">
        <f t="shared" si="144"/>
        <v>1000</v>
      </c>
      <c r="J352" s="319">
        <f>FLORESTA!$I352/7</f>
        <v>142.85714285714286</v>
      </c>
    </row>
    <row r="353" spans="1:10" x14ac:dyDescent="0.25">
      <c r="A353" s="10" t="s">
        <v>18</v>
      </c>
      <c r="B353" s="18">
        <v>0.26</v>
      </c>
      <c r="C353" s="19">
        <v>0.21</v>
      </c>
      <c r="D353" s="19">
        <v>0.06</v>
      </c>
      <c r="E353" s="18">
        <v>0.31</v>
      </c>
      <c r="F353" s="129">
        <v>0.35</v>
      </c>
      <c r="G353" s="18">
        <v>0.32</v>
      </c>
      <c r="H353" s="18">
        <v>0.28000000000000003</v>
      </c>
      <c r="I353" s="18">
        <f>I360/I365</f>
        <v>0.27289958737406594</v>
      </c>
      <c r="J353" s="19">
        <f>J360/J365</f>
        <v>0.27289958737406594</v>
      </c>
    </row>
    <row r="354" spans="1:10" x14ac:dyDescent="0.25">
      <c r="A354" s="10" t="s">
        <v>19</v>
      </c>
      <c r="B354" s="18">
        <v>0.01</v>
      </c>
      <c r="C354" s="19">
        <v>0.01</v>
      </c>
      <c r="D354" s="19">
        <v>0.93</v>
      </c>
      <c r="E354" s="18">
        <v>0</v>
      </c>
      <c r="F354" s="129">
        <v>0.01</v>
      </c>
      <c r="G354" s="18">
        <v>0</v>
      </c>
      <c r="H354" s="18">
        <v>0.04</v>
      </c>
      <c r="I354" s="18">
        <f>I361/I365</f>
        <v>9.9194293899690714E-2</v>
      </c>
      <c r="J354" s="19">
        <f>J361/J365</f>
        <v>9.91942938996907E-2</v>
      </c>
    </row>
    <row r="355" spans="1:10" x14ac:dyDescent="0.25">
      <c r="A355" s="10" t="s">
        <v>20</v>
      </c>
      <c r="B355" s="18">
        <v>0.73</v>
      </c>
      <c r="C355" s="19">
        <v>0.78</v>
      </c>
      <c r="D355" s="19">
        <v>0.01</v>
      </c>
      <c r="E355" s="18">
        <v>0.69</v>
      </c>
      <c r="F355" s="297">
        <v>0.64</v>
      </c>
      <c r="G355" s="18">
        <v>0.68</v>
      </c>
      <c r="H355" s="18">
        <v>0.68</v>
      </c>
      <c r="I355" s="18">
        <f>I362/I365</f>
        <v>0.62790611872624336</v>
      </c>
      <c r="J355" s="19">
        <f>J362/J365</f>
        <v>0.62790611872624336</v>
      </c>
    </row>
    <row r="356" spans="1:10" x14ac:dyDescent="0.25">
      <c r="A356" s="10" t="s">
        <v>21</v>
      </c>
      <c r="B356" s="18">
        <v>0</v>
      </c>
      <c r="C356" s="19">
        <v>0</v>
      </c>
      <c r="D356" s="19">
        <v>0</v>
      </c>
      <c r="E356" s="18">
        <v>0</v>
      </c>
      <c r="F356" s="297">
        <v>0</v>
      </c>
      <c r="G356" s="18">
        <v>0</v>
      </c>
      <c r="H356" s="18">
        <v>0</v>
      </c>
      <c r="I356" s="18">
        <f>I363/I365</f>
        <v>0</v>
      </c>
      <c r="J356" s="19">
        <f>J363/J365</f>
        <v>0</v>
      </c>
    </row>
    <row r="357" spans="1:10" x14ac:dyDescent="0.25">
      <c r="A357" s="10" t="s">
        <v>22</v>
      </c>
      <c r="B357" s="18">
        <v>0</v>
      </c>
      <c r="C357" s="19">
        <v>0</v>
      </c>
      <c r="D357" s="19">
        <v>0</v>
      </c>
      <c r="E357" s="18">
        <v>0</v>
      </c>
      <c r="F357" s="297">
        <v>0</v>
      </c>
      <c r="G357" s="18">
        <v>0</v>
      </c>
      <c r="H357" s="18">
        <v>0</v>
      </c>
      <c r="I357" s="18">
        <f>I364/I365</f>
        <v>0</v>
      </c>
      <c r="J357" s="19">
        <f>J364/J365</f>
        <v>0</v>
      </c>
    </row>
    <row r="358" spans="1:10" x14ac:dyDescent="0.25">
      <c r="A358" s="24" t="s">
        <v>23</v>
      </c>
      <c r="B358" s="130">
        <f t="shared" ref="B358:J358" si="145">B369/B352</f>
        <v>31017.460317460322</v>
      </c>
      <c r="C358" s="131">
        <f t="shared" si="145"/>
        <v>31288.524590163939</v>
      </c>
      <c r="D358" s="131">
        <f t="shared" si="145"/>
        <v>32535.71428571429</v>
      </c>
      <c r="E358" s="130">
        <f t="shared" si="145"/>
        <v>33732.638888888898</v>
      </c>
      <c r="F358" s="132">
        <f t="shared" si="145"/>
        <v>35720.46783625731</v>
      </c>
      <c r="G358" s="130">
        <f t="shared" si="145"/>
        <v>35175.722543352604</v>
      </c>
      <c r="H358" s="130">
        <f t="shared" si="145"/>
        <v>37396.385542168675</v>
      </c>
      <c r="I358" s="314">
        <f t="shared" si="145"/>
        <v>34172.800000000003</v>
      </c>
      <c r="J358" s="132">
        <f t="shared" si="145"/>
        <v>34172.800000000003</v>
      </c>
    </row>
    <row r="359" spans="1:10" x14ac:dyDescent="0.25">
      <c r="A359" s="24" t="s">
        <v>24</v>
      </c>
      <c r="B359" s="130">
        <f t="shared" ref="B359:J359" si="146">B369/B346</f>
        <v>27330.069930069934</v>
      </c>
      <c r="C359" s="131">
        <f t="shared" si="146"/>
        <v>27072.340425531918</v>
      </c>
      <c r="D359" s="131">
        <f t="shared" si="146"/>
        <v>29523.148148148153</v>
      </c>
      <c r="E359" s="130">
        <f t="shared" si="146"/>
        <v>31748.3660130719</v>
      </c>
      <c r="F359" s="132">
        <f t="shared" si="146"/>
        <v>32664.171122994652</v>
      </c>
      <c r="G359" s="130">
        <f t="shared" si="146"/>
        <v>29540.776699029127</v>
      </c>
      <c r="H359" s="130">
        <f t="shared" si="146"/>
        <v>32672.63157894737</v>
      </c>
      <c r="I359" s="314">
        <f t="shared" si="146"/>
        <v>30295.035460992909</v>
      </c>
      <c r="J359" s="132">
        <f t="shared" si="146"/>
        <v>30295.035460992913</v>
      </c>
    </row>
    <row r="360" spans="1:10" x14ac:dyDescent="0.25">
      <c r="A360" s="10" t="s">
        <v>25</v>
      </c>
      <c r="B360" s="92">
        <f t="shared" ref="B360:H360" si="147">B365*B353</f>
        <v>859727.16206896561</v>
      </c>
      <c r="C360" s="133">
        <f t="shared" si="147"/>
        <v>681541.27758620691</v>
      </c>
      <c r="D360" s="133">
        <f t="shared" si="147"/>
        <v>164275.91379310348</v>
      </c>
      <c r="E360" s="92">
        <f t="shared" si="147"/>
        <v>1277415.4500000002</v>
      </c>
      <c r="F360" s="134">
        <f t="shared" si="147"/>
        <v>1803016.1293103448</v>
      </c>
      <c r="G360" s="92">
        <f t="shared" si="147"/>
        <v>1645630.2344827587</v>
      </c>
      <c r="H360" s="92">
        <f t="shared" si="147"/>
        <v>1475505.2827586208</v>
      </c>
      <c r="I360" s="92">
        <f>FLORESTA!$B360+FLORESTA!$C360+FLORESTA!$D360+FLORESTA!$E360+FLORESTA!$F360+FLORESTA!$G360+FLORESTA!$H360</f>
        <v>7907111.4500000011</v>
      </c>
      <c r="J360" s="133">
        <f>FLORESTA!$I360/7</f>
        <v>1129587.3500000001</v>
      </c>
    </row>
    <row r="361" spans="1:10" x14ac:dyDescent="0.25">
      <c r="A361" s="10" t="s">
        <v>26</v>
      </c>
      <c r="B361" s="92">
        <f t="shared" ref="B361:H361" si="148">B365*B354</f>
        <v>33066.429310344829</v>
      </c>
      <c r="C361" s="133">
        <f t="shared" si="148"/>
        <v>32454.346551724142</v>
      </c>
      <c r="D361" s="133">
        <f t="shared" si="148"/>
        <v>2546276.6637931038</v>
      </c>
      <c r="E361" s="92">
        <f t="shared" si="148"/>
        <v>0</v>
      </c>
      <c r="F361" s="134">
        <f t="shared" si="148"/>
        <v>51514.746551724144</v>
      </c>
      <c r="G361" s="92">
        <f t="shared" si="148"/>
        <v>0</v>
      </c>
      <c r="H361" s="92">
        <f t="shared" si="148"/>
        <v>210786.46896551724</v>
      </c>
      <c r="I361" s="92">
        <f>FLORESTA!$B361+FLORESTA!$C361+FLORESTA!$D361+FLORESTA!$E361+FLORESTA!$F361+FLORESTA!$G361+FLORESTA!$H361</f>
        <v>2874098.6551724141</v>
      </c>
      <c r="J361" s="133">
        <f>FLORESTA!$I361/7</f>
        <v>410585.52216748771</v>
      </c>
    </row>
    <row r="362" spans="1:10" x14ac:dyDescent="0.25">
      <c r="A362" s="10" t="s">
        <v>27</v>
      </c>
      <c r="B362" s="92">
        <f t="shared" ref="B362:H362" si="149">B365*B355</f>
        <v>2413849.3396551725</v>
      </c>
      <c r="C362" s="133">
        <f t="shared" si="149"/>
        <v>2531439.0310344831</v>
      </c>
      <c r="D362" s="133">
        <f t="shared" si="149"/>
        <v>27379.318965517246</v>
      </c>
      <c r="E362" s="92">
        <f t="shared" si="149"/>
        <v>2843279.5500000003</v>
      </c>
      <c r="F362" s="134">
        <f t="shared" si="149"/>
        <v>3296943.7793103452</v>
      </c>
      <c r="G362" s="92">
        <f t="shared" si="149"/>
        <v>3496964.2482758625</v>
      </c>
      <c r="H362" s="92">
        <f t="shared" si="149"/>
        <v>3583369.9724137932</v>
      </c>
      <c r="I362" s="92">
        <f>FLORESTA!$B362+FLORESTA!$C362+FLORESTA!$D362+FLORESTA!$E362+FLORESTA!$F362+FLORESTA!$G362+FLORESTA!$H362</f>
        <v>18193225.239655174</v>
      </c>
      <c r="J362" s="133">
        <f>FLORESTA!$I362/7</f>
        <v>2599032.1770935962</v>
      </c>
    </row>
    <row r="363" spans="1:10" x14ac:dyDescent="0.25">
      <c r="A363" s="10" t="s">
        <v>28</v>
      </c>
      <c r="B363" s="92">
        <f t="shared" ref="B363:H363" si="150">B365*B356</f>
        <v>0</v>
      </c>
      <c r="C363" s="133">
        <f t="shared" si="150"/>
        <v>0</v>
      </c>
      <c r="D363" s="133">
        <f t="shared" si="150"/>
        <v>0</v>
      </c>
      <c r="E363" s="92">
        <f t="shared" si="150"/>
        <v>0</v>
      </c>
      <c r="F363" s="134">
        <f t="shared" si="150"/>
        <v>0</v>
      </c>
      <c r="G363" s="92">
        <f t="shared" si="150"/>
        <v>0</v>
      </c>
      <c r="H363" s="92">
        <f t="shared" si="150"/>
        <v>0</v>
      </c>
      <c r="I363" s="92">
        <f>FLORESTA!$B363+FLORESTA!$C363+FLORESTA!$D363+FLORESTA!$E363+FLORESTA!$F363+FLORESTA!$G363+FLORESTA!$H363</f>
        <v>0</v>
      </c>
      <c r="J363" s="133">
        <f>FLORESTA!$I363/7</f>
        <v>0</v>
      </c>
    </row>
    <row r="364" spans="1:10" x14ac:dyDescent="0.25">
      <c r="A364" s="10" t="s">
        <v>29</v>
      </c>
      <c r="B364" s="92">
        <f t="shared" ref="B364:H364" si="151">B365*B357</f>
        <v>0</v>
      </c>
      <c r="C364" s="133">
        <f t="shared" si="151"/>
        <v>0</v>
      </c>
      <c r="D364" s="133">
        <f t="shared" si="151"/>
        <v>0</v>
      </c>
      <c r="E364" s="92">
        <f t="shared" si="151"/>
        <v>0</v>
      </c>
      <c r="F364" s="134">
        <f t="shared" si="151"/>
        <v>0</v>
      </c>
      <c r="G364" s="92">
        <f t="shared" si="151"/>
        <v>0</v>
      </c>
      <c r="H364" s="92">
        <f t="shared" si="151"/>
        <v>0</v>
      </c>
      <c r="I364" s="92">
        <f>FLORESTA!$B364+FLORESTA!$C364+FLORESTA!$D364+FLORESTA!$E364+FLORESTA!$F364+FLORESTA!$G364+FLORESTA!$H364</f>
        <v>0</v>
      </c>
      <c r="J364" s="133">
        <f>FLORESTA!$I364/7</f>
        <v>0</v>
      </c>
    </row>
    <row r="365" spans="1:10" x14ac:dyDescent="0.25">
      <c r="A365" s="33" t="s">
        <v>30</v>
      </c>
      <c r="B365" s="91">
        <f>(3908200/1.16)-B366</f>
        <v>3306642.931034483</v>
      </c>
      <c r="C365" s="136">
        <f>(3817200/1.16)-C366</f>
        <v>3245434.6551724141</v>
      </c>
      <c r="D365" s="136">
        <f>(3188500/1.16)-D366</f>
        <v>2737931.8965517245</v>
      </c>
      <c r="E365" s="91">
        <f>(4857500/1.16)-E366</f>
        <v>4120695.0000000005</v>
      </c>
      <c r="F365" s="137">
        <f>(6108200/1.16)-F366</f>
        <v>5151474.6551724141</v>
      </c>
      <c r="G365" s="91">
        <f>(6085400/1.16)-G366</f>
        <v>5142594.4827586208</v>
      </c>
      <c r="H365" s="91">
        <f>(6207800/1.16)-H366</f>
        <v>5269661.7241379311</v>
      </c>
      <c r="I365" s="91">
        <f>SUM(I360:I364)</f>
        <v>28974435.344827589</v>
      </c>
      <c r="J365" s="136">
        <f>FLORESTA!$I365/7</f>
        <v>4139205.0492610843</v>
      </c>
    </row>
    <row r="366" spans="1:10" x14ac:dyDescent="0.25">
      <c r="A366" s="10" t="s">
        <v>31</v>
      </c>
      <c r="B366" s="94">
        <f t="shared" ref="B366:J366" si="152">2155*B347</f>
        <v>62495</v>
      </c>
      <c r="C366" s="139">
        <f t="shared" si="152"/>
        <v>45255</v>
      </c>
      <c r="D366" s="139">
        <f t="shared" si="152"/>
        <v>10775</v>
      </c>
      <c r="E366" s="94">
        <f t="shared" si="152"/>
        <v>66805</v>
      </c>
      <c r="F366" s="112">
        <f t="shared" si="152"/>
        <v>114215</v>
      </c>
      <c r="G366" s="94">
        <f t="shared" si="152"/>
        <v>103440</v>
      </c>
      <c r="H366" s="94">
        <f t="shared" si="152"/>
        <v>81890</v>
      </c>
      <c r="I366" s="94">
        <f t="shared" si="152"/>
        <v>484875</v>
      </c>
      <c r="J366" s="139">
        <f t="shared" si="152"/>
        <v>69267.857142857145</v>
      </c>
    </row>
    <row r="367" spans="1:10" x14ac:dyDescent="0.25">
      <c r="A367" s="37" t="s">
        <v>32</v>
      </c>
      <c r="B367" s="39">
        <f t="shared" ref="B367:H367" si="153">B365+B366</f>
        <v>3369137.931034483</v>
      </c>
      <c r="C367" s="40">
        <f t="shared" si="153"/>
        <v>3290689.6551724141</v>
      </c>
      <c r="D367" s="40">
        <f t="shared" si="153"/>
        <v>2748706.8965517245</v>
      </c>
      <c r="E367" s="39">
        <f t="shared" si="153"/>
        <v>4187500.0000000005</v>
      </c>
      <c r="F367" s="140">
        <f t="shared" si="153"/>
        <v>5265689.6551724141</v>
      </c>
      <c r="G367" s="39">
        <f t="shared" si="153"/>
        <v>5246034.4827586208</v>
      </c>
      <c r="H367" s="39">
        <f t="shared" si="153"/>
        <v>5351551.7241379311</v>
      </c>
      <c r="I367" s="39">
        <f>I365+I366</f>
        <v>29459310.344827589</v>
      </c>
      <c r="J367" s="40">
        <f>J365+J366</f>
        <v>4208472.9064039411</v>
      </c>
    </row>
    <row r="368" spans="1:10" x14ac:dyDescent="0.25">
      <c r="A368" s="10" t="s">
        <v>33</v>
      </c>
      <c r="B368" s="41">
        <f t="shared" ref="B368:H368" si="154">B367*16%</f>
        <v>539062.06896551733</v>
      </c>
      <c r="C368" s="42">
        <f t="shared" si="154"/>
        <v>526510.34482758632</v>
      </c>
      <c r="D368" s="42">
        <f t="shared" si="154"/>
        <v>439793.10344827594</v>
      </c>
      <c r="E368" s="41">
        <f t="shared" si="154"/>
        <v>670000.00000000012</v>
      </c>
      <c r="F368" s="141">
        <f t="shared" si="154"/>
        <v>842510.34482758632</v>
      </c>
      <c r="G368" s="41">
        <f t="shared" si="154"/>
        <v>839365.51724137936</v>
      </c>
      <c r="H368" s="41">
        <f t="shared" si="154"/>
        <v>856248.27586206899</v>
      </c>
      <c r="I368" s="41">
        <f>I367*16%</f>
        <v>4713489.6551724141</v>
      </c>
      <c r="J368" s="42">
        <f>J367*16%</f>
        <v>673355.66502463061</v>
      </c>
    </row>
    <row r="369" spans="1:12" x14ac:dyDescent="0.25">
      <c r="A369" s="43" t="s">
        <v>34</v>
      </c>
      <c r="B369" s="315">
        <f t="shared" ref="B369:H369" si="155">B367+B368</f>
        <v>3908200.0000000005</v>
      </c>
      <c r="C369" s="315">
        <f t="shared" si="155"/>
        <v>3817200.0000000005</v>
      </c>
      <c r="D369" s="315">
        <f t="shared" si="155"/>
        <v>3188500.0000000005</v>
      </c>
      <c r="E369" s="178">
        <f t="shared" si="155"/>
        <v>4857500.0000000009</v>
      </c>
      <c r="F369" s="182">
        <f t="shared" si="155"/>
        <v>6108200</v>
      </c>
      <c r="G369" s="178">
        <f t="shared" si="155"/>
        <v>6085400</v>
      </c>
      <c r="H369" s="178">
        <f t="shared" si="155"/>
        <v>6207800</v>
      </c>
      <c r="I369" s="178">
        <f>I367+I368</f>
        <v>34172800</v>
      </c>
      <c r="J369" s="315">
        <f>FLORESTA!$I369/7</f>
        <v>4881828.5714285718</v>
      </c>
    </row>
    <row r="371" spans="1:12" ht="12.75" customHeight="1" x14ac:dyDescent="0.25">
      <c r="A371" s="149"/>
      <c r="B371" s="1006" t="s">
        <v>138</v>
      </c>
      <c r="C371" s="1006"/>
      <c r="D371" s="1006"/>
      <c r="E371" s="1006"/>
      <c r="F371" s="1006"/>
      <c r="G371" s="1006"/>
      <c r="H371" s="1006"/>
      <c r="I371" s="1006"/>
    </row>
    <row r="372" spans="1:12" x14ac:dyDescent="0.25">
      <c r="A372" s="149"/>
      <c r="B372" s="1006"/>
      <c r="C372" s="1006"/>
      <c r="D372" s="1006"/>
      <c r="E372" s="1006"/>
      <c r="F372" s="1006"/>
      <c r="G372" s="1006"/>
      <c r="H372" s="1006"/>
      <c r="I372" s="1006"/>
    </row>
    <row r="373" spans="1:12" ht="15.75" x14ac:dyDescent="0.25">
      <c r="A373" s="72" t="s">
        <v>2</v>
      </c>
      <c r="B373" s="121" t="s">
        <v>185</v>
      </c>
      <c r="C373" s="51" t="s">
        <v>186</v>
      </c>
      <c r="D373" s="121" t="s">
        <v>187</v>
      </c>
      <c r="E373" s="51" t="s">
        <v>188</v>
      </c>
      <c r="F373" s="51" t="s">
        <v>189</v>
      </c>
      <c r="G373" s="121" t="s">
        <v>190</v>
      </c>
      <c r="H373" s="121" t="s">
        <v>191</v>
      </c>
      <c r="I373" s="51" t="s">
        <v>10</v>
      </c>
      <c r="J373" s="310" t="s">
        <v>77</v>
      </c>
    </row>
    <row r="374" spans="1:12" x14ac:dyDescent="0.25">
      <c r="A374" s="74" t="s">
        <v>11</v>
      </c>
      <c r="B374" s="55">
        <v>243</v>
      </c>
      <c r="C374" s="56">
        <v>110</v>
      </c>
      <c r="D374" s="54">
        <v>119</v>
      </c>
      <c r="E374" s="316">
        <v>144</v>
      </c>
      <c r="F374" s="311">
        <v>215</v>
      </c>
      <c r="G374" s="58">
        <v>279</v>
      </c>
      <c r="H374" s="57">
        <v>228</v>
      </c>
      <c r="I374" s="311">
        <f>SUM(B374:H374)</f>
        <v>1338</v>
      </c>
      <c r="J374" s="317">
        <f>FLORESTA!$I374/7</f>
        <v>191.14285714285714</v>
      </c>
      <c r="L374">
        <v>107</v>
      </c>
    </row>
    <row r="375" spans="1:12" x14ac:dyDescent="0.25">
      <c r="A375" s="10" t="s">
        <v>12</v>
      </c>
      <c r="B375" s="11">
        <v>45</v>
      </c>
      <c r="C375" s="13">
        <v>31</v>
      </c>
      <c r="D375" s="320">
        <v>25</v>
      </c>
      <c r="E375" s="11">
        <v>30</v>
      </c>
      <c r="F375" s="125">
        <v>57</v>
      </c>
      <c r="G375" s="11">
        <v>46</v>
      </c>
      <c r="H375" s="11">
        <v>46</v>
      </c>
      <c r="I375" s="313">
        <f>B375+C375+D375+E375+F375+G375+H375</f>
        <v>280</v>
      </c>
      <c r="J375" s="318">
        <f>FLORESTA!$I375/7</f>
        <v>40</v>
      </c>
      <c r="L375">
        <v>95</v>
      </c>
    </row>
    <row r="376" spans="1:12" x14ac:dyDescent="0.25">
      <c r="A376" s="10" t="s">
        <v>13</v>
      </c>
      <c r="B376" s="11">
        <v>7</v>
      </c>
      <c r="C376" s="13">
        <v>1</v>
      </c>
      <c r="D376" s="13">
        <v>0</v>
      </c>
      <c r="E376" s="11">
        <v>4</v>
      </c>
      <c r="F376" s="125">
        <v>1</v>
      </c>
      <c r="G376" s="11">
        <v>6</v>
      </c>
      <c r="H376" s="11">
        <v>4</v>
      </c>
      <c r="I376" s="313">
        <f>B376+C376+D376+E376+F376+G376+H376</f>
        <v>23</v>
      </c>
      <c r="J376" s="318">
        <f>C376+D376+E376+F376+G376+H376+I376</f>
        <v>39</v>
      </c>
      <c r="L376">
        <v>26</v>
      </c>
    </row>
    <row r="377" spans="1:12" x14ac:dyDescent="0.25">
      <c r="A377" s="10" t="s">
        <v>14</v>
      </c>
      <c r="B377" s="11">
        <v>148</v>
      </c>
      <c r="C377" s="13">
        <v>71</v>
      </c>
      <c r="D377" s="13">
        <v>89</v>
      </c>
      <c r="E377" s="11">
        <v>103</v>
      </c>
      <c r="F377" s="125">
        <v>141</v>
      </c>
      <c r="G377" s="11">
        <v>186</v>
      </c>
      <c r="H377" s="11">
        <v>155</v>
      </c>
      <c r="I377" s="313">
        <f>B377+C377+D377+E377+F377+G377+H377</f>
        <v>893</v>
      </c>
      <c r="J377" s="318">
        <f>FLORESTA!$I377/7</f>
        <v>127.57142857142857</v>
      </c>
      <c r="L377">
        <f>SUM(L374:L376)</f>
        <v>228</v>
      </c>
    </row>
    <row r="378" spans="1:12" x14ac:dyDescent="0.25">
      <c r="A378" s="10" t="s">
        <v>15</v>
      </c>
      <c r="B378" s="11">
        <v>0</v>
      </c>
      <c r="C378" s="13">
        <v>0</v>
      </c>
      <c r="D378" s="13">
        <v>0</v>
      </c>
      <c r="E378" s="11">
        <v>0</v>
      </c>
      <c r="F378" s="125">
        <v>0</v>
      </c>
      <c r="G378" s="11">
        <v>0</v>
      </c>
      <c r="H378" s="11">
        <v>0</v>
      </c>
      <c r="I378" s="313">
        <f>B378+C378+D378+E378+F378+G378+H378</f>
        <v>0</v>
      </c>
      <c r="J378" s="318">
        <f>FLORESTA!$I378/7</f>
        <v>0</v>
      </c>
    </row>
    <row r="379" spans="1:12" x14ac:dyDescent="0.25">
      <c r="A379" s="10" t="s">
        <v>16</v>
      </c>
      <c r="B379" s="11">
        <v>0</v>
      </c>
      <c r="C379" s="13">
        <v>0</v>
      </c>
      <c r="D379" s="13">
        <v>0</v>
      </c>
      <c r="E379" s="11">
        <v>0</v>
      </c>
      <c r="F379" s="125">
        <v>0</v>
      </c>
      <c r="G379" s="11">
        <v>1</v>
      </c>
      <c r="H379" s="11">
        <v>0</v>
      </c>
      <c r="I379" s="313">
        <f>B379+C379+D379+E379+F379+G379+H379</f>
        <v>1</v>
      </c>
      <c r="J379" s="318">
        <f>FLORESTA!$I379/7</f>
        <v>0.14285714285714285</v>
      </c>
    </row>
    <row r="380" spans="1:12" x14ac:dyDescent="0.25">
      <c r="A380" s="15" t="s">
        <v>17</v>
      </c>
      <c r="B380" s="79">
        <f t="shared" ref="B380:I380" si="156">SUM(B375:B379)</f>
        <v>200</v>
      </c>
      <c r="C380" s="79">
        <f t="shared" si="156"/>
        <v>103</v>
      </c>
      <c r="D380" s="79">
        <f t="shared" si="156"/>
        <v>114</v>
      </c>
      <c r="E380" s="103">
        <f t="shared" si="156"/>
        <v>137</v>
      </c>
      <c r="F380" s="213">
        <f t="shared" si="156"/>
        <v>199</v>
      </c>
      <c r="G380" s="103">
        <f t="shared" si="156"/>
        <v>239</v>
      </c>
      <c r="H380" s="103">
        <f t="shared" si="156"/>
        <v>205</v>
      </c>
      <c r="I380" s="103">
        <f t="shared" si="156"/>
        <v>1197</v>
      </c>
      <c r="J380" s="319">
        <f>FLORESTA!$I380/7</f>
        <v>171</v>
      </c>
    </row>
    <row r="381" spans="1:12" x14ac:dyDescent="0.25">
      <c r="A381" s="10" t="s">
        <v>18</v>
      </c>
      <c r="B381" s="18">
        <v>0.23</v>
      </c>
      <c r="C381" s="19">
        <v>0.34</v>
      </c>
      <c r="D381" s="19">
        <v>0.25</v>
      </c>
      <c r="E381" s="18">
        <v>0.26</v>
      </c>
      <c r="F381" s="129">
        <v>0.3</v>
      </c>
      <c r="G381" s="18">
        <v>0.21</v>
      </c>
      <c r="H381" s="18">
        <v>0.24</v>
      </c>
      <c r="I381" s="18">
        <f>I388/I393</f>
        <v>0.25312112021868388</v>
      </c>
      <c r="J381" s="19">
        <f>J388/J393</f>
        <v>0.25312112021868388</v>
      </c>
    </row>
    <row r="382" spans="1:12" x14ac:dyDescent="0.25">
      <c r="A382" s="10" t="s">
        <v>19</v>
      </c>
      <c r="B382" s="18">
        <v>0.05</v>
      </c>
      <c r="C382" s="19">
        <v>0.02</v>
      </c>
      <c r="D382" s="19">
        <v>0</v>
      </c>
      <c r="E382" s="18">
        <v>0.04</v>
      </c>
      <c r="F382" s="129">
        <v>0</v>
      </c>
      <c r="G382" s="18">
        <v>0.03</v>
      </c>
      <c r="H382" s="18">
        <v>0.02</v>
      </c>
      <c r="I382" s="18">
        <f>I389/I393</f>
        <v>2.4295934400060348E-2</v>
      </c>
      <c r="J382" s="19">
        <f>J389/J393</f>
        <v>2.4295934400060348E-2</v>
      </c>
    </row>
    <row r="383" spans="1:12" x14ac:dyDescent="0.25">
      <c r="A383" s="10" t="s">
        <v>20</v>
      </c>
      <c r="B383" s="18">
        <v>0.72</v>
      </c>
      <c r="C383" s="19">
        <v>0.64</v>
      </c>
      <c r="D383" s="19">
        <v>0.75</v>
      </c>
      <c r="E383" s="18">
        <v>0.7</v>
      </c>
      <c r="F383" s="297">
        <v>0.7</v>
      </c>
      <c r="G383" s="18">
        <v>0.75</v>
      </c>
      <c r="H383" s="18">
        <v>0.74</v>
      </c>
      <c r="I383" s="18">
        <f>I390/I393</f>
        <v>0.72043379276743014</v>
      </c>
      <c r="J383" s="19">
        <f>J390/J393</f>
        <v>0.72043379276743014</v>
      </c>
    </row>
    <row r="384" spans="1:12" x14ac:dyDescent="0.25">
      <c r="A384" s="10" t="s">
        <v>21</v>
      </c>
      <c r="B384" s="18">
        <v>0</v>
      </c>
      <c r="C384" s="19">
        <v>0</v>
      </c>
      <c r="D384" s="19">
        <v>0</v>
      </c>
      <c r="E384" s="18">
        <v>0</v>
      </c>
      <c r="F384" s="297">
        <v>0</v>
      </c>
      <c r="G384" s="18">
        <v>0</v>
      </c>
      <c r="H384" s="18">
        <v>0</v>
      </c>
      <c r="I384" s="18">
        <f>I391/I393</f>
        <v>0</v>
      </c>
      <c r="J384" s="19">
        <f>J391/J393</f>
        <v>0</v>
      </c>
    </row>
    <row r="385" spans="1:10" x14ac:dyDescent="0.25">
      <c r="A385" s="10" t="s">
        <v>22</v>
      </c>
      <c r="B385" s="18">
        <v>0</v>
      </c>
      <c r="C385" s="19">
        <v>0</v>
      </c>
      <c r="D385" s="19">
        <v>0</v>
      </c>
      <c r="E385" s="18">
        <v>0</v>
      </c>
      <c r="F385" s="297">
        <v>0</v>
      </c>
      <c r="G385" s="18">
        <v>0.01</v>
      </c>
      <c r="H385" s="18">
        <v>0</v>
      </c>
      <c r="I385" s="18">
        <f>I392/I393</f>
        <v>2.149152613825442E-3</v>
      </c>
      <c r="J385" s="19">
        <f>J392/J393</f>
        <v>2.149152613825442E-3</v>
      </c>
    </row>
    <row r="386" spans="1:10" x14ac:dyDescent="0.25">
      <c r="A386" s="24" t="s">
        <v>23</v>
      </c>
      <c r="B386" s="130">
        <f t="shared" ref="B386:J386" si="157">B397/B380</f>
        <v>35940.5</v>
      </c>
      <c r="C386" s="131">
        <f t="shared" si="157"/>
        <v>31935.922330097092</v>
      </c>
      <c r="D386" s="131">
        <f t="shared" si="157"/>
        <v>29826.315789473687</v>
      </c>
      <c r="E386" s="130">
        <f t="shared" si="157"/>
        <v>28940.875912408759</v>
      </c>
      <c r="F386" s="132">
        <f t="shared" si="157"/>
        <v>35431.658291457294</v>
      </c>
      <c r="G386" s="130">
        <f t="shared" si="157"/>
        <v>36145.606694560673</v>
      </c>
      <c r="H386" s="130">
        <f t="shared" si="157"/>
        <v>33311.707317073167</v>
      </c>
      <c r="I386" s="314">
        <f t="shared" si="157"/>
        <v>33718.629908103598</v>
      </c>
      <c r="J386" s="132">
        <f t="shared" si="157"/>
        <v>33718.629908103598</v>
      </c>
    </row>
    <row r="387" spans="1:10" x14ac:dyDescent="0.25">
      <c r="A387" s="24" t="s">
        <v>24</v>
      </c>
      <c r="B387" s="130">
        <f t="shared" ref="B387:J387" si="158">B397/B374</f>
        <v>29580.658436213991</v>
      </c>
      <c r="C387" s="131">
        <f t="shared" si="158"/>
        <v>29903.636363636368</v>
      </c>
      <c r="D387" s="131">
        <f t="shared" si="158"/>
        <v>28573.109243697483</v>
      </c>
      <c r="E387" s="130">
        <f t="shared" si="158"/>
        <v>27534.027777777777</v>
      </c>
      <c r="F387" s="132">
        <f t="shared" si="158"/>
        <v>32794.883720930236</v>
      </c>
      <c r="G387" s="130">
        <f t="shared" si="158"/>
        <v>30963.440860215054</v>
      </c>
      <c r="H387" s="130">
        <f t="shared" si="158"/>
        <v>29951.315789473683</v>
      </c>
      <c r="I387" s="314">
        <f t="shared" si="158"/>
        <v>30165.321375186853</v>
      </c>
      <c r="J387" s="132">
        <f t="shared" si="158"/>
        <v>30165.321375186853</v>
      </c>
    </row>
    <row r="388" spans="1:10" x14ac:dyDescent="0.25">
      <c r="A388" s="10" t="s">
        <v>25</v>
      </c>
      <c r="B388" s="92">
        <f t="shared" ref="B388:H388" si="159">B393*B381</f>
        <v>1402922.4741379311</v>
      </c>
      <c r="C388" s="133">
        <f t="shared" si="159"/>
        <v>941420.78275862092</v>
      </c>
      <c r="D388" s="133">
        <f t="shared" si="159"/>
        <v>719332.97413793113</v>
      </c>
      <c r="E388" s="92">
        <f t="shared" si="159"/>
        <v>871875.48275862075</v>
      </c>
      <c r="F388" s="134">
        <f t="shared" si="159"/>
        <v>1786658.1206896554</v>
      </c>
      <c r="G388" s="92">
        <f t="shared" si="159"/>
        <v>1543103.3896551724</v>
      </c>
      <c r="H388" s="92">
        <f t="shared" si="159"/>
        <v>1389084.6620689654</v>
      </c>
      <c r="I388" s="92">
        <f>FLORESTA!$B388+FLORESTA!$C388+FLORESTA!$D388+FLORESTA!$E388+FLORESTA!$F388+FLORESTA!$G388+FLORESTA!$H388</f>
        <v>8654397.886206897</v>
      </c>
      <c r="J388" s="133">
        <f>FLORESTA!$I388/7</f>
        <v>1236342.5551724138</v>
      </c>
    </row>
    <row r="389" spans="1:10" x14ac:dyDescent="0.25">
      <c r="A389" s="10" t="s">
        <v>26</v>
      </c>
      <c r="B389" s="92">
        <f t="shared" ref="B389:H389" si="160">B393*B382</f>
        <v>304983.14655172417</v>
      </c>
      <c r="C389" s="133">
        <f t="shared" si="160"/>
        <v>55377.693103448284</v>
      </c>
      <c r="D389" s="133">
        <f t="shared" si="160"/>
        <v>0</v>
      </c>
      <c r="E389" s="92">
        <f t="shared" si="160"/>
        <v>134134.68965517241</v>
      </c>
      <c r="F389" s="134">
        <f t="shared" si="160"/>
        <v>0</v>
      </c>
      <c r="G389" s="92">
        <f t="shared" si="160"/>
        <v>220443.34137931035</v>
      </c>
      <c r="H389" s="92">
        <f t="shared" si="160"/>
        <v>115757.05517241379</v>
      </c>
      <c r="I389" s="92">
        <f>FLORESTA!$B389+FLORESTA!$C389+FLORESTA!$D389+FLORESTA!$E389+FLORESTA!$F389+FLORESTA!$G389+FLORESTA!$H389</f>
        <v>830695.92586206901</v>
      </c>
      <c r="J389" s="133">
        <f>FLORESTA!$I389/7</f>
        <v>118670.84655172414</v>
      </c>
    </row>
    <row r="390" spans="1:10" x14ac:dyDescent="0.25">
      <c r="A390" s="10" t="s">
        <v>27</v>
      </c>
      <c r="B390" s="92">
        <f t="shared" ref="B390:H390" si="161">B393*B383</f>
        <v>4391757.3103448274</v>
      </c>
      <c r="C390" s="133">
        <f t="shared" si="161"/>
        <v>1772086.1793103451</v>
      </c>
      <c r="D390" s="133">
        <f t="shared" si="161"/>
        <v>2157998.9224137934</v>
      </c>
      <c r="E390" s="92">
        <f t="shared" si="161"/>
        <v>2347357.068965517</v>
      </c>
      <c r="F390" s="134">
        <f t="shared" si="161"/>
        <v>4168868.9482758623</v>
      </c>
      <c r="G390" s="92">
        <f t="shared" si="161"/>
        <v>5511083.5344827585</v>
      </c>
      <c r="H390" s="92">
        <f t="shared" si="161"/>
        <v>4283011.0413793102</v>
      </c>
      <c r="I390" s="92">
        <f>FLORESTA!$B390+FLORESTA!$C390+FLORESTA!$D390+FLORESTA!$E390+FLORESTA!$F390+FLORESTA!$G390+FLORESTA!$H390</f>
        <v>24632163.005172417</v>
      </c>
      <c r="J390" s="133">
        <f>FLORESTA!$I390/7</f>
        <v>3518880.4293103451</v>
      </c>
    </row>
    <row r="391" spans="1:10" x14ac:dyDescent="0.25">
      <c r="A391" s="10" t="s">
        <v>28</v>
      </c>
      <c r="B391" s="92">
        <f t="shared" ref="B391:H391" si="162">B393*B384</f>
        <v>0</v>
      </c>
      <c r="C391" s="133">
        <f t="shared" si="162"/>
        <v>0</v>
      </c>
      <c r="D391" s="133">
        <f t="shared" si="162"/>
        <v>0</v>
      </c>
      <c r="E391" s="92">
        <f t="shared" si="162"/>
        <v>0</v>
      </c>
      <c r="F391" s="134">
        <f t="shared" si="162"/>
        <v>0</v>
      </c>
      <c r="G391" s="92">
        <f t="shared" si="162"/>
        <v>0</v>
      </c>
      <c r="H391" s="92">
        <f t="shared" si="162"/>
        <v>0</v>
      </c>
      <c r="I391" s="92">
        <f>FLORESTA!$B391+FLORESTA!$C391+FLORESTA!$D391+FLORESTA!$E391+FLORESTA!$F391+FLORESTA!$G391+FLORESTA!$H391</f>
        <v>0</v>
      </c>
      <c r="J391" s="133">
        <f>FLORESTA!$I391/7</f>
        <v>0</v>
      </c>
    </row>
    <row r="392" spans="1:10" x14ac:dyDescent="0.25">
      <c r="A392" s="10" t="s">
        <v>29</v>
      </c>
      <c r="B392" s="92">
        <f t="shared" ref="B392:H392" si="163">B393*B385</f>
        <v>0</v>
      </c>
      <c r="C392" s="133">
        <f t="shared" si="163"/>
        <v>0</v>
      </c>
      <c r="D392" s="133">
        <f t="shared" si="163"/>
        <v>0</v>
      </c>
      <c r="E392" s="92">
        <f t="shared" si="163"/>
        <v>0</v>
      </c>
      <c r="F392" s="134">
        <f t="shared" si="163"/>
        <v>0</v>
      </c>
      <c r="G392" s="92">
        <f t="shared" si="163"/>
        <v>73481.113793103461</v>
      </c>
      <c r="H392" s="92">
        <f t="shared" si="163"/>
        <v>0</v>
      </c>
      <c r="I392" s="92">
        <f>FLORESTA!$B392+FLORESTA!$C392+FLORESTA!$D392+FLORESTA!$E392+FLORESTA!$F392+FLORESTA!$G392+FLORESTA!$H392</f>
        <v>73481.113793103461</v>
      </c>
      <c r="J392" s="133">
        <f>FLORESTA!$I392/7</f>
        <v>10497.301970443352</v>
      </c>
    </row>
    <row r="393" spans="1:10" x14ac:dyDescent="0.25">
      <c r="A393" s="33" t="s">
        <v>30</v>
      </c>
      <c r="B393" s="91">
        <f>(7188100/1.16)-B394</f>
        <v>6099662.931034483</v>
      </c>
      <c r="C393" s="136">
        <f>(3289400/1.16)-C394</f>
        <v>2768884.6551724141</v>
      </c>
      <c r="D393" s="136">
        <f>(3400200/1.16)-D394</f>
        <v>2877331.8965517245</v>
      </c>
      <c r="E393" s="91">
        <f>(3964900/1.16)-E394</f>
        <v>3353367.2413793104</v>
      </c>
      <c r="F393" s="137">
        <f>(7050900/1.16)-F394</f>
        <v>5955527.0689655179</v>
      </c>
      <c r="G393" s="91">
        <f>(8638800/1.16)-G394</f>
        <v>7348111.3793103453</v>
      </c>
      <c r="H393" s="91">
        <f>(6828900/1.16)-H394</f>
        <v>5787852.7586206896</v>
      </c>
      <c r="I393" s="91">
        <f>SUM(I388:I392)</f>
        <v>34190737.93103449</v>
      </c>
      <c r="J393" s="136">
        <f>FLORESTA!$I393/7</f>
        <v>4884391.1330049271</v>
      </c>
    </row>
    <row r="394" spans="1:10" x14ac:dyDescent="0.25">
      <c r="A394" s="10" t="s">
        <v>31</v>
      </c>
      <c r="B394" s="94">
        <f t="shared" ref="B394:J394" si="164">2155*B375</f>
        <v>96975</v>
      </c>
      <c r="C394" s="139">
        <f t="shared" si="164"/>
        <v>66805</v>
      </c>
      <c r="D394" s="139">
        <f t="shared" si="164"/>
        <v>53875</v>
      </c>
      <c r="E394" s="94">
        <f t="shared" si="164"/>
        <v>64650</v>
      </c>
      <c r="F394" s="112">
        <f t="shared" si="164"/>
        <v>122835</v>
      </c>
      <c r="G394" s="94">
        <f t="shared" si="164"/>
        <v>99130</v>
      </c>
      <c r="H394" s="94">
        <f t="shared" si="164"/>
        <v>99130</v>
      </c>
      <c r="I394" s="94">
        <f t="shared" si="164"/>
        <v>603400</v>
      </c>
      <c r="J394" s="139">
        <f t="shared" si="164"/>
        <v>86200</v>
      </c>
    </row>
    <row r="395" spans="1:10" x14ac:dyDescent="0.25">
      <c r="A395" s="37" t="s">
        <v>32</v>
      </c>
      <c r="B395" s="39">
        <f t="shared" ref="B395:H395" si="165">B393+B394</f>
        <v>6196637.931034483</v>
      </c>
      <c r="C395" s="40">
        <f t="shared" si="165"/>
        <v>2835689.6551724141</v>
      </c>
      <c r="D395" s="40">
        <f t="shared" si="165"/>
        <v>2931206.8965517245</v>
      </c>
      <c r="E395" s="39">
        <f t="shared" si="165"/>
        <v>3418017.2413793104</v>
      </c>
      <c r="F395" s="140">
        <f t="shared" si="165"/>
        <v>6078362.0689655179</v>
      </c>
      <c r="G395" s="39">
        <f t="shared" si="165"/>
        <v>7447241.3793103453</v>
      </c>
      <c r="H395" s="39">
        <f t="shared" si="165"/>
        <v>5886982.7586206896</v>
      </c>
      <c r="I395" s="39">
        <f>I393+I394</f>
        <v>34794137.93103449</v>
      </c>
      <c r="J395" s="40">
        <f>J393+J394</f>
        <v>4970591.1330049271</v>
      </c>
    </row>
    <row r="396" spans="1:10" x14ac:dyDescent="0.25">
      <c r="A396" s="10" t="s">
        <v>33</v>
      </c>
      <c r="B396" s="41">
        <f t="shared" ref="B396:H396" si="166">B395*16%</f>
        <v>991462.06896551733</v>
      </c>
      <c r="C396" s="42">
        <f t="shared" si="166"/>
        <v>453710.34482758626</v>
      </c>
      <c r="D396" s="42">
        <f t="shared" si="166"/>
        <v>468993.10344827594</v>
      </c>
      <c r="E396" s="41">
        <f t="shared" si="166"/>
        <v>546882.75862068962</v>
      </c>
      <c r="F396" s="141">
        <f t="shared" si="166"/>
        <v>972537.9310344829</v>
      </c>
      <c r="G396" s="41">
        <f t="shared" si="166"/>
        <v>1191558.6206896552</v>
      </c>
      <c r="H396" s="41">
        <f t="shared" si="166"/>
        <v>941917.24137931038</v>
      </c>
      <c r="I396" s="41">
        <f>I395*16%</f>
        <v>5567062.0689655188</v>
      </c>
      <c r="J396" s="42">
        <f>J395*16%</f>
        <v>795294.58128078841</v>
      </c>
    </row>
    <row r="397" spans="1:10" x14ac:dyDescent="0.25">
      <c r="A397" s="43" t="s">
        <v>34</v>
      </c>
      <c r="B397" s="315">
        <f t="shared" ref="B397:H397" si="167">B395+B396</f>
        <v>7188100</v>
      </c>
      <c r="C397" s="315">
        <f t="shared" si="167"/>
        <v>3289400.0000000005</v>
      </c>
      <c r="D397" s="315">
        <f t="shared" si="167"/>
        <v>3400200.0000000005</v>
      </c>
      <c r="E397" s="178">
        <f t="shared" si="167"/>
        <v>3964900</v>
      </c>
      <c r="F397" s="182">
        <f t="shared" si="167"/>
        <v>7050900.0000000009</v>
      </c>
      <c r="G397" s="178">
        <f t="shared" si="167"/>
        <v>8638800</v>
      </c>
      <c r="H397" s="178">
        <f t="shared" si="167"/>
        <v>6828900</v>
      </c>
      <c r="I397" s="178">
        <f>I395+I396</f>
        <v>40361200.000000007</v>
      </c>
      <c r="J397" s="315">
        <f>FLORESTA!$I397/7</f>
        <v>5765885.7142857155</v>
      </c>
    </row>
    <row r="400" spans="1:10" ht="12.75" customHeight="1" x14ac:dyDescent="0.25">
      <c r="A400" s="149"/>
      <c r="B400" s="1006" t="s">
        <v>146</v>
      </c>
      <c r="C400" s="1006"/>
      <c r="D400" s="1006"/>
      <c r="E400" s="1006"/>
      <c r="F400" s="1006"/>
      <c r="G400" s="1006"/>
      <c r="H400" s="1006"/>
      <c r="I400" s="1006"/>
    </row>
    <row r="401" spans="1:10" x14ac:dyDescent="0.25">
      <c r="A401" s="149"/>
      <c r="B401" s="1006"/>
      <c r="C401" s="1006"/>
      <c r="D401" s="1006"/>
      <c r="E401" s="1006"/>
      <c r="F401" s="1006"/>
      <c r="G401" s="1006"/>
      <c r="H401" s="1006"/>
      <c r="I401" s="1006"/>
    </row>
    <row r="402" spans="1:10" ht="15.75" x14ac:dyDescent="0.25">
      <c r="A402" s="72" t="s">
        <v>2</v>
      </c>
      <c r="B402" s="121" t="s">
        <v>193</v>
      </c>
      <c r="C402" s="51" t="s">
        <v>194</v>
      </c>
      <c r="D402" s="121" t="s">
        <v>195</v>
      </c>
      <c r="E402" s="51" t="s">
        <v>196</v>
      </c>
      <c r="F402" s="51" t="s">
        <v>197</v>
      </c>
      <c r="G402" s="121" t="s">
        <v>198</v>
      </c>
      <c r="H402" s="121" t="s">
        <v>199</v>
      </c>
      <c r="I402" s="51" t="s">
        <v>10</v>
      </c>
      <c r="J402" s="310" t="s">
        <v>77</v>
      </c>
    </row>
    <row r="403" spans="1:10" x14ac:dyDescent="0.25">
      <c r="A403" s="74" t="s">
        <v>11</v>
      </c>
      <c r="B403" s="55">
        <v>97</v>
      </c>
      <c r="C403" s="56">
        <v>113</v>
      </c>
      <c r="D403" s="54">
        <v>126</v>
      </c>
      <c r="E403" s="316">
        <v>124</v>
      </c>
      <c r="F403" s="311">
        <v>223</v>
      </c>
      <c r="G403" s="58">
        <v>270</v>
      </c>
      <c r="H403" s="57">
        <v>222</v>
      </c>
      <c r="I403" s="311">
        <f t="shared" ref="I403:I408" si="168">SUM(B403:H403)</f>
        <v>1175</v>
      </c>
      <c r="J403" s="317">
        <f>FLORESTA!$I403/7</f>
        <v>167.85714285714286</v>
      </c>
    </row>
    <row r="404" spans="1:10" x14ac:dyDescent="0.25">
      <c r="A404" s="10" t="s">
        <v>12</v>
      </c>
      <c r="B404" s="11">
        <v>19</v>
      </c>
      <c r="C404" s="13">
        <v>27</v>
      </c>
      <c r="D404" s="320">
        <v>27</v>
      </c>
      <c r="E404" s="11">
        <v>28</v>
      </c>
      <c r="F404" s="125">
        <v>48</v>
      </c>
      <c r="G404" s="11">
        <v>55</v>
      </c>
      <c r="H404" s="11">
        <v>50</v>
      </c>
      <c r="I404" s="313">
        <f t="shared" si="168"/>
        <v>254</v>
      </c>
      <c r="J404" s="318">
        <f>FLORESTA!$I404/7</f>
        <v>36.285714285714285</v>
      </c>
    </row>
    <row r="405" spans="1:10" ht="15" customHeight="1" x14ac:dyDescent="0.25">
      <c r="A405" s="10" t="s">
        <v>13</v>
      </c>
      <c r="B405" s="11">
        <v>0</v>
      </c>
      <c r="C405" s="13">
        <v>2</v>
      </c>
      <c r="D405" s="13">
        <v>1</v>
      </c>
      <c r="E405" s="11">
        <v>0</v>
      </c>
      <c r="F405" s="125">
        <v>0</v>
      </c>
      <c r="G405" s="11">
        <v>4</v>
      </c>
      <c r="H405" s="11">
        <v>3</v>
      </c>
      <c r="I405" s="313">
        <f t="shared" si="168"/>
        <v>10</v>
      </c>
      <c r="J405" s="318">
        <f>C405+D405+E405+F405+G405+H405+I405</f>
        <v>20</v>
      </c>
    </row>
    <row r="406" spans="1:10" x14ac:dyDescent="0.25">
      <c r="A406" s="10" t="s">
        <v>14</v>
      </c>
      <c r="B406" s="11">
        <v>64</v>
      </c>
      <c r="C406" s="13">
        <v>75</v>
      </c>
      <c r="D406" s="13">
        <v>86</v>
      </c>
      <c r="E406" s="11">
        <v>88</v>
      </c>
      <c r="F406" s="125">
        <v>142</v>
      </c>
      <c r="G406" s="11">
        <v>191</v>
      </c>
      <c r="H406" s="11">
        <v>132</v>
      </c>
      <c r="I406" s="313">
        <f t="shared" si="168"/>
        <v>778</v>
      </c>
      <c r="J406" s="318">
        <f>FLORESTA!$I406/7</f>
        <v>111.14285714285714</v>
      </c>
    </row>
    <row r="407" spans="1:10" x14ac:dyDescent="0.25">
      <c r="A407" s="10" t="s">
        <v>15</v>
      </c>
      <c r="B407" s="11">
        <v>0</v>
      </c>
      <c r="C407" s="13">
        <v>0</v>
      </c>
      <c r="D407" s="13">
        <v>1</v>
      </c>
      <c r="E407" s="11">
        <v>0</v>
      </c>
      <c r="F407" s="125">
        <v>0</v>
      </c>
      <c r="G407" s="11">
        <v>0</v>
      </c>
      <c r="H407" s="11">
        <v>0</v>
      </c>
      <c r="I407" s="313">
        <f t="shared" si="168"/>
        <v>1</v>
      </c>
      <c r="J407" s="318">
        <f>FLORESTA!$I407/7</f>
        <v>0.14285714285714285</v>
      </c>
    </row>
    <row r="408" spans="1:10" x14ac:dyDescent="0.25">
      <c r="A408" s="10" t="s">
        <v>16</v>
      </c>
      <c r="B408" s="11">
        <v>0</v>
      </c>
      <c r="C408" s="13">
        <v>0</v>
      </c>
      <c r="D408" s="13">
        <v>0</v>
      </c>
      <c r="E408" s="11">
        <v>0</v>
      </c>
      <c r="F408" s="125">
        <v>0</v>
      </c>
      <c r="G408" s="11">
        <v>0</v>
      </c>
      <c r="H408" s="11">
        <v>0</v>
      </c>
      <c r="I408" s="313">
        <f t="shared" si="168"/>
        <v>0</v>
      </c>
      <c r="J408" s="318">
        <f>FLORESTA!$I408/7</f>
        <v>0</v>
      </c>
    </row>
    <row r="409" spans="1:10" x14ac:dyDescent="0.25">
      <c r="A409" s="15" t="s">
        <v>17</v>
      </c>
      <c r="B409" s="79">
        <f t="shared" ref="B409:I409" si="169">SUM(B404:B408)</f>
        <v>83</v>
      </c>
      <c r="C409" s="79">
        <f t="shared" si="169"/>
        <v>104</v>
      </c>
      <c r="D409" s="79">
        <f t="shared" si="169"/>
        <v>115</v>
      </c>
      <c r="E409" s="103">
        <f t="shared" si="169"/>
        <v>116</v>
      </c>
      <c r="F409" s="213">
        <f t="shared" si="169"/>
        <v>190</v>
      </c>
      <c r="G409" s="103">
        <f t="shared" si="169"/>
        <v>250</v>
      </c>
      <c r="H409" s="103">
        <f t="shared" si="169"/>
        <v>185</v>
      </c>
      <c r="I409" s="103">
        <f t="shared" si="169"/>
        <v>1043</v>
      </c>
      <c r="J409" s="319">
        <f>FLORESTA!$I409/7</f>
        <v>149</v>
      </c>
    </row>
    <row r="410" spans="1:10" x14ac:dyDescent="0.25">
      <c r="A410" s="10" t="s">
        <v>18</v>
      </c>
      <c r="B410" s="18">
        <v>0.26</v>
      </c>
      <c r="C410" s="19">
        <v>0.35</v>
      </c>
      <c r="D410" s="19">
        <v>0.27</v>
      </c>
      <c r="E410" s="18">
        <v>0.28000000000000003</v>
      </c>
      <c r="F410" s="129">
        <v>0.27</v>
      </c>
      <c r="G410" s="18">
        <v>0.26</v>
      </c>
      <c r="H410" s="18">
        <v>0.27</v>
      </c>
      <c r="I410" s="18">
        <f>I417/I422</f>
        <v>0.27540010262449499</v>
      </c>
      <c r="J410" s="19">
        <f>J417/J422</f>
        <v>0.27540010262449494</v>
      </c>
    </row>
    <row r="411" spans="1:10" x14ac:dyDescent="0.25">
      <c r="A411" s="10" t="s">
        <v>19</v>
      </c>
      <c r="B411" s="18">
        <v>0</v>
      </c>
      <c r="C411" s="19">
        <v>0.01</v>
      </c>
      <c r="D411" s="19">
        <v>0</v>
      </c>
      <c r="E411" s="18">
        <v>0</v>
      </c>
      <c r="F411" s="129">
        <v>0</v>
      </c>
      <c r="G411" s="18">
        <v>0.01</v>
      </c>
      <c r="H411" s="18">
        <v>0.03</v>
      </c>
      <c r="I411" s="18">
        <f>I418/I422</f>
        <v>8.9442618310381552E-3</v>
      </c>
      <c r="J411" s="19">
        <f>J418/J422</f>
        <v>8.9442618310381552E-3</v>
      </c>
    </row>
    <row r="412" spans="1:10" x14ac:dyDescent="0.25">
      <c r="A412" s="10" t="s">
        <v>20</v>
      </c>
      <c r="B412" s="18">
        <v>0.74</v>
      </c>
      <c r="C412" s="19">
        <v>0.64</v>
      </c>
      <c r="D412" s="19">
        <v>0.72</v>
      </c>
      <c r="E412" s="18">
        <v>0.72</v>
      </c>
      <c r="F412" s="297">
        <v>0.73</v>
      </c>
      <c r="G412" s="18">
        <v>0.73</v>
      </c>
      <c r="H412" s="18">
        <v>0.7</v>
      </c>
      <c r="I412" s="18">
        <f>I419/I422</f>
        <v>0.71464932198754894</v>
      </c>
      <c r="J412" s="19">
        <f>J419/J422</f>
        <v>0.71464932198754882</v>
      </c>
    </row>
    <row r="413" spans="1:10" x14ac:dyDescent="0.25">
      <c r="A413" s="10" t="s">
        <v>21</v>
      </c>
      <c r="B413" s="18">
        <v>0</v>
      </c>
      <c r="C413" s="19">
        <v>0</v>
      </c>
      <c r="D413" s="19">
        <v>0.01</v>
      </c>
      <c r="E413" s="18">
        <v>0</v>
      </c>
      <c r="F413" s="297">
        <v>0</v>
      </c>
      <c r="G413" s="18">
        <v>0</v>
      </c>
      <c r="H413" s="18">
        <v>0</v>
      </c>
      <c r="I413" s="18">
        <f>I420/I422</f>
        <v>1.0063135569179339E-3</v>
      </c>
      <c r="J413" s="19">
        <f>J420/J422</f>
        <v>1.0063135569179336E-3</v>
      </c>
    </row>
    <row r="414" spans="1:10" x14ac:dyDescent="0.25">
      <c r="A414" s="10" t="s">
        <v>22</v>
      </c>
      <c r="B414" s="18">
        <v>0</v>
      </c>
      <c r="C414" s="19">
        <v>0</v>
      </c>
      <c r="D414" s="19">
        <v>0</v>
      </c>
      <c r="E414" s="18">
        <v>0</v>
      </c>
      <c r="F414" s="297">
        <v>0</v>
      </c>
      <c r="G414" s="18">
        <v>0</v>
      </c>
      <c r="H414" s="18">
        <v>0</v>
      </c>
      <c r="I414" s="18">
        <f>I421/I422</f>
        <v>0</v>
      </c>
      <c r="J414" s="19">
        <f>J421/J422</f>
        <v>0</v>
      </c>
    </row>
    <row r="415" spans="1:10" x14ac:dyDescent="0.25">
      <c r="A415" s="24" t="s">
        <v>23</v>
      </c>
      <c r="B415" s="130">
        <f t="shared" ref="B415:J415" si="170">B426/B409</f>
        <v>29712.04819277109</v>
      </c>
      <c r="C415" s="131">
        <f t="shared" si="170"/>
        <v>31451.923076923078</v>
      </c>
      <c r="D415" s="131">
        <f t="shared" si="170"/>
        <v>30649.565217391304</v>
      </c>
      <c r="E415" s="130">
        <f t="shared" si="170"/>
        <v>33798.275862068964</v>
      </c>
      <c r="F415" s="132">
        <f t="shared" si="170"/>
        <v>35254.73684210526</v>
      </c>
      <c r="G415" s="130">
        <f t="shared" si="170"/>
        <v>34581.599999999999</v>
      </c>
      <c r="H415" s="130">
        <f t="shared" si="170"/>
        <v>34940.000000000007</v>
      </c>
      <c r="I415" s="314">
        <f t="shared" si="170"/>
        <v>33547.555129434324</v>
      </c>
      <c r="J415" s="132">
        <f t="shared" si="170"/>
        <v>33547.555129434324</v>
      </c>
    </row>
    <row r="416" spans="1:10" x14ac:dyDescent="0.25">
      <c r="A416" s="24" t="s">
        <v>24</v>
      </c>
      <c r="B416" s="130">
        <f t="shared" ref="B416:J416" si="171">B426/B403</f>
        <v>25423.711340206191</v>
      </c>
      <c r="C416" s="131">
        <f t="shared" si="171"/>
        <v>28946.902654867255</v>
      </c>
      <c r="D416" s="131">
        <f t="shared" si="171"/>
        <v>27973.809523809523</v>
      </c>
      <c r="E416" s="130">
        <f t="shared" si="171"/>
        <v>31617.741935483871</v>
      </c>
      <c r="F416" s="132">
        <f t="shared" si="171"/>
        <v>30037.668161434976</v>
      </c>
      <c r="G416" s="130">
        <f t="shared" si="171"/>
        <v>32020</v>
      </c>
      <c r="H416" s="130">
        <f t="shared" si="171"/>
        <v>29116.666666666672</v>
      </c>
      <c r="I416" s="314">
        <f t="shared" si="171"/>
        <v>29778.808510638297</v>
      </c>
      <c r="J416" s="132">
        <f t="shared" si="171"/>
        <v>29778.808510638301</v>
      </c>
    </row>
    <row r="417" spans="1:12" x14ac:dyDescent="0.25">
      <c r="A417" s="10" t="s">
        <v>25</v>
      </c>
      <c r="B417" s="92">
        <f t="shared" ref="B417:G417" si="172">B422*B410</f>
        <v>542100.85172413802</v>
      </c>
      <c r="C417" s="133">
        <f t="shared" si="172"/>
        <v>966574.9051724138</v>
      </c>
      <c r="D417" s="133">
        <f t="shared" si="172"/>
        <v>804694.36034482764</v>
      </c>
      <c r="E417" s="92">
        <f t="shared" si="172"/>
        <v>929456.52413793118</v>
      </c>
      <c r="F417" s="134">
        <f t="shared" si="172"/>
        <v>1531181.5448275863</v>
      </c>
      <c r="G417" s="92">
        <f t="shared" si="172"/>
        <v>1906945.5689655175</v>
      </c>
      <c r="H417" s="92">
        <f>H422*H410</f>
        <v>1475435.9482758623</v>
      </c>
      <c r="I417" s="92">
        <f>FLORESTA!$B417+FLORESTA!$C417+FLORESTA!$D417+FLORESTA!$E417+FLORESTA!$F417+FLORESTA!$G417+FLORESTA!$H417</f>
        <v>8156389.703448277</v>
      </c>
      <c r="J417" s="133">
        <f>FLORESTA!$I417/7</f>
        <v>1165198.5290640395</v>
      </c>
    </row>
    <row r="418" spans="1:12" x14ac:dyDescent="0.25">
      <c r="A418" s="10" t="s">
        <v>26</v>
      </c>
      <c r="B418" s="92">
        <f t="shared" ref="B418:G418" si="173">B422*B411</f>
        <v>0</v>
      </c>
      <c r="C418" s="133">
        <f t="shared" si="173"/>
        <v>27616.425862068969</v>
      </c>
      <c r="D418" s="133">
        <f t="shared" si="173"/>
        <v>0</v>
      </c>
      <c r="E418" s="92">
        <f t="shared" si="173"/>
        <v>0</v>
      </c>
      <c r="F418" s="134">
        <f t="shared" si="173"/>
        <v>0</v>
      </c>
      <c r="G418" s="92">
        <f t="shared" si="173"/>
        <v>73344.060344827594</v>
      </c>
      <c r="H418" s="92">
        <f>H422*H411</f>
        <v>163937.3275862069</v>
      </c>
      <c r="I418" s="92">
        <f>FLORESTA!$B418+FLORESTA!$C418+FLORESTA!$D418+FLORESTA!$E418+FLORESTA!$F418+FLORESTA!$G418+FLORESTA!$H418</f>
        <v>264897.81379310344</v>
      </c>
      <c r="J418" s="133">
        <f>FLORESTA!$I418/7</f>
        <v>37842.544827586207</v>
      </c>
    </row>
    <row r="419" spans="1:12" x14ac:dyDescent="0.25">
      <c r="A419" s="10" t="s">
        <v>27</v>
      </c>
      <c r="B419" s="92">
        <f t="shared" ref="B419:G419" si="174">B422*B412</f>
        <v>1542902.4241379313</v>
      </c>
      <c r="C419" s="133">
        <f t="shared" si="174"/>
        <v>1767451.255172414</v>
      </c>
      <c r="D419" s="133">
        <f t="shared" si="174"/>
        <v>2145851.6275862069</v>
      </c>
      <c r="E419" s="92">
        <f t="shared" si="174"/>
        <v>2390031.0620689658</v>
      </c>
      <c r="F419" s="134">
        <f t="shared" si="174"/>
        <v>4139861.2137931031</v>
      </c>
      <c r="G419" s="92">
        <f t="shared" si="174"/>
        <v>5354116.4051724141</v>
      </c>
      <c r="H419" s="92">
        <f>H422*H412</f>
        <v>3825204.3103448278</v>
      </c>
      <c r="I419" s="92">
        <f>FLORESTA!$B419+FLORESTA!$C419+FLORESTA!$D419+FLORESTA!$E419+FLORESTA!$F419+FLORESTA!$G419+FLORESTA!$H419</f>
        <v>21165418.298275862</v>
      </c>
      <c r="J419" s="133">
        <f>FLORESTA!$I419/7</f>
        <v>3023631.1854679803</v>
      </c>
    </row>
    <row r="420" spans="1:12" x14ac:dyDescent="0.25">
      <c r="A420" s="10" t="s">
        <v>28</v>
      </c>
      <c r="B420" s="92">
        <f t="shared" ref="B420:H420" si="175">B422*B413</f>
        <v>0</v>
      </c>
      <c r="C420" s="133">
        <f t="shared" si="175"/>
        <v>0</v>
      </c>
      <c r="D420" s="133">
        <f t="shared" si="175"/>
        <v>29803.494827586208</v>
      </c>
      <c r="E420" s="92">
        <f t="shared" si="175"/>
        <v>0</v>
      </c>
      <c r="F420" s="134">
        <f t="shared" si="175"/>
        <v>0</v>
      </c>
      <c r="G420" s="92">
        <f t="shared" si="175"/>
        <v>0</v>
      </c>
      <c r="H420" s="92">
        <f t="shared" si="175"/>
        <v>0</v>
      </c>
      <c r="I420" s="92">
        <f>FLORESTA!$B420+FLORESTA!$C420+FLORESTA!$D420+FLORESTA!$E420+FLORESTA!$F420+FLORESTA!$G420+FLORESTA!$H420</f>
        <v>29803.494827586208</v>
      </c>
      <c r="J420" s="133">
        <f>FLORESTA!$I420/7</f>
        <v>4257.6421182266013</v>
      </c>
    </row>
    <row r="421" spans="1:12" x14ac:dyDescent="0.25">
      <c r="A421" s="10" t="s">
        <v>29</v>
      </c>
      <c r="B421" s="92">
        <f t="shared" ref="B421:H421" si="176">B422*B414</f>
        <v>0</v>
      </c>
      <c r="C421" s="133">
        <f t="shared" si="176"/>
        <v>0</v>
      </c>
      <c r="D421" s="133">
        <f t="shared" si="176"/>
        <v>0</v>
      </c>
      <c r="E421" s="92">
        <f t="shared" si="176"/>
        <v>0</v>
      </c>
      <c r="F421" s="134">
        <f t="shared" si="176"/>
        <v>0</v>
      </c>
      <c r="G421" s="92">
        <f t="shared" si="176"/>
        <v>0</v>
      </c>
      <c r="H421" s="92">
        <f t="shared" si="176"/>
        <v>0</v>
      </c>
      <c r="I421" s="92">
        <f>FLORESTA!$B421+FLORESTA!$C421+FLORESTA!$D421+FLORESTA!$E421+FLORESTA!$F421+FLORESTA!$G421+FLORESTA!$H421</f>
        <v>0</v>
      </c>
      <c r="J421" s="133">
        <f>FLORESTA!$I421/7</f>
        <v>0</v>
      </c>
    </row>
    <row r="422" spans="1:12" x14ac:dyDescent="0.25">
      <c r="A422" s="33" t="s">
        <v>30</v>
      </c>
      <c r="B422" s="91">
        <f>(2466100/1.16)-B423</f>
        <v>2085003.2758620693</v>
      </c>
      <c r="C422" s="136">
        <f>(3271000/1.16)-C423</f>
        <v>2761642.5862068967</v>
      </c>
      <c r="D422" s="136">
        <f>(3524700/1.16)-D423</f>
        <v>2980349.4827586208</v>
      </c>
      <c r="E422" s="91">
        <f>(3920600/1.16)-E423</f>
        <v>3319487.5862068967</v>
      </c>
      <c r="F422" s="137">
        <f>(6698400/1.16)-F423</f>
        <v>5671042.7586206896</v>
      </c>
      <c r="G422" s="91">
        <f>(8645400/1.16)-G423</f>
        <v>7334406.0344827594</v>
      </c>
      <c r="H422" s="91">
        <f>(6463900/1.16)-H423</f>
        <v>5464577.5862068972</v>
      </c>
      <c r="I422" s="91">
        <f>SUM(I417:I421)</f>
        <v>29616509.31034483</v>
      </c>
      <c r="J422" s="136">
        <f>FLORESTA!$I422/7</f>
        <v>4230929.9014778333</v>
      </c>
    </row>
    <row r="423" spans="1:12" x14ac:dyDescent="0.25">
      <c r="A423" s="10" t="s">
        <v>31</v>
      </c>
      <c r="B423" s="94">
        <f t="shared" ref="B423:J423" si="177">2155*B404</f>
        <v>40945</v>
      </c>
      <c r="C423" s="139">
        <f t="shared" si="177"/>
        <v>58185</v>
      </c>
      <c r="D423" s="139">
        <f t="shared" si="177"/>
        <v>58185</v>
      </c>
      <c r="E423" s="94">
        <f t="shared" si="177"/>
        <v>60340</v>
      </c>
      <c r="F423" s="112">
        <f t="shared" si="177"/>
        <v>103440</v>
      </c>
      <c r="G423" s="94">
        <f t="shared" si="177"/>
        <v>118525</v>
      </c>
      <c r="H423" s="94">
        <f t="shared" si="177"/>
        <v>107750</v>
      </c>
      <c r="I423" s="94">
        <f t="shared" si="177"/>
        <v>547370</v>
      </c>
      <c r="J423" s="139">
        <f t="shared" si="177"/>
        <v>78195.71428571429</v>
      </c>
    </row>
    <row r="424" spans="1:12" x14ac:dyDescent="0.25">
      <c r="A424" s="37" t="s">
        <v>32</v>
      </c>
      <c r="B424" s="39">
        <f t="shared" ref="B424:H424" si="178">B422+B423</f>
        <v>2125948.2758620693</v>
      </c>
      <c r="C424" s="40">
        <f t="shared" si="178"/>
        <v>2819827.5862068967</v>
      </c>
      <c r="D424" s="40">
        <f t="shared" si="178"/>
        <v>3038534.4827586208</v>
      </c>
      <c r="E424" s="39">
        <f t="shared" si="178"/>
        <v>3379827.5862068967</v>
      </c>
      <c r="F424" s="140">
        <f t="shared" si="178"/>
        <v>5774482.7586206896</v>
      </c>
      <c r="G424" s="39">
        <f t="shared" si="178"/>
        <v>7452931.0344827594</v>
      </c>
      <c r="H424" s="39">
        <f t="shared" si="178"/>
        <v>5572327.5862068972</v>
      </c>
      <c r="I424" s="39">
        <f>I422+I423</f>
        <v>30163879.31034483</v>
      </c>
      <c r="J424" s="40">
        <f>J422+J423</f>
        <v>4309125.6157635478</v>
      </c>
    </row>
    <row r="425" spans="1:12" x14ac:dyDescent="0.25">
      <c r="A425" s="10" t="s">
        <v>33</v>
      </c>
      <c r="B425" s="41">
        <f t="shared" ref="B425:H425" si="179">B424*16%</f>
        <v>340151.72413793107</v>
      </c>
      <c r="C425" s="42">
        <f t="shared" si="179"/>
        <v>451172.41379310348</v>
      </c>
      <c r="D425" s="42">
        <f t="shared" si="179"/>
        <v>486165.5172413793</v>
      </c>
      <c r="E425" s="41">
        <f t="shared" si="179"/>
        <v>540772.41379310354</v>
      </c>
      <c r="F425" s="141">
        <f t="shared" si="179"/>
        <v>923917.24137931038</v>
      </c>
      <c r="G425" s="41">
        <f t="shared" si="179"/>
        <v>1192468.9655172415</v>
      </c>
      <c r="H425" s="41">
        <f t="shared" si="179"/>
        <v>891572.41379310354</v>
      </c>
      <c r="I425" s="41">
        <f>I424*16%</f>
        <v>4826220.6896551726</v>
      </c>
      <c r="J425" s="42">
        <f>J424*16%</f>
        <v>689460.09852216765</v>
      </c>
    </row>
    <row r="426" spans="1:12" x14ac:dyDescent="0.25">
      <c r="A426" s="43" t="s">
        <v>34</v>
      </c>
      <c r="B426" s="315">
        <f t="shared" ref="B426:H426" si="180">B424+B425</f>
        <v>2466100.0000000005</v>
      </c>
      <c r="C426" s="315">
        <f t="shared" si="180"/>
        <v>3271000</v>
      </c>
      <c r="D426" s="315">
        <f t="shared" si="180"/>
        <v>3524700</v>
      </c>
      <c r="E426" s="178">
        <f t="shared" si="180"/>
        <v>3920600</v>
      </c>
      <c r="F426" s="182">
        <f t="shared" si="180"/>
        <v>6698400</v>
      </c>
      <c r="G426" s="178">
        <f t="shared" si="180"/>
        <v>8645400</v>
      </c>
      <c r="H426" s="178">
        <f t="shared" si="180"/>
        <v>6463900.0000000009</v>
      </c>
      <c r="I426" s="178">
        <f>I424+I425</f>
        <v>34990100</v>
      </c>
      <c r="J426" s="315">
        <f>FLORESTA!$I426/7</f>
        <v>4998585.7142857146</v>
      </c>
    </row>
    <row r="429" spans="1:12" ht="12.75" customHeight="1" x14ac:dyDescent="0.25">
      <c r="A429" s="149"/>
      <c r="B429" s="1006" t="s">
        <v>154</v>
      </c>
      <c r="C429" s="1006"/>
      <c r="D429" s="1006"/>
      <c r="E429" s="1006"/>
      <c r="F429" s="1006"/>
      <c r="G429" s="1006"/>
      <c r="H429" s="1006"/>
      <c r="I429" s="1006"/>
    </row>
    <row r="430" spans="1:12" x14ac:dyDescent="0.25">
      <c r="A430" s="149"/>
      <c r="B430" s="1006"/>
      <c r="C430" s="1006"/>
      <c r="D430" s="1006"/>
      <c r="E430" s="1006"/>
      <c r="F430" s="1006"/>
      <c r="G430" s="1006"/>
      <c r="H430" s="1006"/>
      <c r="I430" s="1006"/>
    </row>
    <row r="431" spans="1:12" ht="15.75" x14ac:dyDescent="0.25">
      <c r="A431" s="72" t="s">
        <v>2</v>
      </c>
      <c r="B431" s="121" t="s">
        <v>201</v>
      </c>
      <c r="C431" s="51" t="s">
        <v>202</v>
      </c>
      <c r="D431" s="121" t="s">
        <v>203</v>
      </c>
      <c r="E431" s="51" t="s">
        <v>204</v>
      </c>
      <c r="F431" s="51" t="s">
        <v>205</v>
      </c>
      <c r="G431" s="121" t="s">
        <v>206</v>
      </c>
      <c r="H431" s="121" t="s">
        <v>207</v>
      </c>
      <c r="I431" s="51" t="s">
        <v>10</v>
      </c>
      <c r="J431" s="310" t="s">
        <v>77</v>
      </c>
    </row>
    <row r="432" spans="1:12" x14ac:dyDescent="0.25">
      <c r="A432" s="74" t="s">
        <v>11</v>
      </c>
      <c r="B432" s="55">
        <v>92</v>
      </c>
      <c r="C432" s="56">
        <v>97</v>
      </c>
      <c r="D432" s="54">
        <v>100</v>
      </c>
      <c r="E432" s="316">
        <v>126</v>
      </c>
      <c r="F432" s="311">
        <v>215</v>
      </c>
      <c r="G432" s="58">
        <v>312</v>
      </c>
      <c r="H432" s="57">
        <v>243</v>
      </c>
      <c r="I432" s="311">
        <f t="shared" ref="I432:I437" si="181">SUM(B432:H432)</f>
        <v>1185</v>
      </c>
      <c r="J432" s="317">
        <f>FLORESTA!$I432/7</f>
        <v>169.28571428571428</v>
      </c>
      <c r="L432">
        <v>120</v>
      </c>
    </row>
    <row r="433" spans="1:12" x14ac:dyDescent="0.25">
      <c r="A433" s="10" t="s">
        <v>12</v>
      </c>
      <c r="B433" s="11">
        <v>23</v>
      </c>
      <c r="C433" s="13">
        <v>25</v>
      </c>
      <c r="D433" s="320">
        <v>24</v>
      </c>
      <c r="E433" s="11">
        <v>30</v>
      </c>
      <c r="F433" s="125">
        <v>62</v>
      </c>
      <c r="G433" s="11">
        <v>88</v>
      </c>
      <c r="H433" s="11">
        <v>62</v>
      </c>
      <c r="I433" s="313">
        <f t="shared" si="181"/>
        <v>314</v>
      </c>
      <c r="J433" s="318">
        <f>FLORESTA!$I433/7</f>
        <v>44.857142857142854</v>
      </c>
      <c r="L433">
        <v>105</v>
      </c>
    </row>
    <row r="434" spans="1:12" x14ac:dyDescent="0.25">
      <c r="A434" s="10" t="s">
        <v>13</v>
      </c>
      <c r="B434" s="11">
        <v>0</v>
      </c>
      <c r="C434" s="13">
        <v>1</v>
      </c>
      <c r="D434" s="13">
        <v>0</v>
      </c>
      <c r="E434" s="11">
        <v>1</v>
      </c>
      <c r="F434" s="125">
        <v>1</v>
      </c>
      <c r="G434" s="11">
        <v>5</v>
      </c>
      <c r="H434" s="11">
        <v>4</v>
      </c>
      <c r="I434" s="313">
        <f t="shared" si="181"/>
        <v>12</v>
      </c>
      <c r="J434" s="318">
        <f>C434+D434+E434+F434+G434+H434+I434</f>
        <v>24</v>
      </c>
      <c r="L434">
        <v>18</v>
      </c>
    </row>
    <row r="435" spans="1:12" x14ac:dyDescent="0.25">
      <c r="A435" s="10" t="s">
        <v>14</v>
      </c>
      <c r="B435" s="11">
        <v>68</v>
      </c>
      <c r="C435" s="13">
        <v>63</v>
      </c>
      <c r="D435" s="13">
        <v>60</v>
      </c>
      <c r="E435" s="11">
        <v>74</v>
      </c>
      <c r="F435" s="125">
        <v>125</v>
      </c>
      <c r="G435" s="11">
        <v>167</v>
      </c>
      <c r="H435" s="11">
        <v>152</v>
      </c>
      <c r="I435" s="313">
        <f t="shared" si="181"/>
        <v>709</v>
      </c>
      <c r="J435" s="318">
        <f>FLORESTA!$I435/7</f>
        <v>101.28571428571429</v>
      </c>
      <c r="L435">
        <f>SUM(L432:L434)</f>
        <v>243</v>
      </c>
    </row>
    <row r="436" spans="1:12" x14ac:dyDescent="0.25">
      <c r="A436" s="10" t="s">
        <v>15</v>
      </c>
      <c r="B436" s="11">
        <v>0</v>
      </c>
      <c r="C436" s="13">
        <v>0</v>
      </c>
      <c r="D436" s="13">
        <v>0</v>
      </c>
      <c r="E436" s="11">
        <v>0</v>
      </c>
      <c r="F436" s="125">
        <v>0</v>
      </c>
      <c r="G436" s="11">
        <v>0</v>
      </c>
      <c r="H436" s="11">
        <v>0</v>
      </c>
      <c r="I436" s="313">
        <f t="shared" si="181"/>
        <v>0</v>
      </c>
      <c r="J436" s="318">
        <f>FLORESTA!$I436/7</f>
        <v>0</v>
      </c>
    </row>
    <row r="437" spans="1:12" x14ac:dyDescent="0.25">
      <c r="A437" s="10" t="s">
        <v>16</v>
      </c>
      <c r="B437" s="11">
        <v>0</v>
      </c>
      <c r="C437" s="13">
        <v>0</v>
      </c>
      <c r="D437" s="13">
        <v>0</v>
      </c>
      <c r="E437" s="11">
        <v>0</v>
      </c>
      <c r="F437" s="125">
        <v>0</v>
      </c>
      <c r="G437" s="11">
        <v>0</v>
      </c>
      <c r="H437" s="11">
        <v>0</v>
      </c>
      <c r="I437" s="313">
        <f t="shared" si="181"/>
        <v>0</v>
      </c>
      <c r="J437" s="318">
        <f>FLORESTA!$I437/7</f>
        <v>0</v>
      </c>
    </row>
    <row r="438" spans="1:12" x14ac:dyDescent="0.25">
      <c r="A438" s="15" t="s">
        <v>17</v>
      </c>
      <c r="B438" s="79">
        <f t="shared" ref="B438:I438" si="182">SUM(B433:B437)</f>
        <v>91</v>
      </c>
      <c r="C438" s="79">
        <f t="shared" si="182"/>
        <v>89</v>
      </c>
      <c r="D438" s="79">
        <f t="shared" si="182"/>
        <v>84</v>
      </c>
      <c r="E438" s="103">
        <f t="shared" si="182"/>
        <v>105</v>
      </c>
      <c r="F438" s="213">
        <f t="shared" si="182"/>
        <v>188</v>
      </c>
      <c r="G438" s="103">
        <f t="shared" si="182"/>
        <v>260</v>
      </c>
      <c r="H438" s="103">
        <f t="shared" si="182"/>
        <v>218</v>
      </c>
      <c r="I438" s="103">
        <f t="shared" si="182"/>
        <v>1035</v>
      </c>
      <c r="J438" s="319">
        <f>FLORESTA!$I438/7</f>
        <v>147.85714285714286</v>
      </c>
    </row>
    <row r="439" spans="1:12" x14ac:dyDescent="0.25">
      <c r="A439" s="10" t="s">
        <v>18</v>
      </c>
      <c r="B439" s="18">
        <v>0.28000000000000003</v>
      </c>
      <c r="C439" s="19">
        <v>0.4</v>
      </c>
      <c r="D439" s="19">
        <v>0.37</v>
      </c>
      <c r="E439" s="18">
        <v>0.32</v>
      </c>
      <c r="F439" s="129">
        <v>0.35</v>
      </c>
      <c r="G439" s="18">
        <v>0.37</v>
      </c>
      <c r="H439" s="18">
        <v>0.3</v>
      </c>
      <c r="I439" s="18">
        <f>I446/I451</f>
        <v>0.34207062596065957</v>
      </c>
      <c r="J439" s="19">
        <f>J446/J451</f>
        <v>0.34207062596065951</v>
      </c>
    </row>
    <row r="440" spans="1:12" x14ac:dyDescent="0.25">
      <c r="A440" s="10" t="s">
        <v>19</v>
      </c>
      <c r="B440" s="18">
        <v>0</v>
      </c>
      <c r="C440" s="19">
        <v>0.01</v>
      </c>
      <c r="D440" s="19">
        <v>0</v>
      </c>
      <c r="E440" s="18">
        <v>0.01</v>
      </c>
      <c r="F440" s="129">
        <v>0.01</v>
      </c>
      <c r="G440" s="18">
        <v>0.02</v>
      </c>
      <c r="H440" s="18">
        <v>0.02</v>
      </c>
      <c r="I440" s="18">
        <f>I447/I451</f>
        <v>1.3261518547086449E-2</v>
      </c>
      <c r="J440" s="19">
        <f>J447/J451</f>
        <v>1.3261518547086449E-2</v>
      </c>
    </row>
    <row r="441" spans="1:12" x14ac:dyDescent="0.25">
      <c r="A441" s="10" t="s">
        <v>20</v>
      </c>
      <c r="B441" s="18">
        <v>0.72</v>
      </c>
      <c r="C441" s="19">
        <v>0.59</v>
      </c>
      <c r="D441" s="19">
        <v>0.63</v>
      </c>
      <c r="E441" s="18">
        <v>0.67</v>
      </c>
      <c r="F441" s="297">
        <v>0.64</v>
      </c>
      <c r="G441" s="18">
        <v>0.61</v>
      </c>
      <c r="H441" s="18">
        <v>0.68</v>
      </c>
      <c r="I441" s="18">
        <f>I448/I451</f>
        <v>0.64466785549225403</v>
      </c>
      <c r="J441" s="19">
        <f>J448/J451</f>
        <v>0.64466785549225403</v>
      </c>
    </row>
    <row r="442" spans="1:12" x14ac:dyDescent="0.25">
      <c r="A442" s="10" t="s">
        <v>21</v>
      </c>
      <c r="B442" s="18">
        <v>0</v>
      </c>
      <c r="C442" s="19">
        <v>0</v>
      </c>
      <c r="D442" s="19">
        <v>0</v>
      </c>
      <c r="E442" s="18">
        <v>0</v>
      </c>
      <c r="F442" s="297">
        <v>0</v>
      </c>
      <c r="G442" s="18">
        <v>0</v>
      </c>
      <c r="H442" s="18">
        <v>0</v>
      </c>
      <c r="I442" s="18">
        <f>I449/I451</f>
        <v>0</v>
      </c>
      <c r="J442" s="19">
        <f>J449/J451</f>
        <v>0</v>
      </c>
    </row>
    <row r="443" spans="1:12" x14ac:dyDescent="0.25">
      <c r="A443" s="10" t="s">
        <v>22</v>
      </c>
      <c r="B443" s="18">
        <v>0</v>
      </c>
      <c r="C443" s="19">
        <v>0</v>
      </c>
      <c r="D443" s="19">
        <v>0</v>
      </c>
      <c r="E443" s="18">
        <v>0</v>
      </c>
      <c r="F443" s="297">
        <v>0</v>
      </c>
      <c r="G443" s="18">
        <v>0</v>
      </c>
      <c r="H443" s="18">
        <v>0</v>
      </c>
      <c r="I443" s="18">
        <f>I450/I451</f>
        <v>0</v>
      </c>
      <c r="J443" s="19">
        <f>J450/J451</f>
        <v>0</v>
      </c>
    </row>
    <row r="444" spans="1:12" x14ac:dyDescent="0.25">
      <c r="A444" s="24" t="s">
        <v>23</v>
      </c>
      <c r="B444" s="130">
        <f t="shared" ref="B444:J444" si="183">B455/B438</f>
        <v>30059.340659340658</v>
      </c>
      <c r="C444" s="131">
        <f t="shared" si="183"/>
        <v>34259.550561797754</v>
      </c>
      <c r="D444" s="131">
        <f t="shared" si="183"/>
        <v>29573.809523809523</v>
      </c>
      <c r="E444" s="130">
        <f t="shared" si="183"/>
        <v>33306.666666666664</v>
      </c>
      <c r="F444" s="132">
        <f t="shared" si="183"/>
        <v>36850.531914893625</v>
      </c>
      <c r="G444" s="130">
        <f t="shared" si="183"/>
        <v>35910.769230769234</v>
      </c>
      <c r="H444" s="130">
        <f t="shared" si="183"/>
        <v>34217.431192660551</v>
      </c>
      <c r="I444" s="314">
        <f t="shared" si="183"/>
        <v>34289.855072463768</v>
      </c>
      <c r="J444" s="132">
        <f t="shared" si="183"/>
        <v>34289.855072463768</v>
      </c>
    </row>
    <row r="445" spans="1:12" x14ac:dyDescent="0.25">
      <c r="A445" s="24" t="s">
        <v>24</v>
      </c>
      <c r="B445" s="130">
        <f t="shared" ref="B445:J445" si="184">B455/B432</f>
        <v>29732.608695652172</v>
      </c>
      <c r="C445" s="131">
        <f t="shared" si="184"/>
        <v>31434.0206185567</v>
      </c>
      <c r="D445" s="131">
        <f t="shared" si="184"/>
        <v>24842</v>
      </c>
      <c r="E445" s="130">
        <f t="shared" si="184"/>
        <v>27755.555555555555</v>
      </c>
      <c r="F445" s="132">
        <f t="shared" si="184"/>
        <v>32222.790697674423</v>
      </c>
      <c r="G445" s="130">
        <f t="shared" si="184"/>
        <v>29925.641025641027</v>
      </c>
      <c r="H445" s="130">
        <f t="shared" si="184"/>
        <v>30697.119341563786</v>
      </c>
      <c r="I445" s="314">
        <f t="shared" si="184"/>
        <v>29949.367088607596</v>
      </c>
      <c r="J445" s="132">
        <f t="shared" si="184"/>
        <v>29949.367088607596</v>
      </c>
    </row>
    <row r="446" spans="1:12" x14ac:dyDescent="0.25">
      <c r="A446" s="10" t="s">
        <v>25</v>
      </c>
      <c r="B446" s="92">
        <f t="shared" ref="B446:H446" si="185">B451*B439</f>
        <v>646390.76551724144</v>
      </c>
      <c r="C446" s="133">
        <f t="shared" si="185"/>
        <v>1029863.7931034483</v>
      </c>
      <c r="D446" s="133">
        <f t="shared" si="185"/>
        <v>773237.73793103453</v>
      </c>
      <c r="E446" s="92">
        <f t="shared" si="185"/>
        <v>944056.82758620696</v>
      </c>
      <c r="F446" s="134">
        <f t="shared" si="185"/>
        <v>2043551.1551724139</v>
      </c>
      <c r="G446" s="92">
        <f t="shared" si="185"/>
        <v>2907950.4413793106</v>
      </c>
      <c r="H446" s="92">
        <f t="shared" si="185"/>
        <v>1889072.1724137929</v>
      </c>
      <c r="I446" s="92">
        <f>FLORESTA!$B446+FLORESTA!$C446+FLORESTA!$D446+FLORESTA!$E446+FLORESTA!$F446+FLORESTA!$G446+FLORESTA!$H446</f>
        <v>10234122.893103449</v>
      </c>
      <c r="J446" s="133">
        <f>FLORESTA!$I446/7</f>
        <v>1462017.5561576355</v>
      </c>
    </row>
    <row r="447" spans="1:12" x14ac:dyDescent="0.25">
      <c r="A447" s="10" t="s">
        <v>26</v>
      </c>
      <c r="B447" s="92">
        <f t="shared" ref="B447:H447" si="186">B451*B440</f>
        <v>0</v>
      </c>
      <c r="C447" s="133">
        <f t="shared" si="186"/>
        <v>25746.594827586207</v>
      </c>
      <c r="D447" s="133">
        <f t="shared" si="186"/>
        <v>0</v>
      </c>
      <c r="E447" s="92">
        <f t="shared" si="186"/>
        <v>29501.775862068967</v>
      </c>
      <c r="F447" s="134">
        <f t="shared" si="186"/>
        <v>58387.175862068972</v>
      </c>
      <c r="G447" s="92">
        <f t="shared" si="186"/>
        <v>157186.51034482761</v>
      </c>
      <c r="H447" s="92">
        <f t="shared" si="186"/>
        <v>125938.14482758621</v>
      </c>
      <c r="I447" s="92">
        <f>FLORESTA!$B447+FLORESTA!$C447+FLORESTA!$D447+FLORESTA!$E447+FLORESTA!$F447+FLORESTA!$G447+FLORESTA!$H447</f>
        <v>396760.20172413794</v>
      </c>
      <c r="J447" s="133">
        <f>FLORESTA!$I447/7</f>
        <v>56680.02881773399</v>
      </c>
    </row>
    <row r="448" spans="1:12" x14ac:dyDescent="0.25">
      <c r="A448" s="10" t="s">
        <v>27</v>
      </c>
      <c r="B448" s="92">
        <f t="shared" ref="B448:H448" si="187">B451*B441</f>
        <v>1662147.6827586207</v>
      </c>
      <c r="C448" s="133">
        <f t="shared" si="187"/>
        <v>1519049.0948275861</v>
      </c>
      <c r="D448" s="133">
        <f t="shared" si="187"/>
        <v>1316593.9862068966</v>
      </c>
      <c r="E448" s="92">
        <f t="shared" si="187"/>
        <v>1976618.982758621</v>
      </c>
      <c r="F448" s="134">
        <f t="shared" si="187"/>
        <v>3736779.2551724142</v>
      </c>
      <c r="G448" s="92">
        <f t="shared" si="187"/>
        <v>4794188.5655172421</v>
      </c>
      <c r="H448" s="92">
        <f t="shared" si="187"/>
        <v>4281896.9241379313</v>
      </c>
      <c r="I448" s="92">
        <f>FLORESTA!$B448+FLORESTA!$C448+FLORESTA!$D448+FLORESTA!$E448+FLORESTA!$F448+FLORESTA!$G448+FLORESTA!$H448</f>
        <v>19287274.491379313</v>
      </c>
      <c r="J448" s="133">
        <f>FLORESTA!$I448/7</f>
        <v>2755324.9273399017</v>
      </c>
    </row>
    <row r="449" spans="1:12" x14ac:dyDescent="0.25">
      <c r="A449" s="10" t="s">
        <v>28</v>
      </c>
      <c r="B449" s="92">
        <f t="shared" ref="B449:H449" si="188">B451*B442</f>
        <v>0</v>
      </c>
      <c r="C449" s="133">
        <f t="shared" si="188"/>
        <v>0</v>
      </c>
      <c r="D449" s="133">
        <f t="shared" si="188"/>
        <v>0</v>
      </c>
      <c r="E449" s="92">
        <f t="shared" si="188"/>
        <v>0</v>
      </c>
      <c r="F449" s="134">
        <f t="shared" si="188"/>
        <v>0</v>
      </c>
      <c r="G449" s="92">
        <f t="shared" si="188"/>
        <v>0</v>
      </c>
      <c r="H449" s="92">
        <f t="shared" si="188"/>
        <v>0</v>
      </c>
      <c r="I449" s="92">
        <f>FLORESTA!$B449+FLORESTA!$C449+FLORESTA!$D449+FLORESTA!$E449+FLORESTA!$F449+FLORESTA!$G449+FLORESTA!$H449</f>
        <v>0</v>
      </c>
      <c r="J449" s="133">
        <f>FLORESTA!$I449/7</f>
        <v>0</v>
      </c>
    </row>
    <row r="450" spans="1:12" x14ac:dyDescent="0.25">
      <c r="A450" s="10" t="s">
        <v>29</v>
      </c>
      <c r="B450" s="92">
        <f t="shared" ref="B450:H450" si="189">B451*B443</f>
        <v>0</v>
      </c>
      <c r="C450" s="133">
        <f t="shared" si="189"/>
        <v>0</v>
      </c>
      <c r="D450" s="133">
        <f t="shared" si="189"/>
        <v>0</v>
      </c>
      <c r="E450" s="92">
        <f t="shared" si="189"/>
        <v>0</v>
      </c>
      <c r="F450" s="134">
        <f t="shared" si="189"/>
        <v>0</v>
      </c>
      <c r="G450" s="92">
        <f t="shared" si="189"/>
        <v>0</v>
      </c>
      <c r="H450" s="92">
        <f t="shared" si="189"/>
        <v>0</v>
      </c>
      <c r="I450" s="92">
        <f>FLORESTA!$B450+FLORESTA!$C450+FLORESTA!$D450+FLORESTA!$E450+FLORESTA!$F450+FLORESTA!$G450+FLORESTA!$H450</f>
        <v>0</v>
      </c>
      <c r="J450" s="133">
        <f>FLORESTA!$I450/7</f>
        <v>0</v>
      </c>
    </row>
    <row r="451" spans="1:12" x14ac:dyDescent="0.25">
      <c r="A451" s="33" t="s">
        <v>30</v>
      </c>
      <c r="B451" s="91">
        <f>(2735400/1.16)-B452</f>
        <v>2308538.4482758623</v>
      </c>
      <c r="C451" s="136">
        <f>(3049100/1.16)-C452</f>
        <v>2574659.4827586208</v>
      </c>
      <c r="D451" s="136">
        <f>(2484200/1.16)-D452</f>
        <v>2089831.7241379311</v>
      </c>
      <c r="E451" s="91">
        <f>(3497200/1.16)-E452</f>
        <v>2950177.5862068967</v>
      </c>
      <c r="F451" s="137">
        <f>(6927900/1.16)-F452</f>
        <v>5838717.5862068972</v>
      </c>
      <c r="G451" s="91">
        <f>(9336800/1.16)-G452</f>
        <v>7859325.5172413802</v>
      </c>
      <c r="H451" s="91">
        <f>(7459400/1.16)-H452</f>
        <v>6296907.2413793104</v>
      </c>
      <c r="I451" s="91">
        <f>SUM(I446:I450)</f>
        <v>29918157.586206898</v>
      </c>
      <c r="J451" s="136">
        <f>FLORESTA!$I451/7</f>
        <v>4274022.5123152714</v>
      </c>
    </row>
    <row r="452" spans="1:12" x14ac:dyDescent="0.25">
      <c r="A452" s="10" t="s">
        <v>31</v>
      </c>
      <c r="B452" s="94">
        <f t="shared" ref="B452:J452" si="190">2155*B433</f>
        <v>49565</v>
      </c>
      <c r="C452" s="139">
        <f t="shared" si="190"/>
        <v>53875</v>
      </c>
      <c r="D452" s="139">
        <f t="shared" si="190"/>
        <v>51720</v>
      </c>
      <c r="E452" s="94">
        <f t="shared" si="190"/>
        <v>64650</v>
      </c>
      <c r="F452" s="112">
        <f t="shared" si="190"/>
        <v>133610</v>
      </c>
      <c r="G452" s="94">
        <f t="shared" si="190"/>
        <v>189640</v>
      </c>
      <c r="H452" s="94">
        <f t="shared" si="190"/>
        <v>133610</v>
      </c>
      <c r="I452" s="94">
        <f t="shared" si="190"/>
        <v>676670</v>
      </c>
      <c r="J452" s="139">
        <f t="shared" si="190"/>
        <v>96667.142857142855</v>
      </c>
    </row>
    <row r="453" spans="1:12" x14ac:dyDescent="0.25">
      <c r="A453" s="37" t="s">
        <v>32</v>
      </c>
      <c r="B453" s="39">
        <f t="shared" ref="B453:H453" si="191">B451+B452</f>
        <v>2358103.4482758623</v>
      </c>
      <c r="C453" s="40">
        <f t="shared" si="191"/>
        <v>2628534.4827586208</v>
      </c>
      <c r="D453" s="40">
        <f t="shared" si="191"/>
        <v>2141551.7241379311</v>
      </c>
      <c r="E453" s="39">
        <f t="shared" si="191"/>
        <v>3014827.5862068967</v>
      </c>
      <c r="F453" s="140">
        <f t="shared" si="191"/>
        <v>5972327.5862068972</v>
      </c>
      <c r="G453" s="39">
        <f t="shared" si="191"/>
        <v>8048965.5172413802</v>
      </c>
      <c r="H453" s="39">
        <f t="shared" si="191"/>
        <v>6430517.2413793104</v>
      </c>
      <c r="I453" s="39">
        <f>I451+I452</f>
        <v>30594827.586206898</v>
      </c>
      <c r="J453" s="40">
        <f>J451+J452</f>
        <v>4370689.6551724141</v>
      </c>
    </row>
    <row r="454" spans="1:12" x14ac:dyDescent="0.25">
      <c r="A454" s="10" t="s">
        <v>33</v>
      </c>
      <c r="B454" s="41">
        <f t="shared" ref="B454:H454" si="192">B453*16%</f>
        <v>377296.55172413797</v>
      </c>
      <c r="C454" s="42">
        <f t="shared" si="192"/>
        <v>420565.5172413793</v>
      </c>
      <c r="D454" s="42">
        <f t="shared" si="192"/>
        <v>342648.27586206899</v>
      </c>
      <c r="E454" s="41">
        <f t="shared" si="192"/>
        <v>482372.41379310348</v>
      </c>
      <c r="F454" s="141">
        <f t="shared" si="192"/>
        <v>955572.41379310354</v>
      </c>
      <c r="G454" s="41">
        <f t="shared" si="192"/>
        <v>1287834.4827586208</v>
      </c>
      <c r="H454" s="41">
        <f t="shared" si="192"/>
        <v>1028882.7586206897</v>
      </c>
      <c r="I454" s="41">
        <f>I453*16%</f>
        <v>4895172.4137931038</v>
      </c>
      <c r="J454" s="42">
        <f>J453*16%</f>
        <v>699310.34482758632</v>
      </c>
    </row>
    <row r="455" spans="1:12" x14ac:dyDescent="0.25">
      <c r="A455" s="43" t="s">
        <v>34</v>
      </c>
      <c r="B455" s="315">
        <f t="shared" ref="B455:H455" si="193">B453+B454</f>
        <v>2735400</v>
      </c>
      <c r="C455" s="315">
        <f t="shared" si="193"/>
        <v>3049100</v>
      </c>
      <c r="D455" s="315">
        <f t="shared" si="193"/>
        <v>2484200</v>
      </c>
      <c r="E455" s="178">
        <f t="shared" si="193"/>
        <v>3497200</v>
      </c>
      <c r="F455" s="182">
        <f t="shared" si="193"/>
        <v>6927900.0000000009</v>
      </c>
      <c r="G455" s="178">
        <f t="shared" si="193"/>
        <v>9336800</v>
      </c>
      <c r="H455" s="178">
        <f t="shared" si="193"/>
        <v>7459400</v>
      </c>
      <c r="I455" s="178">
        <f>I453+I454</f>
        <v>35490000</v>
      </c>
      <c r="J455" s="315">
        <f>FLORESTA!$I455/7</f>
        <v>5070000</v>
      </c>
    </row>
    <row r="458" spans="1:12" ht="12.75" customHeight="1" x14ac:dyDescent="0.25">
      <c r="A458" s="149"/>
      <c r="B458" s="1006" t="s">
        <v>162</v>
      </c>
      <c r="C458" s="1006"/>
      <c r="D458" s="1006"/>
      <c r="E458" s="1006"/>
      <c r="F458" s="1006"/>
      <c r="G458" s="1006"/>
      <c r="H458" s="1006"/>
      <c r="I458" s="1006"/>
    </row>
    <row r="459" spans="1:12" x14ac:dyDescent="0.25">
      <c r="A459" s="149"/>
      <c r="B459" s="1006"/>
      <c r="C459" s="1006"/>
      <c r="D459" s="1006"/>
      <c r="E459" s="1006"/>
      <c r="F459" s="1006"/>
      <c r="G459" s="1006"/>
      <c r="H459" s="1006"/>
      <c r="I459" s="1006"/>
    </row>
    <row r="460" spans="1:12" ht="15.75" x14ac:dyDescent="0.25">
      <c r="A460" s="72" t="s">
        <v>2</v>
      </c>
      <c r="B460" s="121" t="s">
        <v>209</v>
      </c>
      <c r="C460" s="51" t="s">
        <v>210</v>
      </c>
      <c r="D460" s="121" t="s">
        <v>211</v>
      </c>
      <c r="E460" s="51" t="s">
        <v>212</v>
      </c>
      <c r="F460" s="51" t="s">
        <v>213</v>
      </c>
      <c r="G460" s="121" t="s">
        <v>214</v>
      </c>
      <c r="H460" s="121" t="s">
        <v>215</v>
      </c>
      <c r="I460" s="51" t="s">
        <v>10</v>
      </c>
      <c r="J460" s="310" t="s">
        <v>77</v>
      </c>
    </row>
    <row r="461" spans="1:12" x14ac:dyDescent="0.25">
      <c r="A461" s="74" t="s">
        <v>11</v>
      </c>
      <c r="B461" s="55">
        <v>84</v>
      </c>
      <c r="C461" s="56">
        <v>93</v>
      </c>
      <c r="D461" s="54">
        <v>75</v>
      </c>
      <c r="E461" s="316">
        <v>87</v>
      </c>
      <c r="F461" s="311">
        <v>184</v>
      </c>
      <c r="G461" s="58">
        <v>325</v>
      </c>
      <c r="H461" s="57">
        <v>245</v>
      </c>
      <c r="I461" s="311">
        <f t="shared" ref="I461:I466" si="194">SUM(B461:H461)</f>
        <v>1093</v>
      </c>
      <c r="J461" s="317">
        <f>FLORESTA!$I461/7</f>
        <v>156.14285714285714</v>
      </c>
      <c r="L461">
        <v>116</v>
      </c>
    </row>
    <row r="462" spans="1:12" x14ac:dyDescent="0.25">
      <c r="A462" s="10" t="s">
        <v>12</v>
      </c>
      <c r="B462" s="11">
        <v>18</v>
      </c>
      <c r="C462" s="13">
        <v>24</v>
      </c>
      <c r="D462" s="320">
        <v>25</v>
      </c>
      <c r="E462" s="11">
        <v>25</v>
      </c>
      <c r="F462" s="125">
        <v>21</v>
      </c>
      <c r="G462" s="11">
        <v>102</v>
      </c>
      <c r="H462" s="11">
        <v>64</v>
      </c>
      <c r="I462" s="313">
        <f t="shared" si="194"/>
        <v>279</v>
      </c>
      <c r="J462" s="318">
        <f>FLORESTA!$I462/7</f>
        <v>39.857142857142854</v>
      </c>
      <c r="L462">
        <v>104</v>
      </c>
    </row>
    <row r="463" spans="1:12" x14ac:dyDescent="0.25">
      <c r="A463" s="10" t="s">
        <v>13</v>
      </c>
      <c r="B463" s="11">
        <v>0</v>
      </c>
      <c r="C463" s="13">
        <v>0</v>
      </c>
      <c r="D463" s="13">
        <v>0</v>
      </c>
      <c r="E463" s="11">
        <v>1</v>
      </c>
      <c r="F463" s="125">
        <v>0</v>
      </c>
      <c r="G463" s="11">
        <v>2</v>
      </c>
      <c r="H463" s="11">
        <v>3</v>
      </c>
      <c r="I463" s="313">
        <f t="shared" si="194"/>
        <v>6</v>
      </c>
      <c r="J463" s="318">
        <f>C463+D463+E463+F463+G463+H463+I463</f>
        <v>12</v>
      </c>
      <c r="L463">
        <v>25</v>
      </c>
    </row>
    <row r="464" spans="1:12" x14ac:dyDescent="0.25">
      <c r="A464" s="10" t="s">
        <v>14</v>
      </c>
      <c r="B464" s="11">
        <v>54</v>
      </c>
      <c r="C464" s="13">
        <v>69</v>
      </c>
      <c r="D464" s="13">
        <v>50</v>
      </c>
      <c r="E464" s="11">
        <v>58</v>
      </c>
      <c r="F464" s="125">
        <v>146</v>
      </c>
      <c r="G464" s="11">
        <v>186</v>
      </c>
      <c r="H464" s="11">
        <v>155</v>
      </c>
      <c r="I464" s="313">
        <f t="shared" si="194"/>
        <v>718</v>
      </c>
      <c r="J464" s="318">
        <f>FLORESTA!$I464/7</f>
        <v>102.57142857142857</v>
      </c>
      <c r="L464">
        <f>SUM(L461:L463)</f>
        <v>245</v>
      </c>
    </row>
    <row r="465" spans="1:10" x14ac:dyDescent="0.25">
      <c r="A465" s="10" t="s">
        <v>15</v>
      </c>
      <c r="B465" s="11">
        <v>1</v>
      </c>
      <c r="C465" s="13">
        <v>0</v>
      </c>
      <c r="D465" s="13">
        <v>0</v>
      </c>
      <c r="E465" s="11">
        <v>0</v>
      </c>
      <c r="F465" s="125">
        <v>2</v>
      </c>
      <c r="G465" s="11">
        <v>0</v>
      </c>
      <c r="H465" s="11">
        <v>0</v>
      </c>
      <c r="I465" s="313">
        <f t="shared" si="194"/>
        <v>3</v>
      </c>
      <c r="J465" s="318">
        <f>FLORESTA!$I465/7</f>
        <v>0.42857142857142855</v>
      </c>
    </row>
    <row r="466" spans="1:10" x14ac:dyDescent="0.25">
      <c r="A466" s="10" t="s">
        <v>16</v>
      </c>
      <c r="B466" s="11">
        <v>0</v>
      </c>
      <c r="C466" s="13">
        <v>0</v>
      </c>
      <c r="D466" s="13">
        <v>0</v>
      </c>
      <c r="E466" s="11">
        <v>0</v>
      </c>
      <c r="F466" s="125">
        <v>0</v>
      </c>
      <c r="G466" s="11">
        <v>0</v>
      </c>
      <c r="H466" s="11">
        <v>0</v>
      </c>
      <c r="I466" s="313">
        <f t="shared" si="194"/>
        <v>0</v>
      </c>
      <c r="J466" s="318">
        <f>FLORESTA!$I466/7</f>
        <v>0</v>
      </c>
    </row>
    <row r="467" spans="1:10" x14ac:dyDescent="0.25">
      <c r="A467" s="15" t="s">
        <v>17</v>
      </c>
      <c r="B467" s="79">
        <f t="shared" ref="B467:I467" si="195">SUM(B462:B466)</f>
        <v>73</v>
      </c>
      <c r="C467" s="79">
        <f t="shared" si="195"/>
        <v>93</v>
      </c>
      <c r="D467" s="79">
        <f t="shared" si="195"/>
        <v>75</v>
      </c>
      <c r="E467" s="103">
        <f t="shared" si="195"/>
        <v>84</v>
      </c>
      <c r="F467" s="213">
        <f t="shared" si="195"/>
        <v>169</v>
      </c>
      <c r="G467" s="103">
        <f t="shared" si="195"/>
        <v>290</v>
      </c>
      <c r="H467" s="103">
        <f t="shared" si="195"/>
        <v>222</v>
      </c>
      <c r="I467" s="103">
        <f t="shared" si="195"/>
        <v>1006</v>
      </c>
      <c r="J467" s="319">
        <f>FLORESTA!$I467/7</f>
        <v>143.71428571428572</v>
      </c>
    </row>
    <row r="468" spans="1:10" x14ac:dyDescent="0.25">
      <c r="A468" s="10" t="s">
        <v>18</v>
      </c>
      <c r="B468" s="18">
        <v>0.3</v>
      </c>
      <c r="C468" s="19">
        <v>0.33</v>
      </c>
      <c r="D468" s="19">
        <v>0.44</v>
      </c>
      <c r="E468" s="18">
        <v>0.41</v>
      </c>
      <c r="F468" s="129">
        <v>0.14000000000000001</v>
      </c>
      <c r="G468" s="18">
        <v>0.39</v>
      </c>
      <c r="H468" s="18">
        <v>0.31</v>
      </c>
      <c r="I468" s="18">
        <f>I475/I480</f>
        <v>0.32497621711744862</v>
      </c>
      <c r="J468" s="19">
        <f>J475/J480</f>
        <v>0.32497621711744856</v>
      </c>
    </row>
    <row r="469" spans="1:10" x14ac:dyDescent="0.25">
      <c r="A469" s="10" t="s">
        <v>19</v>
      </c>
      <c r="B469" s="18">
        <v>0</v>
      </c>
      <c r="C469" s="19">
        <v>0</v>
      </c>
      <c r="D469" s="19">
        <v>0</v>
      </c>
      <c r="E469" s="18">
        <v>0.01</v>
      </c>
      <c r="F469" s="129">
        <v>0</v>
      </c>
      <c r="G469" s="18">
        <v>0.01</v>
      </c>
      <c r="H469" s="18">
        <v>0.02</v>
      </c>
      <c r="I469" s="18">
        <f>I476/I480</f>
        <v>8.6468937533128246E-3</v>
      </c>
      <c r="J469" s="19">
        <f>J476/J480</f>
        <v>8.6468937533128246E-3</v>
      </c>
    </row>
    <row r="470" spans="1:10" x14ac:dyDescent="0.25">
      <c r="A470" s="10" t="s">
        <v>20</v>
      </c>
      <c r="B470" s="18">
        <v>0.68</v>
      </c>
      <c r="C470" s="19">
        <v>0.67</v>
      </c>
      <c r="D470" s="19">
        <v>0.56000000000000005</v>
      </c>
      <c r="E470" s="18">
        <v>0.57999999999999996</v>
      </c>
      <c r="F470" s="297">
        <v>0.86</v>
      </c>
      <c r="G470" s="18">
        <v>0.6</v>
      </c>
      <c r="H470" s="18">
        <v>0.67</v>
      </c>
      <c r="I470" s="18">
        <f>I477/I480</f>
        <v>0.66495755872204343</v>
      </c>
      <c r="J470" s="19">
        <f>J477/J480</f>
        <v>0.66495755872204332</v>
      </c>
    </row>
    <row r="471" spans="1:10" x14ac:dyDescent="0.25">
      <c r="A471" s="10" t="s">
        <v>21</v>
      </c>
      <c r="B471" s="18">
        <v>0.02</v>
      </c>
      <c r="C471" s="19">
        <v>0</v>
      </c>
      <c r="D471" s="19">
        <v>0</v>
      </c>
      <c r="E471" s="18">
        <v>0</v>
      </c>
      <c r="F471" s="297">
        <v>0</v>
      </c>
      <c r="G471" s="18">
        <v>0</v>
      </c>
      <c r="H471" s="18">
        <v>0</v>
      </c>
      <c r="I471" s="18">
        <f>I478/I480</f>
        <v>1.419330407195182E-3</v>
      </c>
      <c r="J471" s="19">
        <f>J478/J480</f>
        <v>1.4193304071951818E-3</v>
      </c>
    </row>
    <row r="472" spans="1:10" x14ac:dyDescent="0.25">
      <c r="A472" s="10" t="s">
        <v>22</v>
      </c>
      <c r="B472" s="18">
        <v>0</v>
      </c>
      <c r="C472" s="19">
        <v>0</v>
      </c>
      <c r="D472" s="19">
        <v>0</v>
      </c>
      <c r="E472" s="18">
        <v>0</v>
      </c>
      <c r="F472" s="297">
        <v>0</v>
      </c>
      <c r="G472" s="18">
        <v>0</v>
      </c>
      <c r="H472" s="18">
        <v>0</v>
      </c>
      <c r="I472" s="18">
        <f>I479/I480</f>
        <v>0</v>
      </c>
      <c r="J472" s="19">
        <f>J479/J480</f>
        <v>0</v>
      </c>
    </row>
    <row r="473" spans="1:10" x14ac:dyDescent="0.25">
      <c r="A473" s="24" t="s">
        <v>23</v>
      </c>
      <c r="B473" s="130">
        <f t="shared" ref="B473:J473" si="196">B484/B467</f>
        <v>32221.917808219183</v>
      </c>
      <c r="C473" s="131">
        <f t="shared" si="196"/>
        <v>25497.84946236559</v>
      </c>
      <c r="D473" s="131">
        <f t="shared" si="196"/>
        <v>31088.000000000007</v>
      </c>
      <c r="E473" s="130">
        <f t="shared" si="196"/>
        <v>32642.857142857141</v>
      </c>
      <c r="F473" s="132">
        <f t="shared" si="196"/>
        <v>31431.952662721898</v>
      </c>
      <c r="G473" s="130">
        <f t="shared" si="196"/>
        <v>35143.103448275862</v>
      </c>
      <c r="H473" s="130">
        <f t="shared" si="196"/>
        <v>35621.62162162162</v>
      </c>
      <c r="I473" s="314">
        <f t="shared" si="196"/>
        <v>33010.536779324058</v>
      </c>
      <c r="J473" s="132">
        <f t="shared" si="196"/>
        <v>33010.536779324058</v>
      </c>
    </row>
    <row r="474" spans="1:10" x14ac:dyDescent="0.25">
      <c r="A474" s="24" t="s">
        <v>24</v>
      </c>
      <c r="B474" s="130">
        <f t="shared" ref="B474:J474" si="197">B484/B461</f>
        <v>28002.380952380958</v>
      </c>
      <c r="C474" s="131">
        <f t="shared" si="197"/>
        <v>25497.84946236559</v>
      </c>
      <c r="D474" s="131">
        <f t="shared" si="197"/>
        <v>31088.000000000007</v>
      </c>
      <c r="E474" s="130">
        <f t="shared" si="197"/>
        <v>31517.241379310344</v>
      </c>
      <c r="F474" s="132">
        <f t="shared" si="197"/>
        <v>28869.565217391308</v>
      </c>
      <c r="G474" s="130">
        <f t="shared" si="197"/>
        <v>31358.461538461539</v>
      </c>
      <c r="H474" s="130">
        <f t="shared" si="197"/>
        <v>32277.551020408162</v>
      </c>
      <c r="I474" s="314">
        <f t="shared" si="197"/>
        <v>30382.982616651421</v>
      </c>
      <c r="J474" s="132">
        <f t="shared" si="197"/>
        <v>30382.982616651421</v>
      </c>
    </row>
    <row r="475" spans="1:10" x14ac:dyDescent="0.25">
      <c r="A475" s="10" t="s">
        <v>25</v>
      </c>
      <c r="B475" s="92">
        <f t="shared" ref="B475:H475" si="198">B480*B468</f>
        <v>596690.58620689658</v>
      </c>
      <c r="C475" s="133">
        <f t="shared" si="198"/>
        <v>657526.36551724141</v>
      </c>
      <c r="D475" s="133">
        <f t="shared" si="198"/>
        <v>860695.00000000012</v>
      </c>
      <c r="E475" s="92">
        <f t="shared" si="198"/>
        <v>947066.42241379304</v>
      </c>
      <c r="F475" s="134">
        <f t="shared" si="198"/>
        <v>634767.74827586219</v>
      </c>
      <c r="G475" s="92">
        <f t="shared" si="198"/>
        <v>3340726.6862068968</v>
      </c>
      <c r="H475" s="92">
        <f t="shared" si="198"/>
        <v>2070589.6275862071</v>
      </c>
      <c r="I475" s="92">
        <f>FLORESTA!$B475+FLORESTA!$C475+FLORESTA!$D475+FLORESTA!$E475+FLORESTA!$F475+FLORESTA!$G475+FLORESTA!$H475</f>
        <v>9108062.4362068959</v>
      </c>
      <c r="J475" s="133">
        <f>FLORESTA!$I475/7</f>
        <v>1301151.7766009851</v>
      </c>
    </row>
    <row r="476" spans="1:10" x14ac:dyDescent="0.25">
      <c r="A476" s="10" t="s">
        <v>26</v>
      </c>
      <c r="B476" s="92">
        <f t="shared" ref="B476:H476" si="199">B480*B469</f>
        <v>0</v>
      </c>
      <c r="C476" s="133">
        <f t="shared" si="199"/>
        <v>0</v>
      </c>
      <c r="D476" s="133">
        <f t="shared" si="199"/>
        <v>0</v>
      </c>
      <c r="E476" s="92">
        <f t="shared" si="199"/>
        <v>23099.181034482761</v>
      </c>
      <c r="F476" s="134">
        <f t="shared" si="199"/>
        <v>0</v>
      </c>
      <c r="G476" s="92">
        <f t="shared" si="199"/>
        <v>85659.658620689661</v>
      </c>
      <c r="H476" s="92">
        <f t="shared" si="199"/>
        <v>133586.4275862069</v>
      </c>
      <c r="I476" s="92">
        <f>FLORESTA!$B476+FLORESTA!$C476+FLORESTA!$D476+FLORESTA!$E476+FLORESTA!$F476+FLORESTA!$G476+FLORESTA!$H476</f>
        <v>242345.26724137933</v>
      </c>
      <c r="J476" s="133">
        <f>FLORESTA!$I476/7</f>
        <v>34620.752463054188</v>
      </c>
    </row>
    <row r="477" spans="1:10" x14ac:dyDescent="0.25">
      <c r="A477" s="10" t="s">
        <v>27</v>
      </c>
      <c r="B477" s="92">
        <f t="shared" ref="B477:H477" si="200">B480*B470</f>
        <v>1352498.6620689658</v>
      </c>
      <c r="C477" s="133">
        <f t="shared" si="200"/>
        <v>1334977.7724137933</v>
      </c>
      <c r="D477" s="133">
        <f t="shared" si="200"/>
        <v>1095430.0000000002</v>
      </c>
      <c r="E477" s="92">
        <f t="shared" si="200"/>
        <v>1339752.5</v>
      </c>
      <c r="F477" s="134">
        <f t="shared" si="200"/>
        <v>3899287.5965517247</v>
      </c>
      <c r="G477" s="92">
        <f t="shared" si="200"/>
        <v>5139579.5172413792</v>
      </c>
      <c r="H477" s="92">
        <f t="shared" si="200"/>
        <v>4475145.3241379317</v>
      </c>
      <c r="I477" s="92">
        <f>FLORESTA!$B477+FLORESTA!$C477+FLORESTA!$D477+FLORESTA!$E477+FLORESTA!$F477+FLORESTA!$G477+FLORESTA!$H477</f>
        <v>18636671.372413795</v>
      </c>
      <c r="J477" s="133">
        <f>FLORESTA!$I477/7</f>
        <v>2662381.624630542</v>
      </c>
    </row>
    <row r="478" spans="1:10" x14ac:dyDescent="0.25">
      <c r="A478" s="10" t="s">
        <v>28</v>
      </c>
      <c r="B478" s="92">
        <f t="shared" ref="B478:H478" si="201">B480*B471</f>
        <v>39779.372413793106</v>
      </c>
      <c r="C478" s="133">
        <f t="shared" si="201"/>
        <v>0</v>
      </c>
      <c r="D478" s="133">
        <f t="shared" si="201"/>
        <v>0</v>
      </c>
      <c r="E478" s="92">
        <f t="shared" si="201"/>
        <v>0</v>
      </c>
      <c r="F478" s="134">
        <f t="shared" si="201"/>
        <v>0</v>
      </c>
      <c r="G478" s="92">
        <f t="shared" si="201"/>
        <v>0</v>
      </c>
      <c r="H478" s="92">
        <f t="shared" si="201"/>
        <v>0</v>
      </c>
      <c r="I478" s="92">
        <f>FLORESTA!$B478+FLORESTA!$C478+FLORESTA!$D478+FLORESTA!$E478+FLORESTA!$F478+FLORESTA!$G478+FLORESTA!$H478</f>
        <v>39779.372413793106</v>
      </c>
      <c r="J478" s="133">
        <f>FLORESTA!$I478/7</f>
        <v>5682.7674876847295</v>
      </c>
    </row>
    <row r="479" spans="1:10" x14ac:dyDescent="0.25">
      <c r="A479" s="10" t="s">
        <v>29</v>
      </c>
      <c r="B479" s="92">
        <f t="shared" ref="B479:H479" si="202">B480*B472</f>
        <v>0</v>
      </c>
      <c r="C479" s="133">
        <f t="shared" si="202"/>
        <v>0</v>
      </c>
      <c r="D479" s="133">
        <f t="shared" si="202"/>
        <v>0</v>
      </c>
      <c r="E479" s="92">
        <f t="shared" si="202"/>
        <v>0</v>
      </c>
      <c r="F479" s="134">
        <f t="shared" si="202"/>
        <v>0</v>
      </c>
      <c r="G479" s="92">
        <f t="shared" si="202"/>
        <v>0</v>
      </c>
      <c r="H479" s="92">
        <f t="shared" si="202"/>
        <v>0</v>
      </c>
      <c r="I479" s="92">
        <f>FLORESTA!$B479+FLORESTA!$C479+FLORESTA!$D479+FLORESTA!$E479+FLORESTA!$F479+FLORESTA!$G479+FLORESTA!$H479</f>
        <v>0</v>
      </c>
      <c r="J479" s="133">
        <f>FLORESTA!$I479/7</f>
        <v>0</v>
      </c>
    </row>
    <row r="480" spans="1:10" x14ac:dyDescent="0.25">
      <c r="A480" s="33" t="s">
        <v>30</v>
      </c>
      <c r="B480" s="91">
        <f>(2352200/1.16)-B481</f>
        <v>1988968.6206896554</v>
      </c>
      <c r="C480" s="136">
        <f>(2371300/1.16)-C481</f>
        <v>1992504.1379310347</v>
      </c>
      <c r="D480" s="136">
        <f>(2331600/1.16)-D481</f>
        <v>1956125.0000000002</v>
      </c>
      <c r="E480" s="91">
        <f>(2742000/1.16)-E481</f>
        <v>2309918.1034482759</v>
      </c>
      <c r="F480" s="137">
        <f>(5312000/1.16)-F481</f>
        <v>4534055.3448275868</v>
      </c>
      <c r="G480" s="91">
        <f>(10191500/1.16)-G481</f>
        <v>8565965.862068966</v>
      </c>
      <c r="H480" s="91">
        <f>(7908000/1.16)-H481</f>
        <v>6679321.3793103453</v>
      </c>
      <c r="I480" s="91">
        <f>SUM(I475:I479)</f>
        <v>28026858.448275864</v>
      </c>
      <c r="J480" s="136">
        <f>FLORESTA!$I480/7</f>
        <v>4003836.9211822664</v>
      </c>
    </row>
    <row r="481" spans="1:12" x14ac:dyDescent="0.25">
      <c r="A481" s="10" t="s">
        <v>31</v>
      </c>
      <c r="B481" s="94">
        <f t="shared" ref="B481:J481" si="203">2155*B462</f>
        <v>38790</v>
      </c>
      <c r="C481" s="139">
        <f t="shared" si="203"/>
        <v>51720</v>
      </c>
      <c r="D481" s="139">
        <f t="shared" si="203"/>
        <v>53875</v>
      </c>
      <c r="E481" s="94">
        <f t="shared" si="203"/>
        <v>53875</v>
      </c>
      <c r="F481" s="112">
        <f t="shared" si="203"/>
        <v>45255</v>
      </c>
      <c r="G481" s="94">
        <f t="shared" si="203"/>
        <v>219810</v>
      </c>
      <c r="H481" s="94">
        <f t="shared" si="203"/>
        <v>137920</v>
      </c>
      <c r="I481" s="94">
        <f t="shared" si="203"/>
        <v>601245</v>
      </c>
      <c r="J481" s="139">
        <f t="shared" si="203"/>
        <v>85892.142857142855</v>
      </c>
    </row>
    <row r="482" spans="1:12" x14ac:dyDescent="0.25">
      <c r="A482" s="37" t="s">
        <v>32</v>
      </c>
      <c r="B482" s="39">
        <f t="shared" ref="B482:H482" si="204">B480+B481</f>
        <v>2027758.6206896554</v>
      </c>
      <c r="C482" s="40">
        <f t="shared" si="204"/>
        <v>2044224.1379310347</v>
      </c>
      <c r="D482" s="40">
        <f t="shared" si="204"/>
        <v>2010000.0000000002</v>
      </c>
      <c r="E482" s="39">
        <f t="shared" si="204"/>
        <v>2363793.1034482759</v>
      </c>
      <c r="F482" s="140">
        <f t="shared" si="204"/>
        <v>4579310.3448275868</v>
      </c>
      <c r="G482" s="39">
        <f t="shared" si="204"/>
        <v>8785775.862068966</v>
      </c>
      <c r="H482" s="39">
        <f t="shared" si="204"/>
        <v>6817241.3793103453</v>
      </c>
      <c r="I482" s="39">
        <f>I480+I481</f>
        <v>28628103.448275864</v>
      </c>
      <c r="J482" s="40">
        <f>J480+J481</f>
        <v>4089729.0640394092</v>
      </c>
    </row>
    <row r="483" spans="1:12" x14ac:dyDescent="0.25">
      <c r="A483" s="10" t="s">
        <v>33</v>
      </c>
      <c r="B483" s="41">
        <f t="shared" ref="B483:H483" si="205">B482*16%</f>
        <v>324441.37931034487</v>
      </c>
      <c r="C483" s="42">
        <f t="shared" si="205"/>
        <v>327075.86206896557</v>
      </c>
      <c r="D483" s="42">
        <f t="shared" si="205"/>
        <v>321600.00000000006</v>
      </c>
      <c r="E483" s="41">
        <f t="shared" si="205"/>
        <v>378206.89655172417</v>
      </c>
      <c r="F483" s="141">
        <f t="shared" si="205"/>
        <v>732689.65517241391</v>
      </c>
      <c r="G483" s="41">
        <f t="shared" si="205"/>
        <v>1405724.1379310347</v>
      </c>
      <c r="H483" s="41">
        <f t="shared" si="205"/>
        <v>1090758.6206896552</v>
      </c>
      <c r="I483" s="41">
        <f>I482*16%</f>
        <v>4580496.5517241387</v>
      </c>
      <c r="J483" s="42">
        <f>J482*16%</f>
        <v>654356.65024630551</v>
      </c>
    </row>
    <row r="484" spans="1:12" x14ac:dyDescent="0.25">
      <c r="A484" s="43" t="s">
        <v>34</v>
      </c>
      <c r="B484" s="315">
        <f t="shared" ref="B484:H484" si="206">B482+B483</f>
        <v>2352200.0000000005</v>
      </c>
      <c r="C484" s="315">
        <f t="shared" si="206"/>
        <v>2371300</v>
      </c>
      <c r="D484" s="315">
        <f t="shared" si="206"/>
        <v>2331600.0000000005</v>
      </c>
      <c r="E484" s="178">
        <f t="shared" si="206"/>
        <v>2742000</v>
      </c>
      <c r="F484" s="182">
        <f t="shared" si="206"/>
        <v>5312000.0000000009</v>
      </c>
      <c r="G484" s="178">
        <f t="shared" si="206"/>
        <v>10191500</v>
      </c>
      <c r="H484" s="178">
        <f t="shared" si="206"/>
        <v>7908000</v>
      </c>
      <c r="I484" s="178">
        <f>I482+I483</f>
        <v>33208600.000000004</v>
      </c>
      <c r="J484" s="315">
        <f>FLORESTA!$I484/7</f>
        <v>4744085.7142857146</v>
      </c>
    </row>
    <row r="487" spans="1:12" ht="12.75" customHeight="1" x14ac:dyDescent="0.25">
      <c r="A487" s="149"/>
      <c r="B487" s="1006" t="s">
        <v>166</v>
      </c>
      <c r="C487" s="1006"/>
      <c r="D487" s="1006"/>
      <c r="E487" s="1006"/>
      <c r="F487" s="1006"/>
      <c r="G487" s="1006"/>
      <c r="H487" s="1006"/>
      <c r="I487" s="1006"/>
    </row>
    <row r="488" spans="1:12" ht="15" customHeight="1" x14ac:dyDescent="0.25">
      <c r="A488" s="149"/>
      <c r="B488" s="1006"/>
      <c r="C488" s="1006"/>
      <c r="D488" s="1006"/>
      <c r="E488" s="1006"/>
      <c r="F488" s="1006"/>
      <c r="G488" s="1006"/>
      <c r="H488" s="1006"/>
      <c r="I488" s="1006"/>
    </row>
    <row r="489" spans="1:12" ht="15.75" x14ac:dyDescent="0.25">
      <c r="A489" s="72" t="s">
        <v>2</v>
      </c>
      <c r="B489" s="121" t="s">
        <v>217</v>
      </c>
      <c r="C489" s="51" t="s">
        <v>218</v>
      </c>
      <c r="D489" s="121" t="s">
        <v>219</v>
      </c>
      <c r="E489" s="51" t="s">
        <v>220</v>
      </c>
      <c r="F489" s="51" t="s">
        <v>406</v>
      </c>
      <c r="G489" s="121" t="s">
        <v>222</v>
      </c>
      <c r="H489" s="121" t="s">
        <v>223</v>
      </c>
      <c r="I489" s="51" t="s">
        <v>10</v>
      </c>
      <c r="J489" s="310" t="s">
        <v>77</v>
      </c>
    </row>
    <row r="490" spans="1:12" x14ac:dyDescent="0.25">
      <c r="A490" s="74" t="s">
        <v>11</v>
      </c>
      <c r="B490" s="55">
        <v>66</v>
      </c>
      <c r="C490" s="56">
        <v>69</v>
      </c>
      <c r="D490" s="54">
        <v>84</v>
      </c>
      <c r="E490" s="316">
        <v>85</v>
      </c>
      <c r="F490" s="311">
        <v>174</v>
      </c>
      <c r="G490" s="58">
        <v>286</v>
      </c>
      <c r="H490" s="57">
        <v>261</v>
      </c>
      <c r="I490" s="311">
        <f t="shared" ref="I490:I495" si="207">SUM(B490:H490)</f>
        <v>1025</v>
      </c>
      <c r="J490" s="317">
        <f>FLORESTA!$I490/7</f>
        <v>146.42857142857142</v>
      </c>
      <c r="L490">
        <v>128</v>
      </c>
    </row>
    <row r="491" spans="1:12" x14ac:dyDescent="0.25">
      <c r="A491" s="10" t="s">
        <v>12</v>
      </c>
      <c r="B491" s="11">
        <v>20</v>
      </c>
      <c r="C491" s="13">
        <v>17</v>
      </c>
      <c r="D491" s="320">
        <v>34</v>
      </c>
      <c r="E491" s="11">
        <v>23</v>
      </c>
      <c r="F491" s="125">
        <v>60</v>
      </c>
      <c r="G491" s="11">
        <v>72</v>
      </c>
      <c r="H491" s="11">
        <v>84</v>
      </c>
      <c r="I491" s="313">
        <f t="shared" si="207"/>
        <v>310</v>
      </c>
      <c r="J491" s="318">
        <f>FLORESTA!$I491/7</f>
        <v>44.285714285714285</v>
      </c>
      <c r="L491">
        <v>100</v>
      </c>
    </row>
    <row r="492" spans="1:12" x14ac:dyDescent="0.25">
      <c r="A492" s="10" t="s">
        <v>13</v>
      </c>
      <c r="B492" s="11">
        <v>0</v>
      </c>
      <c r="C492" s="13">
        <v>0</v>
      </c>
      <c r="D492" s="13">
        <v>1</v>
      </c>
      <c r="E492" s="11">
        <v>1</v>
      </c>
      <c r="F492" s="125">
        <v>2</v>
      </c>
      <c r="G492" s="11">
        <v>1</v>
      </c>
      <c r="H492" s="11">
        <v>6</v>
      </c>
      <c r="I492" s="313">
        <f t="shared" si="207"/>
        <v>11</v>
      </c>
      <c r="J492" s="318">
        <f>C492+D492+E492+F492+G492+H492+I492</f>
        <v>22</v>
      </c>
      <c r="L492">
        <v>33</v>
      </c>
    </row>
    <row r="493" spans="1:12" x14ac:dyDescent="0.25">
      <c r="A493" s="10" t="s">
        <v>14</v>
      </c>
      <c r="B493" s="11">
        <v>40</v>
      </c>
      <c r="C493" s="13">
        <v>48</v>
      </c>
      <c r="D493" s="13">
        <v>45</v>
      </c>
      <c r="E493" s="11">
        <v>59</v>
      </c>
      <c r="F493" s="125">
        <v>114</v>
      </c>
      <c r="G493" s="11">
        <v>191</v>
      </c>
      <c r="H493" s="11">
        <v>138</v>
      </c>
      <c r="I493" s="313">
        <f t="shared" si="207"/>
        <v>635</v>
      </c>
      <c r="J493" s="318">
        <f>FLORESTA!$I493/7</f>
        <v>90.714285714285708</v>
      </c>
      <c r="L493">
        <f>SUM(L490:L492)</f>
        <v>261</v>
      </c>
    </row>
    <row r="494" spans="1:12" x14ac:dyDescent="0.25">
      <c r="A494" s="10" t="s">
        <v>15</v>
      </c>
      <c r="B494" s="11">
        <v>0</v>
      </c>
      <c r="C494" s="13">
        <v>0</v>
      </c>
      <c r="D494" s="13">
        <v>0</v>
      </c>
      <c r="E494" s="11">
        <v>0</v>
      </c>
      <c r="F494" s="125">
        <v>0</v>
      </c>
      <c r="G494" s="11">
        <v>1</v>
      </c>
      <c r="H494" s="11">
        <v>0</v>
      </c>
      <c r="I494" s="313">
        <f t="shared" si="207"/>
        <v>1</v>
      </c>
      <c r="J494" s="318">
        <f>FLORESTA!$I494/7</f>
        <v>0.14285714285714285</v>
      </c>
    </row>
    <row r="495" spans="1:12" x14ac:dyDescent="0.25">
      <c r="A495" s="10" t="s">
        <v>16</v>
      </c>
      <c r="B495" s="11">
        <v>0</v>
      </c>
      <c r="C495" s="13">
        <v>1</v>
      </c>
      <c r="D495" s="13">
        <v>0</v>
      </c>
      <c r="E495" s="11">
        <v>0</v>
      </c>
      <c r="F495" s="125">
        <v>0</v>
      </c>
      <c r="G495" s="11">
        <v>0</v>
      </c>
      <c r="H495" s="11">
        <v>0</v>
      </c>
      <c r="I495" s="313">
        <f t="shared" si="207"/>
        <v>1</v>
      </c>
      <c r="J495" s="318">
        <f>FLORESTA!$I495/7</f>
        <v>0.14285714285714285</v>
      </c>
    </row>
    <row r="496" spans="1:12" x14ac:dyDescent="0.25">
      <c r="A496" s="15" t="s">
        <v>17</v>
      </c>
      <c r="B496" s="79">
        <f t="shared" ref="B496:I496" si="208">SUM(B491:B495)</f>
        <v>60</v>
      </c>
      <c r="C496" s="79">
        <f t="shared" si="208"/>
        <v>66</v>
      </c>
      <c r="D496" s="79">
        <f t="shared" si="208"/>
        <v>80</v>
      </c>
      <c r="E496" s="103">
        <f t="shared" si="208"/>
        <v>83</v>
      </c>
      <c r="F496" s="213">
        <f t="shared" si="208"/>
        <v>176</v>
      </c>
      <c r="G496" s="103">
        <f t="shared" si="208"/>
        <v>265</v>
      </c>
      <c r="H496" s="103">
        <f t="shared" si="208"/>
        <v>228</v>
      </c>
      <c r="I496" s="103">
        <f t="shared" si="208"/>
        <v>958</v>
      </c>
      <c r="J496" s="319">
        <f>FLORESTA!$I496/7</f>
        <v>136.85714285714286</v>
      </c>
    </row>
    <row r="497" spans="1:10" x14ac:dyDescent="0.25">
      <c r="A497" s="10" t="s">
        <v>18</v>
      </c>
      <c r="B497" s="18">
        <v>0.37</v>
      </c>
      <c r="C497" s="19">
        <v>0.28999999999999998</v>
      </c>
      <c r="D497" s="19">
        <v>0.45</v>
      </c>
      <c r="E497" s="18">
        <v>0.34</v>
      </c>
      <c r="F497" s="129">
        <v>0.37</v>
      </c>
      <c r="G497" s="18">
        <v>0.3</v>
      </c>
      <c r="H497" s="18">
        <v>0.41</v>
      </c>
      <c r="I497" s="18">
        <f>I504/I509</f>
        <v>0.35849428747406392</v>
      </c>
      <c r="J497" s="19">
        <f>J504/J509</f>
        <v>0.35849428747406398</v>
      </c>
    </row>
    <row r="498" spans="1:10" x14ac:dyDescent="0.25">
      <c r="A498" s="10" t="s">
        <v>19</v>
      </c>
      <c r="B498" s="18">
        <v>0</v>
      </c>
      <c r="C498" s="19">
        <v>0</v>
      </c>
      <c r="D498" s="19">
        <v>0.03</v>
      </c>
      <c r="E498" s="18">
        <v>0.02</v>
      </c>
      <c r="F498" s="129">
        <v>0.02</v>
      </c>
      <c r="G498" s="18">
        <v>0</v>
      </c>
      <c r="H498" s="18">
        <v>0.03</v>
      </c>
      <c r="I498" s="18">
        <f>I505/I509</f>
        <v>1.514726025807701E-2</v>
      </c>
      <c r="J498" s="19">
        <f>J505/J509</f>
        <v>1.5147260258077012E-2</v>
      </c>
    </row>
    <row r="499" spans="1:10" x14ac:dyDescent="0.25">
      <c r="A499" s="10" t="s">
        <v>20</v>
      </c>
      <c r="B499" s="18">
        <v>0.63</v>
      </c>
      <c r="C499" s="19">
        <v>0.69</v>
      </c>
      <c r="D499" s="19">
        <v>0.52</v>
      </c>
      <c r="E499" s="18">
        <v>0.64</v>
      </c>
      <c r="F499" s="297">
        <v>0.61</v>
      </c>
      <c r="G499" s="18">
        <v>0.7</v>
      </c>
      <c r="H499" s="18">
        <v>0.56000000000000005</v>
      </c>
      <c r="I499" s="18">
        <f>I506/I509</f>
        <v>0.62519101427290602</v>
      </c>
      <c r="J499" s="19">
        <f>J506/J509</f>
        <v>0.62519101427290602</v>
      </c>
    </row>
    <row r="500" spans="1:10" x14ac:dyDescent="0.25">
      <c r="A500" s="10" t="s">
        <v>21</v>
      </c>
      <c r="B500" s="18">
        <v>0</v>
      </c>
      <c r="C500" s="19">
        <v>0</v>
      </c>
      <c r="D500" s="19">
        <v>0</v>
      </c>
      <c r="E500" s="18">
        <v>0</v>
      </c>
      <c r="F500" s="297">
        <v>0</v>
      </c>
      <c r="G500" s="18">
        <v>0</v>
      </c>
      <c r="H500" s="18">
        <v>0</v>
      </c>
      <c r="I500" s="18">
        <f>I507/I509</f>
        <v>0</v>
      </c>
      <c r="J500" s="19">
        <f>J507/J509</f>
        <v>0</v>
      </c>
    </row>
    <row r="501" spans="1:10" x14ac:dyDescent="0.25">
      <c r="A501" s="10" t="s">
        <v>22</v>
      </c>
      <c r="B501" s="18">
        <v>0</v>
      </c>
      <c r="C501" s="19">
        <v>0.02</v>
      </c>
      <c r="D501" s="19">
        <v>0</v>
      </c>
      <c r="E501" s="18">
        <v>0</v>
      </c>
      <c r="F501" s="297">
        <v>0</v>
      </c>
      <c r="G501" s="18">
        <v>0</v>
      </c>
      <c r="H501" s="18">
        <v>0</v>
      </c>
      <c r="I501" s="18">
        <f>I508/I509</f>
        <v>1.1674379949529589E-3</v>
      </c>
      <c r="J501" s="19">
        <f>J508/J509</f>
        <v>1.1674379949529589E-3</v>
      </c>
    </row>
    <row r="502" spans="1:10" x14ac:dyDescent="0.25">
      <c r="A502" s="24" t="s">
        <v>23</v>
      </c>
      <c r="B502" s="130">
        <f t="shared" ref="B502:J502" si="209">B513/B496</f>
        <v>29350.000000000004</v>
      </c>
      <c r="C502" s="131">
        <f t="shared" si="209"/>
        <v>28463.636363636368</v>
      </c>
      <c r="D502" s="131">
        <f t="shared" si="209"/>
        <v>31050.000000000007</v>
      </c>
      <c r="E502" s="130">
        <f t="shared" si="209"/>
        <v>31149.397590361445</v>
      </c>
      <c r="F502" s="132">
        <f t="shared" si="209"/>
        <v>35244.318181818184</v>
      </c>
      <c r="G502" s="130">
        <f t="shared" si="209"/>
        <v>35267.169811320753</v>
      </c>
      <c r="H502" s="130">
        <f t="shared" si="209"/>
        <v>34966.666666666664</v>
      </c>
      <c r="I502" s="314">
        <f t="shared" si="209"/>
        <v>33643.215031315245</v>
      </c>
      <c r="J502" s="132">
        <f t="shared" si="209"/>
        <v>33643.215031315245</v>
      </c>
    </row>
    <row r="503" spans="1:10" x14ac:dyDescent="0.25">
      <c r="A503" s="24" t="s">
        <v>24</v>
      </c>
      <c r="B503" s="130">
        <f t="shared" ref="B503:J503" si="210">B513/B490</f>
        <v>26681.818181818184</v>
      </c>
      <c r="C503" s="131">
        <f t="shared" si="210"/>
        <v>27226.086956521744</v>
      </c>
      <c r="D503" s="131">
        <f t="shared" si="210"/>
        <v>29571.428571428576</v>
      </c>
      <c r="E503" s="130">
        <f t="shared" si="210"/>
        <v>30416.470588235294</v>
      </c>
      <c r="F503" s="132">
        <f t="shared" si="210"/>
        <v>35649.425287356324</v>
      </c>
      <c r="G503" s="130">
        <f t="shared" si="210"/>
        <v>32677.622377622378</v>
      </c>
      <c r="H503" s="130">
        <f t="shared" si="210"/>
        <v>30545.593869731802</v>
      </c>
      <c r="I503" s="314">
        <f t="shared" si="210"/>
        <v>31444.097560975613</v>
      </c>
      <c r="J503" s="132">
        <f t="shared" si="210"/>
        <v>31444.097560975617</v>
      </c>
    </row>
    <row r="504" spans="1:10" x14ac:dyDescent="0.25">
      <c r="A504" s="10" t="s">
        <v>25</v>
      </c>
      <c r="B504" s="92">
        <f t="shared" ref="B504:H504" si="211">B509*B497</f>
        <v>545751.27586206899</v>
      </c>
      <c r="C504" s="133">
        <f t="shared" si="211"/>
        <v>459025.85000000003</v>
      </c>
      <c r="D504" s="133">
        <f t="shared" si="211"/>
        <v>930649.18965517252</v>
      </c>
      <c r="E504" s="92">
        <f t="shared" si="211"/>
        <v>740937.55517241382</v>
      </c>
      <c r="F504" s="134">
        <f t="shared" si="211"/>
        <v>1930702.1034482762</v>
      </c>
      <c r="G504" s="92">
        <f t="shared" si="211"/>
        <v>2370469.2413793104</v>
      </c>
      <c r="H504" s="92">
        <f t="shared" si="211"/>
        <v>2743612.8344827588</v>
      </c>
      <c r="I504" s="92">
        <f>FLORESTA!$B504+FLORESTA!$C504+FLORESTA!$D504+FLORESTA!$E504+FLORESTA!$F504+FLORESTA!$G504+FLORESTA!$H504</f>
        <v>9721148.0500000007</v>
      </c>
      <c r="J504" s="133">
        <f>FLORESTA!$I504/7</f>
        <v>1388735.4357142858</v>
      </c>
    </row>
    <row r="505" spans="1:10" x14ac:dyDescent="0.25">
      <c r="A505" s="10" t="s">
        <v>26</v>
      </c>
      <c r="B505" s="92">
        <f t="shared" ref="B505:H505" si="212">B509*B498</f>
        <v>0</v>
      </c>
      <c r="C505" s="133">
        <f t="shared" si="212"/>
        <v>0</v>
      </c>
      <c r="D505" s="133">
        <f t="shared" si="212"/>
        <v>62043.279310344835</v>
      </c>
      <c r="E505" s="92">
        <f t="shared" si="212"/>
        <v>43584.562068965519</v>
      </c>
      <c r="F505" s="134">
        <f t="shared" si="212"/>
        <v>104362.27586206899</v>
      </c>
      <c r="G505" s="92">
        <f t="shared" si="212"/>
        <v>0</v>
      </c>
      <c r="H505" s="92">
        <f t="shared" si="212"/>
        <v>200752.15862068968</v>
      </c>
      <c r="I505" s="92">
        <f>FLORESTA!$B505+FLORESTA!$C505+FLORESTA!$D505+FLORESTA!$E505+FLORESTA!$F505+FLORESTA!$G505+FLORESTA!$H505</f>
        <v>410742.27586206899</v>
      </c>
      <c r="J505" s="133">
        <f>FLORESTA!$I505/7</f>
        <v>58677.467980295572</v>
      </c>
    </row>
    <row r="506" spans="1:10" x14ac:dyDescent="0.25">
      <c r="A506" s="10" t="s">
        <v>27</v>
      </c>
      <c r="B506" s="92">
        <f t="shared" ref="B506:H506" si="213">B509*B499</f>
        <v>929252.17241379328</v>
      </c>
      <c r="C506" s="133">
        <f t="shared" si="213"/>
        <v>1092164.9534482758</v>
      </c>
      <c r="D506" s="133">
        <f t="shared" si="213"/>
        <v>1075416.8413793105</v>
      </c>
      <c r="E506" s="92">
        <f t="shared" si="213"/>
        <v>1394705.9862068966</v>
      </c>
      <c r="F506" s="134">
        <f t="shared" si="213"/>
        <v>3183049.4137931038</v>
      </c>
      <c r="G506" s="92">
        <f t="shared" si="213"/>
        <v>5531094.8965517245</v>
      </c>
      <c r="H506" s="92">
        <f t="shared" si="213"/>
        <v>3747373.6275862074</v>
      </c>
      <c r="I506" s="92">
        <f>FLORESTA!$B506+FLORESTA!$C506+FLORESTA!$D506+FLORESTA!$E506+FLORESTA!$F506+FLORESTA!$G506+FLORESTA!$H506</f>
        <v>16953057.891379312</v>
      </c>
      <c r="J506" s="133">
        <f>FLORESTA!$I506/7</f>
        <v>2421865.4130541873</v>
      </c>
    </row>
    <row r="507" spans="1:10" x14ac:dyDescent="0.25">
      <c r="A507" s="10" t="s">
        <v>28</v>
      </c>
      <c r="B507" s="92">
        <f t="shared" ref="B507:H507" si="214">B509*B500</f>
        <v>0</v>
      </c>
      <c r="C507" s="133">
        <f t="shared" si="214"/>
        <v>0</v>
      </c>
      <c r="D507" s="133">
        <f t="shared" si="214"/>
        <v>0</v>
      </c>
      <c r="E507" s="92">
        <f t="shared" si="214"/>
        <v>0</v>
      </c>
      <c r="F507" s="134">
        <f t="shared" si="214"/>
        <v>0</v>
      </c>
      <c r="G507" s="92">
        <f t="shared" si="214"/>
        <v>0</v>
      </c>
      <c r="H507" s="92">
        <f t="shared" si="214"/>
        <v>0</v>
      </c>
      <c r="I507" s="92">
        <f>FLORESTA!$B507+FLORESTA!$C507+FLORESTA!$D507+FLORESTA!$E507+FLORESTA!$F507+FLORESTA!$G507+FLORESTA!$H507</f>
        <v>0</v>
      </c>
      <c r="J507" s="133">
        <f>FLORESTA!$I507/7</f>
        <v>0</v>
      </c>
    </row>
    <row r="508" spans="1:10" x14ac:dyDescent="0.25">
      <c r="A508" s="10" t="s">
        <v>29</v>
      </c>
      <c r="B508" s="92">
        <f t="shared" ref="B508:H508" si="215">B509*B501</f>
        <v>0</v>
      </c>
      <c r="C508" s="133">
        <f t="shared" si="215"/>
        <v>31656.955172413796</v>
      </c>
      <c r="D508" s="133">
        <f t="shared" si="215"/>
        <v>0</v>
      </c>
      <c r="E508" s="92">
        <f t="shared" si="215"/>
        <v>0</v>
      </c>
      <c r="F508" s="134">
        <f t="shared" si="215"/>
        <v>0</v>
      </c>
      <c r="G508" s="92">
        <f t="shared" si="215"/>
        <v>0</v>
      </c>
      <c r="H508" s="92">
        <f t="shared" si="215"/>
        <v>0</v>
      </c>
      <c r="I508" s="92">
        <f>FLORESTA!$B508+FLORESTA!$C508+FLORESTA!$D508+FLORESTA!$E508+FLORESTA!$F508+FLORESTA!$G508+FLORESTA!$H508</f>
        <v>31656.955172413796</v>
      </c>
      <c r="J508" s="133">
        <f>FLORESTA!$I508/7</f>
        <v>4522.4221674876853</v>
      </c>
    </row>
    <row r="509" spans="1:10" x14ac:dyDescent="0.25">
      <c r="A509" s="33" t="s">
        <v>30</v>
      </c>
      <c r="B509" s="91">
        <f>(1761000/1.16)-B510</f>
        <v>1475003.4482758623</v>
      </c>
      <c r="C509" s="136">
        <f>(1878600/1.16)-C510</f>
        <v>1582847.7586206899</v>
      </c>
      <c r="D509" s="136">
        <f>(2484000/1.16)-D510</f>
        <v>2068109.3103448278</v>
      </c>
      <c r="E509" s="91">
        <f>(2585400/1.16)-E510</f>
        <v>2179228.1034482759</v>
      </c>
      <c r="F509" s="137">
        <f>(6203000/1.16)-F510</f>
        <v>5218113.793103449</v>
      </c>
      <c r="G509" s="91">
        <f>(9345800/1.16)-G510</f>
        <v>7901564.1379310349</v>
      </c>
      <c r="H509" s="91">
        <f>(7972400/1.16)-H510</f>
        <v>6691738.6206896557</v>
      </c>
      <c r="I509" s="91">
        <f>SUM(I504:I508)</f>
        <v>27116605.172413796</v>
      </c>
      <c r="J509" s="136">
        <f>FLORESTA!$I509/7</f>
        <v>3873800.7389162565</v>
      </c>
    </row>
    <row r="510" spans="1:10" x14ac:dyDescent="0.25">
      <c r="A510" s="10" t="s">
        <v>31</v>
      </c>
      <c r="B510" s="94">
        <f t="shared" ref="B510:J510" si="216">2155*B491</f>
        <v>43100</v>
      </c>
      <c r="C510" s="139">
        <f t="shared" si="216"/>
        <v>36635</v>
      </c>
      <c r="D510" s="139">
        <f t="shared" si="216"/>
        <v>73270</v>
      </c>
      <c r="E510" s="94">
        <f t="shared" si="216"/>
        <v>49565</v>
      </c>
      <c r="F510" s="112">
        <f t="shared" si="216"/>
        <v>129300</v>
      </c>
      <c r="G510" s="94">
        <f t="shared" si="216"/>
        <v>155160</v>
      </c>
      <c r="H510" s="94">
        <f t="shared" si="216"/>
        <v>181020</v>
      </c>
      <c r="I510" s="94">
        <f t="shared" si="216"/>
        <v>668050</v>
      </c>
      <c r="J510" s="139">
        <f t="shared" si="216"/>
        <v>95435.71428571429</v>
      </c>
    </row>
    <row r="511" spans="1:10" x14ac:dyDescent="0.25">
      <c r="A511" s="37" t="s">
        <v>32</v>
      </c>
      <c r="B511" s="39">
        <f t="shared" ref="B511:H511" si="217">B509+B510</f>
        <v>1518103.4482758623</v>
      </c>
      <c r="C511" s="40">
        <f t="shared" si="217"/>
        <v>1619482.7586206899</v>
      </c>
      <c r="D511" s="40">
        <f t="shared" si="217"/>
        <v>2141379.3103448278</v>
      </c>
      <c r="E511" s="39">
        <f t="shared" si="217"/>
        <v>2228793.1034482759</v>
      </c>
      <c r="F511" s="140">
        <f t="shared" si="217"/>
        <v>5347413.793103449</v>
      </c>
      <c r="G511" s="39">
        <f t="shared" si="217"/>
        <v>8056724.1379310349</v>
      </c>
      <c r="H511" s="39">
        <f t="shared" si="217"/>
        <v>6872758.6206896557</v>
      </c>
      <c r="I511" s="39">
        <f>I509+I510</f>
        <v>27784655.172413796</v>
      </c>
      <c r="J511" s="40">
        <f>J509+J510</f>
        <v>3969236.4532019706</v>
      </c>
    </row>
    <row r="512" spans="1:10" x14ac:dyDescent="0.25">
      <c r="A512" s="10" t="s">
        <v>33</v>
      </c>
      <c r="B512" s="41">
        <f t="shared" ref="B512:H512" si="218">B511*16%</f>
        <v>242896.55172413797</v>
      </c>
      <c r="C512" s="42">
        <f t="shared" si="218"/>
        <v>259117.24137931038</v>
      </c>
      <c r="D512" s="42">
        <f t="shared" si="218"/>
        <v>342620.68965517246</v>
      </c>
      <c r="E512" s="41">
        <f t="shared" si="218"/>
        <v>356606.89655172417</v>
      </c>
      <c r="F512" s="141">
        <f t="shared" si="218"/>
        <v>855586.20689655188</v>
      </c>
      <c r="G512" s="41">
        <f t="shared" si="218"/>
        <v>1289075.8620689656</v>
      </c>
      <c r="H512" s="41">
        <f t="shared" si="218"/>
        <v>1099641.3793103448</v>
      </c>
      <c r="I512" s="41">
        <f>I511*16%</f>
        <v>4445544.8275862075</v>
      </c>
      <c r="J512" s="42">
        <f>J511*16%</f>
        <v>635077.83251231525</v>
      </c>
    </row>
    <row r="513" spans="1:12" x14ac:dyDescent="0.25">
      <c r="A513" s="43" t="s">
        <v>34</v>
      </c>
      <c r="B513" s="315">
        <f t="shared" ref="B513:H513" si="219">B511+B512</f>
        <v>1761000.0000000002</v>
      </c>
      <c r="C513" s="315">
        <f t="shared" si="219"/>
        <v>1878600.0000000002</v>
      </c>
      <c r="D513" s="315">
        <f t="shared" si="219"/>
        <v>2484000.0000000005</v>
      </c>
      <c r="E513" s="178">
        <f t="shared" si="219"/>
        <v>2585400</v>
      </c>
      <c r="F513" s="182">
        <f t="shared" si="219"/>
        <v>6203000.0000000009</v>
      </c>
      <c r="G513" s="178">
        <f t="shared" si="219"/>
        <v>9345800</v>
      </c>
      <c r="H513" s="178">
        <f t="shared" si="219"/>
        <v>7972400</v>
      </c>
      <c r="I513" s="178">
        <f>I511+I512</f>
        <v>32230200.000000004</v>
      </c>
      <c r="J513" s="315">
        <f>FLORESTA!$I513/7</f>
        <v>4604314.2857142864</v>
      </c>
    </row>
    <row r="516" spans="1:12" ht="12.75" customHeight="1" x14ac:dyDescent="0.25">
      <c r="A516" s="149"/>
      <c r="B516" s="1006" t="s">
        <v>169</v>
      </c>
      <c r="C516" s="1006"/>
      <c r="D516" s="1006"/>
      <c r="E516" s="1006"/>
      <c r="F516" s="1006"/>
      <c r="G516" s="1006"/>
      <c r="H516" s="1006"/>
      <c r="I516" s="1006"/>
    </row>
    <row r="517" spans="1:12" ht="15" customHeight="1" x14ac:dyDescent="0.25">
      <c r="A517" s="149"/>
      <c r="B517" s="1006"/>
      <c r="C517" s="1006"/>
      <c r="D517" s="1006"/>
      <c r="E517" s="1006"/>
      <c r="F517" s="1006"/>
      <c r="G517" s="1006"/>
      <c r="H517" s="1006"/>
      <c r="I517" s="1006"/>
    </row>
    <row r="518" spans="1:12" ht="15.75" x14ac:dyDescent="0.25">
      <c r="A518" s="72" t="s">
        <v>2</v>
      </c>
      <c r="B518" s="121" t="s">
        <v>225</v>
      </c>
      <c r="C518" s="51" t="s">
        <v>226</v>
      </c>
      <c r="D518" s="121" t="s">
        <v>227</v>
      </c>
      <c r="E518" s="51" t="s">
        <v>228</v>
      </c>
      <c r="F518" s="51" t="s">
        <v>407</v>
      </c>
      <c r="G518" s="121" t="s">
        <v>230</v>
      </c>
      <c r="H518" s="121" t="s">
        <v>231</v>
      </c>
      <c r="I518" s="51" t="s">
        <v>10</v>
      </c>
      <c r="J518" s="310" t="s">
        <v>77</v>
      </c>
    </row>
    <row r="519" spans="1:12" x14ac:dyDescent="0.25">
      <c r="A519" s="74" t="s">
        <v>11</v>
      </c>
      <c r="B519" s="55">
        <v>75</v>
      </c>
      <c r="C519" s="56">
        <v>73</v>
      </c>
      <c r="D519" s="54">
        <v>87</v>
      </c>
      <c r="E519" s="316">
        <v>82</v>
      </c>
      <c r="F519" s="311">
        <v>217</v>
      </c>
      <c r="G519" s="58">
        <v>316</v>
      </c>
      <c r="H519" s="57">
        <v>253</v>
      </c>
      <c r="I519" s="311">
        <f t="shared" ref="I519:I524" si="220">SUM(B519:H519)</f>
        <v>1103</v>
      </c>
      <c r="J519" s="317">
        <f>FLORESTA!$I519/7</f>
        <v>157.57142857142858</v>
      </c>
      <c r="L519">
        <v>41</v>
      </c>
    </row>
    <row r="520" spans="1:12" x14ac:dyDescent="0.25">
      <c r="A520" s="10" t="s">
        <v>12</v>
      </c>
      <c r="B520" s="11">
        <v>24</v>
      </c>
      <c r="C520" s="13">
        <v>35</v>
      </c>
      <c r="D520" s="320">
        <v>37</v>
      </c>
      <c r="E520" s="11">
        <v>22</v>
      </c>
      <c r="F520" s="125">
        <v>59</v>
      </c>
      <c r="G520" s="11">
        <v>96</v>
      </c>
      <c r="H520" s="11">
        <v>72</v>
      </c>
      <c r="I520" s="313">
        <f t="shared" si="220"/>
        <v>345</v>
      </c>
      <c r="J520" s="318">
        <f>FLORESTA!$I520/7</f>
        <v>49.285714285714285</v>
      </c>
      <c r="L520">
        <v>21</v>
      </c>
    </row>
    <row r="521" spans="1:12" x14ac:dyDescent="0.25">
      <c r="A521" s="10" t="s">
        <v>13</v>
      </c>
      <c r="B521" s="11">
        <v>1</v>
      </c>
      <c r="C521" s="13">
        <v>0</v>
      </c>
      <c r="D521" s="13">
        <v>0</v>
      </c>
      <c r="E521" s="11">
        <v>2</v>
      </c>
      <c r="F521" s="125">
        <v>4</v>
      </c>
      <c r="G521" s="11">
        <v>3</v>
      </c>
      <c r="H521" s="11">
        <v>2</v>
      </c>
      <c r="I521" s="313">
        <f t="shared" si="220"/>
        <v>12</v>
      </c>
      <c r="J521" s="318">
        <f>C521+D521+E521+F521+G521+H521+I521</f>
        <v>23</v>
      </c>
      <c r="L521">
        <v>13</v>
      </c>
    </row>
    <row r="522" spans="1:12" x14ac:dyDescent="0.25">
      <c r="A522" s="10" t="s">
        <v>14</v>
      </c>
      <c r="B522" s="11">
        <v>42</v>
      </c>
      <c r="C522" s="13">
        <v>38</v>
      </c>
      <c r="D522" s="13">
        <v>41</v>
      </c>
      <c r="E522" s="11">
        <v>57</v>
      </c>
      <c r="F522" s="125">
        <v>136</v>
      </c>
      <c r="G522" s="11">
        <v>173</v>
      </c>
      <c r="H522" s="11">
        <v>132</v>
      </c>
      <c r="I522" s="313">
        <f t="shared" si="220"/>
        <v>619</v>
      </c>
      <c r="J522" s="318">
        <f>FLORESTA!$I522/7</f>
        <v>88.428571428571431</v>
      </c>
      <c r="L522">
        <f>SUM(L519:L521)</f>
        <v>75</v>
      </c>
    </row>
    <row r="523" spans="1:12" x14ac:dyDescent="0.25">
      <c r="A523" s="10" t="s">
        <v>15</v>
      </c>
      <c r="B523" s="11">
        <v>0</v>
      </c>
      <c r="C523" s="13">
        <v>0</v>
      </c>
      <c r="D523" s="13">
        <v>0</v>
      </c>
      <c r="E523" s="11">
        <v>0</v>
      </c>
      <c r="F523" s="125">
        <v>0</v>
      </c>
      <c r="G523" s="11">
        <v>0</v>
      </c>
      <c r="H523" s="11">
        <v>0</v>
      </c>
      <c r="I523" s="313">
        <f t="shared" si="220"/>
        <v>0</v>
      </c>
      <c r="J523" s="318">
        <f>FLORESTA!$I523/7</f>
        <v>0</v>
      </c>
    </row>
    <row r="524" spans="1:12" x14ac:dyDescent="0.25">
      <c r="A524" s="10" t="s">
        <v>16</v>
      </c>
      <c r="B524" s="11">
        <v>0</v>
      </c>
      <c r="C524" s="13">
        <v>0</v>
      </c>
      <c r="D524" s="13">
        <v>0</v>
      </c>
      <c r="E524" s="11">
        <v>0</v>
      </c>
      <c r="F524" s="125">
        <v>0</v>
      </c>
      <c r="G524" s="11">
        <v>0</v>
      </c>
      <c r="H524" s="11">
        <v>0</v>
      </c>
      <c r="I524" s="313">
        <f t="shared" si="220"/>
        <v>0</v>
      </c>
      <c r="J524" s="318">
        <f>FLORESTA!$I524/7</f>
        <v>0</v>
      </c>
    </row>
    <row r="525" spans="1:12" x14ac:dyDescent="0.25">
      <c r="A525" s="15" t="s">
        <v>17</v>
      </c>
      <c r="B525" s="79">
        <f t="shared" ref="B525:I525" si="221">SUM(B520:B524)</f>
        <v>67</v>
      </c>
      <c r="C525" s="79">
        <f t="shared" si="221"/>
        <v>73</v>
      </c>
      <c r="D525" s="79">
        <f t="shared" si="221"/>
        <v>78</v>
      </c>
      <c r="E525" s="103">
        <f t="shared" si="221"/>
        <v>81</v>
      </c>
      <c r="F525" s="213">
        <f t="shared" si="221"/>
        <v>199</v>
      </c>
      <c r="G525" s="103">
        <f t="shared" si="221"/>
        <v>272</v>
      </c>
      <c r="H525" s="103">
        <f t="shared" si="221"/>
        <v>206</v>
      </c>
      <c r="I525" s="103">
        <f t="shared" si="221"/>
        <v>976</v>
      </c>
      <c r="J525" s="319">
        <f>FLORESTA!$I525/7</f>
        <v>139.42857142857142</v>
      </c>
    </row>
    <row r="526" spans="1:12" x14ac:dyDescent="0.25">
      <c r="A526" s="10" t="s">
        <v>18</v>
      </c>
      <c r="B526" s="18">
        <v>0.32</v>
      </c>
      <c r="C526" s="19">
        <v>0.51</v>
      </c>
      <c r="D526" s="19">
        <v>0.51</v>
      </c>
      <c r="E526" s="18">
        <v>0.32</v>
      </c>
      <c r="F526" s="129">
        <v>0.34</v>
      </c>
      <c r="G526" s="18">
        <v>0.41</v>
      </c>
      <c r="H526" s="18">
        <v>0.36</v>
      </c>
      <c r="I526" s="18">
        <f>I533/I538</f>
        <v>0.38738915386311495</v>
      </c>
      <c r="J526" s="19">
        <f>J533/J538</f>
        <v>0.38738915386311495</v>
      </c>
    </row>
    <row r="527" spans="1:12" x14ac:dyDescent="0.25">
      <c r="A527" s="10" t="s">
        <v>19</v>
      </c>
      <c r="B527" s="18">
        <v>0.04</v>
      </c>
      <c r="C527" s="19">
        <v>0</v>
      </c>
      <c r="D527" s="19">
        <v>0</v>
      </c>
      <c r="E527" s="18">
        <v>0.05</v>
      </c>
      <c r="F527" s="129">
        <v>0.02</v>
      </c>
      <c r="G527" s="18">
        <v>0.01</v>
      </c>
      <c r="H527" s="18">
        <v>0.02</v>
      </c>
      <c r="I527" s="18">
        <f>I534/I538</f>
        <v>1.7563509137261808E-2</v>
      </c>
      <c r="J527" s="19">
        <f>J534/J538</f>
        <v>1.7563509137261808E-2</v>
      </c>
    </row>
    <row r="528" spans="1:12" x14ac:dyDescent="0.25">
      <c r="A528" s="10" t="s">
        <v>20</v>
      </c>
      <c r="B528" s="18">
        <v>0.64</v>
      </c>
      <c r="C528" s="19">
        <v>0.49</v>
      </c>
      <c r="D528" s="19">
        <v>0.49</v>
      </c>
      <c r="E528" s="18">
        <v>0.63</v>
      </c>
      <c r="F528" s="297">
        <v>0.64</v>
      </c>
      <c r="G528" s="18">
        <v>0.57999999999999996</v>
      </c>
      <c r="H528" s="18">
        <v>0.62</v>
      </c>
      <c r="I528" s="18">
        <f>I535/I538</f>
        <v>0.5950473369996232</v>
      </c>
      <c r="J528" s="19">
        <f>J535/J538</f>
        <v>0.5950473369996232</v>
      </c>
    </row>
    <row r="529" spans="1:10" x14ac:dyDescent="0.25">
      <c r="A529" s="10" t="s">
        <v>21</v>
      </c>
      <c r="B529" s="18">
        <v>0</v>
      </c>
      <c r="C529" s="19">
        <v>0</v>
      </c>
      <c r="D529" s="19">
        <v>0</v>
      </c>
      <c r="E529" s="18">
        <v>0</v>
      </c>
      <c r="F529" s="297">
        <v>0</v>
      </c>
      <c r="G529" s="18">
        <v>0</v>
      </c>
      <c r="H529" s="18">
        <v>0</v>
      </c>
      <c r="I529" s="18">
        <f>I536/I538</f>
        <v>0</v>
      </c>
      <c r="J529" s="19">
        <f>J536/J538</f>
        <v>0</v>
      </c>
    </row>
    <row r="530" spans="1:10" x14ac:dyDescent="0.25">
      <c r="A530" s="10" t="s">
        <v>22</v>
      </c>
      <c r="B530" s="18">
        <v>0</v>
      </c>
      <c r="C530" s="19">
        <v>0</v>
      </c>
      <c r="D530" s="19">
        <v>0</v>
      </c>
      <c r="E530" s="18">
        <v>0</v>
      </c>
      <c r="F530" s="297">
        <v>0</v>
      </c>
      <c r="G530" s="18">
        <v>0</v>
      </c>
      <c r="H530" s="18">
        <v>0</v>
      </c>
      <c r="I530" s="18">
        <f>I537/I538</f>
        <v>0</v>
      </c>
      <c r="J530" s="19">
        <f>J537/J538</f>
        <v>0</v>
      </c>
    </row>
    <row r="531" spans="1:10" x14ac:dyDescent="0.25">
      <c r="A531" s="24" t="s">
        <v>23</v>
      </c>
      <c r="B531" s="130">
        <f t="shared" ref="B531:J531" si="222">B542/B525</f>
        <v>31962.686567164186</v>
      </c>
      <c r="C531" s="131">
        <f t="shared" si="222"/>
        <v>32132.876712328769</v>
      </c>
      <c r="D531" s="131">
        <f t="shared" si="222"/>
        <v>31528.205128205129</v>
      </c>
      <c r="E531" s="130">
        <f t="shared" si="222"/>
        <v>30119.753086419758</v>
      </c>
      <c r="F531" s="132">
        <f t="shared" si="222"/>
        <v>30865.829145728643</v>
      </c>
      <c r="G531" s="130">
        <f t="shared" si="222"/>
        <v>37850.73529411765</v>
      </c>
      <c r="H531" s="130">
        <f t="shared" si="222"/>
        <v>37980.582524271849</v>
      </c>
      <c r="I531" s="314">
        <f t="shared" si="222"/>
        <v>34475.204918032789</v>
      </c>
      <c r="J531" s="132">
        <f t="shared" si="222"/>
        <v>34475.204918032796</v>
      </c>
    </row>
    <row r="532" spans="1:10" x14ac:dyDescent="0.25">
      <c r="A532" s="24" t="s">
        <v>24</v>
      </c>
      <c r="B532" s="130">
        <f t="shared" ref="B532:J532" si="223">B542/B519</f>
        <v>28553.333333333339</v>
      </c>
      <c r="C532" s="131">
        <f t="shared" si="223"/>
        <v>32132.876712328769</v>
      </c>
      <c r="D532" s="131">
        <f t="shared" si="223"/>
        <v>28266.666666666668</v>
      </c>
      <c r="E532" s="130">
        <f t="shared" si="223"/>
        <v>29752.439024390249</v>
      </c>
      <c r="F532" s="132">
        <f t="shared" si="223"/>
        <v>28305.529953917052</v>
      </c>
      <c r="G532" s="130">
        <f t="shared" si="223"/>
        <v>32580.379746835442</v>
      </c>
      <c r="H532" s="130">
        <f t="shared" si="223"/>
        <v>30924.901185770756</v>
      </c>
      <c r="I532" s="314">
        <f t="shared" si="223"/>
        <v>30505.711695376245</v>
      </c>
      <c r="J532" s="132">
        <f t="shared" si="223"/>
        <v>30505.711695376245</v>
      </c>
    </row>
    <row r="533" spans="1:10" x14ac:dyDescent="0.25">
      <c r="A533" s="10" t="s">
        <v>25</v>
      </c>
      <c r="B533" s="92">
        <f t="shared" ref="B533:H533" si="224">B538*B526</f>
        <v>574208.22068965528</v>
      </c>
      <c r="C533" s="133">
        <f t="shared" si="224"/>
        <v>992832.38793103455</v>
      </c>
      <c r="D533" s="133">
        <f t="shared" si="224"/>
        <v>1040535.15</v>
      </c>
      <c r="E533" s="92">
        <f t="shared" si="224"/>
        <v>657849.48965517257</v>
      </c>
      <c r="F533" s="134">
        <f t="shared" si="224"/>
        <v>1757100.0103448278</v>
      </c>
      <c r="G533" s="92">
        <f t="shared" si="224"/>
        <v>3554070.579310345</v>
      </c>
      <c r="H533" s="92">
        <f t="shared" si="224"/>
        <v>2372280.3310344829</v>
      </c>
      <c r="I533" s="92">
        <f>FLORESTA!$B533+FLORESTA!$C533+FLORESTA!$D533+FLORESTA!$E533+FLORESTA!$F533+FLORESTA!$G533+FLORESTA!$H533</f>
        <v>10948876.168965518</v>
      </c>
      <c r="J533" s="133">
        <f>FLORESTA!$I533/7</f>
        <v>1564125.1669950741</v>
      </c>
    </row>
    <row r="534" spans="1:10" x14ac:dyDescent="0.25">
      <c r="A534" s="10" t="s">
        <v>26</v>
      </c>
      <c r="B534" s="92">
        <f t="shared" ref="B534:H534" si="225">B538*B527</f>
        <v>71776.02758620691</v>
      </c>
      <c r="C534" s="133">
        <f t="shared" si="225"/>
        <v>0</v>
      </c>
      <c r="D534" s="133">
        <f t="shared" si="225"/>
        <v>0</v>
      </c>
      <c r="E534" s="92">
        <f t="shared" si="225"/>
        <v>102788.98275862071</v>
      </c>
      <c r="F534" s="134">
        <f t="shared" si="225"/>
        <v>103358.82413793103</v>
      </c>
      <c r="G534" s="92">
        <f t="shared" si="225"/>
        <v>86684.648275862084</v>
      </c>
      <c r="H534" s="92">
        <f t="shared" si="225"/>
        <v>131793.35172413796</v>
      </c>
      <c r="I534" s="92">
        <f>FLORESTA!$B534+FLORESTA!$C534+FLORESTA!$D534+FLORESTA!$E534+FLORESTA!$F534+FLORESTA!$G534+FLORESTA!$H534</f>
        <v>496401.83448275871</v>
      </c>
      <c r="J534" s="133">
        <f>FLORESTA!$I534/7</f>
        <v>70914.547783251241</v>
      </c>
    </row>
    <row r="535" spans="1:10" x14ac:dyDescent="0.25">
      <c r="A535" s="10" t="s">
        <v>27</v>
      </c>
      <c r="B535" s="92">
        <f t="shared" ref="B535:H535" si="226">B538*B528</f>
        <v>1148416.4413793106</v>
      </c>
      <c r="C535" s="133">
        <f t="shared" si="226"/>
        <v>953897.78448275861</v>
      </c>
      <c r="D535" s="133">
        <f t="shared" si="226"/>
        <v>999729.85</v>
      </c>
      <c r="E535" s="92">
        <f t="shared" si="226"/>
        <v>1295141.1827586209</v>
      </c>
      <c r="F535" s="134">
        <f t="shared" si="226"/>
        <v>3307482.3724137931</v>
      </c>
      <c r="G535" s="92">
        <f t="shared" si="226"/>
        <v>5027709.5999999996</v>
      </c>
      <c r="H535" s="92">
        <f t="shared" si="226"/>
        <v>4085593.9034482762</v>
      </c>
      <c r="I535" s="92">
        <f>FLORESTA!$B535+FLORESTA!$C535+FLORESTA!$D535+FLORESTA!$E535+FLORESTA!$F535+FLORESTA!$G535+FLORESTA!$H535</f>
        <v>16817971.13448276</v>
      </c>
      <c r="J535" s="133">
        <f>FLORESTA!$I535/7</f>
        <v>2402567.3049261086</v>
      </c>
    </row>
    <row r="536" spans="1:10" x14ac:dyDescent="0.25">
      <c r="A536" s="10" t="s">
        <v>28</v>
      </c>
      <c r="B536" s="92">
        <f t="shared" ref="B536:H536" si="227">B538*B529</f>
        <v>0</v>
      </c>
      <c r="C536" s="133">
        <f t="shared" si="227"/>
        <v>0</v>
      </c>
      <c r="D536" s="133">
        <f t="shared" si="227"/>
        <v>0</v>
      </c>
      <c r="E536" s="92">
        <f t="shared" si="227"/>
        <v>0</v>
      </c>
      <c r="F536" s="134">
        <f t="shared" si="227"/>
        <v>0</v>
      </c>
      <c r="G536" s="92">
        <f t="shared" si="227"/>
        <v>0</v>
      </c>
      <c r="H536" s="92">
        <f t="shared" si="227"/>
        <v>0</v>
      </c>
      <c r="I536" s="92">
        <f>FLORESTA!$B536+FLORESTA!$C536+FLORESTA!$D536+FLORESTA!$E536+FLORESTA!$F536+FLORESTA!$G536+FLORESTA!$H536</f>
        <v>0</v>
      </c>
      <c r="J536" s="133">
        <f>FLORESTA!$I536/7</f>
        <v>0</v>
      </c>
    </row>
    <row r="537" spans="1:10" x14ac:dyDescent="0.25">
      <c r="A537" s="10" t="s">
        <v>29</v>
      </c>
      <c r="B537" s="92">
        <f t="shared" ref="B537:H537" si="228">B538*B530</f>
        <v>0</v>
      </c>
      <c r="C537" s="133">
        <f t="shared" si="228"/>
        <v>0</v>
      </c>
      <c r="D537" s="133">
        <f t="shared" si="228"/>
        <v>0</v>
      </c>
      <c r="E537" s="92">
        <f t="shared" si="228"/>
        <v>0</v>
      </c>
      <c r="F537" s="134">
        <f t="shared" si="228"/>
        <v>0</v>
      </c>
      <c r="G537" s="92">
        <f t="shared" si="228"/>
        <v>0</v>
      </c>
      <c r="H537" s="92">
        <f t="shared" si="228"/>
        <v>0</v>
      </c>
      <c r="I537" s="92">
        <f>FLORESTA!$B537+FLORESTA!$C537+FLORESTA!$D537+FLORESTA!$E537+FLORESTA!$F537+FLORESTA!$G537+FLORESTA!$H537</f>
        <v>0</v>
      </c>
      <c r="J537" s="133">
        <f>FLORESTA!$I537/7</f>
        <v>0</v>
      </c>
    </row>
    <row r="538" spans="1:10" x14ac:dyDescent="0.25">
      <c r="A538" s="33" t="s">
        <v>30</v>
      </c>
      <c r="B538" s="91">
        <f>(2141500/1.16)-B539</f>
        <v>1794400.6896551726</v>
      </c>
      <c r="C538" s="136">
        <f>(2345700/1.16)-C539</f>
        <v>1946730.1724137932</v>
      </c>
      <c r="D538" s="136">
        <f>(2459200/1.16)-D539</f>
        <v>2040265</v>
      </c>
      <c r="E538" s="91">
        <f>(2439700/1.16)-E539</f>
        <v>2055779.6551724141</v>
      </c>
      <c r="F538" s="137">
        <f>(6142300/1.16)-F539</f>
        <v>5167941.2068965519</v>
      </c>
      <c r="G538" s="91">
        <f>(10295400/1.16)-G539</f>
        <v>8668464.8275862075</v>
      </c>
      <c r="H538" s="91">
        <f>(7824000/1.16)-H539</f>
        <v>6589667.5862068972</v>
      </c>
      <c r="I538" s="91">
        <f>SUM(I533:I537)</f>
        <v>28263249.137931038</v>
      </c>
      <c r="J538" s="136">
        <f>FLORESTA!$I538/7</f>
        <v>4037607.0197044341</v>
      </c>
    </row>
    <row r="539" spans="1:10" x14ac:dyDescent="0.25">
      <c r="A539" s="10" t="s">
        <v>31</v>
      </c>
      <c r="B539" s="94">
        <f t="shared" ref="B539:J539" si="229">2155*B520</f>
        <v>51720</v>
      </c>
      <c r="C539" s="139">
        <f t="shared" si="229"/>
        <v>75425</v>
      </c>
      <c r="D539" s="139">
        <f t="shared" si="229"/>
        <v>79735</v>
      </c>
      <c r="E539" s="94">
        <f t="shared" si="229"/>
        <v>47410</v>
      </c>
      <c r="F539" s="112">
        <f t="shared" si="229"/>
        <v>127145</v>
      </c>
      <c r="G539" s="94">
        <f t="shared" si="229"/>
        <v>206880</v>
      </c>
      <c r="H539" s="94">
        <f t="shared" si="229"/>
        <v>155160</v>
      </c>
      <c r="I539" s="94">
        <f t="shared" si="229"/>
        <v>743475</v>
      </c>
      <c r="J539" s="139">
        <f t="shared" si="229"/>
        <v>106210.71428571429</v>
      </c>
    </row>
    <row r="540" spans="1:10" x14ac:dyDescent="0.25">
      <c r="A540" s="37" t="s">
        <v>32</v>
      </c>
      <c r="B540" s="39">
        <f t="shared" ref="B540:H540" si="230">B538+B539</f>
        <v>1846120.6896551726</v>
      </c>
      <c r="C540" s="40">
        <f t="shared" si="230"/>
        <v>2022155.1724137932</v>
      </c>
      <c r="D540" s="40">
        <f t="shared" si="230"/>
        <v>2120000</v>
      </c>
      <c r="E540" s="39">
        <f t="shared" si="230"/>
        <v>2103189.6551724141</v>
      </c>
      <c r="F540" s="140">
        <f t="shared" si="230"/>
        <v>5295086.2068965519</v>
      </c>
      <c r="G540" s="39">
        <f t="shared" si="230"/>
        <v>8875344.8275862075</v>
      </c>
      <c r="H540" s="39">
        <f t="shared" si="230"/>
        <v>6744827.5862068972</v>
      </c>
      <c r="I540" s="39">
        <f>I538+I539</f>
        <v>29006724.137931038</v>
      </c>
      <c r="J540" s="40">
        <f>J538+J539</f>
        <v>4143817.7339901482</v>
      </c>
    </row>
    <row r="541" spans="1:10" x14ac:dyDescent="0.25">
      <c r="A541" s="10" t="s">
        <v>33</v>
      </c>
      <c r="B541" s="41">
        <f t="shared" ref="B541:H541" si="231">B540*16%</f>
        <v>295379.31034482765</v>
      </c>
      <c r="C541" s="42">
        <f t="shared" si="231"/>
        <v>323544.8275862069</v>
      </c>
      <c r="D541" s="42">
        <f t="shared" si="231"/>
        <v>339200</v>
      </c>
      <c r="E541" s="41">
        <f t="shared" si="231"/>
        <v>336510.34482758626</v>
      </c>
      <c r="F541" s="141">
        <f t="shared" si="231"/>
        <v>847213.79310344835</v>
      </c>
      <c r="G541" s="41">
        <f t="shared" si="231"/>
        <v>1420055.1724137932</v>
      </c>
      <c r="H541" s="41">
        <f t="shared" si="231"/>
        <v>1079172.4137931035</v>
      </c>
      <c r="I541" s="41">
        <f>I540*16%</f>
        <v>4641075.862068966</v>
      </c>
      <c r="J541" s="42">
        <f>J540*16%</f>
        <v>663010.83743842377</v>
      </c>
    </row>
    <row r="542" spans="1:10" x14ac:dyDescent="0.25">
      <c r="A542" s="43" t="s">
        <v>34</v>
      </c>
      <c r="B542" s="315">
        <f t="shared" ref="B542:H542" si="232">B540+B541</f>
        <v>2141500.0000000005</v>
      </c>
      <c r="C542" s="315">
        <f t="shared" si="232"/>
        <v>2345700</v>
      </c>
      <c r="D542" s="315">
        <f t="shared" si="232"/>
        <v>2459200</v>
      </c>
      <c r="E542" s="178">
        <f t="shared" si="232"/>
        <v>2439700.0000000005</v>
      </c>
      <c r="F542" s="182">
        <f t="shared" si="232"/>
        <v>6142300</v>
      </c>
      <c r="G542" s="178">
        <f t="shared" si="232"/>
        <v>10295400</v>
      </c>
      <c r="H542" s="178">
        <f t="shared" si="232"/>
        <v>7824000.0000000009</v>
      </c>
      <c r="I542" s="178">
        <f>I540+I541</f>
        <v>33647800</v>
      </c>
      <c r="J542" s="315">
        <f>FLORESTA!$I542/7</f>
        <v>4806828.5714285718</v>
      </c>
    </row>
    <row r="544" spans="1:10" ht="12.75" customHeight="1" x14ac:dyDescent="0.25">
      <c r="A544" s="149"/>
      <c r="B544" s="1006" t="s">
        <v>360</v>
      </c>
      <c r="C544" s="1006"/>
      <c r="D544" s="1006"/>
      <c r="E544" s="1006"/>
      <c r="F544" s="1006"/>
      <c r="G544" s="1006"/>
      <c r="H544" s="1006"/>
      <c r="I544" s="1006"/>
    </row>
    <row r="545" spans="1:10" x14ac:dyDescent="0.25">
      <c r="A545" s="149"/>
      <c r="B545" s="1006"/>
      <c r="C545" s="1006"/>
      <c r="D545" s="1006"/>
      <c r="E545" s="1006"/>
      <c r="F545" s="1006"/>
      <c r="G545" s="1006"/>
      <c r="H545" s="1006"/>
      <c r="I545" s="1006"/>
    </row>
    <row r="546" spans="1:10" ht="15.75" x14ac:dyDescent="0.25">
      <c r="A546" s="72" t="s">
        <v>2</v>
      </c>
      <c r="B546" s="121" t="s">
        <v>233</v>
      </c>
      <c r="C546" s="51" t="s">
        <v>234</v>
      </c>
      <c r="D546" s="121" t="s">
        <v>235</v>
      </c>
      <c r="E546" s="51" t="s">
        <v>236</v>
      </c>
      <c r="F546" s="51" t="s">
        <v>408</v>
      </c>
      <c r="G546" s="121" t="s">
        <v>238</v>
      </c>
      <c r="H546" s="121" t="s">
        <v>239</v>
      </c>
      <c r="I546" s="51" t="s">
        <v>10</v>
      </c>
      <c r="J546" s="310" t="s">
        <v>77</v>
      </c>
    </row>
    <row r="547" spans="1:10" x14ac:dyDescent="0.25">
      <c r="A547" s="74" t="s">
        <v>11</v>
      </c>
      <c r="B547" s="55">
        <v>65</v>
      </c>
      <c r="C547" s="56">
        <v>88</v>
      </c>
      <c r="D547" s="54">
        <v>81</v>
      </c>
      <c r="E547" s="316">
        <v>115</v>
      </c>
      <c r="F547" s="311">
        <v>225</v>
      </c>
      <c r="G547" s="58">
        <v>336</v>
      </c>
      <c r="H547" s="57">
        <v>191</v>
      </c>
      <c r="I547" s="311">
        <f t="shared" ref="I547:I552" si="233">SUM(B547:H547)</f>
        <v>1101</v>
      </c>
      <c r="J547" s="317">
        <f>FLORESTA!$I547/7</f>
        <v>157.28571428571428</v>
      </c>
    </row>
    <row r="548" spans="1:10" x14ac:dyDescent="0.25">
      <c r="A548" s="10" t="s">
        <v>12</v>
      </c>
      <c r="B548" s="11">
        <v>19</v>
      </c>
      <c r="C548" s="13">
        <v>28</v>
      </c>
      <c r="D548" s="320">
        <v>22</v>
      </c>
      <c r="E548" s="11">
        <v>43</v>
      </c>
      <c r="F548" s="125">
        <v>78</v>
      </c>
      <c r="G548" s="11">
        <v>109</v>
      </c>
      <c r="H548" s="11">
        <v>80</v>
      </c>
      <c r="I548" s="313">
        <f t="shared" si="233"/>
        <v>379</v>
      </c>
      <c r="J548" s="318">
        <f>FLORESTA!$I548/7</f>
        <v>54.142857142857146</v>
      </c>
    </row>
    <row r="549" spans="1:10" x14ac:dyDescent="0.25">
      <c r="A549" s="10" t="s">
        <v>13</v>
      </c>
      <c r="B549" s="11">
        <v>1</v>
      </c>
      <c r="C549" s="13">
        <v>0</v>
      </c>
      <c r="D549" s="13">
        <v>0</v>
      </c>
      <c r="E549" s="11">
        <v>1</v>
      </c>
      <c r="F549" s="125">
        <v>1</v>
      </c>
      <c r="G549" s="11">
        <v>5</v>
      </c>
      <c r="H549" s="11">
        <v>3</v>
      </c>
      <c r="I549" s="313">
        <f t="shared" si="233"/>
        <v>11</v>
      </c>
      <c r="J549" s="318">
        <f>C549+D549+E549+F549+G549+H549+I549</f>
        <v>21</v>
      </c>
    </row>
    <row r="550" spans="1:10" x14ac:dyDescent="0.25">
      <c r="A550" s="10" t="s">
        <v>14</v>
      </c>
      <c r="B550" s="11">
        <v>45</v>
      </c>
      <c r="C550" s="13">
        <v>64</v>
      </c>
      <c r="D550" s="13">
        <v>54</v>
      </c>
      <c r="E550" s="11">
        <v>61</v>
      </c>
      <c r="F550" s="125">
        <v>118</v>
      </c>
      <c r="G550" s="11">
        <v>183</v>
      </c>
      <c r="H550" s="11">
        <v>122</v>
      </c>
      <c r="I550" s="313">
        <f t="shared" si="233"/>
        <v>647</v>
      </c>
      <c r="J550" s="318">
        <f>FLORESTA!$I550/7</f>
        <v>92.428571428571431</v>
      </c>
    </row>
    <row r="551" spans="1:10" x14ac:dyDescent="0.25">
      <c r="A551" s="10" t="s">
        <v>15</v>
      </c>
      <c r="B551" s="11">
        <v>0</v>
      </c>
      <c r="C551" s="13">
        <v>0</v>
      </c>
      <c r="D551" s="13">
        <v>0</v>
      </c>
      <c r="E551" s="11">
        <v>0</v>
      </c>
      <c r="F551" s="125">
        <v>0</v>
      </c>
      <c r="G551" s="11">
        <v>0</v>
      </c>
      <c r="H551" s="11">
        <v>0</v>
      </c>
      <c r="I551" s="313">
        <f t="shared" si="233"/>
        <v>0</v>
      </c>
      <c r="J551" s="318">
        <f>FLORESTA!$I551/7</f>
        <v>0</v>
      </c>
    </row>
    <row r="552" spans="1:10" x14ac:dyDescent="0.25">
      <c r="A552" s="10" t="s">
        <v>16</v>
      </c>
      <c r="B552" s="11">
        <v>0</v>
      </c>
      <c r="C552" s="13">
        <v>0</v>
      </c>
      <c r="D552" s="13">
        <v>0</v>
      </c>
      <c r="E552" s="11">
        <v>0</v>
      </c>
      <c r="F552" s="125">
        <v>0</v>
      </c>
      <c r="G552" s="11">
        <v>0</v>
      </c>
      <c r="H552" s="11">
        <v>0</v>
      </c>
      <c r="I552" s="313">
        <f t="shared" si="233"/>
        <v>0</v>
      </c>
      <c r="J552" s="318">
        <f>FLORESTA!$I552/7</f>
        <v>0</v>
      </c>
    </row>
    <row r="553" spans="1:10" x14ac:dyDescent="0.25">
      <c r="A553" s="15" t="s">
        <v>17</v>
      </c>
      <c r="B553" s="79">
        <f t="shared" ref="B553:I553" si="234">SUM(B548:B552)</f>
        <v>65</v>
      </c>
      <c r="C553" s="79">
        <f t="shared" si="234"/>
        <v>92</v>
      </c>
      <c r="D553" s="79">
        <f t="shared" si="234"/>
        <v>76</v>
      </c>
      <c r="E553" s="103">
        <f t="shared" si="234"/>
        <v>105</v>
      </c>
      <c r="F553" s="213">
        <f t="shared" si="234"/>
        <v>197</v>
      </c>
      <c r="G553" s="103">
        <f t="shared" si="234"/>
        <v>297</v>
      </c>
      <c r="H553" s="103">
        <f t="shared" si="234"/>
        <v>205</v>
      </c>
      <c r="I553" s="103">
        <f t="shared" si="234"/>
        <v>1037</v>
      </c>
      <c r="J553" s="319">
        <f>FLORESTA!$I553/7</f>
        <v>148.14285714285714</v>
      </c>
    </row>
    <row r="554" spans="1:10" x14ac:dyDescent="0.25">
      <c r="A554" s="10" t="s">
        <v>18</v>
      </c>
      <c r="B554" s="321">
        <v>0.31</v>
      </c>
      <c r="C554" s="322">
        <v>0.31</v>
      </c>
      <c r="D554" s="322">
        <v>0.36</v>
      </c>
      <c r="E554" s="321">
        <v>0.48</v>
      </c>
      <c r="F554" s="323">
        <v>0.45</v>
      </c>
      <c r="G554" s="321">
        <v>0.3</v>
      </c>
      <c r="H554" s="321">
        <v>0.42</v>
      </c>
      <c r="I554" s="18">
        <f>I561/I566</f>
        <v>0.37884356788216061</v>
      </c>
      <c r="J554" s="19">
        <f>J561/J566</f>
        <v>0.37884356788216061</v>
      </c>
    </row>
    <row r="555" spans="1:10" x14ac:dyDescent="0.25">
      <c r="A555" s="10" t="s">
        <v>19</v>
      </c>
      <c r="B555" s="321">
        <v>0.02</v>
      </c>
      <c r="C555" s="322">
        <v>0</v>
      </c>
      <c r="D555" s="322">
        <v>0</v>
      </c>
      <c r="E555" s="321">
        <v>0.01</v>
      </c>
      <c r="F555" s="323">
        <v>0.01</v>
      </c>
      <c r="G555" s="321">
        <v>0.01</v>
      </c>
      <c r="H555" s="321">
        <v>0.01</v>
      </c>
      <c r="I555" s="18">
        <f>I562/I566</f>
        <v>9.131800316670163E-3</v>
      </c>
      <c r="J555" s="19">
        <f>J562/J566</f>
        <v>9.1318003166701613E-3</v>
      </c>
    </row>
    <row r="556" spans="1:10" x14ac:dyDescent="0.25">
      <c r="A556" s="10" t="s">
        <v>20</v>
      </c>
      <c r="B556" s="321">
        <v>0.67</v>
      </c>
      <c r="C556" s="322">
        <v>0.69</v>
      </c>
      <c r="D556" s="322">
        <v>0.64</v>
      </c>
      <c r="E556" s="321">
        <v>0.51</v>
      </c>
      <c r="F556" s="324">
        <v>0.54</v>
      </c>
      <c r="G556" s="321">
        <v>0.69</v>
      </c>
      <c r="H556" s="321">
        <v>0.56999999999999995</v>
      </c>
      <c r="I556" s="18">
        <f>I563/I566</f>
        <v>0.61202463180116917</v>
      </c>
      <c r="J556" s="19">
        <f>J563/J566</f>
        <v>0.61202463180116906</v>
      </c>
    </row>
    <row r="557" spans="1:10" x14ac:dyDescent="0.25">
      <c r="A557" s="10" t="s">
        <v>21</v>
      </c>
      <c r="B557" s="321">
        <v>0</v>
      </c>
      <c r="C557" s="322">
        <v>0</v>
      </c>
      <c r="D557" s="322">
        <v>0</v>
      </c>
      <c r="E557" s="321">
        <v>0</v>
      </c>
      <c r="F557" s="324">
        <v>0</v>
      </c>
      <c r="G557" s="321">
        <v>0</v>
      </c>
      <c r="H557" s="321">
        <v>0</v>
      </c>
      <c r="I557" s="18">
        <f>I564/I566</f>
        <v>0</v>
      </c>
      <c r="J557" s="19">
        <f>J564/J566</f>
        <v>0</v>
      </c>
    </row>
    <row r="558" spans="1:10" x14ac:dyDescent="0.25">
      <c r="A558" s="10" t="s">
        <v>22</v>
      </c>
      <c r="B558" s="321">
        <v>0</v>
      </c>
      <c r="C558" s="322">
        <v>0</v>
      </c>
      <c r="D558" s="322">
        <v>0</v>
      </c>
      <c r="E558" s="321">
        <v>0</v>
      </c>
      <c r="F558" s="324">
        <v>0</v>
      </c>
      <c r="G558" s="321">
        <v>0</v>
      </c>
      <c r="H558" s="321">
        <v>0</v>
      </c>
      <c r="I558" s="18">
        <f>I565/I566</f>
        <v>0</v>
      </c>
      <c r="J558" s="19">
        <f>J565/J566</f>
        <v>0</v>
      </c>
    </row>
    <row r="559" spans="1:10" x14ac:dyDescent="0.25">
      <c r="A559" s="24" t="s">
        <v>23</v>
      </c>
      <c r="B559" s="130">
        <f t="shared" ref="B559:J559" si="235">B570/B553</f>
        <v>29475.384615384617</v>
      </c>
      <c r="C559" s="131">
        <f t="shared" si="235"/>
        <v>28410.869565217392</v>
      </c>
      <c r="D559" s="131">
        <f t="shared" si="235"/>
        <v>30831.578947368427</v>
      </c>
      <c r="E559" s="130">
        <f t="shared" si="235"/>
        <v>33971.428571428572</v>
      </c>
      <c r="F559" s="132">
        <f t="shared" si="235"/>
        <v>37328.426395939088</v>
      </c>
      <c r="G559" s="130">
        <f t="shared" si="235"/>
        <v>34715.824915824916</v>
      </c>
      <c r="H559" s="130">
        <f t="shared" si="235"/>
        <v>34040.487804878052</v>
      </c>
      <c r="I559" s="314">
        <f t="shared" si="235"/>
        <v>33830.761812921897</v>
      </c>
      <c r="J559" s="132">
        <f t="shared" si="235"/>
        <v>33830.761812921897</v>
      </c>
    </row>
    <row r="560" spans="1:10" x14ac:dyDescent="0.25">
      <c r="A560" s="24" t="s">
        <v>24</v>
      </c>
      <c r="B560" s="130">
        <f t="shared" ref="B560:J560" si="236">B570/B547</f>
        <v>29475.384615384617</v>
      </c>
      <c r="C560" s="131">
        <f t="shared" si="236"/>
        <v>29702.272727272728</v>
      </c>
      <c r="D560" s="131">
        <f t="shared" si="236"/>
        <v>28928.395061728399</v>
      </c>
      <c r="E560" s="130">
        <f t="shared" si="236"/>
        <v>31017.391304347828</v>
      </c>
      <c r="F560" s="132">
        <f t="shared" si="236"/>
        <v>32683.111111111117</v>
      </c>
      <c r="G560" s="130">
        <f t="shared" si="236"/>
        <v>30686.309523809523</v>
      </c>
      <c r="H560" s="130">
        <f t="shared" si="236"/>
        <v>36535.602094240843</v>
      </c>
      <c r="I560" s="314">
        <f t="shared" si="236"/>
        <v>31864.21435059038</v>
      </c>
      <c r="J560" s="132">
        <f t="shared" si="236"/>
        <v>31864.21435059038</v>
      </c>
    </row>
    <row r="561" spans="1:10" x14ac:dyDescent="0.25">
      <c r="A561" s="10" t="s">
        <v>25</v>
      </c>
      <c r="B561" s="92">
        <f t="shared" ref="B561:H561" si="237">B566*B554</f>
        <v>499314.80862068967</v>
      </c>
      <c r="C561" s="133">
        <f t="shared" si="237"/>
        <v>679810.11724137934</v>
      </c>
      <c r="D561" s="133">
        <f t="shared" si="237"/>
        <v>710132.4</v>
      </c>
      <c r="E561" s="92">
        <f t="shared" si="237"/>
        <v>1431520.8</v>
      </c>
      <c r="F561" s="134">
        <f t="shared" si="237"/>
        <v>2777087.9482758623</v>
      </c>
      <c r="G561" s="92">
        <f t="shared" si="237"/>
        <v>2596065.9827586208</v>
      </c>
      <c r="H561" s="92">
        <f t="shared" si="237"/>
        <v>2454217.8620689656</v>
      </c>
      <c r="I561" s="92">
        <f>FLORESTA!$B561+FLORESTA!$C561+FLORESTA!$D561+FLORESTA!$E561+FLORESTA!$F561+FLORESTA!$G561+FLORESTA!$H561</f>
        <v>11148149.918965518</v>
      </c>
      <c r="J561" s="133">
        <f>FLORESTA!$I561/7</f>
        <v>1592592.8455665025</v>
      </c>
    </row>
    <row r="562" spans="1:10" x14ac:dyDescent="0.25">
      <c r="A562" s="10" t="s">
        <v>26</v>
      </c>
      <c r="B562" s="92">
        <f t="shared" ref="B562:H562" si="238">B566*B555</f>
        <v>32213.858620689658</v>
      </c>
      <c r="C562" s="133">
        <f t="shared" si="238"/>
        <v>0</v>
      </c>
      <c r="D562" s="133">
        <f t="shared" si="238"/>
        <v>0</v>
      </c>
      <c r="E562" s="92">
        <f t="shared" si="238"/>
        <v>29823.350000000002</v>
      </c>
      <c r="F562" s="134">
        <f t="shared" si="238"/>
        <v>61713.06551724139</v>
      </c>
      <c r="G562" s="92">
        <f t="shared" si="238"/>
        <v>86535.532758620699</v>
      </c>
      <c r="H562" s="92">
        <f t="shared" si="238"/>
        <v>58433.758620689659</v>
      </c>
      <c r="I562" s="92">
        <f>FLORESTA!$B562+FLORESTA!$C562+FLORESTA!$D562+FLORESTA!$E562+FLORESTA!$F562+FLORESTA!$G562+FLORESTA!$H562</f>
        <v>268719.56551724143</v>
      </c>
      <c r="J562" s="133">
        <f>FLORESTA!$I562/7</f>
        <v>38388.509359605916</v>
      </c>
    </row>
    <row r="563" spans="1:10" x14ac:dyDescent="0.25">
      <c r="A563" s="10" t="s">
        <v>27</v>
      </c>
      <c r="B563" s="92">
        <f t="shared" ref="B563:H563" si="239">B566*B556</f>
        <v>1079164.2637931036</v>
      </c>
      <c r="C563" s="133">
        <f t="shared" si="239"/>
        <v>1513125.7448275862</v>
      </c>
      <c r="D563" s="133">
        <f t="shared" si="239"/>
        <v>1262457.6000000001</v>
      </c>
      <c r="E563" s="92">
        <f t="shared" si="239"/>
        <v>1520990.85</v>
      </c>
      <c r="F563" s="134">
        <f t="shared" si="239"/>
        <v>3332505.5379310353</v>
      </c>
      <c r="G563" s="92">
        <f t="shared" si="239"/>
        <v>5970951.7603448275</v>
      </c>
      <c r="H563" s="92">
        <f t="shared" si="239"/>
        <v>3330724.2413793104</v>
      </c>
      <c r="I563" s="92">
        <f>FLORESTA!$B563+FLORESTA!$C563+FLORESTA!$D563+FLORESTA!$E563+FLORESTA!$F563+FLORESTA!$G563+FLORESTA!$H563</f>
        <v>18009919.998275865</v>
      </c>
      <c r="J563" s="133">
        <f>FLORESTA!$I563/7</f>
        <v>2572845.7140394091</v>
      </c>
    </row>
    <row r="564" spans="1:10" x14ac:dyDescent="0.25">
      <c r="A564" s="10" t="s">
        <v>28</v>
      </c>
      <c r="B564" s="92">
        <f t="shared" ref="B564:H564" si="240">B566*B557</f>
        <v>0</v>
      </c>
      <c r="C564" s="133">
        <f t="shared" si="240"/>
        <v>0</v>
      </c>
      <c r="D564" s="133">
        <f t="shared" si="240"/>
        <v>0</v>
      </c>
      <c r="E564" s="92">
        <f t="shared" si="240"/>
        <v>0</v>
      </c>
      <c r="F564" s="134">
        <f t="shared" si="240"/>
        <v>0</v>
      </c>
      <c r="G564" s="92">
        <f t="shared" si="240"/>
        <v>0</v>
      </c>
      <c r="H564" s="92">
        <f t="shared" si="240"/>
        <v>0</v>
      </c>
      <c r="I564" s="92">
        <f>FLORESTA!$B564+FLORESTA!$C564+FLORESTA!$D564+FLORESTA!$E564+FLORESTA!$F564+FLORESTA!$G564+FLORESTA!$H564</f>
        <v>0</v>
      </c>
      <c r="J564" s="133">
        <f>FLORESTA!$I564/7</f>
        <v>0</v>
      </c>
    </row>
    <row r="565" spans="1:10" x14ac:dyDescent="0.25">
      <c r="A565" s="10" t="s">
        <v>29</v>
      </c>
      <c r="B565" s="92">
        <f t="shared" ref="B565:H565" si="241">B566*B558</f>
        <v>0</v>
      </c>
      <c r="C565" s="133">
        <f t="shared" si="241"/>
        <v>0</v>
      </c>
      <c r="D565" s="133">
        <f t="shared" si="241"/>
        <v>0</v>
      </c>
      <c r="E565" s="92">
        <f t="shared" si="241"/>
        <v>0</v>
      </c>
      <c r="F565" s="134">
        <f t="shared" si="241"/>
        <v>0</v>
      </c>
      <c r="G565" s="92">
        <f t="shared" si="241"/>
        <v>0</v>
      </c>
      <c r="H565" s="92">
        <f t="shared" si="241"/>
        <v>0</v>
      </c>
      <c r="I565" s="92">
        <f>FLORESTA!$B565+FLORESTA!$C565+FLORESTA!$D565+FLORESTA!$E565+FLORESTA!$F565+FLORESTA!$G565+FLORESTA!$H565</f>
        <v>0</v>
      </c>
      <c r="J565" s="133">
        <f>FLORESTA!$I565/7</f>
        <v>0</v>
      </c>
    </row>
    <row r="566" spans="1:10" x14ac:dyDescent="0.25">
      <c r="A566" s="33" t="s">
        <v>30</v>
      </c>
      <c r="B566" s="91">
        <f>(1915900/1.16)-B567</f>
        <v>1610692.9310344828</v>
      </c>
      <c r="C566" s="136">
        <f>(2613800/1.16)-C567</f>
        <v>2192935.8620689656</v>
      </c>
      <c r="D566" s="136">
        <f>(2343200/1.16)-D567</f>
        <v>1972590.0000000002</v>
      </c>
      <c r="E566" s="91">
        <f>(3567000/1.16)-E567</f>
        <v>2982335</v>
      </c>
      <c r="F566" s="137">
        <f>(7353700/1.16)-F567</f>
        <v>6171306.5517241387</v>
      </c>
      <c r="G566" s="91">
        <f>(10310600/1.16)-G567</f>
        <v>8653553.2758620698</v>
      </c>
      <c r="H566" s="91">
        <f>(6978300/1.16)-H567</f>
        <v>5843375.862068966</v>
      </c>
      <c r="I566" s="91">
        <f>SUM(I561:I565)</f>
        <v>29426789.482758626</v>
      </c>
      <c r="J566" s="136">
        <f>FLORESTA!$I566/7</f>
        <v>4203827.0689655179</v>
      </c>
    </row>
    <row r="567" spans="1:10" x14ac:dyDescent="0.25">
      <c r="A567" s="10" t="s">
        <v>31</v>
      </c>
      <c r="B567" s="94">
        <f t="shared" ref="B567:J567" si="242">2155*B548</f>
        <v>40945</v>
      </c>
      <c r="C567" s="139">
        <f t="shared" si="242"/>
        <v>60340</v>
      </c>
      <c r="D567" s="139">
        <f t="shared" si="242"/>
        <v>47410</v>
      </c>
      <c r="E567" s="94">
        <f t="shared" si="242"/>
        <v>92665</v>
      </c>
      <c r="F567" s="112">
        <f t="shared" si="242"/>
        <v>168090</v>
      </c>
      <c r="G567" s="94">
        <f t="shared" si="242"/>
        <v>234895</v>
      </c>
      <c r="H567" s="94">
        <f t="shared" si="242"/>
        <v>172400</v>
      </c>
      <c r="I567" s="94">
        <f t="shared" si="242"/>
        <v>816745</v>
      </c>
      <c r="J567" s="139">
        <f t="shared" si="242"/>
        <v>116677.85714285714</v>
      </c>
    </row>
    <row r="568" spans="1:10" x14ac:dyDescent="0.25">
      <c r="A568" s="37" t="s">
        <v>32</v>
      </c>
      <c r="B568" s="39">
        <f t="shared" ref="B568:H568" si="243">B566+B567</f>
        <v>1651637.9310344828</v>
      </c>
      <c r="C568" s="40">
        <f t="shared" si="243"/>
        <v>2253275.8620689656</v>
      </c>
      <c r="D568" s="40">
        <f t="shared" si="243"/>
        <v>2020000.0000000002</v>
      </c>
      <c r="E568" s="39">
        <f t="shared" si="243"/>
        <v>3075000</v>
      </c>
      <c r="F568" s="140">
        <f t="shared" si="243"/>
        <v>6339396.5517241387</v>
      </c>
      <c r="G568" s="39">
        <f t="shared" si="243"/>
        <v>8888448.2758620698</v>
      </c>
      <c r="H568" s="39">
        <f t="shared" si="243"/>
        <v>6015775.862068966</v>
      </c>
      <c r="I568" s="39">
        <f>I566+I567</f>
        <v>30243534.482758626</v>
      </c>
      <c r="J568" s="40">
        <f>J566+J567</f>
        <v>4320504.9261083752</v>
      </c>
    </row>
    <row r="569" spans="1:10" x14ac:dyDescent="0.25">
      <c r="A569" s="10" t="s">
        <v>33</v>
      </c>
      <c r="B569" s="41">
        <f t="shared" ref="B569:H569" si="244">B568*16%</f>
        <v>264262.06896551728</v>
      </c>
      <c r="C569" s="42">
        <f t="shared" si="244"/>
        <v>360524.13793103449</v>
      </c>
      <c r="D569" s="42">
        <f t="shared" si="244"/>
        <v>323200.00000000006</v>
      </c>
      <c r="E569" s="41">
        <f t="shared" si="244"/>
        <v>492000</v>
      </c>
      <c r="F569" s="141">
        <f t="shared" si="244"/>
        <v>1014303.4482758623</v>
      </c>
      <c r="G569" s="41">
        <f t="shared" si="244"/>
        <v>1422151.7241379311</v>
      </c>
      <c r="H569" s="41">
        <f t="shared" si="244"/>
        <v>962524.13793103455</v>
      </c>
      <c r="I569" s="41">
        <f>I568*16%</f>
        <v>4838965.5172413802</v>
      </c>
      <c r="J569" s="42">
        <f>J568*16%</f>
        <v>691280.78817734006</v>
      </c>
    </row>
    <row r="570" spans="1:10" x14ac:dyDescent="0.25">
      <c r="A570" s="43" t="s">
        <v>34</v>
      </c>
      <c r="B570" s="315">
        <f t="shared" ref="B570:H570" si="245">B568+B569</f>
        <v>1915900</v>
      </c>
      <c r="C570" s="315">
        <f t="shared" si="245"/>
        <v>2613800</v>
      </c>
      <c r="D570" s="315">
        <f t="shared" si="245"/>
        <v>2343200.0000000005</v>
      </c>
      <c r="E570" s="178">
        <f t="shared" si="245"/>
        <v>3567000</v>
      </c>
      <c r="F570" s="182">
        <f t="shared" si="245"/>
        <v>7353700.0000000009</v>
      </c>
      <c r="G570" s="178">
        <f t="shared" si="245"/>
        <v>10310600</v>
      </c>
      <c r="H570" s="178">
        <f t="shared" si="245"/>
        <v>6978300.0000000009</v>
      </c>
      <c r="I570" s="178">
        <f>I568+I569</f>
        <v>35082500.000000007</v>
      </c>
      <c r="J570" s="315">
        <f>FLORESTA!$I570/7</f>
        <v>5011785.7142857155</v>
      </c>
    </row>
    <row r="572" spans="1:10" ht="15" customHeight="1" x14ac:dyDescent="0.25">
      <c r="A572" s="149"/>
      <c r="B572" s="1006" t="s">
        <v>361</v>
      </c>
      <c r="C572" s="1006"/>
      <c r="D572" s="1006"/>
      <c r="E572" s="1006"/>
      <c r="F572" s="1006"/>
      <c r="G572" s="1006"/>
      <c r="H572" s="1006"/>
      <c r="I572" s="1006"/>
    </row>
    <row r="573" spans="1:10" x14ac:dyDescent="0.25">
      <c r="A573" s="149"/>
      <c r="B573" s="1006"/>
      <c r="C573" s="1006"/>
      <c r="D573" s="1006"/>
      <c r="E573" s="1006"/>
      <c r="F573" s="1006"/>
      <c r="G573" s="1006"/>
      <c r="H573" s="1006"/>
      <c r="I573" s="1006"/>
    </row>
    <row r="574" spans="1:10" ht="15.75" x14ac:dyDescent="0.25">
      <c r="A574" s="72" t="s">
        <v>2</v>
      </c>
      <c r="B574" s="121" t="s">
        <v>241</v>
      </c>
      <c r="C574" s="51" t="s">
        <v>242</v>
      </c>
      <c r="D574" s="121" t="s">
        <v>243</v>
      </c>
      <c r="E574" s="51" t="s">
        <v>244</v>
      </c>
      <c r="F574" s="51" t="s">
        <v>245</v>
      </c>
      <c r="G574" s="121" t="s">
        <v>246</v>
      </c>
      <c r="H574" s="121" t="s">
        <v>247</v>
      </c>
      <c r="I574" s="51" t="s">
        <v>10</v>
      </c>
      <c r="J574" s="310" t="s">
        <v>77</v>
      </c>
    </row>
    <row r="575" spans="1:10" x14ac:dyDescent="0.25">
      <c r="A575" s="74" t="s">
        <v>11</v>
      </c>
      <c r="B575" s="55">
        <v>84</v>
      </c>
      <c r="C575" s="56">
        <v>73</v>
      </c>
      <c r="D575" s="54">
        <v>90</v>
      </c>
      <c r="E575" s="316">
        <v>102</v>
      </c>
      <c r="F575" s="311">
        <v>250</v>
      </c>
      <c r="G575" s="58">
        <v>325</v>
      </c>
      <c r="H575" s="57">
        <v>231</v>
      </c>
      <c r="I575" s="311">
        <f t="shared" ref="I575:I580" si="246">SUM(B575:H575)</f>
        <v>1155</v>
      </c>
      <c r="J575" s="317">
        <f>FLORESTA!$I575/7</f>
        <v>165</v>
      </c>
    </row>
    <row r="576" spans="1:10" x14ac:dyDescent="0.25">
      <c r="A576" s="10" t="s">
        <v>12</v>
      </c>
      <c r="B576" s="11">
        <v>14</v>
      </c>
      <c r="C576" s="13">
        <v>19</v>
      </c>
      <c r="D576" s="320">
        <v>29</v>
      </c>
      <c r="E576" s="11">
        <v>31</v>
      </c>
      <c r="F576" s="125">
        <v>80</v>
      </c>
      <c r="G576" s="11">
        <v>89</v>
      </c>
      <c r="H576" s="11">
        <v>74</v>
      </c>
      <c r="I576" s="313">
        <f t="shared" si="246"/>
        <v>336</v>
      </c>
      <c r="J576" s="318">
        <f>FLORESTA!$I576/7</f>
        <v>48</v>
      </c>
    </row>
    <row r="577" spans="1:10" x14ac:dyDescent="0.25">
      <c r="A577" s="10" t="s">
        <v>13</v>
      </c>
      <c r="B577" s="11">
        <v>0</v>
      </c>
      <c r="C577" s="13">
        <v>1</v>
      </c>
      <c r="D577" s="13">
        <v>0</v>
      </c>
      <c r="E577" s="11">
        <v>1</v>
      </c>
      <c r="F577" s="125">
        <v>4</v>
      </c>
      <c r="G577" s="11">
        <v>6</v>
      </c>
      <c r="H577" s="11">
        <v>0</v>
      </c>
      <c r="I577" s="313">
        <f t="shared" si="246"/>
        <v>12</v>
      </c>
      <c r="J577" s="318">
        <f>C577+D577+E577+F577+G577+H577+I577</f>
        <v>24</v>
      </c>
    </row>
    <row r="578" spans="1:10" x14ac:dyDescent="0.25">
      <c r="A578" s="10" t="s">
        <v>14</v>
      </c>
      <c r="B578" s="11">
        <v>58</v>
      </c>
      <c r="C578" s="13">
        <v>56</v>
      </c>
      <c r="D578" s="13">
        <v>55</v>
      </c>
      <c r="E578" s="11">
        <v>55</v>
      </c>
      <c r="F578" s="125">
        <v>143</v>
      </c>
      <c r="G578" s="11">
        <v>188</v>
      </c>
      <c r="H578" s="11">
        <v>133</v>
      </c>
      <c r="I578" s="313">
        <f t="shared" si="246"/>
        <v>688</v>
      </c>
      <c r="J578" s="318">
        <f>FLORESTA!$I578/7</f>
        <v>98.285714285714292</v>
      </c>
    </row>
    <row r="579" spans="1:10" x14ac:dyDescent="0.25">
      <c r="A579" s="10" t="s">
        <v>15</v>
      </c>
      <c r="B579" s="11">
        <v>0</v>
      </c>
      <c r="C579" s="13">
        <v>0</v>
      </c>
      <c r="D579" s="13">
        <v>0</v>
      </c>
      <c r="E579" s="11">
        <v>0</v>
      </c>
      <c r="F579" s="125">
        <v>0</v>
      </c>
      <c r="G579" s="11">
        <v>0</v>
      </c>
      <c r="H579" s="11">
        <v>0</v>
      </c>
      <c r="I579" s="313">
        <f t="shared" si="246"/>
        <v>0</v>
      </c>
      <c r="J579" s="318">
        <f>FLORESTA!$I579/7</f>
        <v>0</v>
      </c>
    </row>
    <row r="580" spans="1:10" x14ac:dyDescent="0.25">
      <c r="A580" s="10" t="s">
        <v>16</v>
      </c>
      <c r="B580" s="11">
        <v>0</v>
      </c>
      <c r="C580" s="13">
        <v>0</v>
      </c>
      <c r="D580" s="13">
        <v>0</v>
      </c>
      <c r="E580" s="11">
        <v>0</v>
      </c>
      <c r="F580" s="125">
        <v>0</v>
      </c>
      <c r="G580" s="11">
        <v>0</v>
      </c>
      <c r="H580" s="11">
        <v>0</v>
      </c>
      <c r="I580" s="313">
        <f t="shared" si="246"/>
        <v>0</v>
      </c>
      <c r="J580" s="318">
        <f>FLORESTA!$I580/7</f>
        <v>0</v>
      </c>
    </row>
    <row r="581" spans="1:10" x14ac:dyDescent="0.25">
      <c r="A581" s="15" t="s">
        <v>17</v>
      </c>
      <c r="B581" s="79">
        <f t="shared" ref="B581:I581" si="247">SUM(B576:B580)</f>
        <v>72</v>
      </c>
      <c r="C581" s="79">
        <f t="shared" si="247"/>
        <v>76</v>
      </c>
      <c r="D581" s="79">
        <f t="shared" si="247"/>
        <v>84</v>
      </c>
      <c r="E581" s="103">
        <f t="shared" si="247"/>
        <v>87</v>
      </c>
      <c r="F581" s="213">
        <f t="shared" si="247"/>
        <v>227</v>
      </c>
      <c r="G581" s="103">
        <f t="shared" si="247"/>
        <v>283</v>
      </c>
      <c r="H581" s="103">
        <f t="shared" si="247"/>
        <v>207</v>
      </c>
      <c r="I581" s="103">
        <f t="shared" si="247"/>
        <v>1036</v>
      </c>
      <c r="J581" s="319">
        <f>FLORESTA!$I581/7</f>
        <v>148</v>
      </c>
    </row>
    <row r="582" spans="1:10" x14ac:dyDescent="0.25">
      <c r="A582" s="10" t="s">
        <v>18</v>
      </c>
      <c r="B582" s="325">
        <v>0.3</v>
      </c>
      <c r="C582" s="326">
        <v>0.36</v>
      </c>
      <c r="D582" s="326">
        <v>0.38</v>
      </c>
      <c r="E582" s="327">
        <v>0.41</v>
      </c>
      <c r="F582" s="328">
        <v>0.43</v>
      </c>
      <c r="G582" s="327">
        <v>0.35</v>
      </c>
      <c r="H582" s="327">
        <v>0.34</v>
      </c>
      <c r="I582" s="18">
        <f>I589/I594</f>
        <v>0.3702216770167775</v>
      </c>
      <c r="J582" s="19">
        <f>J589/J594</f>
        <v>0.37022167701677755</v>
      </c>
    </row>
    <row r="583" spans="1:10" x14ac:dyDescent="0.25">
      <c r="A583" s="10" t="s">
        <v>19</v>
      </c>
      <c r="B583" s="325">
        <v>0</v>
      </c>
      <c r="C583" s="326">
        <v>0.01</v>
      </c>
      <c r="D583" s="326">
        <v>0</v>
      </c>
      <c r="E583" s="327">
        <v>0.01</v>
      </c>
      <c r="F583" s="327">
        <v>0.02</v>
      </c>
      <c r="G583" s="327">
        <v>0.03</v>
      </c>
      <c r="H583" s="327">
        <v>0</v>
      </c>
      <c r="I583" s="18">
        <f>I590/I594</f>
        <v>1.4654796838724579E-2</v>
      </c>
      <c r="J583" s="19">
        <f>J590/J594</f>
        <v>1.4654796838724581E-2</v>
      </c>
    </row>
    <row r="584" spans="1:10" x14ac:dyDescent="0.25">
      <c r="A584" s="10" t="s">
        <v>20</v>
      </c>
      <c r="B584" s="325">
        <v>0.7</v>
      </c>
      <c r="C584" s="326">
        <v>0.63</v>
      </c>
      <c r="D584" s="326">
        <v>0.62</v>
      </c>
      <c r="E584" s="327">
        <v>0.57999999999999996</v>
      </c>
      <c r="F584" s="329">
        <v>0.55000000000000004</v>
      </c>
      <c r="G584" s="327">
        <v>0.62</v>
      </c>
      <c r="H584" s="327">
        <v>0.66</v>
      </c>
      <c r="I584" s="18">
        <f>I591/I594</f>
        <v>0.61512352614449806</v>
      </c>
      <c r="J584" s="19">
        <f>J591/J594</f>
        <v>0.61512352614449806</v>
      </c>
    </row>
    <row r="585" spans="1:10" x14ac:dyDescent="0.25">
      <c r="A585" s="10" t="s">
        <v>21</v>
      </c>
      <c r="B585" s="325">
        <v>0</v>
      </c>
      <c r="C585" s="326">
        <v>0</v>
      </c>
      <c r="D585" s="326">
        <v>0</v>
      </c>
      <c r="E585" s="327">
        <v>0</v>
      </c>
      <c r="F585" s="329">
        <v>0</v>
      </c>
      <c r="G585" s="327">
        <v>0</v>
      </c>
      <c r="H585" s="327">
        <v>0</v>
      </c>
      <c r="I585" s="18">
        <f>I592/I594</f>
        <v>0</v>
      </c>
      <c r="J585" s="19">
        <f>J592/J594</f>
        <v>0</v>
      </c>
    </row>
    <row r="586" spans="1:10" x14ac:dyDescent="0.25">
      <c r="A586" s="10" t="s">
        <v>22</v>
      </c>
      <c r="B586" s="325">
        <v>0</v>
      </c>
      <c r="C586" s="326">
        <v>0</v>
      </c>
      <c r="D586" s="326">
        <v>0</v>
      </c>
      <c r="E586" s="327">
        <v>0</v>
      </c>
      <c r="F586" s="329">
        <v>0</v>
      </c>
      <c r="G586" s="327">
        <v>0</v>
      </c>
      <c r="H586" s="327">
        <v>0</v>
      </c>
      <c r="I586" s="18">
        <f>I593/I594</f>
        <v>0</v>
      </c>
      <c r="J586" s="19">
        <f>J593/J594</f>
        <v>0</v>
      </c>
    </row>
    <row r="587" spans="1:10" x14ac:dyDescent="0.25">
      <c r="A587" s="24" t="s">
        <v>23</v>
      </c>
      <c r="B587" s="130">
        <f t="shared" ref="B587:J587" si="248">B598/B581</f>
        <v>30616.666666666668</v>
      </c>
      <c r="C587" s="131">
        <f t="shared" si="248"/>
        <v>28015.78947368421</v>
      </c>
      <c r="D587" s="131">
        <f t="shared" si="248"/>
        <v>28814.285714285714</v>
      </c>
      <c r="E587" s="130">
        <f t="shared" si="248"/>
        <v>32352.873563218393</v>
      </c>
      <c r="F587" s="132">
        <f t="shared" si="248"/>
        <v>35493.832599118949</v>
      </c>
      <c r="G587" s="130">
        <f t="shared" si="248"/>
        <v>36490.106007067145</v>
      </c>
      <c r="H587" s="130">
        <f t="shared" si="248"/>
        <v>36633.333333333336</v>
      </c>
      <c r="I587" s="314">
        <f t="shared" si="248"/>
        <v>34300.772200772204</v>
      </c>
      <c r="J587" s="132">
        <f t="shared" si="248"/>
        <v>34300.772200772197</v>
      </c>
    </row>
    <row r="588" spans="1:10" x14ac:dyDescent="0.25">
      <c r="A588" s="24" t="s">
        <v>24</v>
      </c>
      <c r="B588" s="130">
        <f t="shared" ref="B588:J588" si="249">B598/B575</f>
        <v>26242.857142857141</v>
      </c>
      <c r="C588" s="131">
        <f t="shared" si="249"/>
        <v>29167.123287671231</v>
      </c>
      <c r="D588" s="131">
        <f t="shared" si="249"/>
        <v>26893.333333333332</v>
      </c>
      <c r="E588" s="130">
        <f t="shared" si="249"/>
        <v>27595.098039215685</v>
      </c>
      <c r="F588" s="132">
        <f t="shared" si="249"/>
        <v>32228.400000000005</v>
      </c>
      <c r="G588" s="130">
        <f t="shared" si="249"/>
        <v>31774.461538461543</v>
      </c>
      <c r="H588" s="130">
        <f t="shared" si="249"/>
        <v>32827.272727272728</v>
      </c>
      <c r="I588" s="314">
        <f t="shared" si="249"/>
        <v>30766.753246753247</v>
      </c>
      <c r="J588" s="132">
        <f t="shared" si="249"/>
        <v>30766.753246753244</v>
      </c>
    </row>
    <row r="589" spans="1:10" x14ac:dyDescent="0.25">
      <c r="A589" s="10" t="s">
        <v>25</v>
      </c>
      <c r="B589" s="92">
        <f t="shared" ref="B589:H589" si="250">B594*B582</f>
        <v>561052.44827586215</v>
      </c>
      <c r="C589" s="133">
        <f t="shared" si="250"/>
        <v>646046.0068965517</v>
      </c>
      <c r="D589" s="133">
        <f t="shared" si="250"/>
        <v>769141.55517241382</v>
      </c>
      <c r="E589" s="92">
        <f t="shared" si="250"/>
        <v>967460.8120689654</v>
      </c>
      <c r="F589" s="134">
        <f t="shared" si="250"/>
        <v>2912551.6206896552</v>
      </c>
      <c r="G589" s="92">
        <f t="shared" si="250"/>
        <v>3048686.4051724141</v>
      </c>
      <c r="H589" s="92">
        <f t="shared" si="250"/>
        <v>2168412.9586206898</v>
      </c>
      <c r="I589" s="92">
        <f>FLORESTA!$B589+FLORESTA!$C589+FLORESTA!$D589+FLORESTA!$E589+FLORESTA!$F589+FLORESTA!$G589+FLORESTA!$H589</f>
        <v>11073351.806896552</v>
      </c>
      <c r="J589" s="133">
        <f>FLORESTA!$I589/7</f>
        <v>1581907.4009852218</v>
      </c>
    </row>
    <row r="590" spans="1:10" x14ac:dyDescent="0.25">
      <c r="A590" s="10" t="s">
        <v>26</v>
      </c>
      <c r="B590" s="92">
        <f t="shared" ref="B590:H590" si="251">B594*B583</f>
        <v>0</v>
      </c>
      <c r="C590" s="133">
        <f t="shared" si="251"/>
        <v>17945.722413793104</v>
      </c>
      <c r="D590" s="133">
        <f t="shared" si="251"/>
        <v>0</v>
      </c>
      <c r="E590" s="92">
        <f t="shared" si="251"/>
        <v>23596.605172413794</v>
      </c>
      <c r="F590" s="134">
        <f t="shared" si="251"/>
        <v>135467.51724137933</v>
      </c>
      <c r="G590" s="92">
        <f t="shared" si="251"/>
        <v>261315.97758620692</v>
      </c>
      <c r="H590" s="92">
        <f t="shared" si="251"/>
        <v>0</v>
      </c>
      <c r="I590" s="92">
        <f>FLORESTA!$B590+FLORESTA!$C590+FLORESTA!$D590+FLORESTA!$E590+FLORESTA!$F590+FLORESTA!$G590+FLORESTA!$H590</f>
        <v>438325.82241379318</v>
      </c>
      <c r="J590" s="133">
        <f>FLORESTA!$I590/7</f>
        <v>62617.974630541881</v>
      </c>
    </row>
    <row r="591" spans="1:10" x14ac:dyDescent="0.25">
      <c r="A591" s="10" t="s">
        <v>27</v>
      </c>
      <c r="B591" s="92">
        <f t="shared" ref="B591:H591" si="252">B594*B584</f>
        <v>1309122.3793103448</v>
      </c>
      <c r="C591" s="133">
        <f t="shared" si="252"/>
        <v>1130580.5120689655</v>
      </c>
      <c r="D591" s="133">
        <f t="shared" si="252"/>
        <v>1254915.1689655173</v>
      </c>
      <c r="E591" s="92">
        <f t="shared" si="252"/>
        <v>1368603.0999999999</v>
      </c>
      <c r="F591" s="134">
        <f t="shared" si="252"/>
        <v>3725356.7241379316</v>
      </c>
      <c r="G591" s="92">
        <f t="shared" si="252"/>
        <v>5400530.203448277</v>
      </c>
      <c r="H591" s="92">
        <f t="shared" si="252"/>
        <v>4209272.2137931036</v>
      </c>
      <c r="I591" s="92">
        <f>FLORESTA!$B591+FLORESTA!$C591+FLORESTA!$D591+FLORESTA!$E591+FLORESTA!$F591+FLORESTA!$G591+FLORESTA!$H591</f>
        <v>18398380.30172414</v>
      </c>
      <c r="J591" s="133">
        <f>FLORESTA!$I591/7</f>
        <v>2628340.0431034486</v>
      </c>
    </row>
    <row r="592" spans="1:10" x14ac:dyDescent="0.25">
      <c r="A592" s="10" t="s">
        <v>28</v>
      </c>
      <c r="B592" s="92">
        <f t="shared" ref="B592:H592" si="253">B594*B585</f>
        <v>0</v>
      </c>
      <c r="C592" s="133">
        <f t="shared" si="253"/>
        <v>0</v>
      </c>
      <c r="D592" s="133">
        <f t="shared" si="253"/>
        <v>0</v>
      </c>
      <c r="E592" s="92">
        <f t="shared" si="253"/>
        <v>0</v>
      </c>
      <c r="F592" s="134">
        <f t="shared" si="253"/>
        <v>0</v>
      </c>
      <c r="G592" s="92">
        <f t="shared" si="253"/>
        <v>0</v>
      </c>
      <c r="H592" s="92">
        <f t="shared" si="253"/>
        <v>0</v>
      </c>
      <c r="I592" s="92">
        <f>FLORESTA!$B592+FLORESTA!$C592+FLORESTA!$D592+FLORESTA!$E592+FLORESTA!$F592+FLORESTA!$G592+FLORESTA!$H592</f>
        <v>0</v>
      </c>
      <c r="J592" s="133">
        <f>FLORESTA!$I592/7</f>
        <v>0</v>
      </c>
    </row>
    <row r="593" spans="1:10" x14ac:dyDescent="0.25">
      <c r="A593" s="10" t="s">
        <v>29</v>
      </c>
      <c r="B593" s="92">
        <f t="shared" ref="B593:H593" si="254">B594*B586</f>
        <v>0</v>
      </c>
      <c r="C593" s="133">
        <f t="shared" si="254"/>
        <v>0</v>
      </c>
      <c r="D593" s="133">
        <f t="shared" si="254"/>
        <v>0</v>
      </c>
      <c r="E593" s="92">
        <f t="shared" si="254"/>
        <v>0</v>
      </c>
      <c r="F593" s="134">
        <f t="shared" si="254"/>
        <v>0</v>
      </c>
      <c r="G593" s="92">
        <f t="shared" si="254"/>
        <v>0</v>
      </c>
      <c r="H593" s="92">
        <f t="shared" si="254"/>
        <v>0</v>
      </c>
      <c r="I593" s="92">
        <f>FLORESTA!$B593+FLORESTA!$C593+FLORESTA!$D593+FLORESTA!$E593+FLORESTA!$F593+FLORESTA!$G593+FLORESTA!$H593</f>
        <v>0</v>
      </c>
      <c r="J593" s="133">
        <f>FLORESTA!$I593/7</f>
        <v>0</v>
      </c>
    </row>
    <row r="594" spans="1:10" x14ac:dyDescent="0.25">
      <c r="A594" s="33" t="s">
        <v>30</v>
      </c>
      <c r="B594" s="222">
        <f>(2204400/1.16)-B595</f>
        <v>1870174.8275862071</v>
      </c>
      <c r="C594" s="222">
        <f>(2129200/1.16)-C595</f>
        <v>1794572.2413793104</v>
      </c>
      <c r="D594" s="222">
        <f>(2420400/1.16)-D595</f>
        <v>2024056.7241379311</v>
      </c>
      <c r="E594" s="222">
        <f>(2814700/1.16)-E595</f>
        <v>2359660.5172413792</v>
      </c>
      <c r="F594" s="222">
        <f>(8057100/1.16)-F595</f>
        <v>6773375.862068966</v>
      </c>
      <c r="G594" s="222">
        <f>(10326700/1.16)-G595</f>
        <v>8710532.5862068981</v>
      </c>
      <c r="H594" s="222">
        <f>(7583100/1.16)-H595</f>
        <v>6377685.1724137934</v>
      </c>
      <c r="I594" s="91">
        <f>SUM(I589:I593)</f>
        <v>29910057.931034483</v>
      </c>
      <c r="J594" s="136">
        <f>FLORESTA!$I594/7</f>
        <v>4272865.4187192116</v>
      </c>
    </row>
    <row r="595" spans="1:10" x14ac:dyDescent="0.25">
      <c r="A595" s="10" t="s">
        <v>31</v>
      </c>
      <c r="B595" s="94">
        <f t="shared" ref="B595:J595" si="255">2155*B576</f>
        <v>30170</v>
      </c>
      <c r="C595" s="139">
        <f t="shared" si="255"/>
        <v>40945</v>
      </c>
      <c r="D595" s="139">
        <f t="shared" si="255"/>
        <v>62495</v>
      </c>
      <c r="E595" s="94">
        <f t="shared" si="255"/>
        <v>66805</v>
      </c>
      <c r="F595" s="112">
        <f t="shared" si="255"/>
        <v>172400</v>
      </c>
      <c r="G595" s="94">
        <f t="shared" si="255"/>
        <v>191795</v>
      </c>
      <c r="H595" s="94">
        <f t="shared" si="255"/>
        <v>159470</v>
      </c>
      <c r="I595" s="94">
        <f t="shared" si="255"/>
        <v>724080</v>
      </c>
      <c r="J595" s="139">
        <f t="shared" si="255"/>
        <v>103440</v>
      </c>
    </row>
    <row r="596" spans="1:10" x14ac:dyDescent="0.25">
      <c r="A596" s="37" t="s">
        <v>32</v>
      </c>
      <c r="B596" s="39">
        <f t="shared" ref="B596:H596" si="256">B594+B595</f>
        <v>1900344.8275862071</v>
      </c>
      <c r="C596" s="40">
        <f t="shared" si="256"/>
        <v>1835517.2413793104</v>
      </c>
      <c r="D596" s="40">
        <f t="shared" si="256"/>
        <v>2086551.7241379311</v>
      </c>
      <c r="E596" s="39">
        <f t="shared" si="256"/>
        <v>2426465.5172413792</v>
      </c>
      <c r="F596" s="140">
        <f t="shared" si="256"/>
        <v>6945775.862068966</v>
      </c>
      <c r="G596" s="39">
        <f t="shared" si="256"/>
        <v>8902327.5862068981</v>
      </c>
      <c r="H596" s="39">
        <f t="shared" si="256"/>
        <v>6537155.1724137934</v>
      </c>
      <c r="I596" s="39">
        <f>I594+I595</f>
        <v>30634137.931034483</v>
      </c>
      <c r="J596" s="40">
        <f>J594+J595</f>
        <v>4376305.4187192116</v>
      </c>
    </row>
    <row r="597" spans="1:10" x14ac:dyDescent="0.25">
      <c r="A597" s="10" t="s">
        <v>33</v>
      </c>
      <c r="B597" s="41">
        <f t="shared" ref="B597:H597" si="257">B596*16%</f>
        <v>304055.17241379316</v>
      </c>
      <c r="C597" s="42">
        <f t="shared" si="257"/>
        <v>293682.75862068968</v>
      </c>
      <c r="D597" s="42">
        <f t="shared" si="257"/>
        <v>333848.27586206899</v>
      </c>
      <c r="E597" s="41">
        <f t="shared" si="257"/>
        <v>388234.4827586207</v>
      </c>
      <c r="F597" s="141">
        <f t="shared" si="257"/>
        <v>1111324.1379310347</v>
      </c>
      <c r="G597" s="41">
        <f t="shared" si="257"/>
        <v>1424372.4137931038</v>
      </c>
      <c r="H597" s="41">
        <f t="shared" si="257"/>
        <v>1045944.827586207</v>
      </c>
      <c r="I597" s="41">
        <f>I596*16%</f>
        <v>4901462.068965517</v>
      </c>
      <c r="J597" s="42">
        <f>J596*16%</f>
        <v>700208.86699507385</v>
      </c>
    </row>
    <row r="598" spans="1:10" x14ac:dyDescent="0.25">
      <c r="A598" s="43" t="s">
        <v>34</v>
      </c>
      <c r="B598" s="315">
        <f t="shared" ref="B598:H598" si="258">B596+B597</f>
        <v>2204400</v>
      </c>
      <c r="C598" s="315">
        <f t="shared" si="258"/>
        <v>2129200</v>
      </c>
      <c r="D598" s="315">
        <f t="shared" si="258"/>
        <v>2420400</v>
      </c>
      <c r="E598" s="178">
        <f t="shared" si="258"/>
        <v>2814700</v>
      </c>
      <c r="F598" s="182">
        <f t="shared" si="258"/>
        <v>8057100.0000000009</v>
      </c>
      <c r="G598" s="178">
        <f t="shared" si="258"/>
        <v>10326700.000000002</v>
      </c>
      <c r="H598" s="178">
        <f t="shared" si="258"/>
        <v>7583100</v>
      </c>
      <c r="I598" s="178">
        <f>I596+I597</f>
        <v>35535600</v>
      </c>
      <c r="J598" s="315">
        <f>FLORESTA!$I598/7</f>
        <v>5076514.2857142854</v>
      </c>
    </row>
    <row r="600" spans="1:10" ht="12.75" customHeight="1" x14ac:dyDescent="0.25">
      <c r="A600" s="149"/>
      <c r="B600" s="1006" t="s">
        <v>362</v>
      </c>
      <c r="C600" s="1006"/>
      <c r="D600" s="1006"/>
      <c r="E600" s="1006"/>
      <c r="F600" s="1006"/>
      <c r="G600" s="1006"/>
      <c r="H600" s="1006"/>
      <c r="I600" s="1006"/>
    </row>
    <row r="601" spans="1:10" x14ac:dyDescent="0.25">
      <c r="A601" s="149"/>
      <c r="B601" s="1006"/>
      <c r="C601" s="1006"/>
      <c r="D601" s="1006"/>
      <c r="E601" s="1006"/>
      <c r="F601" s="1006"/>
      <c r="G601" s="1006"/>
      <c r="H601" s="1006"/>
      <c r="I601" s="1006"/>
    </row>
    <row r="602" spans="1:10" ht="15.75" x14ac:dyDescent="0.25">
      <c r="A602" s="72" t="s">
        <v>2</v>
      </c>
      <c r="B602" s="121" t="s">
        <v>249</v>
      </c>
      <c r="C602" s="51" t="s">
        <v>250</v>
      </c>
      <c r="D602" s="121" t="s">
        <v>251</v>
      </c>
      <c r="E602" s="51" t="s">
        <v>220</v>
      </c>
      <c r="F602" s="51" t="s">
        <v>221</v>
      </c>
      <c r="G602" s="121" t="s">
        <v>222</v>
      </c>
      <c r="H602" s="121" t="s">
        <v>223</v>
      </c>
      <c r="I602" s="51" t="s">
        <v>10</v>
      </c>
      <c r="J602" s="310" t="s">
        <v>77</v>
      </c>
    </row>
    <row r="603" spans="1:10" x14ac:dyDescent="0.25">
      <c r="A603" s="74" t="s">
        <v>11</v>
      </c>
      <c r="B603" s="55">
        <v>72</v>
      </c>
      <c r="C603" s="56">
        <v>137</v>
      </c>
      <c r="D603" s="54">
        <v>110</v>
      </c>
      <c r="E603" s="316">
        <v>97</v>
      </c>
      <c r="F603" s="311">
        <v>218</v>
      </c>
      <c r="G603" s="58">
        <v>285</v>
      </c>
      <c r="H603" s="57">
        <v>235</v>
      </c>
      <c r="I603" s="311">
        <f t="shared" ref="I603:I608" si="259">SUM(B603:H603)</f>
        <v>1154</v>
      </c>
      <c r="J603" s="317">
        <f>FLORESTA!$I603/7</f>
        <v>164.85714285714286</v>
      </c>
    </row>
    <row r="604" spans="1:10" x14ac:dyDescent="0.25">
      <c r="A604" s="10" t="s">
        <v>12</v>
      </c>
      <c r="B604" s="11">
        <v>24</v>
      </c>
      <c r="C604" s="13">
        <v>35</v>
      </c>
      <c r="D604" s="320">
        <v>42</v>
      </c>
      <c r="E604" s="11">
        <v>25</v>
      </c>
      <c r="F604" s="125">
        <v>74</v>
      </c>
      <c r="G604" s="11">
        <v>79</v>
      </c>
      <c r="H604" s="11">
        <v>75</v>
      </c>
      <c r="I604" s="313">
        <f t="shared" si="259"/>
        <v>354</v>
      </c>
      <c r="J604" s="318">
        <f>FLORESTA!$I604/7</f>
        <v>50.571428571428569</v>
      </c>
    </row>
    <row r="605" spans="1:10" x14ac:dyDescent="0.25">
      <c r="A605" s="10" t="s">
        <v>13</v>
      </c>
      <c r="B605" s="11">
        <v>1</v>
      </c>
      <c r="C605" s="13">
        <v>85</v>
      </c>
      <c r="D605" s="13">
        <v>58</v>
      </c>
      <c r="E605" s="11">
        <v>2</v>
      </c>
      <c r="F605" s="125">
        <v>3</v>
      </c>
      <c r="G605" s="11">
        <v>7</v>
      </c>
      <c r="H605" s="11">
        <v>3</v>
      </c>
      <c r="I605" s="313">
        <f t="shared" si="259"/>
        <v>159</v>
      </c>
      <c r="J605" s="318">
        <f>C605+D605+E605+F605+G605+H605+I605</f>
        <v>317</v>
      </c>
    </row>
    <row r="606" spans="1:10" x14ac:dyDescent="0.25">
      <c r="A606" s="10" t="s">
        <v>14</v>
      </c>
      <c r="B606" s="11">
        <v>37</v>
      </c>
      <c r="C606" s="13">
        <v>0</v>
      </c>
      <c r="D606" s="13">
        <v>0</v>
      </c>
      <c r="E606" s="11">
        <v>61</v>
      </c>
      <c r="F606" s="125">
        <v>135</v>
      </c>
      <c r="G606" s="11">
        <v>161</v>
      </c>
      <c r="H606" s="11">
        <v>143</v>
      </c>
      <c r="I606" s="313">
        <f t="shared" si="259"/>
        <v>537</v>
      </c>
      <c r="J606" s="318">
        <f>FLORESTA!$I606/7</f>
        <v>76.714285714285708</v>
      </c>
    </row>
    <row r="607" spans="1:10" x14ac:dyDescent="0.25">
      <c r="A607" s="10" t="s">
        <v>15</v>
      </c>
      <c r="B607" s="11">
        <v>0</v>
      </c>
      <c r="C607" s="13">
        <v>0</v>
      </c>
      <c r="D607" s="13">
        <v>0</v>
      </c>
      <c r="E607" s="11">
        <v>0</v>
      </c>
      <c r="F607" s="125">
        <v>1</v>
      </c>
      <c r="G607" s="11">
        <v>0</v>
      </c>
      <c r="H607" s="11">
        <v>0</v>
      </c>
      <c r="I607" s="313">
        <f t="shared" si="259"/>
        <v>1</v>
      </c>
      <c r="J607" s="318">
        <f>FLORESTA!$I607/7</f>
        <v>0.14285714285714285</v>
      </c>
    </row>
    <row r="608" spans="1:10" x14ac:dyDescent="0.25">
      <c r="A608" s="10" t="s">
        <v>16</v>
      </c>
      <c r="B608" s="11">
        <v>0</v>
      </c>
      <c r="C608" s="13">
        <v>0</v>
      </c>
      <c r="D608" s="13">
        <v>0</v>
      </c>
      <c r="E608" s="11">
        <v>1</v>
      </c>
      <c r="F608" s="125">
        <v>0</v>
      </c>
      <c r="G608" s="11">
        <v>0</v>
      </c>
      <c r="H608" s="11">
        <v>0</v>
      </c>
      <c r="I608" s="313">
        <f t="shared" si="259"/>
        <v>1</v>
      </c>
      <c r="J608" s="318">
        <f>FLORESTA!$I608/7</f>
        <v>0.14285714285714285</v>
      </c>
    </row>
    <row r="609" spans="1:10" x14ac:dyDescent="0.25">
      <c r="A609" s="15" t="s">
        <v>17</v>
      </c>
      <c r="B609" s="79">
        <f t="shared" ref="B609:I609" si="260">SUM(B604:B608)</f>
        <v>62</v>
      </c>
      <c r="C609" s="79">
        <f t="shared" si="260"/>
        <v>120</v>
      </c>
      <c r="D609" s="79">
        <f t="shared" si="260"/>
        <v>100</v>
      </c>
      <c r="E609" s="103">
        <f t="shared" si="260"/>
        <v>89</v>
      </c>
      <c r="F609" s="213">
        <f t="shared" si="260"/>
        <v>213</v>
      </c>
      <c r="G609" s="103">
        <f t="shared" si="260"/>
        <v>247</v>
      </c>
      <c r="H609" s="103">
        <f t="shared" si="260"/>
        <v>221</v>
      </c>
      <c r="I609" s="103">
        <f t="shared" si="260"/>
        <v>1052</v>
      </c>
      <c r="J609" s="319">
        <f>FLORESTA!$I609/7</f>
        <v>150.28571428571428</v>
      </c>
    </row>
    <row r="610" spans="1:10" x14ac:dyDescent="0.25">
      <c r="A610" s="10" t="s">
        <v>18</v>
      </c>
      <c r="B610" s="325">
        <v>0.44</v>
      </c>
      <c r="C610" s="326">
        <v>0.31</v>
      </c>
      <c r="D610" s="326">
        <v>0.5</v>
      </c>
      <c r="E610" s="327">
        <v>0.28000000000000003</v>
      </c>
      <c r="F610" s="328">
        <v>0.39</v>
      </c>
      <c r="G610" s="327">
        <v>0.36</v>
      </c>
      <c r="H610" s="327">
        <v>0.36</v>
      </c>
      <c r="I610" s="18">
        <f>I617/I622</f>
        <v>0.37068807985529856</v>
      </c>
      <c r="J610" s="19">
        <f>J617/J622</f>
        <v>0.3706880798552985</v>
      </c>
    </row>
    <row r="611" spans="1:10" x14ac:dyDescent="0.25">
      <c r="A611" s="10" t="s">
        <v>19</v>
      </c>
      <c r="B611" s="325">
        <v>0.02</v>
      </c>
      <c r="C611" s="326">
        <v>0</v>
      </c>
      <c r="D611" s="326">
        <v>0</v>
      </c>
      <c r="E611" s="327">
        <v>0.03</v>
      </c>
      <c r="F611" s="327">
        <v>0.02</v>
      </c>
      <c r="G611" s="327">
        <v>0.03</v>
      </c>
      <c r="H611" s="327">
        <v>0.02</v>
      </c>
      <c r="I611" s="18">
        <f>I618/I622</f>
        <v>1.9189724978049046E-2</v>
      </c>
      <c r="J611" s="19">
        <f>J618/J622</f>
        <v>1.9189724978049046E-2</v>
      </c>
    </row>
    <row r="612" spans="1:10" x14ac:dyDescent="0.25">
      <c r="A612" s="10" t="s">
        <v>20</v>
      </c>
      <c r="B612" s="325">
        <v>0.54</v>
      </c>
      <c r="C612" s="326">
        <v>0.69</v>
      </c>
      <c r="D612" s="326">
        <v>0.5</v>
      </c>
      <c r="E612" s="327">
        <v>0.68</v>
      </c>
      <c r="F612" s="329">
        <v>0.59</v>
      </c>
      <c r="G612" s="327">
        <v>0.61</v>
      </c>
      <c r="H612" s="327">
        <v>0.62</v>
      </c>
      <c r="I612" s="18">
        <f>I619/I622</f>
        <v>0.60930850077561383</v>
      </c>
      <c r="J612" s="19">
        <f>J619/J622</f>
        <v>0.60930850077561383</v>
      </c>
    </row>
    <row r="613" spans="1:10" x14ac:dyDescent="0.25">
      <c r="A613" s="10" t="s">
        <v>21</v>
      </c>
      <c r="B613" s="325">
        <v>0</v>
      </c>
      <c r="C613" s="326">
        <v>0</v>
      </c>
      <c r="D613" s="326">
        <v>0</v>
      </c>
      <c r="E613" s="327">
        <v>0.01</v>
      </c>
      <c r="F613" s="329">
        <v>0</v>
      </c>
      <c r="G613" s="327">
        <v>0</v>
      </c>
      <c r="H613" s="327">
        <v>0</v>
      </c>
      <c r="I613" s="18">
        <f>I620/I622</f>
        <v>8.1369439103855853E-4</v>
      </c>
      <c r="J613" s="19">
        <f>J620/J622</f>
        <v>8.1369439103855853E-4</v>
      </c>
    </row>
    <row r="614" spans="1:10" x14ac:dyDescent="0.25">
      <c r="A614" s="10" t="s">
        <v>22</v>
      </c>
      <c r="B614" s="325">
        <v>0</v>
      </c>
      <c r="C614" s="326">
        <v>0</v>
      </c>
      <c r="D614" s="326">
        <v>0</v>
      </c>
      <c r="E614" s="327">
        <v>0</v>
      </c>
      <c r="F614" s="329">
        <v>0</v>
      </c>
      <c r="G614" s="327">
        <v>0</v>
      </c>
      <c r="H614" s="327">
        <v>0</v>
      </c>
      <c r="I614" s="18">
        <f>I621/I622</f>
        <v>0</v>
      </c>
      <c r="J614" s="19">
        <f>J621/J622</f>
        <v>0</v>
      </c>
    </row>
    <row r="615" spans="1:10" x14ac:dyDescent="0.25">
      <c r="A615" s="24" t="s">
        <v>23</v>
      </c>
      <c r="B615" s="130">
        <f t="shared" ref="B615:J615" si="261">B626/B609</f>
        <v>31195.161290322583</v>
      </c>
      <c r="C615" s="131">
        <f t="shared" si="261"/>
        <v>33485.833333333336</v>
      </c>
      <c r="D615" s="131">
        <f t="shared" si="261"/>
        <v>31833.000000000004</v>
      </c>
      <c r="E615" s="130">
        <f t="shared" si="261"/>
        <v>32774.15730337079</v>
      </c>
      <c r="F615" s="132">
        <f t="shared" si="261"/>
        <v>35130.51643192488</v>
      </c>
      <c r="G615" s="130">
        <f t="shared" si="261"/>
        <v>34489.473684210527</v>
      </c>
      <c r="H615" s="130">
        <f t="shared" si="261"/>
        <v>35792.760180995472</v>
      </c>
      <c r="I615" s="314">
        <f t="shared" si="261"/>
        <v>34186.787072243344</v>
      </c>
      <c r="J615" s="132">
        <f t="shared" si="261"/>
        <v>34186.787072243351</v>
      </c>
    </row>
    <row r="616" spans="1:10" x14ac:dyDescent="0.25">
      <c r="A616" s="24" t="s">
        <v>24</v>
      </c>
      <c r="B616" s="130">
        <f t="shared" ref="B616:J616" si="262">B626/B603</f>
        <v>26862.500000000004</v>
      </c>
      <c r="C616" s="131">
        <f t="shared" si="262"/>
        <v>29330.656934306568</v>
      </c>
      <c r="D616" s="131">
        <f t="shared" si="262"/>
        <v>28939.090909090912</v>
      </c>
      <c r="E616" s="130">
        <f t="shared" si="262"/>
        <v>30071.134020618556</v>
      </c>
      <c r="F616" s="132">
        <f t="shared" si="262"/>
        <v>34324.770642201838</v>
      </c>
      <c r="G616" s="130">
        <f t="shared" si="262"/>
        <v>29890.877192982458</v>
      </c>
      <c r="H616" s="130">
        <f t="shared" si="262"/>
        <v>33660.425531914894</v>
      </c>
      <c r="I616" s="314">
        <f t="shared" si="262"/>
        <v>31165.077989601388</v>
      </c>
      <c r="J616" s="132">
        <f t="shared" si="262"/>
        <v>31165.077989601388</v>
      </c>
    </row>
    <row r="617" spans="1:10" x14ac:dyDescent="0.25">
      <c r="A617" s="10" t="s">
        <v>25</v>
      </c>
      <c r="B617" s="92">
        <f t="shared" ref="B617:H617" si="263">B622*B610</f>
        <v>710867.3379310345</v>
      </c>
      <c r="C617" s="133">
        <f t="shared" si="263"/>
        <v>1050474.2844827587</v>
      </c>
      <c r="D617" s="133">
        <f t="shared" si="263"/>
        <v>1326857.0689655175</v>
      </c>
      <c r="E617" s="92">
        <f t="shared" si="263"/>
        <v>688994.31034482771</v>
      </c>
      <c r="F617" s="134">
        <f t="shared" si="263"/>
        <v>2453575.6655172417</v>
      </c>
      <c r="G617" s="92">
        <f t="shared" si="263"/>
        <v>2582508.351724138</v>
      </c>
      <c r="H617" s="92">
        <f t="shared" si="263"/>
        <v>2396704.6551724137</v>
      </c>
      <c r="I617" s="92">
        <f>FLORESTA!$B617+FLORESTA!$C617+FLORESTA!$D617+FLORESTA!$E617+FLORESTA!$F617+FLORESTA!$G617+FLORESTA!$H617</f>
        <v>11209981.674137931</v>
      </c>
      <c r="J617" s="133">
        <f>FLORESTA!$I617/7</f>
        <v>1601425.9534482758</v>
      </c>
    </row>
    <row r="618" spans="1:10" x14ac:dyDescent="0.25">
      <c r="A618" s="10" t="s">
        <v>26</v>
      </c>
      <c r="B618" s="92">
        <f t="shared" ref="B618:H618" si="264">B622*B611</f>
        <v>32312.151724137933</v>
      </c>
      <c r="C618" s="133">
        <f t="shared" si="264"/>
        <v>0</v>
      </c>
      <c r="D618" s="133">
        <f t="shared" si="264"/>
        <v>0</v>
      </c>
      <c r="E618" s="92">
        <f t="shared" si="264"/>
        <v>73820.818965517246</v>
      </c>
      <c r="F618" s="134">
        <f t="shared" si="264"/>
        <v>125824.39310344828</v>
      </c>
      <c r="G618" s="92">
        <f t="shared" si="264"/>
        <v>215209.02931034483</v>
      </c>
      <c r="H618" s="92">
        <f t="shared" si="264"/>
        <v>133150.25862068965</v>
      </c>
      <c r="I618" s="92">
        <f>FLORESTA!$B618+FLORESTA!$C618+FLORESTA!$D618+FLORESTA!$E618+FLORESTA!$F618+FLORESTA!$G618+FLORESTA!$H618</f>
        <v>580316.65172413795</v>
      </c>
      <c r="J618" s="133">
        <f>FLORESTA!$I618/7</f>
        <v>82902.378817733988</v>
      </c>
    </row>
    <row r="619" spans="1:10" x14ac:dyDescent="0.25">
      <c r="A619" s="10" t="s">
        <v>27</v>
      </c>
      <c r="B619" s="92">
        <f t="shared" ref="B619:H619" si="265">B622*B612</f>
        <v>872428.09655172424</v>
      </c>
      <c r="C619" s="133">
        <f t="shared" si="265"/>
        <v>2338152.4396551722</v>
      </c>
      <c r="D619" s="133">
        <f t="shared" si="265"/>
        <v>1326857.0689655175</v>
      </c>
      <c r="E619" s="92">
        <f t="shared" si="265"/>
        <v>1673271.8965517243</v>
      </c>
      <c r="F619" s="134">
        <f t="shared" si="265"/>
        <v>3711819.5965517242</v>
      </c>
      <c r="G619" s="92">
        <f t="shared" si="265"/>
        <v>4375916.9293103451</v>
      </c>
      <c r="H619" s="92">
        <f t="shared" si="265"/>
        <v>4127658.0172413792</v>
      </c>
      <c r="I619" s="92">
        <f>FLORESTA!$B619+FLORESTA!$C619+FLORESTA!$D619+FLORESTA!$E619+FLORESTA!$F619+FLORESTA!$G619+FLORESTA!$H619</f>
        <v>18426104.044827588</v>
      </c>
      <c r="J619" s="133">
        <f>FLORESTA!$I619/7</f>
        <v>2632300.5778325126</v>
      </c>
    </row>
    <row r="620" spans="1:10" x14ac:dyDescent="0.25">
      <c r="A620" s="10" t="s">
        <v>28</v>
      </c>
      <c r="B620" s="92">
        <f t="shared" ref="B620:H620" si="266">B622*B613</f>
        <v>0</v>
      </c>
      <c r="C620" s="133">
        <f t="shared" si="266"/>
        <v>0</v>
      </c>
      <c r="D620" s="133">
        <f t="shared" si="266"/>
        <v>0</v>
      </c>
      <c r="E620" s="92">
        <f t="shared" si="266"/>
        <v>24606.939655172417</v>
      </c>
      <c r="F620" s="134">
        <f t="shared" si="266"/>
        <v>0</v>
      </c>
      <c r="G620" s="92">
        <f t="shared" si="266"/>
        <v>0</v>
      </c>
      <c r="H620" s="92">
        <f t="shared" si="266"/>
        <v>0</v>
      </c>
      <c r="I620" s="92">
        <f>FLORESTA!$B620+FLORESTA!$C620+FLORESTA!$D620+FLORESTA!$E620+FLORESTA!$F620+FLORESTA!$G620+FLORESTA!$H620</f>
        <v>24606.939655172417</v>
      </c>
      <c r="J620" s="133">
        <f>FLORESTA!$I620/7</f>
        <v>3515.2770935960593</v>
      </c>
    </row>
    <row r="621" spans="1:10" x14ac:dyDescent="0.25">
      <c r="A621" s="10" t="s">
        <v>29</v>
      </c>
      <c r="B621" s="92">
        <f t="shared" ref="B621:H621" si="267">B622*B614</f>
        <v>0</v>
      </c>
      <c r="C621" s="133">
        <f t="shared" si="267"/>
        <v>0</v>
      </c>
      <c r="D621" s="133">
        <f t="shared" si="267"/>
        <v>0</v>
      </c>
      <c r="E621" s="92">
        <f t="shared" si="267"/>
        <v>0</v>
      </c>
      <c r="F621" s="134">
        <f t="shared" si="267"/>
        <v>0</v>
      </c>
      <c r="G621" s="92">
        <f t="shared" si="267"/>
        <v>0</v>
      </c>
      <c r="H621" s="92">
        <f t="shared" si="267"/>
        <v>0</v>
      </c>
      <c r="I621" s="92">
        <f>FLORESTA!$B621+FLORESTA!$C621+FLORESTA!$D621+FLORESTA!$E621+FLORESTA!$F621+FLORESTA!$G621+FLORESTA!$H621</f>
        <v>0</v>
      </c>
      <c r="J621" s="133">
        <f>FLORESTA!$I621/7</f>
        <v>0</v>
      </c>
    </row>
    <row r="622" spans="1:10" x14ac:dyDescent="0.25">
      <c r="A622" s="33" t="s">
        <v>30</v>
      </c>
      <c r="B622" s="222">
        <f>(1934100/1.16)-B623</f>
        <v>1615607.5862068967</v>
      </c>
      <c r="C622" s="222">
        <f>(4018300/1.16)-C623</f>
        <v>3388626.7241379311</v>
      </c>
      <c r="D622" s="222">
        <f>(3183300/1.16)-D623</f>
        <v>2653714.1379310349</v>
      </c>
      <c r="E622" s="222">
        <f>(2916900/1.16)-E623</f>
        <v>2460693.9655172415</v>
      </c>
      <c r="F622" s="222">
        <f>(7482800/1.16)-F623</f>
        <v>6291219.6551724141</v>
      </c>
      <c r="G622" s="222">
        <f>(8518900/1.16)-G623</f>
        <v>7173634.3103448283</v>
      </c>
      <c r="H622" s="222">
        <f>(7910200/1.16)-H623</f>
        <v>6657512.931034483</v>
      </c>
      <c r="I622" s="91">
        <f>SUM(I617:I621)</f>
        <v>30241009.31034483</v>
      </c>
      <c r="J622" s="136">
        <f>FLORESTA!$I622/7</f>
        <v>4320144.1871921187</v>
      </c>
    </row>
    <row r="623" spans="1:10" x14ac:dyDescent="0.25">
      <c r="A623" s="10" t="s">
        <v>31</v>
      </c>
      <c r="B623" s="94">
        <f t="shared" ref="B623:J623" si="268">2155*B604</f>
        <v>51720</v>
      </c>
      <c r="C623" s="139">
        <f t="shared" si="268"/>
        <v>75425</v>
      </c>
      <c r="D623" s="139">
        <f t="shared" si="268"/>
        <v>90510</v>
      </c>
      <c r="E623" s="94">
        <f t="shared" si="268"/>
        <v>53875</v>
      </c>
      <c r="F623" s="112">
        <f t="shared" si="268"/>
        <v>159470</v>
      </c>
      <c r="G623" s="94">
        <f t="shared" si="268"/>
        <v>170245</v>
      </c>
      <c r="H623" s="94">
        <f t="shared" si="268"/>
        <v>161625</v>
      </c>
      <c r="I623" s="94">
        <f t="shared" si="268"/>
        <v>762870</v>
      </c>
      <c r="J623" s="139">
        <f t="shared" si="268"/>
        <v>108981.42857142857</v>
      </c>
    </row>
    <row r="624" spans="1:10" x14ac:dyDescent="0.25">
      <c r="A624" s="37" t="s">
        <v>32</v>
      </c>
      <c r="B624" s="39">
        <f t="shared" ref="B624:H624" si="269">B622+B623</f>
        <v>1667327.5862068967</v>
      </c>
      <c r="C624" s="40">
        <f t="shared" si="269"/>
        <v>3464051.7241379311</v>
      </c>
      <c r="D624" s="40">
        <f t="shared" si="269"/>
        <v>2744224.1379310349</v>
      </c>
      <c r="E624" s="39">
        <f t="shared" si="269"/>
        <v>2514568.9655172415</v>
      </c>
      <c r="F624" s="140">
        <f t="shared" si="269"/>
        <v>6450689.6551724141</v>
      </c>
      <c r="G624" s="39">
        <f t="shared" si="269"/>
        <v>7343879.3103448283</v>
      </c>
      <c r="H624" s="39">
        <f t="shared" si="269"/>
        <v>6819137.931034483</v>
      </c>
      <c r="I624" s="39">
        <f>I622+I623</f>
        <v>31003879.31034483</v>
      </c>
      <c r="J624" s="40">
        <f>J622+J623</f>
        <v>4429125.6157635469</v>
      </c>
    </row>
    <row r="625" spans="1:10" x14ac:dyDescent="0.25">
      <c r="A625" s="10" t="s">
        <v>33</v>
      </c>
      <c r="B625" s="41">
        <f t="shared" ref="B625:H625" si="270">B624*16%</f>
        <v>266772.41379310348</v>
      </c>
      <c r="C625" s="42">
        <f t="shared" si="270"/>
        <v>554248.27586206899</v>
      </c>
      <c r="D625" s="42">
        <f t="shared" si="270"/>
        <v>439075.86206896557</v>
      </c>
      <c r="E625" s="41">
        <f t="shared" si="270"/>
        <v>402331.03448275867</v>
      </c>
      <c r="F625" s="141">
        <f t="shared" si="270"/>
        <v>1032110.3448275863</v>
      </c>
      <c r="G625" s="41">
        <f t="shared" si="270"/>
        <v>1175020.6896551726</v>
      </c>
      <c r="H625" s="41">
        <f t="shared" si="270"/>
        <v>1091062.0689655172</v>
      </c>
      <c r="I625" s="41">
        <f>I624*16%</f>
        <v>4960620.6896551726</v>
      </c>
      <c r="J625" s="42">
        <f>J624*16%</f>
        <v>708660.09852216754</v>
      </c>
    </row>
    <row r="626" spans="1:10" x14ac:dyDescent="0.25">
      <c r="A626" s="43" t="s">
        <v>34</v>
      </c>
      <c r="B626" s="315">
        <f t="shared" ref="B626:H626" si="271">B624+B625</f>
        <v>1934100.0000000002</v>
      </c>
      <c r="C626" s="315">
        <f t="shared" si="271"/>
        <v>4018300</v>
      </c>
      <c r="D626" s="315">
        <f t="shared" si="271"/>
        <v>3183300.0000000005</v>
      </c>
      <c r="E626" s="178">
        <f t="shared" si="271"/>
        <v>2916900</v>
      </c>
      <c r="F626" s="182">
        <f t="shared" si="271"/>
        <v>7482800</v>
      </c>
      <c r="G626" s="178">
        <f t="shared" si="271"/>
        <v>8518900</v>
      </c>
      <c r="H626" s="178">
        <f t="shared" si="271"/>
        <v>7910200</v>
      </c>
      <c r="I626" s="178">
        <f>I624+I625</f>
        <v>35964500</v>
      </c>
      <c r="J626" s="315">
        <f>FLORESTA!$I626/7</f>
        <v>5137785.7142857146</v>
      </c>
    </row>
    <row r="629" spans="1:10" ht="12.75" customHeight="1" x14ac:dyDescent="0.25">
      <c r="A629" s="149"/>
      <c r="B629" s="1006" t="s">
        <v>363</v>
      </c>
      <c r="C629" s="1006"/>
      <c r="D629" s="1006"/>
      <c r="E629" s="1006"/>
      <c r="F629" s="1006"/>
      <c r="G629" s="1006"/>
      <c r="H629" s="1006"/>
      <c r="I629" s="1006"/>
    </row>
    <row r="630" spans="1:10" x14ac:dyDescent="0.25">
      <c r="A630" s="149"/>
      <c r="B630" s="1006"/>
      <c r="C630" s="1006"/>
      <c r="D630" s="1006"/>
      <c r="E630" s="1006"/>
      <c r="F630" s="1006"/>
      <c r="G630" s="1006"/>
      <c r="H630" s="1006"/>
      <c r="I630" s="1006"/>
    </row>
    <row r="631" spans="1:10" ht="15.75" x14ac:dyDescent="0.25">
      <c r="A631" s="72" t="s">
        <v>2</v>
      </c>
      <c r="B631" s="121" t="s">
        <v>225</v>
      </c>
      <c r="C631" s="51" t="s">
        <v>226</v>
      </c>
      <c r="D631" s="121" t="s">
        <v>227</v>
      </c>
      <c r="E631" s="51" t="s">
        <v>228</v>
      </c>
      <c r="F631" s="51" t="s">
        <v>229</v>
      </c>
      <c r="G631" s="121" t="s">
        <v>230</v>
      </c>
      <c r="H631" s="121" t="s">
        <v>231</v>
      </c>
      <c r="I631" s="51" t="s">
        <v>10</v>
      </c>
      <c r="J631" s="51" t="s">
        <v>77</v>
      </c>
    </row>
    <row r="632" spans="1:10" x14ac:dyDescent="0.25">
      <c r="A632" s="74" t="s">
        <v>11</v>
      </c>
      <c r="B632" s="55">
        <v>77</v>
      </c>
      <c r="C632" s="56">
        <v>103</v>
      </c>
      <c r="D632" s="54">
        <v>83</v>
      </c>
      <c r="E632" s="316">
        <v>116</v>
      </c>
      <c r="F632" s="311">
        <v>219</v>
      </c>
      <c r="G632" s="58">
        <v>281</v>
      </c>
      <c r="H632" s="57">
        <v>254</v>
      </c>
      <c r="I632" s="311">
        <f t="shared" ref="I632:I637" si="272">SUM(B632:H632)</f>
        <v>1133</v>
      </c>
      <c r="J632" s="317">
        <f>FLORESTA!$I632/7</f>
        <v>161.85714285714286</v>
      </c>
    </row>
    <row r="633" spans="1:10" x14ac:dyDescent="0.25">
      <c r="A633" s="10" t="s">
        <v>12</v>
      </c>
      <c r="B633" s="11">
        <v>29</v>
      </c>
      <c r="C633" s="13">
        <v>34</v>
      </c>
      <c r="D633" s="320">
        <v>21</v>
      </c>
      <c r="E633" s="11">
        <v>36</v>
      </c>
      <c r="F633" s="125">
        <v>86</v>
      </c>
      <c r="G633" s="11">
        <v>83</v>
      </c>
      <c r="H633" s="11">
        <v>88</v>
      </c>
      <c r="I633" s="313">
        <f t="shared" si="272"/>
        <v>377</v>
      </c>
      <c r="J633" s="318">
        <f>FLORESTA!$I633/7</f>
        <v>53.857142857142854</v>
      </c>
    </row>
    <row r="634" spans="1:10" x14ac:dyDescent="0.25">
      <c r="A634" s="10" t="s">
        <v>13</v>
      </c>
      <c r="B634" s="11">
        <v>0</v>
      </c>
      <c r="C634" s="13">
        <v>0</v>
      </c>
      <c r="D634" s="13">
        <v>0</v>
      </c>
      <c r="E634" s="11">
        <v>3</v>
      </c>
      <c r="F634" s="125">
        <v>1</v>
      </c>
      <c r="G634" s="11">
        <v>3</v>
      </c>
      <c r="H634" s="11">
        <v>4</v>
      </c>
      <c r="I634" s="313">
        <f t="shared" si="272"/>
        <v>11</v>
      </c>
      <c r="J634" s="318">
        <f>C634+D634+E634+F634+G634+H634+I634</f>
        <v>22</v>
      </c>
    </row>
    <row r="635" spans="1:10" x14ac:dyDescent="0.25">
      <c r="A635" s="10" t="s">
        <v>14</v>
      </c>
      <c r="B635" s="11">
        <v>41</v>
      </c>
      <c r="C635" s="13">
        <v>55</v>
      </c>
      <c r="D635" s="13">
        <v>55</v>
      </c>
      <c r="E635" s="11">
        <v>67</v>
      </c>
      <c r="F635" s="125">
        <v>113</v>
      </c>
      <c r="G635" s="11">
        <v>172</v>
      </c>
      <c r="H635" s="11">
        <v>121</v>
      </c>
      <c r="I635" s="313">
        <f t="shared" si="272"/>
        <v>624</v>
      </c>
      <c r="J635" s="318">
        <f>FLORESTA!$I635/7</f>
        <v>89.142857142857139</v>
      </c>
    </row>
    <row r="636" spans="1:10" x14ac:dyDescent="0.25">
      <c r="A636" s="10" t="s">
        <v>15</v>
      </c>
      <c r="B636" s="11">
        <v>0</v>
      </c>
      <c r="C636" s="13">
        <v>0</v>
      </c>
      <c r="D636" s="13">
        <v>0</v>
      </c>
      <c r="E636" s="11">
        <v>0</v>
      </c>
      <c r="F636" s="125">
        <v>0</v>
      </c>
      <c r="G636" s="11">
        <v>0</v>
      </c>
      <c r="H636" s="11">
        <v>0</v>
      </c>
      <c r="I636" s="313">
        <f t="shared" si="272"/>
        <v>0</v>
      </c>
      <c r="J636" s="318">
        <f>FLORESTA!$I636/7</f>
        <v>0</v>
      </c>
    </row>
    <row r="637" spans="1:10" x14ac:dyDescent="0.25">
      <c r="A637" s="10" t="s">
        <v>16</v>
      </c>
      <c r="B637" s="11">
        <v>0</v>
      </c>
      <c r="C637" s="13">
        <v>0</v>
      </c>
      <c r="D637" s="13">
        <v>0</v>
      </c>
      <c r="E637" s="11">
        <v>0</v>
      </c>
      <c r="F637" s="125">
        <v>0</v>
      </c>
      <c r="G637" s="11">
        <v>0</v>
      </c>
      <c r="H637" s="11">
        <v>0</v>
      </c>
      <c r="I637" s="313">
        <f t="shared" si="272"/>
        <v>0</v>
      </c>
      <c r="J637" s="318">
        <f>FLORESTA!$I637/7</f>
        <v>0</v>
      </c>
    </row>
    <row r="638" spans="1:10" x14ac:dyDescent="0.25">
      <c r="A638" s="15" t="s">
        <v>17</v>
      </c>
      <c r="B638" s="79">
        <f t="shared" ref="B638:I638" si="273">SUM(B633:B637)</f>
        <v>70</v>
      </c>
      <c r="C638" s="79">
        <f t="shared" si="273"/>
        <v>89</v>
      </c>
      <c r="D638" s="79">
        <f t="shared" si="273"/>
        <v>76</v>
      </c>
      <c r="E638" s="103">
        <f t="shared" si="273"/>
        <v>106</v>
      </c>
      <c r="F638" s="213">
        <f t="shared" si="273"/>
        <v>200</v>
      </c>
      <c r="G638" s="103">
        <f t="shared" si="273"/>
        <v>258</v>
      </c>
      <c r="H638" s="103">
        <f t="shared" si="273"/>
        <v>213</v>
      </c>
      <c r="I638" s="103">
        <f t="shared" si="273"/>
        <v>1012</v>
      </c>
      <c r="J638" s="319">
        <f>FLORESTA!$I638/7</f>
        <v>144.57142857142858</v>
      </c>
    </row>
    <row r="639" spans="1:10" x14ac:dyDescent="0.25">
      <c r="A639" s="10" t="s">
        <v>18</v>
      </c>
      <c r="B639" s="325">
        <v>0.53</v>
      </c>
      <c r="C639" s="326">
        <v>0.46</v>
      </c>
      <c r="D639" s="326">
        <v>0.33</v>
      </c>
      <c r="E639" s="327">
        <v>0.37</v>
      </c>
      <c r="F639" s="328">
        <v>0.47</v>
      </c>
      <c r="G639" s="327">
        <v>0.36</v>
      </c>
      <c r="H639" s="327">
        <v>0.43</v>
      </c>
      <c r="I639" s="18">
        <f>I646/I651</f>
        <v>0.41560673462910874</v>
      </c>
      <c r="J639" s="19">
        <f>J646/J651</f>
        <v>0.4156067346291088</v>
      </c>
    </row>
    <row r="640" spans="1:10" x14ac:dyDescent="0.25">
      <c r="A640" s="10" t="s">
        <v>19</v>
      </c>
      <c r="B640" s="325">
        <v>0</v>
      </c>
      <c r="C640" s="326">
        <v>0</v>
      </c>
      <c r="D640" s="326">
        <v>0</v>
      </c>
      <c r="E640" s="327">
        <v>0.09</v>
      </c>
      <c r="F640" s="327">
        <v>0</v>
      </c>
      <c r="G640" s="327">
        <v>0.01</v>
      </c>
      <c r="H640" s="327">
        <v>0.06</v>
      </c>
      <c r="I640" s="18">
        <f>I647/I651</f>
        <v>2.5804098276015486E-2</v>
      </c>
      <c r="J640" s="19">
        <f>J647/J651</f>
        <v>2.5804098276015486E-2</v>
      </c>
    </row>
    <row r="641" spans="1:10" x14ac:dyDescent="0.25">
      <c r="A641" s="10" t="s">
        <v>20</v>
      </c>
      <c r="B641" s="325">
        <v>0.47</v>
      </c>
      <c r="C641" s="326">
        <v>0.54</v>
      </c>
      <c r="D641" s="326">
        <v>0.67</v>
      </c>
      <c r="E641" s="327">
        <v>0.54</v>
      </c>
      <c r="F641" s="329">
        <v>0.53</v>
      </c>
      <c r="G641" s="327">
        <v>0.63</v>
      </c>
      <c r="H641" s="327">
        <v>0.51</v>
      </c>
      <c r="I641" s="18">
        <f>I648/I651</f>
        <v>0.55858916709487572</v>
      </c>
      <c r="J641" s="19">
        <f>J648/J651</f>
        <v>0.55858916709487572</v>
      </c>
    </row>
    <row r="642" spans="1:10" x14ac:dyDescent="0.25">
      <c r="A642" s="10" t="s">
        <v>21</v>
      </c>
      <c r="B642" s="325">
        <v>0</v>
      </c>
      <c r="C642" s="326">
        <v>0</v>
      </c>
      <c r="D642" s="326">
        <v>0</v>
      </c>
      <c r="E642" s="327">
        <v>0</v>
      </c>
      <c r="F642" s="329">
        <v>0</v>
      </c>
      <c r="G642" s="327">
        <v>0</v>
      </c>
      <c r="H642" s="327">
        <v>0</v>
      </c>
      <c r="I642" s="18">
        <f>I649/I651</f>
        <v>0</v>
      </c>
      <c r="J642" s="19">
        <f>J649/J651</f>
        <v>0</v>
      </c>
    </row>
    <row r="643" spans="1:10" x14ac:dyDescent="0.25">
      <c r="A643" s="10" t="s">
        <v>22</v>
      </c>
      <c r="B643" s="325">
        <v>0</v>
      </c>
      <c r="C643" s="326">
        <v>0</v>
      </c>
      <c r="D643" s="326">
        <v>0</v>
      </c>
      <c r="E643" s="327">
        <v>0</v>
      </c>
      <c r="F643" s="329">
        <v>0</v>
      </c>
      <c r="G643" s="327">
        <v>0</v>
      </c>
      <c r="H643" s="327">
        <v>0</v>
      </c>
      <c r="I643" s="18">
        <f>I650/I651</f>
        <v>0</v>
      </c>
      <c r="J643" s="19">
        <f>J650/J651</f>
        <v>0</v>
      </c>
    </row>
    <row r="644" spans="1:10" x14ac:dyDescent="0.25">
      <c r="A644" s="24" t="s">
        <v>23</v>
      </c>
      <c r="B644" s="130">
        <f t="shared" ref="B644:J644" si="274">B655/B638</f>
        <v>28648.571428571428</v>
      </c>
      <c r="C644" s="131">
        <f t="shared" si="274"/>
        <v>37810.112359550571</v>
      </c>
      <c r="D644" s="131">
        <f t="shared" si="274"/>
        <v>31817.105263157893</v>
      </c>
      <c r="E644" s="130">
        <f t="shared" si="274"/>
        <v>34567.92452830189</v>
      </c>
      <c r="F644" s="132">
        <f t="shared" si="274"/>
        <v>34523.000000000007</v>
      </c>
      <c r="G644" s="130">
        <f t="shared" si="274"/>
        <v>34332.170542635657</v>
      </c>
      <c r="H644" s="130">
        <f t="shared" si="274"/>
        <v>38848.356807511744</v>
      </c>
      <c r="I644" s="314">
        <f t="shared" si="274"/>
        <v>35068.972332015808</v>
      </c>
      <c r="J644" s="132">
        <f t="shared" si="274"/>
        <v>35068.972332015801</v>
      </c>
    </row>
    <row r="645" spans="1:10" x14ac:dyDescent="0.25">
      <c r="A645" s="24" t="s">
        <v>24</v>
      </c>
      <c r="B645" s="130">
        <f t="shared" ref="B645:J645" si="275">B655/B632</f>
        <v>26044.155844155845</v>
      </c>
      <c r="C645" s="131">
        <f t="shared" si="275"/>
        <v>32670.87378640777</v>
      </c>
      <c r="D645" s="131">
        <f t="shared" si="275"/>
        <v>29133.734939759037</v>
      </c>
      <c r="E645" s="130">
        <f t="shared" si="275"/>
        <v>31587.931034482757</v>
      </c>
      <c r="F645" s="132">
        <f t="shared" si="275"/>
        <v>31527.853881278545</v>
      </c>
      <c r="G645" s="130">
        <f t="shared" si="275"/>
        <v>31522.0640569395</v>
      </c>
      <c r="H645" s="130">
        <f t="shared" si="275"/>
        <v>32577.559055118112</v>
      </c>
      <c r="I645" s="314">
        <f t="shared" si="275"/>
        <v>31323.742277140336</v>
      </c>
      <c r="J645" s="132">
        <f t="shared" si="275"/>
        <v>31323.742277140333</v>
      </c>
    </row>
    <row r="646" spans="1:10" x14ac:dyDescent="0.25">
      <c r="A646" s="10" t="s">
        <v>25</v>
      </c>
      <c r="B646" s="92">
        <f t="shared" ref="B646:H646" si="276">B651*B639</f>
        <v>883137.99482758634</v>
      </c>
      <c r="C646" s="133">
        <f t="shared" si="276"/>
        <v>1300732.0068965519</v>
      </c>
      <c r="D646" s="133">
        <f t="shared" si="276"/>
        <v>672973.60862068972</v>
      </c>
      <c r="E646" s="92">
        <f t="shared" si="276"/>
        <v>1140048.8482758622</v>
      </c>
      <c r="F646" s="134">
        <f t="shared" si="276"/>
        <v>2710448.3482758622</v>
      </c>
      <c r="G646" s="92">
        <f t="shared" si="276"/>
        <v>2684549.9793103449</v>
      </c>
      <c r="H646" s="92">
        <f t="shared" si="276"/>
        <v>2985800.4896551725</v>
      </c>
      <c r="I646" s="92">
        <f>FLORESTA!$B646+FLORESTA!$C646+FLORESTA!$D646+FLORESTA!$E646+FLORESTA!$F646+FLORESTA!$G646+FLORESTA!$H646</f>
        <v>12377691.27586207</v>
      </c>
      <c r="J646" s="133">
        <f>FLORESTA!$I646/7</f>
        <v>1768241.6108374386</v>
      </c>
    </row>
    <row r="647" spans="1:10" x14ac:dyDescent="0.25">
      <c r="A647" s="10" t="s">
        <v>26</v>
      </c>
      <c r="B647" s="92">
        <f t="shared" ref="B647:H647" si="277">B651*B640</f>
        <v>0</v>
      </c>
      <c r="C647" s="133">
        <f t="shared" si="277"/>
        <v>0</v>
      </c>
      <c r="D647" s="133">
        <f t="shared" si="277"/>
        <v>0</v>
      </c>
      <c r="E647" s="92">
        <f t="shared" si="277"/>
        <v>277309.1793103448</v>
      </c>
      <c r="F647" s="134">
        <f t="shared" si="277"/>
        <v>0</v>
      </c>
      <c r="G647" s="92">
        <f t="shared" si="277"/>
        <v>74570.832758620701</v>
      </c>
      <c r="H647" s="92">
        <f t="shared" si="277"/>
        <v>416623.32413793105</v>
      </c>
      <c r="I647" s="92">
        <f>FLORESTA!$B647+FLORESTA!$C647+FLORESTA!$D647+FLORESTA!$E647+FLORESTA!$F647+FLORESTA!$G647+FLORESTA!$H647</f>
        <v>768503.33620689646</v>
      </c>
      <c r="J647" s="133">
        <f>FLORESTA!$I647/7</f>
        <v>109786.19088669949</v>
      </c>
    </row>
    <row r="648" spans="1:10" x14ac:dyDescent="0.25">
      <c r="A648" s="10" t="s">
        <v>27</v>
      </c>
      <c r="B648" s="92">
        <f t="shared" ref="B648:H648" si="278">B651*B641</f>
        <v>783160.1086206896</v>
      </c>
      <c r="C648" s="133">
        <f t="shared" si="278"/>
        <v>1526946.2689655176</v>
      </c>
      <c r="D648" s="133">
        <f t="shared" si="278"/>
        <v>1366340.3568965518</v>
      </c>
      <c r="E648" s="92">
        <f t="shared" si="278"/>
        <v>1663855.0758620691</v>
      </c>
      <c r="F648" s="134">
        <f t="shared" si="278"/>
        <v>3056463.0310344831</v>
      </c>
      <c r="G648" s="92">
        <f t="shared" si="278"/>
        <v>4697962.4637931036</v>
      </c>
      <c r="H648" s="92">
        <f t="shared" si="278"/>
        <v>3541298.2551724142</v>
      </c>
      <c r="I648" s="92">
        <f>FLORESTA!$B648+FLORESTA!$C648+FLORESTA!$D648+FLORESTA!$E648+FLORESTA!$F648+FLORESTA!$G648+FLORESTA!$H648</f>
        <v>16636025.560344828</v>
      </c>
      <c r="J648" s="133">
        <f>FLORESTA!$I648/7</f>
        <v>2376575.080049261</v>
      </c>
    </row>
    <row r="649" spans="1:10" x14ac:dyDescent="0.25">
      <c r="A649" s="10" t="s">
        <v>28</v>
      </c>
      <c r="B649" s="92">
        <f t="shared" ref="B649:H649" si="279">B651*B642</f>
        <v>0</v>
      </c>
      <c r="C649" s="133">
        <f t="shared" si="279"/>
        <v>0</v>
      </c>
      <c r="D649" s="133">
        <f t="shared" si="279"/>
        <v>0</v>
      </c>
      <c r="E649" s="92">
        <f t="shared" si="279"/>
        <v>0</v>
      </c>
      <c r="F649" s="134">
        <f t="shared" si="279"/>
        <v>0</v>
      </c>
      <c r="G649" s="92">
        <f t="shared" si="279"/>
        <v>0</v>
      </c>
      <c r="H649" s="92">
        <f t="shared" si="279"/>
        <v>0</v>
      </c>
      <c r="I649" s="92">
        <f>FLORESTA!$B649+FLORESTA!$C649+FLORESTA!$D649+FLORESTA!$E649+FLORESTA!$F649+FLORESTA!$G649+FLORESTA!$H649</f>
        <v>0</v>
      </c>
      <c r="J649" s="133">
        <f>FLORESTA!$I649/7</f>
        <v>0</v>
      </c>
    </row>
    <row r="650" spans="1:10" x14ac:dyDescent="0.25">
      <c r="A650" s="10" t="s">
        <v>29</v>
      </c>
      <c r="B650" s="92">
        <f t="shared" ref="B650:H650" si="280">B651*B643</f>
        <v>0</v>
      </c>
      <c r="C650" s="133">
        <f t="shared" si="280"/>
        <v>0</v>
      </c>
      <c r="D650" s="133">
        <f t="shared" si="280"/>
        <v>0</v>
      </c>
      <c r="E650" s="92">
        <f t="shared" si="280"/>
        <v>0</v>
      </c>
      <c r="F650" s="134">
        <f t="shared" si="280"/>
        <v>0</v>
      </c>
      <c r="G650" s="92">
        <f t="shared" si="280"/>
        <v>0</v>
      </c>
      <c r="H650" s="92">
        <f t="shared" si="280"/>
        <v>0</v>
      </c>
      <c r="I650" s="92">
        <f>FLORESTA!$B650+FLORESTA!$C650+FLORESTA!$D650+FLORESTA!$E650+FLORESTA!$F650+FLORESTA!$G650+FLORESTA!$H650</f>
        <v>0</v>
      </c>
      <c r="J650" s="133">
        <f>FLORESTA!$I650/7</f>
        <v>0</v>
      </c>
    </row>
    <row r="651" spans="1:10" x14ac:dyDescent="0.25">
      <c r="A651" s="33" t="s">
        <v>30</v>
      </c>
      <c r="B651" s="222">
        <f>(2005400/1.16)-B652</f>
        <v>1666298.1034482759</v>
      </c>
      <c r="C651" s="222">
        <f>(3365100/1.16)-C652</f>
        <v>2827678.2758620693</v>
      </c>
      <c r="D651" s="222">
        <f>(2418100/1.16)-D652</f>
        <v>2039313.9655172415</v>
      </c>
      <c r="E651" s="222">
        <f>(3664200/1.16)-E652</f>
        <v>3081213.1034482759</v>
      </c>
      <c r="F651" s="222">
        <f>(6904600/1.16)-F652</f>
        <v>5766911.3793103453</v>
      </c>
      <c r="G651" s="222">
        <f>(8857700/1.16)-G652</f>
        <v>7457083.2758620698</v>
      </c>
      <c r="H651" s="222">
        <f>(8274700/1.16)-H652</f>
        <v>6943722.0689655179</v>
      </c>
      <c r="I651" s="91">
        <f>SUM(I646:I650)</f>
        <v>29782220.172413796</v>
      </c>
      <c r="J651" s="136">
        <f>FLORESTA!$I651/7</f>
        <v>4254602.8817733992</v>
      </c>
    </row>
    <row r="652" spans="1:10" x14ac:dyDescent="0.25">
      <c r="A652" s="10" t="s">
        <v>31</v>
      </c>
      <c r="B652" s="94">
        <f t="shared" ref="B652:J652" si="281">2155*B633</f>
        <v>62495</v>
      </c>
      <c r="C652" s="139">
        <f t="shared" si="281"/>
        <v>73270</v>
      </c>
      <c r="D652" s="139">
        <f t="shared" si="281"/>
        <v>45255</v>
      </c>
      <c r="E652" s="94">
        <f t="shared" si="281"/>
        <v>77580</v>
      </c>
      <c r="F652" s="112">
        <f t="shared" si="281"/>
        <v>185330</v>
      </c>
      <c r="G652" s="94">
        <f t="shared" si="281"/>
        <v>178865</v>
      </c>
      <c r="H652" s="94">
        <f t="shared" si="281"/>
        <v>189640</v>
      </c>
      <c r="I652" s="94">
        <f t="shared" si="281"/>
        <v>812435</v>
      </c>
      <c r="J652" s="139">
        <f t="shared" si="281"/>
        <v>116062.14285714286</v>
      </c>
    </row>
    <row r="653" spans="1:10" x14ac:dyDescent="0.25">
      <c r="A653" s="37" t="s">
        <v>32</v>
      </c>
      <c r="B653" s="39">
        <f t="shared" ref="B653:H653" si="282">B651+B652</f>
        <v>1728793.1034482759</v>
      </c>
      <c r="C653" s="40">
        <f t="shared" si="282"/>
        <v>2900948.2758620693</v>
      </c>
      <c r="D653" s="40">
        <f t="shared" si="282"/>
        <v>2084568.9655172415</v>
      </c>
      <c r="E653" s="39">
        <f t="shared" si="282"/>
        <v>3158793.1034482759</v>
      </c>
      <c r="F653" s="140">
        <f t="shared" si="282"/>
        <v>5952241.3793103453</v>
      </c>
      <c r="G653" s="39">
        <f t="shared" si="282"/>
        <v>7635948.2758620698</v>
      </c>
      <c r="H653" s="39">
        <f t="shared" si="282"/>
        <v>7133362.0689655179</v>
      </c>
      <c r="I653" s="39">
        <f>I651+I652</f>
        <v>30594655.172413796</v>
      </c>
      <c r="J653" s="40">
        <f>J651+J652</f>
        <v>4370665.0246305419</v>
      </c>
    </row>
    <row r="654" spans="1:10" x14ac:dyDescent="0.25">
      <c r="A654" s="10" t="s">
        <v>33</v>
      </c>
      <c r="B654" s="41">
        <f t="shared" ref="B654:H654" si="283">B653*16%</f>
        <v>276606.89655172417</v>
      </c>
      <c r="C654" s="42">
        <f t="shared" si="283"/>
        <v>464151.72413793113</v>
      </c>
      <c r="D654" s="42">
        <f t="shared" si="283"/>
        <v>333531.03448275867</v>
      </c>
      <c r="E654" s="41">
        <f t="shared" si="283"/>
        <v>505406.89655172417</v>
      </c>
      <c r="F654" s="141">
        <f t="shared" si="283"/>
        <v>952358.6206896553</v>
      </c>
      <c r="G654" s="41">
        <f t="shared" si="283"/>
        <v>1221751.7241379311</v>
      </c>
      <c r="H654" s="41">
        <f t="shared" si="283"/>
        <v>1141337.9310344828</v>
      </c>
      <c r="I654" s="41">
        <f>I653*16%</f>
        <v>4895144.8275862075</v>
      </c>
      <c r="J654" s="42">
        <f>J653*16%</f>
        <v>699306.40394088672</v>
      </c>
    </row>
    <row r="655" spans="1:10" x14ac:dyDescent="0.25">
      <c r="A655" s="43" t="s">
        <v>34</v>
      </c>
      <c r="B655" s="315">
        <f t="shared" ref="B655:H655" si="284">B653+B654</f>
        <v>2005400</v>
      </c>
      <c r="C655" s="315">
        <f t="shared" si="284"/>
        <v>3365100.0000000005</v>
      </c>
      <c r="D655" s="315">
        <f t="shared" si="284"/>
        <v>2418100</v>
      </c>
      <c r="E655" s="178">
        <f t="shared" si="284"/>
        <v>3664200</v>
      </c>
      <c r="F655" s="182">
        <f t="shared" si="284"/>
        <v>6904600.0000000009</v>
      </c>
      <c r="G655" s="178">
        <f t="shared" si="284"/>
        <v>8857700</v>
      </c>
      <c r="H655" s="178">
        <f t="shared" si="284"/>
        <v>8274700.0000000009</v>
      </c>
      <c r="I655" s="178">
        <f>I653+I654</f>
        <v>35489800</v>
      </c>
      <c r="J655" s="315">
        <f>FLORESTA!$I655/7</f>
        <v>5069971.4285714282</v>
      </c>
    </row>
    <row r="658" spans="1:10" ht="12.75" customHeight="1" x14ac:dyDescent="0.25">
      <c r="A658" s="149"/>
      <c r="B658" s="1006" t="s">
        <v>364</v>
      </c>
      <c r="C658" s="1006"/>
      <c r="D658" s="1006"/>
      <c r="E658" s="1006"/>
      <c r="F658" s="1006"/>
      <c r="G658" s="1006"/>
      <c r="H658" s="1006"/>
      <c r="I658" s="1006"/>
    </row>
    <row r="659" spans="1:10" x14ac:dyDescent="0.25">
      <c r="A659" s="149"/>
      <c r="B659" s="1006"/>
      <c r="C659" s="1006"/>
      <c r="D659" s="1006"/>
      <c r="E659" s="1006"/>
      <c r="F659" s="1006"/>
      <c r="G659" s="1006"/>
      <c r="H659" s="1006"/>
      <c r="I659" s="1006"/>
    </row>
    <row r="660" spans="1:10" ht="15.75" x14ac:dyDescent="0.25">
      <c r="A660" s="72" t="s">
        <v>2</v>
      </c>
      <c r="B660" s="121" t="s">
        <v>233</v>
      </c>
      <c r="C660" s="121" t="s">
        <v>234</v>
      </c>
      <c r="D660" s="121" t="s">
        <v>235</v>
      </c>
      <c r="E660" s="121" t="s">
        <v>236</v>
      </c>
      <c r="F660" s="121" t="s">
        <v>237</v>
      </c>
      <c r="G660" s="121" t="s">
        <v>238</v>
      </c>
      <c r="H660" s="121" t="s">
        <v>239</v>
      </c>
      <c r="I660" s="51" t="s">
        <v>10</v>
      </c>
      <c r="J660" s="51" t="s">
        <v>77</v>
      </c>
    </row>
    <row r="661" spans="1:10" x14ac:dyDescent="0.25">
      <c r="A661" s="74" t="s">
        <v>11</v>
      </c>
      <c r="B661" s="55">
        <v>231</v>
      </c>
      <c r="C661" s="56">
        <v>61</v>
      </c>
      <c r="D661" s="54">
        <v>94</v>
      </c>
      <c r="E661" s="316">
        <v>106</v>
      </c>
      <c r="F661" s="311">
        <v>259</v>
      </c>
      <c r="G661" s="58">
        <v>320</v>
      </c>
      <c r="H661" s="57">
        <v>309</v>
      </c>
      <c r="I661" s="311">
        <f t="shared" ref="I661:I666" si="285">SUM(B661:H661)</f>
        <v>1380</v>
      </c>
      <c r="J661" s="317">
        <f>FLORESTA!$I661/7</f>
        <v>197.14285714285714</v>
      </c>
    </row>
    <row r="662" spans="1:10" x14ac:dyDescent="0.25">
      <c r="A662" s="10" t="s">
        <v>12</v>
      </c>
      <c r="B662" s="11">
        <v>99</v>
      </c>
      <c r="C662" s="13">
        <v>30</v>
      </c>
      <c r="D662" s="320">
        <v>35</v>
      </c>
      <c r="E662" s="11">
        <v>35</v>
      </c>
      <c r="F662" s="125">
        <v>96</v>
      </c>
      <c r="G662" s="11">
        <v>114</v>
      </c>
      <c r="H662" s="11">
        <v>93</v>
      </c>
      <c r="I662" s="313">
        <f t="shared" si="285"/>
        <v>502</v>
      </c>
      <c r="J662" s="318">
        <f>FLORESTA!$I662/7</f>
        <v>71.714285714285708</v>
      </c>
    </row>
    <row r="663" spans="1:10" x14ac:dyDescent="0.25">
      <c r="A663" s="10" t="s">
        <v>13</v>
      </c>
      <c r="B663" s="11">
        <v>3</v>
      </c>
      <c r="C663" s="13">
        <v>1</v>
      </c>
      <c r="D663" s="13">
        <v>0</v>
      </c>
      <c r="E663" s="11">
        <v>2</v>
      </c>
      <c r="F663" s="125">
        <v>3</v>
      </c>
      <c r="G663" s="11">
        <v>4</v>
      </c>
      <c r="H663" s="11">
        <v>4</v>
      </c>
      <c r="I663" s="313">
        <f t="shared" si="285"/>
        <v>17</v>
      </c>
      <c r="J663" s="318">
        <f>C663+D663+E663+F663+G663+H663+I663</f>
        <v>31</v>
      </c>
    </row>
    <row r="664" spans="1:10" x14ac:dyDescent="0.25">
      <c r="A664" s="10" t="s">
        <v>14</v>
      </c>
      <c r="B664" s="11">
        <v>98</v>
      </c>
      <c r="C664" s="13">
        <v>24</v>
      </c>
      <c r="D664" s="13">
        <v>56</v>
      </c>
      <c r="E664" s="11">
        <v>67</v>
      </c>
      <c r="F664" s="125">
        <v>125</v>
      </c>
      <c r="G664" s="11">
        <v>164</v>
      </c>
      <c r="H664" s="11">
        <v>150</v>
      </c>
      <c r="I664" s="313">
        <f t="shared" si="285"/>
        <v>684</v>
      </c>
      <c r="J664" s="318">
        <f>FLORESTA!$I664/7</f>
        <v>97.714285714285708</v>
      </c>
    </row>
    <row r="665" spans="1:10" x14ac:dyDescent="0.25">
      <c r="A665" s="10" t="s">
        <v>15</v>
      </c>
      <c r="B665" s="11">
        <v>0</v>
      </c>
      <c r="C665" s="13">
        <v>0</v>
      </c>
      <c r="D665" s="13">
        <v>0</v>
      </c>
      <c r="E665" s="11">
        <v>0</v>
      </c>
      <c r="F665" s="125">
        <v>0</v>
      </c>
      <c r="G665" s="11">
        <v>0</v>
      </c>
      <c r="H665" s="11">
        <v>0</v>
      </c>
      <c r="I665" s="313">
        <f t="shared" si="285"/>
        <v>0</v>
      </c>
      <c r="J665" s="318">
        <f>FLORESTA!$I665/7</f>
        <v>0</v>
      </c>
    </row>
    <row r="666" spans="1:10" x14ac:dyDescent="0.25">
      <c r="A666" s="10" t="s">
        <v>16</v>
      </c>
      <c r="B666" s="11">
        <v>0</v>
      </c>
      <c r="C666" s="13">
        <v>0</v>
      </c>
      <c r="D666" s="13">
        <v>0</v>
      </c>
      <c r="E666" s="11">
        <v>0</v>
      </c>
      <c r="F666" s="125">
        <v>0</v>
      </c>
      <c r="G666" s="11">
        <v>0</v>
      </c>
      <c r="H666" s="11">
        <v>0</v>
      </c>
      <c r="I666" s="313">
        <f t="shared" si="285"/>
        <v>0</v>
      </c>
      <c r="J666" s="318">
        <f>FLORESTA!$I666/7</f>
        <v>0</v>
      </c>
    </row>
    <row r="667" spans="1:10" x14ac:dyDescent="0.25">
      <c r="A667" s="15" t="s">
        <v>17</v>
      </c>
      <c r="B667" s="79">
        <f t="shared" ref="B667:I667" si="286">SUM(B662:B666)</f>
        <v>200</v>
      </c>
      <c r="C667" s="79">
        <f t="shared" si="286"/>
        <v>55</v>
      </c>
      <c r="D667" s="79">
        <f t="shared" si="286"/>
        <v>91</v>
      </c>
      <c r="E667" s="103">
        <f t="shared" si="286"/>
        <v>104</v>
      </c>
      <c r="F667" s="213">
        <f t="shared" si="286"/>
        <v>224</v>
      </c>
      <c r="G667" s="103">
        <f t="shared" si="286"/>
        <v>282</v>
      </c>
      <c r="H667" s="103">
        <f t="shared" si="286"/>
        <v>247</v>
      </c>
      <c r="I667" s="103">
        <f t="shared" si="286"/>
        <v>1203</v>
      </c>
      <c r="J667" s="319">
        <f>FLORESTA!$I667/7</f>
        <v>171.85714285714286</v>
      </c>
    </row>
    <row r="668" spans="1:10" x14ac:dyDescent="0.25">
      <c r="A668" s="10" t="s">
        <v>18</v>
      </c>
      <c r="B668" s="325">
        <v>0.55000000000000004</v>
      </c>
      <c r="C668" s="326">
        <v>0.59</v>
      </c>
      <c r="D668" s="326">
        <v>0.4</v>
      </c>
      <c r="E668" s="327">
        <v>0.39</v>
      </c>
      <c r="F668" s="328">
        <v>0.43</v>
      </c>
      <c r="G668" s="327">
        <v>0.45</v>
      </c>
      <c r="H668" s="327">
        <v>0.38</v>
      </c>
      <c r="I668" s="18">
        <f>I675/I680</f>
        <v>0.44589470626939198</v>
      </c>
      <c r="J668" s="19">
        <f>J675/J680</f>
        <v>0.44589470626939198</v>
      </c>
    </row>
    <row r="669" spans="1:10" x14ac:dyDescent="0.25">
      <c r="A669" s="10" t="s">
        <v>19</v>
      </c>
      <c r="B669" s="325">
        <v>0.01</v>
      </c>
      <c r="C669" s="326">
        <v>0.01</v>
      </c>
      <c r="D669" s="326">
        <v>0</v>
      </c>
      <c r="E669" s="327">
        <v>0.02</v>
      </c>
      <c r="F669" s="327">
        <v>0.03</v>
      </c>
      <c r="G669" s="327">
        <v>0.02</v>
      </c>
      <c r="H669" s="327">
        <v>0.02</v>
      </c>
      <c r="I669" s="18">
        <f>I676/I680</f>
        <v>1.8467336822624081E-2</v>
      </c>
      <c r="J669" s="19">
        <f>J676/J680</f>
        <v>1.8467336822624081E-2</v>
      </c>
    </row>
    <row r="670" spans="1:10" x14ac:dyDescent="0.25">
      <c r="A670" s="10" t="s">
        <v>20</v>
      </c>
      <c r="B670" s="325">
        <v>0.44</v>
      </c>
      <c r="C670" s="326">
        <v>0.4</v>
      </c>
      <c r="D670" s="326">
        <v>0.6</v>
      </c>
      <c r="E670" s="327">
        <v>0.59</v>
      </c>
      <c r="F670" s="329">
        <v>0.54</v>
      </c>
      <c r="G670" s="327">
        <v>0.53</v>
      </c>
      <c r="H670" s="327">
        <v>0.6</v>
      </c>
      <c r="I670" s="18">
        <f>I677/I680</f>
        <v>0.53563795690798399</v>
      </c>
      <c r="J670" s="19">
        <f>J677/J680</f>
        <v>0.53563795690798399</v>
      </c>
    </row>
    <row r="671" spans="1:10" x14ac:dyDescent="0.25">
      <c r="A671" s="10" t="s">
        <v>21</v>
      </c>
      <c r="B671" s="325">
        <v>0</v>
      </c>
      <c r="C671" s="326">
        <v>0</v>
      </c>
      <c r="D671" s="326">
        <v>0</v>
      </c>
      <c r="E671" s="327">
        <v>0</v>
      </c>
      <c r="F671" s="329">
        <v>0</v>
      </c>
      <c r="G671" s="327">
        <v>0</v>
      </c>
      <c r="H671" s="327">
        <v>0</v>
      </c>
      <c r="I671" s="18">
        <f>I678/I680</f>
        <v>0</v>
      </c>
      <c r="J671" s="19">
        <f>J678/J680</f>
        <v>0</v>
      </c>
    </row>
    <row r="672" spans="1:10" x14ac:dyDescent="0.25">
      <c r="A672" s="10" t="s">
        <v>22</v>
      </c>
      <c r="B672" s="325">
        <v>0</v>
      </c>
      <c r="C672" s="326">
        <v>0</v>
      </c>
      <c r="D672" s="326">
        <v>0</v>
      </c>
      <c r="E672" s="327">
        <v>0</v>
      </c>
      <c r="F672" s="329">
        <v>0</v>
      </c>
      <c r="G672" s="327">
        <v>0</v>
      </c>
      <c r="H672" s="327">
        <v>0</v>
      </c>
      <c r="I672" s="18">
        <f>I679/I680</f>
        <v>0</v>
      </c>
      <c r="J672" s="19">
        <f>J679/J680</f>
        <v>0</v>
      </c>
    </row>
    <row r="673" spans="1:10" x14ac:dyDescent="0.25">
      <c r="A673" s="24" t="s">
        <v>23</v>
      </c>
      <c r="B673" s="130">
        <f t="shared" ref="B673:J673" si="287">B684/B667</f>
        <v>35439.500000000007</v>
      </c>
      <c r="C673" s="131">
        <f t="shared" si="287"/>
        <v>32569.090909090912</v>
      </c>
      <c r="D673" s="131">
        <f t="shared" si="287"/>
        <v>29456.043956043955</v>
      </c>
      <c r="E673" s="130">
        <f t="shared" si="287"/>
        <v>32610.576923076929</v>
      </c>
      <c r="F673" s="132">
        <f t="shared" si="287"/>
        <v>34562.053571428572</v>
      </c>
      <c r="G673" s="130">
        <f t="shared" si="287"/>
        <v>36464.539007092208</v>
      </c>
      <c r="H673" s="130">
        <f t="shared" si="287"/>
        <v>36427.530364372469</v>
      </c>
      <c r="I673" s="314">
        <f t="shared" si="287"/>
        <v>34890.856192851206</v>
      </c>
      <c r="J673" s="132">
        <f t="shared" si="287"/>
        <v>34890.856192851206</v>
      </c>
    </row>
    <row r="674" spans="1:10" x14ac:dyDescent="0.25">
      <c r="A674" s="24" t="s">
        <v>24</v>
      </c>
      <c r="B674" s="130">
        <f t="shared" ref="B674:J674" si="288">B684/B661</f>
        <v>30683.549783549788</v>
      </c>
      <c r="C674" s="131">
        <f t="shared" si="288"/>
        <v>29365.573770491806</v>
      </c>
      <c r="D674" s="131">
        <f t="shared" si="288"/>
        <v>28515.957446808512</v>
      </c>
      <c r="E674" s="130">
        <f t="shared" si="288"/>
        <v>31995.283018867929</v>
      </c>
      <c r="F674" s="132">
        <f t="shared" si="288"/>
        <v>29891.505791505791</v>
      </c>
      <c r="G674" s="130">
        <f t="shared" si="288"/>
        <v>32134.375000000007</v>
      </c>
      <c r="H674" s="130">
        <f t="shared" si="288"/>
        <v>29118.446601941749</v>
      </c>
      <c r="I674" s="314">
        <f t="shared" si="288"/>
        <v>30415.72463768116</v>
      </c>
      <c r="J674" s="132">
        <f t="shared" si="288"/>
        <v>30415.72463768116</v>
      </c>
    </row>
    <row r="675" spans="1:10" x14ac:dyDescent="0.25">
      <c r="A675" s="10" t="s">
        <v>25</v>
      </c>
      <c r="B675" s="92">
        <f t="shared" ref="B675:H675" si="289">B680*B668</f>
        <v>3243302.4913793108</v>
      </c>
      <c r="C675" s="133">
        <f t="shared" si="289"/>
        <v>872948.74137931038</v>
      </c>
      <c r="D675" s="133">
        <f t="shared" si="289"/>
        <v>894140.34482758632</v>
      </c>
      <c r="E675" s="92">
        <f t="shared" si="289"/>
        <v>1110829.9396551726</v>
      </c>
      <c r="F675" s="134">
        <f t="shared" si="289"/>
        <v>2780883.8413793105</v>
      </c>
      <c r="G675" s="92">
        <f t="shared" si="289"/>
        <v>3878543.3275862075</v>
      </c>
      <c r="H675" s="92">
        <f t="shared" si="289"/>
        <v>2871331.955172414</v>
      </c>
      <c r="I675" s="92">
        <f>FLORESTA!$B675+FLORESTA!$C675+FLORESTA!$D675+FLORESTA!$E675+FLORESTA!$F675+FLORESTA!$G675+FLORESTA!$H675</f>
        <v>15651980.641379312</v>
      </c>
      <c r="J675" s="133">
        <f>FLORESTA!$I675/7</f>
        <v>2235997.2344827587</v>
      </c>
    </row>
    <row r="676" spans="1:10" x14ac:dyDescent="0.25">
      <c r="A676" s="10" t="s">
        <v>26</v>
      </c>
      <c r="B676" s="92">
        <f t="shared" ref="B676:H676" si="290">B680*B669</f>
        <v>58969.136206896561</v>
      </c>
      <c r="C676" s="133">
        <f t="shared" si="290"/>
        <v>14795.741379310348</v>
      </c>
      <c r="D676" s="133">
        <f t="shared" si="290"/>
        <v>0</v>
      </c>
      <c r="E676" s="92">
        <f t="shared" si="290"/>
        <v>56965.637931034493</v>
      </c>
      <c r="F676" s="134">
        <f t="shared" si="290"/>
        <v>194015.15172413792</v>
      </c>
      <c r="G676" s="92">
        <f t="shared" si="290"/>
        <v>172379.70344827589</v>
      </c>
      <c r="H676" s="92">
        <f t="shared" si="290"/>
        <v>151122.73448275862</v>
      </c>
      <c r="I676" s="92">
        <f>FLORESTA!$B676+FLORESTA!$C676+FLORESTA!$D676+FLORESTA!$E676+FLORESTA!$F676+FLORESTA!$G676+FLORESTA!$H676</f>
        <v>648248.10517241387</v>
      </c>
      <c r="J676" s="133">
        <f>FLORESTA!$I676/7</f>
        <v>92606.872167487702</v>
      </c>
    </row>
    <row r="677" spans="1:10" x14ac:dyDescent="0.25">
      <c r="A677" s="10" t="s">
        <v>27</v>
      </c>
      <c r="B677" s="92">
        <f t="shared" ref="B677:H677" si="291">B680*B670</f>
        <v>2594641.9931034483</v>
      </c>
      <c r="C677" s="133">
        <f t="shared" si="291"/>
        <v>591829.65517241391</v>
      </c>
      <c r="D677" s="133">
        <f t="shared" si="291"/>
        <v>1341210.5172413792</v>
      </c>
      <c r="E677" s="92">
        <f t="shared" si="291"/>
        <v>1680486.3189655175</v>
      </c>
      <c r="F677" s="134">
        <f t="shared" si="291"/>
        <v>3492272.7310344828</v>
      </c>
      <c r="G677" s="92">
        <f t="shared" si="291"/>
        <v>4568062.1413793117</v>
      </c>
      <c r="H677" s="92">
        <f t="shared" si="291"/>
        <v>4533682.0344827585</v>
      </c>
      <c r="I677" s="92">
        <f>FLORESTA!$B677+FLORESTA!$C677+FLORESTA!$D677+FLORESTA!$E677+FLORESTA!$F677+FLORESTA!$G677+FLORESTA!$H677</f>
        <v>18802185.391379312</v>
      </c>
      <c r="J677" s="133">
        <f>FLORESTA!$I677/7</f>
        <v>2686026.4844827587</v>
      </c>
    </row>
    <row r="678" spans="1:10" x14ac:dyDescent="0.25">
      <c r="A678" s="10" t="s">
        <v>28</v>
      </c>
      <c r="B678" s="92">
        <f t="shared" ref="B678:H678" si="292">B680*B671</f>
        <v>0</v>
      </c>
      <c r="C678" s="133">
        <f t="shared" si="292"/>
        <v>0</v>
      </c>
      <c r="D678" s="133">
        <f t="shared" si="292"/>
        <v>0</v>
      </c>
      <c r="E678" s="92">
        <f t="shared" si="292"/>
        <v>0</v>
      </c>
      <c r="F678" s="134">
        <f t="shared" si="292"/>
        <v>0</v>
      </c>
      <c r="G678" s="92">
        <f t="shared" si="292"/>
        <v>0</v>
      </c>
      <c r="H678" s="92">
        <f t="shared" si="292"/>
        <v>0</v>
      </c>
      <c r="I678" s="92">
        <f>FLORESTA!$B678+FLORESTA!$C678+FLORESTA!$D678+FLORESTA!$E678+FLORESTA!$F678+FLORESTA!$G678+FLORESTA!$H678</f>
        <v>0</v>
      </c>
      <c r="J678" s="133">
        <f>FLORESTA!$I678/7</f>
        <v>0</v>
      </c>
    </row>
    <row r="679" spans="1:10" x14ac:dyDescent="0.25">
      <c r="A679" s="10" t="s">
        <v>29</v>
      </c>
      <c r="B679" s="92">
        <f t="shared" ref="B679:H679" si="293">B680*B672</f>
        <v>0</v>
      </c>
      <c r="C679" s="133">
        <f t="shared" si="293"/>
        <v>0</v>
      </c>
      <c r="D679" s="133">
        <f t="shared" si="293"/>
        <v>0</v>
      </c>
      <c r="E679" s="92">
        <f t="shared" si="293"/>
        <v>0</v>
      </c>
      <c r="F679" s="134">
        <f t="shared" si="293"/>
        <v>0</v>
      </c>
      <c r="G679" s="92">
        <f t="shared" si="293"/>
        <v>0</v>
      </c>
      <c r="H679" s="92">
        <f t="shared" si="293"/>
        <v>0</v>
      </c>
      <c r="I679" s="92">
        <f>FLORESTA!$B679+FLORESTA!$C679+FLORESTA!$D679+FLORESTA!$E679+FLORESTA!$F679+FLORESTA!$G679+FLORESTA!$H679</f>
        <v>0</v>
      </c>
      <c r="J679" s="133">
        <f>FLORESTA!$I679/7</f>
        <v>0</v>
      </c>
    </row>
    <row r="680" spans="1:10" x14ac:dyDescent="0.25">
      <c r="A680" s="33" t="s">
        <v>30</v>
      </c>
      <c r="B680" s="222">
        <f>(7087900/1.16)-B681</f>
        <v>5896913.6206896557</v>
      </c>
      <c r="C680" s="222">
        <f>(1791300/1.16)-C681</f>
        <v>1479574.1379310347</v>
      </c>
      <c r="D680" s="222">
        <f>(2680500/1.16)-D681</f>
        <v>2235350.8620689656</v>
      </c>
      <c r="E680" s="222">
        <f>(3391500/1.16)-E681</f>
        <v>2848281.8965517245</v>
      </c>
      <c r="F680" s="222">
        <f>(7741900/1.16)-F681</f>
        <v>6467171.7241379311</v>
      </c>
      <c r="G680" s="222">
        <f>(10283000/1.16)-G681</f>
        <v>8618985.1724137943</v>
      </c>
      <c r="H680" s="222">
        <f>(8997600/1.16)-H681</f>
        <v>7556136.7241379311</v>
      </c>
      <c r="I680" s="91">
        <f>SUM(I675:I679)</f>
        <v>35102414.137931034</v>
      </c>
      <c r="J680" s="136">
        <f>FLORESTA!$I680/7</f>
        <v>5014630.591133005</v>
      </c>
    </row>
    <row r="681" spans="1:10" x14ac:dyDescent="0.25">
      <c r="A681" s="10" t="s">
        <v>31</v>
      </c>
      <c r="B681" s="94">
        <f t="shared" ref="B681:J681" si="294">2155*B662</f>
        <v>213345</v>
      </c>
      <c r="C681" s="139">
        <f t="shared" si="294"/>
        <v>64650</v>
      </c>
      <c r="D681" s="139">
        <f t="shared" si="294"/>
        <v>75425</v>
      </c>
      <c r="E681" s="94">
        <f t="shared" si="294"/>
        <v>75425</v>
      </c>
      <c r="F681" s="112">
        <f t="shared" si="294"/>
        <v>206880</v>
      </c>
      <c r="G681" s="94">
        <f t="shared" si="294"/>
        <v>245670</v>
      </c>
      <c r="H681" s="94">
        <f t="shared" si="294"/>
        <v>200415</v>
      </c>
      <c r="I681" s="94">
        <f t="shared" si="294"/>
        <v>1081810</v>
      </c>
      <c r="J681" s="139">
        <f t="shared" si="294"/>
        <v>154544.28571428571</v>
      </c>
    </row>
    <row r="682" spans="1:10" x14ac:dyDescent="0.25">
      <c r="A682" s="37" t="s">
        <v>32</v>
      </c>
      <c r="B682" s="39">
        <f t="shared" ref="B682:H682" si="295">B680+B681</f>
        <v>6110258.6206896557</v>
      </c>
      <c r="C682" s="40">
        <f t="shared" si="295"/>
        <v>1544224.1379310347</v>
      </c>
      <c r="D682" s="40">
        <f t="shared" si="295"/>
        <v>2310775.8620689656</v>
      </c>
      <c r="E682" s="39">
        <f t="shared" si="295"/>
        <v>2923706.8965517245</v>
      </c>
      <c r="F682" s="140">
        <f t="shared" si="295"/>
        <v>6674051.7241379311</v>
      </c>
      <c r="G682" s="39">
        <f t="shared" si="295"/>
        <v>8864655.1724137943</v>
      </c>
      <c r="H682" s="39">
        <f t="shared" si="295"/>
        <v>7756551.7241379311</v>
      </c>
      <c r="I682" s="39">
        <f>I680+I681</f>
        <v>36184224.137931034</v>
      </c>
      <c r="J682" s="40">
        <f>J680+J681</f>
        <v>5169174.8768472904</v>
      </c>
    </row>
    <row r="683" spans="1:10" x14ac:dyDescent="0.25">
      <c r="A683" s="10" t="s">
        <v>33</v>
      </c>
      <c r="B683" s="41">
        <f t="shared" ref="B683:H683" si="296">B682*16%</f>
        <v>977641.37931034493</v>
      </c>
      <c r="C683" s="42">
        <f t="shared" si="296"/>
        <v>247075.86206896557</v>
      </c>
      <c r="D683" s="42">
        <f t="shared" si="296"/>
        <v>369724.13793103449</v>
      </c>
      <c r="E683" s="41">
        <f t="shared" si="296"/>
        <v>467793.10344827594</v>
      </c>
      <c r="F683" s="141">
        <f t="shared" si="296"/>
        <v>1067848.2758620691</v>
      </c>
      <c r="G683" s="41">
        <f t="shared" si="296"/>
        <v>1418344.8275862071</v>
      </c>
      <c r="H683" s="41">
        <f t="shared" si="296"/>
        <v>1241048.2758620691</v>
      </c>
      <c r="I683" s="41">
        <f>I682*16%</f>
        <v>5789475.8620689651</v>
      </c>
      <c r="J683" s="42">
        <f>J682*16%</f>
        <v>827067.98029556649</v>
      </c>
    </row>
    <row r="684" spans="1:10" x14ac:dyDescent="0.25">
      <c r="A684" s="43" t="s">
        <v>34</v>
      </c>
      <c r="B684" s="315">
        <f t="shared" ref="B684:H684" si="297">B682+B683</f>
        <v>7087900.0000000009</v>
      </c>
      <c r="C684" s="315">
        <f t="shared" si="297"/>
        <v>1791300.0000000002</v>
      </c>
      <c r="D684" s="315">
        <f t="shared" si="297"/>
        <v>2680500</v>
      </c>
      <c r="E684" s="178">
        <f t="shared" si="297"/>
        <v>3391500.0000000005</v>
      </c>
      <c r="F684" s="182">
        <f t="shared" si="297"/>
        <v>7741900</v>
      </c>
      <c r="G684" s="178">
        <f t="shared" si="297"/>
        <v>10283000.000000002</v>
      </c>
      <c r="H684" s="178">
        <f t="shared" si="297"/>
        <v>8997600</v>
      </c>
      <c r="I684" s="178">
        <f>I682+I683</f>
        <v>41973700</v>
      </c>
      <c r="J684" s="315">
        <f>FLORESTA!$I684/7</f>
        <v>5996242.8571428573</v>
      </c>
    </row>
    <row r="687" spans="1:10" ht="12.75" customHeight="1" x14ac:dyDescent="0.25">
      <c r="A687" s="149"/>
      <c r="B687" s="1006" t="s">
        <v>365</v>
      </c>
      <c r="C687" s="1006"/>
      <c r="D687" s="1006"/>
      <c r="E687" s="1006"/>
      <c r="F687" s="1006"/>
      <c r="G687" s="1006"/>
      <c r="H687" s="1006"/>
      <c r="I687" s="1006"/>
    </row>
    <row r="688" spans="1:10" x14ac:dyDescent="0.25">
      <c r="A688" s="149"/>
      <c r="B688" s="1006"/>
      <c r="C688" s="1006"/>
      <c r="D688" s="1006"/>
      <c r="E688" s="1006"/>
      <c r="F688" s="1006"/>
      <c r="G688" s="1006"/>
      <c r="H688" s="1006"/>
      <c r="I688" s="1006"/>
    </row>
    <row r="689" spans="1:10" ht="15.75" x14ac:dyDescent="0.25">
      <c r="A689" s="72" t="s">
        <v>2</v>
      </c>
      <c r="B689" s="121" t="s">
        <v>241</v>
      </c>
      <c r="C689" s="121" t="s">
        <v>255</v>
      </c>
      <c r="D689" s="121" t="s">
        <v>256</v>
      </c>
      <c r="E689" s="121" t="s">
        <v>257</v>
      </c>
      <c r="F689" s="121" t="s">
        <v>258</v>
      </c>
      <c r="G689" s="121" t="s">
        <v>259</v>
      </c>
      <c r="H689" s="121" t="s">
        <v>260</v>
      </c>
      <c r="I689" s="51" t="s">
        <v>10</v>
      </c>
      <c r="J689" s="51" t="s">
        <v>77</v>
      </c>
    </row>
    <row r="690" spans="1:10" x14ac:dyDescent="0.25">
      <c r="A690" s="74" t="s">
        <v>11</v>
      </c>
      <c r="B690" s="55">
        <v>95</v>
      </c>
      <c r="C690" s="56">
        <v>65</v>
      </c>
      <c r="D690" s="54">
        <v>58</v>
      </c>
      <c r="E690" s="316">
        <v>136</v>
      </c>
      <c r="F690" s="311">
        <v>287</v>
      </c>
      <c r="G690" s="58">
        <v>340</v>
      </c>
      <c r="H690" s="57">
        <v>309</v>
      </c>
      <c r="I690" s="311">
        <f t="shared" ref="I690:I695" si="298">SUM(B690:H690)</f>
        <v>1290</v>
      </c>
      <c r="J690" s="317">
        <f>FLORESTA!$I690/7</f>
        <v>184.28571428571428</v>
      </c>
    </row>
    <row r="691" spans="1:10" x14ac:dyDescent="0.25">
      <c r="A691" s="10" t="s">
        <v>12</v>
      </c>
      <c r="B691" s="11">
        <v>21</v>
      </c>
      <c r="C691" s="13">
        <v>20</v>
      </c>
      <c r="D691" s="320">
        <v>25</v>
      </c>
      <c r="E691" s="11">
        <v>52</v>
      </c>
      <c r="F691" s="125">
        <v>94</v>
      </c>
      <c r="G691" s="11">
        <v>108</v>
      </c>
      <c r="H691" s="11">
        <v>96</v>
      </c>
      <c r="I691" s="313">
        <f t="shared" si="298"/>
        <v>416</v>
      </c>
      <c r="J691" s="318">
        <f>FLORESTA!$I691/7</f>
        <v>59.428571428571431</v>
      </c>
    </row>
    <row r="692" spans="1:10" x14ac:dyDescent="0.25">
      <c r="A692" s="10" t="s">
        <v>13</v>
      </c>
      <c r="B692" s="11">
        <v>1</v>
      </c>
      <c r="C692" s="13">
        <v>0</v>
      </c>
      <c r="D692" s="13">
        <v>0</v>
      </c>
      <c r="E692" s="11">
        <v>3</v>
      </c>
      <c r="F692" s="125">
        <v>3</v>
      </c>
      <c r="G692" s="11">
        <v>3</v>
      </c>
      <c r="H692" s="11">
        <v>5</v>
      </c>
      <c r="I692" s="313">
        <f t="shared" si="298"/>
        <v>15</v>
      </c>
      <c r="J692" s="318">
        <f>C692+D692+E692+F692+G692+H692+I692</f>
        <v>29</v>
      </c>
    </row>
    <row r="693" spans="1:10" x14ac:dyDescent="0.25">
      <c r="A693" s="10" t="s">
        <v>14</v>
      </c>
      <c r="B693" s="11">
        <v>53</v>
      </c>
      <c r="C693" s="13">
        <v>42</v>
      </c>
      <c r="D693" s="13">
        <v>38</v>
      </c>
      <c r="E693" s="11">
        <v>52</v>
      </c>
      <c r="F693" s="125">
        <v>134</v>
      </c>
      <c r="G693" s="11">
        <v>138</v>
      </c>
      <c r="H693" s="11">
        <v>138</v>
      </c>
      <c r="I693" s="313">
        <f t="shared" si="298"/>
        <v>595</v>
      </c>
      <c r="J693" s="318">
        <f>FLORESTA!$I693/7</f>
        <v>85</v>
      </c>
    </row>
    <row r="694" spans="1:10" x14ac:dyDescent="0.25">
      <c r="A694" s="10" t="s">
        <v>15</v>
      </c>
      <c r="B694" s="11">
        <v>4</v>
      </c>
      <c r="C694" s="13">
        <v>0</v>
      </c>
      <c r="D694" s="13">
        <v>0</v>
      </c>
      <c r="E694" s="11">
        <v>7</v>
      </c>
      <c r="F694" s="125">
        <v>4</v>
      </c>
      <c r="G694" s="11">
        <v>24</v>
      </c>
      <c r="H694" s="11">
        <v>15</v>
      </c>
      <c r="I694" s="313">
        <f t="shared" si="298"/>
        <v>54</v>
      </c>
      <c r="J694" s="318">
        <f>FLORESTA!$I694/7</f>
        <v>7.7142857142857144</v>
      </c>
    </row>
    <row r="695" spans="1:10" x14ac:dyDescent="0.25">
      <c r="A695" s="10" t="s">
        <v>16</v>
      </c>
      <c r="B695" s="11">
        <v>0</v>
      </c>
      <c r="C695" s="13">
        <v>0</v>
      </c>
      <c r="D695" s="13">
        <v>0</v>
      </c>
      <c r="E695" s="11">
        <v>0</v>
      </c>
      <c r="F695" s="125">
        <v>0</v>
      </c>
      <c r="G695" s="11">
        <v>0</v>
      </c>
      <c r="H695" s="11">
        <v>0</v>
      </c>
      <c r="I695" s="313">
        <f t="shared" si="298"/>
        <v>0</v>
      </c>
      <c r="J695" s="318">
        <f>FLORESTA!$I695/7</f>
        <v>0</v>
      </c>
    </row>
    <row r="696" spans="1:10" x14ac:dyDescent="0.25">
      <c r="A696" s="15" t="s">
        <v>17</v>
      </c>
      <c r="B696" s="79">
        <f t="shared" ref="B696:I696" si="299">SUM(B691:B695)</f>
        <v>79</v>
      </c>
      <c r="C696" s="79">
        <f t="shared" si="299"/>
        <v>62</v>
      </c>
      <c r="D696" s="79">
        <f t="shared" si="299"/>
        <v>63</v>
      </c>
      <c r="E696" s="103">
        <f t="shared" si="299"/>
        <v>114</v>
      </c>
      <c r="F696" s="213">
        <f t="shared" si="299"/>
        <v>235</v>
      </c>
      <c r="G696" s="103">
        <f t="shared" si="299"/>
        <v>273</v>
      </c>
      <c r="H696" s="103">
        <f t="shared" si="299"/>
        <v>254</v>
      </c>
      <c r="I696" s="103">
        <f t="shared" si="299"/>
        <v>1080</v>
      </c>
      <c r="J696" s="319">
        <f>FLORESTA!$I696/7</f>
        <v>154.28571428571428</v>
      </c>
    </row>
    <row r="697" spans="1:10" x14ac:dyDescent="0.25">
      <c r="A697" s="10" t="s">
        <v>18</v>
      </c>
      <c r="B697" s="325">
        <v>0.25</v>
      </c>
      <c r="C697" s="326">
        <v>0.28000000000000003</v>
      </c>
      <c r="D697" s="326">
        <v>0.3</v>
      </c>
      <c r="E697" s="327">
        <v>0.47</v>
      </c>
      <c r="F697" s="328">
        <v>0.4</v>
      </c>
      <c r="G697" s="327">
        <v>0.38</v>
      </c>
      <c r="H697" s="327">
        <v>0.37</v>
      </c>
      <c r="I697" s="18">
        <f>I704/I709</f>
        <v>0.37352686272076374</v>
      </c>
      <c r="J697" s="19">
        <f>J704/J709</f>
        <v>0.3735268627207638</v>
      </c>
    </row>
    <row r="698" spans="1:10" x14ac:dyDescent="0.25">
      <c r="A698" s="10" t="s">
        <v>19</v>
      </c>
      <c r="B698" s="325">
        <v>0.01</v>
      </c>
      <c r="C698" s="326">
        <v>0</v>
      </c>
      <c r="D698" s="326">
        <v>0</v>
      </c>
      <c r="E698" s="327">
        <v>0.01</v>
      </c>
      <c r="F698" s="327">
        <v>0.01</v>
      </c>
      <c r="G698" s="327">
        <v>0.02</v>
      </c>
      <c r="H698" s="327">
        <v>0.02</v>
      </c>
      <c r="I698" s="18">
        <f>I705/I709</f>
        <v>1.4066545621086812E-2</v>
      </c>
      <c r="J698" s="19">
        <f>J705/J709</f>
        <v>1.4066545621086812E-2</v>
      </c>
    </row>
    <row r="699" spans="1:10" x14ac:dyDescent="0.25">
      <c r="A699" s="10" t="s">
        <v>20</v>
      </c>
      <c r="B699" s="325">
        <v>0.67</v>
      </c>
      <c r="C699" s="326">
        <v>0.72</v>
      </c>
      <c r="D699" s="326">
        <v>0.7</v>
      </c>
      <c r="E699" s="327">
        <v>0.46</v>
      </c>
      <c r="F699" s="329">
        <v>0.57999999999999996</v>
      </c>
      <c r="G699" s="327">
        <v>0.52</v>
      </c>
      <c r="H699" s="327">
        <v>0.56000000000000005</v>
      </c>
      <c r="I699" s="18">
        <f>I706/I709</f>
        <v>0.56587876182815267</v>
      </c>
      <c r="J699" s="19">
        <f>J706/J709</f>
        <v>0.56587876182815278</v>
      </c>
    </row>
    <row r="700" spans="1:10" x14ac:dyDescent="0.25">
      <c r="A700" s="10" t="s">
        <v>21</v>
      </c>
      <c r="B700" s="325">
        <v>7.0000000000000007E-2</v>
      </c>
      <c r="C700" s="326">
        <v>0</v>
      </c>
      <c r="D700" s="326">
        <v>0</v>
      </c>
      <c r="E700" s="327">
        <v>0.06</v>
      </c>
      <c r="F700" s="329">
        <v>0.01</v>
      </c>
      <c r="G700" s="327">
        <v>0.08</v>
      </c>
      <c r="H700" s="327">
        <v>0.05</v>
      </c>
      <c r="I700" s="18">
        <f>I707/I709</f>
        <v>4.6527829829996821E-2</v>
      </c>
      <c r="J700" s="19">
        <f>J707/J709</f>
        <v>4.6527829829996828E-2</v>
      </c>
    </row>
    <row r="701" spans="1:10" x14ac:dyDescent="0.25">
      <c r="A701" s="10" t="s">
        <v>22</v>
      </c>
      <c r="B701" s="325">
        <v>0</v>
      </c>
      <c r="C701" s="326">
        <v>0</v>
      </c>
      <c r="D701" s="326">
        <v>0</v>
      </c>
      <c r="E701" s="327">
        <v>0</v>
      </c>
      <c r="F701" s="329">
        <v>0</v>
      </c>
      <c r="G701" s="327">
        <v>0</v>
      </c>
      <c r="H701" s="327">
        <v>0</v>
      </c>
      <c r="I701" s="18">
        <f>I708/I709</f>
        <v>0</v>
      </c>
      <c r="J701" s="19">
        <f>J708/J709</f>
        <v>0</v>
      </c>
    </row>
    <row r="702" spans="1:10" x14ac:dyDescent="0.25">
      <c r="A702" s="24" t="s">
        <v>23</v>
      </c>
      <c r="B702" s="130">
        <f t="shared" ref="B702:J702" si="300">B713/B696</f>
        <v>32306.329113924057</v>
      </c>
      <c r="C702" s="131">
        <f t="shared" si="300"/>
        <v>30687.096774193549</v>
      </c>
      <c r="D702" s="131">
        <f t="shared" si="300"/>
        <v>28950.793650793654</v>
      </c>
      <c r="E702" s="130">
        <f t="shared" si="300"/>
        <v>34429.824561403511</v>
      </c>
      <c r="F702" s="132">
        <f t="shared" si="300"/>
        <v>35381.702127659577</v>
      </c>
      <c r="G702" s="130">
        <f t="shared" si="300"/>
        <v>36340.659340659346</v>
      </c>
      <c r="H702" s="130">
        <f t="shared" si="300"/>
        <v>35466.141732283468</v>
      </c>
      <c r="I702" s="314">
        <f t="shared" si="300"/>
        <v>34673.888888888891</v>
      </c>
      <c r="J702" s="132">
        <f t="shared" si="300"/>
        <v>34673.888888888891</v>
      </c>
    </row>
    <row r="703" spans="1:10" x14ac:dyDescent="0.25">
      <c r="A703" s="24" t="s">
        <v>24</v>
      </c>
      <c r="B703" s="130">
        <f t="shared" ref="B703:J703" si="301">B713/B690</f>
        <v>26865.26315789474</v>
      </c>
      <c r="C703" s="131">
        <f t="shared" si="301"/>
        <v>29270.76923076923</v>
      </c>
      <c r="D703" s="131">
        <f t="shared" si="301"/>
        <v>31446.551724137935</v>
      </c>
      <c r="E703" s="130">
        <f t="shared" si="301"/>
        <v>28860.294117647059</v>
      </c>
      <c r="F703" s="132">
        <f t="shared" si="301"/>
        <v>28971.080139372825</v>
      </c>
      <c r="G703" s="130">
        <f t="shared" si="301"/>
        <v>29179.411764705888</v>
      </c>
      <c r="H703" s="130">
        <f t="shared" si="301"/>
        <v>29153.398058252427</v>
      </c>
      <c r="I703" s="314">
        <f t="shared" si="301"/>
        <v>29029.302325581397</v>
      </c>
      <c r="J703" s="132">
        <f t="shared" si="301"/>
        <v>29029.302325581397</v>
      </c>
    </row>
    <row r="704" spans="1:10" x14ac:dyDescent="0.25">
      <c r="A704" s="10" t="s">
        <v>25</v>
      </c>
      <c r="B704" s="92">
        <f t="shared" ref="B704:H704" si="302">B709*B697</f>
        <v>538729.35344827594</v>
      </c>
      <c r="C704" s="133">
        <f t="shared" si="302"/>
        <v>447180.27586206904</v>
      </c>
      <c r="D704" s="133">
        <f t="shared" si="302"/>
        <v>455535.77586206899</v>
      </c>
      <c r="E704" s="92">
        <f t="shared" si="302"/>
        <v>1537633.5241379309</v>
      </c>
      <c r="F704" s="134">
        <f t="shared" si="302"/>
        <v>2786109.931034483</v>
      </c>
      <c r="G704" s="92">
        <f t="shared" si="302"/>
        <v>3161541.5586206899</v>
      </c>
      <c r="H704" s="92">
        <f t="shared" si="302"/>
        <v>2796823.3655172414</v>
      </c>
      <c r="I704" s="92">
        <f>FLORESTA!$B704+FLORESTA!$C704+FLORESTA!$D704+FLORESTA!$E704+FLORESTA!$F704+FLORESTA!$G704+FLORESTA!$H704</f>
        <v>11723553.78448276</v>
      </c>
      <c r="J704" s="133">
        <f>FLORESTA!$I704/7</f>
        <v>1674793.3977832515</v>
      </c>
    </row>
    <row r="705" spans="1:10" x14ac:dyDescent="0.25">
      <c r="A705" s="10" t="s">
        <v>26</v>
      </c>
      <c r="B705" s="92">
        <f t="shared" ref="B705:H705" si="303">B709*B698</f>
        <v>21549.174137931037</v>
      </c>
      <c r="C705" s="133">
        <f t="shared" si="303"/>
        <v>0</v>
      </c>
      <c r="D705" s="133">
        <f t="shared" si="303"/>
        <v>0</v>
      </c>
      <c r="E705" s="92">
        <f t="shared" si="303"/>
        <v>32715.606896551726</v>
      </c>
      <c r="F705" s="134">
        <f t="shared" si="303"/>
        <v>69652.748275862075</v>
      </c>
      <c r="G705" s="92">
        <f t="shared" si="303"/>
        <v>166396.92413793106</v>
      </c>
      <c r="H705" s="92">
        <f t="shared" si="303"/>
        <v>151179.64137931037</v>
      </c>
      <c r="I705" s="92">
        <f>FLORESTA!$B705+FLORESTA!$C705+FLORESTA!$D705+FLORESTA!$E705+FLORESTA!$F705+FLORESTA!$G705+FLORESTA!$H705</f>
        <v>441494.09482758632</v>
      </c>
      <c r="J705" s="133">
        <f>FLORESTA!$I705/7</f>
        <v>63070.584975369471</v>
      </c>
    </row>
    <row r="706" spans="1:10" x14ac:dyDescent="0.25">
      <c r="A706" s="10" t="s">
        <v>27</v>
      </c>
      <c r="B706" s="92">
        <f t="shared" ref="B706:H706" si="304">B709*B699</f>
        <v>1443794.6672413796</v>
      </c>
      <c r="C706" s="133">
        <f t="shared" si="304"/>
        <v>1149892.1379310344</v>
      </c>
      <c r="D706" s="133">
        <f t="shared" si="304"/>
        <v>1062916.8103448276</v>
      </c>
      <c r="E706" s="92">
        <f t="shared" si="304"/>
        <v>1504917.9172413794</v>
      </c>
      <c r="F706" s="134">
        <f t="shared" si="304"/>
        <v>4039859.4</v>
      </c>
      <c r="G706" s="92">
        <f t="shared" si="304"/>
        <v>4326320.0275862077</v>
      </c>
      <c r="H706" s="92">
        <f t="shared" si="304"/>
        <v>4233029.9586206907</v>
      </c>
      <c r="I706" s="92">
        <f>FLORESTA!$B706+FLORESTA!$C706+FLORESTA!$D706+FLORESTA!$E706+FLORESTA!$F706+FLORESTA!$G706+FLORESTA!$H706</f>
        <v>17760730.918965518</v>
      </c>
      <c r="J706" s="133">
        <f>FLORESTA!$I706/7</f>
        <v>2537247.2741379314</v>
      </c>
    </row>
    <row r="707" spans="1:10" x14ac:dyDescent="0.25">
      <c r="A707" s="10" t="s">
        <v>28</v>
      </c>
      <c r="B707" s="92">
        <f t="shared" ref="B707:H707" si="305">B709*B700</f>
        <v>150844.21896551727</v>
      </c>
      <c r="C707" s="133">
        <f t="shared" si="305"/>
        <v>0</v>
      </c>
      <c r="D707" s="133">
        <f t="shared" si="305"/>
        <v>0</v>
      </c>
      <c r="E707" s="92">
        <f t="shared" si="305"/>
        <v>196293.64137931034</v>
      </c>
      <c r="F707" s="134">
        <f t="shared" si="305"/>
        <v>69652.748275862075</v>
      </c>
      <c r="G707" s="92">
        <f t="shared" si="305"/>
        <v>665587.69655172422</v>
      </c>
      <c r="H707" s="92">
        <f t="shared" si="305"/>
        <v>377949.10344827594</v>
      </c>
      <c r="I707" s="92">
        <f>FLORESTA!$B707+FLORESTA!$C707+FLORESTA!$D707+FLORESTA!$E707+FLORESTA!$F707+FLORESTA!$G707+FLORESTA!$H707</f>
        <v>1460327.40862069</v>
      </c>
      <c r="J707" s="133">
        <f>FLORESTA!$I707/7</f>
        <v>208618.20123152714</v>
      </c>
    </row>
    <row r="708" spans="1:10" x14ac:dyDescent="0.25">
      <c r="A708" s="10" t="s">
        <v>29</v>
      </c>
      <c r="B708" s="92">
        <f t="shared" ref="B708:H708" si="306">B709*B701</f>
        <v>0</v>
      </c>
      <c r="C708" s="133">
        <f t="shared" si="306"/>
        <v>0</v>
      </c>
      <c r="D708" s="133">
        <f t="shared" si="306"/>
        <v>0</v>
      </c>
      <c r="E708" s="92">
        <f t="shared" si="306"/>
        <v>0</v>
      </c>
      <c r="F708" s="134">
        <f t="shared" si="306"/>
        <v>0</v>
      </c>
      <c r="G708" s="92">
        <f t="shared" si="306"/>
        <v>0</v>
      </c>
      <c r="H708" s="92">
        <f t="shared" si="306"/>
        <v>0</v>
      </c>
      <c r="I708" s="92">
        <f>FLORESTA!$B708+FLORESTA!$C708+FLORESTA!$D708+FLORESTA!$E708+FLORESTA!$F708+FLORESTA!$G708+FLORESTA!$H708</f>
        <v>0</v>
      </c>
      <c r="J708" s="133">
        <f>FLORESTA!$I708/7</f>
        <v>0</v>
      </c>
    </row>
    <row r="709" spans="1:10" x14ac:dyDescent="0.25">
      <c r="A709" s="33" t="s">
        <v>30</v>
      </c>
      <c r="B709" s="222">
        <f>(2552200/1.16)-B710</f>
        <v>2154917.4137931038</v>
      </c>
      <c r="C709" s="222">
        <f>(1902600/1.16)-C710</f>
        <v>1597072.4137931035</v>
      </c>
      <c r="D709" s="222">
        <f>(1823900/1.16)-D710</f>
        <v>1518452.5862068967</v>
      </c>
      <c r="E709" s="222">
        <f>(3925000/1.16)-E710</f>
        <v>3271560.6896551726</v>
      </c>
      <c r="F709" s="222">
        <f>(8314700/1.16)-F710</f>
        <v>6965274.8275862075</v>
      </c>
      <c r="G709" s="222">
        <f>(9921000/1.16)-G710</f>
        <v>8319846.2068965528</v>
      </c>
      <c r="H709" s="222">
        <f>(9008400/1.16)-H710</f>
        <v>7558982.0689655179</v>
      </c>
      <c r="I709" s="91">
        <f>SUM(I704:I708)</f>
        <v>31386106.206896555</v>
      </c>
      <c r="J709" s="136">
        <f>FLORESTA!$I709/7</f>
        <v>4483729.4581280788</v>
      </c>
    </row>
    <row r="710" spans="1:10" x14ac:dyDescent="0.25">
      <c r="A710" s="10" t="s">
        <v>31</v>
      </c>
      <c r="B710" s="94">
        <f t="shared" ref="B710:J710" si="307">2155*B691</f>
        <v>45255</v>
      </c>
      <c r="C710" s="139">
        <f t="shared" si="307"/>
        <v>43100</v>
      </c>
      <c r="D710" s="139">
        <f t="shared" si="307"/>
        <v>53875</v>
      </c>
      <c r="E710" s="94">
        <f t="shared" si="307"/>
        <v>112060</v>
      </c>
      <c r="F710" s="112">
        <f t="shared" si="307"/>
        <v>202570</v>
      </c>
      <c r="G710" s="94">
        <f t="shared" si="307"/>
        <v>232740</v>
      </c>
      <c r="H710" s="94">
        <f t="shared" si="307"/>
        <v>206880</v>
      </c>
      <c r="I710" s="94">
        <f t="shared" si="307"/>
        <v>896480</v>
      </c>
      <c r="J710" s="139">
        <f t="shared" si="307"/>
        <v>128068.57142857143</v>
      </c>
    </row>
    <row r="711" spans="1:10" x14ac:dyDescent="0.25">
      <c r="A711" s="37" t="s">
        <v>32</v>
      </c>
      <c r="B711" s="39">
        <f t="shared" ref="B711:H711" si="308">B709+B710</f>
        <v>2200172.4137931038</v>
      </c>
      <c r="C711" s="40">
        <f t="shared" si="308"/>
        <v>1640172.4137931035</v>
      </c>
      <c r="D711" s="40">
        <f t="shared" si="308"/>
        <v>1572327.5862068967</v>
      </c>
      <c r="E711" s="39">
        <f t="shared" si="308"/>
        <v>3383620.6896551726</v>
      </c>
      <c r="F711" s="140">
        <f t="shared" si="308"/>
        <v>7167844.8275862075</v>
      </c>
      <c r="G711" s="39">
        <f t="shared" si="308"/>
        <v>8552586.2068965528</v>
      </c>
      <c r="H711" s="39">
        <f t="shared" si="308"/>
        <v>7765862.0689655179</v>
      </c>
      <c r="I711" s="39">
        <f>I709+I710</f>
        <v>32282586.206896555</v>
      </c>
      <c r="J711" s="40">
        <f>J709+J710</f>
        <v>4611798.0295566507</v>
      </c>
    </row>
    <row r="712" spans="1:10" x14ac:dyDescent="0.25">
      <c r="A712" s="10" t="s">
        <v>33</v>
      </c>
      <c r="B712" s="41">
        <f t="shared" ref="B712:H712" si="309">B711*16%</f>
        <v>352027.58620689664</v>
      </c>
      <c r="C712" s="42">
        <f t="shared" si="309"/>
        <v>262427.58620689658</v>
      </c>
      <c r="D712" s="42">
        <f t="shared" si="309"/>
        <v>251572.41379310348</v>
      </c>
      <c r="E712" s="41">
        <f t="shared" si="309"/>
        <v>541379.31034482759</v>
      </c>
      <c r="F712" s="141">
        <f t="shared" si="309"/>
        <v>1146855.1724137932</v>
      </c>
      <c r="G712" s="41">
        <f t="shared" si="309"/>
        <v>1368413.7931034486</v>
      </c>
      <c r="H712" s="41">
        <f t="shared" si="309"/>
        <v>1242537.9310344828</v>
      </c>
      <c r="I712" s="41">
        <f>I711*16%</f>
        <v>5165213.793103449</v>
      </c>
      <c r="J712" s="42">
        <f>J711*16%</f>
        <v>737887.68472906412</v>
      </c>
    </row>
    <row r="713" spans="1:10" x14ac:dyDescent="0.25">
      <c r="A713" s="43" t="s">
        <v>34</v>
      </c>
      <c r="B713" s="315">
        <f t="shared" ref="B713:H713" si="310">B711+B712</f>
        <v>2552200.0000000005</v>
      </c>
      <c r="C713" s="315">
        <f t="shared" si="310"/>
        <v>1902600</v>
      </c>
      <c r="D713" s="315">
        <f t="shared" si="310"/>
        <v>1823900.0000000002</v>
      </c>
      <c r="E713" s="178">
        <f t="shared" si="310"/>
        <v>3925000</v>
      </c>
      <c r="F713" s="182">
        <f t="shared" si="310"/>
        <v>8314700.0000000009</v>
      </c>
      <c r="G713" s="178">
        <f t="shared" si="310"/>
        <v>9921000.0000000019</v>
      </c>
      <c r="H713" s="178">
        <f t="shared" si="310"/>
        <v>9008400</v>
      </c>
      <c r="I713" s="178">
        <f>I711+I712</f>
        <v>37447800</v>
      </c>
      <c r="J713" s="315">
        <f>FLORESTA!$I713/7</f>
        <v>5349685.7142857146</v>
      </c>
    </row>
    <row r="715" spans="1:10" ht="12.75" customHeight="1" x14ac:dyDescent="0.25">
      <c r="A715" s="149"/>
      <c r="B715" s="1006" t="s">
        <v>366</v>
      </c>
      <c r="C715" s="1006"/>
      <c r="D715" s="1006"/>
      <c r="E715" s="1006"/>
      <c r="F715" s="1006"/>
      <c r="G715" s="1006"/>
      <c r="H715" s="1006"/>
      <c r="I715" s="1006"/>
    </row>
    <row r="716" spans="1:10" x14ac:dyDescent="0.25">
      <c r="A716" s="149"/>
      <c r="B716" s="1006"/>
      <c r="C716" s="1006"/>
      <c r="D716" s="1006"/>
      <c r="E716" s="1006"/>
      <c r="F716" s="1006"/>
      <c r="G716" s="1006"/>
      <c r="H716" s="1006"/>
      <c r="I716" s="1006"/>
    </row>
    <row r="717" spans="1:10" ht="15.75" x14ac:dyDescent="0.25">
      <c r="A717" s="72" t="s">
        <v>2</v>
      </c>
      <c r="B717" s="121" t="s">
        <v>262</v>
      </c>
      <c r="C717" s="121" t="s">
        <v>263</v>
      </c>
      <c r="D717" s="121" t="s">
        <v>264</v>
      </c>
      <c r="E717" s="121" t="s">
        <v>265</v>
      </c>
      <c r="F717" s="121" t="s">
        <v>266</v>
      </c>
      <c r="G717" s="121" t="s">
        <v>267</v>
      </c>
      <c r="H717" s="121" t="s">
        <v>105</v>
      </c>
      <c r="I717" s="51" t="s">
        <v>10</v>
      </c>
      <c r="J717" s="51" t="s">
        <v>77</v>
      </c>
    </row>
    <row r="718" spans="1:10" x14ac:dyDescent="0.25">
      <c r="A718" s="74" t="s">
        <v>11</v>
      </c>
      <c r="B718" s="55">
        <v>100</v>
      </c>
      <c r="C718" s="56">
        <v>89</v>
      </c>
      <c r="D718" s="54">
        <v>105</v>
      </c>
      <c r="E718" s="316">
        <v>95</v>
      </c>
      <c r="F718" s="311">
        <v>256</v>
      </c>
      <c r="G718" s="58">
        <v>373</v>
      </c>
      <c r="H718" s="57">
        <v>261</v>
      </c>
      <c r="I718" s="311">
        <f t="shared" ref="I718:I723" si="311">SUM(B718:H718)</f>
        <v>1279</v>
      </c>
      <c r="J718" s="317">
        <f>FLORESTA!$I718/7</f>
        <v>182.71428571428572</v>
      </c>
    </row>
    <row r="719" spans="1:10" x14ac:dyDescent="0.25">
      <c r="A719" s="10" t="s">
        <v>12</v>
      </c>
      <c r="B719" s="11">
        <v>30</v>
      </c>
      <c r="C719" s="13">
        <v>30</v>
      </c>
      <c r="D719" s="320">
        <v>39</v>
      </c>
      <c r="E719" s="11">
        <v>28</v>
      </c>
      <c r="F719" s="125">
        <v>96</v>
      </c>
      <c r="G719" s="11">
        <v>106</v>
      </c>
      <c r="H719" s="11">
        <v>77</v>
      </c>
      <c r="I719" s="313">
        <f t="shared" si="311"/>
        <v>406</v>
      </c>
      <c r="J719" s="318">
        <f>FLORESTA!$I719/7</f>
        <v>58</v>
      </c>
    </row>
    <row r="720" spans="1:10" x14ac:dyDescent="0.25">
      <c r="A720" s="10" t="s">
        <v>13</v>
      </c>
      <c r="B720" s="11">
        <v>2</v>
      </c>
      <c r="C720" s="13">
        <v>0</v>
      </c>
      <c r="D720" s="13">
        <v>3</v>
      </c>
      <c r="E720" s="11">
        <v>0</v>
      </c>
      <c r="F720" s="125">
        <v>3</v>
      </c>
      <c r="G720" s="11">
        <v>3</v>
      </c>
      <c r="H720" s="11">
        <v>6</v>
      </c>
      <c r="I720" s="313">
        <f t="shared" si="311"/>
        <v>17</v>
      </c>
      <c r="J720" s="318">
        <f>C720+D720+E720+F720+G720+H720+I720</f>
        <v>32</v>
      </c>
    </row>
    <row r="721" spans="1:10" x14ac:dyDescent="0.25">
      <c r="A721" s="10" t="s">
        <v>14</v>
      </c>
      <c r="B721" s="11">
        <v>59</v>
      </c>
      <c r="C721" s="13">
        <v>40</v>
      </c>
      <c r="D721" s="13">
        <v>39</v>
      </c>
      <c r="E721" s="11">
        <v>55</v>
      </c>
      <c r="F721" s="125">
        <v>116</v>
      </c>
      <c r="G721" s="11">
        <v>181</v>
      </c>
      <c r="H721" s="11">
        <v>100</v>
      </c>
      <c r="I721" s="313">
        <f t="shared" si="311"/>
        <v>590</v>
      </c>
      <c r="J721" s="318">
        <f>FLORESTA!$I721/7</f>
        <v>84.285714285714292</v>
      </c>
    </row>
    <row r="722" spans="1:10" x14ac:dyDescent="0.25">
      <c r="A722" s="10" t="s">
        <v>15</v>
      </c>
      <c r="B722" s="11">
        <v>0</v>
      </c>
      <c r="C722" s="13">
        <v>1</v>
      </c>
      <c r="D722" s="13">
        <v>8</v>
      </c>
      <c r="E722" s="11">
        <v>4</v>
      </c>
      <c r="F722" s="125">
        <v>2</v>
      </c>
      <c r="G722" s="11">
        <v>12</v>
      </c>
      <c r="H722" s="11">
        <v>14</v>
      </c>
      <c r="I722" s="313">
        <f t="shared" si="311"/>
        <v>41</v>
      </c>
      <c r="J722" s="318">
        <f>FLORESTA!$I722/7</f>
        <v>5.8571428571428568</v>
      </c>
    </row>
    <row r="723" spans="1:10" x14ac:dyDescent="0.25">
      <c r="A723" s="10" t="s">
        <v>16</v>
      </c>
      <c r="B723" s="11">
        <v>0</v>
      </c>
      <c r="C723" s="13">
        <v>0</v>
      </c>
      <c r="D723" s="13">
        <v>0</v>
      </c>
      <c r="E723" s="11">
        <v>0</v>
      </c>
      <c r="F723" s="125">
        <v>0</v>
      </c>
      <c r="G723" s="11">
        <v>1</v>
      </c>
      <c r="H723" s="11">
        <v>0</v>
      </c>
      <c r="I723" s="313">
        <f t="shared" si="311"/>
        <v>1</v>
      </c>
      <c r="J723" s="318">
        <f>FLORESTA!$I723/7</f>
        <v>0.14285714285714285</v>
      </c>
    </row>
    <row r="724" spans="1:10" x14ac:dyDescent="0.25">
      <c r="A724" s="15" t="s">
        <v>17</v>
      </c>
      <c r="B724" s="79">
        <f t="shared" ref="B724:I724" si="312">SUM(B719:B723)</f>
        <v>91</v>
      </c>
      <c r="C724" s="79">
        <f t="shared" si="312"/>
        <v>71</v>
      </c>
      <c r="D724" s="79">
        <f t="shared" si="312"/>
        <v>89</v>
      </c>
      <c r="E724" s="103">
        <f t="shared" si="312"/>
        <v>87</v>
      </c>
      <c r="F724" s="213">
        <f t="shared" si="312"/>
        <v>217</v>
      </c>
      <c r="G724" s="103">
        <f t="shared" si="312"/>
        <v>303</v>
      </c>
      <c r="H724" s="103">
        <f t="shared" si="312"/>
        <v>197</v>
      </c>
      <c r="I724" s="103">
        <f t="shared" si="312"/>
        <v>1055</v>
      </c>
      <c r="J724" s="319">
        <f>FLORESTA!$I724/7</f>
        <v>150.71428571428572</v>
      </c>
    </row>
    <row r="725" spans="1:10" x14ac:dyDescent="0.25">
      <c r="A725" s="10" t="s">
        <v>18</v>
      </c>
      <c r="B725" s="325">
        <v>0.34</v>
      </c>
      <c r="C725" s="326">
        <v>0.41</v>
      </c>
      <c r="D725" s="326">
        <v>0.41</v>
      </c>
      <c r="E725" s="327">
        <v>0.36</v>
      </c>
      <c r="F725" s="328">
        <v>0.55000000000000004</v>
      </c>
      <c r="G725" s="327">
        <v>0.45</v>
      </c>
      <c r="H725" s="327">
        <v>0.49</v>
      </c>
      <c r="I725" s="18">
        <f>I732/I737</f>
        <v>0.45845398588326863</v>
      </c>
      <c r="J725" s="19">
        <f>J732/J737</f>
        <v>0.45845398588326869</v>
      </c>
    </row>
    <row r="726" spans="1:10" x14ac:dyDescent="0.25">
      <c r="A726" s="10" t="s">
        <v>19</v>
      </c>
      <c r="B726" s="325">
        <v>0.02</v>
      </c>
      <c r="C726" s="326">
        <v>0</v>
      </c>
      <c r="D726" s="326">
        <v>0.02</v>
      </c>
      <c r="E726" s="327">
        <v>0</v>
      </c>
      <c r="F726" s="327">
        <v>0.01</v>
      </c>
      <c r="G726" s="327">
        <v>0.02</v>
      </c>
      <c r="H726" s="327">
        <v>0.04</v>
      </c>
      <c r="I726" s="18">
        <f>I733/I737</f>
        <v>1.9290231982888921E-2</v>
      </c>
      <c r="J726" s="19">
        <f>J733/J737</f>
        <v>1.9290231982888921E-2</v>
      </c>
    </row>
    <row r="727" spans="1:10" x14ac:dyDescent="0.25">
      <c r="A727" s="10" t="s">
        <v>20</v>
      </c>
      <c r="B727" s="325">
        <v>0.64</v>
      </c>
      <c r="C727" s="326">
        <v>0.57999999999999996</v>
      </c>
      <c r="D727" s="326">
        <v>0.47</v>
      </c>
      <c r="E727" s="327">
        <v>0.6</v>
      </c>
      <c r="F727" s="329">
        <v>0.43</v>
      </c>
      <c r="G727" s="327">
        <v>0.5</v>
      </c>
      <c r="H727" s="327">
        <v>0.42</v>
      </c>
      <c r="I727" s="18">
        <f>I734/I737</f>
        <v>0.48958204170891462</v>
      </c>
      <c r="J727" s="19">
        <f>J734/J737</f>
        <v>0.48958204170891473</v>
      </c>
    </row>
    <row r="728" spans="1:10" x14ac:dyDescent="0.25">
      <c r="A728" s="10" t="s">
        <v>21</v>
      </c>
      <c r="B728" s="325">
        <v>0</v>
      </c>
      <c r="C728" s="326">
        <v>0.01</v>
      </c>
      <c r="D728" s="326">
        <v>0.1</v>
      </c>
      <c r="E728" s="327">
        <v>0.04</v>
      </c>
      <c r="F728" s="329">
        <v>0.01</v>
      </c>
      <c r="G728" s="327">
        <v>0.03</v>
      </c>
      <c r="H728" s="327">
        <v>0.05</v>
      </c>
      <c r="I728" s="18">
        <f>I735/I737</f>
        <v>3.2673740424927815E-2</v>
      </c>
      <c r="J728" s="19">
        <f>J735/J737</f>
        <v>3.2673740424927815E-2</v>
      </c>
    </row>
    <row r="729" spans="1:10" x14ac:dyDescent="0.25">
      <c r="A729" s="10" t="s">
        <v>22</v>
      </c>
      <c r="B729" s="325">
        <v>0</v>
      </c>
      <c r="C729" s="326">
        <v>0</v>
      </c>
      <c r="D729" s="326">
        <v>0</v>
      </c>
      <c r="E729" s="327">
        <v>0</v>
      </c>
      <c r="F729" s="329">
        <v>0</v>
      </c>
      <c r="G729" s="327">
        <v>0</v>
      </c>
      <c r="H729" s="327">
        <v>0</v>
      </c>
      <c r="I729" s="18">
        <f>I736/I737</f>
        <v>0</v>
      </c>
      <c r="J729" s="19">
        <f>J736/J737</f>
        <v>0</v>
      </c>
    </row>
    <row r="730" spans="1:10" x14ac:dyDescent="0.25">
      <c r="A730" s="24" t="s">
        <v>23</v>
      </c>
      <c r="B730" s="130">
        <f t="shared" ref="B730:J730" si="313">B741/B724</f>
        <v>31032.967032967033</v>
      </c>
      <c r="C730" s="131">
        <f t="shared" si="313"/>
        <v>31480.281690140844</v>
      </c>
      <c r="D730" s="131">
        <f t="shared" si="313"/>
        <v>33453.932584269663</v>
      </c>
      <c r="E730" s="130">
        <f t="shared" si="313"/>
        <v>29396.551724137931</v>
      </c>
      <c r="F730" s="132">
        <f t="shared" si="313"/>
        <v>35312.442396313367</v>
      </c>
      <c r="G730" s="130">
        <f t="shared" si="313"/>
        <v>35592.739273927393</v>
      </c>
      <c r="H730" s="130">
        <f t="shared" si="313"/>
        <v>37045.177664974624</v>
      </c>
      <c r="I730" s="314">
        <f t="shared" si="313"/>
        <v>34444.834123222747</v>
      </c>
      <c r="J730" s="132">
        <f t="shared" si="313"/>
        <v>34444.834123222747</v>
      </c>
    </row>
    <row r="731" spans="1:10" x14ac:dyDescent="0.25">
      <c r="A731" s="24" t="s">
        <v>24</v>
      </c>
      <c r="B731" s="130">
        <f t="shared" ref="B731:J731" si="314">B741/B718</f>
        <v>28240</v>
      </c>
      <c r="C731" s="131">
        <f t="shared" si="314"/>
        <v>25113.483146067414</v>
      </c>
      <c r="D731" s="131">
        <f t="shared" si="314"/>
        <v>28356.190476190477</v>
      </c>
      <c r="E731" s="130">
        <f t="shared" si="314"/>
        <v>26921.052631578947</v>
      </c>
      <c r="F731" s="132">
        <f t="shared" si="314"/>
        <v>29932.812500000004</v>
      </c>
      <c r="G731" s="130">
        <f t="shared" si="314"/>
        <v>28913.136729222519</v>
      </c>
      <c r="H731" s="130">
        <f t="shared" si="314"/>
        <v>27961.30268199234</v>
      </c>
      <c r="I731" s="314">
        <f t="shared" si="314"/>
        <v>28412.275215011727</v>
      </c>
      <c r="J731" s="132">
        <f t="shared" si="314"/>
        <v>28412.27521501173</v>
      </c>
    </row>
    <row r="732" spans="1:10" x14ac:dyDescent="0.25">
      <c r="A732" s="10" t="s">
        <v>25</v>
      </c>
      <c r="B732" s="92">
        <f t="shared" ref="B732:H732" si="315">B737*B725</f>
        <v>805743.13793103455</v>
      </c>
      <c r="C732" s="133">
        <f t="shared" si="315"/>
        <v>763485.74137931038</v>
      </c>
      <c r="D732" s="133">
        <f t="shared" si="315"/>
        <v>1017898.4465517241</v>
      </c>
      <c r="E732" s="92">
        <f t="shared" si="315"/>
        <v>771984.49655172415</v>
      </c>
      <c r="F732" s="134">
        <f t="shared" si="315"/>
        <v>3519440.1379310354</v>
      </c>
      <c r="G732" s="92">
        <f t="shared" si="315"/>
        <v>4080887.534482759</v>
      </c>
      <c r="H732" s="92">
        <f t="shared" si="315"/>
        <v>3001425.4706896553</v>
      </c>
      <c r="I732" s="92">
        <f>FLORESTA!$B732+FLORESTA!$C732+FLORESTA!$D732+FLORESTA!$E732+FLORESTA!$F732+FLORESTA!$G732+FLORESTA!$H732</f>
        <v>13960864.965517242</v>
      </c>
      <c r="J732" s="133">
        <f>FLORESTA!$I732/7</f>
        <v>1994409.2807881774</v>
      </c>
    </row>
    <row r="733" spans="1:10" x14ac:dyDescent="0.25">
      <c r="A733" s="10" t="s">
        <v>26</v>
      </c>
      <c r="B733" s="92">
        <f t="shared" ref="B733:H733" si="316">B737*B726</f>
        <v>47396.65517241379</v>
      </c>
      <c r="C733" s="133">
        <f t="shared" si="316"/>
        <v>0</v>
      </c>
      <c r="D733" s="133">
        <f t="shared" si="316"/>
        <v>49653.582758620687</v>
      </c>
      <c r="E733" s="92">
        <f t="shared" si="316"/>
        <v>0</v>
      </c>
      <c r="F733" s="134">
        <f t="shared" si="316"/>
        <v>63989.820689655178</v>
      </c>
      <c r="G733" s="92">
        <f t="shared" si="316"/>
        <v>181372.77931034483</v>
      </c>
      <c r="H733" s="92">
        <f t="shared" si="316"/>
        <v>245014.32413793105</v>
      </c>
      <c r="I733" s="92">
        <f>FLORESTA!$B733+FLORESTA!$C733+FLORESTA!$D733+FLORESTA!$E733+FLORESTA!$F733+FLORESTA!$G733+FLORESTA!$H733</f>
        <v>587427.16206896561</v>
      </c>
      <c r="J733" s="133">
        <f>FLORESTA!$I733/7</f>
        <v>83918.166009852226</v>
      </c>
    </row>
    <row r="734" spans="1:10" x14ac:dyDescent="0.25">
      <c r="A734" s="10" t="s">
        <v>27</v>
      </c>
      <c r="B734" s="92">
        <f t="shared" ref="B734:H734" si="317">B737*B727</f>
        <v>1516692.9655172413</v>
      </c>
      <c r="C734" s="133">
        <f t="shared" si="317"/>
        <v>1080053</v>
      </c>
      <c r="D734" s="133">
        <f t="shared" si="317"/>
        <v>1166859.1948275862</v>
      </c>
      <c r="E734" s="92">
        <f t="shared" si="317"/>
        <v>1286640.8275862068</v>
      </c>
      <c r="F734" s="134">
        <f t="shared" si="317"/>
        <v>2751562.2896551727</v>
      </c>
      <c r="G734" s="92">
        <f t="shared" si="317"/>
        <v>4534319.4827586208</v>
      </c>
      <c r="H734" s="92">
        <f t="shared" si="317"/>
        <v>2572650.4034482762</v>
      </c>
      <c r="I734" s="92">
        <f>FLORESTA!$B734+FLORESTA!$C734+FLORESTA!$D734+FLORESTA!$E734+FLORESTA!$F734+FLORESTA!$G734+FLORESTA!$H734</f>
        <v>14908778.163793104</v>
      </c>
      <c r="J734" s="133">
        <f>FLORESTA!$I734/7</f>
        <v>2129825.4519704436</v>
      </c>
    </row>
    <row r="735" spans="1:10" x14ac:dyDescent="0.25">
      <c r="A735" s="10" t="s">
        <v>28</v>
      </c>
      <c r="B735" s="92">
        <f t="shared" ref="B735:H735" si="318">B737*B728</f>
        <v>0</v>
      </c>
      <c r="C735" s="133">
        <f t="shared" si="318"/>
        <v>18621.603448275862</v>
      </c>
      <c r="D735" s="133">
        <f t="shared" si="318"/>
        <v>248267.91379310345</v>
      </c>
      <c r="E735" s="92">
        <f t="shared" si="318"/>
        <v>85776.055172413791</v>
      </c>
      <c r="F735" s="134">
        <f t="shared" si="318"/>
        <v>63989.820689655178</v>
      </c>
      <c r="G735" s="92">
        <f t="shared" si="318"/>
        <v>272059.16896551725</v>
      </c>
      <c r="H735" s="92">
        <f t="shared" si="318"/>
        <v>306267.90517241386</v>
      </c>
      <c r="I735" s="92">
        <f>FLORESTA!$B735+FLORESTA!$C735+FLORESTA!$D735+FLORESTA!$E735+FLORESTA!$F735+FLORESTA!$G735+FLORESTA!$H735</f>
        <v>994982.46724137943</v>
      </c>
      <c r="J735" s="133">
        <f>FLORESTA!$I735/7</f>
        <v>142140.35246305421</v>
      </c>
    </row>
    <row r="736" spans="1:10" x14ac:dyDescent="0.25">
      <c r="A736" s="10" t="s">
        <v>29</v>
      </c>
      <c r="B736" s="92">
        <f t="shared" ref="B736:H736" si="319">B737*B729</f>
        <v>0</v>
      </c>
      <c r="C736" s="133">
        <f t="shared" si="319"/>
        <v>0</v>
      </c>
      <c r="D736" s="133">
        <f t="shared" si="319"/>
        <v>0</v>
      </c>
      <c r="E736" s="92">
        <f t="shared" si="319"/>
        <v>0</v>
      </c>
      <c r="F736" s="134">
        <f t="shared" si="319"/>
        <v>0</v>
      </c>
      <c r="G736" s="92">
        <f t="shared" si="319"/>
        <v>0</v>
      </c>
      <c r="H736" s="92">
        <f t="shared" si="319"/>
        <v>0</v>
      </c>
      <c r="I736" s="92">
        <f>FLORESTA!$B736+FLORESTA!$C736+FLORESTA!$D736+FLORESTA!$E736+FLORESTA!$F736+FLORESTA!$G736+FLORESTA!$H736</f>
        <v>0</v>
      </c>
      <c r="J736" s="133">
        <f>FLORESTA!$I736/7</f>
        <v>0</v>
      </c>
    </row>
    <row r="737" spans="1:10" x14ac:dyDescent="0.25">
      <c r="A737" s="33" t="s">
        <v>30</v>
      </c>
      <c r="B737" s="222">
        <f>(2824000/1.16)-B738</f>
        <v>2369832.7586206896</v>
      </c>
      <c r="C737" s="222">
        <f>(2235100/1.16)-C738</f>
        <v>1862160.3448275863</v>
      </c>
      <c r="D737" s="222">
        <f>(2977400/1.16)-D738</f>
        <v>2482679.1379310344</v>
      </c>
      <c r="E737" s="222">
        <f>(2557500/1.16)-E738</f>
        <v>2144401.3793103448</v>
      </c>
      <c r="F737" s="222">
        <f>(7662800/1.16)-F738</f>
        <v>6398982.0689655179</v>
      </c>
      <c r="G737" s="222">
        <f>(10784600/1.16)-G738</f>
        <v>9068638.9655172415</v>
      </c>
      <c r="H737" s="222">
        <f>(7297900/1.16)-H738</f>
        <v>6125358.1034482764</v>
      </c>
      <c r="I737" s="91">
        <f>SUM(I732:I736)</f>
        <v>30452052.758620691</v>
      </c>
      <c r="J737" s="136">
        <f>FLORESTA!$I737/7</f>
        <v>4350293.251231527</v>
      </c>
    </row>
    <row r="738" spans="1:10" x14ac:dyDescent="0.25">
      <c r="A738" s="10" t="s">
        <v>31</v>
      </c>
      <c r="B738" s="94">
        <f t="shared" ref="B738:J738" si="320">2155*B719</f>
        <v>64650</v>
      </c>
      <c r="C738" s="139">
        <f t="shared" si="320"/>
        <v>64650</v>
      </c>
      <c r="D738" s="139">
        <f t="shared" si="320"/>
        <v>84045</v>
      </c>
      <c r="E738" s="94">
        <f t="shared" si="320"/>
        <v>60340</v>
      </c>
      <c r="F738" s="112">
        <f t="shared" si="320"/>
        <v>206880</v>
      </c>
      <c r="G738" s="94">
        <f t="shared" si="320"/>
        <v>228430</v>
      </c>
      <c r="H738" s="94">
        <f t="shared" si="320"/>
        <v>165935</v>
      </c>
      <c r="I738" s="94">
        <f t="shared" si="320"/>
        <v>874930</v>
      </c>
      <c r="J738" s="139">
        <f t="shared" si="320"/>
        <v>124990</v>
      </c>
    </row>
    <row r="739" spans="1:10" x14ac:dyDescent="0.25">
      <c r="A739" s="37" t="s">
        <v>32</v>
      </c>
      <c r="B739" s="39">
        <f t="shared" ref="B739:H739" si="321">B737+B738</f>
        <v>2434482.7586206896</v>
      </c>
      <c r="C739" s="40">
        <f t="shared" si="321"/>
        <v>1926810.3448275863</v>
      </c>
      <c r="D739" s="40">
        <f t="shared" si="321"/>
        <v>2566724.1379310344</v>
      </c>
      <c r="E739" s="39">
        <f t="shared" si="321"/>
        <v>2204741.3793103448</v>
      </c>
      <c r="F739" s="140">
        <f t="shared" si="321"/>
        <v>6605862.0689655179</v>
      </c>
      <c r="G739" s="39">
        <f t="shared" si="321"/>
        <v>9297068.9655172415</v>
      </c>
      <c r="H739" s="39">
        <f t="shared" si="321"/>
        <v>6291293.1034482764</v>
      </c>
      <c r="I739" s="39">
        <f>I737+I738</f>
        <v>31326982.758620691</v>
      </c>
      <c r="J739" s="40">
        <f>J737+J738</f>
        <v>4475283.251231527</v>
      </c>
    </row>
    <row r="740" spans="1:10" x14ac:dyDescent="0.25">
      <c r="A740" s="10" t="s">
        <v>33</v>
      </c>
      <c r="B740" s="41">
        <f t="shared" ref="B740:H740" si="322">B739*16%</f>
        <v>389517.24137931032</v>
      </c>
      <c r="C740" s="42">
        <f t="shared" si="322"/>
        <v>308289.6551724138</v>
      </c>
      <c r="D740" s="42">
        <f t="shared" si="322"/>
        <v>410675.86206896551</v>
      </c>
      <c r="E740" s="41">
        <f t="shared" si="322"/>
        <v>352758.62068965519</v>
      </c>
      <c r="F740" s="141">
        <f t="shared" si="322"/>
        <v>1056937.9310344828</v>
      </c>
      <c r="G740" s="41">
        <f t="shared" si="322"/>
        <v>1487531.0344827587</v>
      </c>
      <c r="H740" s="41">
        <f t="shared" si="322"/>
        <v>1006606.8965517243</v>
      </c>
      <c r="I740" s="41">
        <f>I739*16%</f>
        <v>5012317.2413793104</v>
      </c>
      <c r="J740" s="42">
        <f>J739*16%</f>
        <v>716045.32019704429</v>
      </c>
    </row>
    <row r="741" spans="1:10" x14ac:dyDescent="0.25">
      <c r="A741" s="43" t="s">
        <v>34</v>
      </c>
      <c r="B741" s="315">
        <f t="shared" ref="B741:H741" si="323">B739+B740</f>
        <v>2824000</v>
      </c>
      <c r="C741" s="315">
        <f t="shared" si="323"/>
        <v>2235100</v>
      </c>
      <c r="D741" s="315">
        <f t="shared" si="323"/>
        <v>2977400</v>
      </c>
      <c r="E741" s="178">
        <f t="shared" si="323"/>
        <v>2557500</v>
      </c>
      <c r="F741" s="182">
        <f t="shared" si="323"/>
        <v>7662800.0000000009</v>
      </c>
      <c r="G741" s="178">
        <f t="shared" si="323"/>
        <v>10784600</v>
      </c>
      <c r="H741" s="178">
        <f t="shared" si="323"/>
        <v>7297900.0000000009</v>
      </c>
      <c r="I741" s="178">
        <f>I739+I740</f>
        <v>36339300</v>
      </c>
      <c r="J741" s="315">
        <f>FLORESTA!$I741/7</f>
        <v>5191328.5714285718</v>
      </c>
    </row>
    <row r="743" spans="1:10" ht="12.75" customHeight="1" x14ac:dyDescent="0.25">
      <c r="A743" s="149"/>
      <c r="B743" s="1006" t="s">
        <v>367</v>
      </c>
      <c r="C743" s="1006"/>
      <c r="D743" s="1006"/>
      <c r="E743" s="1006"/>
      <c r="F743" s="1006"/>
      <c r="G743" s="1006"/>
      <c r="H743" s="1006"/>
      <c r="I743" s="1006"/>
    </row>
    <row r="744" spans="1:10" x14ac:dyDescent="0.25">
      <c r="A744" s="149"/>
      <c r="B744" s="1006"/>
      <c r="C744" s="1006"/>
      <c r="D744" s="1006"/>
      <c r="E744" s="1006"/>
      <c r="F744" s="1006"/>
      <c r="G744" s="1006"/>
      <c r="H744" s="1006"/>
      <c r="I744" s="1006"/>
    </row>
    <row r="745" spans="1:10" ht="15.75" x14ac:dyDescent="0.25">
      <c r="A745" s="72" t="s">
        <v>2</v>
      </c>
      <c r="B745" s="121" t="s">
        <v>107</v>
      </c>
      <c r="C745" s="121" t="s">
        <v>108</v>
      </c>
      <c r="D745" s="121" t="s">
        <v>109</v>
      </c>
      <c r="E745" s="121" t="s">
        <v>110</v>
      </c>
      <c r="F745" s="121" t="s">
        <v>111</v>
      </c>
      <c r="G745" s="121" t="s">
        <v>112</v>
      </c>
      <c r="H745" s="121" t="s">
        <v>113</v>
      </c>
      <c r="I745" s="51" t="s">
        <v>10</v>
      </c>
      <c r="J745" s="51" t="s">
        <v>77</v>
      </c>
    </row>
    <row r="746" spans="1:10" x14ac:dyDescent="0.25">
      <c r="A746" s="74" t="s">
        <v>11</v>
      </c>
      <c r="B746" s="55">
        <v>75</v>
      </c>
      <c r="C746" s="56">
        <v>110</v>
      </c>
      <c r="D746" s="54">
        <v>80</v>
      </c>
      <c r="E746" s="316">
        <v>117</v>
      </c>
      <c r="F746" s="311">
        <v>267</v>
      </c>
      <c r="G746" s="58">
        <v>396</v>
      </c>
      <c r="H746" s="57">
        <v>334</v>
      </c>
      <c r="I746" s="311">
        <f t="shared" ref="I746:I751" si="324">SUM(B746:H746)</f>
        <v>1379</v>
      </c>
      <c r="J746" s="317">
        <f>FLORESTA!$I746/7</f>
        <v>197</v>
      </c>
    </row>
    <row r="747" spans="1:10" x14ac:dyDescent="0.25">
      <c r="A747" s="10" t="s">
        <v>12</v>
      </c>
      <c r="B747" s="11">
        <v>21</v>
      </c>
      <c r="C747" s="13">
        <v>32</v>
      </c>
      <c r="D747" s="320">
        <v>29</v>
      </c>
      <c r="E747" s="11">
        <v>37</v>
      </c>
      <c r="F747" s="125">
        <v>79</v>
      </c>
      <c r="G747" s="11">
        <v>114</v>
      </c>
      <c r="H747" s="11">
        <v>93</v>
      </c>
      <c r="I747" s="313">
        <f t="shared" si="324"/>
        <v>405</v>
      </c>
      <c r="J747" s="318">
        <f>FLORESTA!$I747/7</f>
        <v>57.857142857142854</v>
      </c>
    </row>
    <row r="748" spans="1:10" x14ac:dyDescent="0.25">
      <c r="A748" s="10" t="s">
        <v>13</v>
      </c>
      <c r="B748" s="11">
        <v>1</v>
      </c>
      <c r="C748" s="13">
        <v>0</v>
      </c>
      <c r="D748" s="13">
        <v>0</v>
      </c>
      <c r="E748" s="11">
        <v>1</v>
      </c>
      <c r="F748" s="125">
        <v>2</v>
      </c>
      <c r="G748" s="11">
        <v>3</v>
      </c>
      <c r="H748" s="11">
        <v>6</v>
      </c>
      <c r="I748" s="313">
        <f t="shared" si="324"/>
        <v>13</v>
      </c>
      <c r="J748" s="318">
        <f>C748+D748+E748+F748+G748+H748+I748</f>
        <v>25</v>
      </c>
    </row>
    <row r="749" spans="1:10" x14ac:dyDescent="0.25">
      <c r="A749" s="10" t="s">
        <v>14</v>
      </c>
      <c r="B749" s="11">
        <v>43</v>
      </c>
      <c r="C749" s="13">
        <v>44</v>
      </c>
      <c r="D749" s="13">
        <v>43</v>
      </c>
      <c r="E749" s="11">
        <v>71</v>
      </c>
      <c r="F749" s="125">
        <v>130</v>
      </c>
      <c r="G749" s="11">
        <v>185</v>
      </c>
      <c r="H749" s="11">
        <v>152</v>
      </c>
      <c r="I749" s="313">
        <f t="shared" si="324"/>
        <v>668</v>
      </c>
      <c r="J749" s="318">
        <f>FLORESTA!$I749/7</f>
        <v>95.428571428571431</v>
      </c>
    </row>
    <row r="750" spans="1:10" x14ac:dyDescent="0.25">
      <c r="A750" s="10" t="s">
        <v>15</v>
      </c>
      <c r="B750" s="11">
        <v>0</v>
      </c>
      <c r="C750" s="13">
        <v>4</v>
      </c>
      <c r="D750" s="13">
        <v>3</v>
      </c>
      <c r="E750" s="11">
        <v>0</v>
      </c>
      <c r="F750" s="125">
        <v>3</v>
      </c>
      <c r="G750" s="11">
        <v>22</v>
      </c>
      <c r="H750" s="11">
        <v>15</v>
      </c>
      <c r="I750" s="313">
        <f t="shared" si="324"/>
        <v>47</v>
      </c>
      <c r="J750" s="318">
        <f>FLORESTA!$I750/7</f>
        <v>6.7142857142857144</v>
      </c>
    </row>
    <row r="751" spans="1:10" x14ac:dyDescent="0.25">
      <c r="A751" s="10" t="s">
        <v>16</v>
      </c>
      <c r="B751" s="11">
        <v>0</v>
      </c>
      <c r="C751" s="13">
        <v>2</v>
      </c>
      <c r="D751" s="13">
        <v>0</v>
      </c>
      <c r="E751" s="11">
        <v>0</v>
      </c>
      <c r="F751" s="125">
        <v>0</v>
      </c>
      <c r="G751" s="11">
        <v>0</v>
      </c>
      <c r="H751" s="11">
        <v>0</v>
      </c>
      <c r="I751" s="313">
        <f t="shared" si="324"/>
        <v>2</v>
      </c>
      <c r="J751" s="318">
        <f>FLORESTA!$I751/7</f>
        <v>0.2857142857142857</v>
      </c>
    </row>
    <row r="752" spans="1:10" x14ac:dyDescent="0.25">
      <c r="A752" s="15" t="s">
        <v>17</v>
      </c>
      <c r="B752" s="79">
        <f t="shared" ref="B752:I752" si="325">SUM(B747:B751)</f>
        <v>65</v>
      </c>
      <c r="C752" s="79">
        <f t="shared" si="325"/>
        <v>82</v>
      </c>
      <c r="D752" s="79">
        <f t="shared" si="325"/>
        <v>75</v>
      </c>
      <c r="E752" s="103">
        <f t="shared" si="325"/>
        <v>109</v>
      </c>
      <c r="F752" s="213">
        <f t="shared" si="325"/>
        <v>214</v>
      </c>
      <c r="G752" s="103">
        <f t="shared" si="325"/>
        <v>324</v>
      </c>
      <c r="H752" s="103">
        <f t="shared" si="325"/>
        <v>266</v>
      </c>
      <c r="I752" s="103">
        <f t="shared" si="325"/>
        <v>1135</v>
      </c>
      <c r="J752" s="319">
        <f>FLORESTA!$I752/7</f>
        <v>162.14285714285714</v>
      </c>
    </row>
    <row r="753" spans="1:10" x14ac:dyDescent="0.25">
      <c r="A753" s="10" t="s">
        <v>18</v>
      </c>
      <c r="B753" s="325">
        <v>0.44</v>
      </c>
      <c r="C753" s="326">
        <v>0.44</v>
      </c>
      <c r="D753" s="326">
        <v>0.49</v>
      </c>
      <c r="E753" s="327">
        <v>0.5</v>
      </c>
      <c r="F753" s="328">
        <v>0.41</v>
      </c>
      <c r="G753" s="327">
        <v>0.41</v>
      </c>
      <c r="H753" s="327">
        <v>0.38</v>
      </c>
      <c r="I753" s="18">
        <f>I760/I765</f>
        <v>0.41864974071442768</v>
      </c>
      <c r="J753" s="19">
        <f>J760/J765</f>
        <v>0.41864974071442773</v>
      </c>
    </row>
    <row r="754" spans="1:10" x14ac:dyDescent="0.25">
      <c r="A754" s="10" t="s">
        <v>19</v>
      </c>
      <c r="B754" s="325">
        <v>0.01</v>
      </c>
      <c r="C754" s="326">
        <v>0</v>
      </c>
      <c r="D754" s="326">
        <v>0</v>
      </c>
      <c r="E754" s="327">
        <v>0.01</v>
      </c>
      <c r="F754" s="327">
        <v>0.01</v>
      </c>
      <c r="G754" s="327">
        <v>0.01</v>
      </c>
      <c r="H754" s="327">
        <v>0.03</v>
      </c>
      <c r="I754" s="18">
        <f>I761/I765</f>
        <v>1.3468246563691562E-2</v>
      </c>
      <c r="J754" s="19">
        <f>J761/J765</f>
        <v>1.3468246563691562E-2</v>
      </c>
    </row>
    <row r="755" spans="1:10" x14ac:dyDescent="0.25">
      <c r="A755" s="10" t="s">
        <v>20</v>
      </c>
      <c r="B755" s="325">
        <v>0.55000000000000004</v>
      </c>
      <c r="C755" s="326">
        <v>0.42</v>
      </c>
      <c r="D755" s="326">
        <v>0.47</v>
      </c>
      <c r="E755" s="327">
        <v>0.49</v>
      </c>
      <c r="F755" s="329">
        <v>0.56999999999999995</v>
      </c>
      <c r="G755" s="327">
        <v>0.52</v>
      </c>
      <c r="H755" s="327">
        <v>0.54</v>
      </c>
      <c r="I755" s="18">
        <f>I762/I765</f>
        <v>0.52324127902942386</v>
      </c>
      <c r="J755" s="19">
        <f>J762/J765</f>
        <v>0.52324127902942386</v>
      </c>
    </row>
    <row r="756" spans="1:10" x14ac:dyDescent="0.25">
      <c r="A756" s="10" t="s">
        <v>21</v>
      </c>
      <c r="B756" s="325">
        <v>0</v>
      </c>
      <c r="C756" s="326">
        <v>0.09</v>
      </c>
      <c r="D756" s="326">
        <v>0.04</v>
      </c>
      <c r="E756" s="327">
        <v>0</v>
      </c>
      <c r="F756" s="329">
        <v>0.01</v>
      </c>
      <c r="G756" s="327">
        <v>0.06</v>
      </c>
      <c r="H756" s="327">
        <v>0.05</v>
      </c>
      <c r="I756" s="18">
        <f>I763/I765</f>
        <v>4.0753003366492797E-2</v>
      </c>
      <c r="J756" s="19">
        <f>J763/J765</f>
        <v>4.0753003366492797E-2</v>
      </c>
    </row>
    <row r="757" spans="1:10" x14ac:dyDescent="0.25">
      <c r="A757" s="10" t="s">
        <v>22</v>
      </c>
      <c r="B757" s="325">
        <v>0</v>
      </c>
      <c r="C757" s="326">
        <v>0.05</v>
      </c>
      <c r="D757" s="326">
        <v>0</v>
      </c>
      <c r="E757" s="327">
        <v>0</v>
      </c>
      <c r="F757" s="329">
        <v>0</v>
      </c>
      <c r="G757" s="327">
        <v>0</v>
      </c>
      <c r="H757" s="327">
        <v>0</v>
      </c>
      <c r="I757" s="18">
        <f>I764/I765</f>
        <v>3.8877303259641205E-3</v>
      </c>
      <c r="J757" s="19">
        <f>J764/J765</f>
        <v>3.887730325964121E-3</v>
      </c>
    </row>
    <row r="758" spans="1:10" x14ac:dyDescent="0.25">
      <c r="A758" s="24" t="s">
        <v>23</v>
      </c>
      <c r="B758" s="130">
        <f t="shared" ref="B758:J758" si="326">B769/B752</f>
        <v>31381.538461538465</v>
      </c>
      <c r="C758" s="131">
        <f t="shared" si="326"/>
        <v>37256.097560975613</v>
      </c>
      <c r="D758" s="131">
        <f t="shared" si="326"/>
        <v>28838.666666666668</v>
      </c>
      <c r="E758" s="130">
        <f t="shared" si="326"/>
        <v>30398.165137614684</v>
      </c>
      <c r="F758" s="132">
        <f t="shared" si="326"/>
        <v>36407.943925233645</v>
      </c>
      <c r="G758" s="130">
        <f t="shared" si="326"/>
        <v>35528.703703703701</v>
      </c>
      <c r="H758" s="130">
        <f t="shared" si="326"/>
        <v>35339.097744360901</v>
      </c>
      <c r="I758" s="314">
        <f t="shared" si="326"/>
        <v>34602.555066079301</v>
      </c>
      <c r="J758" s="132">
        <f t="shared" si="326"/>
        <v>34602.555066079301</v>
      </c>
    </row>
    <row r="759" spans="1:10" x14ac:dyDescent="0.25">
      <c r="A759" s="24" t="s">
        <v>24</v>
      </c>
      <c r="B759" s="130">
        <f t="shared" ref="B759:J759" si="327">B769/B746</f>
        <v>27197.333333333336</v>
      </c>
      <c r="C759" s="131">
        <f t="shared" si="327"/>
        <v>27772.727272727276</v>
      </c>
      <c r="D759" s="131">
        <f t="shared" si="327"/>
        <v>27036.25</v>
      </c>
      <c r="E759" s="130">
        <f t="shared" si="327"/>
        <v>28319.658119658125</v>
      </c>
      <c r="F759" s="132">
        <f t="shared" si="327"/>
        <v>29180.898876404495</v>
      </c>
      <c r="G759" s="130">
        <f t="shared" si="327"/>
        <v>29068.939393939392</v>
      </c>
      <c r="H759" s="130">
        <f t="shared" si="327"/>
        <v>28144.311377245507</v>
      </c>
      <c r="I759" s="314">
        <f t="shared" si="327"/>
        <v>28479.985496736772</v>
      </c>
      <c r="J759" s="132">
        <f t="shared" si="327"/>
        <v>28479.985496736768</v>
      </c>
    </row>
    <row r="760" spans="1:10" x14ac:dyDescent="0.25">
      <c r="A760" s="10" t="s">
        <v>25</v>
      </c>
      <c r="B760" s="92">
        <f t="shared" ref="B760:H760" si="328">B765*B753</f>
        <v>753805.04137931042</v>
      </c>
      <c r="C760" s="133">
        <f t="shared" si="328"/>
        <v>1128450.703448276</v>
      </c>
      <c r="D760" s="133">
        <f t="shared" si="328"/>
        <v>883016.2431034483</v>
      </c>
      <c r="E760" s="92">
        <f t="shared" si="328"/>
        <v>1388322.1551724139</v>
      </c>
      <c r="F760" s="134">
        <f t="shared" si="328"/>
        <v>2684021.101724138</v>
      </c>
      <c r="G760" s="92">
        <f t="shared" si="328"/>
        <v>3967924.4379310342</v>
      </c>
      <c r="H760" s="92">
        <f t="shared" si="328"/>
        <v>3003218.1620689658</v>
      </c>
      <c r="I760" s="92">
        <f>FLORESTA!$B760+FLORESTA!$C760+FLORESTA!$D760+FLORESTA!$E760+FLORESTA!$F760+FLORESTA!$G760+FLORESTA!$H760</f>
        <v>13808757.844827589</v>
      </c>
      <c r="J760" s="133">
        <f>FLORESTA!$I760/7</f>
        <v>1972679.692118227</v>
      </c>
    </row>
    <row r="761" spans="1:10" x14ac:dyDescent="0.25">
      <c r="A761" s="10" t="s">
        <v>26</v>
      </c>
      <c r="B761" s="92">
        <f t="shared" ref="B761:H761" si="329">B765*B754</f>
        <v>17131.932758620693</v>
      </c>
      <c r="C761" s="133">
        <f t="shared" si="329"/>
        <v>0</v>
      </c>
      <c r="D761" s="133">
        <f t="shared" si="329"/>
        <v>0</v>
      </c>
      <c r="E761" s="92">
        <f t="shared" si="329"/>
        <v>27766.44310344828</v>
      </c>
      <c r="F761" s="134">
        <f t="shared" si="329"/>
        <v>65463.929310344829</v>
      </c>
      <c r="G761" s="92">
        <f t="shared" si="329"/>
        <v>96778.644827586206</v>
      </c>
      <c r="H761" s="92">
        <f t="shared" si="329"/>
        <v>237096.17068965518</v>
      </c>
      <c r="I761" s="92">
        <f>FLORESTA!$B761+FLORESTA!$C761+FLORESTA!$D761+FLORESTA!$E761+FLORESTA!$F761+FLORESTA!$G761+FLORESTA!$H761</f>
        <v>444237.12068965519</v>
      </c>
      <c r="J761" s="133">
        <f>FLORESTA!$I761/7</f>
        <v>63462.445812807884</v>
      </c>
    </row>
    <row r="762" spans="1:10" x14ac:dyDescent="0.25">
      <c r="A762" s="10" t="s">
        <v>27</v>
      </c>
      <c r="B762" s="92">
        <f t="shared" ref="B762:H762" si="330">B765*B755</f>
        <v>942256.30172413809</v>
      </c>
      <c r="C762" s="133">
        <f t="shared" si="330"/>
        <v>1077157.4896551725</v>
      </c>
      <c r="D762" s="133">
        <f t="shared" si="330"/>
        <v>846974.76379310351</v>
      </c>
      <c r="E762" s="92">
        <f t="shared" si="330"/>
        <v>1360555.7120689657</v>
      </c>
      <c r="F762" s="134">
        <f t="shared" si="330"/>
        <v>3731443.9706896548</v>
      </c>
      <c r="G762" s="92">
        <f t="shared" si="330"/>
        <v>5032489.5310344826</v>
      </c>
      <c r="H762" s="92">
        <f t="shared" si="330"/>
        <v>4267731.0724137938</v>
      </c>
      <c r="I762" s="92">
        <f>FLORESTA!$B762+FLORESTA!$C762+FLORESTA!$D762+FLORESTA!$E762+FLORESTA!$F762+FLORESTA!$G762+FLORESTA!$H762</f>
        <v>17258608.841379311</v>
      </c>
      <c r="J762" s="133">
        <f>FLORESTA!$I762/7</f>
        <v>2465515.5487684729</v>
      </c>
    </row>
    <row r="763" spans="1:10" x14ac:dyDescent="0.25">
      <c r="A763" s="10" t="s">
        <v>28</v>
      </c>
      <c r="B763" s="92">
        <f t="shared" ref="B763:H763" si="331">B765*B756</f>
        <v>0</v>
      </c>
      <c r="C763" s="133">
        <f t="shared" si="331"/>
        <v>230819.46206896554</v>
      </c>
      <c r="D763" s="133">
        <f t="shared" si="331"/>
        <v>72082.958620689664</v>
      </c>
      <c r="E763" s="92">
        <f t="shared" si="331"/>
        <v>0</v>
      </c>
      <c r="F763" s="134">
        <f t="shared" si="331"/>
        <v>65463.929310344829</v>
      </c>
      <c r="G763" s="92">
        <f t="shared" si="331"/>
        <v>580671.86896551726</v>
      </c>
      <c r="H763" s="92">
        <f t="shared" si="331"/>
        <v>395160.28448275867</v>
      </c>
      <c r="I763" s="92">
        <f>FLORESTA!$B763+FLORESTA!$C763+FLORESTA!$D763+FLORESTA!$E763+FLORESTA!$F763+FLORESTA!$G763+FLORESTA!$H763</f>
        <v>1344198.5034482761</v>
      </c>
      <c r="J763" s="133">
        <f>FLORESTA!$I763/7</f>
        <v>192028.35763546801</v>
      </c>
    </row>
    <row r="764" spans="1:10" x14ac:dyDescent="0.25">
      <c r="A764" s="10" t="s">
        <v>29</v>
      </c>
      <c r="B764" s="92">
        <f t="shared" ref="B764:H764" si="332">B765*B757</f>
        <v>0</v>
      </c>
      <c r="C764" s="133">
        <f t="shared" si="332"/>
        <v>128233.03448275864</v>
      </c>
      <c r="D764" s="133">
        <f t="shared" si="332"/>
        <v>0</v>
      </c>
      <c r="E764" s="92">
        <f t="shared" si="332"/>
        <v>0</v>
      </c>
      <c r="F764" s="134">
        <f t="shared" si="332"/>
        <v>0</v>
      </c>
      <c r="G764" s="92">
        <f t="shared" si="332"/>
        <v>0</v>
      </c>
      <c r="H764" s="92">
        <f t="shared" si="332"/>
        <v>0</v>
      </c>
      <c r="I764" s="92">
        <f>FLORESTA!$B764+FLORESTA!$C764+FLORESTA!$D764+FLORESTA!$E764+FLORESTA!$F764+FLORESTA!$G764+FLORESTA!$H764</f>
        <v>128233.03448275864</v>
      </c>
      <c r="J764" s="133">
        <f>FLORESTA!$I764/7</f>
        <v>18319.004926108377</v>
      </c>
    </row>
    <row r="765" spans="1:10" x14ac:dyDescent="0.25">
      <c r="A765" s="33" t="s">
        <v>30</v>
      </c>
      <c r="B765" s="222">
        <f>(2039800/1.16)-B766</f>
        <v>1713193.2758620691</v>
      </c>
      <c r="C765" s="222">
        <f>(3055000/1.16)-C766</f>
        <v>2564660.6896551726</v>
      </c>
      <c r="D765" s="222">
        <f>(2162900/1.16)-D766</f>
        <v>1802073.9655172415</v>
      </c>
      <c r="E765" s="222">
        <f>(3313400/1.16)-E766</f>
        <v>2776644.3103448278</v>
      </c>
      <c r="F765" s="222">
        <f>(7791300/1.16)-F766</f>
        <v>6546392.931034483</v>
      </c>
      <c r="G765" s="222">
        <f>(11511300/1.16)-G766</f>
        <v>9677864.4827586208</v>
      </c>
      <c r="H765" s="222">
        <f>(9400200/1.16)-H766</f>
        <v>7903205.6896551726</v>
      </c>
      <c r="I765" s="91">
        <f>SUM(I760:I764)</f>
        <v>32984035.344827589</v>
      </c>
      <c r="J765" s="136">
        <f>FLORESTA!$I765/7</f>
        <v>4712005.0492610838</v>
      </c>
    </row>
    <row r="766" spans="1:10" x14ac:dyDescent="0.25">
      <c r="A766" s="10" t="s">
        <v>31</v>
      </c>
      <c r="B766" s="94">
        <f t="shared" ref="B766:J766" si="333">2155*B747</f>
        <v>45255</v>
      </c>
      <c r="C766" s="139">
        <f t="shared" si="333"/>
        <v>68960</v>
      </c>
      <c r="D766" s="139">
        <f t="shared" si="333"/>
        <v>62495</v>
      </c>
      <c r="E766" s="94">
        <f t="shared" si="333"/>
        <v>79735</v>
      </c>
      <c r="F766" s="112">
        <f t="shared" si="333"/>
        <v>170245</v>
      </c>
      <c r="G766" s="94">
        <f t="shared" si="333"/>
        <v>245670</v>
      </c>
      <c r="H766" s="94">
        <f t="shared" si="333"/>
        <v>200415</v>
      </c>
      <c r="I766" s="94">
        <f t="shared" si="333"/>
        <v>872775</v>
      </c>
      <c r="J766" s="139">
        <f t="shared" si="333"/>
        <v>124682.14285714286</v>
      </c>
    </row>
    <row r="767" spans="1:10" x14ac:dyDescent="0.25">
      <c r="A767" s="37" t="s">
        <v>32</v>
      </c>
      <c r="B767" s="39">
        <f t="shared" ref="B767:H767" si="334">B765+B766</f>
        <v>1758448.2758620691</v>
      </c>
      <c r="C767" s="40">
        <f t="shared" si="334"/>
        <v>2633620.6896551726</v>
      </c>
      <c r="D767" s="40">
        <f t="shared" si="334"/>
        <v>1864568.9655172415</v>
      </c>
      <c r="E767" s="39">
        <f t="shared" si="334"/>
        <v>2856379.3103448278</v>
      </c>
      <c r="F767" s="140">
        <f t="shared" si="334"/>
        <v>6716637.931034483</v>
      </c>
      <c r="G767" s="39">
        <f t="shared" si="334"/>
        <v>9923534.4827586208</v>
      </c>
      <c r="H767" s="39">
        <f t="shared" si="334"/>
        <v>8103620.6896551726</v>
      </c>
      <c r="I767" s="39">
        <f>I765+I766</f>
        <v>33856810.344827592</v>
      </c>
      <c r="J767" s="40">
        <f>J765+J766</f>
        <v>4836687.1921182266</v>
      </c>
    </row>
    <row r="768" spans="1:10" x14ac:dyDescent="0.25">
      <c r="A768" s="10" t="s">
        <v>33</v>
      </c>
      <c r="B768" s="41">
        <f t="shared" ref="B768:H768" si="335">B767*16%</f>
        <v>281351.72413793107</v>
      </c>
      <c r="C768" s="42">
        <f t="shared" si="335"/>
        <v>421379.31034482765</v>
      </c>
      <c r="D768" s="42">
        <f t="shared" si="335"/>
        <v>298331.03448275867</v>
      </c>
      <c r="E768" s="41">
        <f t="shared" si="335"/>
        <v>457020.68965517246</v>
      </c>
      <c r="F768" s="141">
        <f t="shared" si="335"/>
        <v>1074662.0689655172</v>
      </c>
      <c r="G768" s="41">
        <f t="shared" si="335"/>
        <v>1587765.5172413792</v>
      </c>
      <c r="H768" s="41">
        <f t="shared" si="335"/>
        <v>1296579.3103448276</v>
      </c>
      <c r="I768" s="41">
        <f>I767*16%</f>
        <v>5417089.6551724151</v>
      </c>
      <c r="J768" s="42">
        <f>J767*16%</f>
        <v>773869.95073891629</v>
      </c>
    </row>
    <row r="769" spans="1:10" x14ac:dyDescent="0.25">
      <c r="A769" s="43" t="s">
        <v>34</v>
      </c>
      <c r="B769" s="315">
        <f t="shared" ref="B769:H769" si="336">B767+B768</f>
        <v>2039800.0000000002</v>
      </c>
      <c r="C769" s="315">
        <f t="shared" si="336"/>
        <v>3055000.0000000005</v>
      </c>
      <c r="D769" s="315">
        <f t="shared" si="336"/>
        <v>2162900</v>
      </c>
      <c r="E769" s="178">
        <f t="shared" si="336"/>
        <v>3313400.0000000005</v>
      </c>
      <c r="F769" s="182">
        <f t="shared" si="336"/>
        <v>7791300</v>
      </c>
      <c r="G769" s="178">
        <f t="shared" si="336"/>
        <v>11511300</v>
      </c>
      <c r="H769" s="178">
        <f t="shared" si="336"/>
        <v>9400200</v>
      </c>
      <c r="I769" s="178">
        <f>I767+I768</f>
        <v>39273900.000000007</v>
      </c>
      <c r="J769" s="315">
        <f>FLORESTA!$I769/7</f>
        <v>5610557.1428571437</v>
      </c>
    </row>
    <row r="771" spans="1:10" ht="12.75" customHeight="1" x14ac:dyDescent="0.25">
      <c r="A771" s="149"/>
      <c r="B771" s="1006" t="s">
        <v>368</v>
      </c>
      <c r="C771" s="1006"/>
      <c r="D771" s="1006"/>
      <c r="E771" s="1006"/>
      <c r="F771" s="1006"/>
      <c r="G771" s="1006"/>
      <c r="H771" s="1006"/>
      <c r="I771" s="1006"/>
    </row>
    <row r="772" spans="1:10" x14ac:dyDescent="0.25">
      <c r="A772" s="149"/>
      <c r="B772" s="1006"/>
      <c r="C772" s="1006"/>
      <c r="D772" s="1006"/>
      <c r="E772" s="1006"/>
      <c r="F772" s="1006"/>
      <c r="G772" s="1006"/>
      <c r="H772" s="1006"/>
      <c r="I772" s="1006"/>
    </row>
    <row r="773" spans="1:10" ht="15.75" x14ac:dyDescent="0.25">
      <c r="A773" s="72" t="s">
        <v>2</v>
      </c>
      <c r="B773" s="121" t="s">
        <v>270</v>
      </c>
      <c r="C773" s="121" t="s">
        <v>116</v>
      </c>
      <c r="D773" s="121" t="s">
        <v>117</v>
      </c>
      <c r="E773" s="121" t="s">
        <v>118</v>
      </c>
      <c r="F773" s="121" t="s">
        <v>119</v>
      </c>
      <c r="G773" s="121" t="s">
        <v>120</v>
      </c>
      <c r="H773" s="121" t="s">
        <v>121</v>
      </c>
      <c r="I773" s="51" t="s">
        <v>10</v>
      </c>
      <c r="J773" s="51" t="s">
        <v>77</v>
      </c>
    </row>
    <row r="774" spans="1:10" x14ac:dyDescent="0.25">
      <c r="A774" s="74" t="s">
        <v>11</v>
      </c>
      <c r="B774" s="55">
        <v>155</v>
      </c>
      <c r="C774" s="56">
        <v>166</v>
      </c>
      <c r="D774" s="54">
        <v>247</v>
      </c>
      <c r="E774" s="316">
        <v>207</v>
      </c>
      <c r="F774" s="311">
        <v>158</v>
      </c>
      <c r="G774" s="58">
        <v>267</v>
      </c>
      <c r="H774" s="57">
        <v>312</v>
      </c>
      <c r="I774" s="311">
        <f t="shared" ref="I774:I779" si="337">SUM(B774:H774)</f>
        <v>1512</v>
      </c>
      <c r="J774" s="317">
        <f>FLORESTA!$I774/7</f>
        <v>216</v>
      </c>
    </row>
    <row r="775" spans="1:10" x14ac:dyDescent="0.25">
      <c r="A775" s="10" t="s">
        <v>12</v>
      </c>
      <c r="B775" s="11">
        <v>48</v>
      </c>
      <c r="C775" s="13">
        <v>47</v>
      </c>
      <c r="D775" s="320">
        <v>60</v>
      </c>
      <c r="E775" s="11">
        <v>58</v>
      </c>
      <c r="F775" s="125">
        <v>45</v>
      </c>
      <c r="G775" s="11">
        <v>70</v>
      </c>
      <c r="H775" s="11">
        <v>120</v>
      </c>
      <c r="I775" s="313">
        <f t="shared" si="337"/>
        <v>448</v>
      </c>
      <c r="J775" s="318">
        <f>FLORESTA!$I775/7</f>
        <v>64</v>
      </c>
    </row>
    <row r="776" spans="1:10" x14ac:dyDescent="0.25">
      <c r="A776" s="10" t="s">
        <v>13</v>
      </c>
      <c r="B776" s="11">
        <v>2</v>
      </c>
      <c r="C776" s="13">
        <v>1</v>
      </c>
      <c r="D776" s="13">
        <v>2</v>
      </c>
      <c r="E776" s="11">
        <v>1</v>
      </c>
      <c r="F776" s="125">
        <v>2</v>
      </c>
      <c r="G776" s="11">
        <v>3</v>
      </c>
      <c r="H776" s="11">
        <v>4</v>
      </c>
      <c r="I776" s="313">
        <f t="shared" si="337"/>
        <v>15</v>
      </c>
      <c r="J776" s="318">
        <f>C776+D776+E776+F776+G776+H776+I776</f>
        <v>28</v>
      </c>
    </row>
    <row r="777" spans="1:10" x14ac:dyDescent="0.25">
      <c r="A777" s="10" t="s">
        <v>14</v>
      </c>
      <c r="B777" s="11">
        <v>74</v>
      </c>
      <c r="C777" s="13">
        <v>98</v>
      </c>
      <c r="D777" s="13">
        <v>144</v>
      </c>
      <c r="E777" s="11">
        <v>111</v>
      </c>
      <c r="F777" s="125">
        <v>85</v>
      </c>
      <c r="G777" s="11">
        <v>118</v>
      </c>
      <c r="H777" s="11">
        <v>117</v>
      </c>
      <c r="I777" s="313">
        <f t="shared" si="337"/>
        <v>747</v>
      </c>
      <c r="J777" s="318">
        <f>FLORESTA!$I777/7</f>
        <v>106.71428571428571</v>
      </c>
    </row>
    <row r="778" spans="1:10" x14ac:dyDescent="0.25">
      <c r="A778" s="10" t="s">
        <v>15</v>
      </c>
      <c r="B778" s="11">
        <v>0</v>
      </c>
      <c r="C778" s="13">
        <v>0</v>
      </c>
      <c r="D778" s="13">
        <v>12</v>
      </c>
      <c r="E778" s="11">
        <v>3</v>
      </c>
      <c r="F778" s="125">
        <v>0</v>
      </c>
      <c r="G778" s="11">
        <v>23</v>
      </c>
      <c r="H778" s="11">
        <v>2</v>
      </c>
      <c r="I778" s="313">
        <f t="shared" si="337"/>
        <v>40</v>
      </c>
      <c r="J778" s="318">
        <f>FLORESTA!$I778/7</f>
        <v>5.7142857142857144</v>
      </c>
    </row>
    <row r="779" spans="1:10" x14ac:dyDescent="0.25">
      <c r="A779" s="10" t="s">
        <v>16</v>
      </c>
      <c r="B779" s="11">
        <v>0</v>
      </c>
      <c r="C779" s="13">
        <v>0</v>
      </c>
      <c r="D779" s="13"/>
      <c r="E779" s="11">
        <v>0</v>
      </c>
      <c r="F779" s="125">
        <v>0</v>
      </c>
      <c r="G779" s="11">
        <v>0</v>
      </c>
      <c r="H779" s="11">
        <v>0</v>
      </c>
      <c r="I779" s="313">
        <f t="shared" si="337"/>
        <v>0</v>
      </c>
      <c r="J779" s="318">
        <f>FLORESTA!$I779/7</f>
        <v>0</v>
      </c>
    </row>
    <row r="780" spans="1:10" x14ac:dyDescent="0.25">
      <c r="A780" s="15" t="s">
        <v>17</v>
      </c>
      <c r="B780" s="79">
        <f t="shared" ref="B780:I780" si="338">SUM(B775:B779)</f>
        <v>124</v>
      </c>
      <c r="C780" s="79">
        <f t="shared" si="338"/>
        <v>146</v>
      </c>
      <c r="D780" s="79">
        <f t="shared" si="338"/>
        <v>218</v>
      </c>
      <c r="E780" s="103">
        <f t="shared" si="338"/>
        <v>173</v>
      </c>
      <c r="F780" s="213">
        <f t="shared" si="338"/>
        <v>132</v>
      </c>
      <c r="G780" s="103">
        <f t="shared" si="338"/>
        <v>214</v>
      </c>
      <c r="H780" s="103">
        <f t="shared" si="338"/>
        <v>243</v>
      </c>
      <c r="I780" s="103">
        <f t="shared" si="338"/>
        <v>1250</v>
      </c>
      <c r="J780" s="319">
        <f>FLORESTA!$I780/7</f>
        <v>178.57142857142858</v>
      </c>
    </row>
    <row r="781" spans="1:10" x14ac:dyDescent="0.25">
      <c r="A781" s="10" t="s">
        <v>18</v>
      </c>
      <c r="B781" s="325">
        <v>0.38</v>
      </c>
      <c r="C781" s="326">
        <v>0.35</v>
      </c>
      <c r="D781" s="326">
        <v>0.36</v>
      </c>
      <c r="E781" s="327">
        <v>0.37</v>
      </c>
      <c r="F781" s="328">
        <v>0.37</v>
      </c>
      <c r="G781" s="327">
        <v>0.34</v>
      </c>
      <c r="H781" s="327">
        <v>0.52</v>
      </c>
      <c r="I781" s="18">
        <f>I788/I793</f>
        <v>0.39273814294945059</v>
      </c>
      <c r="J781" s="19">
        <f>J788/J793</f>
        <v>0.39273814294945053</v>
      </c>
    </row>
    <row r="782" spans="1:10" x14ac:dyDescent="0.25">
      <c r="A782" s="10" t="s">
        <v>19</v>
      </c>
      <c r="B782" s="325">
        <v>0.03</v>
      </c>
      <c r="C782" s="326">
        <v>0.01</v>
      </c>
      <c r="D782" s="326">
        <v>0.01</v>
      </c>
      <c r="E782" s="327">
        <v>0.01</v>
      </c>
      <c r="F782" s="327">
        <v>0.02</v>
      </c>
      <c r="G782" s="327">
        <v>0.02</v>
      </c>
      <c r="H782" s="327">
        <v>0.02</v>
      </c>
      <c r="I782" s="18">
        <f>I789/I793</f>
        <v>1.6851862578732616E-2</v>
      </c>
      <c r="J782" s="19">
        <f>J789/J793</f>
        <v>1.6851862578732616E-2</v>
      </c>
    </row>
    <row r="783" spans="1:10" x14ac:dyDescent="0.25">
      <c r="A783" s="10" t="s">
        <v>20</v>
      </c>
      <c r="B783" s="325">
        <v>0.59</v>
      </c>
      <c r="C783" s="326">
        <v>0.64</v>
      </c>
      <c r="D783" s="326">
        <v>0.57999999999999996</v>
      </c>
      <c r="E783" s="327">
        <v>0.6</v>
      </c>
      <c r="F783" s="329">
        <v>0.61</v>
      </c>
      <c r="G783" s="327">
        <v>0.54</v>
      </c>
      <c r="H783" s="327">
        <v>0.45</v>
      </c>
      <c r="I783" s="18">
        <f>I790/I793</f>
        <v>0.56001479625530493</v>
      </c>
      <c r="J783" s="19">
        <f>J790/J793</f>
        <v>0.56001479625530493</v>
      </c>
    </row>
    <row r="784" spans="1:10" x14ac:dyDescent="0.25">
      <c r="A784" s="10" t="s">
        <v>21</v>
      </c>
      <c r="B784" s="325">
        <v>0</v>
      </c>
      <c r="C784" s="326">
        <v>0</v>
      </c>
      <c r="D784" s="326">
        <v>0.05</v>
      </c>
      <c r="E784" s="327">
        <v>0.02</v>
      </c>
      <c r="F784" s="329">
        <v>0</v>
      </c>
      <c r="G784" s="327">
        <v>0.1</v>
      </c>
      <c r="H784" s="327">
        <v>0.01</v>
      </c>
      <c r="I784" s="18">
        <f>I791/I793</f>
        <v>3.0395198216511855E-2</v>
      </c>
      <c r="J784" s="19">
        <f>J791/J793</f>
        <v>3.0395198216511855E-2</v>
      </c>
    </row>
    <row r="785" spans="1:10" x14ac:dyDescent="0.25">
      <c r="A785" s="10" t="s">
        <v>22</v>
      </c>
      <c r="B785" s="325">
        <v>0</v>
      </c>
      <c r="C785" s="326">
        <v>0</v>
      </c>
      <c r="D785" s="326">
        <v>0</v>
      </c>
      <c r="E785" s="327">
        <v>0</v>
      </c>
      <c r="F785" s="329">
        <v>0</v>
      </c>
      <c r="G785" s="327">
        <v>0</v>
      </c>
      <c r="H785" s="327">
        <v>0</v>
      </c>
      <c r="I785" s="18">
        <f>I792/I793</f>
        <v>0</v>
      </c>
      <c r="J785" s="19">
        <f>J792/J793</f>
        <v>0</v>
      </c>
    </row>
    <row r="786" spans="1:10" x14ac:dyDescent="0.25">
      <c r="A786" s="24" t="s">
        <v>23</v>
      </c>
      <c r="B786" s="130">
        <f t="shared" ref="B786:J786" si="339">B797/B780</f>
        <v>35311.290322580644</v>
      </c>
      <c r="C786" s="131">
        <f t="shared" si="339"/>
        <v>33662.328767123297</v>
      </c>
      <c r="D786" s="131">
        <f t="shared" si="339"/>
        <v>33299.541284403669</v>
      </c>
      <c r="E786" s="130">
        <f t="shared" si="339"/>
        <v>33899.421965317917</v>
      </c>
      <c r="F786" s="132">
        <f t="shared" si="339"/>
        <v>35013.63636363636</v>
      </c>
      <c r="G786" s="130">
        <f t="shared" si="339"/>
        <v>35090.654205607476</v>
      </c>
      <c r="H786" s="130">
        <f t="shared" si="339"/>
        <v>37173.662551440328</v>
      </c>
      <c r="I786" s="314">
        <f t="shared" si="339"/>
        <v>34865.280000000006</v>
      </c>
      <c r="J786" s="132">
        <f t="shared" si="339"/>
        <v>34865.280000000006</v>
      </c>
    </row>
    <row r="787" spans="1:10" x14ac:dyDescent="0.25">
      <c r="A787" s="24" t="s">
        <v>24</v>
      </c>
      <c r="B787" s="130">
        <f t="shared" ref="B787:J787" si="340">B797/B774</f>
        <v>28249.032258064515</v>
      </c>
      <c r="C787" s="131">
        <f t="shared" si="340"/>
        <v>29606.626506024102</v>
      </c>
      <c r="D787" s="131">
        <f t="shared" si="340"/>
        <v>29389.878542510123</v>
      </c>
      <c r="E787" s="130">
        <f t="shared" si="340"/>
        <v>28331.400966183573</v>
      </c>
      <c r="F787" s="132">
        <f t="shared" si="340"/>
        <v>29251.898734177215</v>
      </c>
      <c r="G787" s="130">
        <f t="shared" si="340"/>
        <v>28125.0936329588</v>
      </c>
      <c r="H787" s="130">
        <f t="shared" si="340"/>
        <v>28952.564102564102</v>
      </c>
      <c r="I787" s="314">
        <f t="shared" si="340"/>
        <v>28823.80952380953</v>
      </c>
      <c r="J787" s="132">
        <f t="shared" si="340"/>
        <v>28823.80952380953</v>
      </c>
    </row>
    <row r="788" spans="1:10" x14ac:dyDescent="0.25">
      <c r="A788" s="10" t="s">
        <v>25</v>
      </c>
      <c r="B788" s="92">
        <f t="shared" ref="B788:H788" si="341">B793*B781</f>
        <v>1395061.7655172416</v>
      </c>
      <c r="C788" s="133">
        <f t="shared" si="341"/>
        <v>1447433.8706896552</v>
      </c>
      <c r="D788" s="133">
        <f t="shared" si="341"/>
        <v>2206338.2068965519</v>
      </c>
      <c r="E788" s="92">
        <f t="shared" si="341"/>
        <v>1824358.8724137931</v>
      </c>
      <c r="F788" s="134">
        <f t="shared" si="341"/>
        <v>1438314.0775862068</v>
      </c>
      <c r="G788" s="92">
        <f t="shared" si="341"/>
        <v>2149742.034482759</v>
      </c>
      <c r="H788" s="92">
        <f t="shared" si="341"/>
        <v>3914893.5172413797</v>
      </c>
      <c r="I788" s="92">
        <f>FLORESTA!$B788+FLORESTA!$C788+FLORESTA!$D788+FLORESTA!$E788+FLORESTA!$F788+FLORESTA!$G788+FLORESTA!$H788</f>
        <v>14376142.344827587</v>
      </c>
      <c r="J788" s="133">
        <f>FLORESTA!$I788/7</f>
        <v>2053734.6206896552</v>
      </c>
    </row>
    <row r="789" spans="1:10" x14ac:dyDescent="0.25">
      <c r="A789" s="10" t="s">
        <v>26</v>
      </c>
      <c r="B789" s="92">
        <f t="shared" ref="B789:H789" si="342">B793*B782</f>
        <v>110136.4551724138</v>
      </c>
      <c r="C789" s="133">
        <f t="shared" si="342"/>
        <v>41355.253448275871</v>
      </c>
      <c r="D789" s="133">
        <f t="shared" si="342"/>
        <v>61287.172413793101</v>
      </c>
      <c r="E789" s="92">
        <f t="shared" si="342"/>
        <v>49306.996551724144</v>
      </c>
      <c r="F789" s="134">
        <f t="shared" si="342"/>
        <v>77746.706896551725</v>
      </c>
      <c r="G789" s="92">
        <f t="shared" si="342"/>
        <v>126455.41379310345</v>
      </c>
      <c r="H789" s="92">
        <f t="shared" si="342"/>
        <v>150572.8275862069</v>
      </c>
      <c r="I789" s="92">
        <f>FLORESTA!$B789+FLORESTA!$C789+FLORESTA!$D789+FLORESTA!$E789+FLORESTA!$F789+FLORESTA!$G789+FLORESTA!$H789</f>
        <v>616860.82586206892</v>
      </c>
      <c r="J789" s="133">
        <f>FLORESTA!$I789/7</f>
        <v>88122.975123152704</v>
      </c>
    </row>
    <row r="790" spans="1:10" x14ac:dyDescent="0.25">
      <c r="A790" s="10" t="s">
        <v>27</v>
      </c>
      <c r="B790" s="92">
        <f t="shared" ref="B790:H790" si="343">B793*B783</f>
        <v>2166016.9517241381</v>
      </c>
      <c r="C790" s="133">
        <f t="shared" si="343"/>
        <v>2646736.2206896557</v>
      </c>
      <c r="D790" s="133">
        <f t="shared" si="343"/>
        <v>3554656</v>
      </c>
      <c r="E790" s="92">
        <f t="shared" si="343"/>
        <v>2958419.7931034486</v>
      </c>
      <c r="F790" s="134">
        <f t="shared" si="343"/>
        <v>2371274.5603448278</v>
      </c>
      <c r="G790" s="92">
        <f t="shared" si="343"/>
        <v>3414296.1724137934</v>
      </c>
      <c r="H790" s="92">
        <f t="shared" si="343"/>
        <v>3387888.6206896557</v>
      </c>
      <c r="I790" s="92">
        <f>FLORESTA!$B790+FLORESTA!$C790+FLORESTA!$D790+FLORESTA!$E790+FLORESTA!$F790+FLORESTA!$G790+FLORESTA!$H790</f>
        <v>20499288.318965521</v>
      </c>
      <c r="J790" s="133">
        <f>FLORESTA!$I790/7</f>
        <v>2928469.759852217</v>
      </c>
    </row>
    <row r="791" spans="1:10" x14ac:dyDescent="0.25">
      <c r="A791" s="10" t="s">
        <v>28</v>
      </c>
      <c r="B791" s="92">
        <f t="shared" ref="B791:H791" si="344">B793*B784</f>
        <v>0</v>
      </c>
      <c r="C791" s="133">
        <f t="shared" si="344"/>
        <v>0</v>
      </c>
      <c r="D791" s="133">
        <f t="shared" si="344"/>
        <v>306435.86206896551</v>
      </c>
      <c r="E791" s="92">
        <f t="shared" si="344"/>
        <v>98613.993103448287</v>
      </c>
      <c r="F791" s="134">
        <f t="shared" si="344"/>
        <v>0</v>
      </c>
      <c r="G791" s="92">
        <f t="shared" si="344"/>
        <v>632277.06896551733</v>
      </c>
      <c r="H791" s="92">
        <f t="shared" si="344"/>
        <v>75286.413793103449</v>
      </c>
      <c r="I791" s="92">
        <f>FLORESTA!$B791+FLORESTA!$C791+FLORESTA!$D791+FLORESTA!$E791+FLORESTA!$F791+FLORESTA!$G791+FLORESTA!$H791</f>
        <v>1112613.3379310346</v>
      </c>
      <c r="J791" s="133">
        <f>FLORESTA!$I791/7</f>
        <v>158944.76256157638</v>
      </c>
    </row>
    <row r="792" spans="1:10" x14ac:dyDescent="0.25">
      <c r="A792" s="10" t="s">
        <v>29</v>
      </c>
      <c r="B792" s="92">
        <f t="shared" ref="B792:H792" si="345">B793*B785</f>
        <v>0</v>
      </c>
      <c r="C792" s="133">
        <f t="shared" si="345"/>
        <v>0</v>
      </c>
      <c r="D792" s="133">
        <f t="shared" si="345"/>
        <v>0</v>
      </c>
      <c r="E792" s="92">
        <f t="shared" si="345"/>
        <v>0</v>
      </c>
      <c r="F792" s="134">
        <f t="shared" si="345"/>
        <v>0</v>
      </c>
      <c r="G792" s="92">
        <f t="shared" si="345"/>
        <v>0</v>
      </c>
      <c r="H792" s="92">
        <f t="shared" si="345"/>
        <v>0</v>
      </c>
      <c r="I792" s="92">
        <f>FLORESTA!$B792+FLORESTA!$C792+FLORESTA!$D792+FLORESTA!$E792+FLORESTA!$F792+FLORESTA!$G792+FLORESTA!$H792</f>
        <v>0</v>
      </c>
      <c r="J792" s="133">
        <f>FLORESTA!$I792/7</f>
        <v>0</v>
      </c>
    </row>
    <row r="793" spans="1:10" x14ac:dyDescent="0.25">
      <c r="A793" s="33" t="s">
        <v>30</v>
      </c>
      <c r="B793" s="222">
        <f>(4378600/1.16)-B794</f>
        <v>3671215.1724137934</v>
      </c>
      <c r="C793" s="222">
        <f>(4914700/1.16)-C794</f>
        <v>4135525.3448275868</v>
      </c>
      <c r="D793" s="222">
        <f>(7259300/1.16)-D794</f>
        <v>6128717.2413793104</v>
      </c>
      <c r="E793" s="222">
        <f>(5864600/1.16)-E794</f>
        <v>4930699.6551724141</v>
      </c>
      <c r="F793" s="222">
        <f>(4621800/1.16)-F794</f>
        <v>3887335.3448275863</v>
      </c>
      <c r="G793" s="222">
        <f>(7509400/1.16)-G794</f>
        <v>6322770.6896551726</v>
      </c>
      <c r="H793" s="222">
        <f>(9033200/1.16)-H794</f>
        <v>7528641.3793103453</v>
      </c>
      <c r="I793" s="91">
        <f>SUM(I788:I792)</f>
        <v>36604904.827586211</v>
      </c>
      <c r="J793" s="136">
        <f>FLORESTA!$I793/7</f>
        <v>5229272.1182266017</v>
      </c>
    </row>
    <row r="794" spans="1:10" x14ac:dyDescent="0.25">
      <c r="A794" s="10" t="s">
        <v>31</v>
      </c>
      <c r="B794" s="94">
        <f t="shared" ref="B794:J794" si="346">2155*B775</f>
        <v>103440</v>
      </c>
      <c r="C794" s="139">
        <f t="shared" si="346"/>
        <v>101285</v>
      </c>
      <c r="D794" s="139">
        <f t="shared" si="346"/>
        <v>129300</v>
      </c>
      <c r="E794" s="94">
        <f t="shared" si="346"/>
        <v>124990</v>
      </c>
      <c r="F794" s="112">
        <f t="shared" si="346"/>
        <v>96975</v>
      </c>
      <c r="G794" s="94">
        <f t="shared" si="346"/>
        <v>150850</v>
      </c>
      <c r="H794" s="94">
        <f t="shared" si="346"/>
        <v>258600</v>
      </c>
      <c r="I794" s="94">
        <f t="shared" si="346"/>
        <v>965440</v>
      </c>
      <c r="J794" s="139">
        <f t="shared" si="346"/>
        <v>137920</v>
      </c>
    </row>
    <row r="795" spans="1:10" x14ac:dyDescent="0.25">
      <c r="A795" s="37" t="s">
        <v>32</v>
      </c>
      <c r="B795" s="39">
        <f t="shared" ref="B795:H795" si="347">B793+B794</f>
        <v>3774655.1724137934</v>
      </c>
      <c r="C795" s="40">
        <f t="shared" si="347"/>
        <v>4236810.3448275868</v>
      </c>
      <c r="D795" s="40">
        <f t="shared" si="347"/>
        <v>6258017.2413793104</v>
      </c>
      <c r="E795" s="39">
        <f t="shared" si="347"/>
        <v>5055689.6551724141</v>
      </c>
      <c r="F795" s="140">
        <f t="shared" si="347"/>
        <v>3984310.3448275863</v>
      </c>
      <c r="G795" s="39">
        <f t="shared" si="347"/>
        <v>6473620.6896551726</v>
      </c>
      <c r="H795" s="39">
        <f t="shared" si="347"/>
        <v>7787241.3793103453</v>
      </c>
      <c r="I795" s="39">
        <f>I793+I794</f>
        <v>37570344.827586211</v>
      </c>
      <c r="J795" s="40">
        <f>J793+J794</f>
        <v>5367192.1182266017</v>
      </c>
    </row>
    <row r="796" spans="1:10" x14ac:dyDescent="0.25">
      <c r="A796" s="10" t="s">
        <v>33</v>
      </c>
      <c r="B796" s="41">
        <f t="shared" ref="B796:H796" si="348">B795*16%</f>
        <v>603944.82758620696</v>
      </c>
      <c r="C796" s="42">
        <f t="shared" si="348"/>
        <v>677889.65517241391</v>
      </c>
      <c r="D796" s="42">
        <f t="shared" si="348"/>
        <v>1001282.7586206896</v>
      </c>
      <c r="E796" s="41">
        <f t="shared" si="348"/>
        <v>808910.34482758632</v>
      </c>
      <c r="F796" s="141">
        <f t="shared" si="348"/>
        <v>637489.6551724138</v>
      </c>
      <c r="G796" s="41">
        <f t="shared" si="348"/>
        <v>1035779.3103448276</v>
      </c>
      <c r="H796" s="41">
        <f t="shared" si="348"/>
        <v>1245958.6206896552</v>
      </c>
      <c r="I796" s="41">
        <f>I795*16%</f>
        <v>6011255.1724137943</v>
      </c>
      <c r="J796" s="42">
        <f>J795*16%</f>
        <v>858750.73891625635</v>
      </c>
    </row>
    <row r="797" spans="1:10" x14ac:dyDescent="0.25">
      <c r="A797" s="43" t="s">
        <v>34</v>
      </c>
      <c r="B797" s="315">
        <f t="shared" ref="B797:H797" si="349">B795+B796</f>
        <v>4378600</v>
      </c>
      <c r="C797" s="315">
        <f t="shared" si="349"/>
        <v>4914700.0000000009</v>
      </c>
      <c r="D797" s="315">
        <f t="shared" si="349"/>
        <v>7259300</v>
      </c>
      <c r="E797" s="178">
        <f t="shared" si="349"/>
        <v>5864600</v>
      </c>
      <c r="F797" s="182">
        <f t="shared" si="349"/>
        <v>4621800</v>
      </c>
      <c r="G797" s="178">
        <f t="shared" si="349"/>
        <v>7509400</v>
      </c>
      <c r="H797" s="178">
        <f t="shared" si="349"/>
        <v>9033200</v>
      </c>
      <c r="I797" s="178">
        <f>I795+I796</f>
        <v>43581600.000000007</v>
      </c>
      <c r="J797" s="315">
        <f>FLORESTA!$I797/7</f>
        <v>6225942.8571428582</v>
      </c>
    </row>
    <row r="799" spans="1:10" ht="12.75" customHeight="1" x14ac:dyDescent="0.25">
      <c r="A799" s="149"/>
      <c r="B799" s="1006" t="s">
        <v>369</v>
      </c>
      <c r="C799" s="1006"/>
      <c r="D799" s="1006"/>
      <c r="E799" s="1006"/>
      <c r="F799" s="1006"/>
      <c r="G799" s="1006"/>
      <c r="H799" s="1006"/>
      <c r="I799" s="1006"/>
    </row>
    <row r="800" spans="1:10" x14ac:dyDescent="0.25">
      <c r="A800" s="149"/>
      <c r="B800" s="1006"/>
      <c r="C800" s="1006"/>
      <c r="D800" s="1006"/>
      <c r="E800" s="1006"/>
      <c r="F800" s="1006"/>
      <c r="G800" s="1006"/>
      <c r="H800" s="1006"/>
      <c r="I800" s="1006"/>
    </row>
    <row r="801" spans="1:10" ht="15.75" x14ac:dyDescent="0.25">
      <c r="A801" s="72" t="s">
        <v>2</v>
      </c>
      <c r="B801" s="121" t="s">
        <v>123</v>
      </c>
      <c r="C801" s="121" t="s">
        <v>124</v>
      </c>
      <c r="D801" s="121" t="s">
        <v>125</v>
      </c>
      <c r="E801" s="121" t="s">
        <v>126</v>
      </c>
      <c r="F801" s="121" t="s">
        <v>127</v>
      </c>
      <c r="G801" s="121" t="s">
        <v>128</v>
      </c>
      <c r="H801" s="121" t="s">
        <v>272</v>
      </c>
      <c r="I801" s="51" t="s">
        <v>10</v>
      </c>
      <c r="J801" s="51" t="s">
        <v>77</v>
      </c>
    </row>
    <row r="802" spans="1:10" x14ac:dyDescent="0.25">
      <c r="A802" s="74" t="s">
        <v>11</v>
      </c>
      <c r="B802" s="55">
        <v>114</v>
      </c>
      <c r="C802" s="56">
        <v>90</v>
      </c>
      <c r="D802" s="54">
        <v>96</v>
      </c>
      <c r="E802" s="316">
        <v>105</v>
      </c>
      <c r="F802" s="311">
        <v>314</v>
      </c>
      <c r="G802" s="58">
        <v>425</v>
      </c>
      <c r="H802" s="57">
        <v>282</v>
      </c>
      <c r="I802" s="311">
        <f t="shared" ref="I802:I807" si="350">SUM(B802:H802)</f>
        <v>1426</v>
      </c>
      <c r="J802" s="317">
        <f>FLORESTA!$I802/7</f>
        <v>203.71428571428572</v>
      </c>
    </row>
    <row r="803" spans="1:10" x14ac:dyDescent="0.25">
      <c r="A803" s="10" t="s">
        <v>12</v>
      </c>
      <c r="B803" s="11">
        <v>31</v>
      </c>
      <c r="C803" s="13">
        <v>18</v>
      </c>
      <c r="D803" s="320">
        <v>27</v>
      </c>
      <c r="E803" s="11">
        <v>40</v>
      </c>
      <c r="F803" s="125">
        <v>104</v>
      </c>
      <c r="G803" s="11">
        <v>142</v>
      </c>
      <c r="H803" s="11">
        <v>83</v>
      </c>
      <c r="I803" s="313">
        <f t="shared" si="350"/>
        <v>445</v>
      </c>
      <c r="J803" s="318">
        <f>FLORESTA!$I803/7</f>
        <v>63.571428571428569</v>
      </c>
    </row>
    <row r="804" spans="1:10" x14ac:dyDescent="0.25">
      <c r="A804" s="10" t="s">
        <v>13</v>
      </c>
      <c r="B804" s="11">
        <v>2</v>
      </c>
      <c r="C804" s="13">
        <v>1</v>
      </c>
      <c r="D804" s="13">
        <v>0</v>
      </c>
      <c r="E804" s="11">
        <v>0</v>
      </c>
      <c r="F804" s="125">
        <v>5</v>
      </c>
      <c r="G804" s="11">
        <v>4</v>
      </c>
      <c r="H804" s="11">
        <v>2</v>
      </c>
      <c r="I804" s="313">
        <f t="shared" si="350"/>
        <v>14</v>
      </c>
      <c r="J804" s="318">
        <f>C804+D804+E804+F804+G804+H804+I804</f>
        <v>26</v>
      </c>
    </row>
    <row r="805" spans="1:10" x14ac:dyDescent="0.25">
      <c r="A805" s="10" t="s">
        <v>14</v>
      </c>
      <c r="B805" s="11">
        <v>49</v>
      </c>
      <c r="C805" s="13">
        <v>54</v>
      </c>
      <c r="D805" s="13">
        <v>51</v>
      </c>
      <c r="E805" s="11">
        <v>45</v>
      </c>
      <c r="F805" s="125">
        <v>140</v>
      </c>
      <c r="G805" s="11">
        <v>197</v>
      </c>
      <c r="H805" s="11">
        <v>136</v>
      </c>
      <c r="I805" s="313">
        <f t="shared" si="350"/>
        <v>672</v>
      </c>
      <c r="J805" s="318">
        <f>FLORESTA!$I805/7</f>
        <v>96</v>
      </c>
    </row>
    <row r="806" spans="1:10" x14ac:dyDescent="0.25">
      <c r="A806" s="10" t="s">
        <v>15</v>
      </c>
      <c r="B806" s="11">
        <v>12</v>
      </c>
      <c r="C806" s="13">
        <v>4</v>
      </c>
      <c r="D806" s="13">
        <v>9</v>
      </c>
      <c r="E806" s="11">
        <v>3</v>
      </c>
      <c r="F806" s="125">
        <v>10</v>
      </c>
      <c r="G806" s="11">
        <v>23</v>
      </c>
      <c r="H806" s="11">
        <v>2</v>
      </c>
      <c r="I806" s="313">
        <f t="shared" si="350"/>
        <v>63</v>
      </c>
      <c r="J806" s="318">
        <f>FLORESTA!$I806/7</f>
        <v>9</v>
      </c>
    </row>
    <row r="807" spans="1:10" x14ac:dyDescent="0.25">
      <c r="A807" s="10" t="s">
        <v>16</v>
      </c>
      <c r="B807" s="11">
        <v>0</v>
      </c>
      <c r="C807" s="13">
        <v>0</v>
      </c>
      <c r="D807" s="13">
        <v>0</v>
      </c>
      <c r="E807" s="11">
        <v>0</v>
      </c>
      <c r="F807" s="125"/>
      <c r="G807" s="11">
        <v>0</v>
      </c>
      <c r="H807" s="11">
        <v>0</v>
      </c>
      <c r="I807" s="313">
        <f t="shared" si="350"/>
        <v>0</v>
      </c>
      <c r="J807" s="318">
        <f>FLORESTA!$I807/7</f>
        <v>0</v>
      </c>
    </row>
    <row r="808" spans="1:10" x14ac:dyDescent="0.25">
      <c r="A808" s="15" t="s">
        <v>17</v>
      </c>
      <c r="B808" s="79">
        <f t="shared" ref="B808:I808" si="351">SUM(B803:B807)</f>
        <v>94</v>
      </c>
      <c r="C808" s="79">
        <f t="shared" si="351"/>
        <v>77</v>
      </c>
      <c r="D808" s="79">
        <f t="shared" si="351"/>
        <v>87</v>
      </c>
      <c r="E808" s="103">
        <f t="shared" si="351"/>
        <v>88</v>
      </c>
      <c r="F808" s="213">
        <f t="shared" si="351"/>
        <v>259</v>
      </c>
      <c r="G808" s="103">
        <f t="shared" si="351"/>
        <v>366</v>
      </c>
      <c r="H808" s="103">
        <f t="shared" si="351"/>
        <v>223</v>
      </c>
      <c r="I808" s="103">
        <f t="shared" si="351"/>
        <v>1194</v>
      </c>
      <c r="J808" s="319">
        <f>FLORESTA!$I808/7</f>
        <v>170.57142857142858</v>
      </c>
    </row>
    <row r="809" spans="1:10" x14ac:dyDescent="0.25">
      <c r="A809" s="10" t="s">
        <v>18</v>
      </c>
      <c r="B809" s="325">
        <v>0.42</v>
      </c>
      <c r="C809" s="326">
        <v>0.28999999999999998</v>
      </c>
      <c r="D809" s="326">
        <v>0.36</v>
      </c>
      <c r="E809" s="327">
        <v>0.52</v>
      </c>
      <c r="F809" s="328">
        <v>0.43</v>
      </c>
      <c r="G809" s="327">
        <v>0.44</v>
      </c>
      <c r="H809" s="327">
        <v>0.39</v>
      </c>
      <c r="I809" s="18">
        <f>I816/I821</f>
        <v>0.41811055576206158</v>
      </c>
      <c r="J809" s="19">
        <f>J816/J821</f>
        <v>0.41811055576206158</v>
      </c>
    </row>
    <row r="810" spans="1:10" x14ac:dyDescent="0.25">
      <c r="A810" s="10" t="s">
        <v>19</v>
      </c>
      <c r="B810" s="325">
        <v>0.02</v>
      </c>
      <c r="C810" s="326">
        <v>0.01</v>
      </c>
      <c r="D810" s="326">
        <v>0</v>
      </c>
      <c r="E810" s="327">
        <v>0</v>
      </c>
      <c r="F810" s="327">
        <v>0.03</v>
      </c>
      <c r="G810" s="327">
        <v>0.01</v>
      </c>
      <c r="H810" s="327">
        <v>0.01</v>
      </c>
      <c r="I810" s="18">
        <f>I817/I821</f>
        <v>1.3896303311697319E-2</v>
      </c>
      <c r="J810" s="19">
        <f>J817/J821</f>
        <v>1.3896303311697321E-2</v>
      </c>
    </row>
    <row r="811" spans="1:10" x14ac:dyDescent="0.25">
      <c r="A811" s="10" t="s">
        <v>20</v>
      </c>
      <c r="B811" s="325">
        <v>0.45</v>
      </c>
      <c r="C811" s="326">
        <v>0.65</v>
      </c>
      <c r="D811" s="326">
        <v>0.52</v>
      </c>
      <c r="E811" s="327">
        <v>0.45</v>
      </c>
      <c r="F811" s="329">
        <v>0.51</v>
      </c>
      <c r="G811" s="327">
        <v>0.49</v>
      </c>
      <c r="H811" s="327">
        <v>0.59</v>
      </c>
      <c r="I811" s="18">
        <f>I818/I821</f>
        <v>0.51890527854782753</v>
      </c>
      <c r="J811" s="19">
        <f>J818/J821</f>
        <v>0.51890527854782764</v>
      </c>
    </row>
    <row r="812" spans="1:10" x14ac:dyDescent="0.25">
      <c r="A812" s="10" t="s">
        <v>21</v>
      </c>
      <c r="B812" s="325">
        <v>0.11</v>
      </c>
      <c r="C812" s="326">
        <v>0.05</v>
      </c>
      <c r="D812" s="326">
        <v>0.12</v>
      </c>
      <c r="E812" s="327">
        <v>0.03</v>
      </c>
      <c r="F812" s="329">
        <v>0.03</v>
      </c>
      <c r="G812" s="327">
        <v>0.06</v>
      </c>
      <c r="H812" s="327">
        <v>0.01</v>
      </c>
      <c r="I812" s="18">
        <f>I819/I821</f>
        <v>4.9087862378413658E-2</v>
      </c>
      <c r="J812" s="19">
        <f>J819/J821</f>
        <v>4.9087862378413658E-2</v>
      </c>
    </row>
    <row r="813" spans="1:10" x14ac:dyDescent="0.25">
      <c r="A813" s="10" t="s">
        <v>22</v>
      </c>
      <c r="B813" s="325">
        <v>0</v>
      </c>
      <c r="C813" s="326">
        <v>0</v>
      </c>
      <c r="D813" s="326">
        <v>0</v>
      </c>
      <c r="E813" s="327">
        <v>0</v>
      </c>
      <c r="F813" s="329">
        <v>0</v>
      </c>
      <c r="G813" s="327">
        <v>0</v>
      </c>
      <c r="H813" s="327">
        <v>0</v>
      </c>
      <c r="I813" s="18">
        <f>I820/I821</f>
        <v>0</v>
      </c>
      <c r="J813" s="19">
        <f>J820/J821</f>
        <v>0</v>
      </c>
    </row>
    <row r="814" spans="1:10" x14ac:dyDescent="0.25">
      <c r="A814" s="24" t="s">
        <v>23</v>
      </c>
      <c r="B814" s="130">
        <f t="shared" ref="B814:J814" si="352">B825/B808</f>
        <v>35090.425531914894</v>
      </c>
      <c r="C814" s="131">
        <f t="shared" si="352"/>
        <v>30694.805194805202</v>
      </c>
      <c r="D814" s="131">
        <f t="shared" si="352"/>
        <v>31214.942528735639</v>
      </c>
      <c r="E814" s="130">
        <f t="shared" si="352"/>
        <v>33217.045454545463</v>
      </c>
      <c r="F814" s="132">
        <f t="shared" si="352"/>
        <v>35072.200772200769</v>
      </c>
      <c r="G814" s="130">
        <f t="shared" si="352"/>
        <v>34060.928961748636</v>
      </c>
      <c r="H814" s="130">
        <f t="shared" si="352"/>
        <v>34882.959641255613</v>
      </c>
      <c r="I814" s="314">
        <f t="shared" si="352"/>
        <v>34028.224455611387</v>
      </c>
      <c r="J814" s="132">
        <f t="shared" si="352"/>
        <v>34028.224455611387</v>
      </c>
    </row>
    <row r="815" spans="1:10" x14ac:dyDescent="0.25">
      <c r="A815" s="24" t="s">
        <v>24</v>
      </c>
      <c r="B815" s="130">
        <f t="shared" ref="B815:J815" si="353">B825/B802</f>
        <v>28934.21052631579</v>
      </c>
      <c r="C815" s="131">
        <f t="shared" si="353"/>
        <v>26261.111111111117</v>
      </c>
      <c r="D815" s="131">
        <f t="shared" si="353"/>
        <v>28288.541666666672</v>
      </c>
      <c r="E815" s="130">
        <f t="shared" si="353"/>
        <v>27839.047619047622</v>
      </c>
      <c r="F815" s="132">
        <f t="shared" si="353"/>
        <v>28928.980891719744</v>
      </c>
      <c r="G815" s="130">
        <f t="shared" si="353"/>
        <v>29332.470588235294</v>
      </c>
      <c r="H815" s="130">
        <f t="shared" si="353"/>
        <v>27584.751773049647</v>
      </c>
      <c r="I815" s="314">
        <f t="shared" si="353"/>
        <v>28492.075736325387</v>
      </c>
      <c r="J815" s="132">
        <f t="shared" si="353"/>
        <v>28492.075736325387</v>
      </c>
    </row>
    <row r="816" spans="1:10" x14ac:dyDescent="0.25">
      <c r="A816" s="10" t="s">
        <v>25</v>
      </c>
      <c r="B816" s="92">
        <f t="shared" ref="B816:H816" si="354">B821*B809</f>
        <v>1166226.3827586207</v>
      </c>
      <c r="C816" s="133">
        <f t="shared" si="354"/>
        <v>579625.9</v>
      </c>
      <c r="D816" s="133">
        <f t="shared" si="354"/>
        <v>821856.84827586217</v>
      </c>
      <c r="E816" s="92">
        <f t="shared" si="354"/>
        <v>1265531.1724137934</v>
      </c>
      <c r="F816" s="134">
        <f t="shared" si="354"/>
        <v>3270862.0206896556</v>
      </c>
      <c r="G816" s="92">
        <f t="shared" si="354"/>
        <v>4593952.1517241383</v>
      </c>
      <c r="H816" s="92">
        <f t="shared" si="354"/>
        <v>2545562.4775862074</v>
      </c>
      <c r="I816" s="92">
        <f>FLORESTA!$B816+FLORESTA!$C816+FLORESTA!$D816+FLORESTA!$E816+FLORESTA!$F816+FLORESTA!$G816+FLORESTA!$H816</f>
        <v>14243616.953448279</v>
      </c>
      <c r="J816" s="133">
        <f>FLORESTA!$I816/7</f>
        <v>2034802.4219211827</v>
      </c>
    </row>
    <row r="817" spans="1:10" x14ac:dyDescent="0.25">
      <c r="A817" s="10" t="s">
        <v>26</v>
      </c>
      <c r="B817" s="92">
        <f t="shared" ref="B817:H817" si="355">B821*B810</f>
        <v>55534.589655172414</v>
      </c>
      <c r="C817" s="133">
        <f t="shared" si="355"/>
        <v>19987.100000000002</v>
      </c>
      <c r="D817" s="133">
        <f t="shared" si="355"/>
        <v>0</v>
      </c>
      <c r="E817" s="92">
        <f t="shared" si="355"/>
        <v>0</v>
      </c>
      <c r="F817" s="134">
        <f t="shared" si="355"/>
        <v>228199.67586206898</v>
      </c>
      <c r="G817" s="92">
        <f t="shared" si="355"/>
        <v>104408.00344827586</v>
      </c>
      <c r="H817" s="92">
        <f t="shared" si="355"/>
        <v>65270.832758620701</v>
      </c>
      <c r="I817" s="92">
        <f>FLORESTA!$B817+FLORESTA!$C817+FLORESTA!$D817+FLORESTA!$E817+FLORESTA!$F817+FLORESTA!$G817+FLORESTA!$H817</f>
        <v>473400.20172413799</v>
      </c>
      <c r="J817" s="133">
        <f>FLORESTA!$I817/7</f>
        <v>67628.600246305432</v>
      </c>
    </row>
    <row r="818" spans="1:10" x14ac:dyDescent="0.25">
      <c r="A818" s="10" t="s">
        <v>27</v>
      </c>
      <c r="B818" s="92">
        <f t="shared" ref="B818:H818" si="356">B821*B811</f>
        <v>1249528.2672413795</v>
      </c>
      <c r="C818" s="133">
        <f t="shared" si="356"/>
        <v>1299161.5000000002</v>
      </c>
      <c r="D818" s="133">
        <f t="shared" si="356"/>
        <v>1187126.5586206899</v>
      </c>
      <c r="E818" s="92">
        <f t="shared" si="356"/>
        <v>1095171.2068965519</v>
      </c>
      <c r="F818" s="134">
        <f t="shared" si="356"/>
        <v>3879394.4896551729</v>
      </c>
      <c r="G818" s="92">
        <f t="shared" si="356"/>
        <v>5115992.1689655175</v>
      </c>
      <c r="H818" s="92">
        <f t="shared" si="356"/>
        <v>3850979.1327586211</v>
      </c>
      <c r="I818" s="92">
        <f>FLORESTA!$B818+FLORESTA!$C818+FLORESTA!$D818+FLORESTA!$E818+FLORESTA!$F818+FLORESTA!$G818+FLORESTA!$H818</f>
        <v>17677353.324137934</v>
      </c>
      <c r="J818" s="133">
        <f>FLORESTA!$I818/7</f>
        <v>2525336.1891625621</v>
      </c>
    </row>
    <row r="819" spans="1:10" x14ac:dyDescent="0.25">
      <c r="A819" s="10" t="s">
        <v>28</v>
      </c>
      <c r="B819" s="92">
        <f t="shared" ref="B819:H819" si="357">B821*B812</f>
        <v>305440.2431034483</v>
      </c>
      <c r="C819" s="133">
        <f t="shared" si="357"/>
        <v>99935.500000000015</v>
      </c>
      <c r="D819" s="133">
        <f t="shared" si="357"/>
        <v>273952.28275862068</v>
      </c>
      <c r="E819" s="92">
        <f t="shared" si="357"/>
        <v>73011.413793103449</v>
      </c>
      <c r="F819" s="134">
        <f t="shared" si="357"/>
        <v>228199.67586206898</v>
      </c>
      <c r="G819" s="92">
        <f t="shared" si="357"/>
        <v>626448.02068965521</v>
      </c>
      <c r="H819" s="92">
        <f t="shared" si="357"/>
        <v>65270.832758620701</v>
      </c>
      <c r="I819" s="92">
        <f>FLORESTA!$B819+FLORESTA!$C819+FLORESTA!$D819+FLORESTA!$E819+FLORESTA!$F819+FLORESTA!$G819+FLORESTA!$H819</f>
        <v>1672257.9689655171</v>
      </c>
      <c r="J819" s="133">
        <f>FLORESTA!$I819/7</f>
        <v>238893.99556650245</v>
      </c>
    </row>
    <row r="820" spans="1:10" x14ac:dyDescent="0.25">
      <c r="A820" s="10" t="s">
        <v>29</v>
      </c>
      <c r="B820" s="92">
        <f t="shared" ref="B820:H820" si="358">B821*B813</f>
        <v>0</v>
      </c>
      <c r="C820" s="133">
        <f t="shared" si="358"/>
        <v>0</v>
      </c>
      <c r="D820" s="133">
        <f t="shared" si="358"/>
        <v>0</v>
      </c>
      <c r="E820" s="92">
        <f t="shared" si="358"/>
        <v>0</v>
      </c>
      <c r="F820" s="134">
        <f t="shared" si="358"/>
        <v>0</v>
      </c>
      <c r="G820" s="92">
        <f t="shared" si="358"/>
        <v>0</v>
      </c>
      <c r="H820" s="92">
        <f t="shared" si="358"/>
        <v>0</v>
      </c>
      <c r="I820" s="92">
        <f>FLORESTA!$B820+FLORESTA!$C820+FLORESTA!$D820+FLORESTA!$E820+FLORESTA!$F820+FLORESTA!$G820+FLORESTA!$H820</f>
        <v>0</v>
      </c>
      <c r="J820" s="133">
        <f>FLORESTA!$I820/7</f>
        <v>0</v>
      </c>
    </row>
    <row r="821" spans="1:10" x14ac:dyDescent="0.25">
      <c r="A821" s="33" t="s">
        <v>30</v>
      </c>
      <c r="B821" s="222">
        <f>(3298500/1.16)-B822</f>
        <v>2776729.4827586208</v>
      </c>
      <c r="C821" s="222">
        <f>(2363500/1.16)-C822</f>
        <v>1998710.0000000002</v>
      </c>
      <c r="D821" s="222">
        <f>(2715700/1.16)-D822</f>
        <v>2282935.6896551726</v>
      </c>
      <c r="E821" s="222">
        <f>(2923100/1.16)-E822</f>
        <v>2433713.7931034486</v>
      </c>
      <c r="F821" s="222">
        <f>(9083700/1.16)-F822</f>
        <v>7606655.862068966</v>
      </c>
      <c r="G821" s="222">
        <f>(12466300/1.16)-G822</f>
        <v>10440800.344827587</v>
      </c>
      <c r="H821" s="222">
        <f>(7778900/1.16)-H822</f>
        <v>6527083.2758620698</v>
      </c>
      <c r="I821" s="91">
        <f>SUM(I816:I820)</f>
        <v>34066628.448275864</v>
      </c>
      <c r="J821" s="136">
        <f>FLORESTA!$I821/7</f>
        <v>4866661.2068965519</v>
      </c>
    </row>
    <row r="822" spans="1:10" x14ac:dyDescent="0.25">
      <c r="A822" s="10" t="s">
        <v>31</v>
      </c>
      <c r="B822" s="94">
        <f t="shared" ref="B822:J822" si="359">2155*B803</f>
        <v>66805</v>
      </c>
      <c r="C822" s="139">
        <f t="shared" si="359"/>
        <v>38790</v>
      </c>
      <c r="D822" s="139">
        <f t="shared" si="359"/>
        <v>58185</v>
      </c>
      <c r="E822" s="94">
        <f t="shared" si="359"/>
        <v>86200</v>
      </c>
      <c r="F822" s="112">
        <f t="shared" si="359"/>
        <v>224120</v>
      </c>
      <c r="G822" s="94">
        <f t="shared" si="359"/>
        <v>306010</v>
      </c>
      <c r="H822" s="94">
        <f t="shared" si="359"/>
        <v>178865</v>
      </c>
      <c r="I822" s="94">
        <f t="shared" si="359"/>
        <v>958975</v>
      </c>
      <c r="J822" s="139">
        <f t="shared" si="359"/>
        <v>136996.42857142858</v>
      </c>
    </row>
    <row r="823" spans="1:10" x14ac:dyDescent="0.25">
      <c r="A823" s="37" t="s">
        <v>32</v>
      </c>
      <c r="B823" s="39">
        <f t="shared" ref="B823:H823" si="360">B821+B822</f>
        <v>2843534.4827586208</v>
      </c>
      <c r="C823" s="40">
        <f t="shared" si="360"/>
        <v>2037500.0000000002</v>
      </c>
      <c r="D823" s="40">
        <f t="shared" si="360"/>
        <v>2341120.6896551726</v>
      </c>
      <c r="E823" s="39">
        <f t="shared" si="360"/>
        <v>2519913.7931034486</v>
      </c>
      <c r="F823" s="140">
        <f t="shared" si="360"/>
        <v>7830775.862068966</v>
      </c>
      <c r="G823" s="39">
        <f t="shared" si="360"/>
        <v>10746810.344827587</v>
      </c>
      <c r="H823" s="39">
        <f t="shared" si="360"/>
        <v>6705948.2758620698</v>
      </c>
      <c r="I823" s="39">
        <f>I821+I822</f>
        <v>35025603.448275864</v>
      </c>
      <c r="J823" s="40">
        <f>J821+J822</f>
        <v>5003657.6354679801</v>
      </c>
    </row>
    <row r="824" spans="1:10" x14ac:dyDescent="0.25">
      <c r="A824" s="10" t="s">
        <v>33</v>
      </c>
      <c r="B824" s="41">
        <f t="shared" ref="B824:H824" si="361">B823*16%</f>
        <v>454965.5172413793</v>
      </c>
      <c r="C824" s="42">
        <f t="shared" si="361"/>
        <v>326000.00000000006</v>
      </c>
      <c r="D824" s="42">
        <f t="shared" si="361"/>
        <v>374579.31034482765</v>
      </c>
      <c r="E824" s="41">
        <f t="shared" si="361"/>
        <v>403186.20689655177</v>
      </c>
      <c r="F824" s="141">
        <f t="shared" si="361"/>
        <v>1252924.1379310347</v>
      </c>
      <c r="G824" s="41">
        <f t="shared" si="361"/>
        <v>1719489.6551724139</v>
      </c>
      <c r="H824" s="41">
        <f t="shared" si="361"/>
        <v>1072951.7241379311</v>
      </c>
      <c r="I824" s="41">
        <f>I823*16%</f>
        <v>5604096.5517241387</v>
      </c>
      <c r="J824" s="42">
        <f>J823*16%</f>
        <v>800585.22167487687</v>
      </c>
    </row>
    <row r="825" spans="1:10" x14ac:dyDescent="0.25">
      <c r="A825" s="43" t="s">
        <v>34</v>
      </c>
      <c r="B825" s="315">
        <f t="shared" ref="B825:H825" si="362">B823+B824</f>
        <v>3298500</v>
      </c>
      <c r="C825" s="315">
        <f t="shared" si="362"/>
        <v>2363500.0000000005</v>
      </c>
      <c r="D825" s="315">
        <f t="shared" si="362"/>
        <v>2715700.0000000005</v>
      </c>
      <c r="E825" s="178">
        <f t="shared" si="362"/>
        <v>2923100.0000000005</v>
      </c>
      <c r="F825" s="182">
        <f t="shared" si="362"/>
        <v>9083700</v>
      </c>
      <c r="G825" s="178">
        <f t="shared" si="362"/>
        <v>12466300</v>
      </c>
      <c r="H825" s="178">
        <f t="shared" si="362"/>
        <v>7778900.0000000009</v>
      </c>
      <c r="I825" s="178">
        <f>I823+I824</f>
        <v>40629700</v>
      </c>
      <c r="J825" s="315">
        <f>FLORESTA!$I825/7</f>
        <v>5804242.8571428573</v>
      </c>
    </row>
    <row r="827" spans="1:10" ht="12.75" customHeight="1" x14ac:dyDescent="0.25">
      <c r="A827" s="149"/>
      <c r="B827" s="1006" t="s">
        <v>370</v>
      </c>
      <c r="C827" s="1006"/>
      <c r="D827" s="1006"/>
      <c r="E827" s="1006"/>
      <c r="F827" s="1006"/>
      <c r="G827" s="1006"/>
      <c r="H827" s="1006"/>
      <c r="I827" s="1006"/>
    </row>
    <row r="828" spans="1:10" x14ac:dyDescent="0.25">
      <c r="A828" s="149"/>
      <c r="B828" s="1006"/>
      <c r="C828" s="1006"/>
      <c r="D828" s="1006"/>
      <c r="E828" s="1006"/>
      <c r="F828" s="1006"/>
      <c r="G828" s="1006"/>
      <c r="H828" s="1006"/>
      <c r="I828" s="1006"/>
    </row>
    <row r="829" spans="1:10" ht="15.75" x14ac:dyDescent="0.25">
      <c r="A829" s="72" t="s">
        <v>2</v>
      </c>
      <c r="B829" s="121" t="s">
        <v>274</v>
      </c>
      <c r="C829" s="121" t="s">
        <v>275</v>
      </c>
      <c r="D829" s="121" t="s">
        <v>276</v>
      </c>
      <c r="E829" s="121" t="s">
        <v>277</v>
      </c>
      <c r="F829" s="121" t="s">
        <v>278</v>
      </c>
      <c r="G829" s="121" t="s">
        <v>279</v>
      </c>
      <c r="H829" s="121" t="s">
        <v>280</v>
      </c>
      <c r="I829" s="51" t="s">
        <v>10</v>
      </c>
      <c r="J829" s="51" t="s">
        <v>77</v>
      </c>
    </row>
    <row r="830" spans="1:10" x14ac:dyDescent="0.25">
      <c r="A830" s="74" t="s">
        <v>11</v>
      </c>
      <c r="B830" s="55">
        <v>92</v>
      </c>
      <c r="C830" s="56">
        <v>97</v>
      </c>
      <c r="D830" s="54">
        <v>117</v>
      </c>
      <c r="E830" s="316">
        <v>132</v>
      </c>
      <c r="F830" s="311">
        <v>251</v>
      </c>
      <c r="G830" s="58">
        <v>392</v>
      </c>
      <c r="H830" s="57">
        <v>327</v>
      </c>
      <c r="I830" s="311">
        <f t="shared" ref="I830:I835" si="363">SUM(B830:H830)</f>
        <v>1408</v>
      </c>
      <c r="J830" s="317">
        <f>FLORESTA!$I830/7</f>
        <v>201.14285714285714</v>
      </c>
    </row>
    <row r="831" spans="1:10" x14ac:dyDescent="0.25">
      <c r="A831" s="10" t="s">
        <v>12</v>
      </c>
      <c r="B831" s="11">
        <v>21</v>
      </c>
      <c r="C831" s="13">
        <v>30</v>
      </c>
      <c r="D831" s="320">
        <v>46</v>
      </c>
      <c r="E831" s="11">
        <v>40</v>
      </c>
      <c r="F831" s="125">
        <v>92</v>
      </c>
      <c r="G831" s="11">
        <v>118</v>
      </c>
      <c r="H831" s="11">
        <v>100</v>
      </c>
      <c r="I831" s="313">
        <f t="shared" si="363"/>
        <v>447</v>
      </c>
      <c r="J831" s="318">
        <f>FLORESTA!$I831/7</f>
        <v>63.857142857142854</v>
      </c>
    </row>
    <row r="832" spans="1:10" x14ac:dyDescent="0.25">
      <c r="A832" s="10" t="s">
        <v>13</v>
      </c>
      <c r="B832" s="11">
        <v>0</v>
      </c>
      <c r="C832" s="13">
        <v>0</v>
      </c>
      <c r="D832" s="13">
        <v>1</v>
      </c>
      <c r="E832" s="11">
        <v>0</v>
      </c>
      <c r="F832" s="125">
        <v>2</v>
      </c>
      <c r="G832" s="11">
        <v>3</v>
      </c>
      <c r="H832" s="11">
        <v>4</v>
      </c>
      <c r="I832" s="313">
        <f t="shared" si="363"/>
        <v>10</v>
      </c>
      <c r="J832" s="318">
        <f>C832+D832+E832+F832+G832+H832+I832</f>
        <v>20</v>
      </c>
    </row>
    <row r="833" spans="1:10" x14ac:dyDescent="0.25">
      <c r="A833" s="10" t="s">
        <v>14</v>
      </c>
      <c r="B833" s="11">
        <v>53</v>
      </c>
      <c r="C833" s="13">
        <v>48</v>
      </c>
      <c r="D833" s="13">
        <v>49</v>
      </c>
      <c r="E833" s="11">
        <v>72</v>
      </c>
      <c r="F833" s="125">
        <v>111</v>
      </c>
      <c r="G833" s="11">
        <v>170</v>
      </c>
      <c r="H833" s="11">
        <v>116</v>
      </c>
      <c r="I833" s="313">
        <f t="shared" si="363"/>
        <v>619</v>
      </c>
      <c r="J833" s="318">
        <f>FLORESTA!$I833/7</f>
        <v>88.428571428571431</v>
      </c>
    </row>
    <row r="834" spans="1:10" x14ac:dyDescent="0.25">
      <c r="A834" s="10" t="s">
        <v>15</v>
      </c>
      <c r="B834" s="11">
        <v>6</v>
      </c>
      <c r="C834" s="13">
        <v>6</v>
      </c>
      <c r="D834" s="13">
        <v>7</v>
      </c>
      <c r="E834" s="11">
        <v>0</v>
      </c>
      <c r="F834" s="125">
        <v>21</v>
      </c>
      <c r="G834" s="11">
        <v>25</v>
      </c>
      <c r="H834" s="11">
        <v>17</v>
      </c>
      <c r="I834" s="313">
        <f t="shared" si="363"/>
        <v>82</v>
      </c>
      <c r="J834" s="318">
        <f>FLORESTA!$I834/7</f>
        <v>11.714285714285714</v>
      </c>
    </row>
    <row r="835" spans="1:10" x14ac:dyDescent="0.25">
      <c r="A835" s="10" t="s">
        <v>16</v>
      </c>
      <c r="B835" s="11">
        <v>0</v>
      </c>
      <c r="C835" s="13">
        <v>0</v>
      </c>
      <c r="D835" s="13">
        <v>0</v>
      </c>
      <c r="E835" s="11">
        <v>0</v>
      </c>
      <c r="F835" s="125">
        <v>1</v>
      </c>
      <c r="G835" s="11">
        <v>0</v>
      </c>
      <c r="H835" s="11">
        <v>0</v>
      </c>
      <c r="I835" s="313">
        <f t="shared" si="363"/>
        <v>1</v>
      </c>
      <c r="J835" s="318">
        <f>FLORESTA!$I835/7</f>
        <v>0.14285714285714285</v>
      </c>
    </row>
    <row r="836" spans="1:10" x14ac:dyDescent="0.25">
      <c r="A836" s="15" t="s">
        <v>17</v>
      </c>
      <c r="B836" s="79">
        <f t="shared" ref="B836:I836" si="364">SUM(B831:B835)</f>
        <v>80</v>
      </c>
      <c r="C836" s="79">
        <f t="shared" si="364"/>
        <v>84</v>
      </c>
      <c r="D836" s="79">
        <f t="shared" si="364"/>
        <v>103</v>
      </c>
      <c r="E836" s="103">
        <f t="shared" si="364"/>
        <v>112</v>
      </c>
      <c r="F836" s="213">
        <f t="shared" si="364"/>
        <v>227</v>
      </c>
      <c r="G836" s="103">
        <f t="shared" si="364"/>
        <v>316</v>
      </c>
      <c r="H836" s="103">
        <f t="shared" si="364"/>
        <v>237</v>
      </c>
      <c r="I836" s="103">
        <f t="shared" si="364"/>
        <v>1159</v>
      </c>
      <c r="J836" s="319">
        <f>FLORESTA!$I836/7</f>
        <v>165.57142857142858</v>
      </c>
    </row>
    <row r="837" spans="1:10" x14ac:dyDescent="0.25">
      <c r="A837" s="10" t="s">
        <v>18</v>
      </c>
      <c r="B837" s="325">
        <v>0.4</v>
      </c>
      <c r="C837" s="326">
        <v>0.47</v>
      </c>
      <c r="D837" s="326">
        <v>0.5</v>
      </c>
      <c r="E837" s="327">
        <v>0.39</v>
      </c>
      <c r="F837" s="328">
        <v>0.49</v>
      </c>
      <c r="G837" s="327">
        <v>0.41</v>
      </c>
      <c r="H837" s="327">
        <v>0.45</v>
      </c>
      <c r="I837" s="18">
        <f>I844/I849</f>
        <v>0.4429775256807304</v>
      </c>
      <c r="J837" s="19">
        <f>J844/J849</f>
        <v>0.4429775256807304</v>
      </c>
    </row>
    <row r="838" spans="1:10" x14ac:dyDescent="0.25">
      <c r="A838" s="10" t="s">
        <v>19</v>
      </c>
      <c r="B838" s="325">
        <v>0</v>
      </c>
      <c r="C838" s="326">
        <v>0</v>
      </c>
      <c r="D838" s="326">
        <v>0.01</v>
      </c>
      <c r="E838" s="327">
        <v>0</v>
      </c>
      <c r="F838" s="327">
        <v>0.01</v>
      </c>
      <c r="G838" s="327">
        <v>0.01</v>
      </c>
      <c r="H838" s="327">
        <v>0.02</v>
      </c>
      <c r="I838" s="18">
        <f>I845/I849</f>
        <v>1.0043611149023801E-2</v>
      </c>
      <c r="J838" s="19">
        <f>J845/J849</f>
        <v>1.0043611149023801E-2</v>
      </c>
    </row>
    <row r="839" spans="1:10" x14ac:dyDescent="0.25">
      <c r="A839" s="10" t="s">
        <v>20</v>
      </c>
      <c r="B839" s="325">
        <v>0.55000000000000004</v>
      </c>
      <c r="C839" s="326">
        <v>0.47</v>
      </c>
      <c r="D839" s="326">
        <v>0.43</v>
      </c>
      <c r="E839" s="327">
        <v>0.61</v>
      </c>
      <c r="F839" s="329">
        <v>0.43</v>
      </c>
      <c r="G839" s="327">
        <v>0.51</v>
      </c>
      <c r="H839" s="327">
        <v>0.46</v>
      </c>
      <c r="I839" s="18">
        <f>I846/I849</f>
        <v>0.48586091053515063</v>
      </c>
      <c r="J839" s="19">
        <f>J846/J849</f>
        <v>0.48586091053515068</v>
      </c>
    </row>
    <row r="840" spans="1:10" x14ac:dyDescent="0.25">
      <c r="A840" s="10" t="s">
        <v>21</v>
      </c>
      <c r="B840" s="325">
        <v>0.05</v>
      </c>
      <c r="C840" s="326">
        <v>0.06</v>
      </c>
      <c r="D840" s="326">
        <v>0.06</v>
      </c>
      <c r="E840" s="327">
        <v>0</v>
      </c>
      <c r="F840" s="329">
        <v>7.0000000000000007E-2</v>
      </c>
      <c r="G840" s="327">
        <v>7.0000000000000007E-2</v>
      </c>
      <c r="H840" s="327">
        <v>7.0000000000000007E-2</v>
      </c>
      <c r="I840" s="18">
        <f>I847/I849</f>
        <v>6.1117952635095091E-2</v>
      </c>
      <c r="J840" s="19">
        <f>J847/J849</f>
        <v>6.1117952635095098E-2</v>
      </c>
    </row>
    <row r="841" spans="1:10" x14ac:dyDescent="0.25">
      <c r="A841" s="10" t="s">
        <v>22</v>
      </c>
      <c r="B841" s="325">
        <v>0</v>
      </c>
      <c r="C841" s="326">
        <v>0</v>
      </c>
      <c r="D841" s="326">
        <v>0</v>
      </c>
      <c r="E841" s="327">
        <v>0</v>
      </c>
      <c r="F841" s="329">
        <v>0</v>
      </c>
      <c r="G841" s="327">
        <v>0</v>
      </c>
      <c r="H841" s="327">
        <v>0</v>
      </c>
      <c r="I841" s="18">
        <f>I848/I849</f>
        <v>0</v>
      </c>
      <c r="J841" s="19">
        <f>J848/J849</f>
        <v>0</v>
      </c>
    </row>
    <row r="842" spans="1:10" x14ac:dyDescent="0.25">
      <c r="A842" s="24" t="s">
        <v>23</v>
      </c>
      <c r="B842" s="130">
        <f t="shared" ref="B842:J842" si="365">B853/B836</f>
        <v>30386.25</v>
      </c>
      <c r="C842" s="131">
        <f t="shared" si="365"/>
        <v>36595.238095238092</v>
      </c>
      <c r="D842" s="131">
        <f t="shared" si="365"/>
        <v>32381.553398058251</v>
      </c>
      <c r="E842" s="130">
        <f t="shared" si="365"/>
        <v>31418.75</v>
      </c>
      <c r="F842" s="132">
        <f t="shared" si="365"/>
        <v>31837.88546255507</v>
      </c>
      <c r="G842" s="130">
        <f t="shared" si="365"/>
        <v>36758.544303797469</v>
      </c>
      <c r="H842" s="130">
        <f t="shared" si="365"/>
        <v>38893.248945147679</v>
      </c>
      <c r="I842" s="314">
        <f t="shared" si="365"/>
        <v>34874.633304572912</v>
      </c>
      <c r="J842" s="132">
        <f t="shared" si="365"/>
        <v>34874.633304572912</v>
      </c>
    </row>
    <row r="843" spans="1:10" x14ac:dyDescent="0.25">
      <c r="A843" s="24" t="s">
        <v>24</v>
      </c>
      <c r="B843" s="130">
        <f t="shared" ref="B843:J843" si="366">B853/B830</f>
        <v>26422.82608695652</v>
      </c>
      <c r="C843" s="131">
        <f t="shared" si="366"/>
        <v>31690.721649484534</v>
      </c>
      <c r="D843" s="131">
        <f t="shared" si="366"/>
        <v>28506.837606837606</v>
      </c>
      <c r="E843" s="130">
        <f t="shared" si="366"/>
        <v>26658.333333333332</v>
      </c>
      <c r="F843" s="132">
        <f t="shared" si="366"/>
        <v>28793.625498007972</v>
      </c>
      <c r="G843" s="130">
        <f t="shared" si="366"/>
        <v>29631.887755102041</v>
      </c>
      <c r="H843" s="130">
        <f t="shared" si="366"/>
        <v>28188.685015290521</v>
      </c>
      <c r="I843" s="314">
        <f t="shared" si="366"/>
        <v>28707.173295454551</v>
      </c>
      <c r="J843" s="132">
        <f t="shared" si="366"/>
        <v>28707.173295454551</v>
      </c>
    </row>
    <row r="844" spans="1:10" x14ac:dyDescent="0.25">
      <c r="A844" s="10" t="s">
        <v>25</v>
      </c>
      <c r="B844" s="92">
        <f t="shared" ref="B844:H844" si="367">B849*B837</f>
        <v>820139.37931034493</v>
      </c>
      <c r="C844" s="133">
        <f t="shared" si="367"/>
        <v>1215114.5</v>
      </c>
      <c r="D844" s="133">
        <f t="shared" si="367"/>
        <v>1388064.3103448276</v>
      </c>
      <c r="E844" s="92">
        <f t="shared" si="367"/>
        <v>1149460.448275862</v>
      </c>
      <c r="F844" s="134">
        <f t="shared" si="367"/>
        <v>2955721.5655172416</v>
      </c>
      <c r="G844" s="92">
        <f t="shared" si="367"/>
        <v>4001290.2379310341</v>
      </c>
      <c r="H844" s="92">
        <f t="shared" si="367"/>
        <v>3478856.8965517245</v>
      </c>
      <c r="I844" s="92">
        <f>FLORESTA!$B844+FLORESTA!$C844+FLORESTA!$D844+FLORESTA!$E844+FLORESTA!$F844+FLORESTA!$G844+FLORESTA!$H844</f>
        <v>15008647.337931035</v>
      </c>
      <c r="J844" s="133">
        <f>FLORESTA!$I844/7</f>
        <v>2144092.4768472905</v>
      </c>
    </row>
    <row r="845" spans="1:10" x14ac:dyDescent="0.25">
      <c r="A845" s="10" t="s">
        <v>26</v>
      </c>
      <c r="B845" s="92">
        <f t="shared" ref="B845:H845" si="368">B849*B838</f>
        <v>0</v>
      </c>
      <c r="C845" s="133">
        <f t="shared" si="368"/>
        <v>0</v>
      </c>
      <c r="D845" s="133">
        <f t="shared" si="368"/>
        <v>27761.286206896551</v>
      </c>
      <c r="E845" s="92">
        <f t="shared" si="368"/>
        <v>0</v>
      </c>
      <c r="F845" s="134">
        <f t="shared" si="368"/>
        <v>60320.848275862074</v>
      </c>
      <c r="G845" s="92">
        <f t="shared" si="368"/>
        <v>97592.444827586209</v>
      </c>
      <c r="H845" s="92">
        <f t="shared" si="368"/>
        <v>154615.86206896554</v>
      </c>
      <c r="I845" s="92">
        <f>FLORESTA!$B845+FLORESTA!$C845+FLORESTA!$D845+FLORESTA!$E845+FLORESTA!$F845+FLORESTA!$G845+FLORESTA!$H845</f>
        <v>340290.44137931033</v>
      </c>
      <c r="J845" s="133">
        <f>FLORESTA!$I845/7</f>
        <v>48612.920197044332</v>
      </c>
    </row>
    <row r="846" spans="1:10" x14ac:dyDescent="0.25">
      <c r="A846" s="10" t="s">
        <v>27</v>
      </c>
      <c r="B846" s="92">
        <f t="shared" ref="B846:H846" si="369">B849*B839</f>
        <v>1127691.6465517243</v>
      </c>
      <c r="C846" s="133">
        <f t="shared" si="369"/>
        <v>1215114.5</v>
      </c>
      <c r="D846" s="133">
        <f t="shared" si="369"/>
        <v>1193735.3068965517</v>
      </c>
      <c r="E846" s="92">
        <f t="shared" si="369"/>
        <v>1797874.0344827587</v>
      </c>
      <c r="F846" s="134">
        <f t="shared" si="369"/>
        <v>2593796.4758620691</v>
      </c>
      <c r="G846" s="92">
        <f t="shared" si="369"/>
        <v>4977214.6862068968</v>
      </c>
      <c r="H846" s="92">
        <f t="shared" si="369"/>
        <v>3556164.8275862071</v>
      </c>
      <c r="I846" s="92">
        <f>FLORESTA!$B846+FLORESTA!$C846+FLORESTA!$D846+FLORESTA!$E846+FLORESTA!$F846+FLORESTA!$G846+FLORESTA!$H846</f>
        <v>16461591.477586208</v>
      </c>
      <c r="J846" s="133">
        <f>FLORESTA!$I846/7</f>
        <v>2351655.9253694583</v>
      </c>
    </row>
    <row r="847" spans="1:10" x14ac:dyDescent="0.25">
      <c r="A847" s="10" t="s">
        <v>28</v>
      </c>
      <c r="B847" s="92">
        <f t="shared" ref="B847:H847" si="370">B849*B840</f>
        <v>102517.42241379312</v>
      </c>
      <c r="C847" s="133">
        <f t="shared" si="370"/>
        <v>155121</v>
      </c>
      <c r="D847" s="133">
        <f t="shared" si="370"/>
        <v>166567.71724137932</v>
      </c>
      <c r="E847" s="92">
        <f t="shared" si="370"/>
        <v>0</v>
      </c>
      <c r="F847" s="134">
        <f t="shared" si="370"/>
        <v>422245.93793103454</v>
      </c>
      <c r="G847" s="92">
        <f t="shared" si="370"/>
        <v>683147.11379310349</v>
      </c>
      <c r="H847" s="92">
        <f t="shared" si="370"/>
        <v>541155.51724137936</v>
      </c>
      <c r="I847" s="92">
        <f>FLORESTA!$B847+FLORESTA!$C847+FLORESTA!$D847+FLORESTA!$E847+FLORESTA!$F847+FLORESTA!$G847+FLORESTA!$H847</f>
        <v>2070754.7086206898</v>
      </c>
      <c r="J847" s="133">
        <f>FLORESTA!$I847/7</f>
        <v>295822.10123152711</v>
      </c>
    </row>
    <row r="848" spans="1:10" x14ac:dyDescent="0.25">
      <c r="A848" s="10" t="s">
        <v>29</v>
      </c>
      <c r="B848" s="92">
        <f t="shared" ref="B848:H848" si="371">B849*B841</f>
        <v>0</v>
      </c>
      <c r="C848" s="133">
        <f t="shared" si="371"/>
        <v>0</v>
      </c>
      <c r="D848" s="133">
        <f t="shared" si="371"/>
        <v>0</v>
      </c>
      <c r="E848" s="92">
        <f t="shared" si="371"/>
        <v>0</v>
      </c>
      <c r="F848" s="134">
        <f t="shared" si="371"/>
        <v>0</v>
      </c>
      <c r="G848" s="92">
        <f t="shared" si="371"/>
        <v>0</v>
      </c>
      <c r="H848" s="92">
        <f t="shared" si="371"/>
        <v>0</v>
      </c>
      <c r="I848" s="92">
        <f>FLORESTA!$B848+FLORESTA!$C848+FLORESTA!$D848+FLORESTA!$E848+FLORESTA!$F848+FLORESTA!$G848+FLORESTA!$H848</f>
        <v>0</v>
      </c>
      <c r="J848" s="133">
        <f>FLORESTA!$I848/7</f>
        <v>0</v>
      </c>
    </row>
    <row r="849" spans="1:10" x14ac:dyDescent="0.25">
      <c r="A849" s="33" t="s">
        <v>30</v>
      </c>
      <c r="B849" s="222">
        <f>(2430900/1.16)-B850</f>
        <v>2050348.4482758623</v>
      </c>
      <c r="C849" s="222">
        <f>(3074000/1.16)-C850</f>
        <v>2585350</v>
      </c>
      <c r="D849" s="222">
        <f>(3335300/1.16)-D850</f>
        <v>2776128.6206896552</v>
      </c>
      <c r="E849" s="222">
        <f>(3518900/1.16)-E850</f>
        <v>2947334.4827586208</v>
      </c>
      <c r="F849" s="222">
        <f>(7227200/1.16)-F850</f>
        <v>6032084.8275862075</v>
      </c>
      <c r="G849" s="222">
        <f>(11615700/1.16)-G850</f>
        <v>9759244.4827586208</v>
      </c>
      <c r="H849" s="222">
        <f>(9217700/1.16)-H850</f>
        <v>7730793.1034482764</v>
      </c>
      <c r="I849" s="91">
        <f>SUM(I844:I848)</f>
        <v>33881283.965517245</v>
      </c>
      <c r="J849" s="136">
        <f>FLORESTA!$I849/7</f>
        <v>4840183.4236453203</v>
      </c>
    </row>
    <row r="850" spans="1:10" x14ac:dyDescent="0.25">
      <c r="A850" s="10" t="s">
        <v>31</v>
      </c>
      <c r="B850" s="94">
        <f t="shared" ref="B850:J850" si="372">2155*B831</f>
        <v>45255</v>
      </c>
      <c r="C850" s="139">
        <f t="shared" si="372"/>
        <v>64650</v>
      </c>
      <c r="D850" s="139">
        <f t="shared" si="372"/>
        <v>99130</v>
      </c>
      <c r="E850" s="94">
        <f t="shared" si="372"/>
        <v>86200</v>
      </c>
      <c r="F850" s="112">
        <f t="shared" si="372"/>
        <v>198260</v>
      </c>
      <c r="G850" s="94">
        <f t="shared" si="372"/>
        <v>254290</v>
      </c>
      <c r="H850" s="94">
        <f t="shared" si="372"/>
        <v>215500</v>
      </c>
      <c r="I850" s="94">
        <f t="shared" si="372"/>
        <v>963285</v>
      </c>
      <c r="J850" s="139">
        <f t="shared" si="372"/>
        <v>137612.14285714284</v>
      </c>
    </row>
    <row r="851" spans="1:10" x14ac:dyDescent="0.25">
      <c r="A851" s="37" t="s">
        <v>32</v>
      </c>
      <c r="B851" s="39">
        <f t="shared" ref="B851:H851" si="373">B849+B850</f>
        <v>2095603.4482758623</v>
      </c>
      <c r="C851" s="40">
        <f t="shared" si="373"/>
        <v>2650000</v>
      </c>
      <c r="D851" s="40">
        <f t="shared" si="373"/>
        <v>2875258.6206896552</v>
      </c>
      <c r="E851" s="39">
        <f t="shared" si="373"/>
        <v>3033534.4827586208</v>
      </c>
      <c r="F851" s="140">
        <f t="shared" si="373"/>
        <v>6230344.8275862075</v>
      </c>
      <c r="G851" s="39">
        <f t="shared" si="373"/>
        <v>10013534.482758621</v>
      </c>
      <c r="H851" s="39">
        <f t="shared" si="373"/>
        <v>7946293.1034482764</v>
      </c>
      <c r="I851" s="39">
        <f>I849+I850</f>
        <v>34844568.965517245</v>
      </c>
      <c r="J851" s="40">
        <f>J849+J850</f>
        <v>4977795.5665024631</v>
      </c>
    </row>
    <row r="852" spans="1:10" x14ac:dyDescent="0.25">
      <c r="A852" s="10" t="s">
        <v>33</v>
      </c>
      <c r="B852" s="41">
        <f t="shared" ref="B852:H852" si="374">B851*16%</f>
        <v>335296.55172413797</v>
      </c>
      <c r="C852" s="42">
        <f t="shared" si="374"/>
        <v>424000</v>
      </c>
      <c r="D852" s="42">
        <f t="shared" si="374"/>
        <v>460041.37931034481</v>
      </c>
      <c r="E852" s="41">
        <f t="shared" si="374"/>
        <v>485365.5172413793</v>
      </c>
      <c r="F852" s="141">
        <f t="shared" si="374"/>
        <v>996855.17241379328</v>
      </c>
      <c r="G852" s="41">
        <f t="shared" si="374"/>
        <v>1602165.5172413792</v>
      </c>
      <c r="H852" s="41">
        <f t="shared" si="374"/>
        <v>1271406.8965517243</v>
      </c>
      <c r="I852" s="41">
        <f>I851*16%</f>
        <v>5575131.0344827594</v>
      </c>
      <c r="J852" s="42">
        <f>J851*16%</f>
        <v>796447.29064039409</v>
      </c>
    </row>
    <row r="853" spans="1:10" x14ac:dyDescent="0.25">
      <c r="A853" s="43" t="s">
        <v>34</v>
      </c>
      <c r="B853" s="315">
        <f t="shared" ref="B853:H853" si="375">B851+B852</f>
        <v>2430900</v>
      </c>
      <c r="C853" s="315">
        <f t="shared" si="375"/>
        <v>3074000</v>
      </c>
      <c r="D853" s="315">
        <f t="shared" si="375"/>
        <v>3335300</v>
      </c>
      <c r="E853" s="178">
        <f t="shared" si="375"/>
        <v>3518900</v>
      </c>
      <c r="F853" s="182">
        <f t="shared" si="375"/>
        <v>7227200.0000000009</v>
      </c>
      <c r="G853" s="178">
        <f t="shared" si="375"/>
        <v>11615700</v>
      </c>
      <c r="H853" s="178">
        <f t="shared" si="375"/>
        <v>9217700</v>
      </c>
      <c r="I853" s="178">
        <f>I851+I852</f>
        <v>40419700.000000007</v>
      </c>
      <c r="J853" s="315">
        <f>FLORESTA!$I853/7</f>
        <v>5774242.8571428582</v>
      </c>
    </row>
    <row r="855" spans="1:10" ht="12.75" customHeight="1" x14ac:dyDescent="0.25">
      <c r="A855" s="149"/>
      <c r="B855" s="1006" t="s">
        <v>371</v>
      </c>
      <c r="C855" s="1006"/>
      <c r="D855" s="1006"/>
      <c r="E855" s="1006"/>
      <c r="F855" s="1006"/>
      <c r="G855" s="1006"/>
      <c r="H855" s="1006"/>
      <c r="I855" s="1006"/>
    </row>
    <row r="856" spans="1:10" x14ac:dyDescent="0.25">
      <c r="A856" s="149"/>
      <c r="B856" s="1006"/>
      <c r="C856" s="1006"/>
      <c r="D856" s="1006"/>
      <c r="E856" s="1006"/>
      <c r="F856" s="1006"/>
      <c r="G856" s="1006"/>
      <c r="H856" s="1006"/>
      <c r="I856" s="1006"/>
    </row>
    <row r="857" spans="1:10" ht="15.75" x14ac:dyDescent="0.25">
      <c r="A857" s="72" t="s">
        <v>2</v>
      </c>
      <c r="B857" s="121" t="s">
        <v>282</v>
      </c>
      <c r="C857" s="121" t="s">
        <v>4</v>
      </c>
      <c r="D857" s="121" t="s">
        <v>5</v>
      </c>
      <c r="E857" s="121" t="s">
        <v>6</v>
      </c>
      <c r="F857" s="121" t="s">
        <v>7</v>
      </c>
      <c r="G857" s="121" t="s">
        <v>283</v>
      </c>
      <c r="H857" s="121" t="s">
        <v>9</v>
      </c>
      <c r="I857" s="51" t="s">
        <v>10</v>
      </c>
      <c r="J857" s="51" t="s">
        <v>77</v>
      </c>
    </row>
    <row r="858" spans="1:10" x14ac:dyDescent="0.25">
      <c r="A858" s="74" t="s">
        <v>11</v>
      </c>
      <c r="B858" s="55">
        <v>97</v>
      </c>
      <c r="C858" s="56">
        <v>100</v>
      </c>
      <c r="D858" s="54">
        <v>94</v>
      </c>
      <c r="E858" s="316">
        <v>133</v>
      </c>
      <c r="F858" s="311">
        <v>310</v>
      </c>
      <c r="G858" s="58">
        <v>384</v>
      </c>
      <c r="H858" s="57">
        <v>319</v>
      </c>
      <c r="I858" s="311">
        <f t="shared" ref="I858:I863" si="376">SUM(B858:H858)</f>
        <v>1437</v>
      </c>
      <c r="J858" s="317">
        <f>FLORESTA!$I858/7</f>
        <v>205.28571428571428</v>
      </c>
    </row>
    <row r="859" spans="1:10" x14ac:dyDescent="0.25">
      <c r="A859" s="10" t="s">
        <v>12</v>
      </c>
      <c r="B859" s="11">
        <v>32</v>
      </c>
      <c r="C859" s="13">
        <v>36</v>
      </c>
      <c r="D859" s="320">
        <v>33</v>
      </c>
      <c r="E859" s="11">
        <v>47</v>
      </c>
      <c r="F859" s="125">
        <v>104</v>
      </c>
      <c r="G859" s="11">
        <v>138</v>
      </c>
      <c r="H859" s="11">
        <v>106</v>
      </c>
      <c r="I859" s="313">
        <f t="shared" si="376"/>
        <v>496</v>
      </c>
      <c r="J859" s="318">
        <f>FLORESTA!$I859/7</f>
        <v>70.857142857142861</v>
      </c>
    </row>
    <row r="860" spans="1:10" x14ac:dyDescent="0.25">
      <c r="A860" s="10" t="s">
        <v>13</v>
      </c>
      <c r="B860" s="11">
        <v>1</v>
      </c>
      <c r="C860" s="13">
        <v>3</v>
      </c>
      <c r="D860" s="13">
        <v>0</v>
      </c>
      <c r="E860" s="11">
        <v>0</v>
      </c>
      <c r="F860" s="125">
        <v>4</v>
      </c>
      <c r="G860" s="11">
        <v>1</v>
      </c>
      <c r="H860" s="11">
        <v>1</v>
      </c>
      <c r="I860" s="313">
        <f t="shared" si="376"/>
        <v>10</v>
      </c>
      <c r="J860" s="318">
        <f>C860+D860+E860+F860+G860+H860+I860</f>
        <v>19</v>
      </c>
    </row>
    <row r="861" spans="1:10" x14ac:dyDescent="0.25">
      <c r="A861" s="10" t="s">
        <v>14</v>
      </c>
      <c r="B861" s="11">
        <v>54</v>
      </c>
      <c r="C861" s="13">
        <v>48</v>
      </c>
      <c r="D861" s="320">
        <v>49</v>
      </c>
      <c r="E861" s="11">
        <v>60</v>
      </c>
      <c r="F861" s="125">
        <v>118</v>
      </c>
      <c r="G861" s="11">
        <v>134</v>
      </c>
      <c r="H861" s="11">
        <v>129</v>
      </c>
      <c r="I861" s="313">
        <f t="shared" si="376"/>
        <v>592</v>
      </c>
      <c r="J861" s="318">
        <f>FLORESTA!$I861/7</f>
        <v>84.571428571428569</v>
      </c>
    </row>
    <row r="862" spans="1:10" x14ac:dyDescent="0.25">
      <c r="A862" s="10" t="s">
        <v>15</v>
      </c>
      <c r="B862" s="11">
        <v>4</v>
      </c>
      <c r="C862" s="13">
        <v>2</v>
      </c>
      <c r="D862" s="13">
        <v>0</v>
      </c>
      <c r="E862" s="11">
        <v>2</v>
      </c>
      <c r="F862" s="125">
        <v>10</v>
      </c>
      <c r="G862" s="11">
        <v>34</v>
      </c>
      <c r="H862" s="11">
        <v>12</v>
      </c>
      <c r="I862" s="313">
        <f t="shared" si="376"/>
        <v>64</v>
      </c>
      <c r="J862" s="318">
        <f>FLORESTA!$I862/7</f>
        <v>9.1428571428571423</v>
      </c>
    </row>
    <row r="863" spans="1:10" x14ac:dyDescent="0.25">
      <c r="A863" s="10" t="s">
        <v>16</v>
      </c>
      <c r="B863" s="11">
        <v>0</v>
      </c>
      <c r="C863" s="13">
        <v>0</v>
      </c>
      <c r="D863" s="13">
        <v>0</v>
      </c>
      <c r="E863" s="11">
        <v>0</v>
      </c>
      <c r="F863" s="125">
        <v>0</v>
      </c>
      <c r="G863" s="11">
        <v>0</v>
      </c>
      <c r="H863" s="11">
        <v>0</v>
      </c>
      <c r="I863" s="313">
        <f t="shared" si="376"/>
        <v>0</v>
      </c>
      <c r="J863" s="318">
        <f>FLORESTA!$I863/7</f>
        <v>0</v>
      </c>
    </row>
    <row r="864" spans="1:10" x14ac:dyDescent="0.25">
      <c r="A864" s="15" t="s">
        <v>17</v>
      </c>
      <c r="B864" s="79">
        <f t="shared" ref="B864:I864" si="377">SUM(B859:B863)</f>
        <v>91</v>
      </c>
      <c r="C864" s="79">
        <f t="shared" si="377"/>
        <v>89</v>
      </c>
      <c r="D864" s="79">
        <f t="shared" si="377"/>
        <v>82</v>
      </c>
      <c r="E864" s="103">
        <f t="shared" si="377"/>
        <v>109</v>
      </c>
      <c r="F864" s="213">
        <f t="shared" si="377"/>
        <v>236</v>
      </c>
      <c r="G864" s="103">
        <f t="shared" si="377"/>
        <v>307</v>
      </c>
      <c r="H864" s="103">
        <f t="shared" si="377"/>
        <v>248</v>
      </c>
      <c r="I864" s="103">
        <f t="shared" si="377"/>
        <v>1162</v>
      </c>
      <c r="J864" s="319">
        <f>FLORESTA!$I864/7</f>
        <v>166</v>
      </c>
    </row>
    <row r="865" spans="1:10" x14ac:dyDescent="0.25">
      <c r="A865" s="10" t="s">
        <v>18</v>
      </c>
      <c r="B865" s="325">
        <v>0.41</v>
      </c>
      <c r="C865" s="326">
        <v>0.43</v>
      </c>
      <c r="D865" s="326">
        <v>0.42</v>
      </c>
      <c r="E865" s="327">
        <v>0.5</v>
      </c>
      <c r="F865" s="328">
        <v>0.52</v>
      </c>
      <c r="G865" s="327">
        <v>0.46</v>
      </c>
      <c r="H865" s="327">
        <v>0.44</v>
      </c>
      <c r="I865" s="18">
        <f>I872/I877</f>
        <v>0.46355604965794589</v>
      </c>
      <c r="J865" s="19">
        <f>J872/J877</f>
        <v>0.46355604965794589</v>
      </c>
    </row>
    <row r="866" spans="1:10" x14ac:dyDescent="0.25">
      <c r="A866" s="10" t="s">
        <v>19</v>
      </c>
      <c r="B866" s="325">
        <v>0.01</v>
      </c>
      <c r="C866" s="326">
        <v>0.05</v>
      </c>
      <c r="D866" s="326">
        <v>0</v>
      </c>
      <c r="E866" s="327">
        <v>0</v>
      </c>
      <c r="F866" s="327">
        <v>0.03</v>
      </c>
      <c r="G866" s="327">
        <v>0</v>
      </c>
      <c r="H866" s="327">
        <v>0</v>
      </c>
      <c r="I866" s="18">
        <f>I873/I877</f>
        <v>1.0606086888763178E-2</v>
      </c>
      <c r="J866" s="19">
        <f>J873/J877</f>
        <v>1.0606086888763178E-2</v>
      </c>
    </row>
    <row r="867" spans="1:10" x14ac:dyDescent="0.25">
      <c r="A867" s="10" t="s">
        <v>20</v>
      </c>
      <c r="B867" s="325">
        <v>0.54</v>
      </c>
      <c r="C867" s="326">
        <v>0.51</v>
      </c>
      <c r="D867" s="326">
        <v>0.57999999999999996</v>
      </c>
      <c r="E867" s="327">
        <v>0.48</v>
      </c>
      <c r="F867" s="329">
        <v>0.42</v>
      </c>
      <c r="G867" s="327">
        <v>0.44</v>
      </c>
      <c r="H867" s="327">
        <v>0.51</v>
      </c>
      <c r="I867" s="18">
        <f>I874/I877</f>
        <v>0.47553804785448317</v>
      </c>
      <c r="J867" s="19">
        <f>J874/J877</f>
        <v>0.47553804785448323</v>
      </c>
    </row>
    <row r="868" spans="1:10" x14ac:dyDescent="0.25">
      <c r="A868" s="10" t="s">
        <v>21</v>
      </c>
      <c r="B868" s="325">
        <v>0.04</v>
      </c>
      <c r="C868" s="326">
        <v>0.01</v>
      </c>
      <c r="D868" s="326">
        <v>0</v>
      </c>
      <c r="E868" s="327">
        <v>0.02</v>
      </c>
      <c r="F868" s="329">
        <v>0.03</v>
      </c>
      <c r="G868" s="327">
        <v>0.1</v>
      </c>
      <c r="H868" s="327">
        <v>0.05</v>
      </c>
      <c r="I868" s="18">
        <f>I875/I877</f>
        <v>5.0299815598807827E-2</v>
      </c>
      <c r="J868" s="19">
        <f>J875/J877</f>
        <v>5.0299815598807827E-2</v>
      </c>
    </row>
    <row r="869" spans="1:10" x14ac:dyDescent="0.25">
      <c r="A869" s="10" t="s">
        <v>22</v>
      </c>
      <c r="B869" s="325">
        <v>0</v>
      </c>
      <c r="C869" s="326">
        <v>0</v>
      </c>
      <c r="D869" s="326">
        <v>0</v>
      </c>
      <c r="E869" s="327">
        <v>0</v>
      </c>
      <c r="F869" s="329">
        <v>0</v>
      </c>
      <c r="G869" s="327">
        <v>0</v>
      </c>
      <c r="H869" s="327">
        <v>0</v>
      </c>
      <c r="I869" s="18">
        <f>I876/I877</f>
        <v>0</v>
      </c>
      <c r="J869" s="19">
        <f>J876/J877</f>
        <v>0</v>
      </c>
    </row>
    <row r="870" spans="1:10" x14ac:dyDescent="0.25">
      <c r="A870" s="24" t="s">
        <v>23</v>
      </c>
      <c r="B870" s="130">
        <f t="shared" ref="B870:J870" si="378">B881/B864</f>
        <v>27194.505494505494</v>
      </c>
      <c r="C870" s="131">
        <f t="shared" si="378"/>
        <v>33232.584269662919</v>
      </c>
      <c r="D870" s="131">
        <f t="shared" si="378"/>
        <v>31871.951219512193</v>
      </c>
      <c r="E870" s="130">
        <f t="shared" si="378"/>
        <v>31178.899082568809</v>
      </c>
      <c r="F870" s="132">
        <f t="shared" si="378"/>
        <v>35956.355932203391</v>
      </c>
      <c r="G870" s="130">
        <f t="shared" si="378"/>
        <v>36293.48534201955</v>
      </c>
      <c r="H870" s="130">
        <f t="shared" si="378"/>
        <v>37143.951612903227</v>
      </c>
      <c r="I870" s="314">
        <f t="shared" si="378"/>
        <v>34667.728055077452</v>
      </c>
      <c r="J870" s="132">
        <f t="shared" si="378"/>
        <v>34667.728055077452</v>
      </c>
    </row>
    <row r="871" spans="1:10" x14ac:dyDescent="0.25">
      <c r="A871" s="24" t="s">
        <v>24</v>
      </c>
      <c r="B871" s="130">
        <f t="shared" ref="B871:J871" si="379">B881/B858</f>
        <v>25512.371134020617</v>
      </c>
      <c r="C871" s="131">
        <f t="shared" si="379"/>
        <v>29577</v>
      </c>
      <c r="D871" s="131">
        <f t="shared" si="379"/>
        <v>27803.191489361703</v>
      </c>
      <c r="E871" s="130">
        <f t="shared" si="379"/>
        <v>25552.63157894737</v>
      </c>
      <c r="F871" s="132">
        <f t="shared" si="379"/>
        <v>27373.225806451614</v>
      </c>
      <c r="G871" s="130">
        <f t="shared" si="379"/>
        <v>29015.885416666672</v>
      </c>
      <c r="H871" s="130">
        <f t="shared" si="379"/>
        <v>28876.80250783699</v>
      </c>
      <c r="I871" s="314">
        <f t="shared" si="379"/>
        <v>28033.333333333332</v>
      </c>
      <c r="J871" s="132">
        <f t="shared" si="379"/>
        <v>28033.333333333336</v>
      </c>
    </row>
    <row r="872" spans="1:10" x14ac:dyDescent="0.25">
      <c r="A872" s="10" t="s">
        <v>25</v>
      </c>
      <c r="B872" s="92">
        <f t="shared" ref="B872:H872" si="380">B877*B865</f>
        <v>846404.84827586205</v>
      </c>
      <c r="C872" s="133">
        <f t="shared" si="380"/>
        <v>1063029.3931034482</v>
      </c>
      <c r="D872" s="133">
        <f t="shared" si="380"/>
        <v>916398.94137931033</v>
      </c>
      <c r="E872" s="92">
        <f t="shared" si="380"/>
        <v>1414228.1896551724</v>
      </c>
      <c r="F872" s="134">
        <f t="shared" si="380"/>
        <v>3687392.0827586208</v>
      </c>
      <c r="G872" s="92">
        <f t="shared" si="380"/>
        <v>4281619.5655172421</v>
      </c>
      <c r="H872" s="92">
        <f t="shared" si="380"/>
        <v>3393583.9034482758</v>
      </c>
      <c r="I872" s="92">
        <f>FLORESTA!$B872+FLORESTA!$C872+FLORESTA!$D872+FLORESTA!$E872+FLORESTA!$F872+FLORESTA!$G872+FLORESTA!$H872</f>
        <v>15602656.924137931</v>
      </c>
      <c r="J872" s="133">
        <f>FLORESTA!$I872/7</f>
        <v>2228950.9891625615</v>
      </c>
    </row>
    <row r="873" spans="1:10" x14ac:dyDescent="0.25">
      <c r="A873" s="10" t="s">
        <v>26</v>
      </c>
      <c r="B873" s="92">
        <f t="shared" ref="B873:H873" si="381">B877*B866</f>
        <v>20644.020689655175</v>
      </c>
      <c r="C873" s="133">
        <f t="shared" si="381"/>
        <v>123608.06896551725</v>
      </c>
      <c r="D873" s="133">
        <f t="shared" si="381"/>
        <v>0</v>
      </c>
      <c r="E873" s="92">
        <f t="shared" si="381"/>
        <v>0</v>
      </c>
      <c r="F873" s="134">
        <f t="shared" si="381"/>
        <v>212734.15862068968</v>
      </c>
      <c r="G873" s="92">
        <f t="shared" si="381"/>
        <v>0</v>
      </c>
      <c r="H873" s="92">
        <f t="shared" si="381"/>
        <v>0</v>
      </c>
      <c r="I873" s="92">
        <f>FLORESTA!$B873+FLORESTA!$C873+FLORESTA!$D873+FLORESTA!$E873+FLORESTA!$F873+FLORESTA!$G873+FLORESTA!$H873</f>
        <v>356986.24827586208</v>
      </c>
      <c r="J873" s="133">
        <f>FLORESTA!$I873/7</f>
        <v>50998.035467980299</v>
      </c>
    </row>
    <row r="874" spans="1:10" x14ac:dyDescent="0.25">
      <c r="A874" s="10" t="s">
        <v>27</v>
      </c>
      <c r="B874" s="92">
        <f t="shared" ref="B874:H874" si="382">B877*B867</f>
        <v>1114777.1172413796</v>
      </c>
      <c r="C874" s="133">
        <f t="shared" si="382"/>
        <v>1260802.3034482759</v>
      </c>
      <c r="D874" s="133">
        <f t="shared" si="382"/>
        <v>1265503.3</v>
      </c>
      <c r="E874" s="92">
        <f t="shared" si="382"/>
        <v>1357659.0620689655</v>
      </c>
      <c r="F874" s="134">
        <f t="shared" si="382"/>
        <v>2978278.2206896553</v>
      </c>
      <c r="G874" s="92">
        <f t="shared" si="382"/>
        <v>4095462.193103449</v>
      </c>
      <c r="H874" s="92">
        <f t="shared" si="382"/>
        <v>3933472.2517241379</v>
      </c>
      <c r="I874" s="92">
        <f>FLORESTA!$B874+FLORESTA!$C874+FLORESTA!$D874+FLORESTA!$E874+FLORESTA!$F874+FLORESTA!$G874+FLORESTA!$H874</f>
        <v>16005954.448275864</v>
      </c>
      <c r="J874" s="133">
        <f>FLORESTA!$I874/7</f>
        <v>2286564.9211822664</v>
      </c>
    </row>
    <row r="875" spans="1:10" x14ac:dyDescent="0.25">
      <c r="A875" s="10" t="s">
        <v>28</v>
      </c>
      <c r="B875" s="92">
        <f t="shared" ref="B875:H875" si="383">B877*B868</f>
        <v>82576.082758620701</v>
      </c>
      <c r="C875" s="133">
        <f t="shared" si="383"/>
        <v>24721.61379310345</v>
      </c>
      <c r="D875" s="133">
        <f t="shared" si="383"/>
        <v>0</v>
      </c>
      <c r="E875" s="92">
        <f t="shared" si="383"/>
        <v>56569.127586206894</v>
      </c>
      <c r="F875" s="134">
        <f t="shared" si="383"/>
        <v>212734.15862068968</v>
      </c>
      <c r="G875" s="92">
        <f t="shared" si="383"/>
        <v>930786.86206896568</v>
      </c>
      <c r="H875" s="92">
        <f t="shared" si="383"/>
        <v>385634.53448275867</v>
      </c>
      <c r="I875" s="92">
        <f>FLORESTA!$B875+FLORESTA!$C875+FLORESTA!$D875+FLORESTA!$E875+FLORESTA!$F875+FLORESTA!$G875+FLORESTA!$H875</f>
        <v>1693022.379310345</v>
      </c>
      <c r="J875" s="133">
        <f>FLORESTA!$I875/7</f>
        <v>241860.33990147786</v>
      </c>
    </row>
    <row r="876" spans="1:10" x14ac:dyDescent="0.25">
      <c r="A876" s="10" t="s">
        <v>29</v>
      </c>
      <c r="B876" s="92">
        <f t="shared" ref="B876:H876" si="384">B877*B869</f>
        <v>0</v>
      </c>
      <c r="C876" s="133">
        <f t="shared" si="384"/>
        <v>0</v>
      </c>
      <c r="D876" s="133">
        <f t="shared" si="384"/>
        <v>0</v>
      </c>
      <c r="E876" s="92">
        <f t="shared" si="384"/>
        <v>0</v>
      </c>
      <c r="F876" s="134">
        <f t="shared" si="384"/>
        <v>0</v>
      </c>
      <c r="G876" s="92">
        <f t="shared" si="384"/>
        <v>0</v>
      </c>
      <c r="H876" s="92">
        <f t="shared" si="384"/>
        <v>0</v>
      </c>
      <c r="I876" s="92">
        <f>FLORESTA!$B876+FLORESTA!$C876+FLORESTA!$D876+FLORESTA!$E876+FLORESTA!$F876+FLORESTA!$G876+FLORESTA!$H876</f>
        <v>0</v>
      </c>
      <c r="J876" s="133">
        <f>FLORESTA!$I876/7</f>
        <v>0</v>
      </c>
    </row>
    <row r="877" spans="1:10" x14ac:dyDescent="0.25">
      <c r="A877" s="33" t="s">
        <v>30</v>
      </c>
      <c r="B877" s="222">
        <f>(2474700/1.16)-B878</f>
        <v>2064402.0689655175</v>
      </c>
      <c r="C877" s="222">
        <f>(2957700/1.16)-C878</f>
        <v>2472161.3793103448</v>
      </c>
      <c r="D877" s="222">
        <f>(2613500/1.16)-D878</f>
        <v>2181902.2413793104</v>
      </c>
      <c r="E877" s="222">
        <f>(3398500/1.16)-E878</f>
        <v>2828456.3793103448</v>
      </c>
      <c r="F877" s="222">
        <f>(8485700/1.16)-F878</f>
        <v>7091138.6206896557</v>
      </c>
      <c r="G877" s="222">
        <f>(11142100/1.16)-G878</f>
        <v>9307868.6206896566</v>
      </c>
      <c r="H877" s="222">
        <f>(9211700/1.16)-H878</f>
        <v>7712690.6896551726</v>
      </c>
      <c r="I877" s="91">
        <f>SUM(I872:I876)</f>
        <v>33658620</v>
      </c>
      <c r="J877" s="136">
        <f>FLORESTA!$I877/7</f>
        <v>4808374.2857142854</v>
      </c>
    </row>
    <row r="878" spans="1:10" x14ac:dyDescent="0.25">
      <c r="A878" s="10" t="s">
        <v>31</v>
      </c>
      <c r="B878" s="94">
        <f t="shared" ref="B878:J878" si="385">2155*B859</f>
        <v>68960</v>
      </c>
      <c r="C878" s="139">
        <f t="shared" si="385"/>
        <v>77580</v>
      </c>
      <c r="D878" s="139">
        <f t="shared" si="385"/>
        <v>71115</v>
      </c>
      <c r="E878" s="94">
        <f t="shared" si="385"/>
        <v>101285</v>
      </c>
      <c r="F878" s="112">
        <f t="shared" si="385"/>
        <v>224120</v>
      </c>
      <c r="G878" s="94">
        <f t="shared" si="385"/>
        <v>297390</v>
      </c>
      <c r="H878" s="94">
        <f t="shared" si="385"/>
        <v>228430</v>
      </c>
      <c r="I878" s="94">
        <f t="shared" si="385"/>
        <v>1068880</v>
      </c>
      <c r="J878" s="139">
        <f t="shared" si="385"/>
        <v>152697.14285714287</v>
      </c>
    </row>
    <row r="879" spans="1:10" x14ac:dyDescent="0.25">
      <c r="A879" s="37" t="s">
        <v>32</v>
      </c>
      <c r="B879" s="39">
        <f t="shared" ref="B879:H879" si="386">B877+B878</f>
        <v>2133362.0689655175</v>
      </c>
      <c r="C879" s="40">
        <f t="shared" si="386"/>
        <v>2549741.3793103448</v>
      </c>
      <c r="D879" s="40">
        <f t="shared" si="386"/>
        <v>2253017.2413793104</v>
      </c>
      <c r="E879" s="39">
        <f t="shared" si="386"/>
        <v>2929741.3793103448</v>
      </c>
      <c r="F879" s="140">
        <f t="shared" si="386"/>
        <v>7315258.6206896557</v>
      </c>
      <c r="G879" s="39">
        <f t="shared" si="386"/>
        <v>9605258.6206896566</v>
      </c>
      <c r="H879" s="39">
        <f t="shared" si="386"/>
        <v>7941120.6896551726</v>
      </c>
      <c r="I879" s="39">
        <f>I877+I878</f>
        <v>34727500</v>
      </c>
      <c r="J879" s="40">
        <f>J877+J878</f>
        <v>4961071.4285714282</v>
      </c>
    </row>
    <row r="880" spans="1:10" x14ac:dyDescent="0.25">
      <c r="A880" s="10" t="s">
        <v>33</v>
      </c>
      <c r="B880" s="41">
        <f t="shared" ref="B880:H880" si="387">B879*16%</f>
        <v>341337.93103448278</v>
      </c>
      <c r="C880" s="42">
        <f t="shared" si="387"/>
        <v>407958.62068965519</v>
      </c>
      <c r="D880" s="42">
        <f t="shared" si="387"/>
        <v>360482.75862068968</v>
      </c>
      <c r="E880" s="41">
        <f t="shared" si="387"/>
        <v>468758.62068965519</v>
      </c>
      <c r="F880" s="141">
        <f t="shared" si="387"/>
        <v>1170441.379310345</v>
      </c>
      <c r="G880" s="41">
        <f t="shared" si="387"/>
        <v>1536841.379310345</v>
      </c>
      <c r="H880" s="41">
        <f t="shared" si="387"/>
        <v>1270579.3103448276</v>
      </c>
      <c r="I880" s="41">
        <f>I879*16%</f>
        <v>5556400</v>
      </c>
      <c r="J880" s="42">
        <f>J879*16%</f>
        <v>793771.42857142852</v>
      </c>
    </row>
    <row r="881" spans="1:10" x14ac:dyDescent="0.25">
      <c r="A881" s="43" t="s">
        <v>34</v>
      </c>
      <c r="B881" s="315">
        <f t="shared" ref="B881:H881" si="388">B879+B880</f>
        <v>2474700</v>
      </c>
      <c r="C881" s="315">
        <f t="shared" si="388"/>
        <v>2957700</v>
      </c>
      <c r="D881" s="315">
        <f t="shared" si="388"/>
        <v>2613500</v>
      </c>
      <c r="E881" s="178">
        <f t="shared" si="388"/>
        <v>3398500</v>
      </c>
      <c r="F881" s="182">
        <f t="shared" si="388"/>
        <v>8485700</v>
      </c>
      <c r="G881" s="178">
        <f t="shared" si="388"/>
        <v>11142100.000000002</v>
      </c>
      <c r="H881" s="178">
        <f t="shared" si="388"/>
        <v>9211700</v>
      </c>
      <c r="I881" s="178">
        <f>I879+I880</f>
        <v>40283900</v>
      </c>
      <c r="J881" s="315">
        <f>FLORESTA!$I881/7</f>
        <v>5754842.8571428573</v>
      </c>
    </row>
    <row r="883" spans="1:10" ht="12.75" customHeight="1" x14ac:dyDescent="0.25">
      <c r="A883" s="149"/>
      <c r="B883" s="1006" t="s">
        <v>372</v>
      </c>
      <c r="C883" s="1006"/>
      <c r="D883" s="1006"/>
      <c r="E883" s="1006"/>
      <c r="F883" s="1006"/>
      <c r="G883" s="1006"/>
      <c r="H883" s="1006"/>
      <c r="I883" s="1006"/>
    </row>
    <row r="884" spans="1:10" x14ac:dyDescent="0.25">
      <c r="A884" s="149"/>
      <c r="B884" s="1006"/>
      <c r="C884" s="1006"/>
      <c r="D884" s="1006"/>
      <c r="E884" s="1006"/>
      <c r="F884" s="1006"/>
      <c r="G884" s="1006"/>
      <c r="H884" s="1006"/>
      <c r="I884" s="1006"/>
    </row>
    <row r="885" spans="1:10" ht="15.75" x14ac:dyDescent="0.25">
      <c r="A885" s="72" t="s">
        <v>2</v>
      </c>
      <c r="B885" s="121" t="s">
        <v>285</v>
      </c>
      <c r="C885" s="121" t="s">
        <v>37</v>
      </c>
      <c r="D885" s="121" t="s">
        <v>286</v>
      </c>
      <c r="E885" s="121" t="s">
        <v>39</v>
      </c>
      <c r="F885" s="121" t="s">
        <v>40</v>
      </c>
      <c r="G885" s="121" t="s">
        <v>287</v>
      </c>
      <c r="H885" s="121" t="s">
        <v>42</v>
      </c>
      <c r="I885" s="51" t="s">
        <v>10</v>
      </c>
      <c r="J885" s="51" t="s">
        <v>77</v>
      </c>
    </row>
    <row r="886" spans="1:10" x14ac:dyDescent="0.25">
      <c r="A886" s="74" t="s">
        <v>11</v>
      </c>
      <c r="B886" s="55">
        <v>73</v>
      </c>
      <c r="C886" s="56">
        <v>115</v>
      </c>
      <c r="D886" s="54">
        <v>118</v>
      </c>
      <c r="E886" s="316">
        <v>138</v>
      </c>
      <c r="F886" s="311">
        <v>279</v>
      </c>
      <c r="G886" s="58">
        <v>398</v>
      </c>
      <c r="H886" s="57">
        <v>294</v>
      </c>
      <c r="I886" s="311">
        <f t="shared" ref="I886:I891" si="389">SUM(B886:H886)</f>
        <v>1415</v>
      </c>
      <c r="J886" s="317">
        <f>FLORESTA!$I886/7</f>
        <v>202.14285714285714</v>
      </c>
    </row>
    <row r="887" spans="1:10" x14ac:dyDescent="0.25">
      <c r="A887" s="10" t="s">
        <v>12</v>
      </c>
      <c r="B887" s="11">
        <v>24</v>
      </c>
      <c r="C887" s="13">
        <v>26</v>
      </c>
      <c r="D887" s="320">
        <v>37</v>
      </c>
      <c r="E887" s="11">
        <v>57</v>
      </c>
      <c r="F887" s="125">
        <v>94</v>
      </c>
      <c r="G887" s="11">
        <v>106</v>
      </c>
      <c r="H887" s="11">
        <v>107</v>
      </c>
      <c r="I887" s="313">
        <f t="shared" si="389"/>
        <v>451</v>
      </c>
      <c r="J887" s="318">
        <f>FLORESTA!$I887/7</f>
        <v>64.428571428571431</v>
      </c>
    </row>
    <row r="888" spans="1:10" x14ac:dyDescent="0.25">
      <c r="A888" s="10" t="s">
        <v>13</v>
      </c>
      <c r="B888" s="11">
        <v>1</v>
      </c>
      <c r="C888" s="13">
        <v>0</v>
      </c>
      <c r="D888" s="13">
        <v>0</v>
      </c>
      <c r="E888" s="11">
        <v>1</v>
      </c>
      <c r="F888" s="125">
        <v>2</v>
      </c>
      <c r="G888" s="11">
        <v>6</v>
      </c>
      <c r="H888" s="11">
        <v>1</v>
      </c>
      <c r="I888" s="313">
        <f t="shared" si="389"/>
        <v>11</v>
      </c>
      <c r="J888" s="318">
        <f>C888+D888+E888+F888+G888+H888+I888</f>
        <v>21</v>
      </c>
    </row>
    <row r="889" spans="1:10" x14ac:dyDescent="0.25">
      <c r="A889" s="10" t="s">
        <v>14</v>
      </c>
      <c r="B889" s="11">
        <v>33</v>
      </c>
      <c r="C889" s="13">
        <v>63</v>
      </c>
      <c r="D889" s="320">
        <v>52</v>
      </c>
      <c r="E889" s="11">
        <v>49</v>
      </c>
      <c r="F889" s="125">
        <v>127</v>
      </c>
      <c r="G889" s="11">
        <v>182</v>
      </c>
      <c r="H889" s="11">
        <v>94</v>
      </c>
      <c r="I889" s="313">
        <f t="shared" si="389"/>
        <v>600</v>
      </c>
      <c r="J889" s="318">
        <f>FLORESTA!$I889/7</f>
        <v>85.714285714285708</v>
      </c>
    </row>
    <row r="890" spans="1:10" x14ac:dyDescent="0.25">
      <c r="A890" s="10" t="s">
        <v>15</v>
      </c>
      <c r="B890" s="11">
        <v>0</v>
      </c>
      <c r="C890" s="13">
        <v>3</v>
      </c>
      <c r="D890" s="13">
        <v>4</v>
      </c>
      <c r="E890" s="11">
        <v>8</v>
      </c>
      <c r="F890" s="125">
        <v>5</v>
      </c>
      <c r="G890" s="11">
        <v>24</v>
      </c>
      <c r="H890" s="11">
        <v>33</v>
      </c>
      <c r="I890" s="313">
        <f t="shared" si="389"/>
        <v>77</v>
      </c>
      <c r="J890" s="318">
        <f>FLORESTA!$I890/7</f>
        <v>11</v>
      </c>
    </row>
    <row r="891" spans="1:10" x14ac:dyDescent="0.25">
      <c r="A891" s="10" t="s">
        <v>16</v>
      </c>
      <c r="B891" s="11">
        <v>0</v>
      </c>
      <c r="C891" s="13">
        <v>0</v>
      </c>
      <c r="D891" s="13">
        <v>0</v>
      </c>
      <c r="E891" s="11">
        <v>0</v>
      </c>
      <c r="F891" s="125">
        <v>0</v>
      </c>
      <c r="G891" s="11">
        <v>0</v>
      </c>
      <c r="H891" s="11">
        <v>0</v>
      </c>
      <c r="I891" s="313">
        <f t="shared" si="389"/>
        <v>0</v>
      </c>
      <c r="J891" s="318">
        <f>FLORESTA!$I891/7</f>
        <v>0</v>
      </c>
    </row>
    <row r="892" spans="1:10" x14ac:dyDescent="0.25">
      <c r="A892" s="15" t="s">
        <v>17</v>
      </c>
      <c r="B892" s="79">
        <f t="shared" ref="B892:I892" si="390">SUM(B887:B891)</f>
        <v>58</v>
      </c>
      <c r="C892" s="79">
        <f t="shared" si="390"/>
        <v>92</v>
      </c>
      <c r="D892" s="79">
        <f t="shared" si="390"/>
        <v>93</v>
      </c>
      <c r="E892" s="103">
        <f t="shared" si="390"/>
        <v>115</v>
      </c>
      <c r="F892" s="213">
        <f t="shared" si="390"/>
        <v>228</v>
      </c>
      <c r="G892" s="103">
        <f t="shared" si="390"/>
        <v>318</v>
      </c>
      <c r="H892" s="103">
        <f t="shared" si="390"/>
        <v>235</v>
      </c>
      <c r="I892" s="103">
        <f t="shared" si="390"/>
        <v>1139</v>
      </c>
      <c r="J892" s="319">
        <f>FLORESTA!$I892/7</f>
        <v>162.71428571428572</v>
      </c>
    </row>
    <row r="893" spans="1:10" x14ac:dyDescent="0.25">
      <c r="A893" s="10" t="s">
        <v>18</v>
      </c>
      <c r="B893" s="325">
        <v>0.45</v>
      </c>
      <c r="C893" s="326">
        <v>0.36</v>
      </c>
      <c r="D893" s="326">
        <v>0.48</v>
      </c>
      <c r="E893" s="327">
        <v>0.55000000000000004</v>
      </c>
      <c r="F893" s="328">
        <v>0.45</v>
      </c>
      <c r="G893" s="327">
        <v>0.37</v>
      </c>
      <c r="H893" s="327">
        <v>0.5</v>
      </c>
      <c r="I893" s="18">
        <f>I900/I905</f>
        <v>0.44222986477249304</v>
      </c>
      <c r="J893" s="19">
        <f>J900/J905</f>
        <v>0.44222986477249304</v>
      </c>
    </row>
    <row r="894" spans="1:10" x14ac:dyDescent="0.25">
      <c r="A894" s="10" t="s">
        <v>19</v>
      </c>
      <c r="B894" s="325">
        <v>0.02</v>
      </c>
      <c r="C894" s="326">
        <v>0</v>
      </c>
      <c r="D894" s="326">
        <v>0</v>
      </c>
      <c r="E894" s="327">
        <v>0.01</v>
      </c>
      <c r="F894" s="327">
        <v>0.02</v>
      </c>
      <c r="G894" s="327">
        <v>0.03</v>
      </c>
      <c r="H894" s="327">
        <v>0.01</v>
      </c>
      <c r="I894" s="18">
        <f>I901/I905</f>
        <v>1.6557393210704527E-2</v>
      </c>
      <c r="J894" s="19">
        <f>J901/J905</f>
        <v>1.655739321070453E-2</v>
      </c>
    </row>
    <row r="895" spans="1:10" x14ac:dyDescent="0.25">
      <c r="A895" s="10" t="s">
        <v>20</v>
      </c>
      <c r="B895" s="325">
        <v>0.53</v>
      </c>
      <c r="C895" s="326">
        <v>0.6</v>
      </c>
      <c r="D895" s="326">
        <v>0.49</v>
      </c>
      <c r="E895" s="327">
        <v>0.38</v>
      </c>
      <c r="F895" s="329">
        <v>0.51</v>
      </c>
      <c r="G895" s="327">
        <v>0.54</v>
      </c>
      <c r="H895" s="327">
        <v>0.37</v>
      </c>
      <c r="I895" s="18">
        <f>I902/I905</f>
        <v>0.48380117801517025</v>
      </c>
      <c r="J895" s="19">
        <f>J902/J905</f>
        <v>0.48380117801517031</v>
      </c>
    </row>
    <row r="896" spans="1:10" x14ac:dyDescent="0.25">
      <c r="A896" s="10" t="s">
        <v>21</v>
      </c>
      <c r="B896" s="325">
        <v>0</v>
      </c>
      <c r="C896" s="326">
        <v>0.04</v>
      </c>
      <c r="D896" s="326">
        <v>0.03</v>
      </c>
      <c r="E896" s="327">
        <v>0.06</v>
      </c>
      <c r="F896" s="329">
        <v>0.02</v>
      </c>
      <c r="G896" s="327">
        <v>0.06</v>
      </c>
      <c r="H896" s="327">
        <v>0.12</v>
      </c>
      <c r="I896" s="18">
        <f>I903/I905</f>
        <v>5.7411564001632082E-2</v>
      </c>
      <c r="J896" s="19">
        <f>J903/J905</f>
        <v>5.7411564001632082E-2</v>
      </c>
    </row>
    <row r="897" spans="1:10" x14ac:dyDescent="0.25">
      <c r="A897" s="10" t="s">
        <v>22</v>
      </c>
      <c r="B897" s="325">
        <v>0</v>
      </c>
      <c r="C897" s="326">
        <v>0</v>
      </c>
      <c r="D897" s="326">
        <v>0</v>
      </c>
      <c r="E897" s="327">
        <v>0</v>
      </c>
      <c r="F897" s="329">
        <v>0</v>
      </c>
      <c r="G897" s="327">
        <v>0</v>
      </c>
      <c r="H897" s="327">
        <v>0</v>
      </c>
      <c r="I897" s="18">
        <f>I904/I905</f>
        <v>0</v>
      </c>
      <c r="J897" s="19">
        <f>J904/J905</f>
        <v>0</v>
      </c>
    </row>
    <row r="898" spans="1:10" x14ac:dyDescent="0.25">
      <c r="A898" s="24" t="s">
        <v>23</v>
      </c>
      <c r="B898" s="130">
        <f t="shared" ref="B898:J898" si="391">B909/B892</f>
        <v>29329.310344827591</v>
      </c>
      <c r="C898" s="131">
        <f t="shared" si="391"/>
        <v>35975.000000000007</v>
      </c>
      <c r="D898" s="131">
        <f t="shared" si="391"/>
        <v>34984.946236559139</v>
      </c>
      <c r="E898" s="130">
        <f t="shared" si="391"/>
        <v>35920</v>
      </c>
      <c r="F898" s="132">
        <f t="shared" si="391"/>
        <v>35646.929824561405</v>
      </c>
      <c r="G898" s="130">
        <f t="shared" si="391"/>
        <v>36173.584905660384</v>
      </c>
      <c r="H898" s="130">
        <f t="shared" si="391"/>
        <v>34671.914893617024</v>
      </c>
      <c r="I898" s="314">
        <f t="shared" si="391"/>
        <v>35271.115013169452</v>
      </c>
      <c r="J898" s="132">
        <f t="shared" si="391"/>
        <v>35271.115013169452</v>
      </c>
    </row>
    <row r="899" spans="1:10" x14ac:dyDescent="0.25">
      <c r="A899" s="24" t="s">
        <v>24</v>
      </c>
      <c r="B899" s="130">
        <f t="shared" ref="B899:J899" si="392">B909/B886</f>
        <v>23302.739726027401</v>
      </c>
      <c r="C899" s="131">
        <f t="shared" si="392"/>
        <v>28780.000000000004</v>
      </c>
      <c r="D899" s="131">
        <f t="shared" si="392"/>
        <v>27572.881355932204</v>
      </c>
      <c r="E899" s="130">
        <f t="shared" si="392"/>
        <v>29933.333333333332</v>
      </c>
      <c r="F899" s="132">
        <f t="shared" si="392"/>
        <v>29130.82437275986</v>
      </c>
      <c r="G899" s="130">
        <f t="shared" si="392"/>
        <v>28902.512562814074</v>
      </c>
      <c r="H899" s="130">
        <f t="shared" si="392"/>
        <v>27713.945578231291</v>
      </c>
      <c r="I899" s="314">
        <f t="shared" si="392"/>
        <v>28391.378091872797</v>
      </c>
      <c r="J899" s="132">
        <f t="shared" si="392"/>
        <v>28391.378091872797</v>
      </c>
    </row>
    <row r="900" spans="1:10" x14ac:dyDescent="0.25">
      <c r="A900" s="10" t="s">
        <v>25</v>
      </c>
      <c r="B900" s="92">
        <f t="shared" ref="B900:H900" si="393">B905*B893</f>
        <v>636635.48275862075</v>
      </c>
      <c r="C900" s="133">
        <f t="shared" si="393"/>
        <v>1006977.4758620691</v>
      </c>
      <c r="D900" s="133">
        <f t="shared" si="393"/>
        <v>1308044.4413793103</v>
      </c>
      <c r="E900" s="92">
        <f t="shared" si="393"/>
        <v>1891009.7155172415</v>
      </c>
      <c r="F900" s="134">
        <f t="shared" si="393"/>
        <v>3061752.9827586212</v>
      </c>
      <c r="G900" s="92">
        <f t="shared" si="393"/>
        <v>3584605.0379310348</v>
      </c>
      <c r="H900" s="92">
        <f t="shared" si="393"/>
        <v>3396733.3620689656</v>
      </c>
      <c r="I900" s="92">
        <f>FLORESTA!$B900+FLORESTA!$C900+FLORESTA!$D900+FLORESTA!$E900+FLORESTA!$F900+FLORESTA!$G900+FLORESTA!$H900</f>
        <v>14885758.498275863</v>
      </c>
      <c r="J900" s="133">
        <f>FLORESTA!$I900/7</f>
        <v>2126536.9283251232</v>
      </c>
    </row>
    <row r="901" spans="1:10" x14ac:dyDescent="0.25">
      <c r="A901" s="10" t="s">
        <v>26</v>
      </c>
      <c r="B901" s="92">
        <f t="shared" ref="B901:H901" si="394">B905*B894</f>
        <v>28294.910344827589</v>
      </c>
      <c r="C901" s="133">
        <f t="shared" si="394"/>
        <v>0</v>
      </c>
      <c r="D901" s="133">
        <f t="shared" si="394"/>
        <v>0</v>
      </c>
      <c r="E901" s="92">
        <f t="shared" si="394"/>
        <v>34381.994827586212</v>
      </c>
      <c r="F901" s="134">
        <f t="shared" si="394"/>
        <v>136077.9103448276</v>
      </c>
      <c r="G901" s="92">
        <f t="shared" si="394"/>
        <v>290643.65172413795</v>
      </c>
      <c r="H901" s="92">
        <f t="shared" si="394"/>
        <v>67934.667241379313</v>
      </c>
      <c r="I901" s="92">
        <f>FLORESTA!$B901+FLORESTA!$C901+FLORESTA!$D901+FLORESTA!$E901+FLORESTA!$F901+FLORESTA!$G901+FLORESTA!$H901</f>
        <v>557333.13448275859</v>
      </c>
      <c r="J901" s="133">
        <f>FLORESTA!$I901/7</f>
        <v>79619.019211822655</v>
      </c>
    </row>
    <row r="902" spans="1:10" x14ac:dyDescent="0.25">
      <c r="A902" s="10" t="s">
        <v>27</v>
      </c>
      <c r="B902" s="92">
        <f t="shared" ref="B902:H902" si="395">B905*B895</f>
        <v>749815.12413793115</v>
      </c>
      <c r="C902" s="133">
        <f t="shared" si="395"/>
        <v>1678295.7931034483</v>
      </c>
      <c r="D902" s="133">
        <f t="shared" si="395"/>
        <v>1335295.3672413793</v>
      </c>
      <c r="E902" s="92">
        <f t="shared" si="395"/>
        <v>1306515.8034482759</v>
      </c>
      <c r="F902" s="134">
        <f t="shared" si="395"/>
        <v>3469986.713793104</v>
      </c>
      <c r="G902" s="92">
        <f t="shared" si="395"/>
        <v>5231585.7310344838</v>
      </c>
      <c r="H902" s="92">
        <f t="shared" si="395"/>
        <v>2513582.6879310347</v>
      </c>
      <c r="I902" s="92">
        <f>FLORESTA!$B902+FLORESTA!$C902+FLORESTA!$D902+FLORESTA!$E902+FLORESTA!$F902+FLORESTA!$G902+FLORESTA!$H902</f>
        <v>16285077.220689658</v>
      </c>
      <c r="J902" s="133">
        <f>FLORESTA!$I902/7</f>
        <v>2326439.6029556654</v>
      </c>
    </row>
    <row r="903" spans="1:10" x14ac:dyDescent="0.25">
      <c r="A903" s="10" t="s">
        <v>28</v>
      </c>
      <c r="B903" s="92">
        <f t="shared" ref="B903:H903" si="396">B905*B896</f>
        <v>0</v>
      </c>
      <c r="C903" s="133">
        <f t="shared" si="396"/>
        <v>111886.38620689657</v>
      </c>
      <c r="D903" s="133">
        <f t="shared" si="396"/>
        <v>81752.777586206896</v>
      </c>
      <c r="E903" s="92">
        <f t="shared" si="396"/>
        <v>206291.96896551724</v>
      </c>
      <c r="F903" s="134">
        <f t="shared" si="396"/>
        <v>136077.9103448276</v>
      </c>
      <c r="G903" s="92">
        <f t="shared" si="396"/>
        <v>581287.3034482759</v>
      </c>
      <c r="H903" s="92">
        <f t="shared" si="396"/>
        <v>815216.0068965517</v>
      </c>
      <c r="I903" s="92">
        <f>FLORESTA!$B903+FLORESTA!$C903+FLORESTA!$D903+FLORESTA!$E903+FLORESTA!$F903+FLORESTA!$G903+FLORESTA!$H903</f>
        <v>1932512.3534482759</v>
      </c>
      <c r="J903" s="133">
        <f>FLORESTA!$I903/7</f>
        <v>276073.19334975368</v>
      </c>
    </row>
    <row r="904" spans="1:10" x14ac:dyDescent="0.25">
      <c r="A904" s="10" t="s">
        <v>29</v>
      </c>
      <c r="B904" s="92">
        <f t="shared" ref="B904:H904" si="397">B905*B897</f>
        <v>0</v>
      </c>
      <c r="C904" s="133">
        <f t="shared" si="397"/>
        <v>0</v>
      </c>
      <c r="D904" s="133">
        <f t="shared" si="397"/>
        <v>0</v>
      </c>
      <c r="E904" s="92">
        <f t="shared" si="397"/>
        <v>0</v>
      </c>
      <c r="F904" s="134">
        <f t="shared" si="397"/>
        <v>0</v>
      </c>
      <c r="G904" s="92">
        <f t="shared" si="397"/>
        <v>0</v>
      </c>
      <c r="H904" s="92">
        <f t="shared" si="397"/>
        <v>0</v>
      </c>
      <c r="I904" s="92">
        <f>FLORESTA!$B904+FLORESTA!$C904+FLORESTA!$D904+FLORESTA!$E904+FLORESTA!$F904+FLORESTA!$G904+FLORESTA!$H904</f>
        <v>0</v>
      </c>
      <c r="J904" s="133">
        <f>FLORESTA!$I904/7</f>
        <v>0</v>
      </c>
    </row>
    <row r="905" spans="1:10" x14ac:dyDescent="0.25">
      <c r="A905" s="33" t="s">
        <v>30</v>
      </c>
      <c r="B905" s="222">
        <f>(1701100/1.16)-B906</f>
        <v>1414745.5172413795</v>
      </c>
      <c r="C905" s="222">
        <f>(3309700/1.16)-C906</f>
        <v>2797159.6551724141</v>
      </c>
      <c r="D905" s="222">
        <f>(3253600/1.16)-D906</f>
        <v>2725092.5862068967</v>
      </c>
      <c r="E905" s="222">
        <f>(4130800/1.16)-E906</f>
        <v>3438199.4827586208</v>
      </c>
      <c r="F905" s="222">
        <f>(8127500/1.16)-F906</f>
        <v>6803895.5172413802</v>
      </c>
      <c r="G905" s="222">
        <f>(11503200/1.16)-G906</f>
        <v>9688121.7241379321</v>
      </c>
      <c r="H905" s="222">
        <f>(8147900/1.16)-H906</f>
        <v>6793466.7241379311</v>
      </c>
      <c r="I905" s="91">
        <f>SUM(I900:I904)</f>
        <v>33660681.206896558</v>
      </c>
      <c r="J905" s="136">
        <f>FLORESTA!$I905/7</f>
        <v>4808668.7438423652</v>
      </c>
    </row>
    <row r="906" spans="1:10" x14ac:dyDescent="0.25">
      <c r="A906" s="10" t="s">
        <v>31</v>
      </c>
      <c r="B906" s="94">
        <f t="shared" ref="B906:J906" si="398">2155*B887</f>
        <v>51720</v>
      </c>
      <c r="C906" s="139">
        <f t="shared" si="398"/>
        <v>56030</v>
      </c>
      <c r="D906" s="139">
        <f t="shared" si="398"/>
        <v>79735</v>
      </c>
      <c r="E906" s="94">
        <f t="shared" si="398"/>
        <v>122835</v>
      </c>
      <c r="F906" s="112">
        <f t="shared" si="398"/>
        <v>202570</v>
      </c>
      <c r="G906" s="94">
        <f t="shared" si="398"/>
        <v>228430</v>
      </c>
      <c r="H906" s="94">
        <f t="shared" si="398"/>
        <v>230585</v>
      </c>
      <c r="I906" s="94">
        <f t="shared" si="398"/>
        <v>971905</v>
      </c>
      <c r="J906" s="139">
        <f t="shared" si="398"/>
        <v>138843.57142857142</v>
      </c>
    </row>
    <row r="907" spans="1:10" x14ac:dyDescent="0.25">
      <c r="A907" s="37" t="s">
        <v>32</v>
      </c>
      <c r="B907" s="39">
        <f t="shared" ref="B907:H907" si="399">B905+B906</f>
        <v>1466465.5172413795</v>
      </c>
      <c r="C907" s="40">
        <f t="shared" si="399"/>
        <v>2853189.6551724141</v>
      </c>
      <c r="D907" s="40">
        <f t="shared" si="399"/>
        <v>2804827.5862068967</v>
      </c>
      <c r="E907" s="39">
        <f t="shared" si="399"/>
        <v>3561034.4827586208</v>
      </c>
      <c r="F907" s="140">
        <f t="shared" si="399"/>
        <v>7006465.5172413802</v>
      </c>
      <c r="G907" s="39">
        <f t="shared" si="399"/>
        <v>9916551.7241379321</v>
      </c>
      <c r="H907" s="39">
        <f t="shared" si="399"/>
        <v>7024051.7241379311</v>
      </c>
      <c r="I907" s="39">
        <f>I905+I906</f>
        <v>34632586.206896558</v>
      </c>
      <c r="J907" s="40">
        <f>J905+J906</f>
        <v>4947512.315270937</v>
      </c>
    </row>
    <row r="908" spans="1:10" x14ac:dyDescent="0.25">
      <c r="A908" s="10" t="s">
        <v>33</v>
      </c>
      <c r="B908" s="41">
        <f t="shared" ref="B908:H908" si="400">B907*16%</f>
        <v>234634.48275862072</v>
      </c>
      <c r="C908" s="42">
        <f t="shared" si="400"/>
        <v>456510.34482758626</v>
      </c>
      <c r="D908" s="42">
        <f t="shared" si="400"/>
        <v>448772.41379310348</v>
      </c>
      <c r="E908" s="41">
        <f t="shared" si="400"/>
        <v>569765.51724137936</v>
      </c>
      <c r="F908" s="141">
        <f t="shared" si="400"/>
        <v>1121034.4827586208</v>
      </c>
      <c r="G908" s="41">
        <f t="shared" si="400"/>
        <v>1586648.2758620691</v>
      </c>
      <c r="H908" s="41">
        <f t="shared" si="400"/>
        <v>1123848.2758620691</v>
      </c>
      <c r="I908" s="41">
        <f>I907*16%</f>
        <v>5541213.793103449</v>
      </c>
      <c r="J908" s="42">
        <f>J907*16%</f>
        <v>791601.97044334991</v>
      </c>
    </row>
    <row r="909" spans="1:10" x14ac:dyDescent="0.25">
      <c r="A909" s="43" t="s">
        <v>34</v>
      </c>
      <c r="B909" s="315">
        <f t="shared" ref="B909:H909" si="401">B907+B908</f>
        <v>1701100.0000000002</v>
      </c>
      <c r="C909" s="315">
        <f t="shared" si="401"/>
        <v>3309700.0000000005</v>
      </c>
      <c r="D909" s="315">
        <f t="shared" si="401"/>
        <v>3253600</v>
      </c>
      <c r="E909" s="178">
        <f t="shared" si="401"/>
        <v>4130800</v>
      </c>
      <c r="F909" s="182">
        <f t="shared" si="401"/>
        <v>8127500.0000000009</v>
      </c>
      <c r="G909" s="178">
        <f t="shared" si="401"/>
        <v>11503200.000000002</v>
      </c>
      <c r="H909" s="178">
        <f t="shared" si="401"/>
        <v>8147900</v>
      </c>
      <c r="I909" s="178">
        <f>I907+I908</f>
        <v>40173800.000000007</v>
      </c>
      <c r="J909" s="315">
        <f>FLORESTA!$I909/7</f>
        <v>5739114.2857142864</v>
      </c>
    </row>
    <row r="911" spans="1:10" ht="12.75" customHeight="1" x14ac:dyDescent="0.25">
      <c r="A911" s="149"/>
      <c r="B911" s="1006" t="s">
        <v>373</v>
      </c>
      <c r="C911" s="1006"/>
      <c r="D911" s="1006"/>
      <c r="E911" s="1006"/>
      <c r="F911" s="1006"/>
      <c r="G911" s="1006"/>
      <c r="H911" s="1006"/>
      <c r="I911" s="1006"/>
    </row>
    <row r="912" spans="1:10" x14ac:dyDescent="0.25">
      <c r="A912" s="149"/>
      <c r="B912" s="1006"/>
      <c r="C912" s="1006"/>
      <c r="D912" s="1006"/>
      <c r="E912" s="1006"/>
      <c r="F912" s="1006"/>
      <c r="G912" s="1006"/>
      <c r="H912" s="1006"/>
      <c r="I912" s="1006"/>
    </row>
    <row r="913" spans="1:10" ht="15.75" x14ac:dyDescent="0.25">
      <c r="A913" s="72" t="s">
        <v>2</v>
      </c>
      <c r="B913" s="121" t="s">
        <v>45</v>
      </c>
      <c r="C913" s="121" t="s">
        <v>289</v>
      </c>
      <c r="D913" s="121" t="s">
        <v>47</v>
      </c>
      <c r="E913" s="121" t="s">
        <v>48</v>
      </c>
      <c r="F913" s="121" t="s">
        <v>49</v>
      </c>
      <c r="G913" s="121" t="s">
        <v>50</v>
      </c>
      <c r="H913" s="121" t="s">
        <v>290</v>
      </c>
      <c r="I913" s="51" t="s">
        <v>10</v>
      </c>
      <c r="J913" s="51" t="s">
        <v>77</v>
      </c>
    </row>
    <row r="914" spans="1:10" x14ac:dyDescent="0.25">
      <c r="A914" s="74" t="s">
        <v>11</v>
      </c>
      <c r="B914" s="55">
        <f>37+38+3</f>
        <v>78</v>
      </c>
      <c r="C914" s="56">
        <f>47+27+6</f>
        <v>80</v>
      </c>
      <c r="D914" s="54">
        <f>49+46+20</f>
        <v>115</v>
      </c>
      <c r="E914" s="316">
        <f>74+56+20</f>
        <v>150</v>
      </c>
      <c r="F914" s="311">
        <f>137+109+25</f>
        <v>271</v>
      </c>
      <c r="G914" s="58">
        <f>203+156+42</f>
        <v>401</v>
      </c>
      <c r="H914" s="57">
        <f>161+139+48</f>
        <v>348</v>
      </c>
      <c r="I914" s="311">
        <f t="shared" ref="I914:I919" si="402">SUM(B914:H914)</f>
        <v>1443</v>
      </c>
      <c r="J914" s="317">
        <f>FLORESTA!$I914/7</f>
        <v>206.14285714285714</v>
      </c>
    </row>
    <row r="915" spans="1:10" x14ac:dyDescent="0.25">
      <c r="A915" s="10" t="s">
        <v>12</v>
      </c>
      <c r="B915" s="11">
        <v>27</v>
      </c>
      <c r="C915" s="13">
        <v>23</v>
      </c>
      <c r="D915" s="320">
        <v>37</v>
      </c>
      <c r="E915" s="11">
        <v>55</v>
      </c>
      <c r="F915" s="125">
        <v>96</v>
      </c>
      <c r="G915" s="11">
        <v>131</v>
      </c>
      <c r="H915" s="11">
        <v>119</v>
      </c>
      <c r="I915" s="313">
        <f t="shared" si="402"/>
        <v>488</v>
      </c>
      <c r="J915" s="318">
        <f>FLORESTA!$I915/7</f>
        <v>69.714285714285708</v>
      </c>
    </row>
    <row r="916" spans="1:10" x14ac:dyDescent="0.25">
      <c r="A916" s="10" t="s">
        <v>13</v>
      </c>
      <c r="B916" s="11">
        <v>1</v>
      </c>
      <c r="C916" s="13">
        <v>0</v>
      </c>
      <c r="D916" s="13">
        <v>1</v>
      </c>
      <c r="E916" s="11">
        <v>1</v>
      </c>
      <c r="F916" s="125">
        <v>1</v>
      </c>
      <c r="G916" s="11">
        <v>2</v>
      </c>
      <c r="H916" s="11">
        <v>6</v>
      </c>
      <c r="I916" s="313">
        <f t="shared" si="402"/>
        <v>12</v>
      </c>
      <c r="J916" s="318">
        <f>C916+D916+E916+F916+G916+H916+I916</f>
        <v>23</v>
      </c>
    </row>
    <row r="917" spans="1:10" x14ac:dyDescent="0.25">
      <c r="A917" s="10" t="s">
        <v>14</v>
      </c>
      <c r="B917" s="11">
        <v>46</v>
      </c>
      <c r="C917" s="13">
        <v>43</v>
      </c>
      <c r="D917" s="320">
        <v>57</v>
      </c>
      <c r="E917" s="11">
        <v>67</v>
      </c>
      <c r="F917" s="125">
        <v>107</v>
      </c>
      <c r="G917" s="11">
        <v>133</v>
      </c>
      <c r="H917" s="11">
        <v>130</v>
      </c>
      <c r="I917" s="313">
        <f t="shared" si="402"/>
        <v>583</v>
      </c>
      <c r="J917" s="318">
        <f>FLORESTA!$I917/7</f>
        <v>83.285714285714292</v>
      </c>
    </row>
    <row r="918" spans="1:10" x14ac:dyDescent="0.25">
      <c r="A918" s="10" t="s">
        <v>15</v>
      </c>
      <c r="B918" s="11">
        <v>1</v>
      </c>
      <c r="C918" s="13">
        <v>5</v>
      </c>
      <c r="D918" s="13">
        <v>6</v>
      </c>
      <c r="E918" s="11">
        <v>1</v>
      </c>
      <c r="F918" s="125">
        <v>9</v>
      </c>
      <c r="G918" s="11">
        <v>35</v>
      </c>
      <c r="H918" s="11">
        <v>15</v>
      </c>
      <c r="I918" s="313">
        <f t="shared" si="402"/>
        <v>72</v>
      </c>
      <c r="J918" s="318">
        <f>FLORESTA!$I918/7</f>
        <v>10.285714285714286</v>
      </c>
    </row>
    <row r="919" spans="1:10" x14ac:dyDescent="0.25">
      <c r="A919" s="10" t="s">
        <v>16</v>
      </c>
      <c r="B919" s="11">
        <v>0</v>
      </c>
      <c r="C919" s="13">
        <v>0</v>
      </c>
      <c r="D919" s="13">
        <v>0</v>
      </c>
      <c r="E919" s="11">
        <v>0</v>
      </c>
      <c r="F919" s="125">
        <v>1</v>
      </c>
      <c r="G919" s="11">
        <v>0</v>
      </c>
      <c r="H919" s="11">
        <v>0</v>
      </c>
      <c r="I919" s="313">
        <f t="shared" si="402"/>
        <v>1</v>
      </c>
      <c r="J919" s="318">
        <f>FLORESTA!$I919/7</f>
        <v>0.14285714285714285</v>
      </c>
    </row>
    <row r="920" spans="1:10" x14ac:dyDescent="0.25">
      <c r="A920" s="15" t="s">
        <v>17</v>
      </c>
      <c r="B920" s="79">
        <f t="shared" ref="B920:I920" si="403">SUM(B915:B919)</f>
        <v>75</v>
      </c>
      <c r="C920" s="79">
        <f t="shared" si="403"/>
        <v>71</v>
      </c>
      <c r="D920" s="79">
        <f t="shared" si="403"/>
        <v>101</v>
      </c>
      <c r="E920" s="103">
        <f t="shared" si="403"/>
        <v>124</v>
      </c>
      <c r="F920" s="213">
        <f t="shared" si="403"/>
        <v>214</v>
      </c>
      <c r="G920" s="103">
        <f t="shared" si="403"/>
        <v>301</v>
      </c>
      <c r="H920" s="103">
        <f t="shared" si="403"/>
        <v>270</v>
      </c>
      <c r="I920" s="103">
        <f t="shared" si="403"/>
        <v>1156</v>
      </c>
      <c r="J920" s="319">
        <f>FLORESTA!$I920/7</f>
        <v>165.14285714285714</v>
      </c>
    </row>
    <row r="921" spans="1:10" x14ac:dyDescent="0.25">
      <c r="A921" s="10" t="s">
        <v>18</v>
      </c>
      <c r="B921" s="325">
        <v>0.38</v>
      </c>
      <c r="C921" s="326">
        <v>0.41</v>
      </c>
      <c r="D921" s="326">
        <v>0.43</v>
      </c>
      <c r="E921" s="327">
        <v>0.51</v>
      </c>
      <c r="F921" s="328">
        <v>0.46</v>
      </c>
      <c r="G921" s="327">
        <v>0.53</v>
      </c>
      <c r="H921" s="327">
        <v>0.47</v>
      </c>
      <c r="I921" s="18">
        <f>I928/I933</f>
        <v>0.47842274654192074</v>
      </c>
      <c r="J921" s="19">
        <f>J928/J933</f>
        <v>0.47842274654192074</v>
      </c>
    </row>
    <row r="922" spans="1:10" x14ac:dyDescent="0.25">
      <c r="A922" s="10" t="s">
        <v>19</v>
      </c>
      <c r="B922" s="325">
        <v>0.01</v>
      </c>
      <c r="C922" s="326">
        <v>0</v>
      </c>
      <c r="D922" s="326">
        <v>0.01</v>
      </c>
      <c r="E922" s="327">
        <v>0.01</v>
      </c>
      <c r="F922" s="327">
        <v>0.01</v>
      </c>
      <c r="G922" s="327">
        <v>0.01</v>
      </c>
      <c r="H922" s="327">
        <v>0.02</v>
      </c>
      <c r="I922" s="18">
        <f>I929/I933</f>
        <v>1.1797276866899409E-2</v>
      </c>
      <c r="J922" s="19">
        <f>J929/J933</f>
        <v>1.1797276866899409E-2</v>
      </c>
    </row>
    <row r="923" spans="1:10" x14ac:dyDescent="0.25">
      <c r="A923" s="10" t="s">
        <v>20</v>
      </c>
      <c r="B923" s="325">
        <v>0.59</v>
      </c>
      <c r="C923" s="326">
        <v>0.51</v>
      </c>
      <c r="D923" s="326">
        <v>0.5</v>
      </c>
      <c r="E923" s="327">
        <v>0.48</v>
      </c>
      <c r="F923" s="329">
        <v>0.49</v>
      </c>
      <c r="G923" s="327">
        <v>0.36</v>
      </c>
      <c r="H923" s="327">
        <v>0.45</v>
      </c>
      <c r="I923" s="18">
        <f>I930/I933</f>
        <v>0.44870328033836526</v>
      </c>
      <c r="J923" s="19">
        <f>J930/J933</f>
        <v>0.44870328033836526</v>
      </c>
    </row>
    <row r="924" spans="1:10" x14ac:dyDescent="0.25">
      <c r="A924" s="10" t="s">
        <v>21</v>
      </c>
      <c r="B924" s="325">
        <v>0.02</v>
      </c>
      <c r="C924" s="326">
        <v>0.08</v>
      </c>
      <c r="D924" s="326">
        <v>0.06</v>
      </c>
      <c r="E924" s="327">
        <v>0</v>
      </c>
      <c r="F924" s="329">
        <v>0.04</v>
      </c>
      <c r="G924" s="327">
        <v>0.1</v>
      </c>
      <c r="H924" s="327">
        <v>0.06</v>
      </c>
      <c r="I924" s="18">
        <f>I931/I933</f>
        <v>6.107669625281445E-2</v>
      </c>
      <c r="J924" s="19">
        <f>J931/J933</f>
        <v>6.107669625281445E-2</v>
      </c>
    </row>
    <row r="925" spans="1:10" x14ac:dyDescent="0.25">
      <c r="A925" s="10" t="s">
        <v>22</v>
      </c>
      <c r="B925" s="325">
        <v>0</v>
      </c>
      <c r="C925" s="326">
        <v>0</v>
      </c>
      <c r="D925" s="326">
        <v>0</v>
      </c>
      <c r="E925" s="327">
        <v>0</v>
      </c>
      <c r="F925" s="329">
        <v>0</v>
      </c>
      <c r="G925" s="327">
        <v>0</v>
      </c>
      <c r="H925" s="327">
        <v>0</v>
      </c>
      <c r="I925" s="18">
        <f>I932/I933</f>
        <v>0</v>
      </c>
      <c r="J925" s="19">
        <f>J932/J933</f>
        <v>0</v>
      </c>
    </row>
    <row r="926" spans="1:10" x14ac:dyDescent="0.25">
      <c r="A926" s="24" t="s">
        <v>23</v>
      </c>
      <c r="B926" s="130">
        <f t="shared" ref="B926:J926" si="404">B937/B920</f>
        <v>30121.333333333339</v>
      </c>
      <c r="C926" s="131">
        <f t="shared" si="404"/>
        <v>32204.225352112684</v>
      </c>
      <c r="D926" s="131">
        <f t="shared" si="404"/>
        <v>30740.594059405939</v>
      </c>
      <c r="E926" s="130">
        <f t="shared" si="404"/>
        <v>32662.903225806451</v>
      </c>
      <c r="F926" s="132">
        <f t="shared" si="404"/>
        <v>36706.074766355137</v>
      </c>
      <c r="G926" s="130">
        <f t="shared" si="404"/>
        <v>40415.28239202658</v>
      </c>
      <c r="H926" s="130">
        <f t="shared" si="404"/>
        <v>36159.259259259263</v>
      </c>
      <c r="I926" s="314">
        <f t="shared" si="404"/>
        <v>35885.553633217998</v>
      </c>
      <c r="J926" s="132">
        <f t="shared" si="404"/>
        <v>35885.553633217998</v>
      </c>
    </row>
    <row r="927" spans="1:10" x14ac:dyDescent="0.25">
      <c r="A927" s="24" t="s">
        <v>24</v>
      </c>
      <c r="B927" s="130">
        <f t="shared" ref="B927:J927" si="405">B937/B914</f>
        <v>28962.820512820519</v>
      </c>
      <c r="C927" s="131">
        <f t="shared" si="405"/>
        <v>28581.250000000007</v>
      </c>
      <c r="D927" s="131">
        <f t="shared" si="405"/>
        <v>26998.260869565216</v>
      </c>
      <c r="E927" s="130">
        <f t="shared" si="405"/>
        <v>27001.333333333332</v>
      </c>
      <c r="F927" s="132">
        <f t="shared" si="405"/>
        <v>28985.608856088562</v>
      </c>
      <c r="G927" s="130">
        <f t="shared" si="405"/>
        <v>30336.658354114712</v>
      </c>
      <c r="H927" s="130">
        <f t="shared" si="405"/>
        <v>28054.597701149425</v>
      </c>
      <c r="I927" s="314">
        <f t="shared" si="405"/>
        <v>28748.232848232852</v>
      </c>
      <c r="J927" s="132">
        <f t="shared" si="405"/>
        <v>28748.232848232856</v>
      </c>
    </row>
    <row r="928" spans="1:10" x14ac:dyDescent="0.25">
      <c r="A928" s="10" t="s">
        <v>25</v>
      </c>
      <c r="B928" s="92">
        <f t="shared" ref="B928:H928" si="406">B933*B921</f>
        <v>717939.70000000007</v>
      </c>
      <c r="C928" s="133">
        <f t="shared" si="406"/>
        <v>787837.83275862073</v>
      </c>
      <c r="D928" s="133">
        <f t="shared" si="406"/>
        <v>1116631.1913793103</v>
      </c>
      <c r="E928" s="92">
        <f t="shared" si="406"/>
        <v>1720243.6293103448</v>
      </c>
      <c r="F928" s="134">
        <f t="shared" si="406"/>
        <v>3019788.6482758624</v>
      </c>
      <c r="G928" s="92">
        <f t="shared" si="406"/>
        <v>5408524.9017241383</v>
      </c>
      <c r="H928" s="92">
        <f t="shared" si="406"/>
        <v>3835169.125862069</v>
      </c>
      <c r="I928" s="92">
        <f>FLORESTA!$B928+FLORESTA!$C928+FLORESTA!$D928+FLORESTA!$E928+FLORESTA!$F928+FLORESTA!$G928+FLORESTA!$H928</f>
        <v>16606135.029310346</v>
      </c>
      <c r="J928" s="133">
        <f>FLORESTA!$I928/7</f>
        <v>2372305.0041871923</v>
      </c>
    </row>
    <row r="929" spans="1:10" x14ac:dyDescent="0.25">
      <c r="A929" s="10" t="s">
        <v>26</v>
      </c>
      <c r="B929" s="92">
        <f t="shared" ref="B929:H929" si="407">B933*B922</f>
        <v>18893.150000000001</v>
      </c>
      <c r="C929" s="133">
        <f t="shared" si="407"/>
        <v>0</v>
      </c>
      <c r="D929" s="133">
        <f t="shared" si="407"/>
        <v>25968.167241379313</v>
      </c>
      <c r="E929" s="92">
        <f t="shared" si="407"/>
        <v>33730.267241379312</v>
      </c>
      <c r="F929" s="134">
        <f t="shared" si="407"/>
        <v>65647.579310344838</v>
      </c>
      <c r="G929" s="92">
        <f t="shared" si="407"/>
        <v>102047.63965517242</v>
      </c>
      <c r="H929" s="92">
        <f t="shared" si="407"/>
        <v>163198.68620689656</v>
      </c>
      <c r="I929" s="92">
        <f>FLORESTA!$B929+FLORESTA!$C929+FLORESTA!$D929+FLORESTA!$E929+FLORESTA!$F929+FLORESTA!$G929+FLORESTA!$H929</f>
        <v>409485.48965517245</v>
      </c>
      <c r="J929" s="133">
        <f>FLORESTA!$I929/7</f>
        <v>58497.927093596067</v>
      </c>
    </row>
    <row r="930" spans="1:10" x14ac:dyDescent="0.25">
      <c r="A930" s="10" t="s">
        <v>27</v>
      </c>
      <c r="B930" s="92">
        <f t="shared" ref="B930:H930" si="408">B933*B923</f>
        <v>1114695.8500000001</v>
      </c>
      <c r="C930" s="133">
        <f t="shared" si="408"/>
        <v>979993.40172413806</v>
      </c>
      <c r="D930" s="133">
        <f t="shared" si="408"/>
        <v>1298408.3620689656</v>
      </c>
      <c r="E930" s="92">
        <f t="shared" si="408"/>
        <v>1619052.8275862068</v>
      </c>
      <c r="F930" s="134">
        <f t="shared" si="408"/>
        <v>3216731.3862068965</v>
      </c>
      <c r="G930" s="92">
        <f t="shared" si="408"/>
        <v>3673715.0275862068</v>
      </c>
      <c r="H930" s="92">
        <f t="shared" si="408"/>
        <v>3671970.4396551726</v>
      </c>
      <c r="I930" s="92">
        <f>FLORESTA!$B930+FLORESTA!$C930+FLORESTA!$D930+FLORESTA!$E930+FLORESTA!$F930+FLORESTA!$G930+FLORESTA!$H930</f>
        <v>15574567.294827588</v>
      </c>
      <c r="J930" s="133">
        <f>FLORESTA!$I930/7</f>
        <v>2224938.1849753698</v>
      </c>
    </row>
    <row r="931" spans="1:10" x14ac:dyDescent="0.25">
      <c r="A931" s="10" t="s">
        <v>28</v>
      </c>
      <c r="B931" s="92">
        <f t="shared" ref="B931:H931" si="409">B933*B924</f>
        <v>37786.300000000003</v>
      </c>
      <c r="C931" s="133">
        <f t="shared" si="409"/>
        <v>153724.45517241381</v>
      </c>
      <c r="D931" s="133">
        <f t="shared" si="409"/>
        <v>155809.00344827585</v>
      </c>
      <c r="E931" s="92">
        <f t="shared" si="409"/>
        <v>0</v>
      </c>
      <c r="F931" s="134">
        <f t="shared" si="409"/>
        <v>262590.31724137935</v>
      </c>
      <c r="G931" s="92">
        <f t="shared" si="409"/>
        <v>1020476.3965517242</v>
      </c>
      <c r="H931" s="92">
        <f t="shared" si="409"/>
        <v>489596.05862068967</v>
      </c>
      <c r="I931" s="92">
        <f>FLORESTA!$B931+FLORESTA!$C931+FLORESTA!$D931+FLORESTA!$E931+FLORESTA!$F931+FLORESTA!$G931+FLORESTA!$H931</f>
        <v>2119982.5310344826</v>
      </c>
      <c r="J931" s="133">
        <f>FLORESTA!$I931/7</f>
        <v>302854.64729064039</v>
      </c>
    </row>
    <row r="932" spans="1:10" x14ac:dyDescent="0.25">
      <c r="A932" s="10" t="s">
        <v>29</v>
      </c>
      <c r="B932" s="92">
        <f t="shared" ref="B932:H932" si="410">B933*B925</f>
        <v>0</v>
      </c>
      <c r="C932" s="133">
        <f t="shared" si="410"/>
        <v>0</v>
      </c>
      <c r="D932" s="133">
        <f t="shared" si="410"/>
        <v>0</v>
      </c>
      <c r="E932" s="92">
        <f t="shared" si="410"/>
        <v>0</v>
      </c>
      <c r="F932" s="134">
        <f t="shared" si="410"/>
        <v>0</v>
      </c>
      <c r="G932" s="92">
        <f t="shared" si="410"/>
        <v>0</v>
      </c>
      <c r="H932" s="92">
        <f t="shared" si="410"/>
        <v>0</v>
      </c>
      <c r="I932" s="92">
        <f>FLORESTA!$B932+FLORESTA!$C932+FLORESTA!$D932+FLORESTA!$E932+FLORESTA!$F932+FLORESTA!$G932+FLORESTA!$H932</f>
        <v>0</v>
      </c>
      <c r="J932" s="133">
        <f>FLORESTA!$I932/7</f>
        <v>0</v>
      </c>
    </row>
    <row r="933" spans="1:10" x14ac:dyDescent="0.25">
      <c r="A933" s="33" t="s">
        <v>30</v>
      </c>
      <c r="B933" s="222">
        <f>(2259100/1.16)-B934</f>
        <v>1889315.0000000002</v>
      </c>
      <c r="C933" s="222">
        <f>(2286500/1.16)-C934</f>
        <v>1921555.6896551726</v>
      </c>
      <c r="D933" s="222">
        <f>(3104800/1.16)-D934</f>
        <v>2596816.7241379311</v>
      </c>
      <c r="E933" s="222">
        <f>(4050200/1.16)-E934</f>
        <v>3373026.7241379311</v>
      </c>
      <c r="F933" s="222">
        <f>(7855100/1.16)-F934</f>
        <v>6564757.931034483</v>
      </c>
      <c r="G933" s="222">
        <f>(12165000/1.16)-G934</f>
        <v>10204763.965517242</v>
      </c>
      <c r="H933" s="222">
        <f>(9763000/1.16)-H934</f>
        <v>8159934.3103448283</v>
      </c>
      <c r="I933" s="91">
        <f>SUM(I928:I932)</f>
        <v>34710170.344827592</v>
      </c>
      <c r="J933" s="136">
        <f>FLORESTA!$I933/7</f>
        <v>4958595.7635467993</v>
      </c>
    </row>
    <row r="934" spans="1:10" x14ac:dyDescent="0.25">
      <c r="A934" s="10" t="s">
        <v>31</v>
      </c>
      <c r="B934" s="94">
        <f t="shared" ref="B934:J934" si="411">2155*B915</f>
        <v>58185</v>
      </c>
      <c r="C934" s="139">
        <f t="shared" si="411"/>
        <v>49565</v>
      </c>
      <c r="D934" s="139">
        <f t="shared" si="411"/>
        <v>79735</v>
      </c>
      <c r="E934" s="94">
        <f t="shared" si="411"/>
        <v>118525</v>
      </c>
      <c r="F934" s="112">
        <f t="shared" si="411"/>
        <v>206880</v>
      </c>
      <c r="G934" s="94">
        <f t="shared" si="411"/>
        <v>282305</v>
      </c>
      <c r="H934" s="94">
        <f t="shared" si="411"/>
        <v>256445</v>
      </c>
      <c r="I934" s="94">
        <f t="shared" si="411"/>
        <v>1051640</v>
      </c>
      <c r="J934" s="139">
        <f t="shared" si="411"/>
        <v>150234.28571428571</v>
      </c>
    </row>
    <row r="935" spans="1:10" x14ac:dyDescent="0.25">
      <c r="A935" s="37" t="s">
        <v>32</v>
      </c>
      <c r="B935" s="39">
        <f t="shared" ref="B935:H935" si="412">B933+B934</f>
        <v>1947500.0000000002</v>
      </c>
      <c r="C935" s="40">
        <f t="shared" si="412"/>
        <v>1971120.6896551726</v>
      </c>
      <c r="D935" s="40">
        <f t="shared" si="412"/>
        <v>2676551.7241379311</v>
      </c>
      <c r="E935" s="39">
        <f t="shared" si="412"/>
        <v>3491551.7241379311</v>
      </c>
      <c r="F935" s="140">
        <f t="shared" si="412"/>
        <v>6771637.931034483</v>
      </c>
      <c r="G935" s="39">
        <f t="shared" si="412"/>
        <v>10487068.965517242</v>
      </c>
      <c r="H935" s="39">
        <f t="shared" si="412"/>
        <v>8416379.3103448283</v>
      </c>
      <c r="I935" s="39">
        <f>I933+I934</f>
        <v>35761810.344827592</v>
      </c>
      <c r="J935" s="40">
        <f>J933+J934</f>
        <v>5108830.0492610848</v>
      </c>
    </row>
    <row r="936" spans="1:10" x14ac:dyDescent="0.25">
      <c r="A936" s="10" t="s">
        <v>33</v>
      </c>
      <c r="B936" s="41">
        <f t="shared" ref="B936:H936" si="413">B935*16%</f>
        <v>311600.00000000006</v>
      </c>
      <c r="C936" s="42">
        <f t="shared" si="413"/>
        <v>315379.31034482765</v>
      </c>
      <c r="D936" s="42">
        <f t="shared" si="413"/>
        <v>428248.27586206899</v>
      </c>
      <c r="E936" s="41">
        <f t="shared" si="413"/>
        <v>558648.27586206899</v>
      </c>
      <c r="F936" s="141">
        <f t="shared" si="413"/>
        <v>1083462.0689655172</v>
      </c>
      <c r="G936" s="41">
        <f t="shared" si="413"/>
        <v>1677931.0344827587</v>
      </c>
      <c r="H936" s="41">
        <f t="shared" si="413"/>
        <v>1346620.6896551726</v>
      </c>
      <c r="I936" s="41">
        <f>I935*16%</f>
        <v>5721889.6551724151</v>
      </c>
      <c r="J936" s="42">
        <f>J935*16%</f>
        <v>817412.80788177357</v>
      </c>
    </row>
    <row r="937" spans="1:10" x14ac:dyDescent="0.25">
      <c r="A937" s="43" t="s">
        <v>34</v>
      </c>
      <c r="B937" s="315">
        <f t="shared" ref="B937:H937" si="414">B935+B936</f>
        <v>2259100.0000000005</v>
      </c>
      <c r="C937" s="315">
        <f t="shared" si="414"/>
        <v>2286500.0000000005</v>
      </c>
      <c r="D937" s="315">
        <f t="shared" si="414"/>
        <v>3104800</v>
      </c>
      <c r="E937" s="178">
        <f t="shared" si="414"/>
        <v>4050200</v>
      </c>
      <c r="F937" s="182">
        <f t="shared" si="414"/>
        <v>7855100</v>
      </c>
      <c r="G937" s="178">
        <f t="shared" si="414"/>
        <v>12165000</v>
      </c>
      <c r="H937" s="178">
        <f t="shared" si="414"/>
        <v>9763000</v>
      </c>
      <c r="I937" s="178">
        <f>I935+I936</f>
        <v>41483700.000000007</v>
      </c>
      <c r="J937" s="315">
        <f>FLORESTA!$I937/7</f>
        <v>5926242.8571428582</v>
      </c>
    </row>
    <row r="939" spans="1:10" ht="12.75" customHeight="1" x14ac:dyDescent="0.25">
      <c r="A939" s="149"/>
      <c r="B939" s="1006" t="s">
        <v>374</v>
      </c>
      <c r="C939" s="1006"/>
      <c r="D939" s="1006"/>
      <c r="E939" s="1006"/>
      <c r="F939" s="1006"/>
      <c r="G939" s="1006"/>
      <c r="H939" s="1006"/>
      <c r="I939" s="1006"/>
    </row>
    <row r="940" spans="1:10" x14ac:dyDescent="0.25">
      <c r="A940" s="149"/>
      <c r="B940" s="1006"/>
      <c r="C940" s="1006"/>
      <c r="D940" s="1006"/>
      <c r="E940" s="1006"/>
      <c r="F940" s="1006"/>
      <c r="G940" s="1006"/>
      <c r="H940" s="1006"/>
      <c r="I940" s="1006"/>
    </row>
    <row r="941" spans="1:10" ht="15.75" x14ac:dyDescent="0.25">
      <c r="A941" s="72" t="s">
        <v>2</v>
      </c>
      <c r="B941" s="121" t="s">
        <v>53</v>
      </c>
      <c r="C941" s="121" t="s">
        <v>54</v>
      </c>
      <c r="D941" s="121" t="s">
        <v>292</v>
      </c>
      <c r="E941" s="121" t="s">
        <v>293</v>
      </c>
      <c r="F941" s="121" t="s">
        <v>294</v>
      </c>
      <c r="G941" s="121" t="s">
        <v>295</v>
      </c>
      <c r="H941" s="121" t="s">
        <v>296</v>
      </c>
      <c r="I941" s="51" t="s">
        <v>10</v>
      </c>
      <c r="J941" s="51" t="s">
        <v>77</v>
      </c>
    </row>
    <row r="942" spans="1:10" x14ac:dyDescent="0.25">
      <c r="A942" s="74" t="s">
        <v>11</v>
      </c>
      <c r="B942" s="55">
        <f>51+36+15</f>
        <v>102</v>
      </c>
      <c r="C942" s="56">
        <f>58+38+13</f>
        <v>109</v>
      </c>
      <c r="D942" s="54">
        <f>57+44+15</f>
        <v>116</v>
      </c>
      <c r="E942" s="316">
        <f>71+43+22</f>
        <v>136</v>
      </c>
      <c r="F942" s="311">
        <f>122+106+25</f>
        <v>253</v>
      </c>
      <c r="G942" s="58">
        <f>176+156+42</f>
        <v>374</v>
      </c>
      <c r="H942" s="57">
        <f>157+145+39</f>
        <v>341</v>
      </c>
      <c r="I942" s="311">
        <f t="shared" ref="I942:I947" si="415">SUM(B942:H942)</f>
        <v>1431</v>
      </c>
      <c r="J942" s="317">
        <f>FLORESTA!$I942/7</f>
        <v>204.42857142857142</v>
      </c>
    </row>
    <row r="943" spans="1:10" x14ac:dyDescent="0.25">
      <c r="A943" s="10" t="s">
        <v>12</v>
      </c>
      <c r="B943" s="11">
        <v>29</v>
      </c>
      <c r="C943" s="13">
        <v>40</v>
      </c>
      <c r="D943" s="320">
        <v>37</v>
      </c>
      <c r="E943" s="11">
        <v>46</v>
      </c>
      <c r="F943" s="125">
        <v>94</v>
      </c>
      <c r="G943" s="11">
        <v>133</v>
      </c>
      <c r="H943" s="11">
        <v>106</v>
      </c>
      <c r="I943" s="313">
        <f t="shared" si="415"/>
        <v>485</v>
      </c>
      <c r="J943" s="318">
        <f>FLORESTA!$I943/7</f>
        <v>69.285714285714292</v>
      </c>
    </row>
    <row r="944" spans="1:10" x14ac:dyDescent="0.25">
      <c r="A944" s="10" t="s">
        <v>13</v>
      </c>
      <c r="B944" s="11">
        <v>1</v>
      </c>
      <c r="C944" s="13">
        <v>1</v>
      </c>
      <c r="D944" s="13">
        <v>1</v>
      </c>
      <c r="E944" s="11">
        <v>0</v>
      </c>
      <c r="F944" s="125">
        <v>1</v>
      </c>
      <c r="G944" s="11">
        <v>5</v>
      </c>
      <c r="H944" s="11">
        <v>3</v>
      </c>
      <c r="I944" s="313">
        <f t="shared" si="415"/>
        <v>12</v>
      </c>
      <c r="J944" s="318">
        <f>C944+D944+E944+F944+G944+H944+I944</f>
        <v>23</v>
      </c>
    </row>
    <row r="945" spans="1:10" x14ac:dyDescent="0.25">
      <c r="A945" s="10" t="s">
        <v>14</v>
      </c>
      <c r="B945" s="11">
        <v>49</v>
      </c>
      <c r="C945" s="13">
        <v>46</v>
      </c>
      <c r="D945" s="320">
        <v>56</v>
      </c>
      <c r="E945" s="11">
        <v>59</v>
      </c>
      <c r="F945" s="125">
        <v>92</v>
      </c>
      <c r="G945" s="11">
        <v>132</v>
      </c>
      <c r="H945" s="11">
        <v>154</v>
      </c>
      <c r="I945" s="313">
        <f t="shared" si="415"/>
        <v>588</v>
      </c>
      <c r="J945" s="318">
        <f>FLORESTA!$I945/7</f>
        <v>84</v>
      </c>
    </row>
    <row r="946" spans="1:10" x14ac:dyDescent="0.25">
      <c r="A946" s="10" t="s">
        <v>15</v>
      </c>
      <c r="B946" s="11">
        <v>1</v>
      </c>
      <c r="C946" s="13">
        <v>6</v>
      </c>
      <c r="D946" s="13">
        <v>3</v>
      </c>
      <c r="E946" s="11">
        <v>5</v>
      </c>
      <c r="F946" s="125">
        <v>14</v>
      </c>
      <c r="G946" s="11">
        <v>25</v>
      </c>
      <c r="H946" s="11">
        <v>6</v>
      </c>
      <c r="I946" s="313">
        <f t="shared" si="415"/>
        <v>60</v>
      </c>
      <c r="J946" s="318">
        <f>FLORESTA!$I946/7</f>
        <v>8.5714285714285712</v>
      </c>
    </row>
    <row r="947" spans="1:10" x14ac:dyDescent="0.25">
      <c r="A947" s="10" t="s">
        <v>16</v>
      </c>
      <c r="B947" s="11">
        <v>0</v>
      </c>
      <c r="C947" s="13">
        <v>0</v>
      </c>
      <c r="D947" s="13">
        <v>0</v>
      </c>
      <c r="E947" s="11">
        <v>0</v>
      </c>
      <c r="F947" s="125">
        <v>0</v>
      </c>
      <c r="G947" s="11">
        <v>2</v>
      </c>
      <c r="H947" s="11">
        <v>0</v>
      </c>
      <c r="I947" s="313">
        <f t="shared" si="415"/>
        <v>2</v>
      </c>
      <c r="J947" s="318">
        <f>FLORESTA!$I947/7</f>
        <v>0.2857142857142857</v>
      </c>
    </row>
    <row r="948" spans="1:10" x14ac:dyDescent="0.25">
      <c r="A948" s="15" t="s">
        <v>17</v>
      </c>
      <c r="B948" s="79">
        <f t="shared" ref="B948:I948" si="416">SUM(B943:B947)</f>
        <v>80</v>
      </c>
      <c r="C948" s="79">
        <f t="shared" si="416"/>
        <v>93</v>
      </c>
      <c r="D948" s="79">
        <f t="shared" si="416"/>
        <v>97</v>
      </c>
      <c r="E948" s="103">
        <f t="shared" si="416"/>
        <v>110</v>
      </c>
      <c r="F948" s="213">
        <f t="shared" si="416"/>
        <v>201</v>
      </c>
      <c r="G948" s="103">
        <f t="shared" si="416"/>
        <v>297</v>
      </c>
      <c r="H948" s="103">
        <f t="shared" si="416"/>
        <v>269</v>
      </c>
      <c r="I948" s="103">
        <f t="shared" si="416"/>
        <v>1147</v>
      </c>
      <c r="J948" s="319">
        <f>FLORESTA!$I948/7</f>
        <v>163.85714285714286</v>
      </c>
    </row>
    <row r="949" spans="1:10" x14ac:dyDescent="0.25">
      <c r="A949" s="10" t="s">
        <v>18</v>
      </c>
      <c r="B949" s="325">
        <v>0.35</v>
      </c>
      <c r="C949" s="326">
        <v>0.49</v>
      </c>
      <c r="D949" s="326">
        <v>0.4</v>
      </c>
      <c r="E949" s="327">
        <v>0.48</v>
      </c>
      <c r="F949" s="328">
        <v>0.54</v>
      </c>
      <c r="G949" s="327">
        <v>0.49</v>
      </c>
      <c r="H949" s="327">
        <v>0.42</v>
      </c>
      <c r="I949" s="18">
        <f>I956/I961</f>
        <v>0.46412174320801752</v>
      </c>
      <c r="J949" s="19">
        <f>J956/J961</f>
        <v>0.46412174320801747</v>
      </c>
    </row>
    <row r="950" spans="1:10" x14ac:dyDescent="0.25">
      <c r="A950" s="10" t="s">
        <v>19</v>
      </c>
      <c r="B950" s="325">
        <v>0.01</v>
      </c>
      <c r="C950" s="326">
        <v>0.01</v>
      </c>
      <c r="D950" s="326">
        <v>0.02</v>
      </c>
      <c r="E950" s="327">
        <v>0</v>
      </c>
      <c r="F950" s="327">
        <v>0</v>
      </c>
      <c r="G950" s="327">
        <v>0.02</v>
      </c>
      <c r="H950" s="327">
        <v>0.01</v>
      </c>
      <c r="I950" s="18">
        <f>I957/I961</f>
        <v>1.079710766898437E-2</v>
      </c>
      <c r="J950" s="19">
        <f>J957/J961</f>
        <v>1.0797107668984368E-2</v>
      </c>
    </row>
    <row r="951" spans="1:10" x14ac:dyDescent="0.25">
      <c r="A951" s="10" t="s">
        <v>20</v>
      </c>
      <c r="B951" s="325">
        <v>0.63</v>
      </c>
      <c r="C951" s="326">
        <v>0.44</v>
      </c>
      <c r="D951" s="326">
        <v>0.55000000000000004</v>
      </c>
      <c r="E951" s="327">
        <v>0.47</v>
      </c>
      <c r="F951" s="329">
        <v>0.41</v>
      </c>
      <c r="G951" s="327">
        <v>0.42</v>
      </c>
      <c r="H951" s="327">
        <v>0.55000000000000004</v>
      </c>
      <c r="I951" s="18">
        <f>I958/I961</f>
        <v>0.48068569943886419</v>
      </c>
      <c r="J951" s="19">
        <f>J958/J961</f>
        <v>0.48068569943886413</v>
      </c>
    </row>
    <row r="952" spans="1:10" x14ac:dyDescent="0.25">
      <c r="A952" s="10" t="s">
        <v>21</v>
      </c>
      <c r="B952" s="325">
        <v>0.01</v>
      </c>
      <c r="C952" s="326">
        <v>0.06</v>
      </c>
      <c r="D952" s="326">
        <v>0.03</v>
      </c>
      <c r="E952" s="327">
        <v>0.05</v>
      </c>
      <c r="F952" s="329">
        <v>0.05</v>
      </c>
      <c r="G952" s="327">
        <v>7.0000000000000007E-2</v>
      </c>
      <c r="H952" s="327">
        <v>0.02</v>
      </c>
      <c r="I952" s="18">
        <f>I959/I961</f>
        <v>4.4395449684133961E-2</v>
      </c>
      <c r="J952" s="19">
        <f>J959/J961</f>
        <v>4.4395449684133961E-2</v>
      </c>
    </row>
    <row r="953" spans="1:10" x14ac:dyDescent="0.25">
      <c r="A953" s="10" t="s">
        <v>22</v>
      </c>
      <c r="B953" s="325">
        <v>0</v>
      </c>
      <c r="C953" s="326">
        <v>0</v>
      </c>
      <c r="D953" s="326">
        <v>0</v>
      </c>
      <c r="E953" s="327">
        <v>0</v>
      </c>
      <c r="F953" s="329">
        <v>0</v>
      </c>
      <c r="G953" s="327">
        <v>0</v>
      </c>
      <c r="H953" s="327">
        <v>0</v>
      </c>
      <c r="I953" s="18">
        <f>I960/I961</f>
        <v>0</v>
      </c>
      <c r="J953" s="19">
        <f>J960/J961</f>
        <v>0</v>
      </c>
    </row>
    <row r="954" spans="1:10" x14ac:dyDescent="0.25">
      <c r="A954" s="24" t="s">
        <v>23</v>
      </c>
      <c r="B954" s="130">
        <f t="shared" ref="B954:J954" si="417">B965/B948</f>
        <v>34112.5</v>
      </c>
      <c r="C954" s="131">
        <f t="shared" si="417"/>
        <v>32522.580645161295</v>
      </c>
      <c r="D954" s="131">
        <f t="shared" si="417"/>
        <v>34092.783505154643</v>
      </c>
      <c r="E954" s="130">
        <f t="shared" si="417"/>
        <v>32710.909090909096</v>
      </c>
      <c r="F954" s="132">
        <f t="shared" si="417"/>
        <v>35914.925373134327</v>
      </c>
      <c r="G954" s="130">
        <f t="shared" si="417"/>
        <v>36048.484848484855</v>
      </c>
      <c r="H954" s="130">
        <f t="shared" si="417"/>
        <v>36379.92565055762</v>
      </c>
      <c r="I954" s="314">
        <f t="shared" si="417"/>
        <v>35196.425457715784</v>
      </c>
      <c r="J954" s="132">
        <f t="shared" si="417"/>
        <v>35196.425457715784</v>
      </c>
    </row>
    <row r="955" spans="1:10" x14ac:dyDescent="0.25">
      <c r="A955" s="24" t="s">
        <v>24</v>
      </c>
      <c r="B955" s="130">
        <f t="shared" ref="B955:J955" si="418">B965/B942</f>
        <v>26754.901960784315</v>
      </c>
      <c r="C955" s="131">
        <f t="shared" si="418"/>
        <v>27748.623853211015</v>
      </c>
      <c r="D955" s="131">
        <f t="shared" si="418"/>
        <v>28508.620689655174</v>
      </c>
      <c r="E955" s="130">
        <f t="shared" si="418"/>
        <v>26457.352941176476</v>
      </c>
      <c r="F955" s="132">
        <f t="shared" si="418"/>
        <v>28533.201581027668</v>
      </c>
      <c r="G955" s="130">
        <f t="shared" si="418"/>
        <v>28626.737967914443</v>
      </c>
      <c r="H955" s="130">
        <f t="shared" si="418"/>
        <v>28698.533724340177</v>
      </c>
      <c r="I955" s="314">
        <f t="shared" si="418"/>
        <v>28211.25087351503</v>
      </c>
      <c r="J955" s="132">
        <f t="shared" si="418"/>
        <v>28211.250873515033</v>
      </c>
    </row>
    <row r="956" spans="1:10" x14ac:dyDescent="0.25">
      <c r="A956" s="10" t="s">
        <v>25</v>
      </c>
      <c r="B956" s="92">
        <f t="shared" ref="B956:H956" si="419">B961*B949</f>
        <v>801531.92241379316</v>
      </c>
      <c r="C956" s="133">
        <f t="shared" si="419"/>
        <v>1235394.7586206899</v>
      </c>
      <c r="D956" s="133">
        <f t="shared" si="419"/>
        <v>1108450.8275862071</v>
      </c>
      <c r="E956" s="92">
        <f t="shared" si="419"/>
        <v>1441327.9448275862</v>
      </c>
      <c r="F956" s="134">
        <f t="shared" si="419"/>
        <v>3251134.613793104</v>
      </c>
      <c r="G956" s="92">
        <f t="shared" si="419"/>
        <v>4382089.6844827589</v>
      </c>
      <c r="H956" s="92">
        <f t="shared" si="419"/>
        <v>3447338.7103448277</v>
      </c>
      <c r="I956" s="92">
        <f>FLORESTA!$B956+FLORESTA!$C956+FLORESTA!$D956+FLORESTA!$E956+FLORESTA!$F956+FLORESTA!$G956+FLORESTA!$H956</f>
        <v>15667268.462068968</v>
      </c>
      <c r="J956" s="133">
        <f>FLORESTA!$I956/7</f>
        <v>2238181.2088669953</v>
      </c>
    </row>
    <row r="957" spans="1:10" x14ac:dyDescent="0.25">
      <c r="A957" s="10" t="s">
        <v>26</v>
      </c>
      <c r="B957" s="92">
        <f t="shared" ref="B957:H957" si="420">B961*B950</f>
        <v>22900.912068965521</v>
      </c>
      <c r="C957" s="133">
        <f t="shared" si="420"/>
        <v>25212.137931034486</v>
      </c>
      <c r="D957" s="133">
        <f t="shared" si="420"/>
        <v>55422.541379310351</v>
      </c>
      <c r="E957" s="92">
        <f t="shared" si="420"/>
        <v>0</v>
      </c>
      <c r="F957" s="134">
        <f t="shared" si="420"/>
        <v>0</v>
      </c>
      <c r="G957" s="92">
        <f t="shared" si="420"/>
        <v>178860.8034482759</v>
      </c>
      <c r="H957" s="92">
        <f t="shared" si="420"/>
        <v>82079.493103448287</v>
      </c>
      <c r="I957" s="92">
        <f>FLORESTA!$B957+FLORESTA!$C957+FLORESTA!$D957+FLORESTA!$E957+FLORESTA!$F957+FLORESTA!$G957+FLORESTA!$H957</f>
        <v>364475.88793103455</v>
      </c>
      <c r="J957" s="133">
        <f>FLORESTA!$I957/7</f>
        <v>52067.98399014779</v>
      </c>
    </row>
    <row r="958" spans="1:10" x14ac:dyDescent="0.25">
      <c r="A958" s="10" t="s">
        <v>27</v>
      </c>
      <c r="B958" s="92">
        <f t="shared" ref="B958:H958" si="421">B961*B951</f>
        <v>1442757.4603448277</v>
      </c>
      <c r="C958" s="133">
        <f t="shared" si="421"/>
        <v>1109334.0689655175</v>
      </c>
      <c r="D958" s="133">
        <f t="shared" si="421"/>
        <v>1524119.8879310347</v>
      </c>
      <c r="E958" s="92">
        <f t="shared" si="421"/>
        <v>1411300.279310345</v>
      </c>
      <c r="F958" s="134">
        <f t="shared" si="421"/>
        <v>2468454.0586206894</v>
      </c>
      <c r="G958" s="92">
        <f t="shared" si="421"/>
        <v>3756076.8724137936</v>
      </c>
      <c r="H958" s="92">
        <f t="shared" si="421"/>
        <v>4514372.1206896557</v>
      </c>
      <c r="I958" s="92">
        <f>FLORESTA!$B958+FLORESTA!$C958+FLORESTA!$D958+FLORESTA!$E958+FLORESTA!$F958+FLORESTA!$G958+FLORESTA!$H958</f>
        <v>16226414.748275865</v>
      </c>
      <c r="J958" s="133">
        <f>FLORESTA!$I958/7</f>
        <v>2318059.249753695</v>
      </c>
    </row>
    <row r="959" spans="1:10" x14ac:dyDescent="0.25">
      <c r="A959" s="10" t="s">
        <v>28</v>
      </c>
      <c r="B959" s="92">
        <f t="shared" ref="B959:H959" si="422">B961*B952</f>
        <v>22900.912068965521</v>
      </c>
      <c r="C959" s="133">
        <f t="shared" si="422"/>
        <v>151272.8275862069</v>
      </c>
      <c r="D959" s="133">
        <f t="shared" si="422"/>
        <v>83133.812068965519</v>
      </c>
      <c r="E959" s="92">
        <f t="shared" si="422"/>
        <v>150138.32758620693</v>
      </c>
      <c r="F959" s="134">
        <f t="shared" si="422"/>
        <v>301030.9827586207</v>
      </c>
      <c r="G959" s="92">
        <f t="shared" si="422"/>
        <v>626012.81206896564</v>
      </c>
      <c r="H959" s="92">
        <f t="shared" si="422"/>
        <v>164158.98620689657</v>
      </c>
      <c r="I959" s="92">
        <f>FLORESTA!$B959+FLORESTA!$C959+FLORESTA!$D959+FLORESTA!$E959+FLORESTA!$F959+FLORESTA!$G959+FLORESTA!$H959</f>
        <v>1498648.6603448279</v>
      </c>
      <c r="J959" s="133">
        <f>FLORESTA!$I959/7</f>
        <v>214092.66576354686</v>
      </c>
    </row>
    <row r="960" spans="1:10" x14ac:dyDescent="0.25">
      <c r="A960" s="10" t="s">
        <v>29</v>
      </c>
      <c r="B960" s="92">
        <f t="shared" ref="B960:H960" si="423">B961*B953</f>
        <v>0</v>
      </c>
      <c r="C960" s="133">
        <f t="shared" si="423"/>
        <v>0</v>
      </c>
      <c r="D960" s="133">
        <f t="shared" si="423"/>
        <v>0</v>
      </c>
      <c r="E960" s="92">
        <f t="shared" si="423"/>
        <v>0</v>
      </c>
      <c r="F960" s="134">
        <f t="shared" si="423"/>
        <v>0</v>
      </c>
      <c r="G960" s="92">
        <f t="shared" si="423"/>
        <v>0</v>
      </c>
      <c r="H960" s="92">
        <f t="shared" si="423"/>
        <v>0</v>
      </c>
      <c r="I960" s="92">
        <f>FLORESTA!$B960+FLORESTA!$C960+FLORESTA!$D960+FLORESTA!$E960+FLORESTA!$F960+FLORESTA!$G960+FLORESTA!$H960</f>
        <v>0</v>
      </c>
      <c r="J960" s="133">
        <f>FLORESTA!$I960/7</f>
        <v>0</v>
      </c>
    </row>
    <row r="961" spans="1:10" x14ac:dyDescent="0.25">
      <c r="A961" s="33" t="s">
        <v>30</v>
      </c>
      <c r="B961" s="222">
        <f>(2729000/1.16)-B962</f>
        <v>2290091.2068965519</v>
      </c>
      <c r="C961" s="222">
        <f>(3024600/1.16)-C962</f>
        <v>2521213.7931034486</v>
      </c>
      <c r="D961" s="222">
        <f>(3307000/1.16)-D962</f>
        <v>2771127.0689655175</v>
      </c>
      <c r="E961" s="222">
        <f>(3598200/1.16)-E962</f>
        <v>3002766.5517241382</v>
      </c>
      <c r="F961" s="222">
        <f>(7218900/1.16)-F962</f>
        <v>6020619.6551724141</v>
      </c>
      <c r="G961" s="222">
        <f>(10706400/1.16)-G962</f>
        <v>8943040.1724137943</v>
      </c>
      <c r="H961" s="222">
        <f>(9786200/1.16)-H962</f>
        <v>8207949.3103448283</v>
      </c>
      <c r="I961" s="91">
        <f>SUM(I956:I960)</f>
        <v>33756807.758620694</v>
      </c>
      <c r="J961" s="136">
        <f>FLORESTA!$I961/7</f>
        <v>4822401.1083743852</v>
      </c>
    </row>
    <row r="962" spans="1:10" x14ac:dyDescent="0.25">
      <c r="A962" s="10" t="s">
        <v>31</v>
      </c>
      <c r="B962" s="94">
        <f t="shared" ref="B962:J962" si="424">2155*B943</f>
        <v>62495</v>
      </c>
      <c r="C962" s="139">
        <f t="shared" si="424"/>
        <v>86200</v>
      </c>
      <c r="D962" s="139">
        <f t="shared" si="424"/>
        <v>79735</v>
      </c>
      <c r="E962" s="94">
        <f t="shared" si="424"/>
        <v>99130</v>
      </c>
      <c r="F962" s="112">
        <f t="shared" si="424"/>
        <v>202570</v>
      </c>
      <c r="G962" s="94">
        <f t="shared" si="424"/>
        <v>286615</v>
      </c>
      <c r="H962" s="94">
        <f t="shared" si="424"/>
        <v>228430</v>
      </c>
      <c r="I962" s="94">
        <f t="shared" si="424"/>
        <v>1045175</v>
      </c>
      <c r="J962" s="139">
        <f t="shared" si="424"/>
        <v>149310.71428571429</v>
      </c>
    </row>
    <row r="963" spans="1:10" x14ac:dyDescent="0.25">
      <c r="A963" s="37" t="s">
        <v>32</v>
      </c>
      <c r="B963" s="39">
        <f t="shared" ref="B963:H963" si="425">B961+B962</f>
        <v>2352586.2068965519</v>
      </c>
      <c r="C963" s="40">
        <f t="shared" si="425"/>
        <v>2607413.7931034486</v>
      </c>
      <c r="D963" s="40">
        <f t="shared" si="425"/>
        <v>2850862.0689655175</v>
      </c>
      <c r="E963" s="39">
        <f t="shared" si="425"/>
        <v>3101896.5517241382</v>
      </c>
      <c r="F963" s="140">
        <f t="shared" si="425"/>
        <v>6223189.6551724141</v>
      </c>
      <c r="G963" s="39">
        <f t="shared" si="425"/>
        <v>9229655.1724137943</v>
      </c>
      <c r="H963" s="39">
        <f t="shared" si="425"/>
        <v>8436379.3103448283</v>
      </c>
      <c r="I963" s="39">
        <f>I961+I962</f>
        <v>34801982.758620694</v>
      </c>
      <c r="J963" s="40">
        <f>J961+J962</f>
        <v>4971711.8226600997</v>
      </c>
    </row>
    <row r="964" spans="1:10" x14ac:dyDescent="0.25">
      <c r="A964" s="10" t="s">
        <v>33</v>
      </c>
      <c r="B964" s="41">
        <f t="shared" ref="B964:H964" si="426">B963*16%</f>
        <v>376413.79310344829</v>
      </c>
      <c r="C964" s="42">
        <f t="shared" si="426"/>
        <v>417186.20689655177</v>
      </c>
      <c r="D964" s="42">
        <f t="shared" si="426"/>
        <v>456137.93103448278</v>
      </c>
      <c r="E964" s="41">
        <f t="shared" si="426"/>
        <v>496303.44827586215</v>
      </c>
      <c r="F964" s="141">
        <f t="shared" si="426"/>
        <v>995710.34482758632</v>
      </c>
      <c r="G964" s="41">
        <f t="shared" si="426"/>
        <v>1476744.8275862071</v>
      </c>
      <c r="H964" s="41">
        <f t="shared" si="426"/>
        <v>1349820.6896551726</v>
      </c>
      <c r="I964" s="41">
        <f>I963*16%</f>
        <v>5568317.2413793113</v>
      </c>
      <c r="J964" s="42">
        <f>J963*16%</f>
        <v>795473.891625616</v>
      </c>
    </row>
    <row r="965" spans="1:10" x14ac:dyDescent="0.25">
      <c r="A965" s="43" t="s">
        <v>34</v>
      </c>
      <c r="B965" s="315">
        <f t="shared" ref="B965:H965" si="427">B963+B964</f>
        <v>2729000</v>
      </c>
      <c r="C965" s="315">
        <f t="shared" si="427"/>
        <v>3024600.0000000005</v>
      </c>
      <c r="D965" s="315">
        <f t="shared" si="427"/>
        <v>3307000</v>
      </c>
      <c r="E965" s="178">
        <f t="shared" si="427"/>
        <v>3598200.0000000005</v>
      </c>
      <c r="F965" s="182">
        <f t="shared" si="427"/>
        <v>7218900</v>
      </c>
      <c r="G965" s="178">
        <f t="shared" si="427"/>
        <v>10706400.000000002</v>
      </c>
      <c r="H965" s="178">
        <f t="shared" si="427"/>
        <v>9786200</v>
      </c>
      <c r="I965" s="178">
        <f>I963+I964</f>
        <v>40370300.000000007</v>
      </c>
      <c r="J965" s="315">
        <f>FLORESTA!$I965/7</f>
        <v>5767185.7142857155</v>
      </c>
    </row>
    <row r="967" spans="1:10" ht="12.75" customHeight="1" x14ac:dyDescent="0.25">
      <c r="A967" s="149"/>
      <c r="B967" s="1006" t="s">
        <v>375</v>
      </c>
      <c r="C967" s="1006"/>
      <c r="D967" s="1006"/>
      <c r="E967" s="1006"/>
      <c r="F967" s="1006"/>
      <c r="G967" s="1006"/>
      <c r="H967" s="1006"/>
      <c r="I967" s="1006"/>
    </row>
    <row r="968" spans="1:10" x14ac:dyDescent="0.25">
      <c r="A968" s="149"/>
      <c r="B968" s="1006"/>
      <c r="C968" s="1006"/>
      <c r="D968" s="1006"/>
      <c r="E968" s="1006"/>
      <c r="F968" s="1006"/>
      <c r="G968" s="1006"/>
      <c r="H968" s="1006"/>
      <c r="I968" s="1006"/>
    </row>
    <row r="969" spans="1:10" ht="15.75" x14ac:dyDescent="0.25">
      <c r="A969" s="72" t="s">
        <v>2</v>
      </c>
      <c r="B969" s="121" t="s">
        <v>298</v>
      </c>
      <c r="C969" s="121" t="s">
        <v>299</v>
      </c>
      <c r="D969" s="121" t="s">
        <v>300</v>
      </c>
      <c r="E969" s="121" t="s">
        <v>301</v>
      </c>
      <c r="F969" s="121" t="s">
        <v>65</v>
      </c>
      <c r="G969" s="121" t="s">
        <v>66</v>
      </c>
      <c r="H969" s="121" t="s">
        <v>67</v>
      </c>
      <c r="I969" s="51" t="s">
        <v>10</v>
      </c>
      <c r="J969" s="51" t="s">
        <v>77</v>
      </c>
    </row>
    <row r="970" spans="1:10" x14ac:dyDescent="0.25">
      <c r="A970" s="74" t="s">
        <v>11</v>
      </c>
      <c r="B970" s="55">
        <f>123+99+41</f>
        <v>263</v>
      </c>
      <c r="C970" s="56">
        <f>41+22+4</f>
        <v>67</v>
      </c>
      <c r="D970" s="54">
        <f>64+37+9</f>
        <v>110</v>
      </c>
      <c r="E970" s="316">
        <f>66+36+12</f>
        <v>114</v>
      </c>
      <c r="F970" s="311">
        <f>153+99+17</f>
        <v>269</v>
      </c>
      <c r="G970" s="58">
        <f>154+141+33</f>
        <v>328</v>
      </c>
      <c r="H970" s="57">
        <f>152+118+32</f>
        <v>302</v>
      </c>
      <c r="I970" s="311">
        <f t="shared" ref="I970:I975" si="428">SUM(B970:H970)</f>
        <v>1453</v>
      </c>
      <c r="J970" s="317">
        <f>FLORESTA!$I970/7</f>
        <v>207.57142857142858</v>
      </c>
    </row>
    <row r="971" spans="1:10" x14ac:dyDescent="0.25">
      <c r="A971" s="10" t="s">
        <v>12</v>
      </c>
      <c r="B971" s="11">
        <v>85</v>
      </c>
      <c r="C971" s="13">
        <v>22</v>
      </c>
      <c r="D971" s="320">
        <v>27</v>
      </c>
      <c r="E971" s="11">
        <v>37</v>
      </c>
      <c r="F971" s="125">
        <v>87</v>
      </c>
      <c r="G971" s="11">
        <v>97</v>
      </c>
      <c r="H971" s="11">
        <v>101</v>
      </c>
      <c r="I971" s="313">
        <f t="shared" si="428"/>
        <v>456</v>
      </c>
      <c r="J971" s="318">
        <f>FLORESTA!$I971/7</f>
        <v>65.142857142857139</v>
      </c>
    </row>
    <row r="972" spans="1:10" x14ac:dyDescent="0.25">
      <c r="A972" s="10" t="s">
        <v>13</v>
      </c>
      <c r="B972" s="11">
        <v>3</v>
      </c>
      <c r="C972" s="13">
        <v>0</v>
      </c>
      <c r="D972" s="13">
        <v>0</v>
      </c>
      <c r="E972" s="11">
        <v>0</v>
      </c>
      <c r="F972" s="125">
        <v>4</v>
      </c>
      <c r="G972" s="11">
        <v>3</v>
      </c>
      <c r="H972" s="11">
        <v>2</v>
      </c>
      <c r="I972" s="313">
        <f t="shared" si="428"/>
        <v>12</v>
      </c>
      <c r="J972" s="318">
        <f>C972+D972+E972+F972+G972+H972+I972</f>
        <v>21</v>
      </c>
    </row>
    <row r="973" spans="1:10" x14ac:dyDescent="0.25">
      <c r="A973" s="10" t="s">
        <v>14</v>
      </c>
      <c r="B973" s="11">
        <v>99</v>
      </c>
      <c r="C973" s="13">
        <v>42</v>
      </c>
      <c r="D973" s="320">
        <v>56</v>
      </c>
      <c r="E973" s="11">
        <v>51</v>
      </c>
      <c r="F973" s="125">
        <v>121</v>
      </c>
      <c r="G973" s="11">
        <v>135</v>
      </c>
      <c r="H973" s="11">
        <v>106</v>
      </c>
      <c r="I973" s="313">
        <f t="shared" si="428"/>
        <v>610</v>
      </c>
      <c r="J973" s="318">
        <f>FLORESTA!$I973/7</f>
        <v>87.142857142857139</v>
      </c>
    </row>
    <row r="974" spans="1:10" x14ac:dyDescent="0.25">
      <c r="A974" s="10" t="s">
        <v>15</v>
      </c>
      <c r="B974" s="11">
        <v>16</v>
      </c>
      <c r="C974" s="13">
        <v>2</v>
      </c>
      <c r="D974" s="13">
        <v>4</v>
      </c>
      <c r="E974" s="11">
        <v>8</v>
      </c>
      <c r="F974" s="125">
        <v>3</v>
      </c>
      <c r="G974" s="11">
        <v>30</v>
      </c>
      <c r="H974" s="11">
        <v>30</v>
      </c>
      <c r="I974" s="313">
        <f t="shared" si="428"/>
        <v>93</v>
      </c>
      <c r="J974" s="318">
        <f>FLORESTA!$I974/7</f>
        <v>13.285714285714286</v>
      </c>
    </row>
    <row r="975" spans="1:10" x14ac:dyDescent="0.25">
      <c r="A975" s="10" t="s">
        <v>16</v>
      </c>
      <c r="B975" s="11">
        <v>0</v>
      </c>
      <c r="C975" s="13">
        <v>0</v>
      </c>
      <c r="D975" s="13">
        <v>0</v>
      </c>
      <c r="E975" s="11">
        <v>2</v>
      </c>
      <c r="F975" s="125">
        <v>0</v>
      </c>
      <c r="G975" s="11">
        <v>0</v>
      </c>
      <c r="H975" s="11">
        <v>0</v>
      </c>
      <c r="I975" s="313">
        <f t="shared" si="428"/>
        <v>2</v>
      </c>
      <c r="J975" s="318">
        <f>FLORESTA!$I975/7</f>
        <v>0.2857142857142857</v>
      </c>
    </row>
    <row r="976" spans="1:10" x14ac:dyDescent="0.25">
      <c r="A976" s="15" t="s">
        <v>17</v>
      </c>
      <c r="B976" s="79">
        <f t="shared" ref="B976:I976" si="429">SUM(B971:B975)</f>
        <v>203</v>
      </c>
      <c r="C976" s="79">
        <f t="shared" si="429"/>
        <v>66</v>
      </c>
      <c r="D976" s="79">
        <f t="shared" si="429"/>
        <v>87</v>
      </c>
      <c r="E976" s="103">
        <f t="shared" si="429"/>
        <v>98</v>
      </c>
      <c r="F976" s="213">
        <f t="shared" si="429"/>
        <v>215</v>
      </c>
      <c r="G976" s="103">
        <f t="shared" si="429"/>
        <v>265</v>
      </c>
      <c r="H976" s="103">
        <f t="shared" si="429"/>
        <v>239</v>
      </c>
      <c r="I976" s="103">
        <f t="shared" si="429"/>
        <v>1173</v>
      </c>
      <c r="J976" s="319">
        <f>FLORESTA!$I976/7</f>
        <v>167.57142857142858</v>
      </c>
    </row>
    <row r="977" spans="1:10" x14ac:dyDescent="0.25">
      <c r="A977" s="10" t="s">
        <v>18</v>
      </c>
      <c r="B977" s="325">
        <v>0.42</v>
      </c>
      <c r="C977" s="326">
        <v>0.43</v>
      </c>
      <c r="D977" s="326">
        <v>0.39</v>
      </c>
      <c r="E977" s="327">
        <v>0.47</v>
      </c>
      <c r="F977" s="328">
        <v>0.42</v>
      </c>
      <c r="G977" s="327">
        <v>0.4</v>
      </c>
      <c r="H977" s="327">
        <v>0.44</v>
      </c>
      <c r="I977" s="18">
        <f>I984/I989</f>
        <v>0.42174674962216652</v>
      </c>
      <c r="J977" s="19">
        <f>J984/J989</f>
        <v>0.42174674962216657</v>
      </c>
    </row>
    <row r="978" spans="1:10" x14ac:dyDescent="0.25">
      <c r="A978" s="10" t="s">
        <v>19</v>
      </c>
      <c r="B978" s="325">
        <v>0.02</v>
      </c>
      <c r="C978" s="326">
        <v>0</v>
      </c>
      <c r="D978" s="326">
        <v>0</v>
      </c>
      <c r="E978" s="327">
        <v>0</v>
      </c>
      <c r="F978" s="327">
        <v>0.02</v>
      </c>
      <c r="G978" s="327">
        <v>0.01</v>
      </c>
      <c r="H978" s="327">
        <v>0.01</v>
      </c>
      <c r="I978" s="18">
        <f>I985/I989</f>
        <v>1.1729052911875464E-2</v>
      </c>
      <c r="J978" s="19">
        <f>J985/J989</f>
        <v>1.1729052911875464E-2</v>
      </c>
    </row>
    <row r="979" spans="1:10" x14ac:dyDescent="0.25">
      <c r="A979" s="10" t="s">
        <v>20</v>
      </c>
      <c r="B979" s="325">
        <v>0.5</v>
      </c>
      <c r="C979" s="326">
        <v>0.55000000000000004</v>
      </c>
      <c r="D979" s="326">
        <v>0.56000000000000005</v>
      </c>
      <c r="E979" s="327">
        <v>0.42</v>
      </c>
      <c r="F979" s="329">
        <v>0.54</v>
      </c>
      <c r="G979" s="327">
        <v>0.47</v>
      </c>
      <c r="H979" s="327">
        <v>0.45</v>
      </c>
      <c r="I979" s="18">
        <f>I986/I989</f>
        <v>0.49032426261288231</v>
      </c>
      <c r="J979" s="19">
        <f>J986/J989</f>
        <v>0.49032426261288231</v>
      </c>
    </row>
    <row r="980" spans="1:10" x14ac:dyDescent="0.25">
      <c r="A980" s="10" t="s">
        <v>21</v>
      </c>
      <c r="B980" s="325">
        <v>0.06</v>
      </c>
      <c r="C980" s="326">
        <v>0.02</v>
      </c>
      <c r="D980" s="326">
        <v>0.05</v>
      </c>
      <c r="E980" s="327">
        <v>0.08</v>
      </c>
      <c r="F980" s="329">
        <v>0.02</v>
      </c>
      <c r="G980" s="327">
        <v>0.12</v>
      </c>
      <c r="H980" s="327">
        <v>0.1</v>
      </c>
      <c r="I980" s="18">
        <f>I987/I989</f>
        <v>7.3908340347111745E-2</v>
      </c>
      <c r="J980" s="19">
        <f>J987/J989</f>
        <v>7.3908340347111759E-2</v>
      </c>
    </row>
    <row r="981" spans="1:10" x14ac:dyDescent="0.25">
      <c r="A981" s="10" t="s">
        <v>22</v>
      </c>
      <c r="B981" s="325">
        <v>0</v>
      </c>
      <c r="C981" s="326">
        <v>0</v>
      </c>
      <c r="D981" s="326">
        <v>0</v>
      </c>
      <c r="E981" s="327">
        <v>0.03</v>
      </c>
      <c r="F981" s="329">
        <v>0</v>
      </c>
      <c r="G981" s="327">
        <v>0</v>
      </c>
      <c r="H981" s="327">
        <v>0</v>
      </c>
      <c r="I981" s="18">
        <f>I988/I989</f>
        <v>2.2915945059639219E-3</v>
      </c>
      <c r="J981" s="19">
        <f>J988/J989</f>
        <v>2.2915945059639215E-3</v>
      </c>
    </row>
    <row r="982" spans="1:10" x14ac:dyDescent="0.25">
      <c r="A982" s="24" t="s">
        <v>23</v>
      </c>
      <c r="B982" s="130">
        <f t="shared" ref="B982:J982" si="430">B993/B976</f>
        <v>36058.620689655174</v>
      </c>
      <c r="C982" s="131">
        <f t="shared" si="430"/>
        <v>28792.424242424247</v>
      </c>
      <c r="D982" s="131">
        <f t="shared" si="430"/>
        <v>32843.678160919539</v>
      </c>
      <c r="E982" s="130">
        <f t="shared" si="430"/>
        <v>32308.163265306124</v>
      </c>
      <c r="F982" s="132">
        <f t="shared" si="430"/>
        <v>36169.767441860473</v>
      </c>
      <c r="G982" s="130">
        <f t="shared" si="430"/>
        <v>36332.452830188682</v>
      </c>
      <c r="H982" s="130">
        <f t="shared" si="430"/>
        <v>36528.870292887026</v>
      </c>
      <c r="I982" s="314">
        <f t="shared" si="430"/>
        <v>35276.044330775789</v>
      </c>
      <c r="J982" s="132">
        <f t="shared" si="430"/>
        <v>35276.044330775789</v>
      </c>
    </row>
    <row r="983" spans="1:10" x14ac:dyDescent="0.25">
      <c r="A983" s="24" t="s">
        <v>24</v>
      </c>
      <c r="B983" s="130">
        <f t="shared" ref="B983:J983" si="431">B993/B970</f>
        <v>27832.319391634985</v>
      </c>
      <c r="C983" s="131">
        <f t="shared" si="431"/>
        <v>28362.686567164183</v>
      </c>
      <c r="D983" s="131">
        <f t="shared" si="431"/>
        <v>25976.363636363636</v>
      </c>
      <c r="E983" s="130">
        <f t="shared" si="431"/>
        <v>27773.684210526317</v>
      </c>
      <c r="F983" s="132">
        <f t="shared" si="431"/>
        <v>28908.921933085505</v>
      </c>
      <c r="G983" s="130">
        <f t="shared" si="431"/>
        <v>29353.963414634145</v>
      </c>
      <c r="H983" s="130">
        <f t="shared" si="431"/>
        <v>28908.609271523179</v>
      </c>
      <c r="I983" s="314">
        <f t="shared" si="431"/>
        <v>28478.183069511357</v>
      </c>
      <c r="J983" s="132">
        <f t="shared" si="431"/>
        <v>28478.183069511353</v>
      </c>
    </row>
    <row r="984" spans="1:10" x14ac:dyDescent="0.25">
      <c r="A984" s="10" t="s">
        <v>25</v>
      </c>
      <c r="B984" s="92">
        <f t="shared" ref="B984:H984" si="432">B989*B977</f>
        <v>2573375.1206896552</v>
      </c>
      <c r="C984" s="133">
        <f t="shared" si="432"/>
        <v>684035.25172413792</v>
      </c>
      <c r="D984" s="133">
        <f t="shared" si="432"/>
        <v>937985.43620689656</v>
      </c>
      <c r="E984" s="92">
        <f t="shared" si="432"/>
        <v>1245381.4465517241</v>
      </c>
      <c r="F984" s="134">
        <f t="shared" si="432"/>
        <v>2736885.6103448276</v>
      </c>
      <c r="G984" s="92">
        <f t="shared" si="432"/>
        <v>3236420.4827586208</v>
      </c>
      <c r="H984" s="92">
        <f t="shared" si="432"/>
        <v>3215762.8344827588</v>
      </c>
      <c r="I984" s="92">
        <f>FLORESTA!$B984+FLORESTA!$C984+FLORESTA!$D984+FLORESTA!$E984+FLORESTA!$F984+FLORESTA!$G984+FLORESTA!$H984</f>
        <v>14629846.182758622</v>
      </c>
      <c r="J984" s="133">
        <f>FLORESTA!$I984/7</f>
        <v>2089978.0261083746</v>
      </c>
    </row>
    <row r="985" spans="1:10" x14ac:dyDescent="0.25">
      <c r="A985" s="10" t="s">
        <v>26</v>
      </c>
      <c r="B985" s="92">
        <f t="shared" ref="B985:H985" si="433">B989*B978</f>
        <v>122541.67241379312</v>
      </c>
      <c r="C985" s="133">
        <f t="shared" si="433"/>
        <v>0</v>
      </c>
      <c r="D985" s="133">
        <f t="shared" si="433"/>
        <v>0</v>
      </c>
      <c r="E985" s="92">
        <f t="shared" si="433"/>
        <v>0</v>
      </c>
      <c r="F985" s="134">
        <f t="shared" si="433"/>
        <v>130327.88620689657</v>
      </c>
      <c r="G985" s="92">
        <f t="shared" si="433"/>
        <v>80910.512068965516</v>
      </c>
      <c r="H985" s="92">
        <f t="shared" si="433"/>
        <v>73085.518965517243</v>
      </c>
      <c r="I985" s="92">
        <f>FLORESTA!$B985+FLORESTA!$C985+FLORESTA!$D985+FLORESTA!$E985+FLORESTA!$F985+FLORESTA!$G985+FLORESTA!$H985</f>
        <v>406865.58965517243</v>
      </c>
      <c r="J985" s="133">
        <f>FLORESTA!$I985/7</f>
        <v>58123.655665024635</v>
      </c>
    </row>
    <row r="986" spans="1:10" x14ac:dyDescent="0.25">
      <c r="A986" s="10" t="s">
        <v>27</v>
      </c>
      <c r="B986" s="92">
        <f t="shared" ref="B986:H986" si="434">B989*B979</f>
        <v>3063541.8103448278</v>
      </c>
      <c r="C986" s="133">
        <f t="shared" si="434"/>
        <v>874928.81034482771</v>
      </c>
      <c r="D986" s="133">
        <f t="shared" si="434"/>
        <v>1346850.8827586209</v>
      </c>
      <c r="E986" s="92">
        <f t="shared" si="434"/>
        <v>1112894.0586206897</v>
      </c>
      <c r="F986" s="134">
        <f t="shared" si="434"/>
        <v>3518852.9275862076</v>
      </c>
      <c r="G986" s="92">
        <f t="shared" si="434"/>
        <v>3802794.0672413791</v>
      </c>
      <c r="H986" s="92">
        <f t="shared" si="434"/>
        <v>3288848.3534482759</v>
      </c>
      <c r="I986" s="92">
        <f>FLORESTA!$B986+FLORESTA!$C986+FLORESTA!$D986+FLORESTA!$E986+FLORESTA!$F986+FLORESTA!$G986+FLORESTA!$H986</f>
        <v>17008710.910344828</v>
      </c>
      <c r="J986" s="133">
        <f>FLORESTA!$I986/7</f>
        <v>2429815.8443349754</v>
      </c>
    </row>
    <row r="987" spans="1:10" x14ac:dyDescent="0.25">
      <c r="A987" s="10" t="s">
        <v>28</v>
      </c>
      <c r="B987" s="92">
        <f t="shared" ref="B987:H987" si="435">B989*B980</f>
        <v>367625.0172413793</v>
      </c>
      <c r="C987" s="133">
        <f t="shared" si="435"/>
        <v>31815.593103448278</v>
      </c>
      <c r="D987" s="133">
        <f t="shared" si="435"/>
        <v>120254.54310344829</v>
      </c>
      <c r="E987" s="92">
        <f t="shared" si="435"/>
        <v>211979.82068965517</v>
      </c>
      <c r="F987" s="134">
        <f t="shared" si="435"/>
        <v>130327.88620689657</v>
      </c>
      <c r="G987" s="92">
        <f t="shared" si="435"/>
        <v>970926.14482758613</v>
      </c>
      <c r="H987" s="92">
        <f t="shared" si="435"/>
        <v>730855.18965517252</v>
      </c>
      <c r="I987" s="92">
        <f>FLORESTA!$B987+FLORESTA!$C987+FLORESTA!$D987+FLORESTA!$E987+FLORESTA!$F987+FLORESTA!$G987+FLORESTA!$H987</f>
        <v>2563784.1948275864</v>
      </c>
      <c r="J987" s="133">
        <f>FLORESTA!$I987/7</f>
        <v>366254.8849753695</v>
      </c>
    </row>
    <row r="988" spans="1:10" x14ac:dyDescent="0.25">
      <c r="A988" s="10" t="s">
        <v>29</v>
      </c>
      <c r="B988" s="92">
        <f t="shared" ref="B988:H988" si="436">B989*B981</f>
        <v>0</v>
      </c>
      <c r="C988" s="133">
        <f t="shared" si="436"/>
        <v>0</v>
      </c>
      <c r="D988" s="133">
        <f t="shared" si="436"/>
        <v>0</v>
      </c>
      <c r="E988" s="92">
        <f t="shared" si="436"/>
        <v>79492.432758620693</v>
      </c>
      <c r="F988" s="134">
        <f t="shared" si="436"/>
        <v>0</v>
      </c>
      <c r="G988" s="92">
        <f t="shared" si="436"/>
        <v>0</v>
      </c>
      <c r="H988" s="92">
        <f t="shared" si="436"/>
        <v>0</v>
      </c>
      <c r="I988" s="92">
        <f>FLORESTA!$B988+FLORESTA!$C988+FLORESTA!$D988+FLORESTA!$E988+FLORESTA!$F988+FLORESTA!$G988+FLORESTA!$H988</f>
        <v>79492.432758620693</v>
      </c>
      <c r="J988" s="133">
        <f>FLORESTA!$I988/7</f>
        <v>11356.061822660098</v>
      </c>
    </row>
    <row r="989" spans="1:10" x14ac:dyDescent="0.25">
      <c r="A989" s="33" t="s">
        <v>30</v>
      </c>
      <c r="B989" s="222">
        <f>(7319900/1.16)-B990</f>
        <v>6127083.6206896557</v>
      </c>
      <c r="C989" s="222">
        <f>(1900300/1.16)-C990</f>
        <v>1590779.6551724139</v>
      </c>
      <c r="D989" s="222">
        <f>(2857400/1.16)-D990</f>
        <v>2405090.8620689656</v>
      </c>
      <c r="E989" s="222">
        <f>(3166200/1.16)-E990</f>
        <v>2649747.7586206896</v>
      </c>
      <c r="F989" s="222">
        <f>(7776500/1.16)-F990</f>
        <v>6516394.3103448283</v>
      </c>
      <c r="G989" s="222">
        <f>(9628100/1.16)-G990</f>
        <v>8091051.2068965519</v>
      </c>
      <c r="H989" s="222">
        <f>(8730400/1.16)-H990</f>
        <v>7308551.8965517245</v>
      </c>
      <c r="I989" s="91">
        <f>SUM(I984:I988)</f>
        <v>34688699.31034483</v>
      </c>
      <c r="J989" s="136">
        <f>FLORESTA!$I989/7</f>
        <v>4955528.4729064042</v>
      </c>
    </row>
    <row r="990" spans="1:10" x14ac:dyDescent="0.25">
      <c r="A990" s="10" t="s">
        <v>31</v>
      </c>
      <c r="B990" s="94">
        <f t="shared" ref="B990:J990" si="437">2155*B971</f>
        <v>183175</v>
      </c>
      <c r="C990" s="139">
        <f t="shared" si="437"/>
        <v>47410</v>
      </c>
      <c r="D990" s="139">
        <f t="shared" si="437"/>
        <v>58185</v>
      </c>
      <c r="E990" s="94">
        <f t="shared" si="437"/>
        <v>79735</v>
      </c>
      <c r="F990" s="112">
        <f t="shared" si="437"/>
        <v>187485</v>
      </c>
      <c r="G990" s="94">
        <f t="shared" si="437"/>
        <v>209035</v>
      </c>
      <c r="H990" s="94">
        <f t="shared" si="437"/>
        <v>217655</v>
      </c>
      <c r="I990" s="94">
        <f t="shared" si="437"/>
        <v>982680</v>
      </c>
      <c r="J990" s="139">
        <f t="shared" si="437"/>
        <v>140382.85714285713</v>
      </c>
    </row>
    <row r="991" spans="1:10" x14ac:dyDescent="0.25">
      <c r="A991" s="37" t="s">
        <v>32</v>
      </c>
      <c r="B991" s="39">
        <f t="shared" ref="B991:H991" si="438">B989+B990</f>
        <v>6310258.6206896557</v>
      </c>
      <c r="C991" s="40">
        <f t="shared" si="438"/>
        <v>1638189.6551724139</v>
      </c>
      <c r="D991" s="40">
        <f t="shared" si="438"/>
        <v>2463275.8620689656</v>
      </c>
      <c r="E991" s="39">
        <f t="shared" si="438"/>
        <v>2729482.7586206896</v>
      </c>
      <c r="F991" s="140">
        <f t="shared" si="438"/>
        <v>6703879.3103448283</v>
      </c>
      <c r="G991" s="39">
        <f t="shared" si="438"/>
        <v>8300086.2068965519</v>
      </c>
      <c r="H991" s="39">
        <f t="shared" si="438"/>
        <v>7526206.8965517245</v>
      </c>
      <c r="I991" s="39">
        <f>I989+I990</f>
        <v>35671379.31034483</v>
      </c>
      <c r="J991" s="40">
        <f>J989+J990</f>
        <v>5095911.3300492615</v>
      </c>
    </row>
    <row r="992" spans="1:10" x14ac:dyDescent="0.25">
      <c r="A992" s="10" t="s">
        <v>33</v>
      </c>
      <c r="B992" s="41">
        <f t="shared" ref="B992:H992" si="439">B991*16%</f>
        <v>1009641.3793103449</v>
      </c>
      <c r="C992" s="42">
        <f t="shared" si="439"/>
        <v>262110.34482758623</v>
      </c>
      <c r="D992" s="42">
        <f t="shared" si="439"/>
        <v>394124.13793103449</v>
      </c>
      <c r="E992" s="41">
        <f t="shared" si="439"/>
        <v>436717.24137931038</v>
      </c>
      <c r="F992" s="141">
        <f t="shared" si="439"/>
        <v>1072620.6896551726</v>
      </c>
      <c r="G992" s="41">
        <f t="shared" si="439"/>
        <v>1328013.7931034483</v>
      </c>
      <c r="H992" s="41">
        <f t="shared" si="439"/>
        <v>1204193.1034482759</v>
      </c>
      <c r="I992" s="41">
        <f>I991*16%</f>
        <v>5707420.6896551726</v>
      </c>
      <c r="J992" s="42">
        <f>J991*16%</f>
        <v>815345.81280788186</v>
      </c>
    </row>
    <row r="993" spans="1:10" x14ac:dyDescent="0.25">
      <c r="A993" s="43" t="s">
        <v>34</v>
      </c>
      <c r="B993" s="315">
        <f t="shared" ref="B993:H993" si="440">B991+B992</f>
        <v>7319900.0000000009</v>
      </c>
      <c r="C993" s="315">
        <f t="shared" si="440"/>
        <v>1900300.0000000002</v>
      </c>
      <c r="D993" s="315">
        <f t="shared" si="440"/>
        <v>2857400</v>
      </c>
      <c r="E993" s="178">
        <f t="shared" si="440"/>
        <v>3166200</v>
      </c>
      <c r="F993" s="182">
        <f t="shared" si="440"/>
        <v>7776500.0000000009</v>
      </c>
      <c r="G993" s="178">
        <f t="shared" si="440"/>
        <v>9628100</v>
      </c>
      <c r="H993" s="178">
        <f t="shared" si="440"/>
        <v>8730400</v>
      </c>
      <c r="I993" s="178">
        <f>I991+I992</f>
        <v>41378800</v>
      </c>
      <c r="J993" s="315">
        <f>FLORESTA!$I993/7</f>
        <v>5911257.1428571427</v>
      </c>
    </row>
    <row r="995" spans="1:10" ht="12.75" customHeight="1" x14ac:dyDescent="0.25">
      <c r="A995" s="149"/>
      <c r="B995" s="1006" t="s">
        <v>376</v>
      </c>
      <c r="C995" s="1006"/>
      <c r="D995" s="1006"/>
      <c r="E995" s="1006"/>
      <c r="F995" s="1006"/>
      <c r="G995" s="1006"/>
      <c r="H995" s="1006"/>
      <c r="I995" s="1006"/>
    </row>
    <row r="996" spans="1:10" x14ac:dyDescent="0.25">
      <c r="A996" s="149"/>
      <c r="B996" s="1006"/>
      <c r="C996" s="1006"/>
      <c r="D996" s="1006"/>
      <c r="E996" s="1006"/>
      <c r="F996" s="1006"/>
      <c r="G996" s="1006"/>
      <c r="H996" s="1006"/>
      <c r="I996" s="1006"/>
    </row>
    <row r="997" spans="1:10" ht="15.75" x14ac:dyDescent="0.25">
      <c r="A997" s="72" t="s">
        <v>2</v>
      </c>
      <c r="B997" s="228" t="s">
        <v>70</v>
      </c>
      <c r="C997" s="228" t="s">
        <v>71</v>
      </c>
      <c r="D997" s="228" t="s">
        <v>72</v>
      </c>
      <c r="E997" s="228" t="s">
        <v>73</v>
      </c>
      <c r="F997" s="228" t="s">
        <v>74</v>
      </c>
      <c r="G997" s="228" t="s">
        <v>75</v>
      </c>
      <c r="H997" s="228" t="s">
        <v>76</v>
      </c>
      <c r="I997" s="51" t="s">
        <v>10</v>
      </c>
      <c r="J997" s="51" t="s">
        <v>77</v>
      </c>
    </row>
    <row r="998" spans="1:10" x14ac:dyDescent="0.25">
      <c r="A998" s="74" t="s">
        <v>11</v>
      </c>
      <c r="B998" s="55">
        <f>48+25+7</f>
        <v>80</v>
      </c>
      <c r="C998" s="56">
        <f>66+29+6</f>
        <v>101</v>
      </c>
      <c r="D998" s="54">
        <f>85+54+18</f>
        <v>157</v>
      </c>
      <c r="E998" s="316">
        <f>88+56+13</f>
        <v>157</v>
      </c>
      <c r="F998" s="311">
        <f>185+92+16</f>
        <v>293</v>
      </c>
      <c r="G998" s="58">
        <f>183+145+39</f>
        <v>367</v>
      </c>
      <c r="H998" s="57">
        <f>166+103+51</f>
        <v>320</v>
      </c>
      <c r="I998" s="311">
        <f t="shared" ref="I998:I1003" si="441">SUM(B998:H998)</f>
        <v>1475</v>
      </c>
      <c r="J998" s="317">
        <f>FLORESTA!$I998/7</f>
        <v>210.71428571428572</v>
      </c>
    </row>
    <row r="999" spans="1:10" x14ac:dyDescent="0.25">
      <c r="A999" s="10" t="s">
        <v>12</v>
      </c>
      <c r="B999" s="11">
        <v>27</v>
      </c>
      <c r="C999" s="13">
        <v>25</v>
      </c>
      <c r="D999" s="320">
        <v>39</v>
      </c>
      <c r="E999" s="11">
        <v>42</v>
      </c>
      <c r="F999" s="125">
        <v>81</v>
      </c>
      <c r="G999" s="11">
        <v>110</v>
      </c>
      <c r="H999" s="11">
        <v>74</v>
      </c>
      <c r="I999" s="313">
        <f t="shared" si="441"/>
        <v>398</v>
      </c>
      <c r="J999" s="318">
        <f>FLORESTA!$I999/7</f>
        <v>56.857142857142854</v>
      </c>
    </row>
    <row r="1000" spans="1:10" x14ac:dyDescent="0.25">
      <c r="A1000" s="10" t="s">
        <v>13</v>
      </c>
      <c r="B1000" s="11">
        <v>0</v>
      </c>
      <c r="C1000" s="13">
        <v>1</v>
      </c>
      <c r="D1000" s="13">
        <v>2</v>
      </c>
      <c r="E1000" s="11">
        <v>2</v>
      </c>
      <c r="F1000" s="125">
        <v>3</v>
      </c>
      <c r="G1000" s="11">
        <v>3</v>
      </c>
      <c r="H1000" s="11">
        <v>2</v>
      </c>
      <c r="I1000" s="313">
        <f t="shared" si="441"/>
        <v>13</v>
      </c>
      <c r="J1000" s="318">
        <f>C1000+D1000+E1000+F1000+G1000+H1000+I1000</f>
        <v>26</v>
      </c>
    </row>
    <row r="1001" spans="1:10" x14ac:dyDescent="0.25">
      <c r="A1001" s="10" t="s">
        <v>14</v>
      </c>
      <c r="B1001" s="11">
        <v>37</v>
      </c>
      <c r="C1001" s="13">
        <v>61</v>
      </c>
      <c r="D1001" s="320">
        <v>83</v>
      </c>
      <c r="E1001" s="11">
        <v>94</v>
      </c>
      <c r="F1001" s="125">
        <v>162</v>
      </c>
      <c r="G1001" s="11">
        <v>168</v>
      </c>
      <c r="H1001" s="11">
        <v>158</v>
      </c>
      <c r="I1001" s="313">
        <f t="shared" si="441"/>
        <v>763</v>
      </c>
      <c r="J1001" s="318">
        <f>FLORESTA!$I1001/7</f>
        <v>109</v>
      </c>
    </row>
    <row r="1002" spans="1:10" x14ac:dyDescent="0.25">
      <c r="A1002" s="10" t="s">
        <v>15</v>
      </c>
      <c r="B1002" s="11">
        <v>4</v>
      </c>
      <c r="C1002" s="13">
        <v>6</v>
      </c>
      <c r="D1002" s="13">
        <v>2</v>
      </c>
      <c r="E1002" s="11">
        <v>5</v>
      </c>
      <c r="F1002" s="125">
        <v>6</v>
      </c>
      <c r="G1002" s="11">
        <v>12</v>
      </c>
      <c r="H1002" s="11">
        <v>0</v>
      </c>
      <c r="I1002" s="313">
        <f t="shared" si="441"/>
        <v>35</v>
      </c>
      <c r="J1002" s="318">
        <f>FLORESTA!$I1002/7</f>
        <v>5</v>
      </c>
    </row>
    <row r="1003" spans="1:10" x14ac:dyDescent="0.25">
      <c r="A1003" s="10" t="s">
        <v>16</v>
      </c>
      <c r="B1003" s="11">
        <v>0</v>
      </c>
      <c r="C1003" s="13">
        <v>0</v>
      </c>
      <c r="D1003" s="13">
        <v>0</v>
      </c>
      <c r="E1003" s="11">
        <v>0</v>
      </c>
      <c r="F1003" s="125">
        <v>0</v>
      </c>
      <c r="G1003" s="11">
        <v>0</v>
      </c>
      <c r="H1003" s="11">
        <v>0</v>
      </c>
      <c r="I1003" s="313">
        <f t="shared" si="441"/>
        <v>0</v>
      </c>
      <c r="J1003" s="318">
        <f>FLORESTA!$I1003/7</f>
        <v>0</v>
      </c>
    </row>
    <row r="1004" spans="1:10" x14ac:dyDescent="0.25">
      <c r="A1004" s="15" t="s">
        <v>17</v>
      </c>
      <c r="B1004" s="79">
        <f t="shared" ref="B1004:I1004" si="442">SUM(B999:B1003)</f>
        <v>68</v>
      </c>
      <c r="C1004" s="79">
        <f t="shared" si="442"/>
        <v>93</v>
      </c>
      <c r="D1004" s="79">
        <f t="shared" si="442"/>
        <v>126</v>
      </c>
      <c r="E1004" s="103">
        <f t="shared" si="442"/>
        <v>143</v>
      </c>
      <c r="F1004" s="213">
        <f t="shared" si="442"/>
        <v>252</v>
      </c>
      <c r="G1004" s="103">
        <f t="shared" si="442"/>
        <v>293</v>
      </c>
      <c r="H1004" s="103">
        <f t="shared" si="442"/>
        <v>234</v>
      </c>
      <c r="I1004" s="103">
        <f t="shared" si="442"/>
        <v>1209</v>
      </c>
      <c r="J1004" s="319">
        <f>FLORESTA!$I1004/7</f>
        <v>172.71428571428572</v>
      </c>
    </row>
    <row r="1005" spans="1:10" x14ac:dyDescent="0.25">
      <c r="A1005" s="10" t="s">
        <v>18</v>
      </c>
      <c r="B1005" s="325">
        <v>0.45</v>
      </c>
      <c r="C1005" s="326">
        <v>0.3</v>
      </c>
      <c r="D1005" s="326">
        <v>0.41</v>
      </c>
      <c r="E1005" s="327">
        <v>0.33</v>
      </c>
      <c r="F1005" s="328">
        <v>0.43</v>
      </c>
      <c r="G1005" s="327">
        <v>0.42</v>
      </c>
      <c r="H1005" s="327">
        <v>0.36</v>
      </c>
      <c r="I1005" s="18">
        <f>I1012/I1017</f>
        <v>0.39238168881879548</v>
      </c>
      <c r="J1005" s="19">
        <f>J1012/J1017</f>
        <v>0.39238168881879548</v>
      </c>
    </row>
    <row r="1006" spans="1:10" x14ac:dyDescent="0.25">
      <c r="A1006" s="10" t="s">
        <v>19</v>
      </c>
      <c r="B1006" s="325">
        <v>0</v>
      </c>
      <c r="C1006" s="326">
        <v>0.01</v>
      </c>
      <c r="D1006" s="326">
        <v>0.02</v>
      </c>
      <c r="E1006" s="327">
        <v>0.02</v>
      </c>
      <c r="F1006" s="327">
        <v>0.01</v>
      </c>
      <c r="G1006" s="327">
        <v>0.01</v>
      </c>
      <c r="H1006" s="327">
        <v>0.01</v>
      </c>
      <c r="I1006" s="18">
        <f>I1013/I1017</f>
        <v>1.1526916899699485E-2</v>
      </c>
      <c r="J1006" s="19">
        <f>J1013/J1017</f>
        <v>1.1526916899699485E-2</v>
      </c>
    </row>
    <row r="1007" spans="1:10" x14ac:dyDescent="0.25">
      <c r="A1007" s="10" t="s">
        <v>20</v>
      </c>
      <c r="B1007" s="325">
        <v>0.51</v>
      </c>
      <c r="C1007" s="326">
        <v>0.62</v>
      </c>
      <c r="D1007" s="326">
        <v>0.56000000000000005</v>
      </c>
      <c r="E1007" s="327">
        <v>0.62</v>
      </c>
      <c r="F1007" s="329">
        <v>0.54</v>
      </c>
      <c r="G1007" s="327">
        <v>0.53</v>
      </c>
      <c r="H1007" s="327">
        <v>0.63</v>
      </c>
      <c r="I1007" s="18">
        <f>I1014/I1017</f>
        <v>0.5707534471059279</v>
      </c>
      <c r="J1007" s="19">
        <f>J1014/J1017</f>
        <v>0.57075344710592779</v>
      </c>
    </row>
    <row r="1008" spans="1:10" x14ac:dyDescent="0.25">
      <c r="A1008" s="10" t="s">
        <v>21</v>
      </c>
      <c r="B1008" s="325">
        <v>0.04</v>
      </c>
      <c r="C1008" s="326">
        <v>7.0000000000000007E-2</v>
      </c>
      <c r="D1008" s="326">
        <v>0.01</v>
      </c>
      <c r="E1008" s="327">
        <v>0.03</v>
      </c>
      <c r="F1008" s="329">
        <v>0.02</v>
      </c>
      <c r="G1008" s="327">
        <v>0.04</v>
      </c>
      <c r="H1008" s="327">
        <v>0</v>
      </c>
      <c r="I1008" s="18">
        <f>I1015/I1017</f>
        <v>2.5337947175577254E-2</v>
      </c>
      <c r="J1008" s="19">
        <f>J1015/J1017</f>
        <v>2.533794717557725E-2</v>
      </c>
    </row>
    <row r="1009" spans="1:10" x14ac:dyDescent="0.25">
      <c r="A1009" s="10" t="s">
        <v>22</v>
      </c>
      <c r="B1009" s="325">
        <v>0</v>
      </c>
      <c r="C1009" s="326">
        <v>0</v>
      </c>
      <c r="D1009" s="326">
        <v>0</v>
      </c>
      <c r="E1009" s="327">
        <v>0</v>
      </c>
      <c r="F1009" s="329">
        <v>0</v>
      </c>
      <c r="G1009" s="327">
        <v>0</v>
      </c>
      <c r="H1009" s="327">
        <v>0</v>
      </c>
      <c r="I1009" s="18">
        <f>I1016/I1017</f>
        <v>0</v>
      </c>
      <c r="J1009" s="19">
        <f>J1016/J1017</f>
        <v>0</v>
      </c>
    </row>
    <row r="1010" spans="1:10" x14ac:dyDescent="0.25">
      <c r="A1010" s="24" t="s">
        <v>23</v>
      </c>
      <c r="B1010" s="130">
        <f t="shared" ref="B1010:J1010" si="443">B1021/B1004</f>
        <v>30527.941176470591</v>
      </c>
      <c r="C1010" s="131">
        <f t="shared" si="443"/>
        <v>32024.731182795698</v>
      </c>
      <c r="D1010" s="131">
        <f t="shared" si="443"/>
        <v>33050.000000000007</v>
      </c>
      <c r="E1010" s="130">
        <f t="shared" si="443"/>
        <v>31163.636363636364</v>
      </c>
      <c r="F1010" s="132">
        <f t="shared" si="443"/>
        <v>37384.126984126982</v>
      </c>
      <c r="G1010" s="130">
        <f t="shared" si="443"/>
        <v>37084.982935153588</v>
      </c>
      <c r="H1010" s="130">
        <f t="shared" si="443"/>
        <v>38513.24786324786</v>
      </c>
      <c r="I1010" s="314">
        <f t="shared" si="443"/>
        <v>35544.830438378827</v>
      </c>
      <c r="J1010" s="132">
        <f t="shared" si="443"/>
        <v>35544.830438378827</v>
      </c>
    </row>
    <row r="1011" spans="1:10" x14ac:dyDescent="0.25">
      <c r="A1011" s="24" t="s">
        <v>24</v>
      </c>
      <c r="B1011" s="130">
        <f t="shared" ref="B1011:J1011" si="444">B1021/B998</f>
        <v>25948.750000000004</v>
      </c>
      <c r="C1011" s="131">
        <f t="shared" si="444"/>
        <v>29488.118811881188</v>
      </c>
      <c r="D1011" s="131">
        <f t="shared" si="444"/>
        <v>26524.203821656054</v>
      </c>
      <c r="E1011" s="130">
        <f t="shared" si="444"/>
        <v>28384.713375796178</v>
      </c>
      <c r="F1011" s="132">
        <f t="shared" si="444"/>
        <v>32152.901023890787</v>
      </c>
      <c r="G1011" s="130">
        <f t="shared" si="444"/>
        <v>29607.356948228888</v>
      </c>
      <c r="H1011" s="130">
        <f t="shared" si="444"/>
        <v>28162.8125</v>
      </c>
      <c r="I1011" s="314">
        <f t="shared" si="444"/>
        <v>29134.711864406781</v>
      </c>
      <c r="J1011" s="132">
        <f t="shared" si="444"/>
        <v>29134.711864406778</v>
      </c>
    </row>
    <row r="1012" spans="1:10" x14ac:dyDescent="0.25">
      <c r="A1012" s="10" t="s">
        <v>25</v>
      </c>
      <c r="B1012" s="92">
        <f t="shared" ref="B1012:H1012" si="445">B1017*B1005</f>
        <v>779122.78448275873</v>
      </c>
      <c r="C1012" s="133">
        <f t="shared" si="445"/>
        <v>754087.5</v>
      </c>
      <c r="D1012" s="133">
        <f t="shared" si="445"/>
        <v>1437406.2051724137</v>
      </c>
      <c r="E1012" s="92">
        <f t="shared" si="445"/>
        <v>1237900.6655172415</v>
      </c>
      <c r="F1012" s="134">
        <f t="shared" si="445"/>
        <v>3417134.453448276</v>
      </c>
      <c r="G1012" s="92">
        <f t="shared" si="445"/>
        <v>3834644.1724137934</v>
      </c>
      <c r="H1012" s="92">
        <f t="shared" si="445"/>
        <v>2739449.420689655</v>
      </c>
      <c r="I1012" s="92">
        <f>FLORESTA!$B1012+FLORESTA!$C1012+FLORESTA!$D1012+FLORESTA!$E1012+FLORESTA!$F1012+FLORESTA!$G1012+FLORESTA!$H1012</f>
        <v>14199745.20172414</v>
      </c>
      <c r="J1012" s="133">
        <f>FLORESTA!$I1012/7</f>
        <v>2028535.0288177342</v>
      </c>
    </row>
    <row r="1013" spans="1:10" x14ac:dyDescent="0.25">
      <c r="A1013" s="10" t="s">
        <v>26</v>
      </c>
      <c r="B1013" s="92">
        <f t="shared" ref="B1013:H1013" si="446">B1017*B1006</f>
        <v>0</v>
      </c>
      <c r="C1013" s="133">
        <f t="shared" si="446"/>
        <v>25136.25</v>
      </c>
      <c r="D1013" s="133">
        <f t="shared" si="446"/>
        <v>70117.375862068977</v>
      </c>
      <c r="E1013" s="92">
        <f t="shared" si="446"/>
        <v>75024.282758620699</v>
      </c>
      <c r="F1013" s="134">
        <f t="shared" si="446"/>
        <v>79468.243103448287</v>
      </c>
      <c r="G1013" s="92">
        <f t="shared" si="446"/>
        <v>91301.051724137942</v>
      </c>
      <c r="H1013" s="92">
        <f t="shared" si="446"/>
        <v>76095.817241379307</v>
      </c>
      <c r="I1013" s="92">
        <f>FLORESTA!$B1013+FLORESTA!$C1013+FLORESTA!$D1013+FLORESTA!$E1013+FLORESTA!$F1013+FLORESTA!$G1013+FLORESTA!$H1013</f>
        <v>417143.02068965521</v>
      </c>
      <c r="J1013" s="133">
        <f>FLORESTA!$I1013/7</f>
        <v>59591.860098522171</v>
      </c>
    </row>
    <row r="1014" spans="1:10" x14ac:dyDescent="0.25">
      <c r="A1014" s="10" t="s">
        <v>27</v>
      </c>
      <c r="B1014" s="92">
        <f t="shared" ref="B1014:H1014" si="447">B1017*B1007</f>
        <v>883005.82241379318</v>
      </c>
      <c r="C1014" s="133">
        <f t="shared" si="447"/>
        <v>1558447.5</v>
      </c>
      <c r="D1014" s="133">
        <f t="shared" si="447"/>
        <v>1963286.5241379314</v>
      </c>
      <c r="E1014" s="92">
        <f t="shared" si="447"/>
        <v>2325752.7655172418</v>
      </c>
      <c r="F1014" s="134">
        <f t="shared" si="447"/>
        <v>4291285.1275862074</v>
      </c>
      <c r="G1014" s="92">
        <f t="shared" si="447"/>
        <v>4838955.7413793113</v>
      </c>
      <c r="H1014" s="92">
        <f t="shared" si="447"/>
        <v>4794036.4862068966</v>
      </c>
      <c r="I1014" s="92">
        <f>FLORESTA!$B1014+FLORESTA!$C1014+FLORESTA!$D1014+FLORESTA!$E1014+FLORESTA!$F1014+FLORESTA!$G1014+FLORESTA!$H1014</f>
        <v>20654769.967241384</v>
      </c>
      <c r="J1014" s="133">
        <f>FLORESTA!$I1014/7</f>
        <v>2950681.4238916263</v>
      </c>
    </row>
    <row r="1015" spans="1:10" x14ac:dyDescent="0.25">
      <c r="A1015" s="10" t="s">
        <v>28</v>
      </c>
      <c r="B1015" s="92">
        <f t="shared" ref="B1015:H1015" si="448">B1017*B1008</f>
        <v>69255.358620689658</v>
      </c>
      <c r="C1015" s="133">
        <f t="shared" si="448"/>
        <v>175953.75000000003</v>
      </c>
      <c r="D1015" s="133">
        <f t="shared" si="448"/>
        <v>35058.687931034488</v>
      </c>
      <c r="E1015" s="92">
        <f t="shared" si="448"/>
        <v>112536.42413793104</v>
      </c>
      <c r="F1015" s="134">
        <f t="shared" si="448"/>
        <v>158936.48620689657</v>
      </c>
      <c r="G1015" s="92">
        <f t="shared" si="448"/>
        <v>365204.20689655177</v>
      </c>
      <c r="H1015" s="92">
        <f t="shared" si="448"/>
        <v>0</v>
      </c>
      <c r="I1015" s="92">
        <f>FLORESTA!$B1015+FLORESTA!$C1015+FLORESTA!$D1015+FLORESTA!$E1015+FLORESTA!$F1015+FLORESTA!$G1015+FLORESTA!$H1015</f>
        <v>916944.91379310354</v>
      </c>
      <c r="J1015" s="133">
        <f>FLORESTA!$I1015/7</f>
        <v>130992.13054187193</v>
      </c>
    </row>
    <row r="1016" spans="1:10" x14ac:dyDescent="0.25">
      <c r="A1016" s="10" t="s">
        <v>29</v>
      </c>
      <c r="B1016" s="92">
        <f t="shared" ref="B1016:H1016" si="449">B1017*B1009</f>
        <v>0</v>
      </c>
      <c r="C1016" s="133">
        <f t="shared" si="449"/>
        <v>0</v>
      </c>
      <c r="D1016" s="133">
        <f t="shared" si="449"/>
        <v>0</v>
      </c>
      <c r="E1016" s="92">
        <f t="shared" si="449"/>
        <v>0</v>
      </c>
      <c r="F1016" s="134">
        <f t="shared" si="449"/>
        <v>0</v>
      </c>
      <c r="G1016" s="92">
        <f t="shared" si="449"/>
        <v>0</v>
      </c>
      <c r="H1016" s="92">
        <f t="shared" si="449"/>
        <v>0</v>
      </c>
      <c r="I1016" s="92">
        <f>FLORESTA!$B1016+FLORESTA!$C1016+FLORESTA!$D1016+FLORESTA!$E1016+FLORESTA!$F1016+FLORESTA!$G1016+FLORESTA!$H1016</f>
        <v>0</v>
      </c>
      <c r="J1016" s="133">
        <f>FLORESTA!$I1016/7</f>
        <v>0</v>
      </c>
    </row>
    <row r="1017" spans="1:10" x14ac:dyDescent="0.25">
      <c r="A1017" s="33" t="s">
        <v>30</v>
      </c>
      <c r="B1017" s="222">
        <f>(2075900/1.16)-B1018</f>
        <v>1731383.9655172415</v>
      </c>
      <c r="C1017" s="222">
        <f>(2978300/1.16)-C1018</f>
        <v>2513625</v>
      </c>
      <c r="D1017" s="222">
        <f>(4164300/1.16)-D1018</f>
        <v>3505868.7931034486</v>
      </c>
      <c r="E1017" s="222">
        <f>(4456400/1.16)-E1018</f>
        <v>3751214.1379310349</v>
      </c>
      <c r="F1017" s="222">
        <f>(9420800/1.16)-F1018</f>
        <v>7946824.3103448283</v>
      </c>
      <c r="G1017" s="222">
        <f>(10865900/1.16)-G1018</f>
        <v>9130105.1724137943</v>
      </c>
      <c r="H1017" s="222">
        <f>(9012100/1.16)-H1018</f>
        <v>7609581.7241379311</v>
      </c>
      <c r="I1017" s="91">
        <f>SUM(I1012:I1016)</f>
        <v>36188603.103448279</v>
      </c>
      <c r="J1017" s="136">
        <f>FLORESTA!$I1017/7</f>
        <v>5169800.4433497544</v>
      </c>
    </row>
    <row r="1018" spans="1:10" x14ac:dyDescent="0.25">
      <c r="A1018" s="10" t="s">
        <v>31</v>
      </c>
      <c r="B1018" s="94">
        <f t="shared" ref="B1018:J1018" si="450">2155*B999</f>
        <v>58185</v>
      </c>
      <c r="C1018" s="139">
        <f t="shared" si="450"/>
        <v>53875</v>
      </c>
      <c r="D1018" s="139">
        <f t="shared" si="450"/>
        <v>84045</v>
      </c>
      <c r="E1018" s="94">
        <f t="shared" si="450"/>
        <v>90510</v>
      </c>
      <c r="F1018" s="112">
        <f t="shared" si="450"/>
        <v>174555</v>
      </c>
      <c r="G1018" s="94">
        <f t="shared" si="450"/>
        <v>237050</v>
      </c>
      <c r="H1018" s="94">
        <f t="shared" si="450"/>
        <v>159470</v>
      </c>
      <c r="I1018" s="94">
        <f t="shared" si="450"/>
        <v>857690</v>
      </c>
      <c r="J1018" s="139">
        <f t="shared" si="450"/>
        <v>122527.14285714286</v>
      </c>
    </row>
    <row r="1019" spans="1:10" x14ac:dyDescent="0.25">
      <c r="A1019" s="37" t="s">
        <v>32</v>
      </c>
      <c r="B1019" s="39">
        <f t="shared" ref="B1019:H1019" si="451">B1017+B1018</f>
        <v>1789568.9655172415</v>
      </c>
      <c r="C1019" s="40">
        <f t="shared" si="451"/>
        <v>2567500</v>
      </c>
      <c r="D1019" s="40">
        <f t="shared" si="451"/>
        <v>3589913.7931034486</v>
      </c>
      <c r="E1019" s="39">
        <f t="shared" si="451"/>
        <v>3841724.1379310349</v>
      </c>
      <c r="F1019" s="140">
        <f t="shared" si="451"/>
        <v>8121379.3103448283</v>
      </c>
      <c r="G1019" s="39">
        <f t="shared" si="451"/>
        <v>9367155.1724137943</v>
      </c>
      <c r="H1019" s="39">
        <f t="shared" si="451"/>
        <v>7769051.7241379311</v>
      </c>
      <c r="I1019" s="39">
        <f>I1017+I1018</f>
        <v>37046293.103448279</v>
      </c>
      <c r="J1019" s="40">
        <f>J1017+J1018</f>
        <v>5292327.5862068972</v>
      </c>
    </row>
    <row r="1020" spans="1:10" x14ac:dyDescent="0.25">
      <c r="A1020" s="10" t="s">
        <v>33</v>
      </c>
      <c r="B1020" s="41">
        <f t="shared" ref="B1020:H1020" si="452">B1019*16%</f>
        <v>286331.03448275867</v>
      </c>
      <c r="C1020" s="42">
        <f t="shared" si="452"/>
        <v>410800</v>
      </c>
      <c r="D1020" s="42">
        <f t="shared" si="452"/>
        <v>574386.20689655177</v>
      </c>
      <c r="E1020" s="41">
        <f t="shared" si="452"/>
        <v>614675.86206896557</v>
      </c>
      <c r="F1020" s="141">
        <f t="shared" si="452"/>
        <v>1299420.6896551726</v>
      </c>
      <c r="G1020" s="41">
        <f t="shared" si="452"/>
        <v>1498744.8275862071</v>
      </c>
      <c r="H1020" s="41">
        <f t="shared" si="452"/>
        <v>1243048.2758620691</v>
      </c>
      <c r="I1020" s="41">
        <f>I1019*16%</f>
        <v>5927406.8965517245</v>
      </c>
      <c r="J1020" s="42">
        <f>J1019*16%</f>
        <v>846772.41379310354</v>
      </c>
    </row>
    <row r="1021" spans="1:10" x14ac:dyDescent="0.25">
      <c r="A1021" s="43" t="s">
        <v>34</v>
      </c>
      <c r="B1021" s="315">
        <f t="shared" ref="B1021:H1021" si="453">B1019+B1020</f>
        <v>2075900.0000000002</v>
      </c>
      <c r="C1021" s="315">
        <f t="shared" si="453"/>
        <v>2978300</v>
      </c>
      <c r="D1021" s="315">
        <f t="shared" si="453"/>
        <v>4164300.0000000005</v>
      </c>
      <c r="E1021" s="178">
        <f t="shared" si="453"/>
        <v>4456400</v>
      </c>
      <c r="F1021" s="182">
        <f t="shared" si="453"/>
        <v>9420800</v>
      </c>
      <c r="G1021" s="178">
        <f t="shared" si="453"/>
        <v>10865900.000000002</v>
      </c>
      <c r="H1021" s="178">
        <f t="shared" si="453"/>
        <v>9012100</v>
      </c>
      <c r="I1021" s="178">
        <f>I1019+I1020</f>
        <v>42973700</v>
      </c>
      <c r="J1021" s="315">
        <f>FLORESTA!$I1021/7</f>
        <v>6139100</v>
      </c>
    </row>
    <row r="1023" spans="1:10" ht="12.75" customHeight="1" x14ac:dyDescent="0.25">
      <c r="A1023" s="149"/>
      <c r="B1023" s="1006" t="s">
        <v>377</v>
      </c>
      <c r="C1023" s="1006"/>
      <c r="D1023" s="1006"/>
      <c r="E1023" s="1006"/>
      <c r="F1023" s="1006"/>
      <c r="G1023" s="1006"/>
      <c r="H1023" s="1006"/>
      <c r="I1023" s="1006"/>
    </row>
    <row r="1024" spans="1:10" x14ac:dyDescent="0.25">
      <c r="A1024" s="149"/>
      <c r="B1024" s="1006"/>
      <c r="C1024" s="1006"/>
      <c r="D1024" s="1006"/>
      <c r="E1024" s="1006"/>
      <c r="F1024" s="1006"/>
      <c r="G1024" s="1006"/>
      <c r="H1024" s="1006"/>
      <c r="I1024" s="1006"/>
    </row>
    <row r="1025" spans="1:10" ht="15.75" x14ac:dyDescent="0.25">
      <c r="A1025" s="72" t="s">
        <v>2</v>
      </c>
      <c r="B1025" s="228" t="s">
        <v>81</v>
      </c>
      <c r="C1025" s="228" t="s">
        <v>82</v>
      </c>
      <c r="D1025" s="228" t="s">
        <v>83</v>
      </c>
      <c r="E1025" s="228" t="s">
        <v>84</v>
      </c>
      <c r="F1025" s="228" t="s">
        <v>85</v>
      </c>
      <c r="G1025" s="228" t="s">
        <v>86</v>
      </c>
      <c r="H1025" s="228" t="s">
        <v>87</v>
      </c>
      <c r="I1025" s="51" t="s">
        <v>10</v>
      </c>
      <c r="J1025" s="51" t="s">
        <v>77</v>
      </c>
    </row>
    <row r="1026" spans="1:10" x14ac:dyDescent="0.25">
      <c r="A1026" s="74" t="s">
        <v>11</v>
      </c>
      <c r="B1026" s="55">
        <f>63+39+10</f>
        <v>112</v>
      </c>
      <c r="C1026" s="56">
        <f>65+36+15</f>
        <v>116</v>
      </c>
      <c r="D1026" s="54">
        <f>64+40+11</f>
        <v>115</v>
      </c>
      <c r="E1026" s="316">
        <f>68+49+13</f>
        <v>130</v>
      </c>
      <c r="F1026" s="311">
        <f>155+91+17</f>
        <v>263</v>
      </c>
      <c r="G1026" s="58">
        <f>136+112+27</f>
        <v>275</v>
      </c>
      <c r="H1026" s="57">
        <f>107+93+27</f>
        <v>227</v>
      </c>
      <c r="I1026" s="311">
        <f t="shared" ref="I1026:I1031" si="454">SUM(B1026:H1026)</f>
        <v>1238</v>
      </c>
      <c r="J1026" s="317">
        <f>FLORESTA!$I1026/7</f>
        <v>176.85714285714286</v>
      </c>
    </row>
    <row r="1027" spans="1:10" x14ac:dyDescent="0.25">
      <c r="A1027" s="10" t="s">
        <v>12</v>
      </c>
      <c r="B1027" s="11">
        <v>40</v>
      </c>
      <c r="C1027" s="13">
        <v>30</v>
      </c>
      <c r="D1027" s="320">
        <v>31</v>
      </c>
      <c r="E1027" s="11">
        <v>40</v>
      </c>
      <c r="F1027" s="125">
        <v>85</v>
      </c>
      <c r="G1027" s="11">
        <v>85</v>
      </c>
      <c r="H1027" s="11">
        <v>67</v>
      </c>
      <c r="I1027" s="313">
        <f t="shared" si="454"/>
        <v>378</v>
      </c>
      <c r="J1027" s="318">
        <f>FLORESTA!$I1027/7</f>
        <v>54</v>
      </c>
    </row>
    <row r="1028" spans="1:10" x14ac:dyDescent="0.25">
      <c r="A1028" s="10" t="s">
        <v>13</v>
      </c>
      <c r="B1028" s="11">
        <v>0</v>
      </c>
      <c r="C1028" s="13">
        <v>0</v>
      </c>
      <c r="D1028" s="13">
        <v>2</v>
      </c>
      <c r="E1028" s="11">
        <v>2</v>
      </c>
      <c r="F1028" s="125">
        <v>5</v>
      </c>
      <c r="G1028" s="11">
        <v>6</v>
      </c>
      <c r="H1028" s="11">
        <v>2</v>
      </c>
      <c r="I1028" s="313">
        <f t="shared" si="454"/>
        <v>17</v>
      </c>
      <c r="J1028" s="318">
        <f>C1028+D1028+E1028+F1028+G1028+H1028+I1028</f>
        <v>34</v>
      </c>
    </row>
    <row r="1029" spans="1:10" x14ac:dyDescent="0.25">
      <c r="A1029" s="10" t="s">
        <v>14</v>
      </c>
      <c r="B1029" s="11">
        <v>41</v>
      </c>
      <c r="C1029" s="13">
        <v>59</v>
      </c>
      <c r="D1029" s="320">
        <v>58</v>
      </c>
      <c r="E1029" s="11">
        <v>66</v>
      </c>
      <c r="F1029" s="125">
        <v>99</v>
      </c>
      <c r="G1029" s="11">
        <v>123</v>
      </c>
      <c r="H1029" s="11">
        <v>104</v>
      </c>
      <c r="I1029" s="313">
        <f t="shared" si="454"/>
        <v>550</v>
      </c>
      <c r="J1029" s="318">
        <f>FLORESTA!$I1029/7</f>
        <v>78.571428571428569</v>
      </c>
    </row>
    <row r="1030" spans="1:10" x14ac:dyDescent="0.25">
      <c r="A1030" s="10" t="s">
        <v>15</v>
      </c>
      <c r="B1030" s="11">
        <v>4</v>
      </c>
      <c r="C1030" s="13">
        <v>8</v>
      </c>
      <c r="D1030" s="13">
        <v>8</v>
      </c>
      <c r="E1030" s="11">
        <v>5</v>
      </c>
      <c r="F1030" s="125">
        <v>28</v>
      </c>
      <c r="G1030" s="11">
        <v>19</v>
      </c>
      <c r="H1030" s="11">
        <v>20</v>
      </c>
      <c r="I1030" s="313">
        <f t="shared" si="454"/>
        <v>92</v>
      </c>
      <c r="J1030" s="318">
        <f>FLORESTA!$I1030/7</f>
        <v>13.142857142857142</v>
      </c>
    </row>
    <row r="1031" spans="1:10" x14ac:dyDescent="0.25">
      <c r="A1031" s="10" t="s">
        <v>16</v>
      </c>
      <c r="B1031" s="11">
        <v>0</v>
      </c>
      <c r="C1031" s="13">
        <v>0</v>
      </c>
      <c r="D1031" s="13">
        <v>0</v>
      </c>
      <c r="E1031" s="11">
        <v>0</v>
      </c>
      <c r="F1031" s="125">
        <v>0</v>
      </c>
      <c r="G1031" s="11">
        <v>0</v>
      </c>
      <c r="H1031" s="11">
        <v>0</v>
      </c>
      <c r="I1031" s="313">
        <f t="shared" si="454"/>
        <v>0</v>
      </c>
      <c r="J1031" s="318">
        <f>FLORESTA!$I1031/7</f>
        <v>0</v>
      </c>
    </row>
    <row r="1032" spans="1:10" x14ac:dyDescent="0.25">
      <c r="A1032" s="15" t="s">
        <v>17</v>
      </c>
      <c r="B1032" s="79">
        <f t="shared" ref="B1032:I1032" si="455">SUM(B1027:B1031)</f>
        <v>85</v>
      </c>
      <c r="C1032" s="79">
        <f t="shared" si="455"/>
        <v>97</v>
      </c>
      <c r="D1032" s="79">
        <f t="shared" si="455"/>
        <v>99</v>
      </c>
      <c r="E1032" s="103">
        <f t="shared" si="455"/>
        <v>113</v>
      </c>
      <c r="F1032" s="213">
        <f t="shared" si="455"/>
        <v>217</v>
      </c>
      <c r="G1032" s="103">
        <f t="shared" si="455"/>
        <v>233</v>
      </c>
      <c r="H1032" s="103">
        <f t="shared" si="455"/>
        <v>193</v>
      </c>
      <c r="I1032" s="103">
        <f t="shared" si="455"/>
        <v>1037</v>
      </c>
      <c r="J1032" s="319">
        <f>FLORESTA!$I1032/7</f>
        <v>148.14285714285714</v>
      </c>
    </row>
    <row r="1033" spans="1:10" x14ac:dyDescent="0.25">
      <c r="A1033" s="10" t="s">
        <v>18</v>
      </c>
      <c r="B1033" s="325">
        <v>0.45</v>
      </c>
      <c r="C1033" s="326">
        <v>0.38</v>
      </c>
      <c r="D1033" s="326">
        <v>0.39</v>
      </c>
      <c r="E1033" s="327">
        <v>0.42</v>
      </c>
      <c r="F1033" s="328">
        <v>0.45</v>
      </c>
      <c r="G1033" s="327">
        <v>0.4</v>
      </c>
      <c r="H1033" s="327">
        <v>0.37</v>
      </c>
      <c r="I1033" s="18">
        <f>I1040/I1045</f>
        <v>0.40949279207967548</v>
      </c>
      <c r="J1033" s="19">
        <f>J1040/J1045</f>
        <v>0.40949279207967543</v>
      </c>
    </row>
    <row r="1034" spans="1:10" x14ac:dyDescent="0.25">
      <c r="A1034" s="10" t="s">
        <v>19</v>
      </c>
      <c r="B1034" s="325">
        <v>0</v>
      </c>
      <c r="C1034" s="326">
        <v>0</v>
      </c>
      <c r="D1034" s="326">
        <v>0.02</v>
      </c>
      <c r="E1034" s="327">
        <v>0.03</v>
      </c>
      <c r="F1034" s="327">
        <v>0.03</v>
      </c>
      <c r="G1034" s="327">
        <v>0.03</v>
      </c>
      <c r="H1034" s="327">
        <v>0.01</v>
      </c>
      <c r="I1034" s="18">
        <f>I1041/I1045</f>
        <v>1.9920057124169669E-2</v>
      </c>
      <c r="J1034" s="19">
        <f>J1041/J1045</f>
        <v>1.9920057124169666E-2</v>
      </c>
    </row>
    <row r="1035" spans="1:10" x14ac:dyDescent="0.25">
      <c r="A1035" s="10" t="s">
        <v>20</v>
      </c>
      <c r="B1035" s="325">
        <v>0.49</v>
      </c>
      <c r="C1035" s="326">
        <v>0.54</v>
      </c>
      <c r="D1035" s="326">
        <v>0.53</v>
      </c>
      <c r="E1035" s="327">
        <v>0.51</v>
      </c>
      <c r="F1035" s="329">
        <v>0.39</v>
      </c>
      <c r="G1035" s="327">
        <v>0.5</v>
      </c>
      <c r="H1035" s="327">
        <v>0.52</v>
      </c>
      <c r="I1035" s="18">
        <f>I1042/I1045</f>
        <v>0.48602481905376993</v>
      </c>
      <c r="J1035" s="19">
        <f>J1042/J1045</f>
        <v>0.48602481905376993</v>
      </c>
    </row>
    <row r="1036" spans="1:10" x14ac:dyDescent="0.25">
      <c r="A1036" s="10" t="s">
        <v>21</v>
      </c>
      <c r="B1036" s="325">
        <v>0.06</v>
      </c>
      <c r="C1036" s="326">
        <v>0.08</v>
      </c>
      <c r="D1036" s="326">
        <v>0.06</v>
      </c>
      <c r="E1036" s="327">
        <v>0.04</v>
      </c>
      <c r="F1036" s="329">
        <v>0.13</v>
      </c>
      <c r="G1036" s="327">
        <v>7.0000000000000007E-2</v>
      </c>
      <c r="H1036" s="327">
        <v>0.1</v>
      </c>
      <c r="I1036" s="18">
        <f>I1043/I1045</f>
        <v>8.4562331742384936E-2</v>
      </c>
      <c r="J1036" s="19">
        <f>J1043/J1045</f>
        <v>8.4562331742384922E-2</v>
      </c>
    </row>
    <row r="1037" spans="1:10" x14ac:dyDescent="0.25">
      <c r="A1037" s="10" t="s">
        <v>22</v>
      </c>
      <c r="B1037" s="325">
        <v>0</v>
      </c>
      <c r="C1037" s="326">
        <v>0</v>
      </c>
      <c r="D1037" s="326">
        <v>0</v>
      </c>
      <c r="E1037" s="327">
        <v>0</v>
      </c>
      <c r="F1037" s="329">
        <v>0</v>
      </c>
      <c r="G1037" s="327">
        <v>0</v>
      </c>
      <c r="H1037" s="327">
        <v>0</v>
      </c>
      <c r="I1037" s="18">
        <f>I1044/I1045</f>
        <v>0</v>
      </c>
      <c r="J1037" s="19">
        <f>J1044/J1045</f>
        <v>0</v>
      </c>
    </row>
    <row r="1038" spans="1:10" x14ac:dyDescent="0.25">
      <c r="A1038" s="24" t="s">
        <v>23</v>
      </c>
      <c r="B1038" s="130">
        <f t="shared" ref="B1038:J1038" si="456">B1049/B1032</f>
        <v>40324.705882352944</v>
      </c>
      <c r="C1038" s="131">
        <f t="shared" si="456"/>
        <v>30850.515463917527</v>
      </c>
      <c r="D1038" s="131">
        <f t="shared" si="456"/>
        <v>33414.141414141421</v>
      </c>
      <c r="E1038" s="130">
        <f t="shared" si="456"/>
        <v>32175.221238938055</v>
      </c>
      <c r="F1038" s="132">
        <f t="shared" si="456"/>
        <v>35744.239631336408</v>
      </c>
      <c r="G1038" s="130">
        <f t="shared" si="456"/>
        <v>33615.879828326179</v>
      </c>
      <c r="H1038" s="130">
        <f t="shared" si="456"/>
        <v>34477.720207253893</v>
      </c>
      <c r="I1038" s="314">
        <f t="shared" si="456"/>
        <v>34336.644165863065</v>
      </c>
      <c r="J1038" s="132">
        <f t="shared" si="456"/>
        <v>34336.644165863072</v>
      </c>
    </row>
    <row r="1039" spans="1:10" x14ac:dyDescent="0.25">
      <c r="A1039" s="24" t="s">
        <v>24</v>
      </c>
      <c r="B1039" s="130">
        <f t="shared" ref="B1039:J1039" si="457">B1049/B1026</f>
        <v>30603.571428571428</v>
      </c>
      <c r="C1039" s="131">
        <f t="shared" si="457"/>
        <v>25797.413793103449</v>
      </c>
      <c r="D1039" s="131">
        <f t="shared" si="457"/>
        <v>28765.217391304352</v>
      </c>
      <c r="E1039" s="130">
        <f t="shared" si="457"/>
        <v>27967.692307692309</v>
      </c>
      <c r="F1039" s="132">
        <f t="shared" si="457"/>
        <v>29492.395437262356</v>
      </c>
      <c r="G1039" s="130">
        <f t="shared" si="457"/>
        <v>28481.81818181818</v>
      </c>
      <c r="H1039" s="130">
        <f t="shared" si="457"/>
        <v>29313.656387665204</v>
      </c>
      <c r="I1039" s="314">
        <f t="shared" si="457"/>
        <v>28761.793214862682</v>
      </c>
      <c r="J1039" s="132">
        <f t="shared" si="457"/>
        <v>28761.793214862682</v>
      </c>
    </row>
    <row r="1040" spans="1:10" x14ac:dyDescent="0.25">
      <c r="A1040" s="10" t="s">
        <v>25</v>
      </c>
      <c r="B1040" s="92">
        <f t="shared" ref="B1040:H1040" si="458">B1045*B1033</f>
        <v>1290882.4137931035</v>
      </c>
      <c r="C1040" s="133">
        <f t="shared" si="458"/>
        <v>955734.72413793101</v>
      </c>
      <c r="D1040" s="133">
        <f t="shared" si="458"/>
        <v>1086118.4637931036</v>
      </c>
      <c r="E1040" s="92">
        <f t="shared" si="458"/>
        <v>1280206.3448275863</v>
      </c>
      <c r="F1040" s="134">
        <f t="shared" si="458"/>
        <v>2926558.3189655175</v>
      </c>
      <c r="G1040" s="92">
        <f t="shared" si="458"/>
        <v>2627592.0689655175</v>
      </c>
      <c r="H1040" s="92">
        <f t="shared" si="458"/>
        <v>2069037.8948275864</v>
      </c>
      <c r="I1040" s="92">
        <f>FLORESTA!$B1040+FLORESTA!$C1040+FLORESTA!$D1040+FLORESTA!$E1040+FLORESTA!$F1040+FLORESTA!$G1040+FLORESTA!$H1040</f>
        <v>12236130.229310345</v>
      </c>
      <c r="J1040" s="133">
        <f>FLORESTA!$I1040/7</f>
        <v>1748018.6041871922</v>
      </c>
    </row>
    <row r="1041" spans="1:12" x14ac:dyDescent="0.25">
      <c r="A1041" s="10" t="s">
        <v>26</v>
      </c>
      <c r="B1041" s="92">
        <f t="shared" ref="B1041:H1041" si="459">B1045*B1034</f>
        <v>0</v>
      </c>
      <c r="C1041" s="133">
        <f t="shared" si="459"/>
        <v>0</v>
      </c>
      <c r="D1041" s="133">
        <f t="shared" si="459"/>
        <v>55698.382758620697</v>
      </c>
      <c r="E1041" s="92">
        <f t="shared" si="459"/>
        <v>91443.31034482758</v>
      </c>
      <c r="F1041" s="134">
        <f t="shared" si="459"/>
        <v>195103.88793103449</v>
      </c>
      <c r="G1041" s="92">
        <f t="shared" si="459"/>
        <v>197069.4051724138</v>
      </c>
      <c r="H1041" s="92">
        <f t="shared" si="459"/>
        <v>55919.943103448284</v>
      </c>
      <c r="I1041" s="92">
        <f>FLORESTA!$B1041+FLORESTA!$C1041+FLORESTA!$D1041+FLORESTA!$E1041+FLORESTA!$F1041+FLORESTA!$G1041+FLORESTA!$H1041</f>
        <v>595234.92931034486</v>
      </c>
      <c r="J1041" s="133">
        <f>FLORESTA!$I1041/7</f>
        <v>85033.56133004927</v>
      </c>
    </row>
    <row r="1042" spans="1:12" x14ac:dyDescent="0.25">
      <c r="A1042" s="10" t="s">
        <v>27</v>
      </c>
      <c r="B1042" s="92">
        <f t="shared" ref="B1042:H1042" si="460">B1045*B1035</f>
        <v>1405627.5172413792</v>
      </c>
      <c r="C1042" s="133">
        <f t="shared" si="460"/>
        <v>1358149.3448275863</v>
      </c>
      <c r="D1042" s="133">
        <f t="shared" si="460"/>
        <v>1476007.1431034487</v>
      </c>
      <c r="E1042" s="92">
        <f t="shared" si="460"/>
        <v>1554536.2758620691</v>
      </c>
      <c r="F1042" s="134">
        <f t="shared" si="460"/>
        <v>2536350.5431034486</v>
      </c>
      <c r="G1042" s="92">
        <f t="shared" si="460"/>
        <v>3284490.0862068967</v>
      </c>
      <c r="H1042" s="92">
        <f t="shared" si="460"/>
        <v>2907837.0413793107</v>
      </c>
      <c r="I1042" s="92">
        <f>FLORESTA!$B1042+FLORESTA!$C1042+FLORESTA!$D1042+FLORESTA!$E1042+FLORESTA!$F1042+FLORESTA!$G1042+FLORESTA!$H1042</f>
        <v>14522997.951724138</v>
      </c>
      <c r="J1042" s="133">
        <f>FLORESTA!$I1042/7</f>
        <v>2074713.9931034483</v>
      </c>
    </row>
    <row r="1043" spans="1:12" x14ac:dyDescent="0.25">
      <c r="A1043" s="10" t="s">
        <v>28</v>
      </c>
      <c r="B1043" s="92">
        <f t="shared" ref="B1043:H1043" si="461">B1045*B1036</f>
        <v>172117.6551724138</v>
      </c>
      <c r="C1043" s="133">
        <f t="shared" si="461"/>
        <v>201207.31034482759</v>
      </c>
      <c r="D1043" s="133">
        <f t="shared" si="461"/>
        <v>167095.1482758621</v>
      </c>
      <c r="E1043" s="92">
        <f t="shared" si="461"/>
        <v>121924.41379310345</v>
      </c>
      <c r="F1043" s="134">
        <f t="shared" si="461"/>
        <v>845450.18103448278</v>
      </c>
      <c r="G1043" s="92">
        <f t="shared" si="461"/>
        <v>459828.61206896557</v>
      </c>
      <c r="H1043" s="92">
        <f t="shared" si="461"/>
        <v>559199.4310344829</v>
      </c>
      <c r="I1043" s="92">
        <f>FLORESTA!$B1043+FLORESTA!$C1043+FLORESTA!$D1043+FLORESTA!$E1043+FLORESTA!$F1043+FLORESTA!$G1043+FLORESTA!$H1043</f>
        <v>2526822.7517241384</v>
      </c>
      <c r="J1043" s="133">
        <f>FLORESTA!$I1043/7</f>
        <v>360974.67881773406</v>
      </c>
    </row>
    <row r="1044" spans="1:12" x14ac:dyDescent="0.25">
      <c r="A1044" s="10" t="s">
        <v>29</v>
      </c>
      <c r="B1044" s="92">
        <f t="shared" ref="B1044:H1044" si="462">B1045*B1037</f>
        <v>0</v>
      </c>
      <c r="C1044" s="133">
        <f t="shared" si="462"/>
        <v>0</v>
      </c>
      <c r="D1044" s="133">
        <f t="shared" si="462"/>
        <v>0</v>
      </c>
      <c r="E1044" s="92">
        <f t="shared" si="462"/>
        <v>0</v>
      </c>
      <c r="F1044" s="134">
        <f t="shared" si="462"/>
        <v>0</v>
      </c>
      <c r="G1044" s="92">
        <f t="shared" si="462"/>
        <v>0</v>
      </c>
      <c r="H1044" s="92">
        <f t="shared" si="462"/>
        <v>0</v>
      </c>
      <c r="I1044" s="92">
        <f>FLORESTA!$B1044+FLORESTA!$C1044+FLORESTA!$D1044+FLORESTA!$E1044+FLORESTA!$F1044+FLORESTA!$G1044+FLORESTA!$H1044</f>
        <v>0</v>
      </c>
      <c r="J1044" s="133">
        <f>FLORESTA!$I1044/7</f>
        <v>0</v>
      </c>
    </row>
    <row r="1045" spans="1:12" x14ac:dyDescent="0.25">
      <c r="A1045" s="33" t="s">
        <v>30</v>
      </c>
      <c r="B1045" s="222">
        <f>(3427600/1.16)-B1046</f>
        <v>2868627.5862068967</v>
      </c>
      <c r="C1045" s="222">
        <f>(2992500/1.16)-C1046</f>
        <v>2515091.3793103448</v>
      </c>
      <c r="D1045" s="222">
        <f>(3308000/1.16)-D1046</f>
        <v>2784919.1379310349</v>
      </c>
      <c r="E1045" s="222">
        <f>(3635800/1.16)-E1046</f>
        <v>3048110.3448275863</v>
      </c>
      <c r="F1045" s="222">
        <f>(7756500/1.16)-F1046</f>
        <v>6503462.931034483</v>
      </c>
      <c r="G1045" s="222">
        <f>(7832500/1.16)-G1046</f>
        <v>6568980.1724137934</v>
      </c>
      <c r="H1045" s="222">
        <f>(6654200/1.16)-H1046</f>
        <v>5591994.3103448283</v>
      </c>
      <c r="I1045" s="91">
        <f>SUM(I1040:I1044)</f>
        <v>29881185.862068966</v>
      </c>
      <c r="J1045" s="136">
        <f>FLORESTA!$I1045/7</f>
        <v>4268740.8374384241</v>
      </c>
    </row>
    <row r="1046" spans="1:12" x14ac:dyDescent="0.25">
      <c r="A1046" s="10" t="s">
        <v>31</v>
      </c>
      <c r="B1046" s="94">
        <f t="shared" ref="B1046:J1046" si="463">2155*B1027</f>
        <v>86200</v>
      </c>
      <c r="C1046" s="139">
        <f t="shared" si="463"/>
        <v>64650</v>
      </c>
      <c r="D1046" s="139">
        <f t="shared" si="463"/>
        <v>66805</v>
      </c>
      <c r="E1046" s="94">
        <f t="shared" si="463"/>
        <v>86200</v>
      </c>
      <c r="F1046" s="112">
        <f t="shared" si="463"/>
        <v>183175</v>
      </c>
      <c r="G1046" s="94">
        <f t="shared" si="463"/>
        <v>183175</v>
      </c>
      <c r="H1046" s="94">
        <f t="shared" si="463"/>
        <v>144385</v>
      </c>
      <c r="I1046" s="94">
        <f t="shared" si="463"/>
        <v>814590</v>
      </c>
      <c r="J1046" s="139">
        <f t="shared" si="463"/>
        <v>116370</v>
      </c>
    </row>
    <row r="1047" spans="1:12" x14ac:dyDescent="0.25">
      <c r="A1047" s="37" t="s">
        <v>32</v>
      </c>
      <c r="B1047" s="39">
        <f t="shared" ref="B1047:H1047" si="464">B1045+B1046</f>
        <v>2954827.5862068967</v>
      </c>
      <c r="C1047" s="40">
        <f t="shared" si="464"/>
        <v>2579741.3793103448</v>
      </c>
      <c r="D1047" s="40">
        <f t="shared" si="464"/>
        <v>2851724.1379310349</v>
      </c>
      <c r="E1047" s="39">
        <f t="shared" si="464"/>
        <v>3134310.3448275863</v>
      </c>
      <c r="F1047" s="140">
        <f t="shared" si="464"/>
        <v>6686637.931034483</v>
      </c>
      <c r="G1047" s="39">
        <f t="shared" si="464"/>
        <v>6752155.1724137934</v>
      </c>
      <c r="H1047" s="39">
        <f t="shared" si="464"/>
        <v>5736379.3103448283</v>
      </c>
      <c r="I1047" s="39">
        <f>I1045+I1046</f>
        <v>30695775.862068966</v>
      </c>
      <c r="J1047" s="40">
        <f>J1045+J1046</f>
        <v>4385110.8374384241</v>
      </c>
    </row>
    <row r="1048" spans="1:12" x14ac:dyDescent="0.25">
      <c r="A1048" s="10" t="s">
        <v>33</v>
      </c>
      <c r="B1048" s="41">
        <f t="shared" ref="B1048:H1048" si="465">B1047*16%</f>
        <v>472772.41379310348</v>
      </c>
      <c r="C1048" s="42">
        <f t="shared" si="465"/>
        <v>412758.62068965519</v>
      </c>
      <c r="D1048" s="42">
        <f t="shared" si="465"/>
        <v>456275.86206896557</v>
      </c>
      <c r="E1048" s="41">
        <f t="shared" si="465"/>
        <v>501489.6551724138</v>
      </c>
      <c r="F1048" s="141">
        <f t="shared" si="465"/>
        <v>1069862.0689655172</v>
      </c>
      <c r="G1048" s="41">
        <f t="shared" si="465"/>
        <v>1080344.8275862071</v>
      </c>
      <c r="H1048" s="41">
        <f t="shared" si="465"/>
        <v>917820.68965517252</v>
      </c>
      <c r="I1048" s="41">
        <f>I1047*16%</f>
        <v>4911324.1379310349</v>
      </c>
      <c r="J1048" s="42">
        <f>J1047*16%</f>
        <v>701617.73399014783</v>
      </c>
    </row>
    <row r="1049" spans="1:12" x14ac:dyDescent="0.25">
      <c r="A1049" s="43" t="s">
        <v>34</v>
      </c>
      <c r="B1049" s="315">
        <f t="shared" ref="B1049:H1049" si="466">B1047+B1048</f>
        <v>3427600</v>
      </c>
      <c r="C1049" s="315">
        <f t="shared" si="466"/>
        <v>2992500</v>
      </c>
      <c r="D1049" s="315">
        <f t="shared" si="466"/>
        <v>3308000.0000000005</v>
      </c>
      <c r="E1049" s="178">
        <f t="shared" si="466"/>
        <v>3635800</v>
      </c>
      <c r="F1049" s="182">
        <f t="shared" si="466"/>
        <v>7756500</v>
      </c>
      <c r="G1049" s="178">
        <f t="shared" si="466"/>
        <v>7832500</v>
      </c>
      <c r="H1049" s="178">
        <f t="shared" si="466"/>
        <v>6654200.0000000009</v>
      </c>
      <c r="I1049" s="178">
        <f>I1047+I1048</f>
        <v>35607100</v>
      </c>
      <c r="J1049" s="315">
        <f>FLORESTA!$I1049/7</f>
        <v>5086728.5714285718</v>
      </c>
    </row>
    <row r="1051" spans="1:12" ht="12.75" customHeight="1" x14ac:dyDescent="0.25">
      <c r="A1051" s="149"/>
      <c r="B1051" s="1006" t="s">
        <v>378</v>
      </c>
      <c r="C1051" s="1006"/>
      <c r="D1051" s="1006"/>
      <c r="E1051" s="1006"/>
      <c r="F1051" s="1006"/>
      <c r="G1051" s="1006"/>
      <c r="H1051" s="1006"/>
      <c r="I1051" s="1006"/>
    </row>
    <row r="1052" spans="1:12" x14ac:dyDescent="0.25">
      <c r="A1052" s="149"/>
      <c r="B1052" s="1006"/>
      <c r="C1052" s="1006"/>
      <c r="D1052" s="1006"/>
      <c r="E1052" s="1006"/>
      <c r="F1052" s="1006"/>
      <c r="G1052" s="1006"/>
      <c r="H1052" s="1006"/>
      <c r="I1052" s="1006"/>
    </row>
    <row r="1053" spans="1:12" ht="15.75" x14ac:dyDescent="0.25">
      <c r="A1053" s="72" t="s">
        <v>2</v>
      </c>
      <c r="B1053" s="228" t="s">
        <v>89</v>
      </c>
      <c r="C1053" s="228" t="s">
        <v>90</v>
      </c>
      <c r="D1053" s="228" t="s">
        <v>172</v>
      </c>
      <c r="E1053" s="228" t="s">
        <v>92</v>
      </c>
      <c r="F1053" s="228" t="s">
        <v>258</v>
      </c>
      <c r="G1053" s="228" t="s">
        <v>259</v>
      </c>
      <c r="H1053" s="228" t="s">
        <v>260</v>
      </c>
      <c r="I1053" s="51" t="s">
        <v>10</v>
      </c>
      <c r="J1053" s="51" t="s">
        <v>77</v>
      </c>
    </row>
    <row r="1054" spans="1:12" x14ac:dyDescent="0.25">
      <c r="A1054" s="74" t="s">
        <v>11</v>
      </c>
      <c r="B1054" s="55">
        <f>135+94+26</f>
        <v>255</v>
      </c>
      <c r="C1054" s="56">
        <f>42+36+13</f>
        <v>91</v>
      </c>
      <c r="D1054" s="54">
        <f>73+47+17</f>
        <v>137</v>
      </c>
      <c r="E1054" s="316">
        <f>97+50+24</f>
        <v>171</v>
      </c>
      <c r="F1054" s="311">
        <f>155+109+23</f>
        <v>287</v>
      </c>
      <c r="G1054" s="58">
        <f>124+118+25</f>
        <v>267</v>
      </c>
      <c r="H1054" s="57">
        <f>140+94+30</f>
        <v>264</v>
      </c>
      <c r="I1054" s="311">
        <f t="shared" ref="I1054:I1059" si="467">SUM(B1054:H1054)</f>
        <v>1472</v>
      </c>
      <c r="J1054" s="317">
        <f>FLORESTA!$I1054/7</f>
        <v>210.28571428571428</v>
      </c>
    </row>
    <row r="1055" spans="1:12" x14ac:dyDescent="0.25">
      <c r="A1055" s="10" t="s">
        <v>12</v>
      </c>
      <c r="B1055" s="11">
        <v>61</v>
      </c>
      <c r="C1055" s="13">
        <v>23</v>
      </c>
      <c r="D1055" s="320">
        <v>32</v>
      </c>
      <c r="E1055" s="11">
        <v>43</v>
      </c>
      <c r="F1055" s="125">
        <v>97</v>
      </c>
      <c r="G1055" s="11">
        <v>87</v>
      </c>
      <c r="H1055" s="11">
        <v>74</v>
      </c>
      <c r="I1055" s="313">
        <f t="shared" si="467"/>
        <v>417</v>
      </c>
      <c r="J1055" s="318">
        <f>FLORESTA!$I1055/7</f>
        <v>59.571428571428569</v>
      </c>
      <c r="L1055" s="223"/>
    </row>
    <row r="1056" spans="1:12" x14ac:dyDescent="0.25">
      <c r="A1056" s="10" t="s">
        <v>13</v>
      </c>
      <c r="B1056" s="11">
        <v>5</v>
      </c>
      <c r="C1056" s="13">
        <v>0</v>
      </c>
      <c r="D1056" s="13">
        <v>1</v>
      </c>
      <c r="E1056" s="11">
        <v>0</v>
      </c>
      <c r="F1056" s="125">
        <v>1</v>
      </c>
      <c r="G1056" s="11">
        <v>0</v>
      </c>
      <c r="H1056" s="11">
        <v>1</v>
      </c>
      <c r="I1056" s="313">
        <f t="shared" si="467"/>
        <v>8</v>
      </c>
      <c r="J1056" s="318">
        <f>C1056+D1056+E1056+F1056+G1056+H1056+I1056</f>
        <v>11</v>
      </c>
      <c r="L1056" s="223"/>
    </row>
    <row r="1057" spans="1:12" x14ac:dyDescent="0.25">
      <c r="A1057" s="10" t="s">
        <v>14</v>
      </c>
      <c r="B1057" s="11">
        <v>114</v>
      </c>
      <c r="C1057" s="13">
        <v>51</v>
      </c>
      <c r="D1057" s="320">
        <v>75</v>
      </c>
      <c r="E1057" s="11">
        <v>83</v>
      </c>
      <c r="F1057" s="125">
        <v>117</v>
      </c>
      <c r="G1057" s="11">
        <v>121</v>
      </c>
      <c r="H1057" s="11">
        <v>102</v>
      </c>
      <c r="I1057" s="313">
        <f t="shared" si="467"/>
        <v>663</v>
      </c>
      <c r="J1057" s="318">
        <f>FLORESTA!$I1057/7</f>
        <v>94.714285714285708</v>
      </c>
      <c r="L1057" s="223"/>
    </row>
    <row r="1058" spans="1:12" x14ac:dyDescent="0.25">
      <c r="A1058" s="10" t="s">
        <v>15</v>
      </c>
      <c r="B1058" s="11">
        <v>27</v>
      </c>
      <c r="C1058" s="13">
        <v>6</v>
      </c>
      <c r="D1058" s="13">
        <v>2</v>
      </c>
      <c r="E1058" s="11">
        <v>9</v>
      </c>
      <c r="F1058" s="125">
        <v>24</v>
      </c>
      <c r="G1058" s="11">
        <v>22</v>
      </c>
      <c r="H1058" s="11">
        <v>21</v>
      </c>
      <c r="I1058" s="313">
        <f t="shared" si="467"/>
        <v>111</v>
      </c>
      <c r="J1058" s="318">
        <f>FLORESTA!$I1058/7</f>
        <v>15.857142857142858</v>
      </c>
      <c r="L1058" s="223"/>
    </row>
    <row r="1059" spans="1:12" x14ac:dyDescent="0.25">
      <c r="A1059" s="10" t="s">
        <v>16</v>
      </c>
      <c r="B1059" s="11">
        <v>1</v>
      </c>
      <c r="C1059" s="13">
        <v>0</v>
      </c>
      <c r="D1059" s="13">
        <v>0</v>
      </c>
      <c r="E1059" s="11">
        <v>1</v>
      </c>
      <c r="F1059" s="125">
        <v>0</v>
      </c>
      <c r="G1059" s="11">
        <v>0</v>
      </c>
      <c r="H1059" s="11">
        <v>0</v>
      </c>
      <c r="I1059" s="313">
        <f t="shared" si="467"/>
        <v>2</v>
      </c>
      <c r="J1059" s="318">
        <f>FLORESTA!$I1059/7</f>
        <v>0.2857142857142857</v>
      </c>
      <c r="L1059" s="223"/>
    </row>
    <row r="1060" spans="1:12" x14ac:dyDescent="0.25">
      <c r="A1060" s="15" t="s">
        <v>17</v>
      </c>
      <c r="B1060" s="79">
        <f t="shared" ref="B1060:I1060" si="468">SUM(B1055:B1059)</f>
        <v>208</v>
      </c>
      <c r="C1060" s="79">
        <f t="shared" si="468"/>
        <v>80</v>
      </c>
      <c r="D1060" s="79">
        <f t="shared" si="468"/>
        <v>110</v>
      </c>
      <c r="E1060" s="103">
        <f t="shared" si="468"/>
        <v>136</v>
      </c>
      <c r="F1060" s="213">
        <f t="shared" si="468"/>
        <v>239</v>
      </c>
      <c r="G1060" s="103">
        <f t="shared" si="468"/>
        <v>230</v>
      </c>
      <c r="H1060" s="103">
        <f t="shared" si="468"/>
        <v>198</v>
      </c>
      <c r="I1060" s="103">
        <f t="shared" si="468"/>
        <v>1201</v>
      </c>
      <c r="J1060" s="319">
        <f>FLORESTA!$I1060/7</f>
        <v>171.57142857142858</v>
      </c>
    </row>
    <row r="1061" spans="1:12" x14ac:dyDescent="0.25">
      <c r="A1061" s="10" t="s">
        <v>18</v>
      </c>
      <c r="B1061" s="325">
        <v>0.31</v>
      </c>
      <c r="C1061" s="326">
        <v>0.38</v>
      </c>
      <c r="D1061" s="326">
        <v>0.32</v>
      </c>
      <c r="E1061" s="327">
        <v>0.4</v>
      </c>
      <c r="F1061" s="328">
        <v>0.43</v>
      </c>
      <c r="G1061" s="327">
        <v>0.41</v>
      </c>
      <c r="H1061" s="327">
        <v>0.38</v>
      </c>
      <c r="I1061" s="18">
        <f>I1068/I1073</f>
        <v>0.38072217556459065</v>
      </c>
      <c r="J1061" s="19">
        <f>J1068/J1073</f>
        <v>0.3807221755645907</v>
      </c>
    </row>
    <row r="1062" spans="1:12" x14ac:dyDescent="0.25">
      <c r="A1062" s="10" t="s">
        <v>19</v>
      </c>
      <c r="B1062" s="325">
        <v>0.03</v>
      </c>
      <c r="C1062" s="326">
        <v>0</v>
      </c>
      <c r="D1062" s="326">
        <v>0.01</v>
      </c>
      <c r="E1062" s="327">
        <v>0</v>
      </c>
      <c r="F1062" s="327">
        <v>0.01</v>
      </c>
      <c r="G1062" s="327">
        <v>0</v>
      </c>
      <c r="H1062" s="327">
        <v>0</v>
      </c>
      <c r="I1062" s="18">
        <f>I1069/I1073</f>
        <v>8.2030244228253491E-3</v>
      </c>
      <c r="J1062" s="19">
        <f>J1069/J1073</f>
        <v>8.2030244228253509E-3</v>
      </c>
    </row>
    <row r="1063" spans="1:12" x14ac:dyDescent="0.25">
      <c r="A1063" s="10" t="s">
        <v>20</v>
      </c>
      <c r="B1063" s="325">
        <v>0.5</v>
      </c>
      <c r="C1063" s="326">
        <v>0.56999999999999995</v>
      </c>
      <c r="D1063" s="326">
        <v>0.65</v>
      </c>
      <c r="E1063" s="327">
        <v>0.51</v>
      </c>
      <c r="F1063" s="329">
        <v>0.46</v>
      </c>
      <c r="G1063" s="327">
        <v>0.5</v>
      </c>
      <c r="H1063" s="327">
        <v>0.52</v>
      </c>
      <c r="I1063" s="18">
        <f>I1070/I1073</f>
        <v>0.51320417858952205</v>
      </c>
      <c r="J1063" s="19">
        <f>J1070/J1073</f>
        <v>0.51320417858952205</v>
      </c>
    </row>
    <row r="1064" spans="1:12" x14ac:dyDescent="0.25">
      <c r="A1064" s="10" t="s">
        <v>21</v>
      </c>
      <c r="B1064" s="325">
        <v>0.15</v>
      </c>
      <c r="C1064" s="326">
        <v>0.05</v>
      </c>
      <c r="D1064" s="326">
        <v>0.02</v>
      </c>
      <c r="E1064" s="327">
        <v>0.08</v>
      </c>
      <c r="F1064" s="329">
        <v>0.1</v>
      </c>
      <c r="G1064" s="327">
        <v>0.09</v>
      </c>
      <c r="H1064" s="327">
        <v>0.1</v>
      </c>
      <c r="I1064" s="18">
        <f>I1071/I1073</f>
        <v>9.5025543756715625E-2</v>
      </c>
      <c r="J1064" s="19">
        <f>J1071/J1073</f>
        <v>9.5025543756715625E-2</v>
      </c>
    </row>
    <row r="1065" spans="1:12" x14ac:dyDescent="0.25">
      <c r="A1065" s="10" t="s">
        <v>22</v>
      </c>
      <c r="B1065" s="325">
        <v>0.01</v>
      </c>
      <c r="C1065" s="326">
        <v>0</v>
      </c>
      <c r="D1065" s="326">
        <v>0</v>
      </c>
      <c r="E1065" s="327">
        <v>0.01</v>
      </c>
      <c r="F1065" s="329">
        <v>0</v>
      </c>
      <c r="G1065" s="327">
        <v>0</v>
      </c>
      <c r="H1065" s="327">
        <v>0</v>
      </c>
      <c r="I1065" s="18">
        <f>I1072/I1073</f>
        <v>2.8450776663463892E-3</v>
      </c>
      <c r="J1065" s="19">
        <f>J1072/J1073</f>
        <v>2.8450776663463892E-3</v>
      </c>
    </row>
    <row r="1066" spans="1:12" x14ac:dyDescent="0.25">
      <c r="A1066" s="24" t="s">
        <v>23</v>
      </c>
      <c r="B1066" s="130">
        <f t="shared" ref="B1066:J1066" si="469">B1077/B1060</f>
        <v>35771.153846153844</v>
      </c>
      <c r="C1066" s="131">
        <f t="shared" si="469"/>
        <v>30856.25</v>
      </c>
      <c r="D1066" s="131">
        <f t="shared" si="469"/>
        <v>32856.36363636364</v>
      </c>
      <c r="E1066" s="130">
        <f t="shared" si="469"/>
        <v>33927.205882352944</v>
      </c>
      <c r="F1066" s="132">
        <f t="shared" si="469"/>
        <v>37033.054393305436</v>
      </c>
      <c r="G1066" s="130">
        <f t="shared" si="469"/>
        <v>34509.565217391311</v>
      </c>
      <c r="H1066" s="130">
        <f t="shared" si="469"/>
        <v>38247.474747474749</v>
      </c>
      <c r="I1066" s="314">
        <f t="shared" si="469"/>
        <v>35385.761865112407</v>
      </c>
      <c r="J1066" s="132">
        <f t="shared" si="469"/>
        <v>35385.761865112407</v>
      </c>
    </row>
    <row r="1067" spans="1:12" x14ac:dyDescent="0.25">
      <c r="A1067" s="24" t="s">
        <v>24</v>
      </c>
      <c r="B1067" s="130">
        <f t="shared" ref="B1067:J1067" si="470">B1077/B1054</f>
        <v>29178.039215686276</v>
      </c>
      <c r="C1067" s="131">
        <f t="shared" si="470"/>
        <v>27126.373626373625</v>
      </c>
      <c r="D1067" s="131">
        <f t="shared" si="470"/>
        <v>26381.021897810224</v>
      </c>
      <c r="E1067" s="130">
        <f t="shared" si="470"/>
        <v>26983.040935672514</v>
      </c>
      <c r="F1067" s="132">
        <f t="shared" si="470"/>
        <v>30839.372822299651</v>
      </c>
      <c r="G1067" s="130">
        <f t="shared" si="470"/>
        <v>29727.34082397004</v>
      </c>
      <c r="H1067" s="130">
        <f t="shared" si="470"/>
        <v>28685.606060606064</v>
      </c>
      <c r="I1067" s="314">
        <f t="shared" si="470"/>
        <v>28871.127717391304</v>
      </c>
      <c r="J1067" s="132">
        <f t="shared" si="470"/>
        <v>28871.127717391308</v>
      </c>
    </row>
    <row r="1068" spans="1:12" x14ac:dyDescent="0.25">
      <c r="A1068" s="10" t="s">
        <v>25</v>
      </c>
      <c r="B1068" s="92">
        <f t="shared" ref="B1068:H1068" si="471">B1073*B1061</f>
        <v>1947631.7086206898</v>
      </c>
      <c r="C1068" s="133">
        <f t="shared" si="471"/>
        <v>789811.8517241379</v>
      </c>
      <c r="D1068" s="133">
        <f t="shared" si="471"/>
        <v>974953.48965517257</v>
      </c>
      <c r="E1068" s="92">
        <f t="shared" si="471"/>
        <v>1554002.9655172415</v>
      </c>
      <c r="F1068" s="134">
        <f t="shared" si="471"/>
        <v>3191052.0189655172</v>
      </c>
      <c r="G1068" s="92">
        <f t="shared" si="471"/>
        <v>2728520.8051724141</v>
      </c>
      <c r="H1068" s="92">
        <f t="shared" si="471"/>
        <v>2420211.7448275867</v>
      </c>
      <c r="I1068" s="92">
        <f>FLORESTA!$B1068+FLORESTA!$C1068+FLORESTA!$D1068+FLORESTA!$E1068+FLORESTA!$F1068+FLORESTA!$G1068+FLORESTA!$H1068</f>
        <v>13606184.584482759</v>
      </c>
      <c r="J1068" s="133">
        <f>FLORESTA!$I1068/7</f>
        <v>1943740.6549261084</v>
      </c>
    </row>
    <row r="1069" spans="1:12" x14ac:dyDescent="0.25">
      <c r="A1069" s="10" t="s">
        <v>26</v>
      </c>
      <c r="B1069" s="92">
        <f t="shared" ref="B1069:H1069" si="472">B1073*B1062</f>
        <v>188480.48793103447</v>
      </c>
      <c r="C1069" s="133">
        <f t="shared" si="472"/>
        <v>0</v>
      </c>
      <c r="D1069" s="133">
        <f t="shared" si="472"/>
        <v>30467.296551724143</v>
      </c>
      <c r="E1069" s="92">
        <f t="shared" si="472"/>
        <v>0</v>
      </c>
      <c r="F1069" s="134">
        <f t="shared" si="472"/>
        <v>74210.512068965516</v>
      </c>
      <c r="G1069" s="92">
        <f t="shared" si="472"/>
        <v>0</v>
      </c>
      <c r="H1069" s="92">
        <f t="shared" si="472"/>
        <v>0</v>
      </c>
      <c r="I1069" s="92">
        <f>FLORESTA!$B1069+FLORESTA!$C1069+FLORESTA!$D1069+FLORESTA!$E1069+FLORESTA!$F1069+FLORESTA!$G1069+FLORESTA!$H1069</f>
        <v>293158.29655172414</v>
      </c>
      <c r="J1069" s="133">
        <f>FLORESTA!$I1069/7</f>
        <v>41879.756650246309</v>
      </c>
    </row>
    <row r="1070" spans="1:12" x14ac:dyDescent="0.25">
      <c r="A1070" s="10" t="s">
        <v>27</v>
      </c>
      <c r="B1070" s="92">
        <f t="shared" ref="B1070:H1070" si="473">B1073*B1063</f>
        <v>3141341.4655172415</v>
      </c>
      <c r="C1070" s="133">
        <f t="shared" si="473"/>
        <v>1184717.7775862068</v>
      </c>
      <c r="D1070" s="133">
        <f t="shared" si="473"/>
        <v>1980374.2758620693</v>
      </c>
      <c r="E1070" s="92">
        <f t="shared" si="473"/>
        <v>1981353.7810344829</v>
      </c>
      <c r="F1070" s="134">
        <f t="shared" si="473"/>
        <v>3413683.5551724141</v>
      </c>
      <c r="G1070" s="92">
        <f t="shared" si="473"/>
        <v>3327464.3965517245</v>
      </c>
      <c r="H1070" s="92">
        <f t="shared" si="473"/>
        <v>3311868.7034482765</v>
      </c>
      <c r="I1070" s="92">
        <f>FLORESTA!$B1070+FLORESTA!$C1070+FLORESTA!$D1070+FLORESTA!$E1070+FLORESTA!$F1070+FLORESTA!$G1070+FLORESTA!$H1070</f>
        <v>18340803.955172416</v>
      </c>
      <c r="J1070" s="133">
        <f>FLORESTA!$I1070/7</f>
        <v>2620114.8507389165</v>
      </c>
    </row>
    <row r="1071" spans="1:12" x14ac:dyDescent="0.25">
      <c r="A1071" s="10" t="s">
        <v>28</v>
      </c>
      <c r="B1071" s="92">
        <f t="shared" ref="B1071:H1071" si="474">B1073*B1064</f>
        <v>942402.43965517241</v>
      </c>
      <c r="C1071" s="133">
        <f t="shared" si="474"/>
        <v>103922.61206896552</v>
      </c>
      <c r="D1071" s="133">
        <f t="shared" si="474"/>
        <v>60934.593103448286</v>
      </c>
      <c r="E1071" s="92">
        <f t="shared" si="474"/>
        <v>310800.59310344834</v>
      </c>
      <c r="F1071" s="134">
        <f t="shared" si="474"/>
        <v>742105.12068965519</v>
      </c>
      <c r="G1071" s="92">
        <f t="shared" si="474"/>
        <v>598943.59137931035</v>
      </c>
      <c r="H1071" s="92">
        <f t="shared" si="474"/>
        <v>636897.82758620707</v>
      </c>
      <c r="I1071" s="92">
        <f>FLORESTA!$B1071+FLORESTA!$C1071+FLORESTA!$D1071+FLORESTA!$E1071+FLORESTA!$F1071+FLORESTA!$G1071+FLORESTA!$H1071</f>
        <v>3396006.7775862077</v>
      </c>
      <c r="J1071" s="133">
        <f>FLORESTA!$I1071/7</f>
        <v>485143.82536945824</v>
      </c>
    </row>
    <row r="1072" spans="1:12" x14ac:dyDescent="0.25">
      <c r="A1072" s="10" t="s">
        <v>29</v>
      </c>
      <c r="B1072" s="92">
        <f t="shared" ref="B1072:H1072" si="475">B1073*B1065</f>
        <v>62826.82931034483</v>
      </c>
      <c r="C1072" s="133">
        <f t="shared" si="475"/>
        <v>0</v>
      </c>
      <c r="D1072" s="133">
        <f t="shared" si="475"/>
        <v>0</v>
      </c>
      <c r="E1072" s="92">
        <f t="shared" si="475"/>
        <v>38850.074137931042</v>
      </c>
      <c r="F1072" s="134">
        <f t="shared" si="475"/>
        <v>0</v>
      </c>
      <c r="G1072" s="92">
        <f t="shared" si="475"/>
        <v>0</v>
      </c>
      <c r="H1072" s="92">
        <f t="shared" si="475"/>
        <v>0</v>
      </c>
      <c r="I1072" s="92">
        <f>FLORESTA!$B1072+FLORESTA!$C1072+FLORESTA!$D1072+FLORESTA!$E1072+FLORESTA!$F1072+FLORESTA!$G1072+FLORESTA!$H1072</f>
        <v>101676.90344827587</v>
      </c>
      <c r="J1072" s="133">
        <f>FLORESTA!$I1072/7</f>
        <v>14525.271921182268</v>
      </c>
    </row>
    <row r="1073" spans="1:10" x14ac:dyDescent="0.25">
      <c r="A1073" s="33" t="s">
        <v>30</v>
      </c>
      <c r="B1073" s="222">
        <f>(7440400/1.16)-B1074</f>
        <v>6282682.931034483</v>
      </c>
      <c r="C1073" s="222">
        <f>(2468500/1.16)-C1074</f>
        <v>2078452.2413793104</v>
      </c>
      <c r="D1073" s="222">
        <f>(3614200/1.16)-D1074</f>
        <v>3046729.6551724141</v>
      </c>
      <c r="E1073" s="222">
        <f>(4614100/1.16)-E1074</f>
        <v>3885007.4137931038</v>
      </c>
      <c r="F1073" s="222">
        <f>(8850900/1.16)-F1074</f>
        <v>7421051.2068965519</v>
      </c>
      <c r="G1073" s="222">
        <f>(7937200/1.16)-G1074</f>
        <v>6654928.793103449</v>
      </c>
      <c r="H1073" s="222">
        <f>(7573000/1.16)-H1074</f>
        <v>6368978.2758620698</v>
      </c>
      <c r="I1073" s="91">
        <f>SUM(I1068:I1072)</f>
        <v>35737830.517241381</v>
      </c>
      <c r="J1073" s="136">
        <f>FLORESTA!$I1073/7</f>
        <v>5105404.3596059112</v>
      </c>
    </row>
    <row r="1074" spans="1:10" x14ac:dyDescent="0.25">
      <c r="A1074" s="10" t="s">
        <v>31</v>
      </c>
      <c r="B1074" s="94">
        <f t="shared" ref="B1074:J1074" si="476">2155*B1055</f>
        <v>131455</v>
      </c>
      <c r="C1074" s="139">
        <f t="shared" si="476"/>
        <v>49565</v>
      </c>
      <c r="D1074" s="139">
        <f t="shared" si="476"/>
        <v>68960</v>
      </c>
      <c r="E1074" s="94">
        <f t="shared" si="476"/>
        <v>92665</v>
      </c>
      <c r="F1074" s="112">
        <f t="shared" si="476"/>
        <v>209035</v>
      </c>
      <c r="G1074" s="94">
        <f t="shared" si="476"/>
        <v>187485</v>
      </c>
      <c r="H1074" s="94">
        <f t="shared" si="476"/>
        <v>159470</v>
      </c>
      <c r="I1074" s="94">
        <f t="shared" si="476"/>
        <v>898635</v>
      </c>
      <c r="J1074" s="139">
        <f t="shared" si="476"/>
        <v>128376.42857142857</v>
      </c>
    </row>
    <row r="1075" spans="1:10" x14ac:dyDescent="0.25">
      <c r="A1075" s="37" t="s">
        <v>32</v>
      </c>
      <c r="B1075" s="39">
        <f t="shared" ref="B1075:H1075" si="477">B1073+B1074</f>
        <v>6414137.931034483</v>
      </c>
      <c r="C1075" s="40">
        <f t="shared" si="477"/>
        <v>2128017.2413793104</v>
      </c>
      <c r="D1075" s="40">
        <f t="shared" si="477"/>
        <v>3115689.6551724141</v>
      </c>
      <c r="E1075" s="39">
        <f t="shared" si="477"/>
        <v>3977672.4137931038</v>
      </c>
      <c r="F1075" s="140">
        <f t="shared" si="477"/>
        <v>7630086.2068965519</v>
      </c>
      <c r="G1075" s="39">
        <f t="shared" si="477"/>
        <v>6842413.793103449</v>
      </c>
      <c r="H1075" s="39">
        <f t="shared" si="477"/>
        <v>6528448.2758620698</v>
      </c>
      <c r="I1075" s="39">
        <f>I1073+I1074</f>
        <v>36636465.517241381</v>
      </c>
      <c r="J1075" s="40">
        <f>J1073+J1074</f>
        <v>5233780.7881773394</v>
      </c>
    </row>
    <row r="1076" spans="1:10" x14ac:dyDescent="0.25">
      <c r="A1076" s="10" t="s">
        <v>33</v>
      </c>
      <c r="B1076" s="41">
        <f t="shared" ref="B1076:H1076" si="478">B1075*16%</f>
        <v>1026262.0689655173</v>
      </c>
      <c r="C1076" s="42">
        <f t="shared" si="478"/>
        <v>340482.75862068968</v>
      </c>
      <c r="D1076" s="42">
        <f t="shared" si="478"/>
        <v>498510.34482758626</v>
      </c>
      <c r="E1076" s="41">
        <f t="shared" si="478"/>
        <v>636427.58620689658</v>
      </c>
      <c r="F1076" s="141">
        <f t="shared" si="478"/>
        <v>1220813.7931034483</v>
      </c>
      <c r="G1076" s="41">
        <f t="shared" si="478"/>
        <v>1094786.2068965519</v>
      </c>
      <c r="H1076" s="41">
        <f t="shared" si="478"/>
        <v>1044551.7241379312</v>
      </c>
      <c r="I1076" s="41">
        <f>I1075*16%</f>
        <v>5861834.4827586208</v>
      </c>
      <c r="J1076" s="42">
        <f>J1075*16%</f>
        <v>837404.92610837426</v>
      </c>
    </row>
    <row r="1077" spans="1:10" x14ac:dyDescent="0.25">
      <c r="A1077" s="43" t="s">
        <v>34</v>
      </c>
      <c r="B1077" s="315">
        <f t="shared" ref="B1077:H1077" si="479">B1075+B1076</f>
        <v>7440400</v>
      </c>
      <c r="C1077" s="315">
        <f t="shared" si="479"/>
        <v>2468500</v>
      </c>
      <c r="D1077" s="315">
        <f t="shared" si="479"/>
        <v>3614200.0000000005</v>
      </c>
      <c r="E1077" s="178">
        <f t="shared" si="479"/>
        <v>4614100</v>
      </c>
      <c r="F1077" s="182">
        <f t="shared" si="479"/>
        <v>8850900</v>
      </c>
      <c r="G1077" s="178">
        <f t="shared" si="479"/>
        <v>7937200.0000000009</v>
      </c>
      <c r="H1077" s="178">
        <f t="shared" si="479"/>
        <v>7573000.0000000009</v>
      </c>
      <c r="I1077" s="178">
        <f>I1075+I1076</f>
        <v>42498300</v>
      </c>
      <c r="J1077" s="315">
        <f>FLORESTA!$I1077/7</f>
        <v>6071185.7142857146</v>
      </c>
    </row>
    <row r="1079" spans="1:10" ht="12.75" customHeight="1" x14ac:dyDescent="0.25">
      <c r="A1079" s="149"/>
      <c r="B1079" s="1006" t="s">
        <v>379</v>
      </c>
      <c r="C1079" s="1006"/>
      <c r="D1079" s="1006"/>
      <c r="E1079" s="1006"/>
      <c r="F1079" s="1006"/>
      <c r="G1079" s="1006"/>
      <c r="H1079" s="1006"/>
      <c r="I1079" s="1006"/>
    </row>
    <row r="1080" spans="1:10" x14ac:dyDescent="0.25">
      <c r="A1080" s="149"/>
      <c r="B1080" s="1006"/>
      <c r="C1080" s="1006"/>
      <c r="D1080" s="1006"/>
      <c r="E1080" s="1006"/>
      <c r="F1080" s="1006"/>
      <c r="G1080" s="1006"/>
      <c r="H1080" s="1006"/>
      <c r="I1080" s="1006"/>
    </row>
    <row r="1081" spans="1:10" ht="15.75" x14ac:dyDescent="0.25">
      <c r="A1081" s="72" t="s">
        <v>2</v>
      </c>
      <c r="B1081" s="232" t="s">
        <v>262</v>
      </c>
      <c r="C1081" s="232" t="s">
        <v>263</v>
      </c>
      <c r="D1081" s="232" t="s">
        <v>264</v>
      </c>
      <c r="E1081" s="232" t="s">
        <v>265</v>
      </c>
      <c r="F1081" s="232" t="s">
        <v>266</v>
      </c>
      <c r="G1081" s="232" t="s">
        <v>267</v>
      </c>
      <c r="H1081" s="232" t="s">
        <v>105</v>
      </c>
      <c r="I1081" s="51" t="s">
        <v>10</v>
      </c>
      <c r="J1081" s="51" t="s">
        <v>77</v>
      </c>
    </row>
    <row r="1082" spans="1:10" x14ac:dyDescent="0.25">
      <c r="A1082" s="74" t="s">
        <v>11</v>
      </c>
      <c r="B1082" s="55">
        <v>246</v>
      </c>
      <c r="C1082" s="56">
        <f>62+28+5</f>
        <v>95</v>
      </c>
      <c r="D1082" s="54">
        <f>70+60+15</f>
        <v>145</v>
      </c>
      <c r="E1082" s="316">
        <f>71+43+7</f>
        <v>121</v>
      </c>
      <c r="F1082" s="311">
        <f>141+103+26</f>
        <v>270</v>
      </c>
      <c r="G1082" s="58">
        <f>195+103+43</f>
        <v>341</v>
      </c>
      <c r="H1082" s="57">
        <f>141+84+32</f>
        <v>257</v>
      </c>
      <c r="I1082" s="311">
        <f t="shared" ref="I1082:I1087" si="480">SUM(B1082:H1082)</f>
        <v>1475</v>
      </c>
      <c r="J1082" s="317">
        <f>FLORESTA!$I1082/7</f>
        <v>210.71428571428572</v>
      </c>
    </row>
    <row r="1083" spans="1:10" x14ac:dyDescent="0.25">
      <c r="A1083" s="10" t="s">
        <v>12</v>
      </c>
      <c r="B1083" s="11">
        <v>86</v>
      </c>
      <c r="C1083" s="13">
        <v>20</v>
      </c>
      <c r="D1083" s="320">
        <v>56</v>
      </c>
      <c r="E1083" s="11">
        <v>37</v>
      </c>
      <c r="F1083" s="125">
        <v>84</v>
      </c>
      <c r="G1083" s="11">
        <v>100</v>
      </c>
      <c r="H1083" s="11">
        <v>96</v>
      </c>
      <c r="I1083" s="313">
        <f t="shared" si="480"/>
        <v>479</v>
      </c>
      <c r="J1083" s="318">
        <f>FLORESTA!$I1083/7</f>
        <v>68.428571428571431</v>
      </c>
    </row>
    <row r="1084" spans="1:10" x14ac:dyDescent="0.25">
      <c r="A1084" s="10" t="s">
        <v>13</v>
      </c>
      <c r="B1084" s="11">
        <v>3</v>
      </c>
      <c r="C1084" s="13">
        <v>1</v>
      </c>
      <c r="D1084" s="13">
        <v>3</v>
      </c>
      <c r="E1084" s="11">
        <v>0</v>
      </c>
      <c r="F1084" s="125">
        <v>2</v>
      </c>
      <c r="G1084" s="11">
        <v>4</v>
      </c>
      <c r="H1084" s="11">
        <v>4</v>
      </c>
      <c r="I1084" s="313">
        <f t="shared" si="480"/>
        <v>17</v>
      </c>
      <c r="J1084" s="318">
        <f>C1084+D1084+E1084+F1084+G1084+H1084+I1084</f>
        <v>31</v>
      </c>
    </row>
    <row r="1085" spans="1:10" x14ac:dyDescent="0.25">
      <c r="A1085" s="10" t="s">
        <v>14</v>
      </c>
      <c r="B1085" s="11">
        <v>93</v>
      </c>
      <c r="C1085" s="13">
        <v>46</v>
      </c>
      <c r="D1085" s="320">
        <v>50</v>
      </c>
      <c r="E1085" s="11">
        <v>71</v>
      </c>
      <c r="F1085" s="125">
        <v>105</v>
      </c>
      <c r="G1085" s="11">
        <v>137</v>
      </c>
      <c r="H1085" s="11">
        <v>90</v>
      </c>
      <c r="I1085" s="313">
        <f t="shared" si="480"/>
        <v>592</v>
      </c>
      <c r="J1085" s="318">
        <f>FLORESTA!$I1085/7</f>
        <v>84.571428571428569</v>
      </c>
    </row>
    <row r="1086" spans="1:10" x14ac:dyDescent="0.25">
      <c r="A1086" s="10" t="s">
        <v>15</v>
      </c>
      <c r="B1086" s="11">
        <v>17</v>
      </c>
      <c r="C1086" s="13">
        <v>10</v>
      </c>
      <c r="D1086" s="13">
        <v>10</v>
      </c>
      <c r="E1086" s="11">
        <v>2</v>
      </c>
      <c r="F1086" s="125">
        <v>27</v>
      </c>
      <c r="G1086" s="11">
        <v>17</v>
      </c>
      <c r="H1086" s="11">
        <v>18</v>
      </c>
      <c r="I1086" s="313">
        <f t="shared" si="480"/>
        <v>101</v>
      </c>
      <c r="J1086" s="318">
        <f>FLORESTA!$I1086/7</f>
        <v>14.428571428571429</v>
      </c>
    </row>
    <row r="1087" spans="1:10" x14ac:dyDescent="0.25">
      <c r="A1087" s="10" t="s">
        <v>16</v>
      </c>
      <c r="B1087" s="11">
        <v>0</v>
      </c>
      <c r="C1087" s="13">
        <v>1</v>
      </c>
      <c r="D1087" s="13">
        <v>0</v>
      </c>
      <c r="E1087" s="11">
        <v>0</v>
      </c>
      <c r="F1087" s="125">
        <v>0</v>
      </c>
      <c r="G1087" s="11">
        <v>0</v>
      </c>
      <c r="H1087" s="11">
        <v>1</v>
      </c>
      <c r="I1087" s="313">
        <f t="shared" si="480"/>
        <v>2</v>
      </c>
      <c r="J1087" s="318">
        <f>FLORESTA!$I1087/7</f>
        <v>0.2857142857142857</v>
      </c>
    </row>
    <row r="1088" spans="1:10" x14ac:dyDescent="0.25">
      <c r="A1088" s="15" t="s">
        <v>17</v>
      </c>
      <c r="B1088" s="79">
        <f t="shared" ref="B1088:I1088" si="481">SUM(B1083:B1087)</f>
        <v>199</v>
      </c>
      <c r="C1088" s="79">
        <f t="shared" si="481"/>
        <v>78</v>
      </c>
      <c r="D1088" s="79">
        <f t="shared" si="481"/>
        <v>119</v>
      </c>
      <c r="E1088" s="103">
        <f t="shared" si="481"/>
        <v>110</v>
      </c>
      <c r="F1088" s="213">
        <f t="shared" si="481"/>
        <v>218</v>
      </c>
      <c r="G1088" s="103">
        <f t="shared" si="481"/>
        <v>258</v>
      </c>
      <c r="H1088" s="103">
        <f t="shared" si="481"/>
        <v>209</v>
      </c>
      <c r="I1088" s="103">
        <f t="shared" si="481"/>
        <v>1191</v>
      </c>
      <c r="J1088" s="319">
        <f>FLORESTA!$I1088/7</f>
        <v>170.14285714285714</v>
      </c>
    </row>
    <row r="1089" spans="1:10" x14ac:dyDescent="0.25">
      <c r="A1089" s="10" t="s">
        <v>18</v>
      </c>
      <c r="B1089" s="325">
        <v>0.47</v>
      </c>
      <c r="C1089" s="326">
        <v>0.34</v>
      </c>
      <c r="D1089" s="326">
        <v>0.57999999999999996</v>
      </c>
      <c r="E1089" s="327">
        <v>0.37</v>
      </c>
      <c r="F1089" s="328">
        <v>0.43</v>
      </c>
      <c r="G1089" s="327">
        <v>0.41</v>
      </c>
      <c r="H1089" s="327">
        <v>0.51</v>
      </c>
      <c r="I1089" s="18">
        <f>I1096/I1101</f>
        <v>0.45135641256569975</v>
      </c>
      <c r="J1089" s="19">
        <f>J1096/J1101</f>
        <v>0.4513564125656998</v>
      </c>
    </row>
    <row r="1090" spans="1:10" x14ac:dyDescent="0.25">
      <c r="A1090" s="10" t="s">
        <v>19</v>
      </c>
      <c r="B1090" s="325">
        <v>0.03</v>
      </c>
      <c r="C1090" s="326">
        <v>0.01</v>
      </c>
      <c r="D1090" s="326">
        <v>0.02</v>
      </c>
      <c r="E1090" s="327">
        <v>0</v>
      </c>
      <c r="F1090" s="327">
        <v>0.01</v>
      </c>
      <c r="G1090" s="327">
        <v>0.02</v>
      </c>
      <c r="H1090" s="327">
        <v>0.03</v>
      </c>
      <c r="I1090" s="18">
        <f>I1097/I1101</f>
        <v>1.9371686439582696E-2</v>
      </c>
      <c r="J1090" s="19">
        <f>J1097/J1101</f>
        <v>1.9371686439582696E-2</v>
      </c>
    </row>
    <row r="1091" spans="1:10" x14ac:dyDescent="0.25">
      <c r="A1091" s="10" t="s">
        <v>20</v>
      </c>
      <c r="B1091" s="325">
        <v>0.43</v>
      </c>
      <c r="C1091" s="326">
        <v>0.55000000000000004</v>
      </c>
      <c r="D1091" s="326">
        <v>0.33</v>
      </c>
      <c r="E1091" s="327">
        <v>0.61</v>
      </c>
      <c r="F1091" s="329">
        <v>0.46</v>
      </c>
      <c r="G1091" s="327">
        <v>0.51</v>
      </c>
      <c r="H1091" s="327">
        <v>0.39</v>
      </c>
      <c r="I1091" s="18">
        <f>I1098/I1101</f>
        <v>0.45828148779022987</v>
      </c>
      <c r="J1091" s="19">
        <f>J1098/J1101</f>
        <v>0.45828148779022987</v>
      </c>
    </row>
    <row r="1092" spans="1:10" x14ac:dyDescent="0.25">
      <c r="A1092" s="10" t="s">
        <v>21</v>
      </c>
      <c r="B1092" s="325">
        <v>7.0000000000000007E-2</v>
      </c>
      <c r="C1092" s="326">
        <v>0.09</v>
      </c>
      <c r="D1092" s="326">
        <v>7.0000000000000007E-2</v>
      </c>
      <c r="E1092" s="327">
        <v>0.02</v>
      </c>
      <c r="F1092" s="329">
        <v>0.1</v>
      </c>
      <c r="G1092" s="327">
        <v>0.06</v>
      </c>
      <c r="H1092" s="327">
        <v>7.0000000000000007E-2</v>
      </c>
      <c r="I1092" s="18">
        <f>I1099/I1101</f>
        <v>7.0362695847666495E-2</v>
      </c>
      <c r="J1092" s="19">
        <f>J1099/J1101</f>
        <v>7.0362695847666482E-2</v>
      </c>
    </row>
    <row r="1093" spans="1:10" x14ac:dyDescent="0.25">
      <c r="A1093" s="10" t="s">
        <v>22</v>
      </c>
      <c r="B1093" s="325">
        <v>0</v>
      </c>
      <c r="C1093" s="326">
        <v>0.01</v>
      </c>
      <c r="D1093" s="326">
        <v>0</v>
      </c>
      <c r="E1093" s="327">
        <v>0</v>
      </c>
      <c r="F1093" s="329">
        <v>0</v>
      </c>
      <c r="G1093" s="327">
        <v>0</v>
      </c>
      <c r="H1093" s="327">
        <v>0</v>
      </c>
      <c r="I1093" s="18">
        <f>I1100/I1101</f>
        <v>6.277173568213655E-4</v>
      </c>
      <c r="J1093" s="19">
        <f>J1100/J1101</f>
        <v>6.277173568213655E-4</v>
      </c>
    </row>
    <row r="1094" spans="1:10" x14ac:dyDescent="0.25">
      <c r="A1094" s="24" t="s">
        <v>23</v>
      </c>
      <c r="B1094" s="130">
        <f t="shared" ref="B1094:J1094" si="482">B1105/B1088</f>
        <v>35279.899497487444</v>
      </c>
      <c r="C1094" s="131">
        <f t="shared" si="482"/>
        <v>32971.794871794875</v>
      </c>
      <c r="D1094" s="131">
        <f t="shared" si="482"/>
        <v>35645.378151260506</v>
      </c>
      <c r="E1094" s="130">
        <f t="shared" si="482"/>
        <v>31170.909090909092</v>
      </c>
      <c r="F1094" s="132">
        <f t="shared" si="482"/>
        <v>34577.064220183485</v>
      </c>
      <c r="G1094" s="130">
        <f t="shared" si="482"/>
        <v>35420.155038759687</v>
      </c>
      <c r="H1094" s="130">
        <f t="shared" si="482"/>
        <v>35561.244019138758</v>
      </c>
      <c r="I1094" s="314">
        <f t="shared" si="482"/>
        <v>34736.859781696054</v>
      </c>
      <c r="J1094" s="132">
        <f t="shared" si="482"/>
        <v>34736.859781696054</v>
      </c>
    </row>
    <row r="1095" spans="1:10" x14ac:dyDescent="0.25">
      <c r="A1095" s="24" t="s">
        <v>24</v>
      </c>
      <c r="B1095" s="130">
        <f t="shared" ref="B1095:J1095" si="483">B1105/B1082</f>
        <v>28539.430894308945</v>
      </c>
      <c r="C1095" s="131">
        <f t="shared" si="483"/>
        <v>27071.57894736842</v>
      </c>
      <c r="D1095" s="131">
        <f t="shared" si="483"/>
        <v>29253.793103448275</v>
      </c>
      <c r="E1095" s="130">
        <f t="shared" si="483"/>
        <v>28337.190082644629</v>
      </c>
      <c r="F1095" s="132">
        <f t="shared" si="483"/>
        <v>27917.777777777777</v>
      </c>
      <c r="G1095" s="130">
        <f t="shared" si="483"/>
        <v>26798.826979472142</v>
      </c>
      <c r="H1095" s="130">
        <f t="shared" si="483"/>
        <v>28919.455252918287</v>
      </c>
      <c r="I1095" s="314">
        <f t="shared" si="483"/>
        <v>28048.542372881355</v>
      </c>
      <c r="J1095" s="132">
        <f t="shared" si="483"/>
        <v>28048.542372881358</v>
      </c>
    </row>
    <row r="1096" spans="1:10" x14ac:dyDescent="0.25">
      <c r="A1096" s="10" t="s">
        <v>25</v>
      </c>
      <c r="B1096" s="92">
        <f t="shared" ref="B1096:H1096" si="484">B1101*B1089</f>
        <v>2757488.8655172414</v>
      </c>
      <c r="C1096" s="133">
        <f t="shared" si="484"/>
        <v>739149.44827586215</v>
      </c>
      <c r="D1096" s="133">
        <f t="shared" si="484"/>
        <v>2050905.6</v>
      </c>
      <c r="E1096" s="92">
        <f t="shared" si="484"/>
        <v>1064167.0155172416</v>
      </c>
      <c r="F1096" s="134">
        <f t="shared" si="484"/>
        <v>2716345.8827586207</v>
      </c>
      <c r="G1096" s="92">
        <f t="shared" si="484"/>
        <v>3141596.7241379311</v>
      </c>
      <c r="H1096" s="92">
        <f t="shared" si="484"/>
        <v>3162140.3379310346</v>
      </c>
      <c r="I1096" s="92">
        <f>FLORESTA!$B1096+FLORESTA!$C1096+FLORESTA!$D1096+FLORESTA!$E1096+FLORESTA!$F1096+FLORESTA!$G1096+FLORESTA!$H1096</f>
        <v>15631793.874137932</v>
      </c>
      <c r="J1096" s="133">
        <f>FLORESTA!$I1096/7</f>
        <v>2233113.4105911334</v>
      </c>
    </row>
    <row r="1097" spans="1:10" x14ac:dyDescent="0.25">
      <c r="A1097" s="10" t="s">
        <v>26</v>
      </c>
      <c r="B1097" s="92">
        <f t="shared" ref="B1097:H1097" si="485">B1101*B1090</f>
        <v>176009.9275862069</v>
      </c>
      <c r="C1097" s="133">
        <f t="shared" si="485"/>
        <v>21739.689655172417</v>
      </c>
      <c r="D1097" s="133">
        <f t="shared" si="485"/>
        <v>70720.882758620704</v>
      </c>
      <c r="E1097" s="92">
        <f t="shared" si="485"/>
        <v>0</v>
      </c>
      <c r="F1097" s="134">
        <f t="shared" si="485"/>
        <v>63170.834482758626</v>
      </c>
      <c r="G1097" s="92">
        <f t="shared" si="485"/>
        <v>153248.62068965519</v>
      </c>
      <c r="H1097" s="92">
        <f t="shared" si="485"/>
        <v>186008.2551724138</v>
      </c>
      <c r="I1097" s="92">
        <f>FLORESTA!$B1097+FLORESTA!$C1097+FLORESTA!$D1097+FLORESTA!$E1097+FLORESTA!$F1097+FLORESTA!$G1097+FLORESTA!$H1097</f>
        <v>670898.21034482762</v>
      </c>
      <c r="J1097" s="133">
        <f>FLORESTA!$I1097/7</f>
        <v>95842.601477832519</v>
      </c>
    </row>
    <row r="1098" spans="1:10" x14ac:dyDescent="0.25">
      <c r="A1098" s="10" t="s">
        <v>27</v>
      </c>
      <c r="B1098" s="92">
        <f t="shared" ref="B1098:H1098" si="486">B1101*B1091</f>
        <v>2522808.9620689657</v>
      </c>
      <c r="C1098" s="133">
        <f t="shared" si="486"/>
        <v>1195682.931034483</v>
      </c>
      <c r="D1098" s="133">
        <f t="shared" si="486"/>
        <v>1166894.5655172416</v>
      </c>
      <c r="E1098" s="92">
        <f t="shared" si="486"/>
        <v>1754437.5120689657</v>
      </c>
      <c r="F1098" s="134">
        <f t="shared" si="486"/>
        <v>2905858.386206897</v>
      </c>
      <c r="G1098" s="92">
        <f t="shared" si="486"/>
        <v>3907839.8275862075</v>
      </c>
      <c r="H1098" s="92">
        <f t="shared" si="486"/>
        <v>2418107.3172413795</v>
      </c>
      <c r="I1098" s="92">
        <f>FLORESTA!$B1098+FLORESTA!$C1098+FLORESTA!$D1098+FLORESTA!$E1098+FLORESTA!$F1098+FLORESTA!$G1098+FLORESTA!$H1098</f>
        <v>15871629.501724141</v>
      </c>
      <c r="J1098" s="133">
        <f>FLORESTA!$I1098/7</f>
        <v>2267375.6431034487</v>
      </c>
    </row>
    <row r="1099" spans="1:10" x14ac:dyDescent="0.25">
      <c r="A1099" s="10" t="s">
        <v>28</v>
      </c>
      <c r="B1099" s="92">
        <f t="shared" ref="B1099:H1099" si="487">B1101*B1092</f>
        <v>410689.83103448286</v>
      </c>
      <c r="C1099" s="133">
        <f t="shared" si="487"/>
        <v>195657.20689655174</v>
      </c>
      <c r="D1099" s="133">
        <f t="shared" si="487"/>
        <v>247523.08965517246</v>
      </c>
      <c r="E1099" s="92">
        <f t="shared" si="487"/>
        <v>57522.541379310351</v>
      </c>
      <c r="F1099" s="134">
        <f t="shared" si="487"/>
        <v>631708.34482758632</v>
      </c>
      <c r="G1099" s="92">
        <f t="shared" si="487"/>
        <v>459745.86206896557</v>
      </c>
      <c r="H1099" s="92">
        <f t="shared" si="487"/>
        <v>434019.26206896559</v>
      </c>
      <c r="I1099" s="92">
        <f>FLORESTA!$B1099+FLORESTA!$C1099+FLORESTA!$D1099+FLORESTA!$E1099+FLORESTA!$F1099+FLORESTA!$G1099+FLORESTA!$H1099</f>
        <v>2436866.1379310349</v>
      </c>
      <c r="J1099" s="133">
        <f>FLORESTA!$I1099/7</f>
        <v>348123.73399014783</v>
      </c>
    </row>
    <row r="1100" spans="1:10" x14ac:dyDescent="0.25">
      <c r="A1100" s="10" t="s">
        <v>29</v>
      </c>
      <c r="B1100" s="92">
        <f t="shared" ref="B1100:H1100" si="488">B1101*B1093</f>
        <v>0</v>
      </c>
      <c r="C1100" s="133">
        <f t="shared" si="488"/>
        <v>21739.689655172417</v>
      </c>
      <c r="D1100" s="133">
        <f t="shared" si="488"/>
        <v>0</v>
      </c>
      <c r="E1100" s="92">
        <f t="shared" si="488"/>
        <v>0</v>
      </c>
      <c r="F1100" s="134">
        <f t="shared" si="488"/>
        <v>0</v>
      </c>
      <c r="G1100" s="92">
        <f t="shared" si="488"/>
        <v>0</v>
      </c>
      <c r="H1100" s="92">
        <f t="shared" si="488"/>
        <v>0</v>
      </c>
      <c r="I1100" s="92">
        <f>FLORESTA!$B1100+FLORESTA!$C1100+FLORESTA!$D1100+FLORESTA!$E1100+FLORESTA!$F1100+FLORESTA!$G1100+FLORESTA!$H1100</f>
        <v>21739.689655172417</v>
      </c>
      <c r="J1100" s="133">
        <f>FLORESTA!$I1100/7</f>
        <v>3105.6699507389167</v>
      </c>
    </row>
    <row r="1101" spans="1:10" x14ac:dyDescent="0.25">
      <c r="A1101" s="33" t="s">
        <v>30</v>
      </c>
      <c r="B1101" s="222">
        <f>(7020700/1.16)-B1102</f>
        <v>5866997.5862068972</v>
      </c>
      <c r="C1101" s="222">
        <f>(2571800/1.16)-C1102</f>
        <v>2173968.9655172415</v>
      </c>
      <c r="D1101" s="222">
        <f>(4241800/1.16)-D1102</f>
        <v>3536044.1379310349</v>
      </c>
      <c r="E1101" s="222">
        <f>(3428800/1.16)-E1102</f>
        <v>2876127.0689655175</v>
      </c>
      <c r="F1101" s="222">
        <f>(7537800/1.16)-F1102</f>
        <v>6317083.4482758623</v>
      </c>
      <c r="G1101" s="222">
        <f>(9138400/1.16)-G1102</f>
        <v>7662431.0344827594</v>
      </c>
      <c r="H1101" s="222">
        <f>(7432300/1.16)-H1102</f>
        <v>6200275.1724137934</v>
      </c>
      <c r="I1101" s="91">
        <f>SUM(I1096:I1100)</f>
        <v>34632927.413793102</v>
      </c>
      <c r="J1101" s="136">
        <f>FLORESTA!$I1101/7</f>
        <v>4947561.0591133004</v>
      </c>
    </row>
    <row r="1102" spans="1:10" x14ac:dyDescent="0.25">
      <c r="A1102" s="10" t="s">
        <v>31</v>
      </c>
      <c r="B1102" s="94">
        <f t="shared" ref="B1102:J1102" si="489">2155*B1083</f>
        <v>185330</v>
      </c>
      <c r="C1102" s="139">
        <f t="shared" si="489"/>
        <v>43100</v>
      </c>
      <c r="D1102" s="139">
        <f t="shared" si="489"/>
        <v>120680</v>
      </c>
      <c r="E1102" s="94">
        <f t="shared" si="489"/>
        <v>79735</v>
      </c>
      <c r="F1102" s="112">
        <f t="shared" si="489"/>
        <v>181020</v>
      </c>
      <c r="G1102" s="94">
        <f t="shared" si="489"/>
        <v>215500</v>
      </c>
      <c r="H1102" s="94">
        <f t="shared" si="489"/>
        <v>206880</v>
      </c>
      <c r="I1102" s="94">
        <f t="shared" si="489"/>
        <v>1032245</v>
      </c>
      <c r="J1102" s="139">
        <f t="shared" si="489"/>
        <v>147463.57142857142</v>
      </c>
    </row>
    <row r="1103" spans="1:10" x14ac:dyDescent="0.25">
      <c r="A1103" s="37" t="s">
        <v>32</v>
      </c>
      <c r="B1103" s="39">
        <f t="shared" ref="B1103:H1103" si="490">B1101+B1102</f>
        <v>6052327.5862068972</v>
      </c>
      <c r="C1103" s="40">
        <f t="shared" si="490"/>
        <v>2217068.9655172415</v>
      </c>
      <c r="D1103" s="40">
        <f t="shared" si="490"/>
        <v>3656724.1379310349</v>
      </c>
      <c r="E1103" s="39">
        <f t="shared" si="490"/>
        <v>2955862.0689655175</v>
      </c>
      <c r="F1103" s="140">
        <f t="shared" si="490"/>
        <v>6498103.4482758623</v>
      </c>
      <c r="G1103" s="39">
        <f t="shared" si="490"/>
        <v>7877931.0344827594</v>
      </c>
      <c r="H1103" s="39">
        <f t="shared" si="490"/>
        <v>6407155.1724137934</v>
      </c>
      <c r="I1103" s="39">
        <f>I1101+I1102</f>
        <v>35665172.413793102</v>
      </c>
      <c r="J1103" s="40">
        <f>J1101+J1102</f>
        <v>5095024.6305418722</v>
      </c>
    </row>
    <row r="1104" spans="1:10" x14ac:dyDescent="0.25">
      <c r="A1104" s="10" t="s">
        <v>33</v>
      </c>
      <c r="B1104" s="41">
        <f t="shared" ref="B1104:H1104" si="491">B1103*16%</f>
        <v>968372.41379310354</v>
      </c>
      <c r="C1104" s="42">
        <f t="shared" si="491"/>
        <v>354731.03448275867</v>
      </c>
      <c r="D1104" s="42">
        <f t="shared" si="491"/>
        <v>585075.86206896557</v>
      </c>
      <c r="E1104" s="41">
        <f t="shared" si="491"/>
        <v>472937.93103448278</v>
      </c>
      <c r="F1104" s="141">
        <f t="shared" si="491"/>
        <v>1039696.551724138</v>
      </c>
      <c r="G1104" s="41">
        <f t="shared" si="491"/>
        <v>1260468.9655172415</v>
      </c>
      <c r="H1104" s="41">
        <f t="shared" si="491"/>
        <v>1025144.827586207</v>
      </c>
      <c r="I1104" s="41">
        <f>I1103*16%</f>
        <v>5706427.5862068962</v>
      </c>
      <c r="J1104" s="42">
        <f>J1103*16%</f>
        <v>815203.94088669959</v>
      </c>
    </row>
    <row r="1105" spans="1:10" x14ac:dyDescent="0.25">
      <c r="A1105" s="43" t="s">
        <v>34</v>
      </c>
      <c r="B1105" s="315">
        <f t="shared" ref="B1105:H1105" si="492">B1103+B1104</f>
        <v>7020700.0000000009</v>
      </c>
      <c r="C1105" s="315">
        <f t="shared" si="492"/>
        <v>2571800</v>
      </c>
      <c r="D1105" s="315">
        <f t="shared" si="492"/>
        <v>4241800</v>
      </c>
      <c r="E1105" s="178">
        <f t="shared" si="492"/>
        <v>3428800</v>
      </c>
      <c r="F1105" s="182">
        <f t="shared" si="492"/>
        <v>7537800</v>
      </c>
      <c r="G1105" s="178">
        <f t="shared" si="492"/>
        <v>9138400</v>
      </c>
      <c r="H1105" s="178">
        <f t="shared" si="492"/>
        <v>7432300</v>
      </c>
      <c r="I1105" s="178">
        <f>I1103+I1104</f>
        <v>41371600</v>
      </c>
      <c r="J1105" s="315">
        <f>FLORESTA!$I1105/7</f>
        <v>5910228.5714285718</v>
      </c>
    </row>
    <row r="1107" spans="1:10" ht="12.75" customHeight="1" x14ac:dyDescent="0.25">
      <c r="A1107" s="149"/>
      <c r="B1107" s="1006" t="s">
        <v>380</v>
      </c>
      <c r="C1107" s="1006"/>
      <c r="D1107" s="1006"/>
      <c r="E1107" s="1006"/>
      <c r="F1107" s="1006"/>
      <c r="G1107" s="1006"/>
      <c r="H1107" s="1006"/>
      <c r="I1107" s="1006"/>
    </row>
    <row r="1108" spans="1:10" x14ac:dyDescent="0.25">
      <c r="A1108" s="149"/>
      <c r="B1108" s="1006"/>
      <c r="C1108" s="1006"/>
      <c r="D1108" s="1006"/>
      <c r="E1108" s="1006"/>
      <c r="F1108" s="1006"/>
      <c r="G1108" s="1006"/>
      <c r="H1108" s="1006"/>
      <c r="I1108" s="1006"/>
    </row>
    <row r="1109" spans="1:10" ht="15.75" x14ac:dyDescent="0.25">
      <c r="A1109" s="72" t="s">
        <v>2</v>
      </c>
      <c r="B1109" s="232" t="s">
        <v>107</v>
      </c>
      <c r="C1109" s="232" t="s">
        <v>108</v>
      </c>
      <c r="D1109" s="232" t="s">
        <v>109</v>
      </c>
      <c r="E1109" s="232" t="s">
        <v>110</v>
      </c>
      <c r="F1109" s="232" t="s">
        <v>111</v>
      </c>
      <c r="G1109" s="232" t="s">
        <v>112</v>
      </c>
      <c r="H1109" s="232" t="s">
        <v>113</v>
      </c>
      <c r="I1109" s="51" t="s">
        <v>10</v>
      </c>
      <c r="J1109" s="51" t="s">
        <v>77</v>
      </c>
    </row>
    <row r="1110" spans="1:10" x14ac:dyDescent="0.25">
      <c r="A1110" s="74" t="s">
        <v>11</v>
      </c>
      <c r="B1110" s="55">
        <f>64+38+10</f>
        <v>112</v>
      </c>
      <c r="C1110" s="56">
        <f>47+33+9</f>
        <v>89</v>
      </c>
      <c r="D1110" s="54">
        <f>58+31+15</f>
        <v>104</v>
      </c>
      <c r="E1110" s="316">
        <f>76+46+11</f>
        <v>133</v>
      </c>
      <c r="F1110" s="311">
        <f>141+106+26</f>
        <v>273</v>
      </c>
      <c r="G1110" s="58">
        <f>180+138+32</f>
        <v>350</v>
      </c>
      <c r="H1110" s="57">
        <f>126+82+30</f>
        <v>238</v>
      </c>
      <c r="I1110" s="311">
        <f t="shared" ref="I1110:I1115" si="493">SUM(B1110:H1110)</f>
        <v>1299</v>
      </c>
      <c r="J1110" s="317">
        <f>FLORESTA!$I1110/7</f>
        <v>185.57142857142858</v>
      </c>
    </row>
    <row r="1111" spans="1:10" x14ac:dyDescent="0.25">
      <c r="A1111" s="10" t="s">
        <v>12</v>
      </c>
      <c r="B1111" s="11">
        <v>34</v>
      </c>
      <c r="C1111" s="13">
        <v>22</v>
      </c>
      <c r="D1111" s="320">
        <v>27</v>
      </c>
      <c r="E1111" s="11">
        <v>41</v>
      </c>
      <c r="F1111" s="125">
        <v>94</v>
      </c>
      <c r="G1111" s="11">
        <v>123</v>
      </c>
      <c r="H1111" s="11">
        <v>79</v>
      </c>
      <c r="I1111" s="313">
        <f t="shared" si="493"/>
        <v>420</v>
      </c>
      <c r="J1111" s="318">
        <f>FLORESTA!$I1111/7</f>
        <v>60</v>
      </c>
    </row>
    <row r="1112" spans="1:10" x14ac:dyDescent="0.25">
      <c r="A1112" s="10" t="s">
        <v>13</v>
      </c>
      <c r="B1112" s="11">
        <v>2</v>
      </c>
      <c r="C1112" s="13">
        <v>0</v>
      </c>
      <c r="D1112" s="13">
        <v>0</v>
      </c>
      <c r="E1112" s="11">
        <v>1</v>
      </c>
      <c r="F1112" s="125">
        <v>0</v>
      </c>
      <c r="G1112" s="11">
        <v>4</v>
      </c>
      <c r="H1112" s="11">
        <v>1</v>
      </c>
      <c r="I1112" s="313">
        <f t="shared" si="493"/>
        <v>8</v>
      </c>
      <c r="J1112" s="318">
        <f>C1112+D1112+E1112+F1112+G1112+H1112+I1112</f>
        <v>14</v>
      </c>
    </row>
    <row r="1113" spans="1:10" x14ac:dyDescent="0.25">
      <c r="A1113" s="10" t="s">
        <v>14</v>
      </c>
      <c r="B1113" s="11">
        <v>44</v>
      </c>
      <c r="C1113" s="13">
        <v>50</v>
      </c>
      <c r="D1113" s="320">
        <v>52</v>
      </c>
      <c r="E1113" s="11">
        <v>66</v>
      </c>
      <c r="F1113" s="125">
        <v>134</v>
      </c>
      <c r="G1113" s="11">
        <v>139</v>
      </c>
      <c r="H1113" s="11">
        <v>95</v>
      </c>
      <c r="I1113" s="313">
        <f t="shared" si="493"/>
        <v>580</v>
      </c>
      <c r="J1113" s="318">
        <f>FLORESTA!$I1113/7</f>
        <v>82.857142857142861</v>
      </c>
    </row>
    <row r="1114" spans="1:10" x14ac:dyDescent="0.25">
      <c r="A1114" s="10" t="s">
        <v>15</v>
      </c>
      <c r="B1114" s="11">
        <v>12</v>
      </c>
      <c r="C1114" s="13">
        <v>5</v>
      </c>
      <c r="D1114" s="13">
        <v>6</v>
      </c>
      <c r="E1114" s="11">
        <v>6</v>
      </c>
      <c r="F1114" s="125">
        <v>4</v>
      </c>
      <c r="G1114" s="11">
        <v>10</v>
      </c>
      <c r="H1114" s="11">
        <v>12</v>
      </c>
      <c r="I1114" s="313">
        <f t="shared" si="493"/>
        <v>55</v>
      </c>
      <c r="J1114" s="318">
        <f>FLORESTA!$I1114/7</f>
        <v>7.8571428571428568</v>
      </c>
    </row>
    <row r="1115" spans="1:10" x14ac:dyDescent="0.25">
      <c r="A1115" s="10" t="s">
        <v>16</v>
      </c>
      <c r="B1115" s="11">
        <v>0</v>
      </c>
      <c r="C1115" s="13">
        <v>0</v>
      </c>
      <c r="D1115" s="13">
        <v>0</v>
      </c>
      <c r="E1115" s="11">
        <v>0</v>
      </c>
      <c r="F1115" s="125">
        <v>0</v>
      </c>
      <c r="G1115" s="11">
        <v>0</v>
      </c>
      <c r="H1115" s="11">
        <v>0</v>
      </c>
      <c r="I1115" s="313">
        <f t="shared" si="493"/>
        <v>0</v>
      </c>
      <c r="J1115" s="318">
        <f>FLORESTA!$I1115/7</f>
        <v>0</v>
      </c>
    </row>
    <row r="1116" spans="1:10" x14ac:dyDescent="0.25">
      <c r="A1116" s="15" t="s">
        <v>17</v>
      </c>
      <c r="B1116" s="79">
        <f t="shared" ref="B1116:I1116" si="494">SUM(B1111:B1115)</f>
        <v>92</v>
      </c>
      <c r="C1116" s="79">
        <f t="shared" si="494"/>
        <v>77</v>
      </c>
      <c r="D1116" s="79">
        <f t="shared" si="494"/>
        <v>85</v>
      </c>
      <c r="E1116" s="103">
        <f t="shared" si="494"/>
        <v>114</v>
      </c>
      <c r="F1116" s="213">
        <f t="shared" si="494"/>
        <v>232</v>
      </c>
      <c r="G1116" s="103">
        <f t="shared" si="494"/>
        <v>276</v>
      </c>
      <c r="H1116" s="103">
        <f t="shared" si="494"/>
        <v>187</v>
      </c>
      <c r="I1116" s="103">
        <f t="shared" si="494"/>
        <v>1063</v>
      </c>
      <c r="J1116" s="319">
        <f>FLORESTA!$I1116/7</f>
        <v>151.85714285714286</v>
      </c>
    </row>
    <row r="1117" spans="1:10" x14ac:dyDescent="0.25">
      <c r="A1117" s="10" t="s">
        <v>18</v>
      </c>
      <c r="B1117" s="325">
        <v>0.46</v>
      </c>
      <c r="C1117" s="326">
        <v>0.34</v>
      </c>
      <c r="D1117" s="326">
        <v>0.35</v>
      </c>
      <c r="E1117" s="327">
        <v>0.41</v>
      </c>
      <c r="F1117" s="328">
        <v>0.46</v>
      </c>
      <c r="G1117" s="327">
        <v>0.52</v>
      </c>
      <c r="H1117" s="327">
        <v>0.42</v>
      </c>
      <c r="I1117" s="18">
        <f>I1124/I1129</f>
        <v>0.44842593361255684</v>
      </c>
      <c r="J1117" s="19">
        <f>J1124/J1129</f>
        <v>0.44842593361255684</v>
      </c>
    </row>
    <row r="1118" spans="1:10" x14ac:dyDescent="0.25">
      <c r="A1118" s="10" t="s">
        <v>19</v>
      </c>
      <c r="B1118" s="325">
        <v>0.01</v>
      </c>
      <c r="C1118" s="326">
        <v>0</v>
      </c>
      <c r="D1118" s="326">
        <v>0</v>
      </c>
      <c r="E1118" s="327">
        <v>0.01</v>
      </c>
      <c r="F1118" s="327">
        <v>0</v>
      </c>
      <c r="G1118" s="327">
        <v>0.02</v>
      </c>
      <c r="H1118" s="327">
        <v>0.01</v>
      </c>
      <c r="I1118" s="18">
        <f>I1125/I1129</f>
        <v>9.340648711558314E-3</v>
      </c>
      <c r="J1118" s="19">
        <f>J1125/J1129</f>
        <v>9.340648711558314E-3</v>
      </c>
    </row>
    <row r="1119" spans="1:10" x14ac:dyDescent="0.25">
      <c r="A1119" s="10" t="s">
        <v>20</v>
      </c>
      <c r="B1119" s="325">
        <v>0.41</v>
      </c>
      <c r="C1119" s="326">
        <v>0.61</v>
      </c>
      <c r="D1119" s="326">
        <v>0.57999999999999996</v>
      </c>
      <c r="E1119" s="327">
        <v>0.54</v>
      </c>
      <c r="F1119" s="329">
        <v>0.52</v>
      </c>
      <c r="G1119" s="327">
        <v>0.42</v>
      </c>
      <c r="H1119" s="327">
        <v>0.5</v>
      </c>
      <c r="I1119" s="18">
        <f>I1126/I1129</f>
        <v>0.49112502370596728</v>
      </c>
      <c r="J1119" s="19">
        <f>J1126/J1129</f>
        <v>0.49112502370596728</v>
      </c>
    </row>
    <row r="1120" spans="1:10" x14ac:dyDescent="0.25">
      <c r="A1120" s="10" t="s">
        <v>21</v>
      </c>
      <c r="B1120" s="325">
        <v>0.12</v>
      </c>
      <c r="C1120" s="326">
        <v>0.05</v>
      </c>
      <c r="D1120" s="326">
        <v>7.0000000000000007E-2</v>
      </c>
      <c r="E1120" s="327">
        <v>0.04</v>
      </c>
      <c r="F1120" s="329">
        <v>0.02</v>
      </c>
      <c r="G1120" s="327">
        <v>0.04</v>
      </c>
      <c r="H1120" s="327">
        <v>7.0000000000000007E-2</v>
      </c>
      <c r="I1120" s="18">
        <f>I1127/I1129</f>
        <v>5.1108393969917572E-2</v>
      </c>
      <c r="J1120" s="19">
        <f>J1127/J1129</f>
        <v>5.1108393969917572E-2</v>
      </c>
    </row>
    <row r="1121" spans="1:10" x14ac:dyDescent="0.25">
      <c r="A1121" s="10" t="s">
        <v>22</v>
      </c>
      <c r="B1121" s="325">
        <v>0</v>
      </c>
      <c r="C1121" s="326">
        <v>0</v>
      </c>
      <c r="D1121" s="326">
        <v>0</v>
      </c>
      <c r="E1121" s="327">
        <v>0</v>
      </c>
      <c r="F1121" s="329">
        <v>0</v>
      </c>
      <c r="G1121" s="327">
        <v>0</v>
      </c>
      <c r="H1121" s="327">
        <v>0</v>
      </c>
      <c r="I1121" s="18">
        <f>I1128/I1129</f>
        <v>0</v>
      </c>
      <c r="J1121" s="19">
        <f>J1128/J1129</f>
        <v>0</v>
      </c>
    </row>
    <row r="1122" spans="1:10" x14ac:dyDescent="0.25">
      <c r="A1122" s="24" t="s">
        <v>23</v>
      </c>
      <c r="B1122" s="130">
        <f t="shared" ref="B1122:J1122" si="495">B1133/B1116</f>
        <v>34075</v>
      </c>
      <c r="C1122" s="131">
        <f t="shared" si="495"/>
        <v>32264.935064935064</v>
      </c>
      <c r="D1122" s="131">
        <f t="shared" si="495"/>
        <v>32780</v>
      </c>
      <c r="E1122" s="130">
        <f t="shared" si="495"/>
        <v>31418.421052631584</v>
      </c>
      <c r="F1122" s="132">
        <f t="shared" si="495"/>
        <v>32889.224137931036</v>
      </c>
      <c r="G1122" s="130">
        <f t="shared" si="495"/>
        <v>38015.942028985504</v>
      </c>
      <c r="H1122" s="130">
        <f t="shared" si="495"/>
        <v>35890.374331550804</v>
      </c>
      <c r="I1122" s="314">
        <f t="shared" si="495"/>
        <v>34639.228598306676</v>
      </c>
      <c r="J1122" s="132">
        <f t="shared" si="495"/>
        <v>34639.228598306676</v>
      </c>
    </row>
    <row r="1123" spans="1:10" x14ac:dyDescent="0.25">
      <c r="A1123" s="24" t="s">
        <v>24</v>
      </c>
      <c r="B1123" s="130">
        <f t="shared" ref="B1123:J1123" si="496">B1133/B1110</f>
        <v>27990.178571428572</v>
      </c>
      <c r="C1123" s="131">
        <f t="shared" si="496"/>
        <v>27914.606741573032</v>
      </c>
      <c r="D1123" s="131">
        <f t="shared" si="496"/>
        <v>26791.346153846152</v>
      </c>
      <c r="E1123" s="130">
        <f t="shared" si="496"/>
        <v>26930.075187969927</v>
      </c>
      <c r="F1123" s="132">
        <f t="shared" si="496"/>
        <v>27949.816849816852</v>
      </c>
      <c r="G1123" s="130">
        <f t="shared" si="496"/>
        <v>29978.285714285714</v>
      </c>
      <c r="H1123" s="130">
        <f t="shared" si="496"/>
        <v>28199.579831932777</v>
      </c>
      <c r="I1123" s="314">
        <f t="shared" si="496"/>
        <v>28346.035411855275</v>
      </c>
      <c r="J1123" s="132">
        <f t="shared" si="496"/>
        <v>28346.035411855271</v>
      </c>
    </row>
    <row r="1124" spans="1:10" x14ac:dyDescent="0.25">
      <c r="A1124" s="10" t="s">
        <v>25</v>
      </c>
      <c r="B1124" s="92">
        <f t="shared" ref="B1124:H1124" si="497">B1129*B1117</f>
        <v>1209445.8</v>
      </c>
      <c r="C1124" s="133">
        <f t="shared" si="497"/>
        <v>712066.80689655175</v>
      </c>
      <c r="D1124" s="133">
        <f t="shared" si="497"/>
        <v>820329.21551724127</v>
      </c>
      <c r="E1124" s="92">
        <f t="shared" si="497"/>
        <v>1229720.1396551724</v>
      </c>
      <c r="F1124" s="134">
        <f t="shared" si="497"/>
        <v>2932626.4206896555</v>
      </c>
      <c r="G1124" s="92">
        <f t="shared" si="497"/>
        <v>4565655.8551724143</v>
      </c>
      <c r="H1124" s="92">
        <f t="shared" si="497"/>
        <v>2358522.9620689657</v>
      </c>
      <c r="I1124" s="92">
        <f>FLORESTA!$B1124+FLORESTA!$C1124+FLORESTA!$D1124+FLORESTA!$E1124+FLORESTA!$F1124+FLORESTA!$G1124+FLORESTA!$H1124</f>
        <v>13828367.200000001</v>
      </c>
      <c r="J1124" s="133">
        <f>FLORESTA!$I1124/7</f>
        <v>1975481.0285714287</v>
      </c>
    </row>
    <row r="1125" spans="1:10" x14ac:dyDescent="0.25">
      <c r="A1125" s="10" t="s">
        <v>26</v>
      </c>
      <c r="B1125" s="92">
        <f t="shared" ref="B1125:H1125" si="498">B1129*B1118</f>
        <v>26292.3</v>
      </c>
      <c r="C1125" s="133">
        <f t="shared" si="498"/>
        <v>0</v>
      </c>
      <c r="D1125" s="133">
        <f t="shared" si="498"/>
        <v>0</v>
      </c>
      <c r="E1125" s="92">
        <f t="shared" si="498"/>
        <v>29993.174137931037</v>
      </c>
      <c r="F1125" s="134">
        <f t="shared" si="498"/>
        <v>0</v>
      </c>
      <c r="G1125" s="92">
        <f t="shared" si="498"/>
        <v>175602.14827586207</v>
      </c>
      <c r="H1125" s="92">
        <f t="shared" si="498"/>
        <v>56155.308620689662</v>
      </c>
      <c r="I1125" s="92">
        <f>FLORESTA!$B1125+FLORESTA!$C1125+FLORESTA!$D1125+FLORESTA!$E1125+FLORESTA!$F1125+FLORESTA!$G1125+FLORESTA!$H1125</f>
        <v>288042.93103448278</v>
      </c>
      <c r="J1125" s="133">
        <f>FLORESTA!$I1125/7</f>
        <v>41148.990147783254</v>
      </c>
    </row>
    <row r="1126" spans="1:10" x14ac:dyDescent="0.25">
      <c r="A1126" s="10" t="s">
        <v>27</v>
      </c>
      <c r="B1126" s="92">
        <f t="shared" ref="B1126:H1126" si="499">B1129*B1119</f>
        <v>1077984.3</v>
      </c>
      <c r="C1126" s="133">
        <f t="shared" si="499"/>
        <v>1277531.624137931</v>
      </c>
      <c r="D1126" s="133">
        <f t="shared" si="499"/>
        <v>1359402.7</v>
      </c>
      <c r="E1126" s="92">
        <f t="shared" si="499"/>
        <v>1619631.4034482762</v>
      </c>
      <c r="F1126" s="134">
        <f t="shared" si="499"/>
        <v>3315142.9103448279</v>
      </c>
      <c r="G1126" s="92">
        <f t="shared" si="499"/>
        <v>3687645.1137931035</v>
      </c>
      <c r="H1126" s="92">
        <f t="shared" si="499"/>
        <v>2807765.431034483</v>
      </c>
      <c r="I1126" s="92">
        <f>FLORESTA!$B1126+FLORESTA!$C1126+FLORESTA!$D1126+FLORESTA!$E1126+FLORESTA!$F1126+FLORESTA!$G1126+FLORESTA!$H1126</f>
        <v>15145103.482758621</v>
      </c>
      <c r="J1126" s="133">
        <f>FLORESTA!$I1126/7</f>
        <v>2163586.2118226602</v>
      </c>
    </row>
    <row r="1127" spans="1:10" x14ac:dyDescent="0.25">
      <c r="A1127" s="10" t="s">
        <v>28</v>
      </c>
      <c r="B1127" s="92">
        <f t="shared" ref="B1127:H1127" si="500">B1129*B1120</f>
        <v>315507.59999999998</v>
      </c>
      <c r="C1127" s="133">
        <f t="shared" si="500"/>
        <v>104715.70689655172</v>
      </c>
      <c r="D1127" s="133">
        <f t="shared" si="500"/>
        <v>164065.84310344828</v>
      </c>
      <c r="E1127" s="92">
        <f t="shared" si="500"/>
        <v>119972.69655172415</v>
      </c>
      <c r="F1127" s="134">
        <f t="shared" si="500"/>
        <v>127505.49655172415</v>
      </c>
      <c r="G1127" s="92">
        <f t="shared" si="500"/>
        <v>351204.29655172414</v>
      </c>
      <c r="H1127" s="92">
        <f t="shared" si="500"/>
        <v>393087.16034482769</v>
      </c>
      <c r="I1127" s="92">
        <f>FLORESTA!$B1127+FLORESTA!$C1127+FLORESTA!$D1127+FLORESTA!$E1127+FLORESTA!$F1127+FLORESTA!$G1127+FLORESTA!$H1127</f>
        <v>1576058.8</v>
      </c>
      <c r="J1127" s="133">
        <f>FLORESTA!$I1127/7</f>
        <v>225151.25714285715</v>
      </c>
    </row>
    <row r="1128" spans="1:10" x14ac:dyDescent="0.25">
      <c r="A1128" s="10" t="s">
        <v>29</v>
      </c>
      <c r="B1128" s="92">
        <f t="shared" ref="B1128:H1128" si="501">B1129*B1121</f>
        <v>0</v>
      </c>
      <c r="C1128" s="133">
        <f t="shared" si="501"/>
        <v>0</v>
      </c>
      <c r="D1128" s="133">
        <f t="shared" si="501"/>
        <v>0</v>
      </c>
      <c r="E1128" s="92">
        <f t="shared" si="501"/>
        <v>0</v>
      </c>
      <c r="F1128" s="134">
        <f t="shared" si="501"/>
        <v>0</v>
      </c>
      <c r="G1128" s="92">
        <f t="shared" si="501"/>
        <v>0</v>
      </c>
      <c r="H1128" s="92">
        <f t="shared" si="501"/>
        <v>0</v>
      </c>
      <c r="I1128" s="92">
        <f>FLORESTA!$B1128+FLORESTA!$C1128+FLORESTA!$D1128+FLORESTA!$E1128+FLORESTA!$F1128+FLORESTA!$G1128+FLORESTA!$H1128</f>
        <v>0</v>
      </c>
      <c r="J1128" s="133">
        <f>FLORESTA!$I1128/7</f>
        <v>0</v>
      </c>
    </row>
    <row r="1129" spans="1:10" x14ac:dyDescent="0.25">
      <c r="A1129" s="33" t="s">
        <v>30</v>
      </c>
      <c r="B1129" s="222">
        <f>(3134900/1.16)-B1130</f>
        <v>2629230</v>
      </c>
      <c r="C1129" s="222">
        <f>(2484400/1.16)-C1130</f>
        <v>2094314.1379310344</v>
      </c>
      <c r="D1129" s="222">
        <f>(2786300/1.16)-D1130</f>
        <v>2343797.7586206896</v>
      </c>
      <c r="E1129" s="222">
        <f>(3581700/1.16)-E1130</f>
        <v>2999317.4137931038</v>
      </c>
      <c r="F1129" s="222">
        <f>(7630300/1.16)-F1130</f>
        <v>6375274.8275862075</v>
      </c>
      <c r="G1129" s="222">
        <f>(10492400/1.16)-G1130</f>
        <v>8780107.4137931038</v>
      </c>
      <c r="H1129" s="222">
        <f>(6711500/1.16)-H1130</f>
        <v>5615530.862068966</v>
      </c>
      <c r="I1129" s="91">
        <f>SUM(I1124:I1128)</f>
        <v>30837572.413793106</v>
      </c>
      <c r="J1129" s="136">
        <f>FLORESTA!$I1129/7</f>
        <v>4405367.4876847295</v>
      </c>
    </row>
    <row r="1130" spans="1:10" x14ac:dyDescent="0.25">
      <c r="A1130" s="10" t="s">
        <v>31</v>
      </c>
      <c r="B1130" s="94">
        <f t="shared" ref="B1130:J1130" si="502">2155*B1111</f>
        <v>73270</v>
      </c>
      <c r="C1130" s="139">
        <f t="shared" si="502"/>
        <v>47410</v>
      </c>
      <c r="D1130" s="139">
        <f t="shared" si="502"/>
        <v>58185</v>
      </c>
      <c r="E1130" s="94">
        <f t="shared" si="502"/>
        <v>88355</v>
      </c>
      <c r="F1130" s="112">
        <f t="shared" si="502"/>
        <v>202570</v>
      </c>
      <c r="G1130" s="94">
        <f t="shared" si="502"/>
        <v>265065</v>
      </c>
      <c r="H1130" s="94">
        <f t="shared" si="502"/>
        <v>170245</v>
      </c>
      <c r="I1130" s="94">
        <f t="shared" si="502"/>
        <v>905100</v>
      </c>
      <c r="J1130" s="139">
        <f t="shared" si="502"/>
        <v>129300</v>
      </c>
    </row>
    <row r="1131" spans="1:10" x14ac:dyDescent="0.25">
      <c r="A1131" s="37" t="s">
        <v>32</v>
      </c>
      <c r="B1131" s="39">
        <f t="shared" ref="B1131:H1131" si="503">B1129+B1130</f>
        <v>2702500</v>
      </c>
      <c r="C1131" s="40">
        <f t="shared" si="503"/>
        <v>2141724.1379310344</v>
      </c>
      <c r="D1131" s="40">
        <f t="shared" si="503"/>
        <v>2401982.7586206896</v>
      </c>
      <c r="E1131" s="39">
        <f t="shared" si="503"/>
        <v>3087672.4137931038</v>
      </c>
      <c r="F1131" s="140">
        <f t="shared" si="503"/>
        <v>6577844.8275862075</v>
      </c>
      <c r="G1131" s="39">
        <f t="shared" si="503"/>
        <v>9045172.4137931038</v>
      </c>
      <c r="H1131" s="39">
        <f t="shared" si="503"/>
        <v>5785775.862068966</v>
      </c>
      <c r="I1131" s="39">
        <f>I1129+I1130</f>
        <v>31742672.413793106</v>
      </c>
      <c r="J1131" s="40">
        <f>J1129+J1130</f>
        <v>4534667.4876847295</v>
      </c>
    </row>
    <row r="1132" spans="1:10" x14ac:dyDescent="0.25">
      <c r="A1132" s="10" t="s">
        <v>33</v>
      </c>
      <c r="B1132" s="41">
        <f t="shared" ref="B1132:H1132" si="504">B1131*16%</f>
        <v>432400</v>
      </c>
      <c r="C1132" s="42">
        <f t="shared" si="504"/>
        <v>342675.86206896551</v>
      </c>
      <c r="D1132" s="42">
        <f t="shared" si="504"/>
        <v>384317.24137931032</v>
      </c>
      <c r="E1132" s="41">
        <f t="shared" si="504"/>
        <v>494027.58620689664</v>
      </c>
      <c r="F1132" s="141">
        <f t="shared" si="504"/>
        <v>1052455.1724137932</v>
      </c>
      <c r="G1132" s="41">
        <f t="shared" si="504"/>
        <v>1447227.5862068967</v>
      </c>
      <c r="H1132" s="41">
        <f t="shared" si="504"/>
        <v>925724.13793103455</v>
      </c>
      <c r="I1132" s="41">
        <f>I1131*16%</f>
        <v>5078827.5862068972</v>
      </c>
      <c r="J1132" s="42">
        <f>J1131*16%</f>
        <v>725546.79802955675</v>
      </c>
    </row>
    <row r="1133" spans="1:10" x14ac:dyDescent="0.25">
      <c r="A1133" s="43" t="s">
        <v>34</v>
      </c>
      <c r="B1133" s="315">
        <f t="shared" ref="B1133:H1133" si="505">B1131+B1132</f>
        <v>3134900</v>
      </c>
      <c r="C1133" s="315">
        <f t="shared" si="505"/>
        <v>2484400</v>
      </c>
      <c r="D1133" s="315">
        <f t="shared" si="505"/>
        <v>2786300</v>
      </c>
      <c r="E1133" s="178">
        <f t="shared" si="505"/>
        <v>3581700.0000000005</v>
      </c>
      <c r="F1133" s="182">
        <f t="shared" si="505"/>
        <v>7630300.0000000009</v>
      </c>
      <c r="G1133" s="178">
        <f t="shared" si="505"/>
        <v>10492400</v>
      </c>
      <c r="H1133" s="178">
        <f t="shared" si="505"/>
        <v>6711500.0000000009</v>
      </c>
      <c r="I1133" s="178">
        <f>I1131+I1132</f>
        <v>36821500</v>
      </c>
      <c r="J1133" s="315">
        <f>FLORESTA!$I1133/7</f>
        <v>5260214.2857142854</v>
      </c>
    </row>
    <row r="1135" spans="1:10" ht="12.75" customHeight="1" x14ac:dyDescent="0.25">
      <c r="A1135" s="149"/>
      <c r="B1135" s="1006" t="s">
        <v>381</v>
      </c>
      <c r="C1135" s="1006"/>
      <c r="D1135" s="1006"/>
      <c r="E1135" s="1006"/>
      <c r="F1135" s="1006"/>
      <c r="G1135" s="1006"/>
      <c r="H1135" s="1006"/>
      <c r="I1135" s="1006"/>
    </row>
    <row r="1136" spans="1:10" x14ac:dyDescent="0.25">
      <c r="A1136" s="149"/>
      <c r="B1136" s="1006"/>
      <c r="C1136" s="1006"/>
      <c r="D1136" s="1006"/>
      <c r="E1136" s="1006"/>
      <c r="F1136" s="1006"/>
      <c r="G1136" s="1006"/>
      <c r="H1136" s="1006"/>
      <c r="I1136" s="1006"/>
    </row>
    <row r="1137" spans="1:10" ht="15.75" x14ac:dyDescent="0.25">
      <c r="A1137" s="72" t="s">
        <v>2</v>
      </c>
      <c r="B1137" s="232" t="s">
        <v>270</v>
      </c>
      <c r="C1137" s="232" t="s">
        <v>116</v>
      </c>
      <c r="D1137" s="232" t="s">
        <v>117</v>
      </c>
      <c r="E1137" s="232" t="s">
        <v>118</v>
      </c>
      <c r="F1137" s="232" t="s">
        <v>119</v>
      </c>
      <c r="G1137" s="232" t="s">
        <v>120</v>
      </c>
      <c r="H1137" s="232" t="s">
        <v>121</v>
      </c>
      <c r="I1137" s="51" t="s">
        <v>10</v>
      </c>
      <c r="J1137" s="51" t="s">
        <v>77</v>
      </c>
    </row>
    <row r="1138" spans="1:10" x14ac:dyDescent="0.25">
      <c r="A1138" s="74" t="s">
        <v>11</v>
      </c>
      <c r="B1138" s="55">
        <f>55+33+4</f>
        <v>92</v>
      </c>
      <c r="C1138" s="56">
        <f>74+59+16</f>
        <v>149</v>
      </c>
      <c r="D1138" s="54">
        <f>140+104+32</f>
        <v>276</v>
      </c>
      <c r="E1138" s="316">
        <f>61+20+11</f>
        <v>92</v>
      </c>
      <c r="F1138" s="311">
        <f>143+89+21</f>
        <v>253</v>
      </c>
      <c r="G1138" s="58">
        <f>156+102+25</f>
        <v>283</v>
      </c>
      <c r="H1138" s="57">
        <f>112+86+35</f>
        <v>233</v>
      </c>
      <c r="I1138" s="311">
        <f t="shared" ref="I1138:I1143" si="506">SUM(B1138:H1138)</f>
        <v>1378</v>
      </c>
      <c r="J1138" s="317">
        <f>FLORESTA!$I1138/7</f>
        <v>196.85714285714286</v>
      </c>
    </row>
    <row r="1139" spans="1:10" x14ac:dyDescent="0.25">
      <c r="A1139" s="10" t="s">
        <v>12</v>
      </c>
      <c r="B1139" s="11">
        <v>23</v>
      </c>
      <c r="C1139" s="13">
        <v>45</v>
      </c>
      <c r="D1139" s="320">
        <v>80</v>
      </c>
      <c r="E1139" s="11">
        <v>19</v>
      </c>
      <c r="F1139" s="125">
        <v>94</v>
      </c>
      <c r="G1139" s="11">
        <v>79</v>
      </c>
      <c r="H1139" s="11">
        <v>73</v>
      </c>
      <c r="I1139" s="313">
        <f t="shared" si="506"/>
        <v>413</v>
      </c>
      <c r="J1139" s="318">
        <f>FLORESTA!$I1139/7</f>
        <v>59</v>
      </c>
    </row>
    <row r="1140" spans="1:10" x14ac:dyDescent="0.25">
      <c r="A1140" s="10" t="s">
        <v>13</v>
      </c>
      <c r="B1140" s="11">
        <v>1</v>
      </c>
      <c r="C1140" s="13">
        <v>1</v>
      </c>
      <c r="D1140" s="13">
        <v>4</v>
      </c>
      <c r="E1140" s="11">
        <v>1</v>
      </c>
      <c r="F1140" s="125">
        <v>1</v>
      </c>
      <c r="G1140" s="11">
        <v>2</v>
      </c>
      <c r="H1140" s="11">
        <v>5</v>
      </c>
      <c r="I1140" s="313">
        <f t="shared" si="506"/>
        <v>15</v>
      </c>
      <c r="J1140" s="318">
        <f>C1140+D1140+E1140+F1140+G1140+H1140+I1140</f>
        <v>29</v>
      </c>
    </row>
    <row r="1141" spans="1:10" x14ac:dyDescent="0.25">
      <c r="A1141" s="10" t="s">
        <v>14</v>
      </c>
      <c r="B1141" s="11">
        <v>51</v>
      </c>
      <c r="C1141" s="13">
        <v>62</v>
      </c>
      <c r="D1141" s="320">
        <v>127</v>
      </c>
      <c r="E1141" s="11">
        <v>46</v>
      </c>
      <c r="F1141" s="125">
        <v>100</v>
      </c>
      <c r="G1141" s="11">
        <v>113</v>
      </c>
      <c r="H1141" s="11">
        <v>83</v>
      </c>
      <c r="I1141" s="313">
        <f t="shared" si="506"/>
        <v>582</v>
      </c>
      <c r="J1141" s="318">
        <f>FLORESTA!$I1141/7</f>
        <v>83.142857142857139</v>
      </c>
    </row>
    <row r="1142" spans="1:10" x14ac:dyDescent="0.25">
      <c r="A1142" s="10" t="s">
        <v>15</v>
      </c>
      <c r="B1142" s="11">
        <v>6</v>
      </c>
      <c r="C1142" s="13">
        <v>15</v>
      </c>
      <c r="D1142" s="13">
        <v>24</v>
      </c>
      <c r="E1142" s="11">
        <v>5</v>
      </c>
      <c r="F1142" s="125">
        <v>10</v>
      </c>
      <c r="G1142" s="11">
        <v>28</v>
      </c>
      <c r="H1142" s="11">
        <v>18</v>
      </c>
      <c r="I1142" s="313">
        <f t="shared" si="506"/>
        <v>106</v>
      </c>
      <c r="J1142" s="318">
        <f>FLORESTA!$I1142/7</f>
        <v>15.142857142857142</v>
      </c>
    </row>
    <row r="1143" spans="1:10" x14ac:dyDescent="0.25">
      <c r="A1143" s="10" t="s">
        <v>16</v>
      </c>
      <c r="B1143" s="11">
        <v>0</v>
      </c>
      <c r="C1143" s="13">
        <v>1</v>
      </c>
      <c r="D1143" s="13">
        <v>0</v>
      </c>
      <c r="E1143" s="11">
        <v>0</v>
      </c>
      <c r="F1143" s="125">
        <v>0</v>
      </c>
      <c r="G1143" s="11">
        <v>0</v>
      </c>
      <c r="H1143" s="11">
        <v>0</v>
      </c>
      <c r="I1143" s="313">
        <f t="shared" si="506"/>
        <v>1</v>
      </c>
      <c r="J1143" s="318">
        <f>FLORESTA!$I1143/7</f>
        <v>0.14285714285714285</v>
      </c>
    </row>
    <row r="1144" spans="1:10" x14ac:dyDescent="0.25">
      <c r="A1144" s="15" t="s">
        <v>17</v>
      </c>
      <c r="B1144" s="79">
        <f t="shared" ref="B1144:I1144" si="507">SUM(B1139:B1143)</f>
        <v>81</v>
      </c>
      <c r="C1144" s="79">
        <f t="shared" si="507"/>
        <v>124</v>
      </c>
      <c r="D1144" s="79">
        <f t="shared" si="507"/>
        <v>235</v>
      </c>
      <c r="E1144" s="103">
        <f t="shared" si="507"/>
        <v>71</v>
      </c>
      <c r="F1144" s="213">
        <f t="shared" si="507"/>
        <v>205</v>
      </c>
      <c r="G1144" s="103">
        <f t="shared" si="507"/>
        <v>222</v>
      </c>
      <c r="H1144" s="103">
        <f t="shared" si="507"/>
        <v>179</v>
      </c>
      <c r="I1144" s="103">
        <f t="shared" si="507"/>
        <v>1117</v>
      </c>
      <c r="J1144" s="319">
        <f>FLORESTA!$I1144/7</f>
        <v>159.57142857142858</v>
      </c>
    </row>
    <row r="1145" spans="1:10" x14ac:dyDescent="0.25">
      <c r="A1145" s="10" t="s">
        <v>18</v>
      </c>
      <c r="B1145" s="325">
        <v>0.34</v>
      </c>
      <c r="C1145" s="326">
        <v>0.41</v>
      </c>
      <c r="D1145" s="326">
        <v>0.36</v>
      </c>
      <c r="E1145" s="327">
        <v>0.31</v>
      </c>
      <c r="F1145" s="328">
        <v>0.51</v>
      </c>
      <c r="G1145" s="327">
        <v>0.41</v>
      </c>
      <c r="H1145" s="327">
        <v>0.47</v>
      </c>
      <c r="I1145" s="18">
        <f>I1152/I1157</f>
        <v>0.41781528546287011</v>
      </c>
      <c r="J1145" s="19">
        <f>J1152/J1157</f>
        <v>0.41781528546287006</v>
      </c>
    </row>
    <row r="1146" spans="1:10" x14ac:dyDescent="0.25">
      <c r="A1146" s="10" t="s">
        <v>19</v>
      </c>
      <c r="B1146" s="325">
        <v>0.03</v>
      </c>
      <c r="C1146" s="326">
        <v>0.01</v>
      </c>
      <c r="D1146" s="326">
        <v>0.01</v>
      </c>
      <c r="E1146" s="327">
        <v>0.02</v>
      </c>
      <c r="F1146" s="327">
        <v>0</v>
      </c>
      <c r="G1146" s="327">
        <v>0.01</v>
      </c>
      <c r="H1146" s="327">
        <v>0.03</v>
      </c>
      <c r="I1146" s="18">
        <f>I1153/I1157</f>
        <v>1.3405717979777321E-2</v>
      </c>
      <c r="J1146" s="19">
        <f>J1153/J1157</f>
        <v>1.3405717979777319E-2</v>
      </c>
    </row>
    <row r="1147" spans="1:10" x14ac:dyDescent="0.25">
      <c r="A1147" s="10" t="s">
        <v>20</v>
      </c>
      <c r="B1147" s="325">
        <v>0.56999999999999995</v>
      </c>
      <c r="C1147" s="326">
        <v>0.45</v>
      </c>
      <c r="D1147" s="326">
        <v>0.53</v>
      </c>
      <c r="E1147" s="327">
        <v>0.57999999999999996</v>
      </c>
      <c r="F1147" s="329">
        <v>0.44</v>
      </c>
      <c r="G1147" s="327">
        <v>0.48</v>
      </c>
      <c r="H1147" s="327">
        <v>0.4</v>
      </c>
      <c r="I1147" s="18">
        <f>I1154/I1157</f>
        <v>0.47809326904106952</v>
      </c>
      <c r="J1147" s="19">
        <f>J1154/J1157</f>
        <v>0.47809326904106947</v>
      </c>
    </row>
    <row r="1148" spans="1:10" x14ac:dyDescent="0.25">
      <c r="A1148" s="10" t="s">
        <v>21</v>
      </c>
      <c r="B1148" s="325">
        <v>0.06</v>
      </c>
      <c r="C1148" s="326">
        <v>0.12</v>
      </c>
      <c r="D1148" s="326">
        <v>0.1</v>
      </c>
      <c r="E1148" s="327">
        <v>0.09</v>
      </c>
      <c r="F1148" s="329">
        <v>0.05</v>
      </c>
      <c r="G1148" s="327">
        <v>0.1</v>
      </c>
      <c r="H1148" s="327">
        <v>0.1</v>
      </c>
      <c r="I1148" s="18">
        <f>I1155/I1157</f>
        <v>8.9560555977407572E-2</v>
      </c>
      <c r="J1148" s="19">
        <f>J1155/J1157</f>
        <v>8.9560555977407558E-2</v>
      </c>
    </row>
    <row r="1149" spans="1:10" x14ac:dyDescent="0.25">
      <c r="A1149" s="10" t="s">
        <v>22</v>
      </c>
      <c r="B1149" s="325">
        <v>0</v>
      </c>
      <c r="C1149" s="326">
        <v>0.01</v>
      </c>
      <c r="D1149" s="326">
        <v>0</v>
      </c>
      <c r="E1149" s="327">
        <v>0</v>
      </c>
      <c r="F1149" s="329">
        <v>0</v>
      </c>
      <c r="G1149" s="327">
        <v>0</v>
      </c>
      <c r="H1149" s="327">
        <v>0</v>
      </c>
      <c r="I1149" s="18">
        <f>I1156/I1157</f>
        <v>1.1251715388755316E-3</v>
      </c>
      <c r="J1149" s="19">
        <f>J1156/J1157</f>
        <v>1.1251715388755313E-3</v>
      </c>
    </row>
    <row r="1150" spans="1:10" x14ac:dyDescent="0.25">
      <c r="A1150" s="24" t="s">
        <v>23</v>
      </c>
      <c r="B1150" s="130">
        <f t="shared" ref="B1150:J1150" si="508">B1161/B1144</f>
        <v>33618.518518518518</v>
      </c>
      <c r="C1150" s="131">
        <f t="shared" si="508"/>
        <v>35605.645161290326</v>
      </c>
      <c r="D1150" s="131">
        <f t="shared" si="508"/>
        <v>33175.319148936171</v>
      </c>
      <c r="E1150" s="130">
        <f t="shared" si="508"/>
        <v>32263.380281690141</v>
      </c>
      <c r="F1150" s="132">
        <f t="shared" si="508"/>
        <v>35897.07317073171</v>
      </c>
      <c r="G1150" s="130">
        <f t="shared" si="508"/>
        <v>37022.972972972981</v>
      </c>
      <c r="H1150" s="130">
        <f t="shared" si="508"/>
        <v>36139.106145251397</v>
      </c>
      <c r="I1150" s="314">
        <f t="shared" si="508"/>
        <v>35158.460161145929</v>
      </c>
      <c r="J1150" s="132">
        <f t="shared" si="508"/>
        <v>35158.460161145922</v>
      </c>
    </row>
    <row r="1151" spans="1:10" x14ac:dyDescent="0.25">
      <c r="A1151" s="24" t="s">
        <v>24</v>
      </c>
      <c r="B1151" s="130">
        <f t="shared" ref="B1151:J1151" si="509">B1161/B1138</f>
        <v>29598.91304347826</v>
      </c>
      <c r="C1151" s="131">
        <f t="shared" si="509"/>
        <v>29631.543624161073</v>
      </c>
      <c r="D1151" s="131">
        <f t="shared" si="509"/>
        <v>28247.101449275367</v>
      </c>
      <c r="E1151" s="130">
        <f t="shared" si="509"/>
        <v>24898.91304347826</v>
      </c>
      <c r="F1151" s="132">
        <f t="shared" si="509"/>
        <v>29086.561264822139</v>
      </c>
      <c r="G1151" s="130">
        <f t="shared" si="509"/>
        <v>29042.756183745587</v>
      </c>
      <c r="H1151" s="130">
        <f t="shared" si="509"/>
        <v>27763.519313304721</v>
      </c>
      <c r="I1151" s="314">
        <f t="shared" si="509"/>
        <v>28499.274310595065</v>
      </c>
      <c r="J1151" s="132">
        <f t="shared" si="509"/>
        <v>28499.274310595065</v>
      </c>
    </row>
    <row r="1152" spans="1:10" x14ac:dyDescent="0.25">
      <c r="A1152" s="10" t="s">
        <v>25</v>
      </c>
      <c r="B1152" s="92">
        <f t="shared" ref="B1152:H1152" si="510">B1157*B1145</f>
        <v>781297.9</v>
      </c>
      <c r="C1152" s="133">
        <f t="shared" si="510"/>
        <v>1520749.7327586208</v>
      </c>
      <c r="D1152" s="133">
        <f t="shared" si="510"/>
        <v>2357446.3448275863</v>
      </c>
      <c r="E1152" s="92">
        <f t="shared" si="510"/>
        <v>599476.877586207</v>
      </c>
      <c r="F1152" s="134">
        <f t="shared" si="510"/>
        <v>3132067.7482758625</v>
      </c>
      <c r="G1152" s="92">
        <f t="shared" si="510"/>
        <v>2835226.2741379314</v>
      </c>
      <c r="H1152" s="92">
        <f t="shared" si="510"/>
        <v>2547081.7775862068</v>
      </c>
      <c r="I1152" s="92">
        <f>FLORESTA!$B1152+FLORESTA!$C1152+FLORESTA!$D1152+FLORESTA!$E1152+FLORESTA!$F1152+FLORESTA!$G1152+FLORESTA!$H1152</f>
        <v>13773346.655172415</v>
      </c>
      <c r="J1152" s="133">
        <f>FLORESTA!$I1152/7</f>
        <v>1967620.9507389164</v>
      </c>
    </row>
    <row r="1153" spans="1:10" x14ac:dyDescent="0.25">
      <c r="A1153" s="10" t="s">
        <v>26</v>
      </c>
      <c r="B1153" s="92">
        <f t="shared" ref="B1153:H1153" si="511">B1157*B1146</f>
        <v>68938.05</v>
      </c>
      <c r="C1153" s="133">
        <f t="shared" si="511"/>
        <v>37091.456896551725</v>
      </c>
      <c r="D1153" s="133">
        <f t="shared" si="511"/>
        <v>65484.620689655181</v>
      </c>
      <c r="E1153" s="92">
        <f t="shared" si="511"/>
        <v>38675.927586206904</v>
      </c>
      <c r="F1153" s="134">
        <f t="shared" si="511"/>
        <v>0</v>
      </c>
      <c r="G1153" s="92">
        <f t="shared" si="511"/>
        <v>69151.860344827597</v>
      </c>
      <c r="H1153" s="92">
        <f t="shared" si="511"/>
        <v>162579.68793103448</v>
      </c>
      <c r="I1153" s="92">
        <f>FLORESTA!$B1153+FLORESTA!$C1153+FLORESTA!$D1153+FLORESTA!$E1153+FLORESTA!$F1153+FLORESTA!$G1153+FLORESTA!$H1153</f>
        <v>441921.60344827588</v>
      </c>
      <c r="J1153" s="133">
        <f>FLORESTA!$I1153/7</f>
        <v>63131.657635467986</v>
      </c>
    </row>
    <row r="1154" spans="1:10" x14ac:dyDescent="0.25">
      <c r="A1154" s="10" t="s">
        <v>27</v>
      </c>
      <c r="B1154" s="92">
        <f t="shared" ref="B1154:H1154" si="512">B1157*B1147</f>
        <v>1309822.95</v>
      </c>
      <c r="C1154" s="133">
        <f t="shared" si="512"/>
        <v>1669115.5603448278</v>
      </c>
      <c r="D1154" s="133">
        <f t="shared" si="512"/>
        <v>3470684.8965517245</v>
      </c>
      <c r="E1154" s="92">
        <f t="shared" si="512"/>
        <v>1121601.9000000001</v>
      </c>
      <c r="F1154" s="134">
        <f t="shared" si="512"/>
        <v>2702176.0965517242</v>
      </c>
      <c r="G1154" s="92">
        <f t="shared" si="512"/>
        <v>3319289.2965517244</v>
      </c>
      <c r="H1154" s="92">
        <f t="shared" si="512"/>
        <v>2167729.1724137934</v>
      </c>
      <c r="I1154" s="92">
        <f>FLORESTA!$B1154+FLORESTA!$C1154+FLORESTA!$D1154+FLORESTA!$E1154+FLORESTA!$F1154+FLORESTA!$G1154+FLORESTA!$H1154</f>
        <v>15760419.872413795</v>
      </c>
      <c r="J1154" s="133">
        <f>FLORESTA!$I1154/7</f>
        <v>2251488.5532019706</v>
      </c>
    </row>
    <row r="1155" spans="1:10" x14ac:dyDescent="0.25">
      <c r="A1155" s="10" t="s">
        <v>28</v>
      </c>
      <c r="B1155" s="92">
        <f t="shared" ref="B1155:H1155" si="513">B1157*B1148</f>
        <v>137876.1</v>
      </c>
      <c r="C1155" s="133">
        <f t="shared" si="513"/>
        <v>445097.4827586207</v>
      </c>
      <c r="D1155" s="133">
        <f t="shared" si="513"/>
        <v>654846.20689655188</v>
      </c>
      <c r="E1155" s="92">
        <f t="shared" si="513"/>
        <v>174041.67413793106</v>
      </c>
      <c r="F1155" s="134">
        <f t="shared" si="513"/>
        <v>307065.46551724145</v>
      </c>
      <c r="G1155" s="92">
        <f t="shared" si="513"/>
        <v>691518.60344827594</v>
      </c>
      <c r="H1155" s="92">
        <f t="shared" si="513"/>
        <v>541932.29310344835</v>
      </c>
      <c r="I1155" s="92">
        <f>FLORESTA!$B1155+FLORESTA!$C1155+FLORESTA!$D1155+FLORESTA!$E1155+FLORESTA!$F1155+FLORESTA!$G1155+FLORESTA!$H1155</f>
        <v>2952377.8258620696</v>
      </c>
      <c r="J1155" s="133">
        <f>FLORESTA!$I1155/7</f>
        <v>421768.26083743852</v>
      </c>
    </row>
    <row r="1156" spans="1:10" x14ac:dyDescent="0.25">
      <c r="A1156" s="10" t="s">
        <v>29</v>
      </c>
      <c r="B1156" s="92">
        <f t="shared" ref="B1156:H1156" si="514">B1157*B1149</f>
        <v>0</v>
      </c>
      <c r="C1156" s="133">
        <f t="shared" si="514"/>
        <v>37091.456896551725</v>
      </c>
      <c r="D1156" s="133">
        <f t="shared" si="514"/>
        <v>0</v>
      </c>
      <c r="E1156" s="92">
        <f t="shared" si="514"/>
        <v>0</v>
      </c>
      <c r="F1156" s="134">
        <f t="shared" si="514"/>
        <v>0</v>
      </c>
      <c r="G1156" s="92">
        <f t="shared" si="514"/>
        <v>0</v>
      </c>
      <c r="H1156" s="92">
        <f t="shared" si="514"/>
        <v>0</v>
      </c>
      <c r="I1156" s="92">
        <f>FLORESTA!$B1156+FLORESTA!$C1156+FLORESTA!$D1156+FLORESTA!$E1156+FLORESTA!$F1156+FLORESTA!$G1156+FLORESTA!$H1156</f>
        <v>37091.456896551725</v>
      </c>
      <c r="J1156" s="133">
        <f>FLORESTA!$I1156/7</f>
        <v>5298.7795566502464</v>
      </c>
    </row>
    <row r="1157" spans="1:10" x14ac:dyDescent="0.25">
      <c r="A1157" s="33" t="s">
        <v>30</v>
      </c>
      <c r="B1157" s="222">
        <f>(2723100/1.16)-B1158</f>
        <v>2297935</v>
      </c>
      <c r="C1157" s="222">
        <f>(4415100/1.16)-C1158</f>
        <v>3709145.6896551726</v>
      </c>
      <c r="D1157" s="222">
        <f>(7796200/1.16)-D1158</f>
        <v>6548462.0689655179</v>
      </c>
      <c r="E1157" s="222">
        <f>(2290700/1.16)-E1158</f>
        <v>1933796.379310345</v>
      </c>
      <c r="F1157" s="222">
        <f>(7358900/1.16)-F1158</f>
        <v>6141309.3103448283</v>
      </c>
      <c r="G1157" s="222">
        <f>(8219100/1.16)-G1158</f>
        <v>6915186.0344827594</v>
      </c>
      <c r="H1157" s="222">
        <f>(6468900/1.16)-H1158</f>
        <v>5419322.931034483</v>
      </c>
      <c r="I1157" s="91">
        <f>SUM(I1152:I1156)</f>
        <v>32965157.413793106</v>
      </c>
      <c r="J1157" s="136">
        <f>FLORESTA!$I1157/7</f>
        <v>4709308.2019704441</v>
      </c>
    </row>
    <row r="1158" spans="1:10" x14ac:dyDescent="0.25">
      <c r="A1158" s="10" t="s">
        <v>31</v>
      </c>
      <c r="B1158" s="94">
        <f t="shared" ref="B1158:J1158" si="515">2155*B1139</f>
        <v>49565</v>
      </c>
      <c r="C1158" s="139">
        <f t="shared" si="515"/>
        <v>96975</v>
      </c>
      <c r="D1158" s="139">
        <f t="shared" si="515"/>
        <v>172400</v>
      </c>
      <c r="E1158" s="94">
        <f t="shared" si="515"/>
        <v>40945</v>
      </c>
      <c r="F1158" s="112">
        <f t="shared" si="515"/>
        <v>202570</v>
      </c>
      <c r="G1158" s="94">
        <f t="shared" si="515"/>
        <v>170245</v>
      </c>
      <c r="H1158" s="94">
        <f t="shared" si="515"/>
        <v>157315</v>
      </c>
      <c r="I1158" s="94">
        <f t="shared" si="515"/>
        <v>890015</v>
      </c>
      <c r="J1158" s="139">
        <f t="shared" si="515"/>
        <v>127145</v>
      </c>
    </row>
    <row r="1159" spans="1:10" x14ac:dyDescent="0.25">
      <c r="A1159" s="37" t="s">
        <v>32</v>
      </c>
      <c r="B1159" s="39">
        <f t="shared" ref="B1159:H1159" si="516">B1157+B1158</f>
        <v>2347500</v>
      </c>
      <c r="C1159" s="40">
        <f t="shared" si="516"/>
        <v>3806120.6896551726</v>
      </c>
      <c r="D1159" s="40">
        <f t="shared" si="516"/>
        <v>6720862.0689655179</v>
      </c>
      <c r="E1159" s="39">
        <f t="shared" si="516"/>
        <v>1974741.379310345</v>
      </c>
      <c r="F1159" s="140">
        <f t="shared" si="516"/>
        <v>6343879.3103448283</v>
      </c>
      <c r="G1159" s="39">
        <f t="shared" si="516"/>
        <v>7085431.0344827594</v>
      </c>
      <c r="H1159" s="39">
        <f t="shared" si="516"/>
        <v>5576637.931034483</v>
      </c>
      <c r="I1159" s="39">
        <f>I1157+I1158</f>
        <v>33855172.413793102</v>
      </c>
      <c r="J1159" s="40">
        <f>J1157+J1158</f>
        <v>4836453.2019704441</v>
      </c>
    </row>
    <row r="1160" spans="1:10" x14ac:dyDescent="0.25">
      <c r="A1160" s="10" t="s">
        <v>33</v>
      </c>
      <c r="B1160" s="41">
        <f t="shared" ref="B1160:H1160" si="517">B1159*16%</f>
        <v>375600</v>
      </c>
      <c r="C1160" s="42">
        <f t="shared" si="517"/>
        <v>608979.31034482759</v>
      </c>
      <c r="D1160" s="42">
        <f t="shared" si="517"/>
        <v>1075337.9310344828</v>
      </c>
      <c r="E1160" s="41">
        <f t="shared" si="517"/>
        <v>315958.62068965519</v>
      </c>
      <c r="F1160" s="141">
        <f t="shared" si="517"/>
        <v>1015020.6896551725</v>
      </c>
      <c r="G1160" s="41">
        <f t="shared" si="517"/>
        <v>1133668.9655172415</v>
      </c>
      <c r="H1160" s="41">
        <f t="shared" si="517"/>
        <v>892262.06896551733</v>
      </c>
      <c r="I1160" s="41">
        <f>I1159*16%</f>
        <v>5416827.5862068962</v>
      </c>
      <c r="J1160" s="42">
        <f>J1159*16%</f>
        <v>773832.51231527107</v>
      </c>
    </row>
    <row r="1161" spans="1:10" x14ac:dyDescent="0.25">
      <c r="A1161" s="43" t="s">
        <v>34</v>
      </c>
      <c r="B1161" s="315">
        <f t="shared" ref="B1161:H1161" si="518">B1159+B1160</f>
        <v>2723100</v>
      </c>
      <c r="C1161" s="315">
        <f t="shared" si="518"/>
        <v>4415100</v>
      </c>
      <c r="D1161" s="315">
        <f t="shared" si="518"/>
        <v>7796200.0000000009</v>
      </c>
      <c r="E1161" s="178">
        <f t="shared" si="518"/>
        <v>2290700</v>
      </c>
      <c r="F1161" s="182">
        <f t="shared" si="518"/>
        <v>7358900.0000000009</v>
      </c>
      <c r="G1161" s="178">
        <f t="shared" si="518"/>
        <v>8219100.0000000009</v>
      </c>
      <c r="H1161" s="178">
        <f t="shared" si="518"/>
        <v>6468900</v>
      </c>
      <c r="I1161" s="178">
        <f>I1159+I1160</f>
        <v>39272000</v>
      </c>
      <c r="J1161" s="315">
        <f>FLORESTA!$I1161/7</f>
        <v>5610285.7142857146</v>
      </c>
    </row>
    <row r="1163" spans="1:10" ht="12.75" customHeight="1" x14ac:dyDescent="0.25">
      <c r="A1163" s="149"/>
      <c r="B1163" s="1006" t="s">
        <v>382</v>
      </c>
      <c r="C1163" s="1006"/>
      <c r="D1163" s="1006"/>
      <c r="E1163" s="1006"/>
      <c r="F1163" s="1006"/>
      <c r="G1163" s="1006"/>
      <c r="H1163" s="1006"/>
      <c r="I1163" s="1006"/>
    </row>
    <row r="1164" spans="1:10" x14ac:dyDescent="0.25">
      <c r="A1164" s="149"/>
      <c r="B1164" s="1006"/>
      <c r="C1164" s="1006"/>
      <c r="D1164" s="1006"/>
      <c r="E1164" s="1006"/>
      <c r="F1164" s="1006"/>
      <c r="G1164" s="1006"/>
      <c r="H1164" s="1006"/>
      <c r="I1164" s="1006"/>
    </row>
    <row r="1165" spans="1:10" ht="15.75" x14ac:dyDescent="0.25">
      <c r="A1165" s="72" t="s">
        <v>2</v>
      </c>
      <c r="B1165" s="232" t="s">
        <v>123</v>
      </c>
      <c r="C1165" s="232" t="s">
        <v>124</v>
      </c>
      <c r="D1165" s="232" t="s">
        <v>125</v>
      </c>
      <c r="E1165" s="232" t="s">
        <v>126</v>
      </c>
      <c r="F1165" s="232" t="s">
        <v>127</v>
      </c>
      <c r="G1165" s="232" t="s">
        <v>128</v>
      </c>
      <c r="H1165" s="232" t="s">
        <v>129</v>
      </c>
      <c r="I1165" s="51" t="s">
        <v>10</v>
      </c>
      <c r="J1165" s="51" t="s">
        <v>77</v>
      </c>
    </row>
    <row r="1166" spans="1:10" x14ac:dyDescent="0.25">
      <c r="A1166" s="74" t="s">
        <v>11</v>
      </c>
      <c r="B1166" s="55">
        <f>53+26+14</f>
        <v>93</v>
      </c>
      <c r="C1166" s="56">
        <f>59+48+11</f>
        <v>118</v>
      </c>
      <c r="D1166" s="54">
        <f>56+30+7</f>
        <v>93</v>
      </c>
      <c r="E1166" s="316">
        <f>60+32+5</f>
        <v>97</v>
      </c>
      <c r="F1166" s="311">
        <f>160+109+32</f>
        <v>301</v>
      </c>
      <c r="G1166" s="58">
        <f>149+133+34</f>
        <v>316</v>
      </c>
      <c r="H1166" s="57">
        <f>145+121+29</f>
        <v>295</v>
      </c>
      <c r="I1166" s="311">
        <f t="shared" ref="I1166:I1171" si="519">SUM(B1166:H1166)</f>
        <v>1313</v>
      </c>
      <c r="J1166" s="317">
        <f>FLORESTA!$I1166/7</f>
        <v>187.57142857142858</v>
      </c>
    </row>
    <row r="1167" spans="1:10" x14ac:dyDescent="0.25">
      <c r="A1167" s="10" t="s">
        <v>12</v>
      </c>
      <c r="B1167" s="11">
        <v>18</v>
      </c>
      <c r="C1167" s="13">
        <v>35</v>
      </c>
      <c r="D1167" s="320">
        <v>28</v>
      </c>
      <c r="E1167" s="11">
        <v>30</v>
      </c>
      <c r="F1167" s="125">
        <v>113</v>
      </c>
      <c r="G1167" s="11">
        <v>121</v>
      </c>
      <c r="H1167" s="11">
        <v>77</v>
      </c>
      <c r="I1167" s="313">
        <f t="shared" si="519"/>
        <v>422</v>
      </c>
      <c r="J1167" s="318">
        <f>FLORESTA!$I1167/7</f>
        <v>60.285714285714285</v>
      </c>
    </row>
    <row r="1168" spans="1:10" x14ac:dyDescent="0.25">
      <c r="A1168" s="10" t="s">
        <v>13</v>
      </c>
      <c r="B1168" s="11">
        <v>1</v>
      </c>
      <c r="C1168" s="13">
        <v>2</v>
      </c>
      <c r="D1168" s="13">
        <v>1</v>
      </c>
      <c r="E1168" s="11">
        <v>0</v>
      </c>
      <c r="F1168" s="125">
        <v>4</v>
      </c>
      <c r="G1168" s="11">
        <v>3</v>
      </c>
      <c r="H1168" s="11">
        <v>7</v>
      </c>
      <c r="I1168" s="313">
        <f t="shared" si="519"/>
        <v>18</v>
      </c>
      <c r="J1168" s="318">
        <f>C1168+D1168+E1168+F1168+G1168+H1168+I1168</f>
        <v>35</v>
      </c>
    </row>
    <row r="1169" spans="1:10" x14ac:dyDescent="0.25">
      <c r="A1169" s="10" t="s">
        <v>14</v>
      </c>
      <c r="B1169" s="11">
        <v>51</v>
      </c>
      <c r="C1169" s="13">
        <v>57</v>
      </c>
      <c r="D1169" s="320">
        <v>47</v>
      </c>
      <c r="E1169" s="11">
        <v>50</v>
      </c>
      <c r="F1169" s="125">
        <v>113</v>
      </c>
      <c r="G1169" s="11">
        <v>110</v>
      </c>
      <c r="H1169" s="11">
        <v>131</v>
      </c>
      <c r="I1169" s="313">
        <f t="shared" si="519"/>
        <v>559</v>
      </c>
      <c r="J1169" s="318">
        <f>FLORESTA!$I1169/7</f>
        <v>79.857142857142861</v>
      </c>
    </row>
    <row r="1170" spans="1:10" x14ac:dyDescent="0.25">
      <c r="A1170" s="10" t="s">
        <v>15</v>
      </c>
      <c r="B1170" s="11">
        <v>6</v>
      </c>
      <c r="C1170" s="13">
        <v>10</v>
      </c>
      <c r="D1170" s="13">
        <v>6</v>
      </c>
      <c r="E1170" s="11">
        <v>8</v>
      </c>
      <c r="F1170" s="125">
        <v>13</v>
      </c>
      <c r="G1170" s="11">
        <v>22</v>
      </c>
      <c r="H1170" s="11">
        <v>24</v>
      </c>
      <c r="I1170" s="313">
        <f t="shared" si="519"/>
        <v>89</v>
      </c>
      <c r="J1170" s="318">
        <f>FLORESTA!$I1170/7</f>
        <v>12.714285714285714</v>
      </c>
    </row>
    <row r="1171" spans="1:10" x14ac:dyDescent="0.25">
      <c r="A1171" s="10" t="s">
        <v>16</v>
      </c>
      <c r="B1171" s="11">
        <v>0</v>
      </c>
      <c r="C1171" s="13">
        <v>0</v>
      </c>
      <c r="D1171" s="13">
        <v>0</v>
      </c>
      <c r="E1171" s="11">
        <v>0</v>
      </c>
      <c r="F1171" s="125">
        <v>0</v>
      </c>
      <c r="G1171" s="11">
        <v>0</v>
      </c>
      <c r="H1171" s="11">
        <v>0</v>
      </c>
      <c r="I1171" s="313">
        <f t="shared" si="519"/>
        <v>0</v>
      </c>
      <c r="J1171" s="318">
        <f>FLORESTA!$I1171/7</f>
        <v>0</v>
      </c>
    </row>
    <row r="1172" spans="1:10" x14ac:dyDescent="0.25">
      <c r="A1172" s="15" t="s">
        <v>17</v>
      </c>
      <c r="B1172" s="79">
        <f t="shared" ref="B1172:I1172" si="520">SUM(B1167:B1171)</f>
        <v>76</v>
      </c>
      <c r="C1172" s="79">
        <f t="shared" si="520"/>
        <v>104</v>
      </c>
      <c r="D1172" s="79">
        <f t="shared" si="520"/>
        <v>82</v>
      </c>
      <c r="E1172" s="103">
        <f t="shared" si="520"/>
        <v>88</v>
      </c>
      <c r="F1172" s="213">
        <f t="shared" si="520"/>
        <v>243</v>
      </c>
      <c r="G1172" s="103">
        <f t="shared" si="520"/>
        <v>256</v>
      </c>
      <c r="H1172" s="103">
        <f t="shared" si="520"/>
        <v>239</v>
      </c>
      <c r="I1172" s="103">
        <f t="shared" si="520"/>
        <v>1088</v>
      </c>
      <c r="J1172" s="319">
        <f>FLORESTA!$I1172/7</f>
        <v>155.42857142857142</v>
      </c>
    </row>
    <row r="1173" spans="1:10" x14ac:dyDescent="0.25">
      <c r="A1173" s="10" t="s">
        <v>18</v>
      </c>
      <c r="B1173" s="325">
        <v>0.32</v>
      </c>
      <c r="C1173" s="326">
        <v>0.38</v>
      </c>
      <c r="D1173" s="326">
        <v>0.4</v>
      </c>
      <c r="E1173" s="327">
        <v>0.41</v>
      </c>
      <c r="F1173" s="328">
        <v>0.55000000000000004</v>
      </c>
      <c r="G1173" s="327">
        <v>0.52</v>
      </c>
      <c r="H1173" s="327">
        <v>0.33</v>
      </c>
      <c r="I1173" s="18">
        <f>I1180/I1185</f>
        <v>0.44194310417661647</v>
      </c>
      <c r="J1173" s="19">
        <f>J1180/J1185</f>
        <v>0.44194310417661653</v>
      </c>
    </row>
    <row r="1174" spans="1:10" x14ac:dyDescent="0.25">
      <c r="A1174" s="10" t="s">
        <v>19</v>
      </c>
      <c r="B1174" s="325">
        <v>0.01</v>
      </c>
      <c r="C1174" s="326">
        <v>0.03</v>
      </c>
      <c r="D1174" s="326">
        <v>0.01</v>
      </c>
      <c r="E1174" s="327">
        <v>0</v>
      </c>
      <c r="F1174" s="327">
        <v>0.02</v>
      </c>
      <c r="G1174" s="327">
        <v>0.01</v>
      </c>
      <c r="H1174" s="327">
        <v>0.05</v>
      </c>
      <c r="I1174" s="18">
        <f>I1181/I1185</f>
        <v>2.2395958311692887E-2</v>
      </c>
      <c r="J1174" s="19">
        <f>J1181/J1185</f>
        <v>2.2395958311692887E-2</v>
      </c>
    </row>
    <row r="1175" spans="1:10" x14ac:dyDescent="0.25">
      <c r="A1175" s="10" t="s">
        <v>20</v>
      </c>
      <c r="B1175" s="325">
        <v>0.59</v>
      </c>
      <c r="C1175" s="326">
        <v>0.51</v>
      </c>
      <c r="D1175" s="326">
        <v>0.53</v>
      </c>
      <c r="E1175" s="327">
        <v>0.53</v>
      </c>
      <c r="F1175" s="329">
        <v>0.38</v>
      </c>
      <c r="G1175" s="327">
        <v>0.38</v>
      </c>
      <c r="H1175" s="327">
        <v>0.52</v>
      </c>
      <c r="I1175" s="18">
        <f>I1182/I1185</f>
        <v>0.45836984296857858</v>
      </c>
      <c r="J1175" s="19">
        <f>J1182/J1185</f>
        <v>0.45836984296857863</v>
      </c>
    </row>
    <row r="1176" spans="1:10" x14ac:dyDescent="0.25">
      <c r="A1176" s="10" t="s">
        <v>21</v>
      </c>
      <c r="B1176" s="325">
        <v>0.08</v>
      </c>
      <c r="C1176" s="326">
        <v>0.08</v>
      </c>
      <c r="D1176" s="326">
        <v>0.06</v>
      </c>
      <c r="E1176" s="327">
        <v>0.06</v>
      </c>
      <c r="F1176" s="329">
        <v>0.05</v>
      </c>
      <c r="G1176" s="327">
        <v>0.09</v>
      </c>
      <c r="H1176" s="327">
        <v>0.1</v>
      </c>
      <c r="I1176" s="18">
        <f>I1183/I1185</f>
        <v>7.7291094543112018E-2</v>
      </c>
      <c r="J1176" s="19">
        <f>J1183/J1185</f>
        <v>7.7291094543112018E-2</v>
      </c>
    </row>
    <row r="1177" spans="1:10" x14ac:dyDescent="0.25">
      <c r="A1177" s="10" t="s">
        <v>22</v>
      </c>
      <c r="B1177" s="325">
        <v>0</v>
      </c>
      <c r="C1177" s="326">
        <v>0</v>
      </c>
      <c r="D1177" s="326">
        <v>0</v>
      </c>
      <c r="E1177" s="327">
        <v>0</v>
      </c>
      <c r="F1177" s="329">
        <v>0</v>
      </c>
      <c r="G1177" s="327">
        <v>0</v>
      </c>
      <c r="H1177" s="327">
        <v>0</v>
      </c>
      <c r="I1177" s="18">
        <f>I1184/I1185</f>
        <v>0</v>
      </c>
      <c r="J1177" s="19">
        <f>J1184/J1185</f>
        <v>0</v>
      </c>
    </row>
    <row r="1178" spans="1:10" x14ac:dyDescent="0.25">
      <c r="A1178" s="24" t="s">
        <v>23</v>
      </c>
      <c r="B1178" s="130">
        <f t="shared" ref="B1178:J1178" si="521">B1189/B1172</f>
        <v>32425.000000000007</v>
      </c>
      <c r="C1178" s="131">
        <f t="shared" si="521"/>
        <v>31237.5</v>
      </c>
      <c r="D1178" s="131">
        <f t="shared" si="521"/>
        <v>32329.268292682926</v>
      </c>
      <c r="E1178" s="130">
        <f t="shared" si="521"/>
        <v>32652.272727272728</v>
      </c>
      <c r="F1178" s="132">
        <f t="shared" si="521"/>
        <v>36316.049382716046</v>
      </c>
      <c r="G1178" s="130">
        <f t="shared" si="521"/>
        <v>37233.984375</v>
      </c>
      <c r="H1178" s="130">
        <f t="shared" si="521"/>
        <v>36500.418410041842</v>
      </c>
      <c r="I1178" s="314">
        <f t="shared" si="521"/>
        <v>35218.474264705888</v>
      </c>
      <c r="J1178" s="132">
        <f t="shared" si="521"/>
        <v>35218.474264705888</v>
      </c>
    </row>
    <row r="1179" spans="1:10" x14ac:dyDescent="0.25">
      <c r="A1179" s="24" t="s">
        <v>24</v>
      </c>
      <c r="B1179" s="130">
        <f t="shared" ref="B1179:J1179" si="522">B1189/B1166</f>
        <v>26497.849462365597</v>
      </c>
      <c r="C1179" s="131">
        <f t="shared" si="522"/>
        <v>27531.355932203391</v>
      </c>
      <c r="D1179" s="131">
        <f t="shared" si="522"/>
        <v>28505.37634408602</v>
      </c>
      <c r="E1179" s="130">
        <f t="shared" si="522"/>
        <v>29622.680412371134</v>
      </c>
      <c r="F1179" s="132">
        <f t="shared" si="522"/>
        <v>29318.272425249168</v>
      </c>
      <c r="G1179" s="130">
        <f t="shared" si="522"/>
        <v>30164.240506329115</v>
      </c>
      <c r="H1179" s="130">
        <f t="shared" si="522"/>
        <v>29571.525423728814</v>
      </c>
      <c r="I1179" s="314">
        <f t="shared" si="522"/>
        <v>29183.32063975629</v>
      </c>
      <c r="J1179" s="132">
        <f t="shared" si="522"/>
        <v>29183.320639756286</v>
      </c>
    </row>
    <row r="1180" spans="1:10" x14ac:dyDescent="0.25">
      <c r="A1180" s="10" t="s">
        <v>25</v>
      </c>
      <c r="B1180" s="92">
        <f t="shared" ref="B1180:H1180" si="523">B1185*B1173</f>
        <v>667394.09655172424</v>
      </c>
      <c r="C1180" s="133">
        <f t="shared" si="523"/>
        <v>1035567.8103448277</v>
      </c>
      <c r="D1180" s="133">
        <f t="shared" si="523"/>
        <v>890001.9310344829</v>
      </c>
      <c r="E1180" s="92">
        <f t="shared" si="523"/>
        <v>989091.77586206899</v>
      </c>
      <c r="F1180" s="134">
        <f t="shared" si="523"/>
        <v>4050239.1637931038</v>
      </c>
      <c r="G1180" s="92">
        <f t="shared" si="523"/>
        <v>4137328.0896551725</v>
      </c>
      <c r="H1180" s="92">
        <f t="shared" si="523"/>
        <v>2426955.2431034488</v>
      </c>
      <c r="I1180" s="92">
        <f>FLORESTA!$B1180+FLORESTA!$C1180+FLORESTA!$D1180+FLORESTA!$E1180+FLORESTA!$F1180+FLORESTA!$G1180+FLORESTA!$H1180</f>
        <v>14196578.110344829</v>
      </c>
      <c r="J1180" s="133">
        <f>FLORESTA!$I1180/7</f>
        <v>2028082.5871921184</v>
      </c>
    </row>
    <row r="1181" spans="1:10" x14ac:dyDescent="0.25">
      <c r="A1181" s="10" t="s">
        <v>26</v>
      </c>
      <c r="B1181" s="92">
        <f t="shared" ref="B1181:H1181" si="524">B1185*B1174</f>
        <v>20856.065517241383</v>
      </c>
      <c r="C1181" s="133">
        <f t="shared" si="524"/>
        <v>81755.35344827587</v>
      </c>
      <c r="D1181" s="133">
        <f t="shared" si="524"/>
        <v>22250.048275862071</v>
      </c>
      <c r="E1181" s="92">
        <f t="shared" si="524"/>
        <v>0</v>
      </c>
      <c r="F1181" s="134">
        <f t="shared" si="524"/>
        <v>147281.42413793106</v>
      </c>
      <c r="G1181" s="92">
        <f t="shared" si="524"/>
        <v>79564.001724137939</v>
      </c>
      <c r="H1181" s="92">
        <f t="shared" si="524"/>
        <v>367720.49137931038</v>
      </c>
      <c r="I1181" s="92">
        <f>FLORESTA!$B1181+FLORESTA!$C1181+FLORESTA!$D1181+FLORESTA!$E1181+FLORESTA!$F1181+FLORESTA!$G1181+FLORESTA!$H1181</f>
        <v>719427.3844827587</v>
      </c>
      <c r="J1181" s="133">
        <f>FLORESTA!$I1181/7</f>
        <v>102775.3406403941</v>
      </c>
    </row>
    <row r="1182" spans="1:10" x14ac:dyDescent="0.25">
      <c r="A1182" s="10" t="s">
        <v>27</v>
      </c>
      <c r="B1182" s="92">
        <f t="shared" ref="B1182:H1182" si="525">B1185*B1175</f>
        <v>1230507.8655172414</v>
      </c>
      <c r="C1182" s="133">
        <f t="shared" si="525"/>
        <v>1389841.0086206899</v>
      </c>
      <c r="D1182" s="133">
        <f t="shared" si="525"/>
        <v>1179252.5586206899</v>
      </c>
      <c r="E1182" s="92">
        <f t="shared" si="525"/>
        <v>1278582.051724138</v>
      </c>
      <c r="F1182" s="134">
        <f t="shared" si="525"/>
        <v>2798347.0586206899</v>
      </c>
      <c r="G1182" s="92">
        <f t="shared" si="525"/>
        <v>3023432.0655172416</v>
      </c>
      <c r="H1182" s="92">
        <f t="shared" si="525"/>
        <v>3824293.1103448281</v>
      </c>
      <c r="I1182" s="92">
        <f>FLORESTA!$B1182+FLORESTA!$C1182+FLORESTA!$D1182+FLORESTA!$E1182+FLORESTA!$F1182+FLORESTA!$G1182+FLORESTA!$H1182</f>
        <v>14724255.718965519</v>
      </c>
      <c r="J1182" s="133">
        <f>FLORESTA!$I1182/7</f>
        <v>2103465.10270936</v>
      </c>
    </row>
    <row r="1183" spans="1:10" x14ac:dyDescent="0.25">
      <c r="A1183" s="10" t="s">
        <v>28</v>
      </c>
      <c r="B1183" s="92">
        <f t="shared" ref="B1183:H1183" si="526">B1185*B1176</f>
        <v>166848.52413793106</v>
      </c>
      <c r="C1183" s="133">
        <f t="shared" si="526"/>
        <v>218014.27586206899</v>
      </c>
      <c r="D1183" s="133">
        <f t="shared" si="526"/>
        <v>133500.28965517241</v>
      </c>
      <c r="E1183" s="92">
        <f t="shared" si="526"/>
        <v>144745.13793103449</v>
      </c>
      <c r="F1183" s="134">
        <f t="shared" si="526"/>
        <v>368203.56034482759</v>
      </c>
      <c r="G1183" s="92">
        <f t="shared" si="526"/>
        <v>716076.01551724132</v>
      </c>
      <c r="H1183" s="92">
        <f t="shared" si="526"/>
        <v>735440.98275862075</v>
      </c>
      <c r="I1183" s="92">
        <f>FLORESTA!$B1183+FLORESTA!$C1183+FLORESTA!$D1183+FLORESTA!$E1183+FLORESTA!$F1183+FLORESTA!$G1183+FLORESTA!$H1183</f>
        <v>2482828.7862068964</v>
      </c>
      <c r="J1183" s="133">
        <f>FLORESTA!$I1183/7</f>
        <v>354689.82660098519</v>
      </c>
    </row>
    <row r="1184" spans="1:10" x14ac:dyDescent="0.25">
      <c r="A1184" s="10" t="s">
        <v>29</v>
      </c>
      <c r="B1184" s="92">
        <f t="shared" ref="B1184:H1184" si="527">B1185*B1177</f>
        <v>0</v>
      </c>
      <c r="C1184" s="133">
        <f t="shared" si="527"/>
        <v>0</v>
      </c>
      <c r="D1184" s="133">
        <f t="shared" si="527"/>
        <v>0</v>
      </c>
      <c r="E1184" s="92">
        <f t="shared" si="527"/>
        <v>0</v>
      </c>
      <c r="F1184" s="134">
        <f t="shared" si="527"/>
        <v>0</v>
      </c>
      <c r="G1184" s="92">
        <f t="shared" si="527"/>
        <v>0</v>
      </c>
      <c r="H1184" s="92">
        <f t="shared" si="527"/>
        <v>0</v>
      </c>
      <c r="I1184" s="92">
        <f>FLORESTA!$B1184+FLORESTA!$C1184+FLORESTA!$D1184+FLORESTA!$E1184+FLORESTA!$F1184+FLORESTA!$G1184+FLORESTA!$H1184</f>
        <v>0</v>
      </c>
      <c r="J1184" s="133">
        <f>FLORESTA!$I1184/7</f>
        <v>0</v>
      </c>
    </row>
    <row r="1185" spans="1:10" x14ac:dyDescent="0.25">
      <c r="A1185" s="33" t="s">
        <v>30</v>
      </c>
      <c r="B1185" s="222">
        <f>(2464300/1.16)-B1186</f>
        <v>2085606.5517241382</v>
      </c>
      <c r="C1185" s="222">
        <f>(3248700/1.16)-C1186</f>
        <v>2725178.4482758623</v>
      </c>
      <c r="D1185" s="222">
        <f>(2651000/1.16)-D1186</f>
        <v>2225004.8275862071</v>
      </c>
      <c r="E1185" s="222">
        <f>(2873400/1.16)-E1186</f>
        <v>2412418.9655172415</v>
      </c>
      <c r="F1185" s="222">
        <f>(8824800/1.16)-F1186</f>
        <v>7364071.2068965519</v>
      </c>
      <c r="G1185" s="222">
        <f>(9531900/1.16)-G1186</f>
        <v>7956400.1724137934</v>
      </c>
      <c r="H1185" s="222">
        <f>(8723600/1.16)-H1186</f>
        <v>7354409.8275862075</v>
      </c>
      <c r="I1185" s="91">
        <f>SUM(I1180:I1184)</f>
        <v>32123090.000000004</v>
      </c>
      <c r="J1185" s="136">
        <f>FLORESTA!$I1185/7</f>
        <v>4589012.8571428573</v>
      </c>
    </row>
    <row r="1186" spans="1:10" x14ac:dyDescent="0.25">
      <c r="A1186" s="10" t="s">
        <v>31</v>
      </c>
      <c r="B1186" s="94">
        <f t="shared" ref="B1186:J1186" si="528">2155*B1167</f>
        <v>38790</v>
      </c>
      <c r="C1186" s="139">
        <f t="shared" si="528"/>
        <v>75425</v>
      </c>
      <c r="D1186" s="139">
        <f t="shared" si="528"/>
        <v>60340</v>
      </c>
      <c r="E1186" s="94">
        <f t="shared" si="528"/>
        <v>64650</v>
      </c>
      <c r="F1186" s="112">
        <f t="shared" si="528"/>
        <v>243515</v>
      </c>
      <c r="G1186" s="94">
        <f t="shared" si="528"/>
        <v>260755</v>
      </c>
      <c r="H1186" s="94">
        <f t="shared" si="528"/>
        <v>165935</v>
      </c>
      <c r="I1186" s="94">
        <f t="shared" si="528"/>
        <v>909410</v>
      </c>
      <c r="J1186" s="139">
        <f t="shared" si="528"/>
        <v>129915.71428571429</v>
      </c>
    </row>
    <row r="1187" spans="1:10" x14ac:dyDescent="0.25">
      <c r="A1187" s="37" t="s">
        <v>32</v>
      </c>
      <c r="B1187" s="39">
        <f t="shared" ref="B1187:H1187" si="529">B1185+B1186</f>
        <v>2124396.5517241382</v>
      </c>
      <c r="C1187" s="40">
        <f t="shared" si="529"/>
        <v>2800603.4482758623</v>
      </c>
      <c r="D1187" s="40">
        <f t="shared" si="529"/>
        <v>2285344.8275862071</v>
      </c>
      <c r="E1187" s="39">
        <f t="shared" si="529"/>
        <v>2477068.9655172415</v>
      </c>
      <c r="F1187" s="140">
        <f t="shared" si="529"/>
        <v>7607586.2068965519</v>
      </c>
      <c r="G1187" s="39">
        <f t="shared" si="529"/>
        <v>8217155.1724137934</v>
      </c>
      <c r="H1187" s="39">
        <f t="shared" si="529"/>
        <v>7520344.8275862075</v>
      </c>
      <c r="I1187" s="39">
        <f>I1185+I1186</f>
        <v>33032500.000000004</v>
      </c>
      <c r="J1187" s="40">
        <f>J1185+J1186</f>
        <v>4718928.5714285718</v>
      </c>
    </row>
    <row r="1188" spans="1:10" x14ac:dyDescent="0.25">
      <c r="A1188" s="10" t="s">
        <v>33</v>
      </c>
      <c r="B1188" s="41">
        <f t="shared" ref="B1188:H1188" si="530">B1187*16%</f>
        <v>339903.44827586215</v>
      </c>
      <c r="C1188" s="42">
        <f t="shared" si="530"/>
        <v>448096.55172413797</v>
      </c>
      <c r="D1188" s="42">
        <f t="shared" si="530"/>
        <v>365655.17241379316</v>
      </c>
      <c r="E1188" s="41">
        <f t="shared" si="530"/>
        <v>396331.03448275867</v>
      </c>
      <c r="F1188" s="141">
        <f t="shared" si="530"/>
        <v>1217213.7931034483</v>
      </c>
      <c r="G1188" s="41">
        <f t="shared" si="530"/>
        <v>1314744.8275862071</v>
      </c>
      <c r="H1188" s="41">
        <f t="shared" si="530"/>
        <v>1203255.1724137932</v>
      </c>
      <c r="I1188" s="41">
        <f>I1187*16%</f>
        <v>5285200.0000000009</v>
      </c>
      <c r="J1188" s="42">
        <f>J1187*16%</f>
        <v>755028.57142857148</v>
      </c>
    </row>
    <row r="1189" spans="1:10" x14ac:dyDescent="0.25">
      <c r="A1189" s="43" t="s">
        <v>34</v>
      </c>
      <c r="B1189" s="315">
        <f t="shared" ref="B1189:H1189" si="531">B1187+B1188</f>
        <v>2464300.0000000005</v>
      </c>
      <c r="C1189" s="315">
        <f t="shared" si="531"/>
        <v>3248700</v>
      </c>
      <c r="D1189" s="315">
        <f t="shared" si="531"/>
        <v>2651000</v>
      </c>
      <c r="E1189" s="178">
        <f t="shared" si="531"/>
        <v>2873400</v>
      </c>
      <c r="F1189" s="182">
        <f t="shared" si="531"/>
        <v>8824800</v>
      </c>
      <c r="G1189" s="178">
        <f t="shared" si="531"/>
        <v>9531900</v>
      </c>
      <c r="H1189" s="178">
        <f t="shared" si="531"/>
        <v>8723600</v>
      </c>
      <c r="I1189" s="178">
        <f>I1187+I1188</f>
        <v>38317700.000000007</v>
      </c>
      <c r="J1189" s="315">
        <f>FLORESTA!$I1189/7</f>
        <v>5473957.1428571437</v>
      </c>
    </row>
    <row r="1191" spans="1:10" ht="12.75" customHeight="1" x14ac:dyDescent="0.25">
      <c r="A1191" s="149"/>
      <c r="B1191" s="1006" t="s">
        <v>383</v>
      </c>
      <c r="C1191" s="1006"/>
      <c r="D1191" s="1006"/>
      <c r="E1191" s="1006"/>
      <c r="F1191" s="1006"/>
      <c r="G1191" s="1006"/>
      <c r="H1191" s="1006"/>
      <c r="I1191" s="1006"/>
    </row>
    <row r="1192" spans="1:10" x14ac:dyDescent="0.25">
      <c r="A1192" s="149"/>
      <c r="B1192" s="1006"/>
      <c r="C1192" s="1006"/>
      <c r="D1192" s="1006"/>
      <c r="E1192" s="1006"/>
      <c r="F1192" s="1006"/>
      <c r="G1192" s="1006"/>
      <c r="H1192" s="1006"/>
      <c r="I1192" s="1006"/>
    </row>
    <row r="1193" spans="1:10" ht="15.75" x14ac:dyDescent="0.25">
      <c r="A1193" s="72" t="s">
        <v>2</v>
      </c>
      <c r="B1193" s="232" t="s">
        <v>310</v>
      </c>
      <c r="C1193" s="232" t="s">
        <v>311</v>
      </c>
      <c r="D1193" s="232" t="s">
        <v>312</v>
      </c>
      <c r="E1193" s="232" t="s">
        <v>313</v>
      </c>
      <c r="F1193" s="232" t="s">
        <v>314</v>
      </c>
      <c r="G1193" s="232" t="s">
        <v>315</v>
      </c>
      <c r="H1193" s="232" t="s">
        <v>316</v>
      </c>
      <c r="I1193" s="51" t="s">
        <v>10</v>
      </c>
      <c r="J1193" s="51" t="s">
        <v>77</v>
      </c>
    </row>
    <row r="1194" spans="1:10" x14ac:dyDescent="0.25">
      <c r="A1194" s="74" t="s">
        <v>11</v>
      </c>
      <c r="B1194" s="55">
        <f>39+22+10</f>
        <v>71</v>
      </c>
      <c r="C1194" s="56">
        <f>76+42+7</f>
        <v>125</v>
      </c>
      <c r="D1194" s="54">
        <f>66+34+11</f>
        <v>111</v>
      </c>
      <c r="E1194" s="316">
        <f>59+48+17</f>
        <v>124</v>
      </c>
      <c r="F1194" s="311">
        <f>137+97+29</f>
        <v>263</v>
      </c>
      <c r="G1194" s="58">
        <f>164+112+30</f>
        <v>306</v>
      </c>
      <c r="H1194" s="57">
        <f>121+94+36</f>
        <v>251</v>
      </c>
      <c r="I1194" s="311">
        <f t="shared" ref="I1194:I1199" si="532">SUM(B1194:H1194)</f>
        <v>1251</v>
      </c>
      <c r="J1194" s="317">
        <f>FLORESTA!$I1194/7</f>
        <v>178.71428571428572</v>
      </c>
    </row>
    <row r="1195" spans="1:10" x14ac:dyDescent="0.25">
      <c r="A1195" s="10" t="s">
        <v>12</v>
      </c>
      <c r="B1195" s="11">
        <v>17</v>
      </c>
      <c r="C1195" s="13">
        <v>59</v>
      </c>
      <c r="D1195" s="320">
        <v>37</v>
      </c>
      <c r="E1195" s="11">
        <v>34</v>
      </c>
      <c r="F1195" s="125">
        <v>116</v>
      </c>
      <c r="G1195" s="11">
        <v>109</v>
      </c>
      <c r="H1195" s="11">
        <v>61</v>
      </c>
      <c r="I1195" s="313">
        <f t="shared" si="532"/>
        <v>433</v>
      </c>
      <c r="J1195" s="318">
        <f>FLORESTA!$I1195/7</f>
        <v>61.857142857142854</v>
      </c>
    </row>
    <row r="1196" spans="1:10" x14ac:dyDescent="0.25">
      <c r="A1196" s="10" t="s">
        <v>13</v>
      </c>
      <c r="B1196" s="11">
        <v>0</v>
      </c>
      <c r="C1196" s="13">
        <v>0</v>
      </c>
      <c r="D1196" s="13">
        <v>1</v>
      </c>
      <c r="E1196" s="11">
        <v>2</v>
      </c>
      <c r="F1196" s="125">
        <v>2</v>
      </c>
      <c r="G1196" s="11">
        <v>1</v>
      </c>
      <c r="H1196" s="11">
        <v>2</v>
      </c>
      <c r="I1196" s="313">
        <f t="shared" si="532"/>
        <v>8</v>
      </c>
      <c r="J1196" s="318">
        <f>C1196+D1196+E1196+F1196+G1196+H1196+I1196</f>
        <v>16</v>
      </c>
    </row>
    <row r="1197" spans="1:10" x14ac:dyDescent="0.25">
      <c r="A1197" s="10" t="s">
        <v>14</v>
      </c>
      <c r="B1197" s="11">
        <v>42</v>
      </c>
      <c r="C1197" s="13">
        <v>42</v>
      </c>
      <c r="D1197" s="320">
        <v>56</v>
      </c>
      <c r="E1197" s="11">
        <v>60</v>
      </c>
      <c r="F1197" s="125">
        <v>81</v>
      </c>
      <c r="G1197" s="11">
        <v>130</v>
      </c>
      <c r="H1197" s="11">
        <v>118</v>
      </c>
      <c r="I1197" s="313">
        <f t="shared" si="532"/>
        <v>529</v>
      </c>
      <c r="J1197" s="318">
        <f>FLORESTA!$I1197/7</f>
        <v>75.571428571428569</v>
      </c>
    </row>
    <row r="1198" spans="1:10" x14ac:dyDescent="0.25">
      <c r="A1198" s="10" t="s">
        <v>15</v>
      </c>
      <c r="B1198" s="11">
        <v>7</v>
      </c>
      <c r="C1198" s="13">
        <v>4</v>
      </c>
      <c r="D1198" s="13">
        <v>6</v>
      </c>
      <c r="E1198" s="11">
        <v>5</v>
      </c>
      <c r="F1198" s="125">
        <v>9</v>
      </c>
      <c r="G1198" s="11">
        <v>17</v>
      </c>
      <c r="H1198" s="11">
        <v>22</v>
      </c>
      <c r="I1198" s="313">
        <f t="shared" si="532"/>
        <v>70</v>
      </c>
      <c r="J1198" s="318">
        <f>FLORESTA!$I1198/7</f>
        <v>10</v>
      </c>
    </row>
    <row r="1199" spans="1:10" x14ac:dyDescent="0.25">
      <c r="A1199" s="10" t="s">
        <v>16</v>
      </c>
      <c r="B1199" s="11">
        <v>1</v>
      </c>
      <c r="C1199" s="13">
        <v>0</v>
      </c>
      <c r="D1199" s="13">
        <v>0</v>
      </c>
      <c r="E1199" s="11">
        <v>0</v>
      </c>
      <c r="F1199" s="125">
        <v>0</v>
      </c>
      <c r="G1199" s="11">
        <v>0</v>
      </c>
      <c r="H1199" s="11">
        <v>0</v>
      </c>
      <c r="I1199" s="313">
        <f t="shared" si="532"/>
        <v>1</v>
      </c>
      <c r="J1199" s="318">
        <f>FLORESTA!$I1199/7</f>
        <v>0.14285714285714285</v>
      </c>
    </row>
    <row r="1200" spans="1:10" x14ac:dyDescent="0.25">
      <c r="A1200" s="15" t="s">
        <v>17</v>
      </c>
      <c r="B1200" s="79">
        <f t="shared" ref="B1200:I1200" si="533">SUM(B1195:B1199)</f>
        <v>67</v>
      </c>
      <c r="C1200" s="79">
        <f t="shared" si="533"/>
        <v>105</v>
      </c>
      <c r="D1200" s="79">
        <f t="shared" si="533"/>
        <v>100</v>
      </c>
      <c r="E1200" s="103">
        <f t="shared" si="533"/>
        <v>101</v>
      </c>
      <c r="F1200" s="213">
        <f t="shared" si="533"/>
        <v>208</v>
      </c>
      <c r="G1200" s="103">
        <f t="shared" si="533"/>
        <v>257</v>
      </c>
      <c r="H1200" s="103">
        <f t="shared" si="533"/>
        <v>203</v>
      </c>
      <c r="I1200" s="103">
        <f t="shared" si="533"/>
        <v>1041</v>
      </c>
      <c r="J1200" s="319">
        <f>FLORESTA!$I1200/7</f>
        <v>148.71428571428572</v>
      </c>
    </row>
    <row r="1201" spans="1:10" x14ac:dyDescent="0.25">
      <c r="A1201" s="10" t="s">
        <v>18</v>
      </c>
      <c r="B1201" s="325">
        <v>0.3</v>
      </c>
      <c r="C1201" s="326">
        <v>0.63</v>
      </c>
      <c r="D1201" s="326">
        <v>0.43</v>
      </c>
      <c r="E1201" s="327">
        <v>0.38</v>
      </c>
      <c r="F1201" s="328">
        <v>0.63</v>
      </c>
      <c r="G1201" s="327">
        <v>0.5</v>
      </c>
      <c r="H1201" s="327">
        <v>0.33</v>
      </c>
      <c r="I1201" s="18">
        <f>I1208/I1213</f>
        <v>0.47914358273294005</v>
      </c>
      <c r="J1201" s="19">
        <f>J1208/J1213</f>
        <v>0.47914358273294017</v>
      </c>
    </row>
    <row r="1202" spans="1:10" x14ac:dyDescent="0.25">
      <c r="A1202" s="10" t="s">
        <v>19</v>
      </c>
      <c r="B1202" s="325">
        <v>0</v>
      </c>
      <c r="C1202" s="326">
        <v>0</v>
      </c>
      <c r="D1202" s="326">
        <v>0.02</v>
      </c>
      <c r="E1202" s="327">
        <v>0.02</v>
      </c>
      <c r="F1202" s="327">
        <v>0.01</v>
      </c>
      <c r="G1202" s="327">
        <v>0</v>
      </c>
      <c r="H1202" s="327">
        <v>0.02</v>
      </c>
      <c r="I1202" s="18">
        <f>I1209/I1213</f>
        <v>9.7417527297482421E-3</v>
      </c>
      <c r="J1202" s="19">
        <f>J1209/J1213</f>
        <v>9.7417527297482421E-3</v>
      </c>
    </row>
    <row r="1203" spans="1:10" x14ac:dyDescent="0.25">
      <c r="A1203" s="10" t="s">
        <v>20</v>
      </c>
      <c r="B1203" s="325">
        <v>0.6</v>
      </c>
      <c r="C1203" s="326">
        <v>0.34</v>
      </c>
      <c r="D1203" s="326">
        <v>0.48</v>
      </c>
      <c r="E1203" s="327">
        <v>0.56000000000000005</v>
      </c>
      <c r="F1203" s="329">
        <v>0.32</v>
      </c>
      <c r="G1203" s="327">
        <v>0.43</v>
      </c>
      <c r="H1203" s="327">
        <v>0.55000000000000004</v>
      </c>
      <c r="I1203" s="18">
        <f>I1210/I1213</f>
        <v>0.44704060940893747</v>
      </c>
      <c r="J1203" s="19">
        <f>J1210/J1213</f>
        <v>0.44704060940893747</v>
      </c>
    </row>
    <row r="1204" spans="1:10" x14ac:dyDescent="0.25">
      <c r="A1204" s="10" t="s">
        <v>21</v>
      </c>
      <c r="B1204" s="325">
        <v>0.08</v>
      </c>
      <c r="C1204" s="326">
        <v>0.03</v>
      </c>
      <c r="D1204" s="326">
        <v>7.0000000000000007E-2</v>
      </c>
      <c r="E1204" s="327">
        <v>0.04</v>
      </c>
      <c r="F1204" s="329">
        <v>0.04</v>
      </c>
      <c r="G1204" s="327">
        <v>7.0000000000000007E-2</v>
      </c>
      <c r="H1204" s="327">
        <v>0.1</v>
      </c>
      <c r="I1204" s="18">
        <f>I1211/I1213</f>
        <v>6.298430408713078E-2</v>
      </c>
      <c r="J1204" s="19">
        <f>J1211/J1213</f>
        <v>6.298430408713078E-2</v>
      </c>
    </row>
    <row r="1205" spans="1:10" x14ac:dyDescent="0.25">
      <c r="A1205" s="10" t="s">
        <v>22</v>
      </c>
      <c r="B1205" s="325">
        <v>0.02</v>
      </c>
      <c r="C1205" s="326">
        <v>0</v>
      </c>
      <c r="D1205" s="326">
        <v>0</v>
      </c>
      <c r="E1205" s="327">
        <v>0</v>
      </c>
      <c r="F1205" s="329">
        <v>0</v>
      </c>
      <c r="G1205" s="327">
        <v>0</v>
      </c>
      <c r="H1205" s="327">
        <v>0</v>
      </c>
      <c r="I1205" s="18">
        <f>I1212/I1213</f>
        <v>1.089751041243394E-3</v>
      </c>
      <c r="J1205" s="19">
        <f>J1212/J1213</f>
        <v>1.089751041243394E-3</v>
      </c>
    </row>
    <row r="1206" spans="1:10" x14ac:dyDescent="0.25">
      <c r="A1206" s="24" t="s">
        <v>23</v>
      </c>
      <c r="B1206" s="130">
        <f t="shared" ref="B1206:J1206" si="534">B1217/B1200</f>
        <v>28538.805970149257</v>
      </c>
      <c r="C1206" s="131">
        <f t="shared" si="534"/>
        <v>34766.666666666672</v>
      </c>
      <c r="D1206" s="131">
        <f t="shared" si="534"/>
        <v>29653</v>
      </c>
      <c r="E1206" s="130">
        <f t="shared" si="534"/>
        <v>34181.188118811886</v>
      </c>
      <c r="F1206" s="132">
        <f t="shared" si="534"/>
        <v>36914.903846153844</v>
      </c>
      <c r="G1206" s="130">
        <f t="shared" si="534"/>
        <v>34260.700389105063</v>
      </c>
      <c r="H1206" s="130">
        <f t="shared" si="534"/>
        <v>34144.827586206899</v>
      </c>
      <c r="I1206" s="314">
        <f t="shared" si="534"/>
        <v>34000.864553314132</v>
      </c>
      <c r="J1206" s="132">
        <f t="shared" si="534"/>
        <v>34000.864553314124</v>
      </c>
    </row>
    <row r="1207" spans="1:10" x14ac:dyDescent="0.25">
      <c r="A1207" s="24" t="s">
        <v>24</v>
      </c>
      <c r="B1207" s="130">
        <f t="shared" ref="B1207:J1207" si="535">B1217/B1194</f>
        <v>26930.985915492962</v>
      </c>
      <c r="C1207" s="131">
        <f t="shared" si="535"/>
        <v>29204.000000000004</v>
      </c>
      <c r="D1207" s="131">
        <f t="shared" si="535"/>
        <v>26714.414414414416</v>
      </c>
      <c r="E1207" s="130">
        <f t="shared" si="535"/>
        <v>27841.129032258068</v>
      </c>
      <c r="F1207" s="132">
        <f t="shared" si="535"/>
        <v>29195.057034220532</v>
      </c>
      <c r="G1207" s="130">
        <f t="shared" si="535"/>
        <v>28774.509803921574</v>
      </c>
      <c r="H1207" s="130">
        <f t="shared" si="535"/>
        <v>27615.13944223108</v>
      </c>
      <c r="I1207" s="314">
        <f t="shared" si="535"/>
        <v>28293.285371702645</v>
      </c>
      <c r="J1207" s="132">
        <f t="shared" si="535"/>
        <v>28293.285371702641</v>
      </c>
    </row>
    <row r="1208" spans="1:10" x14ac:dyDescent="0.25">
      <c r="A1208" s="10" t="s">
        <v>25</v>
      </c>
      <c r="B1208" s="92">
        <f t="shared" ref="B1208:H1208" si="536">B1213*B1201</f>
        <v>483518.12068965519</v>
      </c>
      <c r="C1208" s="133">
        <f t="shared" si="536"/>
        <v>1902497.7879310348</v>
      </c>
      <c r="D1208" s="133">
        <f t="shared" si="536"/>
        <v>1064919.9844827587</v>
      </c>
      <c r="E1208" s="92">
        <f t="shared" si="536"/>
        <v>1103083.2620689657</v>
      </c>
      <c r="F1208" s="134">
        <f t="shared" si="536"/>
        <v>4012623.806896552</v>
      </c>
      <c r="G1208" s="92">
        <f t="shared" si="536"/>
        <v>3677811.1206896557</v>
      </c>
      <c r="H1208" s="92">
        <f t="shared" si="536"/>
        <v>1928483.6431034487</v>
      </c>
      <c r="I1208" s="92">
        <f>FLORESTA!$B1208+FLORESTA!$C1208+FLORESTA!$D1208+FLORESTA!$E1208+FLORESTA!$F1208+FLORESTA!$G1208+FLORESTA!$H1208</f>
        <v>14172937.725862069</v>
      </c>
      <c r="J1208" s="133">
        <f>FLORESTA!$I1208/7</f>
        <v>2024705.3894088671</v>
      </c>
    </row>
    <row r="1209" spans="1:10" x14ac:dyDescent="0.25">
      <c r="A1209" s="10" t="s">
        <v>26</v>
      </c>
      <c r="B1209" s="92">
        <f t="shared" ref="B1209:H1209" si="537">B1213*B1202</f>
        <v>0</v>
      </c>
      <c r="C1209" s="133">
        <f t="shared" si="537"/>
        <v>0</v>
      </c>
      <c r="D1209" s="133">
        <f t="shared" si="537"/>
        <v>49531.162068965517</v>
      </c>
      <c r="E1209" s="92">
        <f t="shared" si="537"/>
        <v>58057.013793103455</v>
      </c>
      <c r="F1209" s="134">
        <f t="shared" si="537"/>
        <v>63692.441379310352</v>
      </c>
      <c r="G1209" s="92">
        <f t="shared" si="537"/>
        <v>0</v>
      </c>
      <c r="H1209" s="92">
        <f t="shared" si="537"/>
        <v>116877.79655172415</v>
      </c>
      <c r="I1209" s="92">
        <f>FLORESTA!$B1209+FLORESTA!$C1209+FLORESTA!$D1209+FLORESTA!$E1209+FLORESTA!$F1209+FLORESTA!$G1209+FLORESTA!$H1209</f>
        <v>288158.41379310348</v>
      </c>
      <c r="J1209" s="133">
        <f>FLORESTA!$I1209/7</f>
        <v>41165.487684729065</v>
      </c>
    </row>
    <row r="1210" spans="1:10" x14ac:dyDescent="0.25">
      <c r="A1210" s="10" t="s">
        <v>27</v>
      </c>
      <c r="B1210" s="92">
        <f t="shared" ref="B1210:H1210" si="538">B1213*B1203</f>
        <v>967036.24137931038</v>
      </c>
      <c r="C1210" s="133">
        <f t="shared" si="538"/>
        <v>1026744.8379310347</v>
      </c>
      <c r="D1210" s="133">
        <f t="shared" si="538"/>
        <v>1188747.8896551724</v>
      </c>
      <c r="E1210" s="92">
        <f t="shared" si="538"/>
        <v>1625596.3862068967</v>
      </c>
      <c r="F1210" s="134">
        <f t="shared" si="538"/>
        <v>2038158.1241379313</v>
      </c>
      <c r="G1210" s="92">
        <f t="shared" si="538"/>
        <v>3162917.5637931037</v>
      </c>
      <c r="H1210" s="92">
        <f t="shared" si="538"/>
        <v>3214139.4051724146</v>
      </c>
      <c r="I1210" s="92">
        <f>FLORESTA!$B1210+FLORESTA!$C1210+FLORESTA!$D1210+FLORESTA!$E1210+FLORESTA!$F1210+FLORESTA!$G1210+FLORESTA!$H1210</f>
        <v>13223340.448275864</v>
      </c>
      <c r="J1210" s="133">
        <f>FLORESTA!$I1210/7</f>
        <v>1889048.6354679805</v>
      </c>
    </row>
    <row r="1211" spans="1:10" x14ac:dyDescent="0.25">
      <c r="A1211" s="10" t="s">
        <v>28</v>
      </c>
      <c r="B1211" s="92">
        <f t="shared" ref="B1211:H1211" si="539">B1213*B1204</f>
        <v>128938.1655172414</v>
      </c>
      <c r="C1211" s="133">
        <f t="shared" si="539"/>
        <v>90595.132758620704</v>
      </c>
      <c r="D1211" s="133">
        <f t="shared" si="539"/>
        <v>173359.06724137932</v>
      </c>
      <c r="E1211" s="92">
        <f t="shared" si="539"/>
        <v>116114.02758620691</v>
      </c>
      <c r="F1211" s="134">
        <f t="shared" si="539"/>
        <v>254769.76551724141</v>
      </c>
      <c r="G1211" s="92">
        <f t="shared" si="539"/>
        <v>514893.55689655186</v>
      </c>
      <c r="H1211" s="92">
        <f t="shared" si="539"/>
        <v>584388.98275862075</v>
      </c>
      <c r="I1211" s="92">
        <f>FLORESTA!$B1211+FLORESTA!$C1211+FLORESTA!$D1211+FLORESTA!$E1211+FLORESTA!$F1211+FLORESTA!$G1211+FLORESTA!$H1211</f>
        <v>1863058.6982758623</v>
      </c>
      <c r="J1211" s="133">
        <f>FLORESTA!$I1211/7</f>
        <v>266151.24261083745</v>
      </c>
    </row>
    <row r="1212" spans="1:10" x14ac:dyDescent="0.25">
      <c r="A1212" s="10" t="s">
        <v>29</v>
      </c>
      <c r="B1212" s="92">
        <f t="shared" ref="B1212:H1212" si="540">B1213*B1205</f>
        <v>32234.541379310351</v>
      </c>
      <c r="C1212" s="133">
        <f t="shared" si="540"/>
        <v>0</v>
      </c>
      <c r="D1212" s="133">
        <f t="shared" si="540"/>
        <v>0</v>
      </c>
      <c r="E1212" s="92">
        <f t="shared" si="540"/>
        <v>0</v>
      </c>
      <c r="F1212" s="134">
        <f t="shared" si="540"/>
        <v>0</v>
      </c>
      <c r="G1212" s="92">
        <f t="shared" si="540"/>
        <v>0</v>
      </c>
      <c r="H1212" s="92">
        <f t="shared" si="540"/>
        <v>0</v>
      </c>
      <c r="I1212" s="92">
        <f>FLORESTA!$B1212+FLORESTA!$C1212+FLORESTA!$D1212+FLORESTA!$E1212+FLORESTA!$F1212+FLORESTA!$G1212+FLORESTA!$H1212</f>
        <v>32234.541379310351</v>
      </c>
      <c r="J1212" s="133">
        <f>FLORESTA!$I1212/7</f>
        <v>4604.9344827586219</v>
      </c>
    </row>
    <row r="1213" spans="1:10" x14ac:dyDescent="0.25">
      <c r="A1213" s="33" t="s">
        <v>30</v>
      </c>
      <c r="B1213" s="222">
        <f>(1912100/1.16)-B1214</f>
        <v>1611727.0689655175</v>
      </c>
      <c r="C1213" s="222">
        <f>(3650500/1.16)-C1214</f>
        <v>3019837.7586206901</v>
      </c>
      <c r="D1213" s="222">
        <f>(2965300/1.16)-D1214</f>
        <v>2476558.1034482759</v>
      </c>
      <c r="E1213" s="222">
        <f>(3452300/1.16)-E1214</f>
        <v>2902850.6896551726</v>
      </c>
      <c r="F1213" s="222">
        <f>(7678300/1.16)-F1214</f>
        <v>6369244.1379310349</v>
      </c>
      <c r="G1213" s="222">
        <f>(8805000/1.16)-G1214</f>
        <v>7355622.2413793113</v>
      </c>
      <c r="H1213" s="222">
        <f>(6931400/1.16)-H1214</f>
        <v>5843889.8275862075</v>
      </c>
      <c r="I1213" s="91">
        <f>SUM(I1208:I1212)</f>
        <v>29579729.827586211</v>
      </c>
      <c r="J1213" s="136">
        <f>FLORESTA!$I1213/7</f>
        <v>4225675.6896551726</v>
      </c>
    </row>
    <row r="1214" spans="1:10" x14ac:dyDescent="0.25">
      <c r="A1214" s="10" t="s">
        <v>31</v>
      </c>
      <c r="B1214" s="94">
        <f t="shared" ref="B1214:J1214" si="541">2155*B1195</f>
        <v>36635</v>
      </c>
      <c r="C1214" s="139">
        <f t="shared" si="541"/>
        <v>127145</v>
      </c>
      <c r="D1214" s="139">
        <f t="shared" si="541"/>
        <v>79735</v>
      </c>
      <c r="E1214" s="94">
        <f t="shared" si="541"/>
        <v>73270</v>
      </c>
      <c r="F1214" s="112">
        <f t="shared" si="541"/>
        <v>249980</v>
      </c>
      <c r="G1214" s="94">
        <f t="shared" si="541"/>
        <v>234895</v>
      </c>
      <c r="H1214" s="94">
        <f t="shared" si="541"/>
        <v>131455</v>
      </c>
      <c r="I1214" s="94">
        <f t="shared" si="541"/>
        <v>933115</v>
      </c>
      <c r="J1214" s="139">
        <f t="shared" si="541"/>
        <v>133302.14285714284</v>
      </c>
    </row>
    <row r="1215" spans="1:10" x14ac:dyDescent="0.25">
      <c r="A1215" s="37" t="s">
        <v>32</v>
      </c>
      <c r="B1215" s="39">
        <f t="shared" ref="B1215:H1215" si="542">B1213+B1214</f>
        <v>1648362.0689655175</v>
      </c>
      <c r="C1215" s="40">
        <f t="shared" si="542"/>
        <v>3146982.7586206901</v>
      </c>
      <c r="D1215" s="40">
        <f t="shared" si="542"/>
        <v>2556293.1034482759</v>
      </c>
      <c r="E1215" s="39">
        <f t="shared" si="542"/>
        <v>2976120.6896551726</v>
      </c>
      <c r="F1215" s="140">
        <f t="shared" si="542"/>
        <v>6619224.1379310349</v>
      </c>
      <c r="G1215" s="39">
        <f t="shared" si="542"/>
        <v>7590517.2413793113</v>
      </c>
      <c r="H1215" s="39">
        <f t="shared" si="542"/>
        <v>5975344.8275862075</v>
      </c>
      <c r="I1215" s="39">
        <f>I1213+I1214</f>
        <v>30512844.827586211</v>
      </c>
      <c r="J1215" s="40">
        <f>J1213+J1214</f>
        <v>4358977.8325123154</v>
      </c>
    </row>
    <row r="1216" spans="1:10" x14ac:dyDescent="0.25">
      <c r="A1216" s="10" t="s">
        <v>33</v>
      </c>
      <c r="B1216" s="41">
        <f t="shared" ref="B1216:H1216" si="543">B1215*16%</f>
        <v>263737.93103448278</v>
      </c>
      <c r="C1216" s="42">
        <f t="shared" si="543"/>
        <v>503517.24137931044</v>
      </c>
      <c r="D1216" s="42">
        <f t="shared" si="543"/>
        <v>409006.89655172417</v>
      </c>
      <c r="E1216" s="41">
        <f t="shared" si="543"/>
        <v>476179.31034482765</v>
      </c>
      <c r="F1216" s="141">
        <f t="shared" si="543"/>
        <v>1059075.8620689656</v>
      </c>
      <c r="G1216" s="41">
        <f t="shared" si="543"/>
        <v>1214482.7586206899</v>
      </c>
      <c r="H1216" s="41">
        <f t="shared" si="543"/>
        <v>956055.17241379328</v>
      </c>
      <c r="I1216" s="41">
        <f>I1215*16%</f>
        <v>4882055.1724137943</v>
      </c>
      <c r="J1216" s="42">
        <f>J1215*16%</f>
        <v>697436.45320197043</v>
      </c>
    </row>
    <row r="1217" spans="1:10" x14ac:dyDescent="0.25">
      <c r="A1217" s="43" t="s">
        <v>34</v>
      </c>
      <c r="B1217" s="315">
        <f t="shared" ref="B1217:H1217" si="544">B1215+B1216</f>
        <v>1912100.0000000002</v>
      </c>
      <c r="C1217" s="315">
        <f t="shared" si="544"/>
        <v>3650500.0000000005</v>
      </c>
      <c r="D1217" s="315">
        <f t="shared" si="544"/>
        <v>2965300</v>
      </c>
      <c r="E1217" s="178">
        <f t="shared" si="544"/>
        <v>3452300.0000000005</v>
      </c>
      <c r="F1217" s="182">
        <f t="shared" si="544"/>
        <v>7678300</v>
      </c>
      <c r="G1217" s="178">
        <f t="shared" si="544"/>
        <v>8805000.0000000019</v>
      </c>
      <c r="H1217" s="178">
        <f t="shared" si="544"/>
        <v>6931400.0000000009</v>
      </c>
      <c r="I1217" s="178">
        <f>I1215+I1216</f>
        <v>35394900.000000007</v>
      </c>
      <c r="J1217" s="315">
        <f>FLORESTA!$I1217/7</f>
        <v>5056414.2857142864</v>
      </c>
    </row>
    <row r="1219" spans="1:10" ht="12.75" customHeight="1" x14ac:dyDescent="0.25">
      <c r="A1219" s="149"/>
      <c r="B1219" s="1006" t="s">
        <v>384</v>
      </c>
      <c r="C1219" s="1006"/>
      <c r="D1219" s="1006"/>
      <c r="E1219" s="1006"/>
      <c r="F1219" s="1006"/>
      <c r="G1219" s="1006"/>
      <c r="H1219" s="1006"/>
      <c r="I1219" s="1006"/>
    </row>
    <row r="1220" spans="1:10" x14ac:dyDescent="0.25">
      <c r="A1220" s="149"/>
      <c r="B1220" s="1006"/>
      <c r="C1220" s="1006"/>
      <c r="D1220" s="1006"/>
      <c r="E1220" s="1006"/>
      <c r="F1220" s="1006"/>
      <c r="G1220" s="1006"/>
      <c r="H1220" s="1006"/>
      <c r="I1220" s="1006"/>
    </row>
    <row r="1221" spans="1:10" ht="15.75" x14ac:dyDescent="0.25">
      <c r="A1221" s="72" t="s">
        <v>2</v>
      </c>
      <c r="B1221" s="232" t="s">
        <v>318</v>
      </c>
      <c r="C1221" s="232" t="s">
        <v>319</v>
      </c>
      <c r="D1221" s="232" t="s">
        <v>141</v>
      </c>
      <c r="E1221" s="232" t="s">
        <v>142</v>
      </c>
      <c r="F1221" s="232" t="s">
        <v>143</v>
      </c>
      <c r="G1221" s="232" t="s">
        <v>144</v>
      </c>
      <c r="H1221" s="232" t="s">
        <v>145</v>
      </c>
      <c r="I1221" s="51" t="s">
        <v>10</v>
      </c>
      <c r="J1221" s="51" t="s">
        <v>77</v>
      </c>
    </row>
    <row r="1222" spans="1:10" x14ac:dyDescent="0.25">
      <c r="A1222" s="74" t="s">
        <v>11</v>
      </c>
      <c r="B1222" s="55">
        <f>47+24+9</f>
        <v>80</v>
      </c>
      <c r="C1222" s="56">
        <f>76+36+10</f>
        <v>122</v>
      </c>
      <c r="D1222" s="54">
        <f>45+34+10</f>
        <v>89</v>
      </c>
      <c r="E1222" s="316">
        <f>46+38+11</f>
        <v>95</v>
      </c>
      <c r="F1222" s="311">
        <f>121+85+25</f>
        <v>231</v>
      </c>
      <c r="G1222" s="58">
        <f>150+94+30</f>
        <v>274</v>
      </c>
      <c r="H1222" s="57">
        <f>118+82+28</f>
        <v>228</v>
      </c>
      <c r="I1222" s="311">
        <f t="shared" ref="I1222:I1227" si="545">SUM(B1222:H1222)</f>
        <v>1119</v>
      </c>
      <c r="J1222" s="317">
        <f>FLORESTA!$I1222/7</f>
        <v>159.85714285714286</v>
      </c>
    </row>
    <row r="1223" spans="1:10" x14ac:dyDescent="0.25">
      <c r="A1223" s="10" t="s">
        <v>12</v>
      </c>
      <c r="B1223" s="11">
        <v>22</v>
      </c>
      <c r="C1223" s="13">
        <v>53</v>
      </c>
      <c r="D1223" s="320">
        <v>16</v>
      </c>
      <c r="E1223" s="11">
        <v>22</v>
      </c>
      <c r="F1223" s="125">
        <v>71</v>
      </c>
      <c r="G1223" s="11">
        <v>127</v>
      </c>
      <c r="H1223" s="11">
        <v>75</v>
      </c>
      <c r="I1223" s="313">
        <f t="shared" si="545"/>
        <v>386</v>
      </c>
      <c r="J1223" s="318">
        <f>FLORESTA!$I1223/7</f>
        <v>55.142857142857146</v>
      </c>
    </row>
    <row r="1224" spans="1:10" x14ac:dyDescent="0.25">
      <c r="A1224" s="10" t="s">
        <v>13</v>
      </c>
      <c r="B1224" s="11">
        <v>0</v>
      </c>
      <c r="C1224" s="13">
        <v>3</v>
      </c>
      <c r="D1224" s="13">
        <v>2</v>
      </c>
      <c r="E1224" s="11">
        <v>1</v>
      </c>
      <c r="F1224" s="125">
        <v>2</v>
      </c>
      <c r="G1224" s="11">
        <v>3</v>
      </c>
      <c r="H1224" s="11">
        <v>4</v>
      </c>
      <c r="I1224" s="313">
        <f t="shared" si="545"/>
        <v>15</v>
      </c>
      <c r="J1224" s="318">
        <f>C1224+D1224+E1224+F1224+G1224+H1224+I1224</f>
        <v>30</v>
      </c>
    </row>
    <row r="1225" spans="1:10" x14ac:dyDescent="0.25">
      <c r="A1225" s="10" t="s">
        <v>14</v>
      </c>
      <c r="B1225" s="11">
        <v>37</v>
      </c>
      <c r="C1225" s="13">
        <v>28</v>
      </c>
      <c r="D1225" s="320">
        <v>59</v>
      </c>
      <c r="E1225" s="11">
        <v>61</v>
      </c>
      <c r="F1225" s="125">
        <v>95</v>
      </c>
      <c r="G1225" s="11">
        <v>61</v>
      </c>
      <c r="H1225" s="11">
        <v>91</v>
      </c>
      <c r="I1225" s="313">
        <f t="shared" si="545"/>
        <v>432</v>
      </c>
      <c r="J1225" s="318">
        <f>FLORESTA!$I1225/7</f>
        <v>61.714285714285715</v>
      </c>
    </row>
    <row r="1226" spans="1:10" x14ac:dyDescent="0.25">
      <c r="A1226" s="10" t="s">
        <v>15</v>
      </c>
      <c r="B1226" s="11">
        <v>11</v>
      </c>
      <c r="C1226" s="13">
        <v>4</v>
      </c>
      <c r="D1226" s="13">
        <v>6</v>
      </c>
      <c r="E1226" s="11">
        <v>0</v>
      </c>
      <c r="F1226" s="125">
        <v>19</v>
      </c>
      <c r="G1226" s="11">
        <v>17</v>
      </c>
      <c r="H1226" s="11">
        <v>24</v>
      </c>
      <c r="I1226" s="313">
        <f t="shared" si="545"/>
        <v>81</v>
      </c>
      <c r="J1226" s="318">
        <f>FLORESTA!$I1226/7</f>
        <v>11.571428571428571</v>
      </c>
    </row>
    <row r="1227" spans="1:10" x14ac:dyDescent="0.25">
      <c r="A1227" s="10" t="s">
        <v>16</v>
      </c>
      <c r="B1227" s="11">
        <v>0</v>
      </c>
      <c r="C1227" s="13">
        <v>0</v>
      </c>
      <c r="D1227" s="13">
        <v>0</v>
      </c>
      <c r="E1227" s="11">
        <v>0</v>
      </c>
      <c r="F1227" s="125">
        <v>0</v>
      </c>
      <c r="G1227" s="11">
        <v>0</v>
      </c>
      <c r="H1227" s="11">
        <v>0</v>
      </c>
      <c r="I1227" s="313">
        <f t="shared" si="545"/>
        <v>0</v>
      </c>
      <c r="J1227" s="318">
        <f>FLORESTA!$I1227/7</f>
        <v>0</v>
      </c>
    </row>
    <row r="1228" spans="1:10" x14ac:dyDescent="0.25">
      <c r="A1228" s="15" t="s">
        <v>17</v>
      </c>
      <c r="B1228" s="79">
        <f t="shared" ref="B1228:I1228" si="546">SUM(B1223:B1227)</f>
        <v>70</v>
      </c>
      <c r="C1228" s="79">
        <f t="shared" si="546"/>
        <v>88</v>
      </c>
      <c r="D1228" s="79">
        <f t="shared" si="546"/>
        <v>83</v>
      </c>
      <c r="E1228" s="103">
        <f t="shared" si="546"/>
        <v>84</v>
      </c>
      <c r="F1228" s="213">
        <f t="shared" si="546"/>
        <v>187</v>
      </c>
      <c r="G1228" s="103">
        <f t="shared" si="546"/>
        <v>208</v>
      </c>
      <c r="H1228" s="103">
        <f t="shared" si="546"/>
        <v>194</v>
      </c>
      <c r="I1228" s="103">
        <f t="shared" si="546"/>
        <v>914</v>
      </c>
      <c r="J1228" s="319">
        <f>FLORESTA!$I1228/7</f>
        <v>130.57142857142858</v>
      </c>
    </row>
    <row r="1229" spans="1:10" x14ac:dyDescent="0.25">
      <c r="A1229" s="10" t="s">
        <v>18</v>
      </c>
      <c r="B1229" s="325">
        <v>0.35</v>
      </c>
      <c r="C1229" s="326">
        <v>0.67</v>
      </c>
      <c r="D1229" s="326">
        <v>0.26</v>
      </c>
      <c r="E1229" s="327">
        <v>0.31</v>
      </c>
      <c r="F1229" s="328">
        <v>0.48</v>
      </c>
      <c r="G1229" s="327">
        <v>0.67</v>
      </c>
      <c r="H1229" s="327">
        <v>0.43</v>
      </c>
      <c r="I1229" s="18">
        <f>I1236/I1241</f>
        <v>0.49783415541718917</v>
      </c>
      <c r="J1229" s="19">
        <f>J1236/J1241</f>
        <v>0.49783415541718917</v>
      </c>
    </row>
    <row r="1230" spans="1:10" x14ac:dyDescent="0.25">
      <c r="A1230" s="10" t="s">
        <v>19</v>
      </c>
      <c r="B1230" s="325">
        <v>0</v>
      </c>
      <c r="C1230" s="326">
        <v>0.02</v>
      </c>
      <c r="D1230" s="326">
        <v>0.04</v>
      </c>
      <c r="E1230" s="327">
        <v>0.01</v>
      </c>
      <c r="F1230" s="327">
        <v>0.01</v>
      </c>
      <c r="G1230" s="327">
        <v>0.01</v>
      </c>
      <c r="H1230" s="327">
        <v>0.03</v>
      </c>
      <c r="I1230" s="18">
        <f>I1237/I1241</f>
        <v>1.6825829238782116E-2</v>
      </c>
      <c r="J1230" s="19">
        <f>J1237/J1241</f>
        <v>1.6825829238782113E-2</v>
      </c>
    </row>
    <row r="1231" spans="1:10" x14ac:dyDescent="0.25">
      <c r="A1231" s="10" t="s">
        <v>20</v>
      </c>
      <c r="B1231" s="325">
        <v>0.51</v>
      </c>
      <c r="C1231" s="326">
        <v>0.27</v>
      </c>
      <c r="D1231" s="326">
        <v>0.6</v>
      </c>
      <c r="E1231" s="327">
        <v>0.68</v>
      </c>
      <c r="F1231" s="329">
        <v>0.43</v>
      </c>
      <c r="G1231" s="327">
        <v>0.25</v>
      </c>
      <c r="H1231" s="327">
        <v>0.44</v>
      </c>
      <c r="I1231" s="18">
        <f>I1238/I1241</f>
        <v>0.40921002925232025</v>
      </c>
      <c r="J1231" s="19">
        <f>J1238/J1241</f>
        <v>0.40921002925232025</v>
      </c>
    </row>
    <row r="1232" spans="1:10" x14ac:dyDescent="0.25">
      <c r="A1232" s="10" t="s">
        <v>21</v>
      </c>
      <c r="B1232" s="325">
        <v>0.14000000000000001</v>
      </c>
      <c r="C1232" s="326">
        <v>0.04</v>
      </c>
      <c r="D1232" s="326">
        <v>0.1</v>
      </c>
      <c r="E1232" s="327">
        <v>0</v>
      </c>
      <c r="F1232" s="329">
        <v>0.08</v>
      </c>
      <c r="G1232" s="327">
        <v>7.0000000000000007E-2</v>
      </c>
      <c r="H1232" s="327">
        <v>0.1</v>
      </c>
      <c r="I1232" s="18">
        <f>I1239/I1241</f>
        <v>7.6129986091708388E-2</v>
      </c>
      <c r="J1232" s="19">
        <f>J1239/J1241</f>
        <v>7.6129986091708388E-2</v>
      </c>
    </row>
    <row r="1233" spans="1:10" x14ac:dyDescent="0.25">
      <c r="A1233" s="10" t="s">
        <v>22</v>
      </c>
      <c r="B1233" s="325">
        <v>0</v>
      </c>
      <c r="C1233" s="326">
        <v>0</v>
      </c>
      <c r="D1233" s="326">
        <v>0</v>
      </c>
      <c r="E1233" s="327">
        <v>0</v>
      </c>
      <c r="F1233" s="329">
        <v>0</v>
      </c>
      <c r="G1233" s="327">
        <v>0</v>
      </c>
      <c r="H1233" s="327">
        <v>0</v>
      </c>
      <c r="I1233" s="18">
        <f>I1240/I1241</f>
        <v>0</v>
      </c>
      <c r="J1233" s="19">
        <f>J1240/J1241</f>
        <v>0</v>
      </c>
    </row>
    <row r="1234" spans="1:10" x14ac:dyDescent="0.25">
      <c r="A1234" s="24" t="s">
        <v>23</v>
      </c>
      <c r="B1234" s="130">
        <f t="shared" ref="B1234:J1234" si="547">B1245/B1228</f>
        <v>30214.285714285714</v>
      </c>
      <c r="C1234" s="131">
        <f t="shared" si="547"/>
        <v>39952.272727272728</v>
      </c>
      <c r="D1234" s="131">
        <f t="shared" si="547"/>
        <v>29118.072289156626</v>
      </c>
      <c r="E1234" s="130">
        <f t="shared" si="547"/>
        <v>31342.857142857149</v>
      </c>
      <c r="F1234" s="132">
        <f t="shared" si="547"/>
        <v>36164.17112299466</v>
      </c>
      <c r="G1234" s="130">
        <f t="shared" si="547"/>
        <v>38388.942307692305</v>
      </c>
      <c r="H1234" s="130">
        <f t="shared" si="547"/>
        <v>33724.742268041235</v>
      </c>
      <c r="I1234" s="314">
        <f t="shared" si="547"/>
        <v>34978.774617067837</v>
      </c>
      <c r="J1234" s="132">
        <f t="shared" si="547"/>
        <v>34978.774617067837</v>
      </c>
    </row>
    <row r="1235" spans="1:10" x14ac:dyDescent="0.25">
      <c r="A1235" s="24" t="s">
        <v>24</v>
      </c>
      <c r="B1235" s="130">
        <f t="shared" ref="B1235:J1235" si="548">B1245/B1222</f>
        <v>26437.5</v>
      </c>
      <c r="C1235" s="131">
        <f t="shared" si="548"/>
        <v>28818.032786885247</v>
      </c>
      <c r="D1235" s="131">
        <f t="shared" si="548"/>
        <v>27155.056179775282</v>
      </c>
      <c r="E1235" s="130">
        <f t="shared" si="548"/>
        <v>27713.68421052632</v>
      </c>
      <c r="F1235" s="132">
        <f t="shared" si="548"/>
        <v>29275.75757575758</v>
      </c>
      <c r="G1235" s="130">
        <f t="shared" si="548"/>
        <v>29141.970802919706</v>
      </c>
      <c r="H1235" s="130">
        <f t="shared" si="548"/>
        <v>28695.614035087718</v>
      </c>
      <c r="I1235" s="314">
        <f t="shared" si="548"/>
        <v>28570.688114387849</v>
      </c>
      <c r="J1235" s="132">
        <f t="shared" si="548"/>
        <v>28570.688114387849</v>
      </c>
    </row>
    <row r="1236" spans="1:10" x14ac:dyDescent="0.25">
      <c r="A1236" s="10" t="s">
        <v>25</v>
      </c>
      <c r="B1236" s="92">
        <f t="shared" ref="B1236:H1236" si="549">B1241*B1229</f>
        <v>621553.05172413785</v>
      </c>
      <c r="C1236" s="133">
        <f t="shared" si="549"/>
        <v>1954153.5362068969</v>
      </c>
      <c r="D1236" s="133">
        <f t="shared" si="549"/>
        <v>532731.75172413804</v>
      </c>
      <c r="E1236" s="92">
        <f t="shared" si="549"/>
        <v>688896.00344827597</v>
      </c>
      <c r="F1236" s="134">
        <f t="shared" si="549"/>
        <v>2724916.2206896553</v>
      </c>
      <c r="G1236" s="92">
        <f t="shared" si="549"/>
        <v>4428599.1534482762</v>
      </c>
      <c r="H1236" s="92">
        <f t="shared" si="549"/>
        <v>2355775.3879310344</v>
      </c>
      <c r="I1236" s="92">
        <f>FLORESTA!$B1236+FLORESTA!$C1236+FLORESTA!$D1236+FLORESTA!$E1236+FLORESTA!$F1236+FLORESTA!$G1236+FLORESTA!$H1236</f>
        <v>13306625.105172414</v>
      </c>
      <c r="J1236" s="133">
        <f>FLORESTA!$I1236/7</f>
        <v>1900946.4435960592</v>
      </c>
    </row>
    <row r="1237" spans="1:10" x14ac:dyDescent="0.25">
      <c r="A1237" s="10" t="s">
        <v>26</v>
      </c>
      <c r="B1237" s="92">
        <f t="shared" ref="B1237:H1237" si="550">B1241*B1230</f>
        <v>0</v>
      </c>
      <c r="C1237" s="133">
        <f t="shared" si="550"/>
        <v>58332.941379310352</v>
      </c>
      <c r="D1237" s="133">
        <f t="shared" si="550"/>
        <v>81958.731034482771</v>
      </c>
      <c r="E1237" s="92">
        <f t="shared" si="550"/>
        <v>22222.451724137933</v>
      </c>
      <c r="F1237" s="134">
        <f t="shared" si="550"/>
        <v>56769.08793103449</v>
      </c>
      <c r="G1237" s="92">
        <f t="shared" si="550"/>
        <v>66098.494827586212</v>
      </c>
      <c r="H1237" s="92">
        <f t="shared" si="550"/>
        <v>164356.4224137931</v>
      </c>
      <c r="I1237" s="92">
        <f>FLORESTA!$B1237+FLORESTA!$C1237+FLORESTA!$D1237+FLORESTA!$E1237+FLORESTA!$F1237+FLORESTA!$G1237+FLORESTA!$H1237</f>
        <v>449738.12931034487</v>
      </c>
      <c r="J1237" s="133">
        <f>FLORESTA!$I1237/7</f>
        <v>64248.304187192123</v>
      </c>
    </row>
    <row r="1238" spans="1:10" x14ac:dyDescent="0.25">
      <c r="A1238" s="10" t="s">
        <v>27</v>
      </c>
      <c r="B1238" s="92">
        <f t="shared" ref="B1238:H1238" si="551">B1241*B1231</f>
        <v>905691.58965517243</v>
      </c>
      <c r="C1238" s="133">
        <f t="shared" si="551"/>
        <v>787494.70862068981</v>
      </c>
      <c r="D1238" s="133">
        <f t="shared" si="551"/>
        <v>1229380.9655172415</v>
      </c>
      <c r="E1238" s="92">
        <f t="shared" si="551"/>
        <v>1511126.7172413797</v>
      </c>
      <c r="F1238" s="134">
        <f t="shared" si="551"/>
        <v>2441070.7810344831</v>
      </c>
      <c r="G1238" s="92">
        <f t="shared" si="551"/>
        <v>1652462.3706896552</v>
      </c>
      <c r="H1238" s="92">
        <f t="shared" si="551"/>
        <v>2410560.8620689656</v>
      </c>
      <c r="I1238" s="92">
        <f>FLORESTA!$B1238+FLORESTA!$C1238+FLORESTA!$D1238+FLORESTA!$E1238+FLORESTA!$F1238+FLORESTA!$G1238+FLORESTA!$H1238</f>
        <v>10937787.994827587</v>
      </c>
      <c r="J1238" s="133">
        <f>FLORESTA!$I1238/7</f>
        <v>1562541.1421182267</v>
      </c>
    </row>
    <row r="1239" spans="1:10" x14ac:dyDescent="0.25">
      <c r="A1239" s="10" t="s">
        <v>28</v>
      </c>
      <c r="B1239" s="92">
        <f t="shared" ref="B1239:H1239" si="552">B1241*B1232</f>
        <v>248621.22068965519</v>
      </c>
      <c r="C1239" s="133">
        <f t="shared" si="552"/>
        <v>116665.8827586207</v>
      </c>
      <c r="D1239" s="133">
        <f t="shared" si="552"/>
        <v>204896.82758620693</v>
      </c>
      <c r="E1239" s="92">
        <f t="shared" si="552"/>
        <v>0</v>
      </c>
      <c r="F1239" s="134">
        <f t="shared" si="552"/>
        <v>454152.70344827592</v>
      </c>
      <c r="G1239" s="92">
        <f t="shared" si="552"/>
        <v>462689.46379310352</v>
      </c>
      <c r="H1239" s="92">
        <f t="shared" si="552"/>
        <v>547854.74137931038</v>
      </c>
      <c r="I1239" s="92">
        <f>FLORESTA!$B1239+FLORESTA!$C1239+FLORESTA!$D1239+FLORESTA!$E1239+FLORESTA!$F1239+FLORESTA!$G1239+FLORESTA!$H1239</f>
        <v>2034880.8396551725</v>
      </c>
      <c r="J1239" s="133">
        <f>FLORESTA!$I1239/7</f>
        <v>290697.26280788181</v>
      </c>
    </row>
    <row r="1240" spans="1:10" x14ac:dyDescent="0.25">
      <c r="A1240" s="10" t="s">
        <v>29</v>
      </c>
      <c r="B1240" s="92">
        <f t="shared" ref="B1240:H1240" si="553">B1241*B1233</f>
        <v>0</v>
      </c>
      <c r="C1240" s="133">
        <f t="shared" si="553"/>
        <v>0</v>
      </c>
      <c r="D1240" s="133">
        <f t="shared" si="553"/>
        <v>0</v>
      </c>
      <c r="E1240" s="92">
        <f t="shared" si="553"/>
        <v>0</v>
      </c>
      <c r="F1240" s="134">
        <f t="shared" si="553"/>
        <v>0</v>
      </c>
      <c r="G1240" s="92">
        <f t="shared" si="553"/>
        <v>0</v>
      </c>
      <c r="H1240" s="92">
        <f t="shared" si="553"/>
        <v>0</v>
      </c>
      <c r="I1240" s="92">
        <f>FLORESTA!$B1240+FLORESTA!$C1240+FLORESTA!$D1240+FLORESTA!$E1240+FLORESTA!$F1240+FLORESTA!$G1240+FLORESTA!$H1240</f>
        <v>0</v>
      </c>
      <c r="J1240" s="133">
        <f>FLORESTA!$I1240/7</f>
        <v>0</v>
      </c>
    </row>
    <row r="1241" spans="1:10" x14ac:dyDescent="0.25">
      <c r="A1241" s="33" t="s">
        <v>30</v>
      </c>
      <c r="B1241" s="222">
        <f>(2115000/1.16)-B1242</f>
        <v>1775865.8620689656</v>
      </c>
      <c r="C1241" s="222">
        <f>(3515800/1.16)-C1242</f>
        <v>2916647.0689655175</v>
      </c>
      <c r="D1241" s="222">
        <f>(2416800/1.16)-D1242</f>
        <v>2048968.2758620691</v>
      </c>
      <c r="E1241" s="222">
        <f>(2632800/1.16)-E1242</f>
        <v>2222245.1724137934</v>
      </c>
      <c r="F1241" s="222">
        <f>(6762700/1.16)-F1242</f>
        <v>5676908.793103449</v>
      </c>
      <c r="G1241" s="222">
        <f>(7984900/1.16)-G1242</f>
        <v>6609849.4827586208</v>
      </c>
      <c r="H1241" s="222">
        <f>(6542600/1.16)-H1242</f>
        <v>5478547.4137931038</v>
      </c>
      <c r="I1241" s="91">
        <f>SUM(I1236:I1240)</f>
        <v>26729032.068965521</v>
      </c>
      <c r="J1241" s="136">
        <f>FLORESTA!$I1241/7</f>
        <v>3818433.1527093602</v>
      </c>
    </row>
    <row r="1242" spans="1:10" x14ac:dyDescent="0.25">
      <c r="A1242" s="10" t="s">
        <v>31</v>
      </c>
      <c r="B1242" s="94">
        <f t="shared" ref="B1242:J1242" si="554">2155*B1223</f>
        <v>47410</v>
      </c>
      <c r="C1242" s="139">
        <f t="shared" si="554"/>
        <v>114215</v>
      </c>
      <c r="D1242" s="139">
        <f t="shared" si="554"/>
        <v>34480</v>
      </c>
      <c r="E1242" s="94">
        <f t="shared" si="554"/>
        <v>47410</v>
      </c>
      <c r="F1242" s="112">
        <f t="shared" si="554"/>
        <v>153005</v>
      </c>
      <c r="G1242" s="94">
        <f t="shared" si="554"/>
        <v>273685</v>
      </c>
      <c r="H1242" s="94">
        <f t="shared" si="554"/>
        <v>161625</v>
      </c>
      <c r="I1242" s="94">
        <f t="shared" si="554"/>
        <v>831830</v>
      </c>
      <c r="J1242" s="139">
        <f t="shared" si="554"/>
        <v>118832.85714285714</v>
      </c>
    </row>
    <row r="1243" spans="1:10" x14ac:dyDescent="0.25">
      <c r="A1243" s="37" t="s">
        <v>32</v>
      </c>
      <c r="B1243" s="39">
        <f t="shared" ref="B1243:H1243" si="555">B1241+B1242</f>
        <v>1823275.8620689656</v>
      </c>
      <c r="C1243" s="40">
        <f t="shared" si="555"/>
        <v>3030862.0689655175</v>
      </c>
      <c r="D1243" s="40">
        <f t="shared" si="555"/>
        <v>2083448.2758620691</v>
      </c>
      <c r="E1243" s="39">
        <f t="shared" si="555"/>
        <v>2269655.1724137934</v>
      </c>
      <c r="F1243" s="140">
        <f t="shared" si="555"/>
        <v>5829913.793103449</v>
      </c>
      <c r="G1243" s="39">
        <f t="shared" si="555"/>
        <v>6883534.4827586208</v>
      </c>
      <c r="H1243" s="39">
        <f t="shared" si="555"/>
        <v>5640172.4137931038</v>
      </c>
      <c r="I1243" s="39">
        <f>I1241+I1242</f>
        <v>27560862.068965521</v>
      </c>
      <c r="J1243" s="40">
        <f>J1241+J1242</f>
        <v>3937266.0098522175</v>
      </c>
    </row>
    <row r="1244" spans="1:10" x14ac:dyDescent="0.25">
      <c r="A1244" s="10" t="s">
        <v>33</v>
      </c>
      <c r="B1244" s="41">
        <f t="shared" ref="B1244:H1244" si="556">B1243*16%</f>
        <v>291724.13793103449</v>
      </c>
      <c r="C1244" s="42">
        <f t="shared" si="556"/>
        <v>484937.93103448278</v>
      </c>
      <c r="D1244" s="42">
        <f t="shared" si="556"/>
        <v>333351.72413793107</v>
      </c>
      <c r="E1244" s="41">
        <f t="shared" si="556"/>
        <v>363144.82758620696</v>
      </c>
      <c r="F1244" s="141">
        <f t="shared" si="556"/>
        <v>932786.20689655188</v>
      </c>
      <c r="G1244" s="41">
        <f t="shared" si="556"/>
        <v>1101365.5172413792</v>
      </c>
      <c r="H1244" s="41">
        <f t="shared" si="556"/>
        <v>902427.58620689658</v>
      </c>
      <c r="I1244" s="41">
        <f>I1243*16%</f>
        <v>4409737.931034483</v>
      </c>
      <c r="J1244" s="42">
        <f>J1243*16%</f>
        <v>629962.56157635478</v>
      </c>
    </row>
    <row r="1245" spans="1:10" x14ac:dyDescent="0.25">
      <c r="A1245" s="43" t="s">
        <v>34</v>
      </c>
      <c r="B1245" s="315">
        <f t="shared" ref="B1245:H1245" si="557">B1243+B1244</f>
        <v>2115000</v>
      </c>
      <c r="C1245" s="315">
        <f t="shared" si="557"/>
        <v>3515800</v>
      </c>
      <c r="D1245" s="315">
        <f t="shared" si="557"/>
        <v>2416800</v>
      </c>
      <c r="E1245" s="178">
        <f t="shared" si="557"/>
        <v>2632800.0000000005</v>
      </c>
      <c r="F1245" s="182">
        <f t="shared" si="557"/>
        <v>6762700.0000000009</v>
      </c>
      <c r="G1245" s="178">
        <f t="shared" si="557"/>
        <v>7984900</v>
      </c>
      <c r="H1245" s="178">
        <f t="shared" si="557"/>
        <v>6542600</v>
      </c>
      <c r="I1245" s="178">
        <f>I1243+I1244</f>
        <v>31970600.000000004</v>
      </c>
      <c r="J1245" s="315">
        <f>FLORESTA!$I1245/7</f>
        <v>4567228.5714285718</v>
      </c>
    </row>
    <row r="1247" spans="1:10" ht="12.75" customHeight="1" x14ac:dyDescent="0.25">
      <c r="A1247" s="149"/>
      <c r="B1247" s="1006" t="s">
        <v>385</v>
      </c>
      <c r="C1247" s="1006"/>
      <c r="D1247" s="1006"/>
      <c r="E1247" s="1006"/>
      <c r="F1247" s="1006"/>
      <c r="G1247" s="1006"/>
      <c r="H1247" s="1006"/>
      <c r="I1247" s="1006"/>
    </row>
    <row r="1248" spans="1:10" x14ac:dyDescent="0.25">
      <c r="A1248" s="149"/>
      <c r="B1248" s="1006"/>
      <c r="C1248" s="1006"/>
      <c r="D1248" s="1006"/>
      <c r="E1248" s="1006"/>
      <c r="F1248" s="1006"/>
      <c r="G1248" s="1006"/>
      <c r="H1248" s="1006"/>
      <c r="I1248" s="1006"/>
    </row>
    <row r="1249" spans="1:10" ht="15.75" x14ac:dyDescent="0.25">
      <c r="A1249" s="72" t="s">
        <v>2</v>
      </c>
      <c r="B1249" s="232" t="s">
        <v>147</v>
      </c>
      <c r="C1249" s="232" t="s">
        <v>148</v>
      </c>
      <c r="D1249" s="232" t="s">
        <v>149</v>
      </c>
      <c r="E1249" s="232" t="s">
        <v>150</v>
      </c>
      <c r="F1249" s="232" t="s">
        <v>151</v>
      </c>
      <c r="G1249" s="232" t="s">
        <v>152</v>
      </c>
      <c r="H1249" s="232" t="s">
        <v>153</v>
      </c>
      <c r="I1249" s="51" t="s">
        <v>10</v>
      </c>
      <c r="J1249" s="51" t="s">
        <v>77</v>
      </c>
    </row>
    <row r="1250" spans="1:10" x14ac:dyDescent="0.25">
      <c r="A1250" s="74" t="s">
        <v>11</v>
      </c>
      <c r="B1250" s="55">
        <f>93+93+39</f>
        <v>225</v>
      </c>
      <c r="C1250" s="56">
        <f>37+22+7</f>
        <v>66</v>
      </c>
      <c r="D1250" s="54">
        <f>37+33+5</f>
        <v>75</v>
      </c>
      <c r="E1250" s="316">
        <f>64+22+11</f>
        <v>97</v>
      </c>
      <c r="F1250" s="311">
        <f>99+76+19</f>
        <v>194</v>
      </c>
      <c r="G1250" s="58">
        <f>184+107+28</f>
        <v>319</v>
      </c>
      <c r="H1250" s="57">
        <f>124+81+28</f>
        <v>233</v>
      </c>
      <c r="I1250" s="311">
        <f t="shared" ref="I1250:I1255" si="558">SUM(B1250:H1250)</f>
        <v>1209</v>
      </c>
      <c r="J1250" s="317">
        <f>FLORESTA!$I1250/7</f>
        <v>172.71428571428572</v>
      </c>
    </row>
    <row r="1251" spans="1:10" x14ac:dyDescent="0.25">
      <c r="A1251" s="10" t="s">
        <v>12</v>
      </c>
      <c r="B1251" s="11">
        <v>71</v>
      </c>
      <c r="C1251" s="13">
        <v>18</v>
      </c>
      <c r="D1251" s="320">
        <v>22</v>
      </c>
      <c r="E1251" s="11">
        <v>30</v>
      </c>
      <c r="F1251" s="125">
        <v>75</v>
      </c>
      <c r="G1251" s="11">
        <v>115</v>
      </c>
      <c r="H1251" s="11">
        <v>69</v>
      </c>
      <c r="I1251" s="313">
        <f t="shared" si="558"/>
        <v>400</v>
      </c>
      <c r="J1251" s="318">
        <f>FLORESTA!$I1251/7</f>
        <v>57.142857142857146</v>
      </c>
    </row>
    <row r="1252" spans="1:10" x14ac:dyDescent="0.25">
      <c r="A1252" s="10" t="s">
        <v>13</v>
      </c>
      <c r="B1252" s="11">
        <v>1</v>
      </c>
      <c r="C1252" s="13">
        <v>1</v>
      </c>
      <c r="D1252" s="13">
        <v>0</v>
      </c>
      <c r="E1252" s="11">
        <v>0</v>
      </c>
      <c r="F1252" s="125">
        <v>0</v>
      </c>
      <c r="G1252" s="11">
        <v>3</v>
      </c>
      <c r="H1252" s="11">
        <v>0</v>
      </c>
      <c r="I1252" s="313">
        <f t="shared" si="558"/>
        <v>5</v>
      </c>
      <c r="J1252" s="318">
        <f>C1252+D1252+E1252+F1252+G1252+H1252+I1252</f>
        <v>9</v>
      </c>
    </row>
    <row r="1253" spans="1:10" x14ac:dyDescent="0.25">
      <c r="A1253" s="10" t="s">
        <v>14</v>
      </c>
      <c r="B1253" s="11">
        <v>102</v>
      </c>
      <c r="C1253" s="13">
        <v>37</v>
      </c>
      <c r="D1253" s="320">
        <v>38</v>
      </c>
      <c r="E1253" s="11">
        <v>39</v>
      </c>
      <c r="F1253" s="125">
        <v>77</v>
      </c>
      <c r="G1253" s="11">
        <v>115</v>
      </c>
      <c r="H1253" s="11">
        <v>90</v>
      </c>
      <c r="I1253" s="313">
        <f t="shared" si="558"/>
        <v>498</v>
      </c>
      <c r="J1253" s="318">
        <f>FLORESTA!$I1253/7</f>
        <v>71.142857142857139</v>
      </c>
    </row>
    <row r="1254" spans="1:10" x14ac:dyDescent="0.25">
      <c r="A1254" s="10" t="s">
        <v>15</v>
      </c>
      <c r="B1254" s="11">
        <v>22</v>
      </c>
      <c r="C1254" s="13">
        <v>1</v>
      </c>
      <c r="D1254" s="13">
        <v>11</v>
      </c>
      <c r="E1254" s="11">
        <v>5</v>
      </c>
      <c r="F1254" s="125">
        <v>8</v>
      </c>
      <c r="G1254" s="11">
        <v>24</v>
      </c>
      <c r="H1254" s="11">
        <v>17</v>
      </c>
      <c r="I1254" s="313">
        <f t="shared" si="558"/>
        <v>88</v>
      </c>
      <c r="J1254" s="318">
        <f>FLORESTA!$I1254/7</f>
        <v>12.571428571428571</v>
      </c>
    </row>
    <row r="1255" spans="1:10" x14ac:dyDescent="0.25">
      <c r="A1255" s="10" t="s">
        <v>16</v>
      </c>
      <c r="B1255" s="11">
        <v>0</v>
      </c>
      <c r="C1255" s="13">
        <v>0</v>
      </c>
      <c r="D1255" s="13">
        <v>0</v>
      </c>
      <c r="E1255" s="11">
        <v>0</v>
      </c>
      <c r="F1255" s="125">
        <v>0</v>
      </c>
      <c r="G1255" s="11">
        <v>0</v>
      </c>
      <c r="H1255" s="11">
        <v>1</v>
      </c>
      <c r="I1255" s="313">
        <f t="shared" si="558"/>
        <v>1</v>
      </c>
      <c r="J1255" s="318">
        <f>FLORESTA!$I1255/7</f>
        <v>0.14285714285714285</v>
      </c>
    </row>
    <row r="1256" spans="1:10" x14ac:dyDescent="0.25">
      <c r="A1256" s="15" t="s">
        <v>17</v>
      </c>
      <c r="B1256" s="79">
        <f t="shared" ref="B1256:I1256" si="559">SUM(B1251:B1255)</f>
        <v>196</v>
      </c>
      <c r="C1256" s="79">
        <f t="shared" si="559"/>
        <v>57</v>
      </c>
      <c r="D1256" s="79">
        <f t="shared" si="559"/>
        <v>71</v>
      </c>
      <c r="E1256" s="103">
        <f t="shared" si="559"/>
        <v>74</v>
      </c>
      <c r="F1256" s="213">
        <f t="shared" si="559"/>
        <v>160</v>
      </c>
      <c r="G1256" s="103">
        <f t="shared" si="559"/>
        <v>257</v>
      </c>
      <c r="H1256" s="103">
        <f t="shared" si="559"/>
        <v>177</v>
      </c>
      <c r="I1256" s="103">
        <f t="shared" si="559"/>
        <v>992</v>
      </c>
      <c r="J1256" s="319">
        <f>FLORESTA!$I1256/7</f>
        <v>141.71428571428572</v>
      </c>
    </row>
    <row r="1257" spans="1:10" x14ac:dyDescent="0.25">
      <c r="A1257" s="10" t="s">
        <v>18</v>
      </c>
      <c r="B1257" s="325">
        <v>0.4</v>
      </c>
      <c r="C1257" s="326">
        <v>0.36</v>
      </c>
      <c r="D1257" s="326">
        <v>0.36</v>
      </c>
      <c r="E1257" s="327">
        <v>0.55000000000000004</v>
      </c>
      <c r="F1257" s="328">
        <v>0.51</v>
      </c>
      <c r="G1257" s="327">
        <v>0.5</v>
      </c>
      <c r="H1257" s="327">
        <v>0.43</v>
      </c>
      <c r="I1257" s="18">
        <f>I1264/I1269</f>
        <v>0.45666741494642632</v>
      </c>
      <c r="J1257" s="19">
        <f>J1264/J1269</f>
        <v>0.45666741494642632</v>
      </c>
    </row>
    <row r="1258" spans="1:10" x14ac:dyDescent="0.25">
      <c r="A1258" s="10" t="s">
        <v>19</v>
      </c>
      <c r="B1258" s="325">
        <v>0.01</v>
      </c>
      <c r="C1258" s="326">
        <v>0.02</v>
      </c>
      <c r="D1258" s="326">
        <v>0</v>
      </c>
      <c r="E1258" s="327">
        <v>0</v>
      </c>
      <c r="F1258" s="327">
        <v>0</v>
      </c>
      <c r="G1258" s="327">
        <v>0.01</v>
      </c>
      <c r="H1258" s="327">
        <v>0</v>
      </c>
      <c r="I1258" s="18">
        <f>I1265/I1269</f>
        <v>5.5791896238104027E-3</v>
      </c>
      <c r="J1258" s="19">
        <f>J1265/J1269</f>
        <v>5.5791896238104027E-3</v>
      </c>
    </row>
    <row r="1259" spans="1:10" x14ac:dyDescent="0.25">
      <c r="A1259" s="10" t="s">
        <v>20</v>
      </c>
      <c r="B1259" s="325">
        <v>0.49</v>
      </c>
      <c r="C1259" s="326">
        <v>0.57999999999999996</v>
      </c>
      <c r="D1259" s="326">
        <v>0.47</v>
      </c>
      <c r="E1259" s="327">
        <v>0.4</v>
      </c>
      <c r="F1259" s="329">
        <v>0.44</v>
      </c>
      <c r="G1259" s="327">
        <v>0.39</v>
      </c>
      <c r="H1259" s="327">
        <v>0.48</v>
      </c>
      <c r="I1259" s="18">
        <f>I1266/I1269</f>
        <v>0.45032455351203682</v>
      </c>
      <c r="J1259" s="19">
        <f>J1266/J1269</f>
        <v>0.45032455351203676</v>
      </c>
    </row>
    <row r="1260" spans="1:10" x14ac:dyDescent="0.25">
      <c r="A1260" s="10" t="s">
        <v>21</v>
      </c>
      <c r="B1260" s="325">
        <v>0.1</v>
      </c>
      <c r="C1260" s="326">
        <v>0.04</v>
      </c>
      <c r="D1260" s="326">
        <v>0.17</v>
      </c>
      <c r="E1260" s="327">
        <v>0.05</v>
      </c>
      <c r="F1260" s="329">
        <v>0.05</v>
      </c>
      <c r="G1260" s="327">
        <v>0.1</v>
      </c>
      <c r="H1260" s="327">
        <v>0.08</v>
      </c>
      <c r="I1260" s="18">
        <f>I1267/I1269</f>
        <v>8.5446916074179743E-2</v>
      </c>
      <c r="J1260" s="19">
        <f>J1267/J1269</f>
        <v>8.544691607417973E-2</v>
      </c>
    </row>
    <row r="1261" spans="1:10" x14ac:dyDescent="0.25">
      <c r="A1261" s="10" t="s">
        <v>22</v>
      </c>
      <c r="B1261" s="325">
        <v>0</v>
      </c>
      <c r="C1261" s="326">
        <v>0</v>
      </c>
      <c r="D1261" s="326">
        <v>0</v>
      </c>
      <c r="E1261" s="327">
        <v>0</v>
      </c>
      <c r="F1261" s="329">
        <v>0</v>
      </c>
      <c r="G1261" s="327">
        <v>0</v>
      </c>
      <c r="H1261" s="327">
        <v>0.01</v>
      </c>
      <c r="I1261" s="18">
        <f>I1268/I1269</f>
        <v>1.9819258435466694E-3</v>
      </c>
      <c r="J1261" s="19">
        <f>J1268/J1269</f>
        <v>1.9819258435466694E-3</v>
      </c>
    </row>
    <row r="1262" spans="1:10" x14ac:dyDescent="0.25">
      <c r="A1262" s="24" t="s">
        <v>23</v>
      </c>
      <c r="B1262" s="130">
        <f t="shared" ref="B1262:J1262" si="560">B1273/B1256</f>
        <v>31130.612244897959</v>
      </c>
      <c r="C1262" s="131">
        <f t="shared" si="560"/>
        <v>32194.736842105267</v>
      </c>
      <c r="D1262" s="131">
        <f t="shared" si="560"/>
        <v>30032.394366197183</v>
      </c>
      <c r="E1262" s="130">
        <f t="shared" si="560"/>
        <v>33490.54054054054</v>
      </c>
      <c r="F1262" s="132">
        <f t="shared" si="560"/>
        <v>34082.5</v>
      </c>
      <c r="G1262" s="130">
        <f t="shared" si="560"/>
        <v>34956.420233463032</v>
      </c>
      <c r="H1262" s="130">
        <f t="shared" si="560"/>
        <v>37502.824858757071</v>
      </c>
      <c r="I1262" s="314">
        <f t="shared" si="560"/>
        <v>33893.447580645159</v>
      </c>
      <c r="J1262" s="132">
        <f t="shared" si="560"/>
        <v>33893.447580645159</v>
      </c>
    </row>
    <row r="1263" spans="1:10" x14ac:dyDescent="0.25">
      <c r="A1263" s="24" t="s">
        <v>24</v>
      </c>
      <c r="B1263" s="130">
        <f t="shared" ref="B1263:J1263" si="561">B1273/B1250</f>
        <v>27118.222222222223</v>
      </c>
      <c r="C1263" s="131">
        <f t="shared" si="561"/>
        <v>27804.54545454546</v>
      </c>
      <c r="D1263" s="131">
        <f t="shared" si="561"/>
        <v>28430.666666666668</v>
      </c>
      <c r="E1263" s="130">
        <f t="shared" si="561"/>
        <v>25549.484536082473</v>
      </c>
      <c r="F1263" s="132">
        <f t="shared" si="561"/>
        <v>28109.278350515466</v>
      </c>
      <c r="G1263" s="130">
        <f t="shared" si="561"/>
        <v>28162.382445141066</v>
      </c>
      <c r="H1263" s="130">
        <f t="shared" si="561"/>
        <v>28489.2703862661</v>
      </c>
      <c r="I1263" s="314">
        <f t="shared" si="561"/>
        <v>27810.008271298593</v>
      </c>
      <c r="J1263" s="132">
        <f t="shared" si="561"/>
        <v>27810.008271298593</v>
      </c>
    </row>
    <row r="1264" spans="1:10" x14ac:dyDescent="0.25">
      <c r="A1264" s="10" t="s">
        <v>25</v>
      </c>
      <c r="B1264" s="92">
        <f t="shared" ref="B1264:H1264" si="562">B1269*B1257</f>
        <v>2042798</v>
      </c>
      <c r="C1264" s="133">
        <f t="shared" si="562"/>
        <v>555549.39310344832</v>
      </c>
      <c r="D1264" s="133">
        <f t="shared" si="562"/>
        <v>644680.67586206901</v>
      </c>
      <c r="E1264" s="92">
        <f t="shared" si="562"/>
        <v>1139498.5344827587</v>
      </c>
      <c r="F1264" s="134">
        <f t="shared" si="562"/>
        <v>2315098.8362068967</v>
      </c>
      <c r="G1264" s="92">
        <f t="shared" si="562"/>
        <v>3748415.0862068967</v>
      </c>
      <c r="H1264" s="92">
        <f t="shared" si="562"/>
        <v>2396699.0810344829</v>
      </c>
      <c r="I1264" s="92">
        <f>FLORESTA!$B1264+FLORESTA!$C1264+FLORESTA!$D1264+FLORESTA!$E1264+FLORESTA!$F1264+FLORESTA!$G1264+FLORESTA!$H1264</f>
        <v>12842739.606896551</v>
      </c>
      <c r="J1264" s="133">
        <f>FLORESTA!$I1264/7</f>
        <v>1834677.0866995074</v>
      </c>
    </row>
    <row r="1265" spans="1:10" x14ac:dyDescent="0.25">
      <c r="A1265" s="10" t="s">
        <v>26</v>
      </c>
      <c r="B1265" s="92">
        <f t="shared" ref="B1265:H1265" si="563">B1269*B1258</f>
        <v>51069.950000000004</v>
      </c>
      <c r="C1265" s="133">
        <f t="shared" si="563"/>
        <v>30863.855172413798</v>
      </c>
      <c r="D1265" s="133">
        <f t="shared" si="563"/>
        <v>0</v>
      </c>
      <c r="E1265" s="92">
        <f t="shared" si="563"/>
        <v>0</v>
      </c>
      <c r="F1265" s="134">
        <f t="shared" si="563"/>
        <v>0</v>
      </c>
      <c r="G1265" s="92">
        <f t="shared" si="563"/>
        <v>74968.301724137942</v>
      </c>
      <c r="H1265" s="92">
        <f t="shared" si="563"/>
        <v>0</v>
      </c>
      <c r="I1265" s="92">
        <f>FLORESTA!$B1265+FLORESTA!$C1265+FLORESTA!$D1265+FLORESTA!$E1265+FLORESTA!$F1265+FLORESTA!$G1265+FLORESTA!$H1265</f>
        <v>156902.10689655173</v>
      </c>
      <c r="J1265" s="133">
        <f>FLORESTA!$I1265/7</f>
        <v>22414.586699507392</v>
      </c>
    </row>
    <row r="1266" spans="1:10" x14ac:dyDescent="0.25">
      <c r="A1266" s="10" t="s">
        <v>27</v>
      </c>
      <c r="B1266" s="92">
        <f t="shared" ref="B1266:H1266" si="564">B1269*B1259</f>
        <v>2502427.5499999998</v>
      </c>
      <c r="C1266" s="133">
        <f t="shared" si="564"/>
        <v>895051.8</v>
      </c>
      <c r="D1266" s="133">
        <f t="shared" si="564"/>
        <v>841666.43793103448</v>
      </c>
      <c r="E1266" s="92">
        <f t="shared" si="564"/>
        <v>828726.20689655177</v>
      </c>
      <c r="F1266" s="134">
        <f t="shared" si="564"/>
        <v>1997340.1724137932</v>
      </c>
      <c r="G1266" s="92">
        <f t="shared" si="564"/>
        <v>2923763.7672413797</v>
      </c>
      <c r="H1266" s="92">
        <f t="shared" si="564"/>
        <v>2675385.0206896556</v>
      </c>
      <c r="I1266" s="92">
        <f>FLORESTA!$B1266+FLORESTA!$C1266+FLORESTA!$D1266+FLORESTA!$E1266+FLORESTA!$F1266+FLORESTA!$G1266+FLORESTA!$H1266</f>
        <v>12664360.955172414</v>
      </c>
      <c r="J1266" s="133">
        <f>FLORESTA!$I1266/7</f>
        <v>1809194.4221674877</v>
      </c>
    </row>
    <row r="1267" spans="1:10" x14ac:dyDescent="0.25">
      <c r="A1267" s="10" t="s">
        <v>28</v>
      </c>
      <c r="B1267" s="92">
        <f t="shared" ref="B1267:H1267" si="565">B1269*B1260</f>
        <v>510699.5</v>
      </c>
      <c r="C1267" s="133">
        <f t="shared" si="565"/>
        <v>61727.710344827596</v>
      </c>
      <c r="D1267" s="133">
        <f t="shared" si="565"/>
        <v>304432.54137931037</v>
      </c>
      <c r="E1267" s="92">
        <f t="shared" si="565"/>
        <v>103590.77586206897</v>
      </c>
      <c r="F1267" s="134">
        <f t="shared" si="565"/>
        <v>226970.47413793104</v>
      </c>
      <c r="G1267" s="92">
        <f t="shared" si="565"/>
        <v>749683.01724137936</v>
      </c>
      <c r="H1267" s="92">
        <f t="shared" si="565"/>
        <v>445897.50344827591</v>
      </c>
      <c r="I1267" s="92">
        <f>FLORESTA!$B1267+FLORESTA!$C1267+FLORESTA!$D1267+FLORESTA!$E1267+FLORESTA!$F1267+FLORESTA!$G1267+FLORESTA!$H1267</f>
        <v>2403001.522413793</v>
      </c>
      <c r="J1267" s="133">
        <f>FLORESTA!$I1267/7</f>
        <v>343285.931773399</v>
      </c>
    </row>
    <row r="1268" spans="1:10" x14ac:dyDescent="0.25">
      <c r="A1268" s="10" t="s">
        <v>29</v>
      </c>
      <c r="B1268" s="92">
        <f t="shared" ref="B1268:H1268" si="566">B1269*B1261</f>
        <v>0</v>
      </c>
      <c r="C1268" s="133">
        <f t="shared" si="566"/>
        <v>0</v>
      </c>
      <c r="D1268" s="133">
        <f t="shared" si="566"/>
        <v>0</v>
      </c>
      <c r="E1268" s="92">
        <f t="shared" si="566"/>
        <v>0</v>
      </c>
      <c r="F1268" s="134">
        <f t="shared" si="566"/>
        <v>0</v>
      </c>
      <c r="G1268" s="92">
        <f t="shared" si="566"/>
        <v>0</v>
      </c>
      <c r="H1268" s="92">
        <f t="shared" si="566"/>
        <v>55737.187931034488</v>
      </c>
      <c r="I1268" s="92">
        <f>FLORESTA!$B1268+FLORESTA!$C1268+FLORESTA!$D1268+FLORESTA!$E1268+FLORESTA!$F1268+FLORESTA!$G1268+FLORESTA!$H1268</f>
        <v>55737.187931034488</v>
      </c>
      <c r="J1268" s="133">
        <f>FLORESTA!$I1268/7</f>
        <v>7962.4554187192125</v>
      </c>
    </row>
    <row r="1269" spans="1:10" x14ac:dyDescent="0.25">
      <c r="A1269" s="33" t="s">
        <v>30</v>
      </c>
      <c r="B1269" s="222">
        <f>(6101600/1.16)-B1270</f>
        <v>5106995</v>
      </c>
      <c r="C1269" s="222">
        <f>(1835100/1.16)-C1270</f>
        <v>1543192.7586206899</v>
      </c>
      <c r="D1269" s="222">
        <f>(2132300/1.16)-D1270</f>
        <v>1790779.6551724139</v>
      </c>
      <c r="E1269" s="222">
        <f>(2478300/1.16)-E1270</f>
        <v>2071815.5172413792</v>
      </c>
      <c r="F1269" s="222">
        <f>(5453200/1.16)-F1270</f>
        <v>4539409.4827586208</v>
      </c>
      <c r="G1269" s="222">
        <f>(8983800/1.16)-G1270</f>
        <v>7496830.1724137934</v>
      </c>
      <c r="H1269" s="222">
        <f>(6638000/1.16)-H1270</f>
        <v>5573718.793103449</v>
      </c>
      <c r="I1269" s="91">
        <f>SUM(I1264:I1268)</f>
        <v>28122741.379310347</v>
      </c>
      <c r="J1269" s="136">
        <f>FLORESTA!$I1269/7</f>
        <v>4017534.4827586212</v>
      </c>
    </row>
    <row r="1270" spans="1:10" x14ac:dyDescent="0.25">
      <c r="A1270" s="10" t="s">
        <v>31</v>
      </c>
      <c r="B1270" s="94">
        <f t="shared" ref="B1270:J1270" si="567">2155*B1251</f>
        <v>153005</v>
      </c>
      <c r="C1270" s="139">
        <f t="shared" si="567"/>
        <v>38790</v>
      </c>
      <c r="D1270" s="139">
        <f t="shared" si="567"/>
        <v>47410</v>
      </c>
      <c r="E1270" s="94">
        <f t="shared" si="567"/>
        <v>64650</v>
      </c>
      <c r="F1270" s="112">
        <f t="shared" si="567"/>
        <v>161625</v>
      </c>
      <c r="G1270" s="94">
        <f t="shared" si="567"/>
        <v>247825</v>
      </c>
      <c r="H1270" s="94">
        <f t="shared" si="567"/>
        <v>148695</v>
      </c>
      <c r="I1270" s="94">
        <f t="shared" si="567"/>
        <v>862000</v>
      </c>
      <c r="J1270" s="139">
        <f t="shared" si="567"/>
        <v>123142.85714285714</v>
      </c>
    </row>
    <row r="1271" spans="1:10" x14ac:dyDescent="0.25">
      <c r="A1271" s="37" t="s">
        <v>32</v>
      </c>
      <c r="B1271" s="39">
        <f t="shared" ref="B1271:H1271" si="568">B1269+B1270</f>
        <v>5260000</v>
      </c>
      <c r="C1271" s="40">
        <f t="shared" si="568"/>
        <v>1581982.7586206899</v>
      </c>
      <c r="D1271" s="40">
        <f t="shared" si="568"/>
        <v>1838189.6551724139</v>
      </c>
      <c r="E1271" s="39">
        <f t="shared" si="568"/>
        <v>2136465.5172413792</v>
      </c>
      <c r="F1271" s="140">
        <f t="shared" si="568"/>
        <v>4701034.4827586208</v>
      </c>
      <c r="G1271" s="39">
        <f t="shared" si="568"/>
        <v>7744655.1724137934</v>
      </c>
      <c r="H1271" s="39">
        <f t="shared" si="568"/>
        <v>5722413.793103449</v>
      </c>
      <c r="I1271" s="39">
        <f>I1269+I1270</f>
        <v>28984741.379310347</v>
      </c>
      <c r="J1271" s="40">
        <f>J1269+J1270</f>
        <v>4140677.3399014785</v>
      </c>
    </row>
    <row r="1272" spans="1:10" x14ac:dyDescent="0.25">
      <c r="A1272" s="10" t="s">
        <v>33</v>
      </c>
      <c r="B1272" s="41">
        <f t="shared" ref="B1272:H1272" si="569">B1271*16%</f>
        <v>841600</v>
      </c>
      <c r="C1272" s="42">
        <f t="shared" si="569"/>
        <v>253117.24137931038</v>
      </c>
      <c r="D1272" s="42">
        <f t="shared" si="569"/>
        <v>294110.34482758626</v>
      </c>
      <c r="E1272" s="41">
        <f t="shared" si="569"/>
        <v>341834.4827586207</v>
      </c>
      <c r="F1272" s="141">
        <f t="shared" si="569"/>
        <v>752165.51724137936</v>
      </c>
      <c r="G1272" s="41">
        <f t="shared" si="569"/>
        <v>1239144.8275862071</v>
      </c>
      <c r="H1272" s="41">
        <f t="shared" si="569"/>
        <v>915586.20689655188</v>
      </c>
      <c r="I1272" s="41">
        <f>I1271*16%</f>
        <v>4637558.6206896557</v>
      </c>
      <c r="J1272" s="42">
        <f>J1271*16%</f>
        <v>662508.37438423652</v>
      </c>
    </row>
    <row r="1273" spans="1:10" x14ac:dyDescent="0.25">
      <c r="A1273" s="43" t="s">
        <v>34</v>
      </c>
      <c r="B1273" s="315">
        <f t="shared" ref="B1273:H1273" si="570">B1271+B1272</f>
        <v>6101600</v>
      </c>
      <c r="C1273" s="315">
        <f t="shared" si="570"/>
        <v>1835100.0000000002</v>
      </c>
      <c r="D1273" s="315">
        <f t="shared" si="570"/>
        <v>2132300</v>
      </c>
      <c r="E1273" s="178">
        <f t="shared" si="570"/>
        <v>2478300</v>
      </c>
      <c r="F1273" s="182">
        <f t="shared" si="570"/>
        <v>5453200</v>
      </c>
      <c r="G1273" s="178">
        <f t="shared" si="570"/>
        <v>8983800</v>
      </c>
      <c r="H1273" s="178">
        <f t="shared" si="570"/>
        <v>6638000.0000000009</v>
      </c>
      <c r="I1273" s="178">
        <f>I1271+I1272</f>
        <v>33622300</v>
      </c>
      <c r="J1273" s="315">
        <f>FLORESTA!$I1273/7</f>
        <v>4803185.7142857146</v>
      </c>
    </row>
    <row r="1275" spans="1:10" ht="12.75" customHeight="1" x14ac:dyDescent="0.25">
      <c r="A1275" s="149"/>
      <c r="B1275" s="1006" t="s">
        <v>386</v>
      </c>
      <c r="C1275" s="1006"/>
      <c r="D1275" s="1006"/>
      <c r="E1275" s="1006"/>
      <c r="F1275" s="1006"/>
      <c r="G1275" s="1006"/>
      <c r="H1275" s="1006"/>
      <c r="I1275" s="1006"/>
    </row>
    <row r="1276" spans="1:10" x14ac:dyDescent="0.25">
      <c r="A1276" s="149"/>
      <c r="B1276" s="1006"/>
      <c r="C1276" s="1006"/>
      <c r="D1276" s="1006"/>
      <c r="E1276" s="1006"/>
      <c r="F1276" s="1006"/>
      <c r="G1276" s="1006"/>
      <c r="H1276" s="1006"/>
      <c r="I1276" s="1006"/>
    </row>
    <row r="1277" spans="1:10" ht="15.75" x14ac:dyDescent="0.25">
      <c r="A1277" s="72" t="s">
        <v>2</v>
      </c>
      <c r="B1277" s="232" t="s">
        <v>155</v>
      </c>
      <c r="C1277" s="232" t="s">
        <v>156</v>
      </c>
      <c r="D1277" s="232" t="s">
        <v>157</v>
      </c>
      <c r="E1277" s="232" t="s">
        <v>158</v>
      </c>
      <c r="F1277" s="232" t="s">
        <v>159</v>
      </c>
      <c r="G1277" s="232" t="s">
        <v>160</v>
      </c>
      <c r="H1277" s="232" t="s">
        <v>161</v>
      </c>
      <c r="I1277" s="51" t="s">
        <v>10</v>
      </c>
      <c r="J1277" s="51" t="s">
        <v>77</v>
      </c>
    </row>
    <row r="1278" spans="1:10" x14ac:dyDescent="0.25">
      <c r="A1278" s="74" t="s">
        <v>11</v>
      </c>
      <c r="B1278" s="55">
        <f>27+23+8</f>
        <v>58</v>
      </c>
      <c r="C1278" s="56">
        <f>68+34+13</f>
        <v>115</v>
      </c>
      <c r="D1278" s="54">
        <f>41+30+5</f>
        <v>76</v>
      </c>
      <c r="E1278" s="316">
        <f>69+40+9</f>
        <v>118</v>
      </c>
      <c r="F1278" s="311">
        <f>116+74+23</f>
        <v>213</v>
      </c>
      <c r="G1278" s="58">
        <f>127+117+26</f>
        <v>270</v>
      </c>
      <c r="H1278" s="57">
        <f>101+99+30</f>
        <v>230</v>
      </c>
      <c r="I1278" s="311">
        <f t="shared" ref="I1278:I1283" si="571">SUM(B1278:H1278)</f>
        <v>1080</v>
      </c>
      <c r="J1278" s="317">
        <f>FLORESTA!$I1278/7</f>
        <v>154.28571428571428</v>
      </c>
    </row>
    <row r="1279" spans="1:10" x14ac:dyDescent="0.25">
      <c r="A1279" s="10" t="s">
        <v>12</v>
      </c>
      <c r="B1279" s="86">
        <v>17</v>
      </c>
      <c r="C1279" s="13">
        <v>30</v>
      </c>
      <c r="D1279" s="320">
        <v>25</v>
      </c>
      <c r="E1279" s="11">
        <v>42</v>
      </c>
      <c r="F1279" s="125">
        <v>79</v>
      </c>
      <c r="G1279" s="11">
        <v>67</v>
      </c>
      <c r="H1279" s="11">
        <v>83</v>
      </c>
      <c r="I1279" s="313">
        <f t="shared" si="571"/>
        <v>343</v>
      </c>
      <c r="J1279" s="318">
        <f>FLORESTA!$I1279/7</f>
        <v>49</v>
      </c>
    </row>
    <row r="1280" spans="1:10" x14ac:dyDescent="0.25">
      <c r="A1280" s="10" t="s">
        <v>13</v>
      </c>
      <c r="B1280" s="11">
        <v>0</v>
      </c>
      <c r="C1280" s="13">
        <v>3</v>
      </c>
      <c r="D1280" s="13">
        <v>0</v>
      </c>
      <c r="E1280" s="11">
        <v>1</v>
      </c>
      <c r="F1280" s="125">
        <v>2</v>
      </c>
      <c r="G1280" s="11">
        <v>4</v>
      </c>
      <c r="H1280" s="11">
        <v>2</v>
      </c>
      <c r="I1280" s="313">
        <f t="shared" si="571"/>
        <v>12</v>
      </c>
      <c r="J1280" s="318">
        <f>C1280+D1280+E1280+F1280+G1280+H1280+I1280</f>
        <v>24</v>
      </c>
    </row>
    <row r="1281" spans="1:10" x14ac:dyDescent="0.25">
      <c r="A1281" s="10" t="s">
        <v>14</v>
      </c>
      <c r="B1281" s="11">
        <v>34</v>
      </c>
      <c r="C1281" s="13">
        <v>46</v>
      </c>
      <c r="D1281" s="320">
        <v>36</v>
      </c>
      <c r="E1281" s="11">
        <v>55</v>
      </c>
      <c r="F1281" s="125">
        <v>80</v>
      </c>
      <c r="G1281" s="11">
        <v>128</v>
      </c>
      <c r="H1281" s="11">
        <v>88</v>
      </c>
      <c r="I1281" s="313">
        <f t="shared" si="571"/>
        <v>467</v>
      </c>
      <c r="J1281" s="318">
        <f>FLORESTA!$I1281/7</f>
        <v>66.714285714285708</v>
      </c>
    </row>
    <row r="1282" spans="1:10" x14ac:dyDescent="0.25">
      <c r="A1282" s="10" t="s">
        <v>15</v>
      </c>
      <c r="B1282" s="11">
        <v>1</v>
      </c>
      <c r="C1282" s="13">
        <v>13</v>
      </c>
      <c r="D1282" s="13">
        <v>7</v>
      </c>
      <c r="E1282" s="11">
        <v>7</v>
      </c>
      <c r="F1282" s="125">
        <v>18</v>
      </c>
      <c r="G1282" s="11">
        <v>16</v>
      </c>
      <c r="H1282" s="11">
        <v>15</v>
      </c>
      <c r="I1282" s="313">
        <f t="shared" si="571"/>
        <v>77</v>
      </c>
      <c r="J1282" s="318">
        <f>FLORESTA!$I1282/7</f>
        <v>11</v>
      </c>
    </row>
    <row r="1283" spans="1:10" x14ac:dyDescent="0.25">
      <c r="A1283" s="10" t="s">
        <v>16</v>
      </c>
      <c r="B1283" s="11">
        <v>0</v>
      </c>
      <c r="C1283" s="13">
        <v>0</v>
      </c>
      <c r="D1283" s="13">
        <v>0</v>
      </c>
      <c r="E1283" s="11">
        <v>0</v>
      </c>
      <c r="F1283" s="125">
        <v>0</v>
      </c>
      <c r="G1283" s="11">
        <v>0</v>
      </c>
      <c r="H1283" s="11">
        <v>0</v>
      </c>
      <c r="I1283" s="313">
        <f t="shared" si="571"/>
        <v>0</v>
      </c>
      <c r="J1283" s="318">
        <f>FLORESTA!$I1283/7</f>
        <v>0</v>
      </c>
    </row>
    <row r="1284" spans="1:10" x14ac:dyDescent="0.25">
      <c r="A1284" s="15" t="s">
        <v>17</v>
      </c>
      <c r="B1284" s="79">
        <f t="shared" ref="B1284:I1284" si="572">SUM(B1279:B1283)</f>
        <v>52</v>
      </c>
      <c r="C1284" s="79">
        <f t="shared" si="572"/>
        <v>92</v>
      </c>
      <c r="D1284" s="79">
        <f t="shared" si="572"/>
        <v>68</v>
      </c>
      <c r="E1284" s="103">
        <f t="shared" si="572"/>
        <v>105</v>
      </c>
      <c r="F1284" s="213">
        <f t="shared" si="572"/>
        <v>179</v>
      </c>
      <c r="G1284" s="103">
        <f t="shared" si="572"/>
        <v>215</v>
      </c>
      <c r="H1284" s="103">
        <f t="shared" si="572"/>
        <v>188</v>
      </c>
      <c r="I1284" s="103">
        <f t="shared" si="572"/>
        <v>899</v>
      </c>
      <c r="J1284" s="319">
        <f>FLORESTA!$I1284/7</f>
        <v>128.42857142857142</v>
      </c>
    </row>
    <row r="1285" spans="1:10" x14ac:dyDescent="0.25">
      <c r="A1285" s="10" t="s">
        <v>18</v>
      </c>
      <c r="B1285" s="325">
        <v>0.41</v>
      </c>
      <c r="C1285" s="326">
        <v>0.42</v>
      </c>
      <c r="D1285" s="326">
        <v>0.4</v>
      </c>
      <c r="E1285" s="327">
        <v>0.46</v>
      </c>
      <c r="F1285" s="328">
        <v>0.5</v>
      </c>
      <c r="G1285" s="327">
        <v>0.34</v>
      </c>
      <c r="H1285" s="327">
        <v>0.47</v>
      </c>
      <c r="I1285" s="18">
        <f>I1292/I1297</f>
        <v>0.4291568454920946</v>
      </c>
      <c r="J1285" s="19">
        <f>J1292/J1297</f>
        <v>0.4291568454920946</v>
      </c>
    </row>
    <row r="1286" spans="1:10" x14ac:dyDescent="0.25">
      <c r="A1286" s="10" t="s">
        <v>19</v>
      </c>
      <c r="B1286" s="325">
        <v>0</v>
      </c>
      <c r="C1286" s="326">
        <v>0.03</v>
      </c>
      <c r="D1286" s="326">
        <v>0</v>
      </c>
      <c r="E1286" s="327">
        <v>0.01</v>
      </c>
      <c r="F1286" s="327">
        <v>0.02</v>
      </c>
      <c r="G1286" s="327">
        <v>0.02</v>
      </c>
      <c r="H1286" s="327">
        <v>0.01</v>
      </c>
      <c r="I1286" s="18">
        <f>I1293/I1297</f>
        <v>1.5232595352904643E-2</v>
      </c>
      <c r="J1286" s="19">
        <f>J1293/J1297</f>
        <v>1.5232595352904643E-2</v>
      </c>
    </row>
    <row r="1287" spans="1:10" x14ac:dyDescent="0.25">
      <c r="A1287" s="10" t="s">
        <v>20</v>
      </c>
      <c r="B1287" s="325">
        <v>0.56999999999999995</v>
      </c>
      <c r="C1287" s="326">
        <v>0.42</v>
      </c>
      <c r="D1287" s="326">
        <v>0.52</v>
      </c>
      <c r="E1287" s="327">
        <v>0.46</v>
      </c>
      <c r="F1287" s="329">
        <v>0.41</v>
      </c>
      <c r="G1287" s="327">
        <v>0.56000000000000005</v>
      </c>
      <c r="H1287" s="327">
        <v>0.45</v>
      </c>
      <c r="I1287" s="18">
        <f>I1294/I1297</f>
        <v>0.47914391854685784</v>
      </c>
      <c r="J1287" s="19">
        <f>J1294/J1297</f>
        <v>0.47914391854685784</v>
      </c>
    </row>
    <row r="1288" spans="1:10" x14ac:dyDescent="0.25">
      <c r="A1288" s="10" t="s">
        <v>21</v>
      </c>
      <c r="B1288" s="325">
        <v>0.02</v>
      </c>
      <c r="C1288" s="326">
        <v>0.13</v>
      </c>
      <c r="D1288" s="326">
        <v>0.08</v>
      </c>
      <c r="E1288" s="327">
        <v>7.0000000000000007E-2</v>
      </c>
      <c r="F1288" s="329">
        <v>7.0000000000000007E-2</v>
      </c>
      <c r="G1288" s="327">
        <v>0.08</v>
      </c>
      <c r="H1288" s="327">
        <v>7.0000000000000007E-2</v>
      </c>
      <c r="I1288" s="18">
        <f>I1295/I1297</f>
        <v>7.6466640608142858E-2</v>
      </c>
      <c r="J1288" s="19">
        <f>J1295/J1297</f>
        <v>7.6466640608142858E-2</v>
      </c>
    </row>
    <row r="1289" spans="1:10" x14ac:dyDescent="0.25">
      <c r="A1289" s="10" t="s">
        <v>22</v>
      </c>
      <c r="B1289" s="325">
        <v>0</v>
      </c>
      <c r="C1289" s="326">
        <v>0</v>
      </c>
      <c r="D1289" s="326">
        <v>0</v>
      </c>
      <c r="E1289" s="327">
        <v>0</v>
      </c>
      <c r="F1289" s="329">
        <v>0</v>
      </c>
      <c r="G1289" s="327">
        <v>0</v>
      </c>
      <c r="H1289" s="327">
        <v>0</v>
      </c>
      <c r="I1289" s="18">
        <f>I1296/I1297</f>
        <v>0</v>
      </c>
      <c r="J1289" s="19">
        <f>J1296/J1297</f>
        <v>0</v>
      </c>
    </row>
    <row r="1290" spans="1:10" x14ac:dyDescent="0.25">
      <c r="A1290" s="24" t="s">
        <v>23</v>
      </c>
      <c r="B1290" s="130">
        <f t="shared" ref="B1290:J1290" si="573">B1301/B1284</f>
        <v>30425</v>
      </c>
      <c r="C1290" s="131">
        <f t="shared" si="573"/>
        <v>32189.130434782615</v>
      </c>
      <c r="D1290" s="131">
        <f t="shared" si="573"/>
        <v>32038.235294117647</v>
      </c>
      <c r="E1290" s="130">
        <f t="shared" si="573"/>
        <v>31102.857142857141</v>
      </c>
      <c r="F1290" s="132">
        <f t="shared" si="573"/>
        <v>34305.58659217877</v>
      </c>
      <c r="G1290" s="130">
        <f t="shared" si="573"/>
        <v>35790.697674418603</v>
      </c>
      <c r="H1290" s="130">
        <f t="shared" si="573"/>
        <v>36296.276595744683</v>
      </c>
      <c r="I1290" s="314">
        <f t="shared" si="573"/>
        <v>34090.433815350392</v>
      </c>
      <c r="J1290" s="132">
        <f t="shared" si="573"/>
        <v>34090.433815350392</v>
      </c>
    </row>
    <row r="1291" spans="1:10" x14ac:dyDescent="0.25">
      <c r="A1291" s="24" t="s">
        <v>24</v>
      </c>
      <c r="B1291" s="130">
        <f t="shared" ref="B1291:J1291" si="574">B1301/B1278</f>
        <v>27277.586206896551</v>
      </c>
      <c r="C1291" s="131">
        <f t="shared" si="574"/>
        <v>25751.304347826092</v>
      </c>
      <c r="D1291" s="131">
        <f t="shared" si="574"/>
        <v>28665.78947368421</v>
      </c>
      <c r="E1291" s="130">
        <f t="shared" si="574"/>
        <v>27676.271186440677</v>
      </c>
      <c r="F1291" s="132">
        <f t="shared" si="574"/>
        <v>28829.577464788734</v>
      </c>
      <c r="G1291" s="130">
        <f t="shared" si="574"/>
        <v>28500</v>
      </c>
      <c r="H1291" s="130">
        <f t="shared" si="574"/>
        <v>29668.260869565216</v>
      </c>
      <c r="I1291" s="314">
        <f t="shared" si="574"/>
        <v>28377.129629629631</v>
      </c>
      <c r="J1291" s="132">
        <f t="shared" si="574"/>
        <v>28377.129629629631</v>
      </c>
    </row>
    <row r="1292" spans="1:10" x14ac:dyDescent="0.25">
      <c r="A1292" s="10" t="s">
        <v>25</v>
      </c>
      <c r="B1292" s="92">
        <f t="shared" ref="B1292:H1292" si="575">B1297*B1285</f>
        <v>544170.16724137927</v>
      </c>
      <c r="C1292" s="133">
        <f t="shared" si="575"/>
        <v>1045078.0344827587</v>
      </c>
      <c r="D1292" s="133">
        <f t="shared" si="575"/>
        <v>729691.37931034493</v>
      </c>
      <c r="E1292" s="92">
        <f t="shared" si="575"/>
        <v>1253424.0206896553</v>
      </c>
      <c r="F1292" s="134">
        <f t="shared" si="575"/>
        <v>2561730.9482758623</v>
      </c>
      <c r="G1292" s="92">
        <f t="shared" si="575"/>
        <v>2206340.1344827591</v>
      </c>
      <c r="H1292" s="92">
        <f t="shared" si="575"/>
        <v>2680708.4499999997</v>
      </c>
      <c r="I1292" s="92">
        <f>FLORESTA!$B1292+FLORESTA!$C1292+FLORESTA!$D1292+FLORESTA!$E1292+FLORESTA!$F1292+FLORESTA!$G1292+FLORESTA!$H1292</f>
        <v>11021143.13448276</v>
      </c>
      <c r="J1292" s="133">
        <f>FLORESTA!$I1292/7</f>
        <v>1574449.0192118229</v>
      </c>
    </row>
    <row r="1293" spans="1:10" x14ac:dyDescent="0.25">
      <c r="A1293" s="10" t="s">
        <v>26</v>
      </c>
      <c r="B1293" s="92">
        <f t="shared" ref="B1293:H1293" si="576">B1297*B1286</f>
        <v>0</v>
      </c>
      <c r="C1293" s="133">
        <f t="shared" si="576"/>
        <v>74648.431034482768</v>
      </c>
      <c r="D1293" s="133">
        <f t="shared" si="576"/>
        <v>0</v>
      </c>
      <c r="E1293" s="92">
        <f t="shared" si="576"/>
        <v>27248.34827586207</v>
      </c>
      <c r="F1293" s="134">
        <f t="shared" si="576"/>
        <v>102469.2379310345</v>
      </c>
      <c r="G1293" s="92">
        <f t="shared" si="576"/>
        <v>129784.71379310345</v>
      </c>
      <c r="H1293" s="92">
        <f t="shared" si="576"/>
        <v>57036.35</v>
      </c>
      <c r="I1293" s="92">
        <f>FLORESTA!$B1293+FLORESTA!$C1293+FLORESTA!$D1293+FLORESTA!$E1293+FLORESTA!$F1293+FLORESTA!$G1293+FLORESTA!$H1293</f>
        <v>391187.08103448275</v>
      </c>
      <c r="J1293" s="133">
        <f>FLORESTA!$I1293/7</f>
        <v>55883.868719211823</v>
      </c>
    </row>
    <row r="1294" spans="1:10" x14ac:dyDescent="0.25">
      <c r="A1294" s="10" t="s">
        <v>27</v>
      </c>
      <c r="B1294" s="92">
        <f t="shared" ref="B1294:H1294" si="577">B1297*B1287</f>
        <v>756529.2568965517</v>
      </c>
      <c r="C1294" s="133">
        <f t="shared" si="577"/>
        <v>1045078.0344827587</v>
      </c>
      <c r="D1294" s="133">
        <f t="shared" si="577"/>
        <v>948598.79310344846</v>
      </c>
      <c r="E1294" s="92">
        <f t="shared" si="577"/>
        <v>1253424.0206896553</v>
      </c>
      <c r="F1294" s="134">
        <f t="shared" si="577"/>
        <v>2100619.3775862069</v>
      </c>
      <c r="G1294" s="92">
        <f t="shared" si="577"/>
        <v>3633971.9862068971</v>
      </c>
      <c r="H1294" s="92">
        <f t="shared" si="577"/>
        <v>2566635.75</v>
      </c>
      <c r="I1294" s="92">
        <f>FLORESTA!$B1294+FLORESTA!$C1294+FLORESTA!$D1294+FLORESTA!$E1294+FLORESTA!$F1294+FLORESTA!$G1294+FLORESTA!$H1294</f>
        <v>12304857.218965517</v>
      </c>
      <c r="J1294" s="133">
        <f>FLORESTA!$I1294/7</f>
        <v>1757836.7455665024</v>
      </c>
    </row>
    <row r="1295" spans="1:10" x14ac:dyDescent="0.25">
      <c r="A1295" s="10" t="s">
        <v>28</v>
      </c>
      <c r="B1295" s="92">
        <f t="shared" ref="B1295:H1295" si="578">B1297*B1288</f>
        <v>26544.886206896554</v>
      </c>
      <c r="C1295" s="133">
        <f t="shared" si="578"/>
        <v>323476.53448275867</v>
      </c>
      <c r="D1295" s="133">
        <f t="shared" si="578"/>
        <v>145938.27586206899</v>
      </c>
      <c r="E1295" s="92">
        <f t="shared" si="578"/>
        <v>190738.43793103451</v>
      </c>
      <c r="F1295" s="134">
        <f t="shared" si="578"/>
        <v>358642.33275862073</v>
      </c>
      <c r="G1295" s="92">
        <f t="shared" si="578"/>
        <v>519138.85517241381</v>
      </c>
      <c r="H1295" s="92">
        <f t="shared" si="578"/>
        <v>399254.45</v>
      </c>
      <c r="I1295" s="92">
        <f>FLORESTA!$B1295+FLORESTA!$C1295+FLORESTA!$D1295+FLORESTA!$E1295+FLORESTA!$F1295+FLORESTA!$G1295+FLORESTA!$H1295</f>
        <v>1963733.7724137933</v>
      </c>
      <c r="J1295" s="133">
        <f>FLORESTA!$I1295/7</f>
        <v>280533.39605911332</v>
      </c>
    </row>
    <row r="1296" spans="1:10" x14ac:dyDescent="0.25">
      <c r="A1296" s="10" t="s">
        <v>29</v>
      </c>
      <c r="B1296" s="92">
        <f t="shared" ref="B1296:H1296" si="579">B1297*B1289</f>
        <v>0</v>
      </c>
      <c r="C1296" s="133">
        <f t="shared" si="579"/>
        <v>0</v>
      </c>
      <c r="D1296" s="133">
        <f t="shared" si="579"/>
        <v>0</v>
      </c>
      <c r="E1296" s="92">
        <f t="shared" si="579"/>
        <v>0</v>
      </c>
      <c r="F1296" s="134">
        <f t="shared" si="579"/>
        <v>0</v>
      </c>
      <c r="G1296" s="92">
        <f t="shared" si="579"/>
        <v>0</v>
      </c>
      <c r="H1296" s="92">
        <f t="shared" si="579"/>
        <v>0</v>
      </c>
      <c r="I1296" s="92">
        <f>FLORESTA!$B1296+FLORESTA!$C1296+FLORESTA!$D1296+FLORESTA!$E1296+FLORESTA!$F1296+FLORESTA!$G1296+FLORESTA!$H1296</f>
        <v>0</v>
      </c>
      <c r="J1296" s="133">
        <f>FLORESTA!$I1296/7</f>
        <v>0</v>
      </c>
    </row>
    <row r="1297" spans="1:10" x14ac:dyDescent="0.25">
      <c r="A1297" s="33" t="s">
        <v>30</v>
      </c>
      <c r="B1297" s="222">
        <f>(1582100/1.16)-B1298</f>
        <v>1327244.3103448276</v>
      </c>
      <c r="C1297" s="222">
        <f>(2961400/1.16)-C1298</f>
        <v>2488281.034482759</v>
      </c>
      <c r="D1297" s="222">
        <f>(2178600/1.16)-D1298</f>
        <v>1824228.4482758623</v>
      </c>
      <c r="E1297" s="222">
        <f>(3265800/1.16)-E1298</f>
        <v>2724834.8275862071</v>
      </c>
      <c r="F1297" s="222">
        <f>(6140700/1.16)-F1298</f>
        <v>5123461.8965517245</v>
      </c>
      <c r="G1297" s="222">
        <f>(7695000/1.16)-G1298</f>
        <v>6489235.6896551726</v>
      </c>
      <c r="H1297" s="222">
        <f>(6823700/1.16)-H1298</f>
        <v>5703635</v>
      </c>
      <c r="I1297" s="91">
        <f>SUM(I1292:I1296)</f>
        <v>25680921.206896555</v>
      </c>
      <c r="J1297" s="136">
        <f>FLORESTA!$I1297/7</f>
        <v>3668703.0295566507</v>
      </c>
    </row>
    <row r="1298" spans="1:10" x14ac:dyDescent="0.25">
      <c r="A1298" s="10" t="s">
        <v>31</v>
      </c>
      <c r="B1298" s="94">
        <f t="shared" ref="B1298:J1298" si="580">2155*B1279</f>
        <v>36635</v>
      </c>
      <c r="C1298" s="139">
        <f t="shared" si="580"/>
        <v>64650</v>
      </c>
      <c r="D1298" s="139">
        <f t="shared" si="580"/>
        <v>53875</v>
      </c>
      <c r="E1298" s="94">
        <f t="shared" si="580"/>
        <v>90510</v>
      </c>
      <c r="F1298" s="112">
        <f t="shared" si="580"/>
        <v>170245</v>
      </c>
      <c r="G1298" s="94">
        <f t="shared" si="580"/>
        <v>144385</v>
      </c>
      <c r="H1298" s="94">
        <f t="shared" si="580"/>
        <v>178865</v>
      </c>
      <c r="I1298" s="94">
        <f t="shared" si="580"/>
        <v>739165</v>
      </c>
      <c r="J1298" s="139">
        <f t="shared" si="580"/>
        <v>105595</v>
      </c>
    </row>
    <row r="1299" spans="1:10" x14ac:dyDescent="0.25">
      <c r="A1299" s="37" t="s">
        <v>32</v>
      </c>
      <c r="B1299" s="39">
        <f t="shared" ref="B1299:H1299" si="581">B1297+B1298</f>
        <v>1363879.3103448276</v>
      </c>
      <c r="C1299" s="40">
        <f t="shared" si="581"/>
        <v>2552931.034482759</v>
      </c>
      <c r="D1299" s="40">
        <f t="shared" si="581"/>
        <v>1878103.4482758623</v>
      </c>
      <c r="E1299" s="39">
        <f t="shared" si="581"/>
        <v>2815344.8275862071</v>
      </c>
      <c r="F1299" s="140">
        <f t="shared" si="581"/>
        <v>5293706.8965517245</v>
      </c>
      <c r="G1299" s="39">
        <f t="shared" si="581"/>
        <v>6633620.6896551726</v>
      </c>
      <c r="H1299" s="39">
        <f t="shared" si="581"/>
        <v>5882500</v>
      </c>
      <c r="I1299" s="39">
        <f>I1297+I1298</f>
        <v>26420086.206896555</v>
      </c>
      <c r="J1299" s="40">
        <f>J1297+J1298</f>
        <v>3774298.0295566507</v>
      </c>
    </row>
    <row r="1300" spans="1:10" x14ac:dyDescent="0.25">
      <c r="A1300" s="10" t="s">
        <v>33</v>
      </c>
      <c r="B1300" s="41">
        <f t="shared" ref="B1300:H1300" si="582">B1299*16%</f>
        <v>218220.68965517241</v>
      </c>
      <c r="C1300" s="42">
        <f t="shared" si="582"/>
        <v>408468.96551724145</v>
      </c>
      <c r="D1300" s="42">
        <f t="shared" si="582"/>
        <v>300496.55172413797</v>
      </c>
      <c r="E1300" s="41">
        <f t="shared" si="582"/>
        <v>450455.17241379316</v>
      </c>
      <c r="F1300" s="141">
        <f t="shared" si="582"/>
        <v>846993.10344827594</v>
      </c>
      <c r="G1300" s="41">
        <f t="shared" si="582"/>
        <v>1061379.3103448276</v>
      </c>
      <c r="H1300" s="41">
        <f t="shared" si="582"/>
        <v>941200</v>
      </c>
      <c r="I1300" s="41">
        <f>I1299*16%</f>
        <v>4227213.793103449</v>
      </c>
      <c r="J1300" s="42">
        <f>J1299*16%</f>
        <v>603887.68472906412</v>
      </c>
    </row>
    <row r="1301" spans="1:10" x14ac:dyDescent="0.25">
      <c r="A1301" s="43" t="s">
        <v>34</v>
      </c>
      <c r="B1301" s="315">
        <f t="shared" ref="B1301:H1301" si="583">B1299+B1300</f>
        <v>1582100</v>
      </c>
      <c r="C1301" s="315">
        <f t="shared" si="583"/>
        <v>2961400.0000000005</v>
      </c>
      <c r="D1301" s="315">
        <f t="shared" si="583"/>
        <v>2178600</v>
      </c>
      <c r="E1301" s="178">
        <f t="shared" si="583"/>
        <v>3265800</v>
      </c>
      <c r="F1301" s="182">
        <f t="shared" si="583"/>
        <v>6140700</v>
      </c>
      <c r="G1301" s="178">
        <f t="shared" si="583"/>
        <v>7695000</v>
      </c>
      <c r="H1301" s="178">
        <f t="shared" si="583"/>
        <v>6823700</v>
      </c>
      <c r="I1301" s="178">
        <f>I1299+I1300</f>
        <v>30647300.000000004</v>
      </c>
      <c r="J1301" s="315">
        <f>FLORESTA!$I1301/7</f>
        <v>4378185.7142857146</v>
      </c>
    </row>
    <row r="1303" spans="1:10" ht="12.75" customHeight="1" x14ac:dyDescent="0.25">
      <c r="A1303" s="149"/>
      <c r="B1303" s="1006" t="s">
        <v>387</v>
      </c>
      <c r="C1303" s="1006"/>
      <c r="D1303" s="1006"/>
      <c r="E1303" s="1006"/>
      <c r="F1303" s="1006"/>
      <c r="G1303" s="1006"/>
      <c r="H1303" s="1006"/>
      <c r="I1303" s="1006"/>
    </row>
    <row r="1304" spans="1:10" x14ac:dyDescent="0.25">
      <c r="A1304" s="149"/>
      <c r="B1304" s="1006"/>
      <c r="C1304" s="1006"/>
      <c r="D1304" s="1006"/>
      <c r="E1304" s="1006"/>
      <c r="F1304" s="1006"/>
      <c r="G1304" s="1006"/>
      <c r="H1304" s="1006"/>
      <c r="I1304" s="1006"/>
    </row>
    <row r="1305" spans="1:10" ht="15.75" x14ac:dyDescent="0.25">
      <c r="A1305" s="72" t="s">
        <v>2</v>
      </c>
      <c r="B1305" s="232" t="s">
        <v>163</v>
      </c>
      <c r="C1305" s="232" t="s">
        <v>164</v>
      </c>
      <c r="D1305" s="232" t="s">
        <v>323</v>
      </c>
      <c r="E1305" s="232" t="s">
        <v>324</v>
      </c>
      <c r="F1305" s="232" t="s">
        <v>325</v>
      </c>
      <c r="G1305" s="232" t="s">
        <v>326</v>
      </c>
      <c r="H1305" s="232" t="s">
        <v>327</v>
      </c>
      <c r="I1305" s="51" t="s">
        <v>10</v>
      </c>
      <c r="J1305" s="51" t="s">
        <v>77</v>
      </c>
    </row>
    <row r="1306" spans="1:10" x14ac:dyDescent="0.25">
      <c r="A1306" s="74" t="s">
        <v>11</v>
      </c>
      <c r="B1306" s="55">
        <v>96</v>
      </c>
      <c r="C1306" s="56">
        <v>93</v>
      </c>
      <c r="D1306" s="54">
        <v>121</v>
      </c>
      <c r="E1306" s="316">
        <f>55+34+3</f>
        <v>92</v>
      </c>
      <c r="F1306" s="311">
        <f>125+84+19</f>
        <v>228</v>
      </c>
      <c r="G1306" s="58">
        <f>143+113+33</f>
        <v>289</v>
      </c>
      <c r="H1306" s="57">
        <f>115+87+29</f>
        <v>231</v>
      </c>
      <c r="I1306" s="311">
        <f t="shared" ref="I1306:I1311" si="584">SUM(B1306:H1306)</f>
        <v>1150</v>
      </c>
      <c r="J1306" s="317">
        <f>FLORESTA!$I1306/7</f>
        <v>164.28571428571428</v>
      </c>
    </row>
    <row r="1307" spans="1:10" x14ac:dyDescent="0.25">
      <c r="A1307" s="10" t="s">
        <v>12</v>
      </c>
      <c r="B1307" s="86">
        <v>22</v>
      </c>
      <c r="C1307" s="13">
        <v>21</v>
      </c>
      <c r="D1307" s="320">
        <v>28</v>
      </c>
      <c r="E1307" s="11">
        <v>28</v>
      </c>
      <c r="F1307" s="125">
        <v>73</v>
      </c>
      <c r="G1307" s="11">
        <v>96</v>
      </c>
      <c r="H1307" s="11">
        <v>71</v>
      </c>
      <c r="I1307" s="313">
        <f t="shared" si="584"/>
        <v>339</v>
      </c>
      <c r="J1307" s="318">
        <f>FLORESTA!$I1307/7</f>
        <v>48.428571428571431</v>
      </c>
    </row>
    <row r="1308" spans="1:10" x14ac:dyDescent="0.25">
      <c r="A1308" s="10" t="s">
        <v>13</v>
      </c>
      <c r="B1308" s="11">
        <v>0</v>
      </c>
      <c r="C1308" s="13">
        <v>3</v>
      </c>
      <c r="D1308" s="13">
        <v>0</v>
      </c>
      <c r="E1308" s="11">
        <v>0</v>
      </c>
      <c r="F1308" s="125">
        <v>0</v>
      </c>
      <c r="G1308" s="11">
        <v>4</v>
      </c>
      <c r="H1308" s="11">
        <v>0</v>
      </c>
      <c r="I1308" s="313">
        <f t="shared" si="584"/>
        <v>7</v>
      </c>
      <c r="J1308" s="318">
        <f>C1308+D1308+E1308+F1308+G1308+H1308+I1308</f>
        <v>14</v>
      </c>
    </row>
    <row r="1309" spans="1:10" x14ac:dyDescent="0.25">
      <c r="A1309" s="10" t="s">
        <v>14</v>
      </c>
      <c r="B1309" s="11">
        <v>47</v>
      </c>
      <c r="C1309" s="13">
        <v>39</v>
      </c>
      <c r="D1309" s="320">
        <v>64</v>
      </c>
      <c r="E1309" s="11">
        <v>55</v>
      </c>
      <c r="F1309" s="125">
        <v>106</v>
      </c>
      <c r="G1309" s="11">
        <v>129</v>
      </c>
      <c r="H1309" s="11">
        <v>97</v>
      </c>
      <c r="I1309" s="313">
        <f t="shared" si="584"/>
        <v>537</v>
      </c>
      <c r="J1309" s="318">
        <f>FLORESTA!$I1309/7</f>
        <v>76.714285714285708</v>
      </c>
    </row>
    <row r="1310" spans="1:10" x14ac:dyDescent="0.25">
      <c r="A1310" s="10" t="s">
        <v>15</v>
      </c>
      <c r="B1310" s="11">
        <v>4</v>
      </c>
      <c r="C1310" s="13">
        <v>6</v>
      </c>
      <c r="D1310" s="13">
        <v>7</v>
      </c>
      <c r="E1310" s="11">
        <v>3</v>
      </c>
      <c r="F1310" s="125">
        <v>23</v>
      </c>
      <c r="G1310" s="11">
        <v>13</v>
      </c>
      <c r="H1310" s="11">
        <v>15</v>
      </c>
      <c r="I1310" s="313">
        <f t="shared" si="584"/>
        <v>71</v>
      </c>
      <c r="J1310" s="318">
        <f>FLORESTA!$I1310/7</f>
        <v>10.142857142857142</v>
      </c>
    </row>
    <row r="1311" spans="1:10" x14ac:dyDescent="0.25">
      <c r="A1311" s="10" t="s">
        <v>16</v>
      </c>
      <c r="B1311" s="11">
        <v>0</v>
      </c>
      <c r="C1311" s="13">
        <v>0</v>
      </c>
      <c r="D1311" s="13">
        <v>0</v>
      </c>
      <c r="E1311" s="11">
        <v>0</v>
      </c>
      <c r="F1311" s="125">
        <v>0</v>
      </c>
      <c r="G1311" s="11">
        <v>0</v>
      </c>
      <c r="H1311" s="11">
        <v>0</v>
      </c>
      <c r="I1311" s="313">
        <f t="shared" si="584"/>
        <v>0</v>
      </c>
      <c r="J1311" s="318">
        <f>FLORESTA!$I1311/7</f>
        <v>0</v>
      </c>
    </row>
    <row r="1312" spans="1:10" x14ac:dyDescent="0.25">
      <c r="A1312" s="15" t="s">
        <v>17</v>
      </c>
      <c r="B1312" s="79">
        <f t="shared" ref="B1312:I1312" si="585">SUM(B1307:B1311)</f>
        <v>73</v>
      </c>
      <c r="C1312" s="79">
        <f t="shared" si="585"/>
        <v>69</v>
      </c>
      <c r="D1312" s="79">
        <f t="shared" si="585"/>
        <v>99</v>
      </c>
      <c r="E1312" s="103">
        <f t="shared" si="585"/>
        <v>86</v>
      </c>
      <c r="F1312" s="213">
        <f t="shared" si="585"/>
        <v>202</v>
      </c>
      <c r="G1312" s="103">
        <f t="shared" si="585"/>
        <v>242</v>
      </c>
      <c r="H1312" s="103">
        <f t="shared" si="585"/>
        <v>183</v>
      </c>
      <c r="I1312" s="103">
        <f t="shared" si="585"/>
        <v>954</v>
      </c>
      <c r="J1312" s="319">
        <f>FLORESTA!$I1312/7</f>
        <v>136.28571428571428</v>
      </c>
    </row>
    <row r="1313" spans="1:10" x14ac:dyDescent="0.25">
      <c r="A1313" s="10" t="s">
        <v>18</v>
      </c>
      <c r="B1313" s="325">
        <v>0.41</v>
      </c>
      <c r="C1313" s="326">
        <v>0.34</v>
      </c>
      <c r="D1313" s="326">
        <v>0.35</v>
      </c>
      <c r="E1313" s="327">
        <v>0.43</v>
      </c>
      <c r="F1313" s="328">
        <v>0.41</v>
      </c>
      <c r="G1313" s="327">
        <v>0.46</v>
      </c>
      <c r="H1313" s="327">
        <v>0.38</v>
      </c>
      <c r="I1313" s="18">
        <f>I1320/I1325</f>
        <v>0.40689604401736817</v>
      </c>
      <c r="J1313" s="19">
        <f>J1320/J1325</f>
        <v>0.40689604401736817</v>
      </c>
    </row>
    <row r="1314" spans="1:10" x14ac:dyDescent="0.25">
      <c r="A1314" s="10" t="s">
        <v>19</v>
      </c>
      <c r="B1314" s="325">
        <v>0</v>
      </c>
      <c r="C1314" s="326">
        <v>0.05</v>
      </c>
      <c r="D1314" s="326">
        <v>0</v>
      </c>
      <c r="E1314" s="327">
        <v>0</v>
      </c>
      <c r="F1314" s="327">
        <v>0</v>
      </c>
      <c r="G1314" s="327">
        <v>0.02</v>
      </c>
      <c r="H1314" s="327">
        <v>0</v>
      </c>
      <c r="I1314" s="18">
        <f>I1321/I1325</f>
        <v>8.8789277611293679E-3</v>
      </c>
      <c r="J1314" s="19">
        <f>J1321/J1325</f>
        <v>8.8789277611293679E-3</v>
      </c>
    </row>
    <row r="1315" spans="1:10" x14ac:dyDescent="0.25">
      <c r="A1315" s="10" t="s">
        <v>20</v>
      </c>
      <c r="B1315" s="325">
        <v>0.54</v>
      </c>
      <c r="C1315" s="326">
        <v>0.54</v>
      </c>
      <c r="D1315" s="326">
        <v>0.57999999999999996</v>
      </c>
      <c r="E1315" s="327">
        <v>0.54</v>
      </c>
      <c r="F1315" s="329">
        <v>0.47</v>
      </c>
      <c r="G1315" s="327">
        <v>0.47</v>
      </c>
      <c r="H1315" s="327">
        <v>0.55000000000000004</v>
      </c>
      <c r="I1315" s="18">
        <f>I1322/I1325</f>
        <v>0.51386814096624145</v>
      </c>
      <c r="J1315" s="19">
        <f>J1322/J1325</f>
        <v>0.51386814096624145</v>
      </c>
    </row>
    <row r="1316" spans="1:10" x14ac:dyDescent="0.25">
      <c r="A1316" s="10" t="s">
        <v>21</v>
      </c>
      <c r="B1316" s="325">
        <v>0.05</v>
      </c>
      <c r="C1316" s="326">
        <v>7.0000000000000007E-2</v>
      </c>
      <c r="D1316" s="326">
        <v>7.0000000000000007E-2</v>
      </c>
      <c r="E1316" s="327">
        <v>0.03</v>
      </c>
      <c r="F1316" s="329">
        <v>0.12</v>
      </c>
      <c r="G1316" s="327">
        <v>0.05</v>
      </c>
      <c r="H1316" s="327">
        <v>7.0000000000000007E-2</v>
      </c>
      <c r="I1316" s="18">
        <f>I1323/I1325</f>
        <v>7.0356887255261111E-2</v>
      </c>
      <c r="J1316" s="19">
        <f>J1323/J1325</f>
        <v>7.0356887255261111E-2</v>
      </c>
    </row>
    <row r="1317" spans="1:10" x14ac:dyDescent="0.25">
      <c r="A1317" s="10" t="s">
        <v>22</v>
      </c>
      <c r="B1317" s="325">
        <v>0</v>
      </c>
      <c r="C1317" s="326">
        <v>0</v>
      </c>
      <c r="D1317" s="326">
        <v>0</v>
      </c>
      <c r="E1317" s="327">
        <v>0</v>
      </c>
      <c r="F1317" s="329">
        <v>0</v>
      </c>
      <c r="G1317" s="327">
        <v>0</v>
      </c>
      <c r="H1317" s="327">
        <v>0</v>
      </c>
      <c r="I1317" s="18">
        <f>I1324/I1325</f>
        <v>0</v>
      </c>
      <c r="J1317" s="19">
        <f>J1324/J1325</f>
        <v>0</v>
      </c>
    </row>
    <row r="1318" spans="1:10" x14ac:dyDescent="0.25">
      <c r="A1318" s="24" t="s">
        <v>23</v>
      </c>
      <c r="B1318" s="130">
        <f t="shared" ref="B1318:J1318" si="586">B1329/B1312</f>
        <v>33197.260273972606</v>
      </c>
      <c r="C1318" s="131">
        <f t="shared" si="586"/>
        <v>35178.260869565223</v>
      </c>
      <c r="D1318" s="131">
        <f t="shared" si="586"/>
        <v>34174.747474747477</v>
      </c>
      <c r="E1318" s="130">
        <f t="shared" si="586"/>
        <v>31062.790697674423</v>
      </c>
      <c r="F1318" s="132">
        <f t="shared" si="586"/>
        <v>33108.415841584167</v>
      </c>
      <c r="G1318" s="130">
        <f t="shared" si="586"/>
        <v>34574.380165289258</v>
      </c>
      <c r="H1318" s="130">
        <f t="shared" si="586"/>
        <v>35883.606557377054</v>
      </c>
      <c r="I1318" s="314">
        <f t="shared" si="586"/>
        <v>34095.387840670861</v>
      </c>
      <c r="J1318" s="132">
        <f t="shared" si="586"/>
        <v>34095.387840670868</v>
      </c>
    </row>
    <row r="1319" spans="1:10" x14ac:dyDescent="0.25">
      <c r="A1319" s="24" t="s">
        <v>24</v>
      </c>
      <c r="B1319" s="130">
        <f t="shared" ref="B1319:J1319" si="587">B1329/B1306</f>
        <v>25243.750000000004</v>
      </c>
      <c r="C1319" s="131">
        <f t="shared" si="587"/>
        <v>26100.000000000004</v>
      </c>
      <c r="D1319" s="131">
        <f t="shared" si="587"/>
        <v>27961.157024793392</v>
      </c>
      <c r="E1319" s="130">
        <f t="shared" si="587"/>
        <v>29036.956521739135</v>
      </c>
      <c r="F1319" s="132">
        <f t="shared" si="587"/>
        <v>29332.89473684211</v>
      </c>
      <c r="G1319" s="130">
        <f t="shared" si="587"/>
        <v>28951.55709342561</v>
      </c>
      <c r="H1319" s="130">
        <f t="shared" si="587"/>
        <v>28427.272727272732</v>
      </c>
      <c r="I1319" s="314">
        <f t="shared" si="587"/>
        <v>28284.34782608696</v>
      </c>
      <c r="J1319" s="132">
        <f t="shared" si="587"/>
        <v>28284.347826086963</v>
      </c>
    </row>
    <row r="1320" spans="1:10" x14ac:dyDescent="0.25">
      <c r="A1320" s="10" t="s">
        <v>25</v>
      </c>
      <c r="B1320" s="92">
        <f t="shared" ref="B1320:H1320" si="588">B1325*B1313</f>
        <v>837108.45172413799</v>
      </c>
      <c r="C1320" s="133">
        <f t="shared" si="588"/>
        <v>696063.30000000016</v>
      </c>
      <c r="D1320" s="133">
        <f t="shared" si="588"/>
        <v>999704.27586206899</v>
      </c>
      <c r="E1320" s="92">
        <f t="shared" si="588"/>
        <v>964314.14482758637</v>
      </c>
      <c r="F1320" s="134">
        <f t="shared" si="588"/>
        <v>2299327.5741379312</v>
      </c>
      <c r="G1320" s="92">
        <f t="shared" si="588"/>
        <v>3222783.4758620695</v>
      </c>
      <c r="H1320" s="92">
        <f t="shared" si="588"/>
        <v>2093018.4448275866</v>
      </c>
      <c r="I1320" s="92">
        <f>FLORESTA!$B1320+FLORESTA!$C1320+FLORESTA!$D1320+FLORESTA!$E1320+FLORESTA!$F1320+FLORESTA!$G1320+FLORESTA!$H1320</f>
        <v>11112319.66724138</v>
      </c>
      <c r="J1320" s="133">
        <f>FLORESTA!$I1320/7</f>
        <v>1587474.23817734</v>
      </c>
    </row>
    <row r="1321" spans="1:10" x14ac:dyDescent="0.25">
      <c r="A1321" s="10" t="s">
        <v>26</v>
      </c>
      <c r="B1321" s="92">
        <f t="shared" ref="B1321:H1321" si="589">B1325*B1314</f>
        <v>0</v>
      </c>
      <c r="C1321" s="133">
        <f t="shared" si="589"/>
        <v>102362.25000000001</v>
      </c>
      <c r="D1321" s="133">
        <f t="shared" si="589"/>
        <v>0</v>
      </c>
      <c r="E1321" s="92">
        <f t="shared" si="589"/>
        <v>0</v>
      </c>
      <c r="F1321" s="134">
        <f t="shared" si="589"/>
        <v>0</v>
      </c>
      <c r="G1321" s="92">
        <f t="shared" si="589"/>
        <v>140121.02068965518</v>
      </c>
      <c r="H1321" s="92">
        <f t="shared" si="589"/>
        <v>0</v>
      </c>
      <c r="I1321" s="92">
        <f>FLORESTA!$B1321+FLORESTA!$C1321+FLORESTA!$D1321+FLORESTA!$E1321+FLORESTA!$F1321+FLORESTA!$G1321+FLORESTA!$H1321</f>
        <v>242483.27068965521</v>
      </c>
      <c r="J1321" s="133">
        <f>FLORESTA!$I1321/7</f>
        <v>34640.467241379316</v>
      </c>
    </row>
    <row r="1322" spans="1:10" x14ac:dyDescent="0.25">
      <c r="A1322" s="10" t="s">
        <v>27</v>
      </c>
      <c r="B1322" s="92">
        <f t="shared" ref="B1322:H1322" si="590">B1325*B1315</f>
        <v>1102533.0827586208</v>
      </c>
      <c r="C1322" s="133">
        <f t="shared" si="590"/>
        <v>1105512.3000000003</v>
      </c>
      <c r="D1322" s="133">
        <f t="shared" si="590"/>
        <v>1656652.8</v>
      </c>
      <c r="E1322" s="92">
        <f t="shared" si="590"/>
        <v>1210999.15862069</v>
      </c>
      <c r="F1322" s="134">
        <f t="shared" si="590"/>
        <v>2635814.5362068969</v>
      </c>
      <c r="G1322" s="92">
        <f t="shared" si="590"/>
        <v>3292843.9862068966</v>
      </c>
      <c r="H1322" s="92">
        <f t="shared" si="590"/>
        <v>3029368.8017241387</v>
      </c>
      <c r="I1322" s="92">
        <f>FLORESTA!$B1322+FLORESTA!$C1322+FLORESTA!$D1322+FLORESTA!$E1322+FLORESTA!$F1322+FLORESTA!$G1322+FLORESTA!$H1322</f>
        <v>14033724.665517244</v>
      </c>
      <c r="J1322" s="133">
        <f>FLORESTA!$I1322/7</f>
        <v>2004817.8093596064</v>
      </c>
    </row>
    <row r="1323" spans="1:10" x14ac:dyDescent="0.25">
      <c r="A1323" s="10" t="s">
        <v>28</v>
      </c>
      <c r="B1323" s="92">
        <f t="shared" ref="B1323:H1323" si="591">B1325*B1316</f>
        <v>102086.39655172416</v>
      </c>
      <c r="C1323" s="133">
        <f t="shared" si="591"/>
        <v>143307.15000000002</v>
      </c>
      <c r="D1323" s="133">
        <f t="shared" si="591"/>
        <v>199940.85517241384</v>
      </c>
      <c r="E1323" s="92">
        <f t="shared" si="591"/>
        <v>67277.731034482771</v>
      </c>
      <c r="F1323" s="134">
        <f t="shared" si="591"/>
        <v>672973.92413793108</v>
      </c>
      <c r="G1323" s="92">
        <f t="shared" si="591"/>
        <v>350302.55172413797</v>
      </c>
      <c r="H1323" s="92">
        <f t="shared" si="591"/>
        <v>385556.02931034495</v>
      </c>
      <c r="I1323" s="92">
        <f>FLORESTA!$B1323+FLORESTA!$C1323+FLORESTA!$D1323+FLORESTA!$E1323+FLORESTA!$F1323+FLORESTA!$G1323+FLORESTA!$H1323</f>
        <v>1921444.6379310349</v>
      </c>
      <c r="J1323" s="133">
        <f>FLORESTA!$I1323/7</f>
        <v>274492.09113300499</v>
      </c>
    </row>
    <row r="1324" spans="1:10" x14ac:dyDescent="0.25">
      <c r="A1324" s="10" t="s">
        <v>29</v>
      </c>
      <c r="B1324" s="92">
        <f t="shared" ref="B1324:H1324" si="592">B1325*B1317</f>
        <v>0</v>
      </c>
      <c r="C1324" s="133">
        <f t="shared" si="592"/>
        <v>0</v>
      </c>
      <c r="D1324" s="133">
        <f t="shared" si="592"/>
        <v>0</v>
      </c>
      <c r="E1324" s="92">
        <f t="shared" si="592"/>
        <v>0</v>
      </c>
      <c r="F1324" s="134">
        <f t="shared" si="592"/>
        <v>0</v>
      </c>
      <c r="G1324" s="92">
        <f t="shared" si="592"/>
        <v>0</v>
      </c>
      <c r="H1324" s="92">
        <f t="shared" si="592"/>
        <v>0</v>
      </c>
      <c r="I1324" s="92">
        <f>FLORESTA!$B1324+FLORESTA!$C1324+FLORESTA!$D1324+FLORESTA!$E1324+FLORESTA!$F1324+FLORESTA!$G1324+FLORESTA!$H1324</f>
        <v>0</v>
      </c>
      <c r="J1324" s="133">
        <f>FLORESTA!$I1324/7</f>
        <v>0</v>
      </c>
    </row>
    <row r="1325" spans="1:10" x14ac:dyDescent="0.25">
      <c r="A1325" s="33" t="s">
        <v>30</v>
      </c>
      <c r="B1325" s="222">
        <f>(2423400/1.16)-B1326</f>
        <v>2041727.931034483</v>
      </c>
      <c r="C1325" s="222">
        <f>(2427300/1.16)-C1326</f>
        <v>2047245.0000000002</v>
      </c>
      <c r="D1325" s="222">
        <f>(3383300/1.16)-D1326</f>
        <v>2856297.931034483</v>
      </c>
      <c r="E1325" s="222">
        <f>(2671400/1.16)-E1326</f>
        <v>2242591.034482759</v>
      </c>
      <c r="F1325" s="222">
        <f>(6687900/1.16)-F1326</f>
        <v>5608116.0344827594</v>
      </c>
      <c r="G1325" s="222">
        <f>(8367000/1.16)-G1326</f>
        <v>7006051.0344827594</v>
      </c>
      <c r="H1325" s="222">
        <f>(6566700/1.16)-H1326</f>
        <v>5507943.2758620698</v>
      </c>
      <c r="I1325" s="91">
        <f>SUM(I1320:I1324)</f>
        <v>27309972.241379313</v>
      </c>
      <c r="J1325" s="136">
        <f>FLORESTA!$I1325/7</f>
        <v>3901424.6059113303</v>
      </c>
    </row>
    <row r="1326" spans="1:10" x14ac:dyDescent="0.25">
      <c r="A1326" s="10" t="s">
        <v>31</v>
      </c>
      <c r="B1326" s="94">
        <f t="shared" ref="B1326:J1326" si="593">2155*B1307</f>
        <v>47410</v>
      </c>
      <c r="C1326" s="139">
        <f t="shared" si="593"/>
        <v>45255</v>
      </c>
      <c r="D1326" s="139">
        <f t="shared" si="593"/>
        <v>60340</v>
      </c>
      <c r="E1326" s="94">
        <f t="shared" si="593"/>
        <v>60340</v>
      </c>
      <c r="F1326" s="112">
        <f t="shared" si="593"/>
        <v>157315</v>
      </c>
      <c r="G1326" s="94">
        <f t="shared" si="593"/>
        <v>206880</v>
      </c>
      <c r="H1326" s="94">
        <f t="shared" si="593"/>
        <v>153005</v>
      </c>
      <c r="I1326" s="94">
        <f t="shared" si="593"/>
        <v>730545</v>
      </c>
      <c r="J1326" s="139">
        <f t="shared" si="593"/>
        <v>104363.57142857143</v>
      </c>
    </row>
    <row r="1327" spans="1:10" x14ac:dyDescent="0.25">
      <c r="A1327" s="37" t="s">
        <v>32</v>
      </c>
      <c r="B1327" s="39">
        <f t="shared" ref="B1327:H1327" si="594">B1325+B1326</f>
        <v>2089137.931034483</v>
      </c>
      <c r="C1327" s="40">
        <f t="shared" si="594"/>
        <v>2092500.0000000002</v>
      </c>
      <c r="D1327" s="40">
        <f t="shared" si="594"/>
        <v>2916637.931034483</v>
      </c>
      <c r="E1327" s="39">
        <f t="shared" si="594"/>
        <v>2302931.034482759</v>
      </c>
      <c r="F1327" s="140">
        <f t="shared" si="594"/>
        <v>5765431.0344827594</v>
      </c>
      <c r="G1327" s="39">
        <f t="shared" si="594"/>
        <v>7212931.0344827594</v>
      </c>
      <c r="H1327" s="39">
        <f t="shared" si="594"/>
        <v>5660948.2758620698</v>
      </c>
      <c r="I1327" s="39">
        <f>I1325+I1326</f>
        <v>28040517.241379313</v>
      </c>
      <c r="J1327" s="40">
        <f>J1325+J1326</f>
        <v>4005788.1773399017</v>
      </c>
    </row>
    <row r="1328" spans="1:10" x14ac:dyDescent="0.25">
      <c r="A1328" s="10" t="s">
        <v>33</v>
      </c>
      <c r="B1328" s="41">
        <f t="shared" ref="B1328:H1328" si="595">B1327*16%</f>
        <v>334262.06896551728</v>
      </c>
      <c r="C1328" s="42">
        <f t="shared" si="595"/>
        <v>334800.00000000006</v>
      </c>
      <c r="D1328" s="42">
        <f t="shared" si="595"/>
        <v>466662.06896551728</v>
      </c>
      <c r="E1328" s="41">
        <f t="shared" si="595"/>
        <v>368468.96551724145</v>
      </c>
      <c r="F1328" s="141">
        <f t="shared" si="595"/>
        <v>922468.96551724151</v>
      </c>
      <c r="G1328" s="41">
        <f t="shared" si="595"/>
        <v>1154068.9655172415</v>
      </c>
      <c r="H1328" s="41">
        <f t="shared" si="595"/>
        <v>905751.72413793113</v>
      </c>
      <c r="I1328" s="41">
        <f>I1327*16%</f>
        <v>4486482.7586206906</v>
      </c>
      <c r="J1328" s="42">
        <f>J1327*16%</f>
        <v>640926.10837438423</v>
      </c>
    </row>
    <row r="1329" spans="1:20" x14ac:dyDescent="0.25">
      <c r="A1329" s="43" t="s">
        <v>34</v>
      </c>
      <c r="B1329" s="315">
        <f t="shared" ref="B1329:H1329" si="596">B1327+B1328</f>
        <v>2423400.0000000005</v>
      </c>
      <c r="C1329" s="315">
        <f t="shared" si="596"/>
        <v>2427300.0000000005</v>
      </c>
      <c r="D1329" s="315">
        <f t="shared" si="596"/>
        <v>3383300.0000000005</v>
      </c>
      <c r="E1329" s="178">
        <f t="shared" si="596"/>
        <v>2671400.0000000005</v>
      </c>
      <c r="F1329" s="182">
        <f t="shared" si="596"/>
        <v>6687900.0000000009</v>
      </c>
      <c r="G1329" s="178">
        <f t="shared" si="596"/>
        <v>8367000.0000000009</v>
      </c>
      <c r="H1329" s="178">
        <f t="shared" si="596"/>
        <v>6566700.0000000009</v>
      </c>
      <c r="I1329" s="178">
        <f>I1327+I1328</f>
        <v>32527000.000000004</v>
      </c>
      <c r="J1329" s="315">
        <f>FLORESTA!$I1329/7</f>
        <v>4646714.2857142864</v>
      </c>
    </row>
    <row r="1331" spans="1:20" ht="12.75" customHeight="1" x14ac:dyDescent="0.25">
      <c r="A1331" s="149"/>
      <c r="B1331" s="1006" t="s">
        <v>388</v>
      </c>
      <c r="C1331" s="1006"/>
      <c r="D1331" s="1006"/>
      <c r="E1331" s="1006"/>
      <c r="F1331" s="1006"/>
      <c r="G1331" s="1006"/>
      <c r="H1331" s="1006"/>
      <c r="I1331" s="1006"/>
    </row>
    <row r="1332" spans="1:20" x14ac:dyDescent="0.25">
      <c r="A1332" s="149"/>
      <c r="B1332" s="1006"/>
      <c r="C1332" s="1006"/>
      <c r="D1332" s="1006"/>
      <c r="E1332" s="1006"/>
      <c r="F1332" s="1006"/>
      <c r="G1332" s="1006"/>
      <c r="H1332" s="1006"/>
      <c r="I1332" s="1006"/>
    </row>
    <row r="1333" spans="1:20" ht="15.75" x14ac:dyDescent="0.25">
      <c r="A1333" s="72" t="s">
        <v>2</v>
      </c>
      <c r="B1333" s="239" t="s">
        <v>329</v>
      </c>
      <c r="C1333" s="239" t="s">
        <v>330</v>
      </c>
      <c r="D1333" s="239" t="s">
        <v>331</v>
      </c>
      <c r="E1333" s="239" t="s">
        <v>332</v>
      </c>
      <c r="F1333" s="239" t="s">
        <v>333</v>
      </c>
      <c r="G1333" s="239" t="s">
        <v>334</v>
      </c>
      <c r="H1333" s="239" t="s">
        <v>335</v>
      </c>
      <c r="I1333" s="240" t="s">
        <v>96</v>
      </c>
      <c r="J1333" s="241" t="s">
        <v>97</v>
      </c>
    </row>
    <row r="1334" spans="1:20" x14ac:dyDescent="0.25">
      <c r="A1334" s="74" t="s">
        <v>11</v>
      </c>
      <c r="B1334" s="55">
        <f>25+18+2</f>
        <v>45</v>
      </c>
      <c r="C1334" s="56">
        <f>42+22+7</f>
        <v>71</v>
      </c>
      <c r="D1334" s="54">
        <f>47+23+6</f>
        <v>76</v>
      </c>
      <c r="E1334" s="316">
        <f>46+26+6</f>
        <v>78</v>
      </c>
      <c r="F1334" s="311">
        <f>107+78+27</f>
        <v>212</v>
      </c>
      <c r="G1334" s="58">
        <f>135+99+27</f>
        <v>261</v>
      </c>
      <c r="H1334" s="57">
        <f>111+98+26</f>
        <v>235</v>
      </c>
      <c r="I1334" s="311">
        <f t="shared" ref="I1334:I1339" si="597">SUM(B1334:H1334)</f>
        <v>978</v>
      </c>
      <c r="J1334" s="317">
        <f>FLORESTA!$I1334/7</f>
        <v>139.71428571428572</v>
      </c>
    </row>
    <row r="1335" spans="1:20" x14ac:dyDescent="0.25">
      <c r="A1335" s="10" t="s">
        <v>12</v>
      </c>
      <c r="B1335" s="86">
        <v>10</v>
      </c>
      <c r="C1335" s="13">
        <v>21</v>
      </c>
      <c r="D1335" s="320">
        <v>18</v>
      </c>
      <c r="E1335" s="11">
        <v>27</v>
      </c>
      <c r="F1335" s="125">
        <v>69</v>
      </c>
      <c r="G1335" s="11">
        <v>96</v>
      </c>
      <c r="H1335" s="11">
        <v>60</v>
      </c>
      <c r="I1335" s="313">
        <f t="shared" si="597"/>
        <v>301</v>
      </c>
      <c r="J1335" s="318">
        <f>FLORESTA!$I1335/7</f>
        <v>43</v>
      </c>
    </row>
    <row r="1336" spans="1:20" x14ac:dyDescent="0.25">
      <c r="A1336" s="10" t="s">
        <v>13</v>
      </c>
      <c r="B1336" s="11">
        <v>1</v>
      </c>
      <c r="C1336" s="13">
        <v>37</v>
      </c>
      <c r="D1336" s="13">
        <v>0</v>
      </c>
      <c r="E1336" s="11">
        <v>0</v>
      </c>
      <c r="F1336" s="125">
        <v>2</v>
      </c>
      <c r="G1336" s="11">
        <v>2</v>
      </c>
      <c r="H1336" s="11">
        <v>4</v>
      </c>
      <c r="I1336" s="313">
        <f t="shared" si="597"/>
        <v>46</v>
      </c>
      <c r="J1336" s="318">
        <f>C1336+D1336+E1336+F1336+G1336+H1336+I1336</f>
        <v>91</v>
      </c>
    </row>
    <row r="1337" spans="1:20" x14ac:dyDescent="0.25">
      <c r="A1337" s="10" t="s">
        <v>14</v>
      </c>
      <c r="B1337" s="11">
        <v>32</v>
      </c>
      <c r="C1337" s="13">
        <v>0</v>
      </c>
      <c r="D1337" s="320">
        <v>49</v>
      </c>
      <c r="E1337" s="11">
        <v>39</v>
      </c>
      <c r="F1337" s="125">
        <v>101</v>
      </c>
      <c r="G1337" s="11">
        <v>108</v>
      </c>
      <c r="H1337" s="11">
        <v>106</v>
      </c>
      <c r="I1337" s="313">
        <f t="shared" si="597"/>
        <v>435</v>
      </c>
      <c r="J1337" s="318">
        <f>FLORESTA!$I1337/7</f>
        <v>62.142857142857146</v>
      </c>
    </row>
    <row r="1338" spans="1:20" x14ac:dyDescent="0.25">
      <c r="A1338" s="10" t="s">
        <v>15</v>
      </c>
      <c r="B1338" s="11">
        <v>1</v>
      </c>
      <c r="C1338" s="13">
        <v>0</v>
      </c>
      <c r="D1338" s="13">
        <v>1</v>
      </c>
      <c r="E1338" s="11">
        <v>4</v>
      </c>
      <c r="F1338" s="125">
        <v>6</v>
      </c>
      <c r="G1338" s="11">
        <v>12</v>
      </c>
      <c r="H1338" s="11">
        <v>18</v>
      </c>
      <c r="I1338" s="313">
        <f t="shared" si="597"/>
        <v>42</v>
      </c>
      <c r="J1338" s="318">
        <f>FLORESTA!$I1338/7</f>
        <v>6</v>
      </c>
    </row>
    <row r="1339" spans="1:20" x14ac:dyDescent="0.25">
      <c r="A1339" s="10" t="s">
        <v>16</v>
      </c>
      <c r="B1339" s="11">
        <v>0</v>
      </c>
      <c r="C1339" s="13">
        <v>0</v>
      </c>
      <c r="D1339" s="13">
        <v>0</v>
      </c>
      <c r="E1339" s="11">
        <v>0</v>
      </c>
      <c r="F1339" s="125">
        <v>0</v>
      </c>
      <c r="G1339" s="11">
        <v>0</v>
      </c>
      <c r="H1339" s="11">
        <v>0</v>
      </c>
      <c r="I1339" s="313">
        <f t="shared" si="597"/>
        <v>0</v>
      </c>
      <c r="J1339" s="318">
        <f>FLORESTA!$I1339/7</f>
        <v>0</v>
      </c>
    </row>
    <row r="1340" spans="1:20" x14ac:dyDescent="0.25">
      <c r="A1340" s="15" t="s">
        <v>17</v>
      </c>
      <c r="B1340" s="79">
        <f t="shared" ref="B1340:I1340" si="598">SUM(B1335:B1339)</f>
        <v>44</v>
      </c>
      <c r="C1340" s="79">
        <f t="shared" si="598"/>
        <v>58</v>
      </c>
      <c r="D1340" s="79">
        <f t="shared" si="598"/>
        <v>68</v>
      </c>
      <c r="E1340" s="103">
        <f t="shared" si="598"/>
        <v>70</v>
      </c>
      <c r="F1340" s="213">
        <f t="shared" si="598"/>
        <v>178</v>
      </c>
      <c r="G1340" s="103">
        <f t="shared" si="598"/>
        <v>218</v>
      </c>
      <c r="H1340" s="103">
        <f t="shared" si="598"/>
        <v>188</v>
      </c>
      <c r="I1340" s="103">
        <f t="shared" si="598"/>
        <v>824</v>
      </c>
      <c r="J1340" s="319">
        <f>FLORESTA!$I1340/7</f>
        <v>117.71428571428571</v>
      </c>
    </row>
    <row r="1341" spans="1:20" x14ac:dyDescent="0.25">
      <c r="A1341" s="10" t="s">
        <v>18</v>
      </c>
      <c r="B1341" s="325">
        <v>0.27</v>
      </c>
      <c r="C1341" s="326">
        <v>0.43</v>
      </c>
      <c r="D1341" s="326">
        <v>0.28999999999999998</v>
      </c>
      <c r="E1341" s="327">
        <v>0.47</v>
      </c>
      <c r="F1341" s="328">
        <v>0.42</v>
      </c>
      <c r="G1341" s="327">
        <v>0.5</v>
      </c>
      <c r="H1341" s="327">
        <v>0.34</v>
      </c>
      <c r="I1341" s="18">
        <f>I1348/I1353</f>
        <v>0.4089805827710451</v>
      </c>
      <c r="J1341" s="19">
        <f>J1348/J1353</f>
        <v>0.4089805827710451</v>
      </c>
      <c r="L1341" s="330"/>
      <c r="M1341" s="328"/>
      <c r="N1341" s="328"/>
      <c r="O1341" s="328"/>
      <c r="P1341" s="331"/>
      <c r="Q1341" s="328"/>
      <c r="R1341" s="328"/>
      <c r="S1341" s="85"/>
      <c r="T1341" s="85"/>
    </row>
    <row r="1342" spans="1:20" x14ac:dyDescent="0.25">
      <c r="A1342" s="10" t="s">
        <v>19</v>
      </c>
      <c r="B1342" s="325">
        <v>0.02</v>
      </c>
      <c r="C1342" s="326">
        <v>0</v>
      </c>
      <c r="D1342" s="326">
        <v>0</v>
      </c>
      <c r="E1342" s="327">
        <v>0</v>
      </c>
      <c r="F1342" s="327">
        <v>0.02</v>
      </c>
      <c r="G1342" s="327">
        <v>0.01</v>
      </c>
      <c r="H1342" s="327">
        <v>0.02</v>
      </c>
      <c r="I1342" s="18">
        <f>I1349/I1353</f>
        <v>1.2873495028029749E-2</v>
      </c>
      <c r="J1342" s="19">
        <f>J1349/J1353</f>
        <v>1.2873495028029749E-2</v>
      </c>
      <c r="L1342" s="330"/>
      <c r="M1342" s="328"/>
      <c r="N1342" s="328"/>
      <c r="O1342" s="328"/>
      <c r="P1342" s="328"/>
      <c r="Q1342" s="328"/>
      <c r="R1342" s="328"/>
      <c r="S1342" s="85"/>
      <c r="T1342" s="85"/>
    </row>
    <row r="1343" spans="1:20" x14ac:dyDescent="0.25">
      <c r="A1343" s="10" t="s">
        <v>20</v>
      </c>
      <c r="B1343" s="325">
        <v>0.7</v>
      </c>
      <c r="C1343" s="326">
        <v>0.56999999999999995</v>
      </c>
      <c r="D1343" s="326">
        <v>0.68</v>
      </c>
      <c r="E1343" s="327">
        <v>0.48</v>
      </c>
      <c r="F1343" s="329">
        <v>0.53</v>
      </c>
      <c r="G1343" s="327">
        <v>0.44</v>
      </c>
      <c r="H1343" s="327">
        <v>0.56999999999999995</v>
      </c>
      <c r="I1343" s="18">
        <f>I1350/I1353</f>
        <v>0.53404923288970785</v>
      </c>
      <c r="J1343" s="19">
        <f>J1350/J1353</f>
        <v>0.53404923288970785</v>
      </c>
      <c r="L1343" s="330"/>
      <c r="M1343" s="328"/>
      <c r="N1343" s="328"/>
      <c r="O1343" s="328"/>
      <c r="P1343" s="328"/>
      <c r="Q1343" s="328"/>
      <c r="R1343" s="328"/>
      <c r="S1343" s="85"/>
      <c r="T1343" s="85"/>
    </row>
    <row r="1344" spans="1:20" x14ac:dyDescent="0.25">
      <c r="A1344" s="10" t="s">
        <v>21</v>
      </c>
      <c r="B1344" s="325">
        <v>0.01</v>
      </c>
      <c r="C1344" s="326">
        <v>0</v>
      </c>
      <c r="D1344" s="326">
        <v>0.03</v>
      </c>
      <c r="E1344" s="327">
        <v>0.05</v>
      </c>
      <c r="F1344" s="329">
        <v>0.03</v>
      </c>
      <c r="G1344" s="327">
        <v>0.05</v>
      </c>
      <c r="H1344" s="327">
        <v>7.0000000000000007E-2</v>
      </c>
      <c r="I1344" s="18">
        <f>I1351/I1353</f>
        <v>4.409668931121722E-2</v>
      </c>
      <c r="J1344" s="19">
        <f>J1351/J1353</f>
        <v>4.409668931121722E-2</v>
      </c>
      <c r="L1344" s="330"/>
      <c r="M1344" s="328"/>
      <c r="N1344" s="328"/>
      <c r="O1344" s="328"/>
      <c r="P1344" s="328"/>
      <c r="Q1344" s="328"/>
      <c r="R1344" s="328"/>
      <c r="S1344" s="85"/>
      <c r="T1344" s="85"/>
    </row>
    <row r="1345" spans="1:20" x14ac:dyDescent="0.25">
      <c r="A1345" s="10" t="s">
        <v>22</v>
      </c>
      <c r="B1345" s="325">
        <v>0</v>
      </c>
      <c r="C1345" s="326">
        <v>0</v>
      </c>
      <c r="D1345" s="326">
        <v>0</v>
      </c>
      <c r="E1345" s="327">
        <v>0</v>
      </c>
      <c r="F1345" s="329">
        <v>0</v>
      </c>
      <c r="G1345" s="327">
        <v>0</v>
      </c>
      <c r="H1345" s="327">
        <v>0</v>
      </c>
      <c r="I1345" s="18">
        <f>I1352/I1353</f>
        <v>0</v>
      </c>
      <c r="J1345" s="19">
        <f>J1352/J1353</f>
        <v>0</v>
      </c>
      <c r="L1345" s="330"/>
      <c r="M1345" s="328"/>
      <c r="N1345" s="328"/>
      <c r="O1345" s="328"/>
      <c r="P1345" s="328"/>
      <c r="Q1345" s="328"/>
      <c r="R1345" s="328"/>
      <c r="S1345" s="85"/>
      <c r="T1345" s="85"/>
    </row>
    <row r="1346" spans="1:20" x14ac:dyDescent="0.25">
      <c r="A1346" s="24" t="s">
        <v>23</v>
      </c>
      <c r="B1346" s="130">
        <f t="shared" ref="B1346:J1346" si="599">B1357/B1340</f>
        <v>27356.81818181818</v>
      </c>
      <c r="C1346" s="131">
        <f t="shared" si="599"/>
        <v>32341.379310344833</v>
      </c>
      <c r="D1346" s="131">
        <f t="shared" si="599"/>
        <v>31670.588235294119</v>
      </c>
      <c r="E1346" s="130">
        <f t="shared" si="599"/>
        <v>30901.428571428572</v>
      </c>
      <c r="F1346" s="132">
        <f t="shared" si="599"/>
        <v>33466.292134831463</v>
      </c>
      <c r="G1346" s="130">
        <f t="shared" si="599"/>
        <v>34159.633027522934</v>
      </c>
      <c r="H1346" s="130">
        <f t="shared" si="599"/>
        <v>37132.446808510642</v>
      </c>
      <c r="I1346" s="314">
        <f t="shared" si="599"/>
        <v>33714.684466019426</v>
      </c>
      <c r="J1346" s="132">
        <f t="shared" si="599"/>
        <v>33714.684466019426</v>
      </c>
    </row>
    <row r="1347" spans="1:20" x14ac:dyDescent="0.25">
      <c r="A1347" s="24" t="s">
        <v>24</v>
      </c>
      <c r="B1347" s="130">
        <f t="shared" ref="B1347:J1347" si="600">B1357/B1334</f>
        <v>26748.888888888891</v>
      </c>
      <c r="C1347" s="131">
        <f t="shared" si="600"/>
        <v>26419.718309859159</v>
      </c>
      <c r="D1347" s="131">
        <f t="shared" si="600"/>
        <v>28336.842105263157</v>
      </c>
      <c r="E1347" s="130">
        <f t="shared" si="600"/>
        <v>27732.051282051281</v>
      </c>
      <c r="F1347" s="132">
        <f t="shared" si="600"/>
        <v>28099.056603773588</v>
      </c>
      <c r="G1347" s="130">
        <f t="shared" si="600"/>
        <v>28531.800766283526</v>
      </c>
      <c r="H1347" s="130">
        <f t="shared" si="600"/>
        <v>29705.957446808512</v>
      </c>
      <c r="I1347" s="314">
        <f t="shared" si="600"/>
        <v>28405.828220858904</v>
      </c>
      <c r="J1347" s="132">
        <f t="shared" si="600"/>
        <v>28405.828220858901</v>
      </c>
    </row>
    <row r="1348" spans="1:20" x14ac:dyDescent="0.25">
      <c r="A1348" s="10" t="s">
        <v>25</v>
      </c>
      <c r="B1348" s="92">
        <f t="shared" ref="B1348:H1348" si="601">B1353*B1341</f>
        <v>274353.05172413797</v>
      </c>
      <c r="C1348" s="133">
        <f t="shared" si="601"/>
        <v>675880.00517241389</v>
      </c>
      <c r="D1348" s="133">
        <f t="shared" si="601"/>
        <v>527150.9</v>
      </c>
      <c r="E1348" s="92">
        <f t="shared" si="601"/>
        <v>849081.49827586208</v>
      </c>
      <c r="F1348" s="134">
        <f t="shared" si="601"/>
        <v>2094392.9275862072</v>
      </c>
      <c r="G1348" s="92">
        <f t="shared" si="601"/>
        <v>3106387.5862068967</v>
      </c>
      <c r="H1348" s="92">
        <f t="shared" si="601"/>
        <v>2002163.8620689656</v>
      </c>
      <c r="I1348" s="92">
        <f>FLORESTA!$B1348+FLORESTA!$C1348+FLORESTA!$D1348+FLORESTA!$E1348+FLORESTA!$F1348+FLORESTA!$G1348+FLORESTA!$H1348</f>
        <v>9529409.8310344834</v>
      </c>
      <c r="J1348" s="133">
        <f>FLORESTA!$I1348/7</f>
        <v>1361344.2615763547</v>
      </c>
    </row>
    <row r="1349" spans="1:20" x14ac:dyDescent="0.25">
      <c r="A1349" s="10" t="s">
        <v>26</v>
      </c>
      <c r="B1349" s="92">
        <f t="shared" ref="B1349:H1349" si="602">B1353*B1342</f>
        <v>20322.448275862072</v>
      </c>
      <c r="C1349" s="133">
        <f t="shared" si="602"/>
        <v>0</v>
      </c>
      <c r="D1349" s="133">
        <f t="shared" si="602"/>
        <v>0</v>
      </c>
      <c r="E1349" s="92">
        <f t="shared" si="602"/>
        <v>0</v>
      </c>
      <c r="F1349" s="134">
        <f t="shared" si="602"/>
        <v>99732.996551724151</v>
      </c>
      <c r="G1349" s="92">
        <f t="shared" si="602"/>
        <v>62127.751724137932</v>
      </c>
      <c r="H1349" s="92">
        <f t="shared" si="602"/>
        <v>117774.3448275862</v>
      </c>
      <c r="I1349" s="92">
        <f>FLORESTA!$B1349+FLORESTA!$C1349+FLORESTA!$D1349+FLORESTA!$E1349+FLORESTA!$F1349+FLORESTA!$G1349+FLORESTA!$H1349</f>
        <v>299957.54137931037</v>
      </c>
      <c r="J1349" s="133">
        <f>FLORESTA!$I1349/7</f>
        <v>42851.07733990148</v>
      </c>
    </row>
    <row r="1350" spans="1:20" x14ac:dyDescent="0.25">
      <c r="A1350" s="10" t="s">
        <v>27</v>
      </c>
      <c r="B1350" s="92">
        <f t="shared" ref="B1350:H1350" si="603">B1353*B1343</f>
        <v>711285.68965517241</v>
      </c>
      <c r="C1350" s="133">
        <f t="shared" si="603"/>
        <v>895933.96034482762</v>
      </c>
      <c r="D1350" s="133">
        <f t="shared" si="603"/>
        <v>1236077.9724137932</v>
      </c>
      <c r="E1350" s="92">
        <f t="shared" si="603"/>
        <v>867147.06206896564</v>
      </c>
      <c r="F1350" s="134">
        <f t="shared" si="603"/>
        <v>2642924.40862069</v>
      </c>
      <c r="G1350" s="92">
        <f t="shared" si="603"/>
        <v>2733621.0758620691</v>
      </c>
      <c r="H1350" s="92">
        <f t="shared" si="603"/>
        <v>3356568.8275862066</v>
      </c>
      <c r="I1350" s="92">
        <f>FLORESTA!$B1350+FLORESTA!$C1350+FLORESTA!$D1350+FLORESTA!$E1350+FLORESTA!$F1350+FLORESTA!$G1350+FLORESTA!$H1350</f>
        <v>12443558.996551726</v>
      </c>
      <c r="J1350" s="133">
        <f>FLORESTA!$I1350/7</f>
        <v>1777651.2852216752</v>
      </c>
    </row>
    <row r="1351" spans="1:20" x14ac:dyDescent="0.25">
      <c r="A1351" s="10" t="s">
        <v>28</v>
      </c>
      <c r="B1351" s="92">
        <f t="shared" ref="B1351:H1351" si="604">B1353*B1344</f>
        <v>10161.224137931036</v>
      </c>
      <c r="C1351" s="133">
        <f t="shared" si="604"/>
        <v>0</v>
      </c>
      <c r="D1351" s="133">
        <f t="shared" si="604"/>
        <v>54532.85172413793</v>
      </c>
      <c r="E1351" s="92">
        <f t="shared" si="604"/>
        <v>90327.818965517261</v>
      </c>
      <c r="F1351" s="134">
        <f t="shared" si="604"/>
        <v>149599.49482758623</v>
      </c>
      <c r="G1351" s="92">
        <f t="shared" si="604"/>
        <v>310638.75862068968</v>
      </c>
      <c r="H1351" s="92">
        <f t="shared" si="604"/>
        <v>412210.20689655177</v>
      </c>
      <c r="I1351" s="92">
        <f>FLORESTA!$B1351+FLORESTA!$C1351+FLORESTA!$D1351+FLORESTA!$E1351+FLORESTA!$F1351+FLORESTA!$G1351+FLORESTA!$H1351</f>
        <v>1027470.355172414</v>
      </c>
      <c r="J1351" s="133">
        <f>FLORESTA!$I1351/7</f>
        <v>146781.47931034485</v>
      </c>
    </row>
    <row r="1352" spans="1:20" x14ac:dyDescent="0.25">
      <c r="A1352" s="10" t="s">
        <v>29</v>
      </c>
      <c r="B1352" s="92">
        <f t="shared" ref="B1352:H1352" si="605">B1353*B1345</f>
        <v>0</v>
      </c>
      <c r="C1352" s="133">
        <f t="shared" si="605"/>
        <v>0</v>
      </c>
      <c r="D1352" s="133">
        <f t="shared" si="605"/>
        <v>0</v>
      </c>
      <c r="E1352" s="92">
        <f t="shared" si="605"/>
        <v>0</v>
      </c>
      <c r="F1352" s="134">
        <f t="shared" si="605"/>
        <v>0</v>
      </c>
      <c r="G1352" s="92">
        <f t="shared" si="605"/>
        <v>0</v>
      </c>
      <c r="H1352" s="92">
        <f t="shared" si="605"/>
        <v>0</v>
      </c>
      <c r="I1352" s="92">
        <f>FLORESTA!$B1352+FLORESTA!$C1352+FLORESTA!$D1352+FLORESTA!$E1352+FLORESTA!$F1352+FLORESTA!$G1352+FLORESTA!$H1352</f>
        <v>0</v>
      </c>
      <c r="J1352" s="133">
        <f>FLORESTA!$I1352/7</f>
        <v>0</v>
      </c>
    </row>
    <row r="1353" spans="1:20" x14ac:dyDescent="0.25">
      <c r="A1353" s="33" t="s">
        <v>30</v>
      </c>
      <c r="B1353" s="222">
        <f>(1203700/1.16)-B1354</f>
        <v>1016122.4137931035</v>
      </c>
      <c r="C1353" s="222">
        <f>(1875800/1.16)-C1354</f>
        <v>1571813.9655172415</v>
      </c>
      <c r="D1353" s="222">
        <f>(2153600/1.16)-D1354</f>
        <v>1817761.7241379311</v>
      </c>
      <c r="E1353" s="222">
        <f>(2163100/1.16)-E1354</f>
        <v>1806556.379310345</v>
      </c>
      <c r="F1353" s="222">
        <f>(5957000/1.16)-F1354</f>
        <v>4986649.8275862075</v>
      </c>
      <c r="G1353" s="222">
        <f>(7446800/1.16)-G1354</f>
        <v>6212775.1724137934</v>
      </c>
      <c r="H1353" s="222">
        <f>(6980900/1.16)-H1354</f>
        <v>5888717.2413793104</v>
      </c>
      <c r="I1353" s="91">
        <f>SUM(I1348:I1352)</f>
        <v>23300396.724137936</v>
      </c>
      <c r="J1353" s="136">
        <f>FLORESTA!$I1353/7</f>
        <v>3328628.1034482764</v>
      </c>
    </row>
    <row r="1354" spans="1:20" x14ac:dyDescent="0.25">
      <c r="A1354" s="10" t="s">
        <v>31</v>
      </c>
      <c r="B1354" s="94">
        <f t="shared" ref="B1354:J1354" si="606">2155*B1335</f>
        <v>21550</v>
      </c>
      <c r="C1354" s="139">
        <f t="shared" si="606"/>
        <v>45255</v>
      </c>
      <c r="D1354" s="139">
        <f t="shared" si="606"/>
        <v>38790</v>
      </c>
      <c r="E1354" s="94">
        <f t="shared" si="606"/>
        <v>58185</v>
      </c>
      <c r="F1354" s="112">
        <f t="shared" si="606"/>
        <v>148695</v>
      </c>
      <c r="G1354" s="94">
        <f t="shared" si="606"/>
        <v>206880</v>
      </c>
      <c r="H1354" s="94">
        <f t="shared" si="606"/>
        <v>129300</v>
      </c>
      <c r="I1354" s="94">
        <f t="shared" si="606"/>
        <v>648655</v>
      </c>
      <c r="J1354" s="139">
        <f t="shared" si="606"/>
        <v>92665</v>
      </c>
    </row>
    <row r="1355" spans="1:20" x14ac:dyDescent="0.25">
      <c r="A1355" s="37" t="s">
        <v>32</v>
      </c>
      <c r="B1355" s="39">
        <f t="shared" ref="B1355:H1355" si="607">B1353+B1354</f>
        <v>1037672.4137931035</v>
      </c>
      <c r="C1355" s="40">
        <f t="shared" si="607"/>
        <v>1617068.9655172415</v>
      </c>
      <c r="D1355" s="40">
        <f t="shared" si="607"/>
        <v>1856551.7241379311</v>
      </c>
      <c r="E1355" s="39">
        <f t="shared" si="607"/>
        <v>1864741.379310345</v>
      </c>
      <c r="F1355" s="140">
        <f t="shared" si="607"/>
        <v>5135344.8275862075</v>
      </c>
      <c r="G1355" s="39">
        <f t="shared" si="607"/>
        <v>6419655.1724137934</v>
      </c>
      <c r="H1355" s="39">
        <f t="shared" si="607"/>
        <v>6018017.2413793104</v>
      </c>
      <c r="I1355" s="39">
        <f>I1353+I1354</f>
        <v>23949051.724137936</v>
      </c>
      <c r="J1355" s="40">
        <f>J1353+J1354</f>
        <v>3421293.1034482764</v>
      </c>
    </row>
    <row r="1356" spans="1:20" x14ac:dyDescent="0.25">
      <c r="A1356" s="10" t="s">
        <v>33</v>
      </c>
      <c r="B1356" s="41">
        <f t="shared" ref="B1356:H1356" si="608">B1355*16%</f>
        <v>166027.58620689658</v>
      </c>
      <c r="C1356" s="42">
        <f t="shared" si="608"/>
        <v>258731.03448275864</v>
      </c>
      <c r="D1356" s="42">
        <f t="shared" si="608"/>
        <v>297048.27586206899</v>
      </c>
      <c r="E1356" s="41">
        <f t="shared" si="608"/>
        <v>298358.62068965519</v>
      </c>
      <c r="F1356" s="141">
        <f t="shared" si="608"/>
        <v>821655.17241379328</v>
      </c>
      <c r="G1356" s="41">
        <f t="shared" si="608"/>
        <v>1027144.827586207</v>
      </c>
      <c r="H1356" s="41">
        <f t="shared" si="608"/>
        <v>962882.75862068962</v>
      </c>
      <c r="I1356" s="41">
        <f>I1355*16%</f>
        <v>3831848.2758620698</v>
      </c>
      <c r="J1356" s="42">
        <f>J1355*16%</f>
        <v>547406.89655172429</v>
      </c>
    </row>
    <row r="1357" spans="1:20" x14ac:dyDescent="0.25">
      <c r="A1357" s="43" t="s">
        <v>34</v>
      </c>
      <c r="B1357" s="315">
        <f t="shared" ref="B1357:H1357" si="609">B1355+B1356</f>
        <v>1203700</v>
      </c>
      <c r="C1357" s="315">
        <f t="shared" si="609"/>
        <v>1875800.0000000002</v>
      </c>
      <c r="D1357" s="315">
        <f t="shared" si="609"/>
        <v>2153600</v>
      </c>
      <c r="E1357" s="178">
        <f t="shared" si="609"/>
        <v>2163100</v>
      </c>
      <c r="F1357" s="182">
        <f t="shared" si="609"/>
        <v>5957000.0000000009</v>
      </c>
      <c r="G1357" s="178">
        <f t="shared" si="609"/>
        <v>7446800</v>
      </c>
      <c r="H1357" s="178">
        <f t="shared" si="609"/>
        <v>6980900</v>
      </c>
      <c r="I1357" s="178">
        <f>I1355+I1356</f>
        <v>27780900.000000007</v>
      </c>
      <c r="J1357" s="315">
        <f>FLORESTA!$I1357/7</f>
        <v>3968700.0000000009</v>
      </c>
    </row>
    <row r="1359" spans="1:20" ht="12.75" customHeight="1" x14ac:dyDescent="0.25">
      <c r="A1359" s="149"/>
      <c r="B1359" s="1006" t="s">
        <v>389</v>
      </c>
      <c r="C1359" s="1006"/>
      <c r="D1359" s="1006"/>
      <c r="E1359" s="1006"/>
      <c r="F1359" s="1006"/>
      <c r="G1359" s="1006"/>
      <c r="H1359" s="1006"/>
      <c r="I1359" s="1006"/>
    </row>
    <row r="1360" spans="1:20" x14ac:dyDescent="0.25">
      <c r="A1360" s="149"/>
      <c r="B1360" s="1006"/>
      <c r="C1360" s="1006"/>
      <c r="D1360" s="1006"/>
      <c r="E1360" s="1006"/>
      <c r="F1360" s="1006"/>
      <c r="G1360" s="1006"/>
      <c r="H1360" s="1006"/>
      <c r="I1360" s="1006"/>
    </row>
    <row r="1361" spans="1:10" ht="15.75" x14ac:dyDescent="0.25">
      <c r="A1361" s="72" t="s">
        <v>2</v>
      </c>
      <c r="B1361" s="239" t="s">
        <v>337</v>
      </c>
      <c r="C1361" s="239" t="s">
        <v>338</v>
      </c>
      <c r="D1361" s="239" t="s">
        <v>339</v>
      </c>
      <c r="E1361" s="239" t="s">
        <v>340</v>
      </c>
      <c r="F1361" s="239" t="s">
        <v>341</v>
      </c>
      <c r="G1361" s="239" t="s">
        <v>342</v>
      </c>
      <c r="H1361" s="239" t="s">
        <v>343</v>
      </c>
      <c r="I1361" s="240" t="s">
        <v>96</v>
      </c>
      <c r="J1361" s="241" t="s">
        <v>97</v>
      </c>
    </row>
    <row r="1362" spans="1:10" x14ac:dyDescent="0.25">
      <c r="A1362" s="74" t="s">
        <v>11</v>
      </c>
      <c r="B1362" s="55">
        <f>29+25+4</f>
        <v>58</v>
      </c>
      <c r="C1362" s="56">
        <f>44+20+6</f>
        <v>70</v>
      </c>
      <c r="D1362" s="54">
        <f>46+22+2</f>
        <v>70</v>
      </c>
      <c r="E1362" s="316">
        <f>46+35+9</f>
        <v>90</v>
      </c>
      <c r="F1362" s="311">
        <f>143+98+19</f>
        <v>260</v>
      </c>
      <c r="G1362" s="58">
        <f>146+146+33</f>
        <v>325</v>
      </c>
      <c r="H1362" s="57">
        <f>116+85+38</f>
        <v>239</v>
      </c>
      <c r="I1362" s="311">
        <f t="shared" ref="I1362:I1367" si="610">SUM(B1362:H1362)</f>
        <v>1112</v>
      </c>
      <c r="J1362" s="317">
        <f>FLORESTA!$I1362/7</f>
        <v>158.85714285714286</v>
      </c>
    </row>
    <row r="1363" spans="1:10" x14ac:dyDescent="0.25">
      <c r="A1363" s="10" t="s">
        <v>12</v>
      </c>
      <c r="B1363" s="86">
        <v>20</v>
      </c>
      <c r="C1363" s="13">
        <v>21</v>
      </c>
      <c r="D1363" s="320">
        <v>17</v>
      </c>
      <c r="E1363" s="11">
        <v>18</v>
      </c>
      <c r="F1363" s="125">
        <v>83</v>
      </c>
      <c r="G1363" s="11">
        <v>80</v>
      </c>
      <c r="H1363" s="11">
        <v>77</v>
      </c>
      <c r="I1363" s="313">
        <f t="shared" si="610"/>
        <v>316</v>
      </c>
      <c r="J1363" s="318">
        <f>FLORESTA!$I1363/7</f>
        <v>45.142857142857146</v>
      </c>
    </row>
    <row r="1364" spans="1:10" x14ac:dyDescent="0.25">
      <c r="A1364" s="10" t="s">
        <v>13</v>
      </c>
      <c r="B1364" s="11">
        <v>0</v>
      </c>
      <c r="C1364" s="13">
        <v>0</v>
      </c>
      <c r="D1364" s="13">
        <v>1</v>
      </c>
      <c r="E1364" s="11">
        <v>1</v>
      </c>
      <c r="F1364" s="125">
        <v>2</v>
      </c>
      <c r="G1364" s="11">
        <v>2</v>
      </c>
      <c r="H1364" s="11">
        <v>4</v>
      </c>
      <c r="I1364" s="313">
        <f t="shared" si="610"/>
        <v>10</v>
      </c>
      <c r="J1364" s="318">
        <f>C1364+D1364+E1364+F1364+G1364+H1364+I1364</f>
        <v>20</v>
      </c>
    </row>
    <row r="1365" spans="1:10" x14ac:dyDescent="0.25">
      <c r="A1365" s="10" t="s">
        <v>14</v>
      </c>
      <c r="B1365" s="11">
        <v>38</v>
      </c>
      <c r="C1365" s="13">
        <v>42</v>
      </c>
      <c r="D1365" s="320">
        <v>48</v>
      </c>
      <c r="E1365" s="11">
        <v>52</v>
      </c>
      <c r="F1365" s="125">
        <v>103</v>
      </c>
      <c r="G1365" s="11">
        <v>164</v>
      </c>
      <c r="H1365" s="11">
        <v>86</v>
      </c>
      <c r="I1365" s="313">
        <f t="shared" si="610"/>
        <v>533</v>
      </c>
      <c r="J1365" s="318">
        <f>FLORESTA!$I1365/7</f>
        <v>76.142857142857139</v>
      </c>
    </row>
    <row r="1366" spans="1:10" x14ac:dyDescent="0.25">
      <c r="A1366" s="10" t="s">
        <v>15</v>
      </c>
      <c r="B1366" s="11">
        <v>0</v>
      </c>
      <c r="C1366" s="13">
        <v>4</v>
      </c>
      <c r="D1366" s="13">
        <v>3</v>
      </c>
      <c r="E1366" s="11">
        <v>5</v>
      </c>
      <c r="F1366" s="125">
        <v>24</v>
      </c>
      <c r="G1366" s="11">
        <v>29</v>
      </c>
      <c r="H1366" s="11">
        <v>10</v>
      </c>
      <c r="I1366" s="313">
        <f t="shared" si="610"/>
        <v>75</v>
      </c>
      <c r="J1366" s="318">
        <f>FLORESTA!$I1366/7</f>
        <v>10.714285714285714</v>
      </c>
    </row>
    <row r="1367" spans="1:10" x14ac:dyDescent="0.25">
      <c r="A1367" s="10" t="s">
        <v>16</v>
      </c>
      <c r="B1367" s="11">
        <v>0</v>
      </c>
      <c r="C1367" s="13">
        <v>0</v>
      </c>
      <c r="D1367" s="13">
        <v>0</v>
      </c>
      <c r="E1367" s="11">
        <v>0</v>
      </c>
      <c r="F1367" s="125">
        <v>0</v>
      </c>
      <c r="G1367" s="11">
        <v>0</v>
      </c>
      <c r="H1367" s="11">
        <v>0</v>
      </c>
      <c r="I1367" s="313">
        <f t="shared" si="610"/>
        <v>0</v>
      </c>
      <c r="J1367" s="318">
        <f>FLORESTA!$I1367/7</f>
        <v>0</v>
      </c>
    </row>
    <row r="1368" spans="1:10" x14ac:dyDescent="0.25">
      <c r="A1368" s="15" t="s">
        <v>17</v>
      </c>
      <c r="B1368" s="79">
        <f t="shared" ref="B1368:I1368" si="611">SUM(B1363:B1367)</f>
        <v>58</v>
      </c>
      <c r="C1368" s="79">
        <f t="shared" si="611"/>
        <v>67</v>
      </c>
      <c r="D1368" s="79">
        <f t="shared" si="611"/>
        <v>69</v>
      </c>
      <c r="E1368" s="103">
        <f t="shared" si="611"/>
        <v>76</v>
      </c>
      <c r="F1368" s="213">
        <f t="shared" si="611"/>
        <v>212</v>
      </c>
      <c r="G1368" s="103">
        <f t="shared" si="611"/>
        <v>275</v>
      </c>
      <c r="H1368" s="103">
        <f t="shared" si="611"/>
        <v>177</v>
      </c>
      <c r="I1368" s="103">
        <f t="shared" si="611"/>
        <v>934</v>
      </c>
      <c r="J1368" s="319">
        <f>FLORESTA!$I1368/7</f>
        <v>133.42857142857142</v>
      </c>
    </row>
    <row r="1369" spans="1:10" x14ac:dyDescent="0.25">
      <c r="A1369" s="10" t="s">
        <v>18</v>
      </c>
      <c r="B1369" s="325">
        <v>0.38</v>
      </c>
      <c r="C1369" s="326">
        <v>0.41</v>
      </c>
      <c r="D1369" s="326">
        <v>0.28999999999999998</v>
      </c>
      <c r="E1369" s="327">
        <v>0.26</v>
      </c>
      <c r="F1369" s="328">
        <v>0.43</v>
      </c>
      <c r="G1369" s="327">
        <v>0.32</v>
      </c>
      <c r="H1369" s="327">
        <v>0.46</v>
      </c>
      <c r="I1369" s="18">
        <f>I1376/I1381</f>
        <v>0.37692572930438073</v>
      </c>
      <c r="J1369" s="19">
        <f>J1376/J1381</f>
        <v>0.37692572930438073</v>
      </c>
    </row>
    <row r="1370" spans="1:10" x14ac:dyDescent="0.25">
      <c r="A1370" s="10" t="s">
        <v>19</v>
      </c>
      <c r="B1370" s="325">
        <v>0</v>
      </c>
      <c r="C1370" s="326">
        <v>0</v>
      </c>
      <c r="D1370" s="326">
        <v>0.02</v>
      </c>
      <c r="E1370" s="327">
        <v>0.02</v>
      </c>
      <c r="F1370" s="327">
        <v>0.01</v>
      </c>
      <c r="G1370" s="327">
        <v>0.01</v>
      </c>
      <c r="H1370" s="327">
        <v>0.01</v>
      </c>
      <c r="I1370" s="18">
        <f>I1377/I1381</f>
        <v>1.0338589772053085E-2</v>
      </c>
      <c r="J1370" s="19">
        <f>J1377/J1381</f>
        <v>1.0338589772053085E-2</v>
      </c>
    </row>
    <row r="1371" spans="1:10" x14ac:dyDescent="0.25">
      <c r="A1371" s="10" t="s">
        <v>20</v>
      </c>
      <c r="B1371" s="325">
        <v>0.62</v>
      </c>
      <c r="C1371" s="326">
        <v>0.53</v>
      </c>
      <c r="D1371" s="326">
        <v>0.66</v>
      </c>
      <c r="E1371" s="327">
        <v>0.66</v>
      </c>
      <c r="F1371" s="329">
        <v>0.46</v>
      </c>
      <c r="G1371" s="327">
        <v>0.56000000000000005</v>
      </c>
      <c r="H1371" s="327">
        <v>0.46</v>
      </c>
      <c r="I1371" s="18">
        <f>I1378/I1381</f>
        <v>0.53070913496524719</v>
      </c>
      <c r="J1371" s="19">
        <f>J1378/J1381</f>
        <v>0.5307091349652473</v>
      </c>
    </row>
    <row r="1372" spans="1:10" x14ac:dyDescent="0.25">
      <c r="A1372" s="10" t="s">
        <v>21</v>
      </c>
      <c r="B1372" s="325">
        <v>0</v>
      </c>
      <c r="C1372" s="326">
        <v>0.06</v>
      </c>
      <c r="D1372" s="326">
        <v>0.03</v>
      </c>
      <c r="E1372" s="327">
        <v>0.06</v>
      </c>
      <c r="F1372" s="329">
        <v>0.1</v>
      </c>
      <c r="G1372" s="327">
        <v>0.11</v>
      </c>
      <c r="H1372" s="327">
        <v>7.0000000000000007E-2</v>
      </c>
      <c r="I1372" s="18">
        <f>I1379/I1381</f>
        <v>8.2026545958318944E-2</v>
      </c>
      <c r="J1372" s="19">
        <f>J1379/J1381</f>
        <v>8.2026545958318944E-2</v>
      </c>
    </row>
    <row r="1373" spans="1:10" x14ac:dyDescent="0.25">
      <c r="A1373" s="10" t="s">
        <v>22</v>
      </c>
      <c r="B1373" s="325">
        <v>0</v>
      </c>
      <c r="C1373" s="326">
        <v>0</v>
      </c>
      <c r="D1373" s="326">
        <v>0</v>
      </c>
      <c r="E1373" s="327">
        <v>0</v>
      </c>
      <c r="F1373" s="329">
        <v>0</v>
      </c>
      <c r="G1373" s="327">
        <v>0</v>
      </c>
      <c r="H1373" s="327">
        <v>0</v>
      </c>
      <c r="I1373" s="18">
        <f>I1380/I1381</f>
        <v>0</v>
      </c>
      <c r="J1373" s="19">
        <f>J1380/J1381</f>
        <v>0</v>
      </c>
    </row>
    <row r="1374" spans="1:10" x14ac:dyDescent="0.25">
      <c r="A1374" s="24" t="s">
        <v>23</v>
      </c>
      <c r="B1374" s="130">
        <f t="shared" ref="B1374:J1374" si="612">B1385/B1368</f>
        <v>27075.862068965518</v>
      </c>
      <c r="C1374" s="131">
        <f t="shared" si="612"/>
        <v>28001.492537313436</v>
      </c>
      <c r="D1374" s="131">
        <f t="shared" si="612"/>
        <v>29491.304347826092</v>
      </c>
      <c r="E1374" s="130">
        <f t="shared" si="612"/>
        <v>32200.000000000007</v>
      </c>
      <c r="F1374" s="132">
        <f t="shared" si="612"/>
        <v>36180.188679245286</v>
      </c>
      <c r="G1374" s="130">
        <f t="shared" si="612"/>
        <v>35060.727272727272</v>
      </c>
      <c r="H1374" s="130">
        <f t="shared" si="612"/>
        <v>37164.406779661025</v>
      </c>
      <c r="I1374" s="314">
        <f t="shared" si="612"/>
        <v>34067.02355460386</v>
      </c>
      <c r="J1374" s="132">
        <f t="shared" si="612"/>
        <v>34067.02355460386</v>
      </c>
    </row>
    <row r="1375" spans="1:10" x14ac:dyDescent="0.25">
      <c r="A1375" s="24" t="s">
        <v>24</v>
      </c>
      <c r="B1375" s="130">
        <f t="shared" ref="B1375:J1375" si="613">B1385/B1362</f>
        <v>27075.862068965518</v>
      </c>
      <c r="C1375" s="131">
        <f t="shared" si="613"/>
        <v>26801.428571428576</v>
      </c>
      <c r="D1375" s="131">
        <f t="shared" si="613"/>
        <v>29070.000000000004</v>
      </c>
      <c r="E1375" s="130">
        <f t="shared" si="613"/>
        <v>27191.111111111117</v>
      </c>
      <c r="F1375" s="132">
        <f t="shared" si="613"/>
        <v>29500.76923076923</v>
      </c>
      <c r="G1375" s="130">
        <f t="shared" si="613"/>
        <v>29666.76923076923</v>
      </c>
      <c r="H1375" s="130">
        <f t="shared" si="613"/>
        <v>27523.4309623431</v>
      </c>
      <c r="I1375" s="314">
        <f t="shared" si="613"/>
        <v>28613.848920863315</v>
      </c>
      <c r="J1375" s="132">
        <f t="shared" si="613"/>
        <v>28613.848920863315</v>
      </c>
    </row>
    <row r="1376" spans="1:10" x14ac:dyDescent="0.25">
      <c r="A1376" s="10" t="s">
        <v>25</v>
      </c>
      <c r="B1376" s="92">
        <f t="shared" ref="B1376:H1376" si="614">B1381*B1369</f>
        <v>498063.37931034487</v>
      </c>
      <c r="C1376" s="133">
        <f t="shared" si="614"/>
        <v>644549.76034482766</v>
      </c>
      <c r="D1376" s="133">
        <f t="shared" si="614"/>
        <v>498100.85000000003</v>
      </c>
      <c r="E1376" s="92">
        <f t="shared" si="614"/>
        <v>538424.9448275863</v>
      </c>
      <c r="F1376" s="134">
        <f t="shared" si="614"/>
        <v>2766351.8431034484</v>
      </c>
      <c r="G1376" s="92">
        <f t="shared" si="614"/>
        <v>2604611.3103448278</v>
      </c>
      <c r="H1376" s="92">
        <f t="shared" si="614"/>
        <v>2532226.7965517244</v>
      </c>
      <c r="I1376" s="92">
        <f>FLORESTA!$B1376+FLORESTA!$C1376+FLORESTA!$D1376+FLORESTA!$E1376+FLORESTA!$F1376+FLORESTA!$G1376+FLORESTA!$H1376</f>
        <v>10082328.88448276</v>
      </c>
      <c r="J1376" s="133">
        <f>FLORESTA!$I1376/7</f>
        <v>1440332.6977832515</v>
      </c>
    </row>
    <row r="1377" spans="1:10" x14ac:dyDescent="0.25">
      <c r="A1377" s="10" t="s">
        <v>26</v>
      </c>
      <c r="B1377" s="92">
        <f t="shared" ref="B1377:H1377" si="615">B1381*B1370</f>
        <v>0</v>
      </c>
      <c r="C1377" s="133">
        <f t="shared" si="615"/>
        <v>0</v>
      </c>
      <c r="D1377" s="133">
        <f t="shared" si="615"/>
        <v>34351.782758620691</v>
      </c>
      <c r="E1377" s="92">
        <f t="shared" si="615"/>
        <v>41417.303448275867</v>
      </c>
      <c r="F1377" s="134">
        <f t="shared" si="615"/>
        <v>64333.763793103455</v>
      </c>
      <c r="G1377" s="92">
        <f t="shared" si="615"/>
        <v>81394.10344827587</v>
      </c>
      <c r="H1377" s="92">
        <f t="shared" si="615"/>
        <v>55048.408620689661</v>
      </c>
      <c r="I1377" s="92">
        <f>FLORESTA!$B1377+FLORESTA!$C1377+FLORESTA!$D1377+FLORESTA!$E1377+FLORESTA!$F1377+FLORESTA!$G1377+FLORESTA!$H1377</f>
        <v>276545.36206896551</v>
      </c>
      <c r="J1377" s="133">
        <f>FLORESTA!$I1377/7</f>
        <v>39506.4802955665</v>
      </c>
    </row>
    <row r="1378" spans="1:10" x14ac:dyDescent="0.25">
      <c r="A1378" s="10" t="s">
        <v>27</v>
      </c>
      <c r="B1378" s="92">
        <f t="shared" ref="B1378:H1378" si="616">B1381*B1371</f>
        <v>812629.72413793113</v>
      </c>
      <c r="C1378" s="133">
        <f t="shared" si="616"/>
        <v>833198.47068965528</v>
      </c>
      <c r="D1378" s="133">
        <f t="shared" si="616"/>
        <v>1133608.8310344829</v>
      </c>
      <c r="E1378" s="92">
        <f t="shared" si="616"/>
        <v>1366771.0137931036</v>
      </c>
      <c r="F1378" s="134">
        <f t="shared" si="616"/>
        <v>2959353.1344827591</v>
      </c>
      <c r="G1378" s="92">
        <f t="shared" si="616"/>
        <v>4558069.793103449</v>
      </c>
      <c r="H1378" s="92">
        <f t="shared" si="616"/>
        <v>2532226.7965517244</v>
      </c>
      <c r="I1378" s="92">
        <f>FLORESTA!$B1378+FLORESTA!$C1378+FLORESTA!$D1378+FLORESTA!$E1378+FLORESTA!$F1378+FLORESTA!$G1378+FLORESTA!$H1378</f>
        <v>14195857.763793105</v>
      </c>
      <c r="J1378" s="133">
        <f>FLORESTA!$I1378/7</f>
        <v>2027979.6805418723</v>
      </c>
    </row>
    <row r="1379" spans="1:10" x14ac:dyDescent="0.25">
      <c r="A1379" s="10" t="s">
        <v>28</v>
      </c>
      <c r="B1379" s="92">
        <f t="shared" ref="B1379:H1379" si="617">B1381*B1372</f>
        <v>0</v>
      </c>
      <c r="C1379" s="133">
        <f t="shared" si="617"/>
        <v>94324.355172413794</v>
      </c>
      <c r="D1379" s="133">
        <f t="shared" si="617"/>
        <v>51527.674137931041</v>
      </c>
      <c r="E1379" s="92">
        <f t="shared" si="617"/>
        <v>124251.9103448276</v>
      </c>
      <c r="F1379" s="134">
        <f t="shared" si="617"/>
        <v>643337.63793103455</v>
      </c>
      <c r="G1379" s="92">
        <f t="shared" si="617"/>
        <v>895335.13793103455</v>
      </c>
      <c r="H1379" s="92">
        <f t="shared" si="617"/>
        <v>385338.86034482764</v>
      </c>
      <c r="I1379" s="92">
        <f>FLORESTA!$B1379+FLORESTA!$C1379+FLORESTA!$D1379+FLORESTA!$E1379+FLORESTA!$F1379+FLORESTA!$G1379+FLORESTA!$H1379</f>
        <v>2194115.5758620691</v>
      </c>
      <c r="J1379" s="133">
        <f>FLORESTA!$I1379/7</f>
        <v>313445.08226600988</v>
      </c>
    </row>
    <row r="1380" spans="1:10" x14ac:dyDescent="0.25">
      <c r="A1380" s="10" t="s">
        <v>29</v>
      </c>
      <c r="B1380" s="92">
        <f t="shared" ref="B1380:H1380" si="618">B1381*B1373</f>
        <v>0</v>
      </c>
      <c r="C1380" s="133">
        <f t="shared" si="618"/>
        <v>0</v>
      </c>
      <c r="D1380" s="133">
        <f t="shared" si="618"/>
        <v>0</v>
      </c>
      <c r="E1380" s="92">
        <f t="shared" si="618"/>
        <v>0</v>
      </c>
      <c r="F1380" s="134">
        <f t="shared" si="618"/>
        <v>0</v>
      </c>
      <c r="G1380" s="92">
        <f t="shared" si="618"/>
        <v>0</v>
      </c>
      <c r="H1380" s="92">
        <f t="shared" si="618"/>
        <v>0</v>
      </c>
      <c r="I1380" s="92">
        <f>FLORESTA!$B1380+FLORESTA!$C1380+FLORESTA!$D1380+FLORESTA!$E1380+FLORESTA!$F1380+FLORESTA!$G1380+FLORESTA!$H1380</f>
        <v>0</v>
      </c>
      <c r="J1380" s="133">
        <f>FLORESTA!$I1380/7</f>
        <v>0</v>
      </c>
    </row>
    <row r="1381" spans="1:10" x14ac:dyDescent="0.25">
      <c r="A1381" s="33" t="s">
        <v>30</v>
      </c>
      <c r="B1381" s="222">
        <f>(1570400/1.16)-B1382</f>
        <v>1310693.1034482759</v>
      </c>
      <c r="C1381" s="222">
        <f>(1876100/1.16)-C1382</f>
        <v>1572072.5862068967</v>
      </c>
      <c r="D1381" s="222">
        <f>(2034900/1.16)-D1382</f>
        <v>1717589.1379310347</v>
      </c>
      <c r="E1381" s="222">
        <f>(2447200/1.16)-E1382</f>
        <v>2070865.1724137934</v>
      </c>
      <c r="F1381" s="222">
        <f>(7670200/1.16)-F1382</f>
        <v>6433376.3793103453</v>
      </c>
      <c r="G1381" s="222">
        <f>(9641700/1.16)-G1382</f>
        <v>8139410.3448275868</v>
      </c>
      <c r="H1381" s="222">
        <f>(6578100/1.16)-H1382</f>
        <v>5504840.862068966</v>
      </c>
      <c r="I1381" s="91">
        <f>SUM(I1376:I1380)</f>
        <v>26748847.586206902</v>
      </c>
      <c r="J1381" s="136">
        <f>FLORESTA!$I1381/7</f>
        <v>3821263.9408867001</v>
      </c>
    </row>
    <row r="1382" spans="1:10" x14ac:dyDescent="0.25">
      <c r="A1382" s="10" t="s">
        <v>31</v>
      </c>
      <c r="B1382" s="94">
        <f t="shared" ref="B1382:J1382" si="619">2155*B1363</f>
        <v>43100</v>
      </c>
      <c r="C1382" s="139">
        <f t="shared" si="619"/>
        <v>45255</v>
      </c>
      <c r="D1382" s="139">
        <f t="shared" si="619"/>
        <v>36635</v>
      </c>
      <c r="E1382" s="94">
        <f t="shared" si="619"/>
        <v>38790</v>
      </c>
      <c r="F1382" s="112">
        <f t="shared" si="619"/>
        <v>178865</v>
      </c>
      <c r="G1382" s="94">
        <f t="shared" si="619"/>
        <v>172400</v>
      </c>
      <c r="H1382" s="94">
        <f t="shared" si="619"/>
        <v>165935</v>
      </c>
      <c r="I1382" s="94">
        <f t="shared" si="619"/>
        <v>680980</v>
      </c>
      <c r="J1382" s="139">
        <f t="shared" si="619"/>
        <v>97282.857142857145</v>
      </c>
    </row>
    <row r="1383" spans="1:10" x14ac:dyDescent="0.25">
      <c r="A1383" s="37" t="s">
        <v>32</v>
      </c>
      <c r="B1383" s="39">
        <f t="shared" ref="B1383:H1383" si="620">B1381+B1382</f>
        <v>1353793.1034482759</v>
      </c>
      <c r="C1383" s="40">
        <f t="shared" si="620"/>
        <v>1617327.5862068967</v>
      </c>
      <c r="D1383" s="40">
        <f t="shared" si="620"/>
        <v>1754224.1379310347</v>
      </c>
      <c r="E1383" s="39">
        <f t="shared" si="620"/>
        <v>2109655.1724137934</v>
      </c>
      <c r="F1383" s="140">
        <f t="shared" si="620"/>
        <v>6612241.3793103453</v>
      </c>
      <c r="G1383" s="39">
        <f t="shared" si="620"/>
        <v>8311810.3448275868</v>
      </c>
      <c r="H1383" s="39">
        <f t="shared" si="620"/>
        <v>5670775.862068966</v>
      </c>
      <c r="I1383" s="39">
        <f>I1381+I1382</f>
        <v>27429827.586206902</v>
      </c>
      <c r="J1383" s="40">
        <f>J1381+J1382</f>
        <v>3918546.7980295573</v>
      </c>
    </row>
    <row r="1384" spans="1:10" x14ac:dyDescent="0.25">
      <c r="A1384" s="10" t="s">
        <v>33</v>
      </c>
      <c r="B1384" s="41">
        <f t="shared" ref="B1384:H1384" si="621">B1383*16%</f>
        <v>216606.89655172414</v>
      </c>
      <c r="C1384" s="42">
        <f t="shared" si="621"/>
        <v>258772.41379310348</v>
      </c>
      <c r="D1384" s="42">
        <f t="shared" si="621"/>
        <v>280675.86206896557</v>
      </c>
      <c r="E1384" s="41">
        <f t="shared" si="621"/>
        <v>337544.82758620696</v>
      </c>
      <c r="F1384" s="141">
        <f t="shared" si="621"/>
        <v>1057958.6206896552</v>
      </c>
      <c r="G1384" s="41">
        <f t="shared" si="621"/>
        <v>1329889.6551724139</v>
      </c>
      <c r="H1384" s="41">
        <f t="shared" si="621"/>
        <v>907324.13793103455</v>
      </c>
      <c r="I1384" s="41">
        <f>I1383*16%</f>
        <v>4388772.4137931047</v>
      </c>
      <c r="J1384" s="42">
        <f>J1383*16%</f>
        <v>626967.48768472916</v>
      </c>
    </row>
    <row r="1385" spans="1:10" x14ac:dyDescent="0.25">
      <c r="A1385" s="43" t="s">
        <v>34</v>
      </c>
      <c r="B1385" s="315">
        <f t="shared" ref="B1385:H1385" si="622">B1383+B1384</f>
        <v>1570400</v>
      </c>
      <c r="C1385" s="315">
        <f t="shared" si="622"/>
        <v>1876100.0000000002</v>
      </c>
      <c r="D1385" s="315">
        <f t="shared" si="622"/>
        <v>2034900.0000000002</v>
      </c>
      <c r="E1385" s="178">
        <f t="shared" si="622"/>
        <v>2447200.0000000005</v>
      </c>
      <c r="F1385" s="182">
        <f t="shared" si="622"/>
        <v>7670200</v>
      </c>
      <c r="G1385" s="178">
        <f t="shared" si="622"/>
        <v>9641700</v>
      </c>
      <c r="H1385" s="178">
        <f t="shared" si="622"/>
        <v>6578100.0000000009</v>
      </c>
      <c r="I1385" s="178">
        <f>I1383+I1384</f>
        <v>31818600.000000007</v>
      </c>
      <c r="J1385" s="315">
        <f>FLORESTA!$I1385/7</f>
        <v>4545514.2857142864</v>
      </c>
    </row>
    <row r="1387" spans="1:10" ht="12.75" customHeight="1" x14ac:dyDescent="0.25">
      <c r="A1387" s="149"/>
      <c r="B1387" s="1006" t="s">
        <v>390</v>
      </c>
      <c r="C1387" s="1006"/>
      <c r="D1387" s="1006"/>
      <c r="E1387" s="1006"/>
      <c r="F1387" s="1006"/>
      <c r="G1387" s="1006"/>
      <c r="H1387" s="1006"/>
      <c r="I1387" s="1006"/>
    </row>
    <row r="1388" spans="1:10" x14ac:dyDescent="0.25">
      <c r="A1388" s="149"/>
      <c r="B1388" s="1006"/>
      <c r="C1388" s="1006"/>
      <c r="D1388" s="1006"/>
      <c r="E1388" s="1006"/>
      <c r="F1388" s="1006"/>
      <c r="G1388" s="1006"/>
      <c r="H1388" s="1006"/>
      <c r="I1388" s="1006"/>
    </row>
    <row r="1389" spans="1:10" ht="15.75" x14ac:dyDescent="0.25">
      <c r="A1389" s="72" t="s">
        <v>2</v>
      </c>
      <c r="B1389" s="239" t="s">
        <v>345</v>
      </c>
      <c r="C1389" s="239" t="s">
        <v>346</v>
      </c>
      <c r="D1389" s="239" t="s">
        <v>347</v>
      </c>
      <c r="E1389" s="239" t="s">
        <v>348</v>
      </c>
      <c r="F1389" s="239" t="s">
        <v>349</v>
      </c>
      <c r="G1389" s="239" t="s">
        <v>350</v>
      </c>
      <c r="H1389" s="239" t="s">
        <v>351</v>
      </c>
      <c r="I1389" s="240" t="s">
        <v>96</v>
      </c>
      <c r="J1389" s="241" t="s">
        <v>97</v>
      </c>
    </row>
    <row r="1390" spans="1:10" x14ac:dyDescent="0.25">
      <c r="A1390" s="74" t="s">
        <v>11</v>
      </c>
      <c r="B1390" s="55">
        <f>51+19+3</f>
        <v>73</v>
      </c>
      <c r="C1390" s="56">
        <f>53+25+9</f>
        <v>87</v>
      </c>
      <c r="D1390" s="54">
        <f>43+27+4</f>
        <v>74</v>
      </c>
      <c r="E1390" s="316">
        <f>72+35+7</f>
        <v>114</v>
      </c>
      <c r="F1390" s="311">
        <f>119+88+22</f>
        <v>229</v>
      </c>
      <c r="G1390" s="58">
        <f>157+127+30</f>
        <v>314</v>
      </c>
      <c r="H1390" s="57">
        <f>105+87+27</f>
        <v>219</v>
      </c>
      <c r="I1390" s="311">
        <f t="shared" ref="I1390:I1395" si="623">SUM(B1390:H1390)</f>
        <v>1110</v>
      </c>
      <c r="J1390" s="317">
        <f>FLORESTA!$I1390/7</f>
        <v>158.57142857142858</v>
      </c>
    </row>
    <row r="1391" spans="1:10" x14ac:dyDescent="0.25">
      <c r="A1391" s="10" t="s">
        <v>12</v>
      </c>
      <c r="B1391" s="86">
        <v>17</v>
      </c>
      <c r="C1391" s="13">
        <v>20</v>
      </c>
      <c r="D1391" s="320">
        <v>20</v>
      </c>
      <c r="E1391" s="11">
        <v>35</v>
      </c>
      <c r="F1391" s="125">
        <v>81</v>
      </c>
      <c r="G1391" s="11">
        <v>102</v>
      </c>
      <c r="H1391" s="11">
        <v>65</v>
      </c>
      <c r="I1391" s="313">
        <f t="shared" si="623"/>
        <v>340</v>
      </c>
      <c r="J1391" s="318">
        <f>FLORESTA!$I1391/7</f>
        <v>48.571428571428569</v>
      </c>
    </row>
    <row r="1392" spans="1:10" x14ac:dyDescent="0.25">
      <c r="A1392" s="10" t="s">
        <v>13</v>
      </c>
      <c r="B1392" s="11">
        <v>0</v>
      </c>
      <c r="C1392" s="13">
        <v>0</v>
      </c>
      <c r="D1392" s="13">
        <v>1</v>
      </c>
      <c r="E1392" s="11">
        <v>1</v>
      </c>
      <c r="F1392" s="125">
        <v>2</v>
      </c>
      <c r="G1392" s="11">
        <v>6</v>
      </c>
      <c r="H1392" s="11">
        <v>2</v>
      </c>
      <c r="I1392" s="313">
        <f t="shared" si="623"/>
        <v>12</v>
      </c>
      <c r="J1392" s="318">
        <f>C1392+D1392+E1392+F1392+G1392+H1392+I1392</f>
        <v>24</v>
      </c>
    </row>
    <row r="1393" spans="1:10" x14ac:dyDescent="0.25">
      <c r="A1393" s="10" t="s">
        <v>14</v>
      </c>
      <c r="B1393" s="11">
        <v>34</v>
      </c>
      <c r="C1393" s="13">
        <v>46</v>
      </c>
      <c r="D1393" s="320">
        <v>43</v>
      </c>
      <c r="E1393" s="11">
        <v>50</v>
      </c>
      <c r="F1393" s="125">
        <v>87</v>
      </c>
      <c r="G1393" s="11">
        <v>134</v>
      </c>
      <c r="H1393" s="11">
        <v>99</v>
      </c>
      <c r="I1393" s="313">
        <f t="shared" si="623"/>
        <v>493</v>
      </c>
      <c r="J1393" s="318">
        <f>FLORESTA!$I1393/7</f>
        <v>70.428571428571431</v>
      </c>
    </row>
    <row r="1394" spans="1:10" x14ac:dyDescent="0.25">
      <c r="A1394" s="10" t="s">
        <v>15</v>
      </c>
      <c r="B1394" s="11">
        <v>2</v>
      </c>
      <c r="C1394" s="13">
        <v>3</v>
      </c>
      <c r="D1394" s="13">
        <v>5</v>
      </c>
      <c r="E1394" s="11">
        <v>7</v>
      </c>
      <c r="F1394" s="125">
        <v>21</v>
      </c>
      <c r="G1394" s="11">
        <v>19</v>
      </c>
      <c r="H1394" s="11">
        <v>9</v>
      </c>
      <c r="I1394" s="313">
        <f t="shared" si="623"/>
        <v>66</v>
      </c>
      <c r="J1394" s="318">
        <f>FLORESTA!$I1394/7</f>
        <v>9.4285714285714288</v>
      </c>
    </row>
    <row r="1395" spans="1:10" x14ac:dyDescent="0.25">
      <c r="A1395" s="10" t="s">
        <v>16</v>
      </c>
      <c r="B1395" s="11">
        <v>0</v>
      </c>
      <c r="C1395" s="13">
        <v>1</v>
      </c>
      <c r="D1395" s="13">
        <v>0</v>
      </c>
      <c r="E1395" s="11">
        <v>0</v>
      </c>
      <c r="F1395" s="125">
        <v>0</v>
      </c>
      <c r="G1395" s="11">
        <v>0</v>
      </c>
      <c r="H1395" s="11">
        <v>0</v>
      </c>
      <c r="I1395" s="313">
        <f t="shared" si="623"/>
        <v>1</v>
      </c>
      <c r="J1395" s="318">
        <f>FLORESTA!$I1395/7</f>
        <v>0.14285714285714285</v>
      </c>
    </row>
    <row r="1396" spans="1:10" x14ac:dyDescent="0.25">
      <c r="A1396" s="15" t="s">
        <v>17</v>
      </c>
      <c r="B1396" s="79">
        <f t="shared" ref="B1396:I1396" si="624">SUM(B1391:B1395)</f>
        <v>53</v>
      </c>
      <c r="C1396" s="79">
        <f t="shared" si="624"/>
        <v>70</v>
      </c>
      <c r="D1396" s="79">
        <f t="shared" si="624"/>
        <v>69</v>
      </c>
      <c r="E1396" s="103">
        <f t="shared" si="624"/>
        <v>93</v>
      </c>
      <c r="F1396" s="213">
        <f t="shared" si="624"/>
        <v>191</v>
      </c>
      <c r="G1396" s="103">
        <f t="shared" si="624"/>
        <v>261</v>
      </c>
      <c r="H1396" s="103">
        <f t="shared" si="624"/>
        <v>175</v>
      </c>
      <c r="I1396" s="103">
        <f t="shared" si="624"/>
        <v>912</v>
      </c>
      <c r="J1396" s="319">
        <f>FLORESTA!$I1396/7</f>
        <v>130.28571428571428</v>
      </c>
    </row>
    <row r="1397" spans="1:10" x14ac:dyDescent="0.25">
      <c r="A1397" s="10" t="s">
        <v>18</v>
      </c>
      <c r="B1397" s="325">
        <v>0.47</v>
      </c>
      <c r="C1397" s="326">
        <v>0.34</v>
      </c>
      <c r="D1397" s="326">
        <v>0.33</v>
      </c>
      <c r="E1397" s="327">
        <v>0.41</v>
      </c>
      <c r="F1397" s="328">
        <v>0.5</v>
      </c>
      <c r="G1397" s="327">
        <v>0.45</v>
      </c>
      <c r="H1397" s="327">
        <v>0.38</v>
      </c>
      <c r="I1397" s="18">
        <f>I1404/I1409</f>
        <v>0.42741855914197319</v>
      </c>
      <c r="J1397" s="19">
        <f>J1404/J1409</f>
        <v>0.42741855914197324</v>
      </c>
    </row>
    <row r="1398" spans="1:10" x14ac:dyDescent="0.25">
      <c r="A1398" s="10" t="s">
        <v>19</v>
      </c>
      <c r="B1398" s="325">
        <v>0</v>
      </c>
      <c r="C1398" s="326">
        <v>0</v>
      </c>
      <c r="D1398" s="326">
        <v>0.05</v>
      </c>
      <c r="E1398" s="327">
        <v>0.01</v>
      </c>
      <c r="F1398" s="327">
        <v>0.01</v>
      </c>
      <c r="G1398" s="327">
        <v>0.03</v>
      </c>
      <c r="H1398" s="327">
        <v>0.02</v>
      </c>
      <c r="I1398" s="18">
        <f>I1405/I1409</f>
        <v>1.9058538274499912E-2</v>
      </c>
      <c r="J1398" s="19">
        <f>J1405/J1409</f>
        <v>1.9058538274499916E-2</v>
      </c>
    </row>
    <row r="1399" spans="1:10" x14ac:dyDescent="0.25">
      <c r="A1399" s="10" t="s">
        <v>20</v>
      </c>
      <c r="B1399" s="325">
        <v>0.51</v>
      </c>
      <c r="C1399" s="326">
        <v>0.63</v>
      </c>
      <c r="D1399" s="326">
        <v>0.56000000000000005</v>
      </c>
      <c r="E1399" s="327">
        <v>0.47</v>
      </c>
      <c r="F1399" s="329">
        <v>0.39</v>
      </c>
      <c r="G1399" s="327">
        <v>0.46</v>
      </c>
      <c r="H1399" s="327">
        <v>0.56000000000000005</v>
      </c>
      <c r="I1399" s="18">
        <f>I1406/I1409</f>
        <v>0.48919986016211015</v>
      </c>
      <c r="J1399" s="19">
        <f>J1406/J1409</f>
        <v>0.48919986016211015</v>
      </c>
    </row>
    <row r="1400" spans="1:10" x14ac:dyDescent="0.25">
      <c r="A1400" s="10" t="s">
        <v>21</v>
      </c>
      <c r="B1400" s="325">
        <v>0.02</v>
      </c>
      <c r="C1400" s="326">
        <v>0.02</v>
      </c>
      <c r="D1400" s="326">
        <v>0.06</v>
      </c>
      <c r="E1400" s="327">
        <v>0.11</v>
      </c>
      <c r="F1400" s="329">
        <v>0.1</v>
      </c>
      <c r="G1400" s="327">
        <v>0.06</v>
      </c>
      <c r="H1400" s="327">
        <v>0.04</v>
      </c>
      <c r="I1400" s="18">
        <f>I1407/I1409</f>
        <v>6.3593824971915972E-2</v>
      </c>
      <c r="J1400" s="19">
        <f>J1407/J1409</f>
        <v>6.3593824971915985E-2</v>
      </c>
    </row>
    <row r="1401" spans="1:10" x14ac:dyDescent="0.25">
      <c r="A1401" s="10" t="s">
        <v>22</v>
      </c>
      <c r="B1401" s="325">
        <v>0</v>
      </c>
      <c r="C1401" s="326">
        <v>0.01</v>
      </c>
      <c r="D1401" s="326">
        <v>0</v>
      </c>
      <c r="E1401" s="327">
        <v>0</v>
      </c>
      <c r="F1401" s="329">
        <v>0</v>
      </c>
      <c r="G1401" s="327">
        <v>0</v>
      </c>
      <c r="H1401" s="327">
        <v>0</v>
      </c>
      <c r="I1401" s="18">
        <f>I1408/I1409</f>
        <v>7.2921744950066379E-4</v>
      </c>
      <c r="J1401" s="19">
        <f>J1408/J1409</f>
        <v>7.292174495006639E-4</v>
      </c>
    </row>
    <row r="1402" spans="1:10" x14ac:dyDescent="0.25">
      <c r="A1402" s="24" t="s">
        <v>23</v>
      </c>
      <c r="B1402" s="130">
        <f t="shared" ref="B1402:J1402" si="625">B1413/B1396</f>
        <v>39283.018867924533</v>
      </c>
      <c r="C1402" s="131">
        <f t="shared" si="625"/>
        <v>33638.571428571428</v>
      </c>
      <c r="D1402" s="131">
        <f t="shared" si="625"/>
        <v>30030.434782608696</v>
      </c>
      <c r="E1402" s="130">
        <f t="shared" si="625"/>
        <v>35438.709677419363</v>
      </c>
      <c r="F1402" s="132">
        <f t="shared" si="625"/>
        <v>34466.492146596858</v>
      </c>
      <c r="G1402" s="130">
        <f t="shared" si="625"/>
        <v>36362.068965517239</v>
      </c>
      <c r="H1402" s="130">
        <f t="shared" si="625"/>
        <v>37582.285714285717</v>
      </c>
      <c r="I1402" s="314">
        <f t="shared" si="625"/>
        <v>35586.732456140366</v>
      </c>
      <c r="J1402" s="132">
        <f t="shared" si="625"/>
        <v>35586.732456140366</v>
      </c>
    </row>
    <row r="1403" spans="1:10" x14ac:dyDescent="0.25">
      <c r="A1403" s="24" t="s">
        <v>24</v>
      </c>
      <c r="B1403" s="130">
        <f t="shared" ref="B1403:J1403" si="626">B1413/B1390</f>
        <v>28520.547945205482</v>
      </c>
      <c r="C1403" s="131">
        <f t="shared" si="626"/>
        <v>27065.517241379312</v>
      </c>
      <c r="D1403" s="131">
        <f t="shared" si="626"/>
        <v>28001.35135135135</v>
      </c>
      <c r="E1403" s="130">
        <f t="shared" si="626"/>
        <v>28910.526315789477</v>
      </c>
      <c r="F1403" s="132">
        <f t="shared" si="626"/>
        <v>28747.161572052402</v>
      </c>
      <c r="G1403" s="130">
        <f t="shared" si="626"/>
        <v>30224.522292993632</v>
      </c>
      <c r="H1403" s="130">
        <f t="shared" si="626"/>
        <v>30031.506849315072</v>
      </c>
      <c r="I1403" s="314">
        <f t="shared" si="626"/>
        <v>29238.828828828839</v>
      </c>
      <c r="J1403" s="132">
        <f t="shared" si="626"/>
        <v>29238.828828828839</v>
      </c>
    </row>
    <row r="1404" spans="1:10" x14ac:dyDescent="0.25">
      <c r="A1404" s="10" t="s">
        <v>25</v>
      </c>
      <c r="B1404" s="92">
        <f t="shared" ref="B1404:H1404" si="627">B1409*B1397</f>
        <v>826350.51551724144</v>
      </c>
      <c r="C1404" s="133">
        <f t="shared" si="627"/>
        <v>675516.68965517252</v>
      </c>
      <c r="D1404" s="133">
        <f t="shared" si="627"/>
        <v>575253.72413793113</v>
      </c>
      <c r="E1404" s="92">
        <f t="shared" si="627"/>
        <v>1133970.5775862071</v>
      </c>
      <c r="F1404" s="134">
        <f t="shared" si="627"/>
        <v>2750265.6034482759</v>
      </c>
      <c r="G1404" s="92">
        <f t="shared" si="627"/>
        <v>3582744.9827586212</v>
      </c>
      <c r="H1404" s="92">
        <f t="shared" si="627"/>
        <v>2101273.2241379311</v>
      </c>
      <c r="I1404" s="92">
        <f>FLORESTA!$B1404+FLORESTA!$C1404+FLORESTA!$D1404+FLORESTA!$E1404+FLORESTA!$F1404+FLORESTA!$G1404+FLORESTA!$H1404</f>
        <v>11645375.317241382</v>
      </c>
      <c r="J1404" s="133">
        <f>FLORESTA!$I1404/7</f>
        <v>1663625.0453201975</v>
      </c>
    </row>
    <row r="1405" spans="1:10" x14ac:dyDescent="0.25">
      <c r="A1405" s="10" t="s">
        <v>26</v>
      </c>
      <c r="B1405" s="92">
        <f t="shared" ref="B1405:H1405" si="628">B1409*B1398</f>
        <v>0</v>
      </c>
      <c r="C1405" s="133">
        <f t="shared" si="628"/>
        <v>0</v>
      </c>
      <c r="D1405" s="133">
        <f t="shared" si="628"/>
        <v>87159.655172413797</v>
      </c>
      <c r="E1405" s="92">
        <f t="shared" si="628"/>
        <v>27657.818965517246</v>
      </c>
      <c r="F1405" s="134">
        <f t="shared" si="628"/>
        <v>55005.312068965519</v>
      </c>
      <c r="G1405" s="92">
        <f t="shared" si="628"/>
        <v>238849.6655172414</v>
      </c>
      <c r="H1405" s="92">
        <f t="shared" si="628"/>
        <v>110593.32758620691</v>
      </c>
      <c r="I1405" s="92">
        <f>FLORESTA!$B1405+FLORESTA!$C1405+FLORESTA!$D1405+FLORESTA!$E1405+FLORESTA!$F1405+FLORESTA!$G1405+FLORESTA!$H1405</f>
        <v>519265.77931034489</v>
      </c>
      <c r="J1405" s="133">
        <f>FLORESTA!$I1405/7</f>
        <v>74180.825615763562</v>
      </c>
    </row>
    <row r="1406" spans="1:10" x14ac:dyDescent="0.25">
      <c r="A1406" s="10" t="s">
        <v>27</v>
      </c>
      <c r="B1406" s="92">
        <f t="shared" ref="B1406:H1406" si="629">B1409*B1399</f>
        <v>896678.21896551736</v>
      </c>
      <c r="C1406" s="133">
        <f t="shared" si="629"/>
        <v>1251692.6896551724</v>
      </c>
      <c r="D1406" s="133">
        <f t="shared" si="629"/>
        <v>976188.13793103467</v>
      </c>
      <c r="E1406" s="92">
        <f t="shared" si="629"/>
        <v>1299917.4913793104</v>
      </c>
      <c r="F1406" s="134">
        <f t="shared" si="629"/>
        <v>2145207.1706896555</v>
      </c>
      <c r="G1406" s="92">
        <f t="shared" si="629"/>
        <v>3662361.5379310353</v>
      </c>
      <c r="H1406" s="92">
        <f t="shared" si="629"/>
        <v>3096613.1724137939</v>
      </c>
      <c r="I1406" s="92">
        <f>FLORESTA!$B1406+FLORESTA!$C1406+FLORESTA!$D1406+FLORESTA!$E1406+FLORESTA!$F1406+FLORESTA!$G1406+FLORESTA!$H1406</f>
        <v>13328658.41896552</v>
      </c>
      <c r="J1406" s="133">
        <f>FLORESTA!$I1406/7</f>
        <v>1904094.0598522171</v>
      </c>
    </row>
    <row r="1407" spans="1:10" x14ac:dyDescent="0.25">
      <c r="A1407" s="10" t="s">
        <v>28</v>
      </c>
      <c r="B1407" s="92">
        <f t="shared" ref="B1407:H1407" si="630">B1409*B1400</f>
        <v>35163.851724137938</v>
      </c>
      <c r="C1407" s="133">
        <f t="shared" si="630"/>
        <v>39736.275862068971</v>
      </c>
      <c r="D1407" s="133">
        <f t="shared" si="630"/>
        <v>104591.58620689655</v>
      </c>
      <c r="E1407" s="92">
        <f t="shared" si="630"/>
        <v>304236.00862068968</v>
      </c>
      <c r="F1407" s="134">
        <f t="shared" si="630"/>
        <v>550053.12068965519</v>
      </c>
      <c r="G1407" s="92">
        <f t="shared" si="630"/>
        <v>477699.33103448281</v>
      </c>
      <c r="H1407" s="92">
        <f t="shared" si="630"/>
        <v>221186.65517241383</v>
      </c>
      <c r="I1407" s="92">
        <f>FLORESTA!$B1407+FLORESTA!$C1407+FLORESTA!$D1407+FLORESTA!$E1407+FLORESTA!$F1407+FLORESTA!$G1407+FLORESTA!$H1407</f>
        <v>1732666.8293103452</v>
      </c>
      <c r="J1407" s="133">
        <f>FLORESTA!$I1407/7</f>
        <v>247523.83275862076</v>
      </c>
    </row>
    <row r="1408" spans="1:10" x14ac:dyDescent="0.25">
      <c r="A1408" s="10" t="s">
        <v>29</v>
      </c>
      <c r="B1408" s="92">
        <f t="shared" ref="B1408:H1408" si="631">B1409*B1401</f>
        <v>0</v>
      </c>
      <c r="C1408" s="133">
        <f t="shared" si="631"/>
        <v>19868.137931034486</v>
      </c>
      <c r="D1408" s="133">
        <f t="shared" si="631"/>
        <v>0</v>
      </c>
      <c r="E1408" s="92">
        <f t="shared" si="631"/>
        <v>0</v>
      </c>
      <c r="F1408" s="134">
        <f t="shared" si="631"/>
        <v>0</v>
      </c>
      <c r="G1408" s="92">
        <f t="shared" si="631"/>
        <v>0</v>
      </c>
      <c r="H1408" s="92">
        <f t="shared" si="631"/>
        <v>0</v>
      </c>
      <c r="I1408" s="92">
        <f>FLORESTA!$B1408+FLORESTA!$C1408+FLORESTA!$D1408+FLORESTA!$E1408+FLORESTA!$F1408+FLORESTA!$G1408+FLORESTA!$H1408</f>
        <v>19868.137931034486</v>
      </c>
      <c r="J1408" s="133">
        <f>FLORESTA!$I1408/7</f>
        <v>2838.3054187192124</v>
      </c>
    </row>
    <row r="1409" spans="1:10" x14ac:dyDescent="0.25">
      <c r="A1409" s="33" t="s">
        <v>30</v>
      </c>
      <c r="B1409" s="222">
        <f>(2082000/1.16)-B1410</f>
        <v>1758192.5862068967</v>
      </c>
      <c r="C1409" s="222">
        <f>(2354700/1.16)-C1410</f>
        <v>1986813.7931034483</v>
      </c>
      <c r="D1409" s="222">
        <f>(2072100/1.16)-D1410</f>
        <v>1743193.1034482759</v>
      </c>
      <c r="E1409" s="222">
        <f>(3295800/1.16)-E1410</f>
        <v>2765781.8965517245</v>
      </c>
      <c r="F1409" s="222">
        <f>(6583100/1.16)-F1410</f>
        <v>5500531.2068965519</v>
      </c>
      <c r="G1409" s="222">
        <f>(9490500/1.16)-G1410</f>
        <v>7961655.5172413802</v>
      </c>
      <c r="H1409" s="222">
        <f>(6576900/1.16)-H1410</f>
        <v>5529666.3793103453</v>
      </c>
      <c r="I1409" s="91">
        <f>SUM(I1404:I1408)</f>
        <v>27245834.48275863</v>
      </c>
      <c r="J1409" s="136">
        <f>FLORESTA!$I1409/7</f>
        <v>3892262.0689655184</v>
      </c>
    </row>
    <row r="1410" spans="1:10" x14ac:dyDescent="0.25">
      <c r="A1410" s="10" t="s">
        <v>31</v>
      </c>
      <c r="B1410" s="94">
        <f t="shared" ref="B1410:J1410" si="632">2155*B1391</f>
        <v>36635</v>
      </c>
      <c r="C1410" s="139">
        <f t="shared" si="632"/>
        <v>43100</v>
      </c>
      <c r="D1410" s="139">
        <f t="shared" si="632"/>
        <v>43100</v>
      </c>
      <c r="E1410" s="94">
        <f t="shared" si="632"/>
        <v>75425</v>
      </c>
      <c r="F1410" s="112">
        <f t="shared" si="632"/>
        <v>174555</v>
      </c>
      <c r="G1410" s="94">
        <f t="shared" si="632"/>
        <v>219810</v>
      </c>
      <c r="H1410" s="94">
        <f t="shared" si="632"/>
        <v>140075</v>
      </c>
      <c r="I1410" s="94">
        <f t="shared" si="632"/>
        <v>732700</v>
      </c>
      <c r="J1410" s="139">
        <f t="shared" si="632"/>
        <v>104671.42857142857</v>
      </c>
    </row>
    <row r="1411" spans="1:10" x14ac:dyDescent="0.25">
      <c r="A1411" s="37" t="s">
        <v>32</v>
      </c>
      <c r="B1411" s="39">
        <f t="shared" ref="B1411:H1411" si="633">B1409+B1410</f>
        <v>1794827.5862068967</v>
      </c>
      <c r="C1411" s="40">
        <f t="shared" si="633"/>
        <v>2029913.7931034483</v>
      </c>
      <c r="D1411" s="40">
        <f t="shared" si="633"/>
        <v>1786293.1034482759</v>
      </c>
      <c r="E1411" s="39">
        <f t="shared" si="633"/>
        <v>2841206.8965517245</v>
      </c>
      <c r="F1411" s="140">
        <f t="shared" si="633"/>
        <v>5675086.2068965519</v>
      </c>
      <c r="G1411" s="39">
        <f t="shared" si="633"/>
        <v>8181465.5172413802</v>
      </c>
      <c r="H1411" s="39">
        <f t="shared" si="633"/>
        <v>5669741.3793103453</v>
      </c>
      <c r="I1411" s="39">
        <f>I1409+I1410</f>
        <v>27978534.48275863</v>
      </c>
      <c r="J1411" s="40">
        <f>J1409+J1410</f>
        <v>3996933.497536947</v>
      </c>
    </row>
    <row r="1412" spans="1:10" x14ac:dyDescent="0.25">
      <c r="A1412" s="10" t="s">
        <v>33</v>
      </c>
      <c r="B1412" s="41">
        <f t="shared" ref="B1412:H1412" si="634">B1411*16%</f>
        <v>287172.41379310348</v>
      </c>
      <c r="C1412" s="42">
        <f t="shared" si="634"/>
        <v>324786.20689655177</v>
      </c>
      <c r="D1412" s="42">
        <f t="shared" si="634"/>
        <v>285806.89655172417</v>
      </c>
      <c r="E1412" s="41">
        <f t="shared" si="634"/>
        <v>454593.10344827594</v>
      </c>
      <c r="F1412" s="141">
        <f t="shared" si="634"/>
        <v>908013.79310344835</v>
      </c>
      <c r="G1412" s="41">
        <f t="shared" si="634"/>
        <v>1309034.4827586208</v>
      </c>
      <c r="H1412" s="41">
        <f t="shared" si="634"/>
        <v>907158.6206896553</v>
      </c>
      <c r="I1412" s="41">
        <f>I1411*16%</f>
        <v>4476565.5172413811</v>
      </c>
      <c r="J1412" s="42">
        <f>J1411*16%</f>
        <v>639509.35960591154</v>
      </c>
    </row>
    <row r="1413" spans="1:10" x14ac:dyDescent="0.25">
      <c r="A1413" s="43" t="s">
        <v>34</v>
      </c>
      <c r="B1413" s="315">
        <f t="shared" ref="B1413:H1413" si="635">B1411+B1412</f>
        <v>2082000.0000000002</v>
      </c>
      <c r="C1413" s="315">
        <f t="shared" si="635"/>
        <v>2354700</v>
      </c>
      <c r="D1413" s="315">
        <f t="shared" si="635"/>
        <v>2072100</v>
      </c>
      <c r="E1413" s="178">
        <f t="shared" si="635"/>
        <v>3295800.0000000005</v>
      </c>
      <c r="F1413" s="182">
        <f t="shared" si="635"/>
        <v>6583100</v>
      </c>
      <c r="G1413" s="178">
        <f t="shared" si="635"/>
        <v>9490500</v>
      </c>
      <c r="H1413" s="178">
        <f t="shared" si="635"/>
        <v>6576900.0000000009</v>
      </c>
      <c r="I1413" s="178">
        <f>I1411+I1412</f>
        <v>32455100.000000011</v>
      </c>
      <c r="J1413" s="315">
        <f>FLORESTA!$I1413/7</f>
        <v>4636442.8571428591</v>
      </c>
    </row>
    <row r="1414" spans="1:10" ht="15.75" thickBot="1" x14ac:dyDescent="0.3"/>
    <row r="1415" spans="1:10" ht="15.75" thickBot="1" x14ac:dyDescent="0.3">
      <c r="A1415" s="149"/>
      <c r="B1415" s="1006" t="s">
        <v>391</v>
      </c>
      <c r="C1415" s="1006"/>
      <c r="D1415" s="1006"/>
      <c r="E1415" s="1006"/>
      <c r="F1415" s="1006"/>
      <c r="G1415" s="1006"/>
      <c r="H1415" s="1006"/>
      <c r="I1415" s="1006"/>
    </row>
    <row r="1416" spans="1:10" ht="15.75" thickBot="1" x14ac:dyDescent="0.3">
      <c r="A1416" s="149"/>
      <c r="B1416" s="1006"/>
      <c r="C1416" s="1006"/>
      <c r="D1416" s="1006"/>
      <c r="E1416" s="1006"/>
      <c r="F1416" s="1006"/>
      <c r="G1416" s="1006"/>
      <c r="H1416" s="1006"/>
      <c r="I1416" s="1006"/>
    </row>
    <row r="1417" spans="1:10" ht="15.75" x14ac:dyDescent="0.25">
      <c r="A1417" s="72" t="s">
        <v>2</v>
      </c>
      <c r="B1417" s="239" t="s">
        <v>600</v>
      </c>
      <c r="C1417" s="239" t="s">
        <v>601</v>
      </c>
      <c r="D1417" s="239" t="s">
        <v>602</v>
      </c>
      <c r="E1417" s="239" t="s">
        <v>603</v>
      </c>
      <c r="F1417" s="239" t="s">
        <v>604</v>
      </c>
      <c r="G1417" s="239" t="s">
        <v>605</v>
      </c>
      <c r="H1417" s="239" t="s">
        <v>606</v>
      </c>
      <c r="I1417" s="240" t="s">
        <v>96</v>
      </c>
      <c r="J1417" s="241" t="s">
        <v>97</v>
      </c>
    </row>
    <row r="1418" spans="1:10" x14ac:dyDescent="0.25">
      <c r="A1418" s="74" t="s">
        <v>11</v>
      </c>
      <c r="B1418" s="55">
        <f>37+23+8</f>
        <v>68</v>
      </c>
      <c r="C1418" s="56">
        <f>41+28+3</f>
        <v>72</v>
      </c>
      <c r="D1418" s="54">
        <f>37+35+11</f>
        <v>83</v>
      </c>
      <c r="E1418" s="316">
        <f>53+39+5</f>
        <v>97</v>
      </c>
      <c r="F1418" s="311">
        <f>151+95+31</f>
        <v>277</v>
      </c>
      <c r="G1418" s="58">
        <f>160+112+23</f>
        <v>295</v>
      </c>
      <c r="H1418" s="57">
        <f>131+100+20</f>
        <v>251</v>
      </c>
      <c r="I1418" s="311">
        <f t="shared" ref="I1418:I1423" si="636">SUM(B1418:H1418)</f>
        <v>1143</v>
      </c>
      <c r="J1418" s="317">
        <f>FLORESTA!$I1418/7</f>
        <v>163.28571428571428</v>
      </c>
    </row>
    <row r="1419" spans="1:10" x14ac:dyDescent="0.25">
      <c r="A1419" s="10" t="s">
        <v>12</v>
      </c>
      <c r="B1419" s="86">
        <v>23</v>
      </c>
      <c r="C1419" s="13">
        <v>16</v>
      </c>
      <c r="D1419" s="320">
        <v>22</v>
      </c>
      <c r="E1419" s="11">
        <v>29</v>
      </c>
      <c r="F1419" s="125">
        <v>103</v>
      </c>
      <c r="G1419" s="11">
        <v>69</v>
      </c>
      <c r="H1419" s="11">
        <v>74</v>
      </c>
      <c r="I1419" s="313">
        <f t="shared" si="636"/>
        <v>336</v>
      </c>
      <c r="J1419" s="318">
        <f>FLORESTA!$I1419/7</f>
        <v>48</v>
      </c>
    </row>
    <row r="1420" spans="1:10" x14ac:dyDescent="0.25">
      <c r="A1420" s="10" t="s">
        <v>13</v>
      </c>
      <c r="B1420" s="11">
        <v>1</v>
      </c>
      <c r="C1420" s="13">
        <v>0</v>
      </c>
      <c r="D1420" s="13">
        <v>0</v>
      </c>
      <c r="E1420" s="11">
        <v>0</v>
      </c>
      <c r="F1420" s="125">
        <v>4</v>
      </c>
      <c r="G1420" s="11">
        <v>5</v>
      </c>
      <c r="H1420" s="11">
        <v>1</v>
      </c>
      <c r="I1420" s="313">
        <f t="shared" si="636"/>
        <v>11</v>
      </c>
      <c r="J1420" s="318">
        <f>C1420+D1420+E1420+F1420+G1420+H1420+I1420</f>
        <v>21</v>
      </c>
    </row>
    <row r="1421" spans="1:10" x14ac:dyDescent="0.25">
      <c r="A1421" s="10" t="s">
        <v>14</v>
      </c>
      <c r="B1421" s="11">
        <v>33</v>
      </c>
      <c r="C1421" s="13">
        <v>53</v>
      </c>
      <c r="D1421" s="320">
        <v>41</v>
      </c>
      <c r="E1421" s="11">
        <v>58</v>
      </c>
      <c r="F1421" s="125">
        <v>79</v>
      </c>
      <c r="G1421" s="11">
        <v>137</v>
      </c>
      <c r="H1421" s="11">
        <v>101</v>
      </c>
      <c r="I1421" s="313">
        <f t="shared" si="636"/>
        <v>502</v>
      </c>
      <c r="J1421" s="318">
        <f>FLORESTA!$I1421/7</f>
        <v>71.714285714285708</v>
      </c>
    </row>
    <row r="1422" spans="1:10" x14ac:dyDescent="0.25">
      <c r="A1422" s="10" t="s">
        <v>15</v>
      </c>
      <c r="B1422" s="11">
        <v>1</v>
      </c>
      <c r="C1422" s="13">
        <v>2</v>
      </c>
      <c r="D1422" s="13">
        <v>10</v>
      </c>
      <c r="E1422" s="11">
        <v>6</v>
      </c>
      <c r="F1422" s="125">
        <v>26</v>
      </c>
      <c r="G1422" s="11">
        <v>27</v>
      </c>
      <c r="H1422" s="11">
        <v>32</v>
      </c>
      <c r="I1422" s="313">
        <f t="shared" si="636"/>
        <v>104</v>
      </c>
      <c r="J1422" s="318">
        <f>FLORESTA!$I1422/7</f>
        <v>14.857142857142858</v>
      </c>
    </row>
    <row r="1423" spans="1:10" x14ac:dyDescent="0.25">
      <c r="A1423" s="10" t="s">
        <v>16</v>
      </c>
      <c r="B1423" s="11">
        <v>0</v>
      </c>
      <c r="C1423" s="13">
        <v>0</v>
      </c>
      <c r="D1423" s="13">
        <v>0</v>
      </c>
      <c r="E1423" s="11">
        <v>0</v>
      </c>
      <c r="F1423" s="125">
        <v>0</v>
      </c>
      <c r="G1423" s="11">
        <v>0</v>
      </c>
      <c r="H1423" s="11">
        <v>0</v>
      </c>
      <c r="I1423" s="313">
        <f t="shared" si="636"/>
        <v>0</v>
      </c>
      <c r="J1423" s="318">
        <f>FLORESTA!$I1423/7</f>
        <v>0</v>
      </c>
    </row>
    <row r="1424" spans="1:10" x14ac:dyDescent="0.25">
      <c r="A1424" s="15" t="s">
        <v>17</v>
      </c>
      <c r="B1424" s="79">
        <f t="shared" ref="B1424:I1424" si="637">SUM(B1419:B1423)</f>
        <v>58</v>
      </c>
      <c r="C1424" s="79">
        <f t="shared" si="637"/>
        <v>71</v>
      </c>
      <c r="D1424" s="79">
        <f t="shared" si="637"/>
        <v>73</v>
      </c>
      <c r="E1424" s="103">
        <f t="shared" si="637"/>
        <v>93</v>
      </c>
      <c r="F1424" s="213">
        <f t="shared" si="637"/>
        <v>212</v>
      </c>
      <c r="G1424" s="103">
        <f t="shared" si="637"/>
        <v>238</v>
      </c>
      <c r="H1424" s="103">
        <f t="shared" si="637"/>
        <v>208</v>
      </c>
      <c r="I1424" s="103">
        <f t="shared" si="637"/>
        <v>953</v>
      </c>
      <c r="J1424" s="319">
        <f>FLORESTA!$I1424/7</f>
        <v>136.14285714285714</v>
      </c>
    </row>
    <row r="1425" spans="1:10" x14ac:dyDescent="0.25">
      <c r="A1425" s="10" t="s">
        <v>18</v>
      </c>
      <c r="B1425" s="325">
        <v>0.46</v>
      </c>
      <c r="C1425" s="326">
        <v>0.26</v>
      </c>
      <c r="D1425" s="326">
        <v>0.42</v>
      </c>
      <c r="E1425" s="327">
        <v>0.38</v>
      </c>
      <c r="F1425" s="328">
        <v>0.52</v>
      </c>
      <c r="G1425" s="327">
        <v>0.35</v>
      </c>
      <c r="H1425" s="327">
        <v>0.41</v>
      </c>
      <c r="I1425" s="18">
        <f>I1432/I1437</f>
        <v>0.41158224276944777</v>
      </c>
      <c r="J1425" s="19">
        <f>J1432/J1437</f>
        <v>0.41158224276944777</v>
      </c>
    </row>
    <row r="1426" spans="1:10" x14ac:dyDescent="0.25">
      <c r="A1426" s="10" t="s">
        <v>19</v>
      </c>
      <c r="B1426" s="325">
        <v>0.02</v>
      </c>
      <c r="C1426" s="326">
        <v>0</v>
      </c>
      <c r="D1426" s="326">
        <v>0</v>
      </c>
      <c r="E1426" s="327">
        <v>0</v>
      </c>
      <c r="F1426" s="327">
        <v>0.01</v>
      </c>
      <c r="G1426" s="327">
        <v>0.03</v>
      </c>
      <c r="H1426" s="327">
        <v>0.01</v>
      </c>
      <c r="I1426" s="18">
        <f>I1433/I1437</f>
        <v>1.3510982372152109E-2</v>
      </c>
      <c r="J1426" s="19">
        <f>J1433/J1437</f>
        <v>1.3510982372152109E-2</v>
      </c>
    </row>
    <row r="1427" spans="1:10" x14ac:dyDescent="0.25">
      <c r="A1427" s="10" t="s">
        <v>20</v>
      </c>
      <c r="B1427" s="325">
        <v>0.51</v>
      </c>
      <c r="C1427" s="326">
        <v>0.7</v>
      </c>
      <c r="D1427" s="326">
        <v>0.47</v>
      </c>
      <c r="E1427" s="327">
        <v>0.56000000000000005</v>
      </c>
      <c r="F1427" s="329">
        <v>0.34</v>
      </c>
      <c r="G1427" s="327">
        <v>0.54</v>
      </c>
      <c r="H1427" s="327">
        <v>0.44</v>
      </c>
      <c r="I1427" s="18">
        <f>I1434/I1437</f>
        <v>0.47581563573719382</v>
      </c>
      <c r="J1427" s="19">
        <f>J1434/J1437</f>
        <v>0.47581563573719382</v>
      </c>
    </row>
    <row r="1428" spans="1:10" x14ac:dyDescent="0.25">
      <c r="A1428" s="10" t="s">
        <v>21</v>
      </c>
      <c r="B1428" s="325">
        <v>0.01</v>
      </c>
      <c r="C1428" s="326">
        <v>0.04</v>
      </c>
      <c r="D1428" s="326">
        <v>0.11</v>
      </c>
      <c r="E1428" s="327">
        <v>0.06</v>
      </c>
      <c r="F1428" s="329">
        <v>0.13</v>
      </c>
      <c r="G1428" s="327">
        <v>0.08</v>
      </c>
      <c r="H1428" s="327">
        <v>0.14000000000000001</v>
      </c>
      <c r="I1428" s="18">
        <f>I1435/I1437</f>
        <v>9.9091139121206304E-2</v>
      </c>
      <c r="J1428" s="19">
        <f>J1435/J1437</f>
        <v>9.909113912120629E-2</v>
      </c>
    </row>
    <row r="1429" spans="1:10" x14ac:dyDescent="0.25">
      <c r="A1429" s="10" t="s">
        <v>22</v>
      </c>
      <c r="B1429" s="325">
        <v>0</v>
      </c>
      <c r="C1429" s="326">
        <v>0</v>
      </c>
      <c r="D1429" s="326">
        <v>0</v>
      </c>
      <c r="E1429" s="327">
        <v>0</v>
      </c>
      <c r="F1429" s="329">
        <v>0</v>
      </c>
      <c r="G1429" s="327">
        <v>0</v>
      </c>
      <c r="H1429" s="327">
        <v>0</v>
      </c>
      <c r="I1429" s="18">
        <f>I1436/I1437</f>
        <v>0</v>
      </c>
      <c r="J1429" s="19">
        <f>J1436/J1437</f>
        <v>0</v>
      </c>
    </row>
    <row r="1430" spans="1:10" x14ac:dyDescent="0.25">
      <c r="A1430" s="24" t="s">
        <v>23</v>
      </c>
      <c r="B1430" s="130">
        <f t="shared" ref="B1430:J1430" si="638">B1441/B1424</f>
        <v>31415.517241379312</v>
      </c>
      <c r="C1430" s="131">
        <f t="shared" si="638"/>
        <v>29447.887323943662</v>
      </c>
      <c r="D1430" s="131">
        <f t="shared" si="638"/>
        <v>30857.534246575342</v>
      </c>
      <c r="E1430" s="130">
        <f t="shared" si="638"/>
        <v>30283.870967741939</v>
      </c>
      <c r="F1430" s="132">
        <f t="shared" si="638"/>
        <v>36198.584905660377</v>
      </c>
      <c r="G1430" s="130">
        <f t="shared" si="638"/>
        <v>34797.899159663866</v>
      </c>
      <c r="H1430" s="130">
        <f t="shared" si="638"/>
        <v>34649.038461538468</v>
      </c>
      <c r="I1430" s="314">
        <f t="shared" si="638"/>
        <v>33730.220356768099</v>
      </c>
      <c r="J1430" s="132">
        <f t="shared" si="638"/>
        <v>33730.220356768106</v>
      </c>
    </row>
    <row r="1431" spans="1:10" x14ac:dyDescent="0.25">
      <c r="A1431" s="24" t="s">
        <v>24</v>
      </c>
      <c r="B1431" s="130">
        <f t="shared" ref="B1431:J1431" si="639">B1441/B1418</f>
        <v>26795.588235294119</v>
      </c>
      <c r="C1431" s="131">
        <f t="shared" si="639"/>
        <v>29038.888888888891</v>
      </c>
      <c r="D1431" s="131">
        <f t="shared" si="639"/>
        <v>27139.75903614458</v>
      </c>
      <c r="E1431" s="130">
        <f t="shared" si="639"/>
        <v>29035.051546391758</v>
      </c>
      <c r="F1431" s="132">
        <f t="shared" si="639"/>
        <v>27704.332129963899</v>
      </c>
      <c r="G1431" s="130">
        <f t="shared" si="639"/>
        <v>28074.237288135595</v>
      </c>
      <c r="H1431" s="130">
        <f t="shared" si="639"/>
        <v>28713.147410358568</v>
      </c>
      <c r="I1431" s="314">
        <f t="shared" si="639"/>
        <v>28123.272090988627</v>
      </c>
      <c r="J1431" s="132">
        <f t="shared" si="639"/>
        <v>28123.27209098863</v>
      </c>
    </row>
    <row r="1432" spans="1:10" x14ac:dyDescent="0.25">
      <c r="A1432" s="10" t="s">
        <v>25</v>
      </c>
      <c r="B1432" s="92">
        <f t="shared" ref="B1432:H1432" si="640">B1437*B1425</f>
        <v>699756.99655172415</v>
      </c>
      <c r="C1432" s="133">
        <f t="shared" si="640"/>
        <v>459662.78620689659</v>
      </c>
      <c r="D1432" s="133">
        <f t="shared" si="640"/>
        <v>795684.3517241379</v>
      </c>
      <c r="E1432" s="92">
        <f t="shared" si="640"/>
        <v>898865.69310344837</v>
      </c>
      <c r="F1432" s="134">
        <f t="shared" si="640"/>
        <v>3324691.9931034483</v>
      </c>
      <c r="G1432" s="92">
        <f t="shared" si="640"/>
        <v>2446805.8879310344</v>
      </c>
      <c r="H1432" s="92">
        <f t="shared" si="640"/>
        <v>2481919.0241379314</v>
      </c>
      <c r="I1432" s="92">
        <f>FLORESTA!$B1432+FLORESTA!$C1432+FLORESTA!$D1432+FLORESTA!$E1432+FLORESTA!$F1432+FLORESTA!$G1432+FLORESTA!$H1432</f>
        <v>11107386.732758621</v>
      </c>
      <c r="J1432" s="133">
        <f>FLORESTA!$I1432/7</f>
        <v>1586769.5332512315</v>
      </c>
    </row>
    <row r="1433" spans="1:10" x14ac:dyDescent="0.25">
      <c r="A1433" s="10" t="s">
        <v>26</v>
      </c>
      <c r="B1433" s="92">
        <f t="shared" ref="B1433:H1433" si="641">B1437*B1426</f>
        <v>30424.217241379312</v>
      </c>
      <c r="C1433" s="133">
        <f t="shared" si="641"/>
        <v>0</v>
      </c>
      <c r="D1433" s="133">
        <f t="shared" si="641"/>
        <v>0</v>
      </c>
      <c r="E1433" s="92">
        <f t="shared" si="641"/>
        <v>0</v>
      </c>
      <c r="F1433" s="134">
        <f t="shared" si="641"/>
        <v>63936.384482758622</v>
      </c>
      <c r="G1433" s="92">
        <f t="shared" si="641"/>
        <v>209726.21896551724</v>
      </c>
      <c r="H1433" s="92">
        <f t="shared" si="641"/>
        <v>60534.610344827597</v>
      </c>
      <c r="I1433" s="92">
        <f>FLORESTA!$B1433+FLORESTA!$C1433+FLORESTA!$D1433+FLORESTA!$E1433+FLORESTA!$F1433+FLORESTA!$G1433+FLORESTA!$H1433</f>
        <v>364621.43103448272</v>
      </c>
      <c r="J1433" s="133">
        <f>FLORESTA!$I1433/7</f>
        <v>52088.775862068964</v>
      </c>
    </row>
    <row r="1434" spans="1:10" x14ac:dyDescent="0.25">
      <c r="A1434" s="10" t="s">
        <v>27</v>
      </c>
      <c r="B1434" s="92">
        <f t="shared" ref="B1434:H1434" si="642">B1437*B1427</f>
        <v>775817.5396551725</v>
      </c>
      <c r="C1434" s="133">
        <f t="shared" si="642"/>
        <v>1237553.6551724137</v>
      </c>
      <c r="D1434" s="133">
        <f t="shared" si="642"/>
        <v>890408.67931034474</v>
      </c>
      <c r="E1434" s="92">
        <f t="shared" si="642"/>
        <v>1324644.1793103451</v>
      </c>
      <c r="F1434" s="134">
        <f t="shared" si="642"/>
        <v>2173837.0724137933</v>
      </c>
      <c r="G1434" s="92">
        <f t="shared" si="642"/>
        <v>3775071.9413793106</v>
      </c>
      <c r="H1434" s="92">
        <f t="shared" si="642"/>
        <v>2663522.8551724143</v>
      </c>
      <c r="I1434" s="92">
        <f>FLORESTA!$B1434+FLORESTA!$C1434+FLORESTA!$D1434+FLORESTA!$E1434+FLORESTA!$F1434+FLORESTA!$G1434+FLORESTA!$H1434</f>
        <v>12840855.922413794</v>
      </c>
      <c r="J1434" s="133">
        <f>FLORESTA!$I1434/7</f>
        <v>1834407.9889162562</v>
      </c>
    </row>
    <row r="1435" spans="1:10" x14ac:dyDescent="0.25">
      <c r="A1435" s="10" t="s">
        <v>28</v>
      </c>
      <c r="B1435" s="92">
        <f t="shared" ref="B1435:H1435" si="643">B1437*B1428</f>
        <v>15212.108620689656</v>
      </c>
      <c r="C1435" s="133">
        <f t="shared" si="643"/>
        <v>70717.35172413793</v>
      </c>
      <c r="D1435" s="133">
        <f t="shared" si="643"/>
        <v>208393.52068965518</v>
      </c>
      <c r="E1435" s="92">
        <f t="shared" si="643"/>
        <v>141926.16206896552</v>
      </c>
      <c r="F1435" s="134">
        <f t="shared" si="643"/>
        <v>831172.99827586208</v>
      </c>
      <c r="G1435" s="92">
        <f t="shared" si="643"/>
        <v>559269.91724137939</v>
      </c>
      <c r="H1435" s="92">
        <f t="shared" si="643"/>
        <v>847484.54482758639</v>
      </c>
      <c r="I1435" s="92">
        <f>FLORESTA!$B1435+FLORESTA!$C1435+FLORESTA!$D1435+FLORESTA!$E1435+FLORESTA!$F1435+FLORESTA!$G1435+FLORESTA!$H1435</f>
        <v>2674176.6034482759</v>
      </c>
      <c r="J1435" s="133">
        <f>FLORESTA!$I1435/7</f>
        <v>382025.22906403942</v>
      </c>
    </row>
    <row r="1436" spans="1:10" x14ac:dyDescent="0.25">
      <c r="A1436" s="10" t="s">
        <v>29</v>
      </c>
      <c r="B1436" s="92">
        <f t="shared" ref="B1436:H1436" si="644">B1437*B1429</f>
        <v>0</v>
      </c>
      <c r="C1436" s="133">
        <f t="shared" si="644"/>
        <v>0</v>
      </c>
      <c r="D1436" s="133">
        <f t="shared" si="644"/>
        <v>0</v>
      </c>
      <c r="E1436" s="92">
        <f t="shared" si="644"/>
        <v>0</v>
      </c>
      <c r="F1436" s="134">
        <f t="shared" si="644"/>
        <v>0</v>
      </c>
      <c r="G1436" s="92">
        <f t="shared" si="644"/>
        <v>0</v>
      </c>
      <c r="H1436" s="92">
        <f t="shared" si="644"/>
        <v>0</v>
      </c>
      <c r="I1436" s="92">
        <f>FLORESTA!$B1436+FLORESTA!$C1436+FLORESTA!$D1436+FLORESTA!$E1436+FLORESTA!$F1436+FLORESTA!$G1436+FLORESTA!$H1436</f>
        <v>0</v>
      </c>
      <c r="J1436" s="133">
        <f>FLORESTA!$I1436/7</f>
        <v>0</v>
      </c>
    </row>
    <row r="1437" spans="1:10" x14ac:dyDescent="0.25">
      <c r="A1437" s="33" t="s">
        <v>30</v>
      </c>
      <c r="B1437" s="222">
        <f>(1822100/1.16)-B1438</f>
        <v>1521210.8620689656</v>
      </c>
      <c r="C1437" s="222">
        <f>(2090800/1.16)-C1438</f>
        <v>1767933.7931034483</v>
      </c>
      <c r="D1437" s="222">
        <f>(2252600/1.16)-D1438</f>
        <v>1894486.551724138</v>
      </c>
      <c r="E1437" s="222">
        <f>(2816400/1.16)-E1438</f>
        <v>2365436.034482759</v>
      </c>
      <c r="F1437" s="222">
        <f>(7674100/1.16)-F1438</f>
        <v>6393638.4482758623</v>
      </c>
      <c r="G1437" s="222">
        <f>(8281900/1.16)-G1438</f>
        <v>6990873.9655172415</v>
      </c>
      <c r="H1437" s="222">
        <f>(7207000/1.16)-H1438</f>
        <v>6053461.0344827594</v>
      </c>
      <c r="I1437" s="91">
        <f>SUM(I1432:I1436)</f>
        <v>26987040.689655174</v>
      </c>
      <c r="J1437" s="136">
        <f>FLORESTA!$I1437/7</f>
        <v>3855291.5270935963</v>
      </c>
    </row>
    <row r="1438" spans="1:10" x14ac:dyDescent="0.25">
      <c r="A1438" s="10" t="s">
        <v>31</v>
      </c>
      <c r="B1438" s="94">
        <f t="shared" ref="B1438:J1438" si="645">2155*B1419</f>
        <v>49565</v>
      </c>
      <c r="C1438" s="139">
        <f t="shared" si="645"/>
        <v>34480</v>
      </c>
      <c r="D1438" s="139">
        <f t="shared" si="645"/>
        <v>47410</v>
      </c>
      <c r="E1438" s="94">
        <f t="shared" si="645"/>
        <v>62495</v>
      </c>
      <c r="F1438" s="112">
        <f t="shared" si="645"/>
        <v>221965</v>
      </c>
      <c r="G1438" s="94">
        <f t="shared" si="645"/>
        <v>148695</v>
      </c>
      <c r="H1438" s="94">
        <f t="shared" si="645"/>
        <v>159470</v>
      </c>
      <c r="I1438" s="94">
        <f t="shared" si="645"/>
        <v>724080</v>
      </c>
      <c r="J1438" s="139">
        <f t="shared" si="645"/>
        <v>103440</v>
      </c>
    </row>
    <row r="1439" spans="1:10" x14ac:dyDescent="0.25">
      <c r="A1439" s="37" t="s">
        <v>32</v>
      </c>
      <c r="B1439" s="39">
        <f t="shared" ref="B1439:H1439" si="646">B1437+B1438</f>
        <v>1570775.8620689656</v>
      </c>
      <c r="C1439" s="40">
        <f t="shared" si="646"/>
        <v>1802413.7931034483</v>
      </c>
      <c r="D1439" s="40">
        <f t="shared" si="646"/>
        <v>1941896.551724138</v>
      </c>
      <c r="E1439" s="39">
        <f t="shared" si="646"/>
        <v>2427931.034482759</v>
      </c>
      <c r="F1439" s="140">
        <f t="shared" si="646"/>
        <v>6615603.4482758623</v>
      </c>
      <c r="G1439" s="39">
        <f t="shared" si="646"/>
        <v>7139568.9655172415</v>
      </c>
      <c r="H1439" s="39">
        <f t="shared" si="646"/>
        <v>6212931.0344827594</v>
      </c>
      <c r="I1439" s="39">
        <f>I1437+I1438</f>
        <v>27711120.689655174</v>
      </c>
      <c r="J1439" s="40">
        <f>J1437+J1438</f>
        <v>3958731.5270935963</v>
      </c>
    </row>
    <row r="1440" spans="1:10" x14ac:dyDescent="0.25">
      <c r="A1440" s="10" t="s">
        <v>33</v>
      </c>
      <c r="B1440" s="41">
        <f t="shared" ref="B1440:H1440" si="647">B1439*16%</f>
        <v>251324.13793103449</v>
      </c>
      <c r="C1440" s="42">
        <f t="shared" si="647"/>
        <v>288386.20689655177</v>
      </c>
      <c r="D1440" s="42">
        <f t="shared" si="647"/>
        <v>310703.44827586209</v>
      </c>
      <c r="E1440" s="41">
        <f t="shared" si="647"/>
        <v>388468.96551724145</v>
      </c>
      <c r="F1440" s="141">
        <f t="shared" si="647"/>
        <v>1058496.551724138</v>
      </c>
      <c r="G1440" s="41">
        <f t="shared" si="647"/>
        <v>1142331.0344827587</v>
      </c>
      <c r="H1440" s="41">
        <f t="shared" si="647"/>
        <v>994068.96551724151</v>
      </c>
      <c r="I1440" s="41">
        <f>I1439*16%</f>
        <v>4433779.3103448283</v>
      </c>
      <c r="J1440" s="42">
        <f>J1439*16%</f>
        <v>633397.04433497542</v>
      </c>
    </row>
    <row r="1441" spans="1:10" x14ac:dyDescent="0.25">
      <c r="A1441" s="43" t="s">
        <v>34</v>
      </c>
      <c r="B1441" s="315">
        <f t="shared" ref="B1441:H1441" si="648">B1439+B1440</f>
        <v>1822100</v>
      </c>
      <c r="C1441" s="315">
        <f t="shared" si="648"/>
        <v>2090800</v>
      </c>
      <c r="D1441" s="315">
        <f t="shared" si="648"/>
        <v>2252600</v>
      </c>
      <c r="E1441" s="178">
        <f t="shared" si="648"/>
        <v>2816400.0000000005</v>
      </c>
      <c r="F1441" s="182">
        <f t="shared" si="648"/>
        <v>7674100</v>
      </c>
      <c r="G1441" s="178">
        <f t="shared" si="648"/>
        <v>8281900</v>
      </c>
      <c r="H1441" s="178">
        <f t="shared" si="648"/>
        <v>7207000.0000000009</v>
      </c>
      <c r="I1441" s="178">
        <f>I1439+I1440</f>
        <v>32144900</v>
      </c>
      <c r="J1441" s="315">
        <f>FLORESTA!$I1441/7</f>
        <v>4592128.5714285718</v>
      </c>
    </row>
    <row r="1442" spans="1:10" ht="15.75" thickBot="1" x14ac:dyDescent="0.3"/>
    <row r="1443" spans="1:10" ht="15.75" thickBot="1" x14ac:dyDescent="0.3">
      <c r="A1443" s="149"/>
      <c r="B1443" s="1006" t="s">
        <v>392</v>
      </c>
      <c r="C1443" s="1006"/>
      <c r="D1443" s="1006"/>
      <c r="E1443" s="1006"/>
      <c r="F1443" s="1006"/>
      <c r="G1443" s="1006"/>
      <c r="H1443" s="1006"/>
      <c r="I1443" s="1006"/>
    </row>
    <row r="1444" spans="1:10" ht="15.75" thickBot="1" x14ac:dyDescent="0.3">
      <c r="A1444" s="149"/>
      <c r="B1444" s="1006"/>
      <c r="C1444" s="1006"/>
      <c r="D1444" s="1006"/>
      <c r="E1444" s="1006"/>
      <c r="F1444" s="1006"/>
      <c r="G1444" s="1006"/>
      <c r="H1444" s="1006"/>
      <c r="I1444" s="1006"/>
    </row>
    <row r="1445" spans="1:10" ht="15.75" x14ac:dyDescent="0.25">
      <c r="A1445" s="72" t="s">
        <v>2</v>
      </c>
      <c r="B1445" s="239" t="s">
        <v>608</v>
      </c>
      <c r="C1445" s="239" t="s">
        <v>609</v>
      </c>
      <c r="D1445" s="239" t="s">
        <v>610</v>
      </c>
      <c r="E1445" s="239" t="s">
        <v>611</v>
      </c>
      <c r="F1445" s="239" t="s">
        <v>612</v>
      </c>
      <c r="G1445" s="239" t="s">
        <v>613</v>
      </c>
      <c r="H1445" s="239" t="s">
        <v>614</v>
      </c>
      <c r="I1445" s="240" t="s">
        <v>96</v>
      </c>
      <c r="J1445" s="241" t="s">
        <v>97</v>
      </c>
    </row>
    <row r="1446" spans="1:10" x14ac:dyDescent="0.25">
      <c r="A1446" s="74" t="s">
        <v>11</v>
      </c>
      <c r="B1446" s="55">
        <f>34+23+5</f>
        <v>62</v>
      </c>
      <c r="C1446" s="56">
        <f>50+35+9</f>
        <v>94</v>
      </c>
      <c r="D1446" s="54">
        <f>45+27+6</f>
        <v>78</v>
      </c>
      <c r="E1446" s="316">
        <f>72+32+10</f>
        <v>114</v>
      </c>
      <c r="F1446" s="311">
        <f>132+95+26</f>
        <v>253</v>
      </c>
      <c r="G1446" s="58">
        <f>179+109+38</f>
        <v>326</v>
      </c>
      <c r="H1446" s="57">
        <f>91+78+18</f>
        <v>187</v>
      </c>
      <c r="I1446" s="311">
        <f t="shared" ref="I1446:I1451" si="649">SUM(B1446:H1446)</f>
        <v>1114</v>
      </c>
      <c r="J1446" s="317">
        <f>FLORESTA!$I1446/7</f>
        <v>159.14285714285714</v>
      </c>
    </row>
    <row r="1447" spans="1:10" x14ac:dyDescent="0.25">
      <c r="A1447" s="10" t="s">
        <v>12</v>
      </c>
      <c r="B1447" s="86">
        <v>22</v>
      </c>
      <c r="C1447" s="13">
        <v>28</v>
      </c>
      <c r="D1447" s="320">
        <v>16</v>
      </c>
      <c r="E1447" s="11">
        <v>27</v>
      </c>
      <c r="F1447" s="125">
        <v>98</v>
      </c>
      <c r="G1447" s="11">
        <v>91</v>
      </c>
      <c r="H1447" s="11">
        <v>51</v>
      </c>
      <c r="I1447" s="313">
        <f t="shared" si="649"/>
        <v>333</v>
      </c>
      <c r="J1447" s="318">
        <f>FLORESTA!$I1447/7</f>
        <v>47.571428571428569</v>
      </c>
    </row>
    <row r="1448" spans="1:10" x14ac:dyDescent="0.25">
      <c r="A1448" s="10" t="s">
        <v>13</v>
      </c>
      <c r="B1448" s="11">
        <v>0</v>
      </c>
      <c r="C1448" s="13">
        <v>2</v>
      </c>
      <c r="D1448" s="13">
        <v>0</v>
      </c>
      <c r="E1448" s="11">
        <v>2</v>
      </c>
      <c r="F1448" s="125">
        <v>1</v>
      </c>
      <c r="G1448" s="11">
        <v>3</v>
      </c>
      <c r="H1448" s="11">
        <v>5</v>
      </c>
      <c r="I1448" s="313">
        <f t="shared" si="649"/>
        <v>13</v>
      </c>
      <c r="J1448" s="318">
        <f>C1448+D1448+E1448+F1448+G1448+H1448+I1448</f>
        <v>26</v>
      </c>
    </row>
    <row r="1449" spans="1:10" x14ac:dyDescent="0.25">
      <c r="A1449" s="10" t="s">
        <v>14</v>
      </c>
      <c r="B1449" s="11">
        <v>25</v>
      </c>
      <c r="C1449" s="13">
        <v>38</v>
      </c>
      <c r="D1449" s="320">
        <v>44</v>
      </c>
      <c r="E1449" s="11">
        <v>41</v>
      </c>
      <c r="F1449" s="125">
        <v>80</v>
      </c>
      <c r="G1449" s="11">
        <v>132</v>
      </c>
      <c r="H1449" s="11">
        <v>81</v>
      </c>
      <c r="I1449" s="313">
        <f t="shared" si="649"/>
        <v>441</v>
      </c>
      <c r="J1449" s="318">
        <f>FLORESTA!$I1449/7</f>
        <v>63</v>
      </c>
    </row>
    <row r="1450" spans="1:10" x14ac:dyDescent="0.25">
      <c r="A1450" s="10" t="s">
        <v>15</v>
      </c>
      <c r="B1450" s="11">
        <v>9</v>
      </c>
      <c r="C1450" s="13">
        <v>10</v>
      </c>
      <c r="D1450" s="13">
        <v>6</v>
      </c>
      <c r="E1450" s="11">
        <v>17</v>
      </c>
      <c r="F1450" s="125">
        <v>24</v>
      </c>
      <c r="G1450" s="11">
        <v>35</v>
      </c>
      <c r="H1450" s="11">
        <v>24</v>
      </c>
      <c r="I1450" s="313">
        <f t="shared" si="649"/>
        <v>125</v>
      </c>
      <c r="J1450" s="318">
        <f>FLORESTA!$I1450/7</f>
        <v>17.857142857142858</v>
      </c>
    </row>
    <row r="1451" spans="1:10" x14ac:dyDescent="0.25">
      <c r="A1451" s="10" t="s">
        <v>16</v>
      </c>
      <c r="B1451" s="11">
        <v>0</v>
      </c>
      <c r="C1451" s="13">
        <v>0</v>
      </c>
      <c r="D1451" s="13">
        <v>0</v>
      </c>
      <c r="E1451" s="11">
        <v>0</v>
      </c>
      <c r="F1451" s="125">
        <v>0</v>
      </c>
      <c r="G1451" s="11">
        <v>0</v>
      </c>
      <c r="H1451" s="11">
        <v>0</v>
      </c>
      <c r="I1451" s="313">
        <f t="shared" si="649"/>
        <v>0</v>
      </c>
      <c r="J1451" s="318">
        <f>FLORESTA!$I1451/7</f>
        <v>0</v>
      </c>
    </row>
    <row r="1452" spans="1:10" x14ac:dyDescent="0.25">
      <c r="A1452" s="15" t="s">
        <v>17</v>
      </c>
      <c r="B1452" s="79">
        <f t="shared" ref="B1452:I1452" si="650">SUM(B1447:B1451)</f>
        <v>56</v>
      </c>
      <c r="C1452" s="79">
        <f t="shared" si="650"/>
        <v>78</v>
      </c>
      <c r="D1452" s="79">
        <f t="shared" si="650"/>
        <v>66</v>
      </c>
      <c r="E1452" s="103">
        <f t="shared" si="650"/>
        <v>87</v>
      </c>
      <c r="F1452" s="213">
        <f t="shared" si="650"/>
        <v>203</v>
      </c>
      <c r="G1452" s="103">
        <f t="shared" si="650"/>
        <v>261</v>
      </c>
      <c r="H1452" s="103">
        <f t="shared" si="650"/>
        <v>161</v>
      </c>
      <c r="I1452" s="103">
        <f t="shared" si="650"/>
        <v>912</v>
      </c>
      <c r="J1452" s="319">
        <f>FLORESTA!$I1452/7</f>
        <v>130.28571428571428</v>
      </c>
    </row>
    <row r="1453" spans="1:10" x14ac:dyDescent="0.25">
      <c r="A1453" s="10" t="s">
        <v>18</v>
      </c>
      <c r="B1453" s="325">
        <v>0.5</v>
      </c>
      <c r="C1453" s="326">
        <v>0.4</v>
      </c>
      <c r="D1453" s="326">
        <v>0.31</v>
      </c>
      <c r="E1453" s="327">
        <v>0.39</v>
      </c>
      <c r="F1453" s="328">
        <v>0.51</v>
      </c>
      <c r="G1453" s="327">
        <v>0.38</v>
      </c>
      <c r="H1453" s="327">
        <v>0.32</v>
      </c>
      <c r="I1453" s="18">
        <f>I1460/I1465</f>
        <v>0.40387604502551333</v>
      </c>
      <c r="J1453" s="19">
        <f>J1460/J1465</f>
        <v>0.40387604502551333</v>
      </c>
    </row>
    <row r="1454" spans="1:10" x14ac:dyDescent="0.25">
      <c r="A1454" s="10" t="s">
        <v>19</v>
      </c>
      <c r="B1454" s="325">
        <v>0</v>
      </c>
      <c r="C1454" s="326">
        <v>0.02</v>
      </c>
      <c r="D1454" s="326">
        <v>0</v>
      </c>
      <c r="E1454" s="327">
        <v>0.02</v>
      </c>
      <c r="F1454" s="327">
        <v>0.01</v>
      </c>
      <c r="G1454" s="327">
        <v>0.01</v>
      </c>
      <c r="H1454" s="327">
        <v>0.03</v>
      </c>
      <c r="I1454" s="18">
        <f>I1461/I1465</f>
        <v>1.4071283813009301E-2</v>
      </c>
      <c r="J1454" s="19">
        <f>J1461/J1465</f>
        <v>1.4071283813009301E-2</v>
      </c>
    </row>
    <row r="1455" spans="1:10" x14ac:dyDescent="0.25">
      <c r="A1455" s="10" t="s">
        <v>20</v>
      </c>
      <c r="B1455" s="325">
        <v>0.39</v>
      </c>
      <c r="C1455" s="326">
        <v>0.49</v>
      </c>
      <c r="D1455" s="326">
        <v>0.62</v>
      </c>
      <c r="E1455" s="327">
        <v>0.42</v>
      </c>
      <c r="F1455" s="329">
        <v>0.38</v>
      </c>
      <c r="G1455" s="327">
        <v>0.48</v>
      </c>
      <c r="H1455" s="327">
        <v>0.51</v>
      </c>
      <c r="I1455" s="18">
        <f>I1462/I1465</f>
        <v>0.46173712882044737</v>
      </c>
      <c r="J1455" s="19">
        <f>J1462/J1465</f>
        <v>0.46173712882044732</v>
      </c>
    </row>
    <row r="1456" spans="1:10" x14ac:dyDescent="0.25">
      <c r="A1456" s="10" t="s">
        <v>21</v>
      </c>
      <c r="B1456" s="325">
        <v>0.11</v>
      </c>
      <c r="C1456" s="326">
        <v>0.09</v>
      </c>
      <c r="D1456" s="326">
        <v>7.0000000000000007E-2</v>
      </c>
      <c r="E1456" s="327">
        <v>0.17</v>
      </c>
      <c r="F1456" s="329">
        <v>0.1</v>
      </c>
      <c r="G1456" s="327">
        <v>0.13</v>
      </c>
      <c r="H1456" s="327">
        <v>0.14000000000000001</v>
      </c>
      <c r="I1456" s="18">
        <f>I1463/I1465</f>
        <v>0.12031554234103009</v>
      </c>
      <c r="J1456" s="19">
        <f>J1463/J1465</f>
        <v>0.12031554234103009</v>
      </c>
    </row>
    <row r="1457" spans="1:10" x14ac:dyDescent="0.25">
      <c r="A1457" s="10" t="s">
        <v>22</v>
      </c>
      <c r="B1457" s="325">
        <v>0</v>
      </c>
      <c r="C1457" s="326">
        <v>0</v>
      </c>
      <c r="D1457" s="326">
        <v>0</v>
      </c>
      <c r="E1457" s="327">
        <v>0</v>
      </c>
      <c r="F1457" s="329">
        <v>0</v>
      </c>
      <c r="G1457" s="327">
        <v>0</v>
      </c>
      <c r="H1457" s="327">
        <v>0</v>
      </c>
      <c r="I1457" s="18">
        <f>I1464/I1465</f>
        <v>0</v>
      </c>
      <c r="J1457" s="19">
        <f>J1464/J1465</f>
        <v>0</v>
      </c>
    </row>
    <row r="1458" spans="1:10" x14ac:dyDescent="0.25">
      <c r="A1458" s="24" t="s">
        <v>23</v>
      </c>
      <c r="B1458" s="130">
        <f t="shared" ref="B1458:J1458" si="651">B1469/B1452</f>
        <v>31457.142857142859</v>
      </c>
      <c r="C1458" s="131">
        <f t="shared" si="651"/>
        <v>32946.153846153844</v>
      </c>
      <c r="D1458" s="131">
        <f t="shared" si="651"/>
        <v>33471.21212121212</v>
      </c>
      <c r="E1458" s="130">
        <f t="shared" si="651"/>
        <v>36625.287356321845</v>
      </c>
      <c r="F1458" s="132">
        <f t="shared" si="651"/>
        <v>36563.054187192116</v>
      </c>
      <c r="G1458" s="130">
        <f t="shared" si="651"/>
        <v>34988.888888888898</v>
      </c>
      <c r="H1458" s="130">
        <f t="shared" si="651"/>
        <v>34598.757763975154</v>
      </c>
      <c r="I1458" s="314">
        <f t="shared" si="651"/>
        <v>34925.109649122809</v>
      </c>
      <c r="J1458" s="132">
        <f t="shared" si="651"/>
        <v>34925.109649122809</v>
      </c>
    </row>
    <row r="1459" spans="1:10" x14ac:dyDescent="0.25">
      <c r="A1459" s="24" t="s">
        <v>24</v>
      </c>
      <c r="B1459" s="130">
        <f t="shared" ref="B1459:J1459" si="652">B1469/B1446</f>
        <v>28412.903225806451</v>
      </c>
      <c r="C1459" s="131">
        <f t="shared" si="652"/>
        <v>27338.297872340427</v>
      </c>
      <c r="D1459" s="131">
        <f t="shared" si="652"/>
        <v>28321.794871794871</v>
      </c>
      <c r="E1459" s="130">
        <f t="shared" si="652"/>
        <v>27950.877192982462</v>
      </c>
      <c r="F1459" s="132">
        <f t="shared" si="652"/>
        <v>29337.154150197628</v>
      </c>
      <c r="G1459" s="130">
        <f t="shared" si="652"/>
        <v>28012.576687116569</v>
      </c>
      <c r="H1459" s="130">
        <f t="shared" si="652"/>
        <v>29788.235294117647</v>
      </c>
      <c r="I1459" s="314">
        <f t="shared" si="652"/>
        <v>28592.190305206463</v>
      </c>
      <c r="J1459" s="132">
        <f t="shared" si="652"/>
        <v>28592.190305206466</v>
      </c>
    </row>
    <row r="1460" spans="1:10" x14ac:dyDescent="0.25">
      <c r="A1460" s="10" t="s">
        <v>25</v>
      </c>
      <c r="B1460" s="92">
        <f t="shared" ref="B1460:H1460" si="653">B1465*B1453</f>
        <v>735605.3448275862</v>
      </c>
      <c r="C1460" s="133">
        <f t="shared" si="653"/>
        <v>862001.9310344829</v>
      </c>
      <c r="D1460" s="133">
        <f t="shared" si="653"/>
        <v>579674.13103448274</v>
      </c>
      <c r="E1460" s="92">
        <f t="shared" si="653"/>
        <v>1048597.505172414</v>
      </c>
      <c r="F1460" s="134">
        <f t="shared" si="653"/>
        <v>3155545.6862068968</v>
      </c>
      <c r="G1460" s="92">
        <f t="shared" si="653"/>
        <v>2917030.1000000006</v>
      </c>
      <c r="H1460" s="92">
        <f t="shared" si="653"/>
        <v>1501492.4689655174</v>
      </c>
      <c r="I1460" s="92">
        <f>FLORESTA!$B1460+FLORESTA!$C1460+FLORESTA!$D1460+FLORESTA!$E1460+FLORESTA!$F1460+FLORESTA!$G1460+FLORESTA!$H1460</f>
        <v>10799947.167241381</v>
      </c>
      <c r="J1460" s="133">
        <f>FLORESTA!$I1460/7</f>
        <v>1542849.5953201973</v>
      </c>
    </row>
    <row r="1461" spans="1:10" x14ac:dyDescent="0.25">
      <c r="A1461" s="10" t="s">
        <v>26</v>
      </c>
      <c r="B1461" s="92">
        <f t="shared" ref="B1461:H1461" si="654">B1465*B1454</f>
        <v>0</v>
      </c>
      <c r="C1461" s="133">
        <f t="shared" si="654"/>
        <v>43100.096551724142</v>
      </c>
      <c r="D1461" s="133">
        <f t="shared" si="654"/>
        <v>0</v>
      </c>
      <c r="E1461" s="92">
        <f t="shared" si="654"/>
        <v>53774.231034482764</v>
      </c>
      <c r="F1461" s="134">
        <f t="shared" si="654"/>
        <v>61873.444827586209</v>
      </c>
      <c r="G1461" s="92">
        <f t="shared" si="654"/>
        <v>76763.950000000012</v>
      </c>
      <c r="H1461" s="92">
        <f t="shared" si="654"/>
        <v>140764.91896551725</v>
      </c>
      <c r="I1461" s="92">
        <f>FLORESTA!$B1461+FLORESTA!$C1461+FLORESTA!$D1461+FLORESTA!$E1461+FLORESTA!$F1461+FLORESTA!$G1461+FLORESTA!$H1461</f>
        <v>376276.6413793104</v>
      </c>
      <c r="J1461" s="133">
        <f>FLORESTA!$I1461/7</f>
        <v>53753.805911330055</v>
      </c>
    </row>
    <row r="1462" spans="1:10" x14ac:dyDescent="0.25">
      <c r="A1462" s="10" t="s">
        <v>27</v>
      </c>
      <c r="B1462" s="92">
        <f t="shared" ref="B1462:H1462" si="655">B1465*B1455</f>
        <v>573772.16896551731</v>
      </c>
      <c r="C1462" s="133">
        <f t="shared" si="655"/>
        <v>1055952.3655172414</v>
      </c>
      <c r="D1462" s="133">
        <f t="shared" si="655"/>
        <v>1159348.2620689655</v>
      </c>
      <c r="E1462" s="92">
        <f t="shared" si="655"/>
        <v>1129258.851724138</v>
      </c>
      <c r="F1462" s="134">
        <f t="shared" si="655"/>
        <v>2351190.9034482758</v>
      </c>
      <c r="G1462" s="92">
        <f t="shared" si="655"/>
        <v>3684669.6</v>
      </c>
      <c r="H1462" s="92">
        <f t="shared" si="655"/>
        <v>2393003.6224137931</v>
      </c>
      <c r="I1462" s="92">
        <f>FLORESTA!$B1462+FLORESTA!$C1462+FLORESTA!$D1462+FLORESTA!$E1462+FLORESTA!$F1462+FLORESTA!$G1462+FLORESTA!$H1462</f>
        <v>12347195.774137931</v>
      </c>
      <c r="J1462" s="133">
        <f>FLORESTA!$I1462/7</f>
        <v>1763885.1105911329</v>
      </c>
    </row>
    <row r="1463" spans="1:10" x14ac:dyDescent="0.25">
      <c r="A1463" s="10" t="s">
        <v>28</v>
      </c>
      <c r="B1463" s="92">
        <f t="shared" ref="B1463:H1463" si="656">B1465*B1456</f>
        <v>161833.17586206898</v>
      </c>
      <c r="C1463" s="133">
        <f t="shared" si="656"/>
        <v>193950.43448275863</v>
      </c>
      <c r="D1463" s="133">
        <f t="shared" si="656"/>
        <v>130894.15862068968</v>
      </c>
      <c r="E1463" s="92">
        <f t="shared" si="656"/>
        <v>457080.96379310352</v>
      </c>
      <c r="F1463" s="134">
        <f t="shared" si="656"/>
        <v>618734.44827586215</v>
      </c>
      <c r="G1463" s="92">
        <f t="shared" si="656"/>
        <v>997931.35000000021</v>
      </c>
      <c r="H1463" s="92">
        <f t="shared" si="656"/>
        <v>656902.95517241384</v>
      </c>
      <c r="I1463" s="92">
        <f>FLORESTA!$B1463+FLORESTA!$C1463+FLORESTA!$D1463+FLORESTA!$E1463+FLORESTA!$F1463+FLORESTA!$G1463+FLORESTA!$H1463</f>
        <v>3217327.4862068971</v>
      </c>
      <c r="J1463" s="133">
        <f>FLORESTA!$I1463/7</f>
        <v>459618.21231527103</v>
      </c>
    </row>
    <row r="1464" spans="1:10" x14ac:dyDescent="0.25">
      <c r="A1464" s="10" t="s">
        <v>29</v>
      </c>
      <c r="B1464" s="92">
        <f t="shared" ref="B1464:H1464" si="657">B1465*B1457</f>
        <v>0</v>
      </c>
      <c r="C1464" s="133">
        <f t="shared" si="657"/>
        <v>0</v>
      </c>
      <c r="D1464" s="133">
        <f t="shared" si="657"/>
        <v>0</v>
      </c>
      <c r="E1464" s="92">
        <f t="shared" si="657"/>
        <v>0</v>
      </c>
      <c r="F1464" s="134">
        <f t="shared" si="657"/>
        <v>0</v>
      </c>
      <c r="G1464" s="92">
        <f t="shared" si="657"/>
        <v>0</v>
      </c>
      <c r="H1464" s="92">
        <f t="shared" si="657"/>
        <v>0</v>
      </c>
      <c r="I1464" s="92">
        <f>FLORESTA!$B1464+FLORESTA!$C1464+FLORESTA!$D1464+FLORESTA!$E1464+FLORESTA!$F1464+FLORESTA!$G1464+FLORESTA!$H1464</f>
        <v>0</v>
      </c>
      <c r="J1464" s="133">
        <f>FLORESTA!$I1464/7</f>
        <v>0</v>
      </c>
    </row>
    <row r="1465" spans="1:10" x14ac:dyDescent="0.25">
      <c r="A1465" s="33" t="s">
        <v>30</v>
      </c>
      <c r="B1465" s="222">
        <f>(1761600/1.16)-B1466</f>
        <v>1471210.6896551724</v>
      </c>
      <c r="C1465" s="222">
        <f>(2569800/1.16)-C1466</f>
        <v>2155004.8275862071</v>
      </c>
      <c r="D1465" s="222">
        <f>(2209100/1.16)-D1466</f>
        <v>1869916.551724138</v>
      </c>
      <c r="E1465" s="222">
        <f>(3186400/1.16)-E1466</f>
        <v>2688711.5517241382</v>
      </c>
      <c r="F1465" s="222">
        <f>(7422300/1.16)-F1466</f>
        <v>6187344.4827586208</v>
      </c>
      <c r="G1465" s="222">
        <f>(9132100/1.16)-G1466</f>
        <v>7676395.0000000009</v>
      </c>
      <c r="H1465" s="222">
        <f>(5570400/1.16)-H1466</f>
        <v>4692163.9655172415</v>
      </c>
      <c r="I1465" s="91">
        <f>SUM(I1460:I1464)</f>
        <v>26740747.068965517</v>
      </c>
      <c r="J1465" s="136">
        <f>FLORESTA!$I1465/7</f>
        <v>3820106.7241379311</v>
      </c>
    </row>
    <row r="1466" spans="1:10" x14ac:dyDescent="0.25">
      <c r="A1466" s="10" t="s">
        <v>31</v>
      </c>
      <c r="B1466" s="94">
        <f t="shared" ref="B1466:J1466" si="658">2155*B1447</f>
        <v>47410</v>
      </c>
      <c r="C1466" s="139">
        <f t="shared" si="658"/>
        <v>60340</v>
      </c>
      <c r="D1466" s="139">
        <f t="shared" si="658"/>
        <v>34480</v>
      </c>
      <c r="E1466" s="94">
        <f t="shared" si="658"/>
        <v>58185</v>
      </c>
      <c r="F1466" s="112">
        <f t="shared" si="658"/>
        <v>211190</v>
      </c>
      <c r="G1466" s="94">
        <f t="shared" si="658"/>
        <v>196105</v>
      </c>
      <c r="H1466" s="94">
        <f t="shared" si="658"/>
        <v>109905</v>
      </c>
      <c r="I1466" s="94">
        <f t="shared" si="658"/>
        <v>717615</v>
      </c>
      <c r="J1466" s="139">
        <f t="shared" si="658"/>
        <v>102516.42857142857</v>
      </c>
    </row>
    <row r="1467" spans="1:10" x14ac:dyDescent="0.25">
      <c r="A1467" s="37" t="s">
        <v>32</v>
      </c>
      <c r="B1467" s="39">
        <f t="shared" ref="B1467:H1467" si="659">B1465+B1466</f>
        <v>1518620.6896551724</v>
      </c>
      <c r="C1467" s="40">
        <f t="shared" si="659"/>
        <v>2215344.8275862071</v>
      </c>
      <c r="D1467" s="40">
        <f t="shared" si="659"/>
        <v>1904396.551724138</v>
      </c>
      <c r="E1467" s="39">
        <f t="shared" si="659"/>
        <v>2746896.5517241382</v>
      </c>
      <c r="F1467" s="140">
        <f t="shared" si="659"/>
        <v>6398534.4827586208</v>
      </c>
      <c r="G1467" s="39">
        <f t="shared" si="659"/>
        <v>7872500.0000000009</v>
      </c>
      <c r="H1467" s="39">
        <f t="shared" si="659"/>
        <v>4802068.9655172415</v>
      </c>
      <c r="I1467" s="39">
        <f>I1465+I1466</f>
        <v>27458362.068965517</v>
      </c>
      <c r="J1467" s="40">
        <f>J1465+J1466</f>
        <v>3922623.1527093598</v>
      </c>
    </row>
    <row r="1468" spans="1:10" x14ac:dyDescent="0.25">
      <c r="A1468" s="10" t="s">
        <v>33</v>
      </c>
      <c r="B1468" s="41">
        <f t="shared" ref="B1468:H1468" si="660">B1467*16%</f>
        <v>242979.31034482759</v>
      </c>
      <c r="C1468" s="42">
        <f t="shared" si="660"/>
        <v>354455.17241379316</v>
      </c>
      <c r="D1468" s="42">
        <f t="shared" si="660"/>
        <v>304703.44827586209</v>
      </c>
      <c r="E1468" s="41">
        <f t="shared" si="660"/>
        <v>439503.44827586215</v>
      </c>
      <c r="F1468" s="141">
        <f t="shared" si="660"/>
        <v>1023765.5172413794</v>
      </c>
      <c r="G1468" s="41">
        <f t="shared" si="660"/>
        <v>1259600.0000000002</v>
      </c>
      <c r="H1468" s="41">
        <f t="shared" si="660"/>
        <v>768331.03448275861</v>
      </c>
      <c r="I1468" s="41">
        <f>I1467*16%</f>
        <v>4393337.931034483</v>
      </c>
      <c r="J1468" s="42">
        <f>J1467*16%</f>
        <v>627619.70443349762</v>
      </c>
    </row>
    <row r="1469" spans="1:10" x14ac:dyDescent="0.25">
      <c r="A1469" s="43" t="s">
        <v>34</v>
      </c>
      <c r="B1469" s="315">
        <f t="shared" ref="B1469:H1469" si="661">B1467+B1468</f>
        <v>1761600</v>
      </c>
      <c r="C1469" s="315">
        <f t="shared" si="661"/>
        <v>2569800</v>
      </c>
      <c r="D1469" s="315">
        <f t="shared" si="661"/>
        <v>2209100</v>
      </c>
      <c r="E1469" s="178">
        <f t="shared" si="661"/>
        <v>3186400.0000000005</v>
      </c>
      <c r="F1469" s="182">
        <f t="shared" si="661"/>
        <v>7422300</v>
      </c>
      <c r="G1469" s="178">
        <f t="shared" si="661"/>
        <v>9132100.0000000019</v>
      </c>
      <c r="H1469" s="178">
        <f t="shared" si="661"/>
        <v>5570400</v>
      </c>
      <c r="I1469" s="178">
        <f>I1467+I1468</f>
        <v>31851700</v>
      </c>
      <c r="J1469" s="315">
        <f>FLORESTA!$I1469/7</f>
        <v>4550242.8571428573</v>
      </c>
    </row>
    <row r="1470" spans="1:10" ht="15.75" thickBot="1" x14ac:dyDescent="0.3"/>
    <row r="1471" spans="1:10" ht="15.75" thickBot="1" x14ac:dyDescent="0.3">
      <c r="A1471" s="149"/>
      <c r="B1471" s="1006" t="s">
        <v>393</v>
      </c>
      <c r="C1471" s="1006"/>
      <c r="D1471" s="1006"/>
      <c r="E1471" s="1006"/>
      <c r="F1471" s="1006"/>
      <c r="G1471" s="1006"/>
      <c r="H1471" s="1006"/>
      <c r="I1471" s="1006"/>
    </row>
    <row r="1472" spans="1:10" ht="15.75" thickBot="1" x14ac:dyDescent="0.3">
      <c r="A1472" s="149"/>
      <c r="B1472" s="1006"/>
      <c r="C1472" s="1006"/>
      <c r="D1472" s="1006"/>
      <c r="E1472" s="1006"/>
      <c r="F1472" s="1006"/>
      <c r="G1472" s="1006"/>
      <c r="H1472" s="1006"/>
      <c r="I1472" s="1006"/>
    </row>
    <row r="1473" spans="1:10" ht="15.75" x14ac:dyDescent="0.25">
      <c r="A1473" s="692" t="s">
        <v>2</v>
      </c>
      <c r="B1473" s="681" t="s">
        <v>185</v>
      </c>
      <c r="C1473" s="681" t="s">
        <v>186</v>
      </c>
      <c r="D1473" s="681" t="s">
        <v>187</v>
      </c>
      <c r="E1473" s="681" t="s">
        <v>188</v>
      </c>
      <c r="F1473" s="681" t="s">
        <v>189</v>
      </c>
      <c r="G1473" s="681" t="s">
        <v>190</v>
      </c>
      <c r="H1473" s="681" t="s">
        <v>191</v>
      </c>
      <c r="I1473" s="617" t="s">
        <v>96</v>
      </c>
      <c r="J1473" s="682" t="s">
        <v>97</v>
      </c>
    </row>
    <row r="1474" spans="1:10" x14ac:dyDescent="0.25">
      <c r="A1474" s="693" t="s">
        <v>11</v>
      </c>
      <c r="B1474" s="688">
        <f>51+26+13</f>
        <v>90</v>
      </c>
      <c r="C1474" s="56">
        <f>53+27+14</f>
        <v>94</v>
      </c>
      <c r="D1474" s="54">
        <f>69+40+7</f>
        <v>116</v>
      </c>
      <c r="E1474" s="316">
        <f>77+36+10</f>
        <v>123</v>
      </c>
      <c r="F1474" s="311">
        <f>119+75+22</f>
        <v>216</v>
      </c>
      <c r="G1474" s="58">
        <f>116+102+25</f>
        <v>243</v>
      </c>
      <c r="H1474" s="57">
        <f>125+93+23</f>
        <v>241</v>
      </c>
      <c r="I1474" s="311">
        <f t="shared" ref="I1474:I1479" si="662">SUM(B1474:H1474)</f>
        <v>1123</v>
      </c>
      <c r="J1474" s="683">
        <f>FLORESTA!$I1474/7</f>
        <v>160.42857142857142</v>
      </c>
    </row>
    <row r="1475" spans="1:10" x14ac:dyDescent="0.25">
      <c r="A1475" s="694" t="s">
        <v>12</v>
      </c>
      <c r="B1475" s="689">
        <v>25</v>
      </c>
      <c r="C1475" s="13">
        <v>34</v>
      </c>
      <c r="D1475" s="320">
        <v>38</v>
      </c>
      <c r="E1475" s="11">
        <v>32</v>
      </c>
      <c r="F1475" s="125">
        <v>88</v>
      </c>
      <c r="G1475" s="11">
        <v>64</v>
      </c>
      <c r="H1475" s="11">
        <v>79</v>
      </c>
      <c r="I1475" s="313">
        <f t="shared" si="662"/>
        <v>360</v>
      </c>
      <c r="J1475" s="684">
        <f>FLORESTA!$I1475/7</f>
        <v>51.428571428571431</v>
      </c>
    </row>
    <row r="1476" spans="1:10" x14ac:dyDescent="0.25">
      <c r="A1476" s="694" t="s">
        <v>13</v>
      </c>
      <c r="B1476" s="313">
        <v>1</v>
      </c>
      <c r="C1476" s="13">
        <v>0</v>
      </c>
      <c r="D1476" s="13">
        <v>3</v>
      </c>
      <c r="E1476" s="11">
        <v>4</v>
      </c>
      <c r="F1476" s="125">
        <v>2</v>
      </c>
      <c r="G1476" s="11">
        <v>5</v>
      </c>
      <c r="H1476" s="11">
        <v>5</v>
      </c>
      <c r="I1476" s="313">
        <f t="shared" si="662"/>
        <v>20</v>
      </c>
      <c r="J1476" s="684">
        <f>C1476+D1476+E1476+F1476+G1476+H1476+I1476</f>
        <v>39</v>
      </c>
    </row>
    <row r="1477" spans="1:10" x14ac:dyDescent="0.25">
      <c r="A1477" s="694" t="s">
        <v>14</v>
      </c>
      <c r="B1477" s="313">
        <v>40</v>
      </c>
      <c r="C1477" s="13">
        <v>43</v>
      </c>
      <c r="D1477" s="320">
        <v>46</v>
      </c>
      <c r="E1477" s="11">
        <v>57</v>
      </c>
      <c r="F1477" s="125">
        <v>66</v>
      </c>
      <c r="G1477" s="11">
        <v>104</v>
      </c>
      <c r="H1477" s="11">
        <v>93</v>
      </c>
      <c r="I1477" s="313">
        <f t="shared" si="662"/>
        <v>449</v>
      </c>
      <c r="J1477" s="684">
        <f>FLORESTA!$I1477/7</f>
        <v>64.142857142857139</v>
      </c>
    </row>
    <row r="1478" spans="1:10" x14ac:dyDescent="0.25">
      <c r="A1478" s="694" t="s">
        <v>15</v>
      </c>
      <c r="B1478" s="313">
        <v>7</v>
      </c>
      <c r="C1478" s="13">
        <v>8</v>
      </c>
      <c r="D1478" s="13">
        <v>14</v>
      </c>
      <c r="E1478" s="11">
        <v>11</v>
      </c>
      <c r="F1478" s="125">
        <v>24</v>
      </c>
      <c r="G1478" s="11">
        <v>24</v>
      </c>
      <c r="H1478" s="11">
        <v>19</v>
      </c>
      <c r="I1478" s="313">
        <f t="shared" si="662"/>
        <v>107</v>
      </c>
      <c r="J1478" s="684">
        <f>FLORESTA!$I1478/7</f>
        <v>15.285714285714286</v>
      </c>
    </row>
    <row r="1479" spans="1:10" x14ac:dyDescent="0.25">
      <c r="A1479" s="694" t="s">
        <v>16</v>
      </c>
      <c r="B1479" s="313">
        <v>0</v>
      </c>
      <c r="C1479" s="13">
        <v>0</v>
      </c>
      <c r="D1479" s="13">
        <v>0</v>
      </c>
      <c r="E1479" s="11">
        <v>0</v>
      </c>
      <c r="F1479" s="125">
        <v>1</v>
      </c>
      <c r="G1479" s="11">
        <v>0</v>
      </c>
      <c r="H1479" s="11">
        <v>0</v>
      </c>
      <c r="I1479" s="313">
        <f t="shared" si="662"/>
        <v>1</v>
      </c>
      <c r="J1479" s="684">
        <f>FLORESTA!$I1479/7</f>
        <v>0.14285714285714285</v>
      </c>
    </row>
    <row r="1480" spans="1:10" x14ac:dyDescent="0.25">
      <c r="A1480" s="695" t="s">
        <v>17</v>
      </c>
      <c r="B1480" s="15">
        <f t="shared" ref="B1480:I1480" si="663">SUM(B1475:B1479)</f>
        <v>73</v>
      </c>
      <c r="C1480" s="79">
        <f t="shared" si="663"/>
        <v>85</v>
      </c>
      <c r="D1480" s="79">
        <f t="shared" si="663"/>
        <v>101</v>
      </c>
      <c r="E1480" s="103">
        <f t="shared" si="663"/>
        <v>104</v>
      </c>
      <c r="F1480" s="213">
        <f t="shared" si="663"/>
        <v>181</v>
      </c>
      <c r="G1480" s="103">
        <f t="shared" si="663"/>
        <v>197</v>
      </c>
      <c r="H1480" s="103">
        <f t="shared" si="663"/>
        <v>196</v>
      </c>
      <c r="I1480" s="103">
        <f t="shared" si="663"/>
        <v>937</v>
      </c>
      <c r="J1480" s="625">
        <f>FLORESTA!$I1480/7</f>
        <v>133.85714285714286</v>
      </c>
    </row>
    <row r="1481" spans="1:10" x14ac:dyDescent="0.25">
      <c r="A1481" s="694" t="s">
        <v>18</v>
      </c>
      <c r="B1481" s="690">
        <v>0.43</v>
      </c>
      <c r="C1481" s="326">
        <v>0.5</v>
      </c>
      <c r="D1481" s="326">
        <v>0.4</v>
      </c>
      <c r="E1481" s="327">
        <v>0.4</v>
      </c>
      <c r="F1481" s="328">
        <v>0.54</v>
      </c>
      <c r="G1481" s="327">
        <v>0.4</v>
      </c>
      <c r="H1481" s="327">
        <v>0.42</v>
      </c>
      <c r="I1481" s="18">
        <f>I1488/I1493</f>
        <v>0.44127317938137589</v>
      </c>
      <c r="J1481" s="626">
        <f>J1488/J1493</f>
        <v>0.44127317938137589</v>
      </c>
    </row>
    <row r="1482" spans="1:10" x14ac:dyDescent="0.25">
      <c r="A1482" s="694" t="s">
        <v>19</v>
      </c>
      <c r="B1482" s="690">
        <v>0.02</v>
      </c>
      <c r="C1482" s="326">
        <v>0</v>
      </c>
      <c r="D1482" s="326">
        <v>0.02</v>
      </c>
      <c r="E1482" s="327">
        <v>0.03</v>
      </c>
      <c r="F1482" s="327">
        <v>0.01</v>
      </c>
      <c r="G1482" s="327">
        <v>0.04</v>
      </c>
      <c r="H1482" s="327">
        <v>0.03</v>
      </c>
      <c r="I1482" s="18">
        <f>I1489/I1493</f>
        <v>2.4291413557837243E-2</v>
      </c>
      <c r="J1482" s="626">
        <f>J1489/J1493</f>
        <v>2.4291413557837243E-2</v>
      </c>
    </row>
    <row r="1483" spans="1:10" x14ac:dyDescent="0.25">
      <c r="A1483" s="694" t="s">
        <v>20</v>
      </c>
      <c r="B1483" s="690">
        <v>0.46</v>
      </c>
      <c r="C1483" s="326">
        <v>0.44</v>
      </c>
      <c r="D1483" s="326">
        <v>0.49</v>
      </c>
      <c r="E1483" s="327">
        <v>0.49</v>
      </c>
      <c r="F1483" s="329">
        <v>0.34</v>
      </c>
      <c r="G1483" s="327">
        <v>0.45</v>
      </c>
      <c r="H1483" s="327">
        <v>0.46</v>
      </c>
      <c r="I1483" s="18">
        <f>I1490/I1493</f>
        <v>0.43952280931683047</v>
      </c>
      <c r="J1483" s="626">
        <f>J1490/J1493</f>
        <v>0.43952280931683052</v>
      </c>
    </row>
    <row r="1484" spans="1:10" x14ac:dyDescent="0.25">
      <c r="A1484" s="694" t="s">
        <v>21</v>
      </c>
      <c r="B1484" s="690">
        <v>0.09</v>
      </c>
      <c r="C1484" s="326">
        <v>0.06</v>
      </c>
      <c r="D1484" s="326">
        <v>0.09</v>
      </c>
      <c r="E1484" s="327">
        <v>0.08</v>
      </c>
      <c r="F1484" s="329">
        <v>0.11</v>
      </c>
      <c r="G1484" s="327">
        <v>0.11</v>
      </c>
      <c r="H1484" s="327">
        <v>0.09</v>
      </c>
      <c r="I1484" s="18">
        <f>I1491/I1493</f>
        <v>9.4912597743956315E-2</v>
      </c>
      <c r="J1484" s="626">
        <f>J1491/J1493</f>
        <v>9.4912597743956328E-2</v>
      </c>
    </row>
    <row r="1485" spans="1:10" x14ac:dyDescent="0.25">
      <c r="A1485" s="694" t="s">
        <v>22</v>
      </c>
      <c r="B1485" s="690">
        <v>0</v>
      </c>
      <c r="C1485" s="326">
        <v>0</v>
      </c>
      <c r="D1485" s="326">
        <v>0</v>
      </c>
      <c r="E1485" s="327">
        <v>0</v>
      </c>
      <c r="F1485" s="329">
        <v>0</v>
      </c>
      <c r="G1485" s="327">
        <v>0</v>
      </c>
      <c r="H1485" s="327">
        <v>0</v>
      </c>
      <c r="I1485" s="18">
        <f>I1492/I1493</f>
        <v>0</v>
      </c>
      <c r="J1485" s="626">
        <f>J1492/J1493</f>
        <v>0</v>
      </c>
    </row>
    <row r="1486" spans="1:10" x14ac:dyDescent="0.25">
      <c r="A1486" s="696" t="s">
        <v>23</v>
      </c>
      <c r="B1486" s="314">
        <f t="shared" ref="B1486:J1486" si="664">B1497/B1480</f>
        <v>32821.917808219179</v>
      </c>
      <c r="C1486" s="131">
        <f t="shared" si="664"/>
        <v>30736.470588235294</v>
      </c>
      <c r="D1486" s="131">
        <f t="shared" si="664"/>
        <v>32879.207920792076</v>
      </c>
      <c r="E1486" s="130">
        <f t="shared" si="664"/>
        <v>32818.269230769234</v>
      </c>
      <c r="F1486" s="132">
        <f t="shared" si="664"/>
        <v>34177.348066298349</v>
      </c>
      <c r="G1486" s="130">
        <f t="shared" si="664"/>
        <v>37299.492385786805</v>
      </c>
      <c r="H1486" s="130">
        <f t="shared" si="664"/>
        <v>35488.265306122456</v>
      </c>
      <c r="I1486" s="314">
        <f t="shared" si="664"/>
        <v>34399.466382070437</v>
      </c>
      <c r="J1486" s="685">
        <f t="shared" si="664"/>
        <v>34399.466382070437</v>
      </c>
    </row>
    <row r="1487" spans="1:10" x14ac:dyDescent="0.25">
      <c r="A1487" s="696" t="s">
        <v>24</v>
      </c>
      <c r="B1487" s="314">
        <f t="shared" ref="B1487:J1487" si="665">B1497/B1474</f>
        <v>26622.222222222223</v>
      </c>
      <c r="C1487" s="131">
        <f t="shared" si="665"/>
        <v>27793.617021276597</v>
      </c>
      <c r="D1487" s="131">
        <f t="shared" si="665"/>
        <v>28627.586206896551</v>
      </c>
      <c r="E1487" s="130">
        <f t="shared" si="665"/>
        <v>27748.780487804877</v>
      </c>
      <c r="F1487" s="132">
        <f t="shared" si="665"/>
        <v>28639.351851851858</v>
      </c>
      <c r="G1487" s="130">
        <f t="shared" si="665"/>
        <v>30238.683127572021</v>
      </c>
      <c r="H1487" s="130">
        <f t="shared" si="665"/>
        <v>28861.825726141084</v>
      </c>
      <c r="I1487" s="314">
        <f t="shared" si="665"/>
        <v>28701.959038290293</v>
      </c>
      <c r="J1487" s="685">
        <f t="shared" si="665"/>
        <v>28701.959038290293</v>
      </c>
    </row>
    <row r="1488" spans="1:10" x14ac:dyDescent="0.25">
      <c r="A1488" s="694" t="s">
        <v>25</v>
      </c>
      <c r="B1488" s="300">
        <f t="shared" ref="B1488:H1488" si="666">B1493*B1481</f>
        <v>865006.16379310342</v>
      </c>
      <c r="C1488" s="133">
        <f t="shared" si="666"/>
        <v>1089485.6896551724</v>
      </c>
      <c r="D1488" s="133">
        <f t="shared" si="666"/>
        <v>1112347.448275862</v>
      </c>
      <c r="E1488" s="92">
        <f t="shared" si="666"/>
        <v>1149347.0344827587</v>
      </c>
      <c r="F1488" s="134">
        <f t="shared" si="666"/>
        <v>2777330.6068965523</v>
      </c>
      <c r="G1488" s="92">
        <f t="shared" si="666"/>
        <v>2478625.1034482764</v>
      </c>
      <c r="H1488" s="92">
        <f t="shared" si="666"/>
        <v>2446940.203448276</v>
      </c>
      <c r="I1488" s="92">
        <f>FLORESTA!$B1488+FLORESTA!$C1488+FLORESTA!$D1488+FLORESTA!$E1488+FLORESTA!$F1488+FLORESTA!$G1488+FLORESTA!$H1488</f>
        <v>11919082.25</v>
      </c>
      <c r="J1488" s="629">
        <f>FLORESTA!$I1488/7</f>
        <v>1702726.0357142857</v>
      </c>
    </row>
    <row r="1489" spans="1:10" x14ac:dyDescent="0.25">
      <c r="A1489" s="694" t="s">
        <v>26</v>
      </c>
      <c r="B1489" s="300">
        <f t="shared" ref="B1489:H1489" si="667">B1493*B1482</f>
        <v>40232.84482758621</v>
      </c>
      <c r="C1489" s="133">
        <f t="shared" si="667"/>
        <v>0</v>
      </c>
      <c r="D1489" s="133">
        <f t="shared" si="667"/>
        <v>55617.372413793106</v>
      </c>
      <c r="E1489" s="92">
        <f t="shared" si="667"/>
        <v>86201.027586206896</v>
      </c>
      <c r="F1489" s="134">
        <f t="shared" si="667"/>
        <v>51432.048275862078</v>
      </c>
      <c r="G1489" s="92">
        <f t="shared" si="667"/>
        <v>247862.51034482763</v>
      </c>
      <c r="H1489" s="92">
        <f t="shared" si="667"/>
        <v>174781.44310344828</v>
      </c>
      <c r="I1489" s="92">
        <f>FLORESTA!$B1489+FLORESTA!$C1489+FLORESTA!$D1489+FLORESTA!$E1489+FLORESTA!$F1489+FLORESTA!$G1489+FLORESTA!$H1489</f>
        <v>656127.24655172415</v>
      </c>
      <c r="J1489" s="629">
        <f>FLORESTA!$I1489/7</f>
        <v>93732.463793103452</v>
      </c>
    </row>
    <row r="1490" spans="1:10" x14ac:dyDescent="0.25">
      <c r="A1490" s="694" t="s">
        <v>27</v>
      </c>
      <c r="B1490" s="300">
        <f t="shared" ref="B1490:H1490" si="668">B1493*B1483</f>
        <v>925355.43103448278</v>
      </c>
      <c r="C1490" s="133">
        <f t="shared" si="668"/>
        <v>958747.40689655172</v>
      </c>
      <c r="D1490" s="133">
        <f t="shared" si="668"/>
        <v>1362625.624137931</v>
      </c>
      <c r="E1490" s="92">
        <f t="shared" si="668"/>
        <v>1407950.1172413793</v>
      </c>
      <c r="F1490" s="134">
        <f t="shared" si="668"/>
        <v>1748689.6413793107</v>
      </c>
      <c r="G1490" s="92">
        <f t="shared" si="668"/>
        <v>2788453.2413793108</v>
      </c>
      <c r="H1490" s="92">
        <f t="shared" si="668"/>
        <v>2679982.1275862074</v>
      </c>
      <c r="I1490" s="92">
        <f>FLORESTA!$B1490+FLORESTA!$C1490+FLORESTA!$D1490+FLORESTA!$E1490+FLORESTA!$F1490+FLORESTA!$G1490+FLORESTA!$H1490</f>
        <v>11871803.589655172</v>
      </c>
      <c r="J1490" s="629">
        <f>FLORESTA!$I1490/7</f>
        <v>1695971.9413793103</v>
      </c>
    </row>
    <row r="1491" spans="1:10" x14ac:dyDescent="0.25">
      <c r="A1491" s="694" t="s">
        <v>28</v>
      </c>
      <c r="B1491" s="300">
        <f t="shared" ref="B1491:H1491" si="669">B1493*B1484</f>
        <v>181047.80172413791</v>
      </c>
      <c r="C1491" s="133">
        <f t="shared" si="669"/>
        <v>130738.28275862068</v>
      </c>
      <c r="D1491" s="133">
        <f t="shared" si="669"/>
        <v>250278.17586206895</v>
      </c>
      <c r="E1491" s="92">
        <f t="shared" si="669"/>
        <v>229869.40689655175</v>
      </c>
      <c r="F1491" s="134">
        <f t="shared" si="669"/>
        <v>565752.53103448288</v>
      </c>
      <c r="G1491" s="92">
        <f t="shared" si="669"/>
        <v>681621.90344827599</v>
      </c>
      <c r="H1491" s="92">
        <f t="shared" si="669"/>
        <v>524344.32931034488</v>
      </c>
      <c r="I1491" s="92">
        <f>FLORESTA!$B1491+FLORESTA!$C1491+FLORESTA!$D1491+FLORESTA!$E1491+FLORESTA!$F1491+FLORESTA!$G1491+FLORESTA!$H1491</f>
        <v>2563652.431034483</v>
      </c>
      <c r="J1491" s="629">
        <f>FLORESTA!$I1491/7</f>
        <v>366236.06157635472</v>
      </c>
    </row>
    <row r="1492" spans="1:10" x14ac:dyDescent="0.25">
      <c r="A1492" s="694" t="s">
        <v>29</v>
      </c>
      <c r="B1492" s="300">
        <f t="shared" ref="B1492:H1492" si="670">B1493*B1485</f>
        <v>0</v>
      </c>
      <c r="C1492" s="133">
        <f t="shared" si="670"/>
        <v>0</v>
      </c>
      <c r="D1492" s="133">
        <f t="shared" si="670"/>
        <v>0</v>
      </c>
      <c r="E1492" s="92">
        <f t="shared" si="670"/>
        <v>0</v>
      </c>
      <c r="F1492" s="134">
        <f t="shared" si="670"/>
        <v>0</v>
      </c>
      <c r="G1492" s="92">
        <f t="shared" si="670"/>
        <v>0</v>
      </c>
      <c r="H1492" s="92">
        <f t="shared" si="670"/>
        <v>0</v>
      </c>
      <c r="I1492" s="92">
        <f>FLORESTA!$B1492+FLORESTA!$C1492+FLORESTA!$D1492+FLORESTA!$E1492+FLORESTA!$F1492+FLORESTA!$G1492+FLORESTA!$H1492</f>
        <v>0</v>
      </c>
      <c r="J1492" s="629">
        <f>FLORESTA!$I1492/7</f>
        <v>0</v>
      </c>
    </row>
    <row r="1493" spans="1:10" x14ac:dyDescent="0.25">
      <c r="A1493" s="697" t="s">
        <v>30</v>
      </c>
      <c r="B1493" s="691">
        <f>(2396000/1.16)-B1494</f>
        <v>2011642.2413793104</v>
      </c>
      <c r="C1493" s="222">
        <f>(2612600/1.16)-C1494</f>
        <v>2178971.3793103448</v>
      </c>
      <c r="D1493" s="222">
        <f>(3320800/1.16)-D1494</f>
        <v>2780868.6206896552</v>
      </c>
      <c r="E1493" s="222">
        <f>(3413100/1.16)-E1494</f>
        <v>2873367.5862068967</v>
      </c>
      <c r="F1493" s="222">
        <f>(6186100/1.16)-F1494</f>
        <v>5143204.8275862075</v>
      </c>
      <c r="G1493" s="222">
        <f>(7348000/1.16)-G1494</f>
        <v>6196562.7586206906</v>
      </c>
      <c r="H1493" s="222">
        <f>(6955700/1.16)-H1494</f>
        <v>5826048.1034482764</v>
      </c>
      <c r="I1493" s="91">
        <f>SUM(I1488:I1492)</f>
        <v>27010665.517241381</v>
      </c>
      <c r="J1493" s="631">
        <f>FLORESTA!$I1493/7</f>
        <v>3858666.5024630544</v>
      </c>
    </row>
    <row r="1494" spans="1:10" x14ac:dyDescent="0.25">
      <c r="A1494" s="694" t="s">
        <v>31</v>
      </c>
      <c r="B1494" s="302">
        <f t="shared" ref="B1494:J1494" si="671">2155*B1475</f>
        <v>53875</v>
      </c>
      <c r="C1494" s="139">
        <f t="shared" si="671"/>
        <v>73270</v>
      </c>
      <c r="D1494" s="139">
        <f t="shared" si="671"/>
        <v>81890</v>
      </c>
      <c r="E1494" s="94">
        <f t="shared" si="671"/>
        <v>68960</v>
      </c>
      <c r="F1494" s="112">
        <f t="shared" si="671"/>
        <v>189640</v>
      </c>
      <c r="G1494" s="94">
        <f t="shared" si="671"/>
        <v>137920</v>
      </c>
      <c r="H1494" s="94">
        <f t="shared" si="671"/>
        <v>170245</v>
      </c>
      <c r="I1494" s="94">
        <f t="shared" si="671"/>
        <v>775800</v>
      </c>
      <c r="J1494" s="632">
        <f t="shared" si="671"/>
        <v>110828.57142857143</v>
      </c>
    </row>
    <row r="1495" spans="1:10" x14ac:dyDescent="0.25">
      <c r="A1495" s="698" t="s">
        <v>32</v>
      </c>
      <c r="B1495" s="364">
        <f t="shared" ref="B1495:H1495" si="672">B1493+B1494</f>
        <v>2065517.2413793104</v>
      </c>
      <c r="C1495" s="40">
        <f t="shared" si="672"/>
        <v>2252241.3793103448</v>
      </c>
      <c r="D1495" s="40">
        <f t="shared" si="672"/>
        <v>2862758.6206896552</v>
      </c>
      <c r="E1495" s="39">
        <f t="shared" si="672"/>
        <v>2942327.5862068967</v>
      </c>
      <c r="F1495" s="140">
        <f t="shared" si="672"/>
        <v>5332844.8275862075</v>
      </c>
      <c r="G1495" s="39">
        <f t="shared" si="672"/>
        <v>6334482.7586206906</v>
      </c>
      <c r="H1495" s="39">
        <f t="shared" si="672"/>
        <v>5996293.1034482764</v>
      </c>
      <c r="I1495" s="39">
        <f>I1493+I1494</f>
        <v>27786465.517241381</v>
      </c>
      <c r="J1495" s="634">
        <f>J1493+J1494</f>
        <v>3969495.0738916257</v>
      </c>
    </row>
    <row r="1496" spans="1:10" x14ac:dyDescent="0.25">
      <c r="A1496" s="694" t="s">
        <v>33</v>
      </c>
      <c r="B1496" s="415">
        <f t="shared" ref="B1496:H1496" si="673">B1495*16%</f>
        <v>330482.75862068968</v>
      </c>
      <c r="C1496" s="42">
        <f t="shared" si="673"/>
        <v>360358.62068965519</v>
      </c>
      <c r="D1496" s="42">
        <f t="shared" si="673"/>
        <v>458041.37931034481</v>
      </c>
      <c r="E1496" s="41">
        <f t="shared" si="673"/>
        <v>470772.41379310348</v>
      </c>
      <c r="F1496" s="141">
        <f t="shared" si="673"/>
        <v>853255.17241379328</v>
      </c>
      <c r="G1496" s="41">
        <f t="shared" si="673"/>
        <v>1013517.2413793105</v>
      </c>
      <c r="H1496" s="41">
        <f t="shared" si="673"/>
        <v>959406.89655172429</v>
      </c>
      <c r="I1496" s="41">
        <f>I1495*16%</f>
        <v>4445834.4827586208</v>
      </c>
      <c r="J1496" s="635">
        <f>J1495*16%</f>
        <v>635119.21182266017</v>
      </c>
    </row>
    <row r="1497" spans="1:10" ht="15.75" thickBot="1" x14ac:dyDescent="0.3">
      <c r="A1497" s="699" t="s">
        <v>34</v>
      </c>
      <c r="B1497" s="687">
        <f t="shared" ref="B1497:H1497" si="674">B1495+B1496</f>
        <v>2396000</v>
      </c>
      <c r="C1497" s="638">
        <f t="shared" si="674"/>
        <v>2612600</v>
      </c>
      <c r="D1497" s="638">
        <f t="shared" si="674"/>
        <v>3320800</v>
      </c>
      <c r="E1497" s="686">
        <f t="shared" si="674"/>
        <v>3413100</v>
      </c>
      <c r="F1497" s="687">
        <f t="shared" si="674"/>
        <v>6186100.0000000009</v>
      </c>
      <c r="G1497" s="686">
        <f t="shared" si="674"/>
        <v>7348000.0000000009</v>
      </c>
      <c r="H1497" s="686">
        <f t="shared" si="674"/>
        <v>6955700.0000000009</v>
      </c>
      <c r="I1497" s="686">
        <f>I1495+I1496</f>
        <v>32232300</v>
      </c>
      <c r="J1497" s="639">
        <f>FLORESTA!$I1497/7</f>
        <v>4604614.2857142854</v>
      </c>
    </row>
    <row r="1498" spans="1:10" ht="15.75" thickBot="1" x14ac:dyDescent="0.3"/>
    <row r="1499" spans="1:10" ht="15.75" thickBot="1" x14ac:dyDescent="0.3">
      <c r="A1499" s="149"/>
      <c r="B1499" s="1006" t="s">
        <v>394</v>
      </c>
      <c r="C1499" s="1006"/>
      <c r="D1499" s="1006"/>
      <c r="E1499" s="1006"/>
      <c r="F1499" s="1006"/>
      <c r="G1499" s="1006"/>
      <c r="H1499" s="1006"/>
      <c r="I1499" s="1006"/>
    </row>
    <row r="1500" spans="1:10" ht="15.75" thickBot="1" x14ac:dyDescent="0.3">
      <c r="A1500" s="149"/>
      <c r="B1500" s="1006"/>
      <c r="C1500" s="1006"/>
      <c r="D1500" s="1006"/>
      <c r="E1500" s="1006"/>
      <c r="F1500" s="1006"/>
      <c r="G1500" s="1006"/>
      <c r="H1500" s="1006"/>
      <c r="I1500" s="1006"/>
    </row>
    <row r="1501" spans="1:10" ht="15.75" x14ac:dyDescent="0.25">
      <c r="A1501" s="692" t="s">
        <v>2</v>
      </c>
      <c r="B1501" s="681" t="s">
        <v>193</v>
      </c>
      <c r="C1501" s="681" t="s">
        <v>194</v>
      </c>
      <c r="D1501" s="681" t="s">
        <v>195</v>
      </c>
      <c r="E1501" s="681" t="s">
        <v>196</v>
      </c>
      <c r="F1501" s="681" t="s">
        <v>197</v>
      </c>
      <c r="G1501" s="681" t="s">
        <v>198</v>
      </c>
      <c r="H1501" s="681" t="s">
        <v>199</v>
      </c>
      <c r="I1501" s="617" t="s">
        <v>96</v>
      </c>
      <c r="J1501" s="682" t="s">
        <v>97</v>
      </c>
    </row>
    <row r="1502" spans="1:10" x14ac:dyDescent="0.25">
      <c r="A1502" s="693" t="s">
        <v>11</v>
      </c>
      <c r="B1502" s="688">
        <f>110+79+16</f>
        <v>205</v>
      </c>
      <c r="C1502" s="56">
        <f>38+20+11</f>
        <v>69</v>
      </c>
      <c r="D1502" s="54">
        <f>48+21+4</f>
        <v>73</v>
      </c>
      <c r="E1502" s="316">
        <f>45+34+9</f>
        <v>88</v>
      </c>
      <c r="F1502" s="311">
        <f>80+71+9</f>
        <v>160</v>
      </c>
      <c r="G1502" s="58">
        <f>120+133+30</f>
        <v>283</v>
      </c>
      <c r="H1502" s="57">
        <f>96+80+12</f>
        <v>188</v>
      </c>
      <c r="I1502" s="311">
        <f t="shared" ref="I1502:I1507" si="675">SUM(B1502:H1502)</f>
        <v>1066</v>
      </c>
      <c r="J1502" s="683">
        <f>FLORESTA!$I1502/7</f>
        <v>152.28571428571428</v>
      </c>
    </row>
    <row r="1503" spans="1:10" x14ac:dyDescent="0.25">
      <c r="A1503" s="694" t="s">
        <v>12</v>
      </c>
      <c r="B1503" s="689">
        <v>80</v>
      </c>
      <c r="C1503" s="13">
        <v>25</v>
      </c>
      <c r="D1503" s="320">
        <v>22</v>
      </c>
      <c r="E1503" s="11">
        <v>19</v>
      </c>
      <c r="F1503" s="125">
        <v>54</v>
      </c>
      <c r="G1503" s="11">
        <v>77</v>
      </c>
      <c r="H1503" s="11">
        <v>67</v>
      </c>
      <c r="I1503" s="313">
        <f t="shared" si="675"/>
        <v>344</v>
      </c>
      <c r="J1503" s="684">
        <f>FLORESTA!$I1503/7</f>
        <v>49.142857142857146</v>
      </c>
    </row>
    <row r="1504" spans="1:10" x14ac:dyDescent="0.25">
      <c r="A1504" s="694" t="s">
        <v>13</v>
      </c>
      <c r="B1504" s="313">
        <v>3</v>
      </c>
      <c r="C1504" s="13">
        <v>0</v>
      </c>
      <c r="D1504" s="13">
        <v>0</v>
      </c>
      <c r="E1504" s="11">
        <v>0</v>
      </c>
      <c r="F1504" s="125">
        <v>1</v>
      </c>
      <c r="G1504" s="11">
        <v>6</v>
      </c>
      <c r="H1504" s="11">
        <v>2</v>
      </c>
      <c r="I1504" s="313">
        <f t="shared" si="675"/>
        <v>12</v>
      </c>
      <c r="J1504" s="684">
        <f>C1504+D1504+E1504+F1504+G1504+H1504+I1504</f>
        <v>21</v>
      </c>
    </row>
    <row r="1505" spans="1:10" x14ac:dyDescent="0.25">
      <c r="A1505" s="694" t="s">
        <v>14</v>
      </c>
      <c r="B1505" s="313">
        <v>59</v>
      </c>
      <c r="C1505" s="13">
        <v>25</v>
      </c>
      <c r="D1505" s="320">
        <v>44</v>
      </c>
      <c r="E1505" s="11">
        <v>53</v>
      </c>
      <c r="F1505" s="125">
        <v>75</v>
      </c>
      <c r="G1505" s="11">
        <v>116</v>
      </c>
      <c r="H1505" s="11">
        <v>75</v>
      </c>
      <c r="I1505" s="313">
        <f t="shared" si="675"/>
        <v>447</v>
      </c>
      <c r="J1505" s="684">
        <f>FLORESTA!$I1505/7</f>
        <v>63.857142857142854</v>
      </c>
    </row>
    <row r="1506" spans="1:10" x14ac:dyDescent="0.25">
      <c r="A1506" s="694" t="s">
        <v>15</v>
      </c>
      <c r="B1506" s="313">
        <v>22</v>
      </c>
      <c r="C1506" s="13">
        <v>6</v>
      </c>
      <c r="D1506" s="13">
        <v>5</v>
      </c>
      <c r="E1506" s="11">
        <v>9</v>
      </c>
      <c r="F1506" s="125">
        <v>12</v>
      </c>
      <c r="G1506" s="11">
        <v>32</v>
      </c>
      <c r="H1506" s="11">
        <v>15</v>
      </c>
      <c r="I1506" s="313">
        <f t="shared" si="675"/>
        <v>101</v>
      </c>
      <c r="J1506" s="684">
        <f>FLORESTA!$I1506/7</f>
        <v>14.428571428571429</v>
      </c>
    </row>
    <row r="1507" spans="1:10" x14ac:dyDescent="0.25">
      <c r="A1507" s="694" t="s">
        <v>16</v>
      </c>
      <c r="B1507" s="313">
        <v>0</v>
      </c>
      <c r="C1507" s="13">
        <v>0</v>
      </c>
      <c r="D1507" s="13">
        <v>0</v>
      </c>
      <c r="E1507" s="11">
        <v>0</v>
      </c>
      <c r="F1507" s="125">
        <v>0</v>
      </c>
      <c r="G1507" s="11">
        <v>0</v>
      </c>
      <c r="H1507" s="11">
        <v>0</v>
      </c>
      <c r="I1507" s="313">
        <f t="shared" si="675"/>
        <v>0</v>
      </c>
      <c r="J1507" s="684">
        <f>FLORESTA!$I1507/7</f>
        <v>0</v>
      </c>
    </row>
    <row r="1508" spans="1:10" x14ac:dyDescent="0.25">
      <c r="A1508" s="695" t="s">
        <v>17</v>
      </c>
      <c r="B1508" s="15">
        <f t="shared" ref="B1508:I1508" si="676">SUM(B1503:B1507)</f>
        <v>164</v>
      </c>
      <c r="C1508" s="79">
        <f t="shared" si="676"/>
        <v>56</v>
      </c>
      <c r="D1508" s="79">
        <f t="shared" si="676"/>
        <v>71</v>
      </c>
      <c r="E1508" s="103">
        <f t="shared" si="676"/>
        <v>81</v>
      </c>
      <c r="F1508" s="213">
        <f t="shared" si="676"/>
        <v>142</v>
      </c>
      <c r="G1508" s="103">
        <f t="shared" si="676"/>
        <v>231</v>
      </c>
      <c r="H1508" s="103">
        <f t="shared" si="676"/>
        <v>159</v>
      </c>
      <c r="I1508" s="103">
        <f t="shared" si="676"/>
        <v>904</v>
      </c>
      <c r="J1508" s="625">
        <f>FLORESTA!$I1508/7</f>
        <v>129.14285714285714</v>
      </c>
    </row>
    <row r="1509" spans="1:10" x14ac:dyDescent="0.25">
      <c r="A1509" s="694" t="s">
        <v>18</v>
      </c>
      <c r="B1509" s="690">
        <v>0.53</v>
      </c>
      <c r="C1509" s="326">
        <v>0.57999999999999996</v>
      </c>
      <c r="D1509" s="326">
        <v>0.39</v>
      </c>
      <c r="E1509" s="327">
        <v>0.26</v>
      </c>
      <c r="F1509" s="328">
        <v>0.44</v>
      </c>
      <c r="G1509" s="327">
        <v>0.36</v>
      </c>
      <c r="H1509" s="327">
        <v>0.47</v>
      </c>
      <c r="I1509" s="18">
        <f>I1516/I1521</f>
        <v>0.42970922702777342</v>
      </c>
      <c r="J1509" s="626">
        <f>J1516/J1521</f>
        <v>0.42970922702777342</v>
      </c>
    </row>
    <row r="1510" spans="1:10" x14ac:dyDescent="0.25">
      <c r="A1510" s="694" t="s">
        <v>19</v>
      </c>
      <c r="B1510" s="690">
        <v>0.02</v>
      </c>
      <c r="C1510" s="326">
        <v>0</v>
      </c>
      <c r="D1510" s="326">
        <v>0</v>
      </c>
      <c r="E1510" s="327">
        <v>0</v>
      </c>
      <c r="F1510" s="327">
        <v>0.01</v>
      </c>
      <c r="G1510" s="327">
        <v>0.03</v>
      </c>
      <c r="H1510" s="327">
        <v>0.01</v>
      </c>
      <c r="I1510" s="18">
        <f>I1517/I1521</f>
        <v>1.5493462893296051E-2</v>
      </c>
      <c r="J1510" s="626">
        <f>J1517/J1521</f>
        <v>1.5493462893296051E-2</v>
      </c>
    </row>
    <row r="1511" spans="1:10" x14ac:dyDescent="0.25">
      <c r="A1511" s="694" t="s">
        <v>20</v>
      </c>
      <c r="B1511" s="690">
        <v>0.35</v>
      </c>
      <c r="C1511" s="326">
        <v>0.34</v>
      </c>
      <c r="D1511" s="326">
        <v>0.55000000000000004</v>
      </c>
      <c r="E1511" s="327">
        <v>0.54</v>
      </c>
      <c r="F1511" s="329">
        <v>0.48</v>
      </c>
      <c r="G1511" s="327">
        <v>0.47</v>
      </c>
      <c r="H1511" s="327">
        <v>0.43</v>
      </c>
      <c r="I1511" s="18">
        <f>I1518/I1521</f>
        <v>0.44586227039525117</v>
      </c>
      <c r="J1511" s="626">
        <f>J1518/J1521</f>
        <v>0.44586227039525111</v>
      </c>
    </row>
    <row r="1512" spans="1:10" x14ac:dyDescent="0.25">
      <c r="A1512" s="694" t="s">
        <v>21</v>
      </c>
      <c r="B1512" s="690">
        <v>0.1</v>
      </c>
      <c r="C1512" s="326">
        <v>0.08</v>
      </c>
      <c r="D1512" s="326">
        <v>0.06</v>
      </c>
      <c r="E1512" s="327">
        <v>0.2</v>
      </c>
      <c r="F1512" s="329">
        <v>7.0000000000000007E-2</v>
      </c>
      <c r="G1512" s="327">
        <v>0.14000000000000001</v>
      </c>
      <c r="H1512" s="327">
        <v>0.09</v>
      </c>
      <c r="I1512" s="18">
        <f>I1519/I1521</f>
        <v>0.10893503968367928</v>
      </c>
      <c r="J1512" s="626">
        <f>J1519/J1521</f>
        <v>0.10893503968367928</v>
      </c>
    </row>
    <row r="1513" spans="1:10" x14ac:dyDescent="0.25">
      <c r="A1513" s="694" t="s">
        <v>22</v>
      </c>
      <c r="B1513" s="690">
        <v>0</v>
      </c>
      <c r="C1513" s="326">
        <v>0</v>
      </c>
      <c r="D1513" s="326">
        <v>0</v>
      </c>
      <c r="E1513" s="327">
        <v>0</v>
      </c>
      <c r="F1513" s="329">
        <v>0</v>
      </c>
      <c r="G1513" s="327">
        <v>0</v>
      </c>
      <c r="H1513" s="327">
        <v>0</v>
      </c>
      <c r="I1513" s="18">
        <f>I1520/I1521</f>
        <v>0</v>
      </c>
      <c r="J1513" s="626">
        <f>J1520/J1521</f>
        <v>0</v>
      </c>
    </row>
    <row r="1514" spans="1:10" x14ac:dyDescent="0.25">
      <c r="A1514" s="696" t="s">
        <v>23</v>
      </c>
      <c r="B1514" s="314">
        <f t="shared" ref="B1514:J1514" si="677">B1525/B1508</f>
        <v>36231.707317073175</v>
      </c>
      <c r="C1514" s="131">
        <f t="shared" si="677"/>
        <v>31457.142857142859</v>
      </c>
      <c r="D1514" s="131">
        <f t="shared" si="677"/>
        <v>30474.647887323943</v>
      </c>
      <c r="E1514" s="130">
        <f t="shared" si="677"/>
        <v>30354.320987654322</v>
      </c>
      <c r="F1514" s="132">
        <f t="shared" si="677"/>
        <v>34022.535211267605</v>
      </c>
      <c r="G1514" s="130">
        <f t="shared" si="677"/>
        <v>38534.199134199131</v>
      </c>
      <c r="H1514" s="130">
        <f t="shared" si="677"/>
        <v>35468.553459119496</v>
      </c>
      <c r="I1514" s="314">
        <f t="shared" si="677"/>
        <v>35064.269911504431</v>
      </c>
      <c r="J1514" s="685">
        <f t="shared" si="677"/>
        <v>35064.269911504431</v>
      </c>
    </row>
    <row r="1515" spans="1:10" x14ac:dyDescent="0.25">
      <c r="A1515" s="696" t="s">
        <v>24</v>
      </c>
      <c r="B1515" s="314">
        <f t="shared" ref="B1515:J1515" si="678">B1525/B1502</f>
        <v>28985.365853658543</v>
      </c>
      <c r="C1515" s="131">
        <f t="shared" si="678"/>
        <v>25530.434782608696</v>
      </c>
      <c r="D1515" s="131">
        <f t="shared" si="678"/>
        <v>29639.726027397261</v>
      </c>
      <c r="E1515" s="130">
        <f t="shared" si="678"/>
        <v>27939.772727272728</v>
      </c>
      <c r="F1515" s="132">
        <f t="shared" si="678"/>
        <v>30195</v>
      </c>
      <c r="G1515" s="130">
        <f t="shared" si="678"/>
        <v>31453.710247349823</v>
      </c>
      <c r="H1515" s="130">
        <f t="shared" si="678"/>
        <v>29997.340425531915</v>
      </c>
      <c r="I1515" s="314">
        <f t="shared" si="678"/>
        <v>29735.553470919327</v>
      </c>
      <c r="J1515" s="685">
        <f t="shared" si="678"/>
        <v>29735.553470919331</v>
      </c>
    </row>
    <row r="1516" spans="1:10" x14ac:dyDescent="0.25">
      <c r="A1516" s="694" t="s">
        <v>25</v>
      </c>
      <c r="B1516" s="300">
        <f t="shared" ref="B1516:H1516" si="679">B1521*B1509</f>
        <v>2623507.3103448283</v>
      </c>
      <c r="C1516" s="133">
        <f t="shared" si="679"/>
        <v>849552.49999999988</v>
      </c>
      <c r="D1516" s="133">
        <f t="shared" si="679"/>
        <v>708960.96206896554</v>
      </c>
      <c r="E1516" s="92">
        <f t="shared" si="679"/>
        <v>540442.23103448283</v>
      </c>
      <c r="F1516" s="134">
        <f t="shared" si="679"/>
        <v>1781321.3379310346</v>
      </c>
      <c r="G1516" s="92">
        <f t="shared" si="679"/>
        <v>2702766.8482758622</v>
      </c>
      <c r="H1516" s="92">
        <f t="shared" si="679"/>
        <v>2217108.8775862069</v>
      </c>
      <c r="I1516" s="92">
        <f>FLORESTA!$B1516+FLORESTA!$C1516+FLORESTA!$D1516+FLORESTA!$E1516+FLORESTA!$F1516+FLORESTA!$G1516+FLORESTA!$H1516</f>
        <v>11423660.06724138</v>
      </c>
      <c r="J1516" s="629">
        <f>FLORESTA!$I1516/7</f>
        <v>1631951.43817734</v>
      </c>
    </row>
    <row r="1517" spans="1:10" x14ac:dyDescent="0.25">
      <c r="A1517" s="694" t="s">
        <v>26</v>
      </c>
      <c r="B1517" s="300">
        <f t="shared" ref="B1517:H1517" si="680">B1521*B1510</f>
        <v>99000.275862068986</v>
      </c>
      <c r="C1517" s="133">
        <f t="shared" si="680"/>
        <v>0</v>
      </c>
      <c r="D1517" s="133">
        <f t="shared" si="680"/>
        <v>0</v>
      </c>
      <c r="E1517" s="92">
        <f t="shared" si="680"/>
        <v>0</v>
      </c>
      <c r="F1517" s="134">
        <f t="shared" si="680"/>
        <v>40484.575862068967</v>
      </c>
      <c r="G1517" s="92">
        <f t="shared" si="680"/>
        <v>225230.57068965517</v>
      </c>
      <c r="H1517" s="92">
        <f t="shared" si="680"/>
        <v>47172.529310344828</v>
      </c>
      <c r="I1517" s="92">
        <f>FLORESTA!$B1517+FLORESTA!$C1517+FLORESTA!$D1517+FLORESTA!$E1517+FLORESTA!$F1517+FLORESTA!$G1517+FLORESTA!$H1517</f>
        <v>411887.95172413799</v>
      </c>
      <c r="J1517" s="629">
        <f>FLORESTA!$I1517/7</f>
        <v>58841.135960591142</v>
      </c>
    </row>
    <row r="1518" spans="1:10" x14ac:dyDescent="0.25">
      <c r="A1518" s="694" t="s">
        <v>27</v>
      </c>
      <c r="B1518" s="300">
        <f t="shared" ref="B1518:H1518" si="681">B1521*B1511</f>
        <v>1732504.8275862071</v>
      </c>
      <c r="C1518" s="133">
        <f t="shared" si="681"/>
        <v>498013.53448275867</v>
      </c>
      <c r="D1518" s="133">
        <f t="shared" si="681"/>
        <v>999816.74137931038</v>
      </c>
      <c r="E1518" s="92">
        <f t="shared" si="681"/>
        <v>1122456.9413793106</v>
      </c>
      <c r="F1518" s="134">
        <f t="shared" si="681"/>
        <v>1943259.6413793103</v>
      </c>
      <c r="G1518" s="92">
        <f t="shared" si="681"/>
        <v>3528612.2741379309</v>
      </c>
      <c r="H1518" s="92">
        <f t="shared" si="681"/>
        <v>2028418.7603448278</v>
      </c>
      <c r="I1518" s="92">
        <f>FLORESTA!$B1518+FLORESTA!$C1518+FLORESTA!$D1518+FLORESTA!$E1518+FLORESTA!$F1518+FLORESTA!$G1518+FLORESTA!$H1518</f>
        <v>11853082.720689654</v>
      </c>
      <c r="J1518" s="629">
        <f>FLORESTA!$I1518/7</f>
        <v>1693297.5315270934</v>
      </c>
    </row>
    <row r="1519" spans="1:10" x14ac:dyDescent="0.25">
      <c r="A1519" s="694" t="s">
        <v>28</v>
      </c>
      <c r="B1519" s="300">
        <f t="shared" ref="B1519:H1519" si="682">B1521*B1512</f>
        <v>495001.37931034493</v>
      </c>
      <c r="C1519" s="133">
        <f t="shared" si="682"/>
        <v>117179.6551724138</v>
      </c>
      <c r="D1519" s="133">
        <f t="shared" si="682"/>
        <v>109070.91724137931</v>
      </c>
      <c r="E1519" s="92">
        <f t="shared" si="682"/>
        <v>415724.79310344835</v>
      </c>
      <c r="F1519" s="134">
        <f t="shared" si="682"/>
        <v>283392.03103448282</v>
      </c>
      <c r="G1519" s="92">
        <f t="shared" si="682"/>
        <v>1051075.9965517244</v>
      </c>
      <c r="H1519" s="92">
        <f t="shared" si="682"/>
        <v>424552.76379310346</v>
      </c>
      <c r="I1519" s="92">
        <f>FLORESTA!$B1519+FLORESTA!$C1519+FLORESTA!$D1519+FLORESTA!$E1519+FLORESTA!$F1519+FLORESTA!$G1519+FLORESTA!$H1519</f>
        <v>2895997.5362068969</v>
      </c>
      <c r="J1519" s="629">
        <f>FLORESTA!$I1519/7</f>
        <v>413713.93374384241</v>
      </c>
    </row>
    <row r="1520" spans="1:10" x14ac:dyDescent="0.25">
      <c r="A1520" s="694" t="s">
        <v>29</v>
      </c>
      <c r="B1520" s="300">
        <f t="shared" ref="B1520:H1520" si="683">B1521*B1513</f>
        <v>0</v>
      </c>
      <c r="C1520" s="133">
        <f t="shared" si="683"/>
        <v>0</v>
      </c>
      <c r="D1520" s="133">
        <f t="shared" si="683"/>
        <v>0</v>
      </c>
      <c r="E1520" s="92">
        <f t="shared" si="683"/>
        <v>0</v>
      </c>
      <c r="F1520" s="134">
        <f t="shared" si="683"/>
        <v>0</v>
      </c>
      <c r="G1520" s="92">
        <f t="shared" si="683"/>
        <v>0</v>
      </c>
      <c r="H1520" s="92">
        <f t="shared" si="683"/>
        <v>0</v>
      </c>
      <c r="I1520" s="92">
        <f>FLORESTA!$B1520+FLORESTA!$C1520+FLORESTA!$D1520+FLORESTA!$E1520+FLORESTA!$F1520+FLORESTA!$G1520+FLORESTA!$H1520</f>
        <v>0</v>
      </c>
      <c r="J1520" s="629">
        <f>FLORESTA!$I1520/7</f>
        <v>0</v>
      </c>
    </row>
    <row r="1521" spans="1:10" x14ac:dyDescent="0.25">
      <c r="A1521" s="697" t="s">
        <v>30</v>
      </c>
      <c r="B1521" s="691">
        <f>(5942000/1.16)-B1522</f>
        <v>4950013.793103449</v>
      </c>
      <c r="C1521" s="222">
        <f>(1761600/1.16)-C1522</f>
        <v>1464745.6896551724</v>
      </c>
      <c r="D1521" s="222">
        <f>(2163700/1.16)-D1522</f>
        <v>1817848.6206896552</v>
      </c>
      <c r="E1521" s="222">
        <f>(2458700/1.16)-E1522</f>
        <v>2078623.9655172415</v>
      </c>
      <c r="F1521" s="222">
        <f>(4831200/1.16)-F1522</f>
        <v>4048457.5862068967</v>
      </c>
      <c r="G1521" s="222">
        <f>(8901400/1.16)-G1522</f>
        <v>7507685.6896551726</v>
      </c>
      <c r="H1521" s="222">
        <f>(5639500/1.16)-H1522</f>
        <v>4717252.931034483</v>
      </c>
      <c r="I1521" s="91">
        <f>SUM(I1516:I1520)</f>
        <v>26584628.275862072</v>
      </c>
      <c r="J1521" s="631">
        <f>FLORESTA!$I1521/7</f>
        <v>3797804.0394088672</v>
      </c>
    </row>
    <row r="1522" spans="1:10" x14ac:dyDescent="0.25">
      <c r="A1522" s="694" t="s">
        <v>31</v>
      </c>
      <c r="B1522" s="302">
        <f t="shared" ref="B1522:J1522" si="684">2155*B1503</f>
        <v>172400</v>
      </c>
      <c r="C1522" s="139">
        <f t="shared" si="684"/>
        <v>53875</v>
      </c>
      <c r="D1522" s="139">
        <f t="shared" si="684"/>
        <v>47410</v>
      </c>
      <c r="E1522" s="94">
        <f t="shared" si="684"/>
        <v>40945</v>
      </c>
      <c r="F1522" s="112">
        <f t="shared" si="684"/>
        <v>116370</v>
      </c>
      <c r="G1522" s="94">
        <f t="shared" si="684"/>
        <v>165935</v>
      </c>
      <c r="H1522" s="94">
        <f t="shared" si="684"/>
        <v>144385</v>
      </c>
      <c r="I1522" s="94">
        <f t="shared" si="684"/>
        <v>741320</v>
      </c>
      <c r="J1522" s="632">
        <f t="shared" si="684"/>
        <v>105902.85714285714</v>
      </c>
    </row>
    <row r="1523" spans="1:10" x14ac:dyDescent="0.25">
      <c r="A1523" s="698" t="s">
        <v>32</v>
      </c>
      <c r="B1523" s="364">
        <f t="shared" ref="B1523:H1523" si="685">B1521+B1522</f>
        <v>5122413.793103449</v>
      </c>
      <c r="C1523" s="40">
        <f t="shared" si="685"/>
        <v>1518620.6896551724</v>
      </c>
      <c r="D1523" s="40">
        <f t="shared" si="685"/>
        <v>1865258.6206896552</v>
      </c>
      <c r="E1523" s="39">
        <f t="shared" si="685"/>
        <v>2119568.9655172415</v>
      </c>
      <c r="F1523" s="140">
        <f t="shared" si="685"/>
        <v>4164827.5862068967</v>
      </c>
      <c r="G1523" s="39">
        <f t="shared" si="685"/>
        <v>7673620.6896551726</v>
      </c>
      <c r="H1523" s="39">
        <f t="shared" si="685"/>
        <v>4861637.931034483</v>
      </c>
      <c r="I1523" s="39">
        <f>I1521+I1522</f>
        <v>27325948.275862072</v>
      </c>
      <c r="J1523" s="634">
        <f>J1521+J1522</f>
        <v>3903706.8965517245</v>
      </c>
    </row>
    <row r="1524" spans="1:10" x14ac:dyDescent="0.25">
      <c r="A1524" s="694" t="s">
        <v>33</v>
      </c>
      <c r="B1524" s="415">
        <f t="shared" ref="B1524:H1524" si="686">B1523*16%</f>
        <v>819586.20689655188</v>
      </c>
      <c r="C1524" s="42">
        <f t="shared" si="686"/>
        <v>242979.31034482759</v>
      </c>
      <c r="D1524" s="42">
        <f t="shared" si="686"/>
        <v>298441.37931034481</v>
      </c>
      <c r="E1524" s="41">
        <f t="shared" si="686"/>
        <v>339131.03448275867</v>
      </c>
      <c r="F1524" s="141">
        <f t="shared" si="686"/>
        <v>666372.41379310354</v>
      </c>
      <c r="G1524" s="41">
        <f t="shared" si="686"/>
        <v>1227779.3103448276</v>
      </c>
      <c r="H1524" s="41">
        <f t="shared" si="686"/>
        <v>777862.06896551733</v>
      </c>
      <c r="I1524" s="41">
        <f>I1523*16%</f>
        <v>4372151.7241379311</v>
      </c>
      <c r="J1524" s="635">
        <f>J1523*16%</f>
        <v>624593.10344827594</v>
      </c>
    </row>
    <row r="1525" spans="1:10" ht="15.75" thickBot="1" x14ac:dyDescent="0.3">
      <c r="A1525" s="699" t="s">
        <v>34</v>
      </c>
      <c r="B1525" s="687">
        <f t="shared" ref="B1525:H1525" si="687">B1523+B1524</f>
        <v>5942000.0000000009</v>
      </c>
      <c r="C1525" s="638">
        <f t="shared" si="687"/>
        <v>1761600</v>
      </c>
      <c r="D1525" s="638">
        <f t="shared" si="687"/>
        <v>2163700</v>
      </c>
      <c r="E1525" s="686">
        <f t="shared" si="687"/>
        <v>2458700</v>
      </c>
      <c r="F1525" s="687">
        <f t="shared" si="687"/>
        <v>4831200</v>
      </c>
      <c r="G1525" s="686">
        <f t="shared" si="687"/>
        <v>8901400</v>
      </c>
      <c r="H1525" s="686">
        <f t="shared" si="687"/>
        <v>5639500</v>
      </c>
      <c r="I1525" s="686">
        <f>I1523+I1524</f>
        <v>31698100.000000004</v>
      </c>
      <c r="J1525" s="639">
        <f>FLORESTA!$I1525/7</f>
        <v>4528300.0000000009</v>
      </c>
    </row>
    <row r="1526" spans="1:10" ht="15.75" thickBot="1" x14ac:dyDescent="0.3"/>
    <row r="1527" spans="1:10" ht="15.75" thickBot="1" x14ac:dyDescent="0.3">
      <c r="A1527" s="149"/>
      <c r="B1527" s="1006" t="s">
        <v>395</v>
      </c>
      <c r="C1527" s="1006"/>
      <c r="D1527" s="1006"/>
      <c r="E1527" s="1006"/>
      <c r="F1527" s="1006"/>
      <c r="G1527" s="1006"/>
      <c r="H1527" s="1006"/>
      <c r="I1527" s="1006"/>
    </row>
    <row r="1528" spans="1:10" ht="15.75" thickBot="1" x14ac:dyDescent="0.3">
      <c r="A1528" s="149"/>
      <c r="B1528" s="1006"/>
      <c r="C1528" s="1006"/>
      <c r="D1528" s="1006"/>
      <c r="E1528" s="1006"/>
      <c r="F1528" s="1006"/>
      <c r="G1528" s="1006"/>
      <c r="H1528" s="1006"/>
      <c r="I1528" s="1006"/>
    </row>
    <row r="1529" spans="1:10" ht="15.75" x14ac:dyDescent="0.25">
      <c r="A1529" s="692" t="s">
        <v>2</v>
      </c>
      <c r="B1529" s="681" t="s">
        <v>201</v>
      </c>
      <c r="C1529" s="681" t="s">
        <v>202</v>
      </c>
      <c r="D1529" s="681" t="s">
        <v>203</v>
      </c>
      <c r="E1529" s="681" t="s">
        <v>204</v>
      </c>
      <c r="F1529" s="681" t="s">
        <v>205</v>
      </c>
      <c r="G1529" s="681" t="s">
        <v>206</v>
      </c>
      <c r="H1529" s="681" t="s">
        <v>207</v>
      </c>
      <c r="I1529" s="617" t="s">
        <v>96</v>
      </c>
      <c r="J1529" s="682" t="s">
        <v>97</v>
      </c>
    </row>
    <row r="1530" spans="1:10" x14ac:dyDescent="0.25">
      <c r="A1530" s="693" t="s">
        <v>11</v>
      </c>
      <c r="B1530" s="688">
        <f>47+24+8</f>
        <v>79</v>
      </c>
      <c r="C1530" s="56">
        <f>51+24+8</f>
        <v>83</v>
      </c>
      <c r="D1530" s="54">
        <f>50+31+8</f>
        <v>89</v>
      </c>
      <c r="E1530" s="316">
        <f>62+29+6</f>
        <v>97</v>
      </c>
      <c r="F1530" s="311">
        <f>137+84+25</f>
        <v>246</v>
      </c>
      <c r="G1530" s="58">
        <f>128+141+28</f>
        <v>297</v>
      </c>
      <c r="H1530" s="57">
        <f>117+96+28</f>
        <v>241</v>
      </c>
      <c r="I1530" s="311">
        <f t="shared" ref="I1530:I1535" si="688">SUM(B1530:H1530)</f>
        <v>1132</v>
      </c>
      <c r="J1530" s="683">
        <f>FLORESTA!$I1530/7</f>
        <v>161.71428571428572</v>
      </c>
    </row>
    <row r="1531" spans="1:10" x14ac:dyDescent="0.25">
      <c r="A1531" s="694" t="s">
        <v>12</v>
      </c>
      <c r="B1531" s="689">
        <v>24</v>
      </c>
      <c r="C1531" s="13">
        <v>31</v>
      </c>
      <c r="D1531" s="320">
        <v>26</v>
      </c>
      <c r="E1531" s="11">
        <v>28</v>
      </c>
      <c r="F1531" s="125">
        <v>86</v>
      </c>
      <c r="G1531" s="11">
        <v>86</v>
      </c>
      <c r="H1531" s="11">
        <v>61</v>
      </c>
      <c r="I1531" s="313">
        <f t="shared" si="688"/>
        <v>342</v>
      </c>
      <c r="J1531" s="684">
        <f>FLORESTA!$I1531/7</f>
        <v>48.857142857142854</v>
      </c>
    </row>
    <row r="1532" spans="1:10" x14ac:dyDescent="0.25">
      <c r="A1532" s="694" t="s">
        <v>13</v>
      </c>
      <c r="B1532" s="313">
        <v>1</v>
      </c>
      <c r="C1532" s="13">
        <v>0</v>
      </c>
      <c r="D1532" s="13">
        <v>1</v>
      </c>
      <c r="E1532" s="11">
        <v>0</v>
      </c>
      <c r="F1532" s="125">
        <v>2</v>
      </c>
      <c r="G1532" s="11">
        <v>4</v>
      </c>
      <c r="H1532" s="11">
        <v>4</v>
      </c>
      <c r="I1532" s="313">
        <f t="shared" si="688"/>
        <v>12</v>
      </c>
      <c r="J1532" s="684">
        <f>C1532+D1532+E1532+F1532+G1532+H1532+I1532</f>
        <v>23</v>
      </c>
    </row>
    <row r="1533" spans="1:10" x14ac:dyDescent="0.25">
      <c r="A1533" s="694" t="s">
        <v>14</v>
      </c>
      <c r="B1533" s="313">
        <v>37</v>
      </c>
      <c r="C1533" s="13">
        <v>40</v>
      </c>
      <c r="D1533" s="320">
        <v>43</v>
      </c>
      <c r="E1533" s="11">
        <v>47</v>
      </c>
      <c r="F1533" s="125">
        <v>88</v>
      </c>
      <c r="G1533" s="11">
        <v>125</v>
      </c>
      <c r="H1533" s="11">
        <v>115</v>
      </c>
      <c r="I1533" s="313">
        <f t="shared" si="688"/>
        <v>495</v>
      </c>
      <c r="J1533" s="684">
        <f>FLORESTA!$I1533/7</f>
        <v>70.714285714285708</v>
      </c>
    </row>
    <row r="1534" spans="1:10" x14ac:dyDescent="0.25">
      <c r="A1534" s="694" t="s">
        <v>15</v>
      </c>
      <c r="B1534" s="313">
        <v>5</v>
      </c>
      <c r="C1534" s="13">
        <v>0</v>
      </c>
      <c r="D1534" s="13">
        <v>6</v>
      </c>
      <c r="E1534" s="11">
        <v>10</v>
      </c>
      <c r="F1534" s="125">
        <v>33</v>
      </c>
      <c r="G1534" s="11">
        <v>35</v>
      </c>
      <c r="H1534" s="11">
        <v>9</v>
      </c>
      <c r="I1534" s="313">
        <f t="shared" si="688"/>
        <v>98</v>
      </c>
      <c r="J1534" s="684">
        <f>FLORESTA!$I1534/7</f>
        <v>14</v>
      </c>
    </row>
    <row r="1535" spans="1:10" x14ac:dyDescent="0.25">
      <c r="A1535" s="694" t="s">
        <v>16</v>
      </c>
      <c r="B1535" s="313">
        <v>0</v>
      </c>
      <c r="C1535" s="13">
        <v>0</v>
      </c>
      <c r="D1535" s="13">
        <v>0</v>
      </c>
      <c r="E1535" s="11">
        <v>0</v>
      </c>
      <c r="F1535" s="125">
        <v>0</v>
      </c>
      <c r="G1535" s="11">
        <v>0</v>
      </c>
      <c r="H1535" s="11">
        <v>0</v>
      </c>
      <c r="I1535" s="313">
        <f t="shared" si="688"/>
        <v>0</v>
      </c>
      <c r="J1535" s="684">
        <f>FLORESTA!$I1535/7</f>
        <v>0</v>
      </c>
    </row>
    <row r="1536" spans="1:10" x14ac:dyDescent="0.25">
      <c r="A1536" s="695" t="s">
        <v>17</v>
      </c>
      <c r="B1536" s="15">
        <f t="shared" ref="B1536:I1536" si="689">SUM(B1531:B1535)</f>
        <v>67</v>
      </c>
      <c r="C1536" s="79">
        <f t="shared" si="689"/>
        <v>71</v>
      </c>
      <c r="D1536" s="79">
        <f t="shared" si="689"/>
        <v>76</v>
      </c>
      <c r="E1536" s="103">
        <f t="shared" si="689"/>
        <v>85</v>
      </c>
      <c r="F1536" s="213">
        <f t="shared" si="689"/>
        <v>209</v>
      </c>
      <c r="G1536" s="103">
        <f t="shared" si="689"/>
        <v>250</v>
      </c>
      <c r="H1536" s="103">
        <f t="shared" si="689"/>
        <v>189</v>
      </c>
      <c r="I1536" s="103">
        <f t="shared" si="689"/>
        <v>947</v>
      </c>
      <c r="J1536" s="625">
        <f>FLORESTA!$I1536/7</f>
        <v>135.28571428571428</v>
      </c>
    </row>
    <row r="1537" spans="1:10" x14ac:dyDescent="0.25">
      <c r="A1537" s="694" t="s">
        <v>18</v>
      </c>
      <c r="B1537" s="690">
        <v>0.51</v>
      </c>
      <c r="C1537" s="326">
        <v>0.48</v>
      </c>
      <c r="D1537" s="326">
        <v>0.37</v>
      </c>
      <c r="E1537" s="327">
        <v>0.45</v>
      </c>
      <c r="F1537" s="328">
        <v>0.47</v>
      </c>
      <c r="G1537" s="327">
        <v>0.39</v>
      </c>
      <c r="H1537" s="327">
        <v>0.36</v>
      </c>
      <c r="I1537" s="18">
        <f>I1544/I1549</f>
        <v>0.41846760838343999</v>
      </c>
      <c r="J1537" s="626">
        <f>J1544/J1549</f>
        <v>0.41846760838343999</v>
      </c>
    </row>
    <row r="1538" spans="1:10" x14ac:dyDescent="0.25">
      <c r="A1538" s="694" t="s">
        <v>19</v>
      </c>
      <c r="B1538" s="690">
        <v>0.01</v>
      </c>
      <c r="C1538" s="326">
        <v>0</v>
      </c>
      <c r="D1538" s="326">
        <v>0</v>
      </c>
      <c r="E1538" s="327">
        <v>0</v>
      </c>
      <c r="F1538" s="327">
        <v>0.01</v>
      </c>
      <c r="G1538" s="327">
        <v>0.02</v>
      </c>
      <c r="H1538" s="327">
        <v>0.04</v>
      </c>
      <c r="I1538" s="18">
        <f>I1545/I1549</f>
        <v>1.7079496890381258E-2</v>
      </c>
      <c r="J1538" s="626">
        <f>J1545/J1549</f>
        <v>1.7079496890381258E-2</v>
      </c>
    </row>
    <row r="1539" spans="1:10" x14ac:dyDescent="0.25">
      <c r="A1539" s="694" t="s">
        <v>20</v>
      </c>
      <c r="B1539" s="690">
        <v>0.42</v>
      </c>
      <c r="C1539" s="326">
        <v>0.52</v>
      </c>
      <c r="D1539" s="326">
        <v>0.54</v>
      </c>
      <c r="E1539" s="327">
        <v>0.46</v>
      </c>
      <c r="F1539" s="329">
        <v>0.37</v>
      </c>
      <c r="G1539" s="327">
        <v>0.46</v>
      </c>
      <c r="H1539" s="327">
        <v>0.55000000000000004</v>
      </c>
      <c r="I1539" s="18">
        <f>I1546/I1549</f>
        <v>0.46755561689705116</v>
      </c>
      <c r="J1539" s="626">
        <f>J1546/J1549</f>
        <v>0.46755561689705116</v>
      </c>
    </row>
    <row r="1540" spans="1:10" x14ac:dyDescent="0.25">
      <c r="A1540" s="694" t="s">
        <v>21</v>
      </c>
      <c r="B1540" s="690">
        <v>0.06</v>
      </c>
      <c r="C1540" s="326">
        <v>0</v>
      </c>
      <c r="D1540" s="326">
        <v>0.09</v>
      </c>
      <c r="E1540" s="327">
        <v>0.09</v>
      </c>
      <c r="F1540" s="329">
        <v>0.15</v>
      </c>
      <c r="G1540" s="327">
        <v>0.13</v>
      </c>
      <c r="H1540" s="327">
        <v>0.05</v>
      </c>
      <c r="I1540" s="18">
        <f>I1547/I1549</f>
        <v>9.6897277829127701E-2</v>
      </c>
      <c r="J1540" s="626">
        <f>J1547/J1549</f>
        <v>9.6897277829127701E-2</v>
      </c>
    </row>
    <row r="1541" spans="1:10" x14ac:dyDescent="0.25">
      <c r="A1541" s="694" t="s">
        <v>22</v>
      </c>
      <c r="B1541" s="690">
        <v>0</v>
      </c>
      <c r="C1541" s="326">
        <v>0</v>
      </c>
      <c r="D1541" s="326">
        <v>0</v>
      </c>
      <c r="E1541" s="327">
        <v>0</v>
      </c>
      <c r="F1541" s="329">
        <v>0</v>
      </c>
      <c r="G1541" s="327">
        <v>0</v>
      </c>
      <c r="H1541" s="327">
        <v>0</v>
      </c>
      <c r="I1541" s="18">
        <f>I1548/I1549</f>
        <v>0</v>
      </c>
      <c r="J1541" s="626">
        <f>J1548/J1549</f>
        <v>0</v>
      </c>
    </row>
    <row r="1542" spans="1:10" x14ac:dyDescent="0.25">
      <c r="A1542" s="696" t="s">
        <v>23</v>
      </c>
      <c r="B1542" s="314">
        <f t="shared" ref="B1542:J1542" si="690">B1553/B1536</f>
        <v>33644.776119402988</v>
      </c>
      <c r="C1542" s="131">
        <f t="shared" si="690"/>
        <v>32071.830985915494</v>
      </c>
      <c r="D1542" s="131">
        <f t="shared" si="690"/>
        <v>31230.263157894744</v>
      </c>
      <c r="E1542" s="130">
        <f t="shared" si="690"/>
        <v>31771.764705882353</v>
      </c>
      <c r="F1542" s="132">
        <f t="shared" si="690"/>
        <v>33767.94258373206</v>
      </c>
      <c r="G1542" s="130">
        <f t="shared" si="690"/>
        <v>36191.599999999999</v>
      </c>
      <c r="H1542" s="130">
        <f t="shared" si="690"/>
        <v>37765.608465608464</v>
      </c>
      <c r="I1542" s="314">
        <f t="shared" si="690"/>
        <v>34686.906019007394</v>
      </c>
      <c r="J1542" s="685">
        <f t="shared" si="690"/>
        <v>34686.906019007394</v>
      </c>
    </row>
    <row r="1543" spans="1:10" x14ac:dyDescent="0.25">
      <c r="A1543" s="696" t="s">
        <v>24</v>
      </c>
      <c r="B1543" s="314">
        <f t="shared" ref="B1543:J1543" si="691">B1553/B1530</f>
        <v>28534.177215189873</v>
      </c>
      <c r="C1543" s="131">
        <f t="shared" si="691"/>
        <v>27434.939759036144</v>
      </c>
      <c r="D1543" s="131">
        <f t="shared" si="691"/>
        <v>26668.539325842703</v>
      </c>
      <c r="E1543" s="130">
        <f t="shared" si="691"/>
        <v>27841.237113402061</v>
      </c>
      <c r="F1543" s="132">
        <f t="shared" si="691"/>
        <v>28689.024390243903</v>
      </c>
      <c r="G1543" s="130">
        <f t="shared" si="691"/>
        <v>30464.309764309764</v>
      </c>
      <c r="H1543" s="130">
        <f t="shared" si="691"/>
        <v>29617.01244813278</v>
      </c>
      <c r="I1543" s="314">
        <f t="shared" si="691"/>
        <v>29018.109540636044</v>
      </c>
      <c r="J1543" s="685">
        <f t="shared" si="691"/>
        <v>29018.10954063604</v>
      </c>
    </row>
    <row r="1544" spans="1:10" x14ac:dyDescent="0.25">
      <c r="A1544" s="694" t="s">
        <v>25</v>
      </c>
      <c r="B1544" s="300">
        <f t="shared" ref="B1544:H1544" si="692">B1549*B1537</f>
        <v>964693.48965517245</v>
      </c>
      <c r="C1544" s="133">
        <f t="shared" si="692"/>
        <v>910181.87586206896</v>
      </c>
      <c r="D1544" s="133">
        <f t="shared" si="692"/>
        <v>736333.55517241382</v>
      </c>
      <c r="E1544" s="92">
        <f t="shared" si="692"/>
        <v>1020493.5517241381</v>
      </c>
      <c r="F1544" s="134">
        <f t="shared" si="692"/>
        <v>2772399.2103448273</v>
      </c>
      <c r="G1544" s="92">
        <f t="shared" si="692"/>
        <v>2969687.6793103451</v>
      </c>
      <c r="H1544" s="92">
        <f t="shared" si="692"/>
        <v>2167824.4758620691</v>
      </c>
      <c r="I1544" s="92">
        <f>FLORESTA!$B1544+FLORESTA!$C1544+FLORESTA!$D1544+FLORESTA!$E1544+FLORESTA!$F1544+FLORESTA!$G1544+FLORESTA!$H1544</f>
        <v>11541613.837931035</v>
      </c>
      <c r="J1544" s="629">
        <f>FLORESTA!$I1544/7</f>
        <v>1648801.9768472908</v>
      </c>
    </row>
    <row r="1545" spans="1:10" x14ac:dyDescent="0.25">
      <c r="A1545" s="694" t="s">
        <v>26</v>
      </c>
      <c r="B1545" s="300">
        <f t="shared" ref="B1545:H1545" si="693">B1549*B1538</f>
        <v>18915.558620689655</v>
      </c>
      <c r="C1545" s="133">
        <f t="shared" si="693"/>
        <v>0</v>
      </c>
      <c r="D1545" s="133">
        <f t="shared" si="693"/>
        <v>0</v>
      </c>
      <c r="E1545" s="92">
        <f t="shared" si="693"/>
        <v>0</v>
      </c>
      <c r="F1545" s="134">
        <f t="shared" si="693"/>
        <v>58987.217241379316</v>
      </c>
      <c r="G1545" s="92">
        <f t="shared" si="693"/>
        <v>152291.67586206898</v>
      </c>
      <c r="H1545" s="92">
        <f t="shared" si="693"/>
        <v>240869.38620689657</v>
      </c>
      <c r="I1545" s="92">
        <f>FLORESTA!$B1545+FLORESTA!$C1545+FLORESTA!$D1545+FLORESTA!$E1545+FLORESTA!$F1545+FLORESTA!$G1545+FLORESTA!$H1545</f>
        <v>471063.8379310345</v>
      </c>
      <c r="J1545" s="629">
        <f>FLORESTA!$I1545/7</f>
        <v>67294.833990147788</v>
      </c>
    </row>
    <row r="1546" spans="1:10" x14ac:dyDescent="0.25">
      <c r="A1546" s="694" t="s">
        <v>27</v>
      </c>
      <c r="B1546" s="300">
        <f t="shared" ref="B1546:H1546" si="694">B1549*B1539</f>
        <v>794453.46206896554</v>
      </c>
      <c r="C1546" s="133">
        <f t="shared" si="694"/>
        <v>986030.36551724141</v>
      </c>
      <c r="D1546" s="133">
        <f t="shared" si="694"/>
        <v>1074648.9724137932</v>
      </c>
      <c r="E1546" s="92">
        <f t="shared" si="694"/>
        <v>1043171.1862068967</v>
      </c>
      <c r="F1546" s="134">
        <f t="shared" si="694"/>
        <v>2182527.0379310343</v>
      </c>
      <c r="G1546" s="92">
        <f t="shared" si="694"/>
        <v>3502708.5448275865</v>
      </c>
      <c r="H1546" s="92">
        <f t="shared" si="694"/>
        <v>3311954.0603448278</v>
      </c>
      <c r="I1546" s="92">
        <f>FLORESTA!$B1546+FLORESTA!$C1546+FLORESTA!$D1546+FLORESTA!$E1546+FLORESTA!$F1546+FLORESTA!$G1546+FLORESTA!$H1546</f>
        <v>12895493.629310345</v>
      </c>
      <c r="J1546" s="629">
        <f>FLORESTA!$I1546/7</f>
        <v>1842213.3756157637</v>
      </c>
    </row>
    <row r="1547" spans="1:10" x14ac:dyDescent="0.25">
      <c r="A1547" s="694" t="s">
        <v>28</v>
      </c>
      <c r="B1547" s="300">
        <f t="shared" ref="B1547:H1547" si="695">B1549*B1540</f>
        <v>113493.35172413793</v>
      </c>
      <c r="C1547" s="133">
        <f t="shared" si="695"/>
        <v>0</v>
      </c>
      <c r="D1547" s="133">
        <f t="shared" si="695"/>
        <v>179108.16206896552</v>
      </c>
      <c r="E1547" s="92">
        <f t="shared" si="695"/>
        <v>204098.71034482759</v>
      </c>
      <c r="F1547" s="134">
        <f t="shared" si="695"/>
        <v>884808.25862068962</v>
      </c>
      <c r="G1547" s="92">
        <f t="shared" si="695"/>
        <v>989895.89310344844</v>
      </c>
      <c r="H1547" s="92">
        <f t="shared" si="695"/>
        <v>301086.7327586207</v>
      </c>
      <c r="I1547" s="92">
        <f>FLORESTA!$B1547+FLORESTA!$C1547+FLORESTA!$D1547+FLORESTA!$E1547+FLORESTA!$F1547+FLORESTA!$G1547+FLORESTA!$H1547</f>
        <v>2672491.1086206902</v>
      </c>
      <c r="J1547" s="629">
        <f>FLORESTA!$I1547/7</f>
        <v>381784.44408867002</v>
      </c>
    </row>
    <row r="1548" spans="1:10" x14ac:dyDescent="0.25">
      <c r="A1548" s="694" t="s">
        <v>29</v>
      </c>
      <c r="B1548" s="300">
        <f t="shared" ref="B1548:H1548" si="696">B1549*B1541</f>
        <v>0</v>
      </c>
      <c r="C1548" s="133">
        <f t="shared" si="696"/>
        <v>0</v>
      </c>
      <c r="D1548" s="133">
        <f t="shared" si="696"/>
        <v>0</v>
      </c>
      <c r="E1548" s="92">
        <f t="shared" si="696"/>
        <v>0</v>
      </c>
      <c r="F1548" s="134">
        <f t="shared" si="696"/>
        <v>0</v>
      </c>
      <c r="G1548" s="92">
        <f t="shared" si="696"/>
        <v>0</v>
      </c>
      <c r="H1548" s="92">
        <f t="shared" si="696"/>
        <v>0</v>
      </c>
      <c r="I1548" s="92">
        <f>FLORESTA!$B1548+FLORESTA!$C1548+FLORESTA!$D1548+FLORESTA!$E1548+FLORESTA!$F1548+FLORESTA!$G1548+FLORESTA!$H1548</f>
        <v>0</v>
      </c>
      <c r="J1548" s="629">
        <f>FLORESTA!$I1548/7</f>
        <v>0</v>
      </c>
    </row>
    <row r="1549" spans="1:10" x14ac:dyDescent="0.25">
      <c r="A1549" s="697" t="s">
        <v>30</v>
      </c>
      <c r="B1549" s="691">
        <f>(2254200/1.16)-B1550</f>
        <v>1891555.8620689656</v>
      </c>
      <c r="C1549" s="691">
        <f>(2277100/1.16)-C1550</f>
        <v>1896212.2413793104</v>
      </c>
      <c r="D1549" s="691">
        <f>(2373500/1.16)-D1550</f>
        <v>1990090.6896551726</v>
      </c>
      <c r="E1549" s="691">
        <f>(2700600/1.16)-E1550</f>
        <v>2267763.4482758623</v>
      </c>
      <c r="F1549" s="691">
        <f>(7057500/1.16)-F1550</f>
        <v>5898721.7241379311</v>
      </c>
      <c r="G1549" s="691">
        <f>(9047900/1.16)-G1550</f>
        <v>7614583.793103449</v>
      </c>
      <c r="H1549" s="691">
        <f>(7137700/1.16)-H1550</f>
        <v>6021734.6551724141</v>
      </c>
      <c r="I1549" s="91">
        <f>SUM(I1544:I1548)</f>
        <v>27580662.413793102</v>
      </c>
      <c r="J1549" s="631">
        <f>FLORESTA!$I1549/7</f>
        <v>3940094.6305418718</v>
      </c>
    </row>
    <row r="1550" spans="1:10" x14ac:dyDescent="0.25">
      <c r="A1550" s="694" t="s">
        <v>31</v>
      </c>
      <c r="B1550" s="302">
        <f t="shared" ref="B1550:J1550" si="697">2155*B1531</f>
        <v>51720</v>
      </c>
      <c r="C1550" s="139">
        <f t="shared" si="697"/>
        <v>66805</v>
      </c>
      <c r="D1550" s="139">
        <f t="shared" si="697"/>
        <v>56030</v>
      </c>
      <c r="E1550" s="94">
        <f t="shared" si="697"/>
        <v>60340</v>
      </c>
      <c r="F1550" s="112">
        <f t="shared" si="697"/>
        <v>185330</v>
      </c>
      <c r="G1550" s="94">
        <f t="shared" si="697"/>
        <v>185330</v>
      </c>
      <c r="H1550" s="94">
        <f t="shared" si="697"/>
        <v>131455</v>
      </c>
      <c r="I1550" s="94">
        <f t="shared" si="697"/>
        <v>737010</v>
      </c>
      <c r="J1550" s="632">
        <f t="shared" si="697"/>
        <v>105287.14285714286</v>
      </c>
    </row>
    <row r="1551" spans="1:10" x14ac:dyDescent="0.25">
      <c r="A1551" s="698" t="s">
        <v>32</v>
      </c>
      <c r="B1551" s="364">
        <f t="shared" ref="B1551:H1551" si="698">B1549+B1550</f>
        <v>1943275.8620689656</v>
      </c>
      <c r="C1551" s="40">
        <f t="shared" si="698"/>
        <v>1963017.2413793104</v>
      </c>
      <c r="D1551" s="40">
        <f t="shared" si="698"/>
        <v>2046120.6896551726</v>
      </c>
      <c r="E1551" s="39">
        <f t="shared" si="698"/>
        <v>2328103.4482758623</v>
      </c>
      <c r="F1551" s="140">
        <f t="shared" si="698"/>
        <v>6084051.7241379311</v>
      </c>
      <c r="G1551" s="39">
        <f t="shared" si="698"/>
        <v>7799913.793103449</v>
      </c>
      <c r="H1551" s="39">
        <f t="shared" si="698"/>
        <v>6153189.6551724141</v>
      </c>
      <c r="I1551" s="39">
        <f>I1549+I1550</f>
        <v>28317672.413793102</v>
      </c>
      <c r="J1551" s="634">
        <f>J1549+J1550</f>
        <v>4045381.7733990145</v>
      </c>
    </row>
    <row r="1552" spans="1:10" x14ac:dyDescent="0.25">
      <c r="A1552" s="694" t="s">
        <v>33</v>
      </c>
      <c r="B1552" s="415">
        <f t="shared" ref="B1552:H1552" si="699">B1551*16%</f>
        <v>310924.13793103449</v>
      </c>
      <c r="C1552" s="42">
        <f t="shared" si="699"/>
        <v>314082.75862068968</v>
      </c>
      <c r="D1552" s="42">
        <f t="shared" si="699"/>
        <v>327379.31034482765</v>
      </c>
      <c r="E1552" s="41">
        <f t="shared" si="699"/>
        <v>372496.55172413797</v>
      </c>
      <c r="F1552" s="141">
        <f t="shared" si="699"/>
        <v>973448.27586206899</v>
      </c>
      <c r="G1552" s="41">
        <f t="shared" si="699"/>
        <v>1247986.2068965519</v>
      </c>
      <c r="H1552" s="41">
        <f t="shared" si="699"/>
        <v>984510.34482758632</v>
      </c>
      <c r="I1552" s="41">
        <f>I1551*16%</f>
        <v>4530827.5862068962</v>
      </c>
      <c r="J1552" s="635">
        <f>J1551*16%</f>
        <v>647261.08374384232</v>
      </c>
    </row>
    <row r="1553" spans="1:10" ht="15.75" thickBot="1" x14ac:dyDescent="0.3">
      <c r="A1553" s="699" t="s">
        <v>34</v>
      </c>
      <c r="B1553" s="687">
        <f t="shared" ref="B1553:H1553" si="700">B1551+B1552</f>
        <v>2254200</v>
      </c>
      <c r="C1553" s="638">
        <f t="shared" si="700"/>
        <v>2277100</v>
      </c>
      <c r="D1553" s="638">
        <f t="shared" si="700"/>
        <v>2373500.0000000005</v>
      </c>
      <c r="E1553" s="686">
        <f t="shared" si="700"/>
        <v>2700600</v>
      </c>
      <c r="F1553" s="687">
        <f t="shared" si="700"/>
        <v>7057500</v>
      </c>
      <c r="G1553" s="686">
        <f t="shared" si="700"/>
        <v>9047900</v>
      </c>
      <c r="H1553" s="686">
        <f t="shared" si="700"/>
        <v>7137700</v>
      </c>
      <c r="I1553" s="686">
        <f>I1551+I1552</f>
        <v>32848500</v>
      </c>
      <c r="J1553" s="639">
        <f>FLORESTA!$I1553/7</f>
        <v>4692642.8571428573</v>
      </c>
    </row>
    <row r="1554" spans="1:10" ht="15.75" thickBot="1" x14ac:dyDescent="0.3"/>
    <row r="1555" spans="1:10" ht="15.75" thickBot="1" x14ac:dyDescent="0.3">
      <c r="A1555" s="149"/>
      <c r="B1555" s="1006" t="s">
        <v>396</v>
      </c>
      <c r="C1555" s="1006"/>
      <c r="D1555" s="1006"/>
      <c r="E1555" s="1006"/>
      <c r="F1555" s="1006"/>
      <c r="G1555" s="1006"/>
      <c r="H1555" s="1006"/>
      <c r="I1555" s="1006"/>
    </row>
    <row r="1556" spans="1:10" ht="15.75" thickBot="1" x14ac:dyDescent="0.3">
      <c r="A1556" s="149"/>
      <c r="B1556" s="1006"/>
      <c r="C1556" s="1006"/>
      <c r="D1556" s="1006"/>
      <c r="E1556" s="1006"/>
      <c r="F1556" s="1006"/>
      <c r="G1556" s="1006"/>
      <c r="H1556" s="1006"/>
      <c r="I1556" s="1006"/>
    </row>
    <row r="1557" spans="1:10" ht="15.75" x14ac:dyDescent="0.25">
      <c r="A1557" s="692" t="s">
        <v>2</v>
      </c>
      <c r="B1557" s="681" t="s">
        <v>209</v>
      </c>
      <c r="C1557" s="681" t="s">
        <v>242</v>
      </c>
      <c r="D1557" s="681" t="s">
        <v>243</v>
      </c>
      <c r="E1557" s="681" t="s">
        <v>244</v>
      </c>
      <c r="F1557" s="681" t="s">
        <v>245</v>
      </c>
      <c r="G1557" s="681" t="s">
        <v>246</v>
      </c>
      <c r="H1557" s="681" t="s">
        <v>247</v>
      </c>
      <c r="I1557" s="617" t="s">
        <v>96</v>
      </c>
      <c r="J1557" s="682" t="s">
        <v>97</v>
      </c>
    </row>
    <row r="1558" spans="1:10" x14ac:dyDescent="0.25">
      <c r="A1558" s="693" t="s">
        <v>11</v>
      </c>
      <c r="B1558" s="688">
        <f>74+45+10</f>
        <v>129</v>
      </c>
      <c r="C1558" s="56">
        <f>33+33+8</f>
        <v>74</v>
      </c>
      <c r="D1558" s="54">
        <f>53+40+3</f>
        <v>96</v>
      </c>
      <c r="E1558" s="316">
        <f>55+35+9</f>
        <v>99</v>
      </c>
      <c r="F1558" s="311">
        <f>109+88+18</f>
        <v>215</v>
      </c>
      <c r="G1558" s="58">
        <f>122+96+29</f>
        <v>247</v>
      </c>
      <c r="H1558" s="57">
        <f>103+83+21</f>
        <v>207</v>
      </c>
      <c r="I1558" s="311">
        <f t="shared" ref="I1558:I1563" si="701">SUM(B1558:H1558)</f>
        <v>1067</v>
      </c>
      <c r="J1558" s="683">
        <f>FLORESTA!$I1558/7</f>
        <v>152.42857142857142</v>
      </c>
    </row>
    <row r="1559" spans="1:10" x14ac:dyDescent="0.25">
      <c r="A1559" s="694" t="s">
        <v>12</v>
      </c>
      <c r="B1559" s="689">
        <v>37</v>
      </c>
      <c r="C1559" s="13">
        <v>23</v>
      </c>
      <c r="D1559" s="320">
        <v>31</v>
      </c>
      <c r="E1559" s="11">
        <v>28</v>
      </c>
      <c r="F1559" s="125">
        <v>73</v>
      </c>
      <c r="G1559" s="11">
        <v>84</v>
      </c>
      <c r="H1559" s="11">
        <v>63</v>
      </c>
      <c r="I1559" s="313">
        <f t="shared" si="701"/>
        <v>339</v>
      </c>
      <c r="J1559" s="684">
        <f>FLORESTA!$I1559/7</f>
        <v>48.428571428571431</v>
      </c>
    </row>
    <row r="1560" spans="1:10" x14ac:dyDescent="0.25">
      <c r="A1560" s="694" t="s">
        <v>13</v>
      </c>
      <c r="B1560" s="313">
        <v>1</v>
      </c>
      <c r="C1560" s="13">
        <v>0</v>
      </c>
      <c r="D1560" s="13">
        <v>0</v>
      </c>
      <c r="E1560" s="11">
        <v>0</v>
      </c>
      <c r="F1560" s="125">
        <v>1</v>
      </c>
      <c r="G1560" s="11">
        <v>4</v>
      </c>
      <c r="H1560" s="11">
        <v>2</v>
      </c>
      <c r="I1560" s="313">
        <f t="shared" si="701"/>
        <v>8</v>
      </c>
      <c r="J1560" s="684">
        <f>C1560+D1560+E1560+F1560+G1560+H1560+I1560</f>
        <v>15</v>
      </c>
    </row>
    <row r="1561" spans="1:10" x14ac:dyDescent="0.25">
      <c r="A1561" s="694" t="s">
        <v>14</v>
      </c>
      <c r="B1561" s="313">
        <v>62</v>
      </c>
      <c r="C1561" s="13">
        <v>38</v>
      </c>
      <c r="D1561" s="320">
        <v>44</v>
      </c>
      <c r="E1561" s="11">
        <v>54</v>
      </c>
      <c r="F1561" s="125">
        <v>96</v>
      </c>
      <c r="G1561" s="11">
        <v>101</v>
      </c>
      <c r="H1561" s="11">
        <v>85</v>
      </c>
      <c r="I1561" s="313">
        <f t="shared" si="701"/>
        <v>480</v>
      </c>
      <c r="J1561" s="684">
        <f>FLORESTA!$I1561/7</f>
        <v>68.571428571428569</v>
      </c>
    </row>
    <row r="1562" spans="1:10" x14ac:dyDescent="0.25">
      <c r="A1562" s="694" t="s">
        <v>15</v>
      </c>
      <c r="B1562" s="313">
        <v>8</v>
      </c>
      <c r="C1562" s="13">
        <v>9</v>
      </c>
      <c r="D1562" s="13">
        <v>12</v>
      </c>
      <c r="E1562" s="11">
        <v>6</v>
      </c>
      <c r="F1562" s="125">
        <v>12</v>
      </c>
      <c r="G1562" s="11">
        <v>18</v>
      </c>
      <c r="H1562" s="11">
        <v>18</v>
      </c>
      <c r="I1562" s="313">
        <f t="shared" si="701"/>
        <v>83</v>
      </c>
      <c r="J1562" s="684">
        <f>FLORESTA!$I1562/7</f>
        <v>11.857142857142858</v>
      </c>
    </row>
    <row r="1563" spans="1:10" x14ac:dyDescent="0.25">
      <c r="A1563" s="694" t="s">
        <v>16</v>
      </c>
      <c r="B1563" s="313">
        <v>0</v>
      </c>
      <c r="C1563" s="13">
        <v>0</v>
      </c>
      <c r="D1563" s="13">
        <v>0</v>
      </c>
      <c r="E1563" s="11">
        <v>0</v>
      </c>
      <c r="F1563" s="125">
        <v>0</v>
      </c>
      <c r="G1563" s="11">
        <v>0</v>
      </c>
      <c r="H1563" s="11">
        <v>0</v>
      </c>
      <c r="I1563" s="313">
        <f t="shared" si="701"/>
        <v>0</v>
      </c>
      <c r="J1563" s="684">
        <f>FLORESTA!$I1563/7</f>
        <v>0</v>
      </c>
    </row>
    <row r="1564" spans="1:10" x14ac:dyDescent="0.25">
      <c r="A1564" s="695" t="s">
        <v>17</v>
      </c>
      <c r="B1564" s="15">
        <f t="shared" ref="B1564:I1564" si="702">SUM(B1559:B1563)</f>
        <v>108</v>
      </c>
      <c r="C1564" s="79">
        <f t="shared" si="702"/>
        <v>70</v>
      </c>
      <c r="D1564" s="79">
        <f t="shared" si="702"/>
        <v>87</v>
      </c>
      <c r="E1564" s="103">
        <f t="shared" si="702"/>
        <v>88</v>
      </c>
      <c r="F1564" s="213">
        <f t="shared" si="702"/>
        <v>182</v>
      </c>
      <c r="G1564" s="103">
        <f t="shared" si="702"/>
        <v>207</v>
      </c>
      <c r="H1564" s="103">
        <f t="shared" si="702"/>
        <v>168</v>
      </c>
      <c r="I1564" s="103">
        <f t="shared" si="702"/>
        <v>910</v>
      </c>
      <c r="J1564" s="625">
        <f>FLORESTA!$I1564/7</f>
        <v>130</v>
      </c>
    </row>
    <row r="1565" spans="1:10" x14ac:dyDescent="0.25">
      <c r="A1565" s="694" t="s">
        <v>18</v>
      </c>
      <c r="B1565" s="690">
        <v>0.4</v>
      </c>
      <c r="C1565" s="326">
        <v>0.34</v>
      </c>
      <c r="D1565" s="326">
        <v>0.44</v>
      </c>
      <c r="E1565" s="327">
        <v>0.37</v>
      </c>
      <c r="F1565" s="328">
        <v>0.44</v>
      </c>
      <c r="G1565" s="327">
        <v>0.46</v>
      </c>
      <c r="H1565" s="327">
        <v>0.41</v>
      </c>
      <c r="I1565" s="18">
        <f>I1572/I1577</f>
        <v>0.4211058553141363</v>
      </c>
      <c r="J1565" s="626">
        <f>J1572/J1577</f>
        <v>0.42110585531413625</v>
      </c>
    </row>
    <row r="1566" spans="1:10" x14ac:dyDescent="0.25">
      <c r="A1566" s="694" t="s">
        <v>19</v>
      </c>
      <c r="B1566" s="690">
        <v>0.02</v>
      </c>
      <c r="C1566" s="326">
        <v>0</v>
      </c>
      <c r="D1566" s="326">
        <v>0</v>
      </c>
      <c r="E1566" s="327">
        <v>0</v>
      </c>
      <c r="F1566" s="327">
        <v>0</v>
      </c>
      <c r="G1566" s="327">
        <v>0.03</v>
      </c>
      <c r="H1566" s="327">
        <v>0.02</v>
      </c>
      <c r="I1566" s="18">
        <f>I1573/I1577</f>
        <v>1.3381388047165259E-2</v>
      </c>
      <c r="J1566" s="626">
        <f>J1573/J1577</f>
        <v>1.3381388047165259E-2</v>
      </c>
    </row>
    <row r="1567" spans="1:10" x14ac:dyDescent="0.25">
      <c r="A1567" s="694" t="s">
        <v>20</v>
      </c>
      <c r="B1567" s="690">
        <v>0.54</v>
      </c>
      <c r="C1567" s="326">
        <v>0.54</v>
      </c>
      <c r="D1567" s="326">
        <v>0.46</v>
      </c>
      <c r="E1567" s="327">
        <v>0.56000000000000005</v>
      </c>
      <c r="F1567" s="329">
        <v>0.51</v>
      </c>
      <c r="G1567" s="327">
        <v>0.44</v>
      </c>
      <c r="H1567" s="327">
        <v>0.47</v>
      </c>
      <c r="I1567" s="18">
        <f>I1574/I1577</f>
        <v>0.49070559112322171</v>
      </c>
      <c r="J1567" s="626">
        <f>J1574/J1577</f>
        <v>0.49070559112322171</v>
      </c>
    </row>
    <row r="1568" spans="1:10" x14ac:dyDescent="0.25">
      <c r="A1568" s="694" t="s">
        <v>21</v>
      </c>
      <c r="B1568" s="690">
        <v>0.04</v>
      </c>
      <c r="C1568" s="326">
        <v>0.12</v>
      </c>
      <c r="D1568" s="326">
        <v>0.1</v>
      </c>
      <c r="E1568" s="327">
        <v>7.0000000000000007E-2</v>
      </c>
      <c r="F1568" s="329">
        <v>0.05</v>
      </c>
      <c r="G1568" s="327">
        <v>7.0000000000000007E-2</v>
      </c>
      <c r="H1568" s="327">
        <v>0.1</v>
      </c>
      <c r="I1568" s="18">
        <f>I1575/I1577</f>
        <v>7.4807165515476781E-2</v>
      </c>
      <c r="J1568" s="626">
        <f>J1575/J1577</f>
        <v>7.4807165515476795E-2</v>
      </c>
    </row>
    <row r="1569" spans="1:10" x14ac:dyDescent="0.25">
      <c r="A1569" s="694" t="s">
        <v>22</v>
      </c>
      <c r="B1569" s="690">
        <v>0</v>
      </c>
      <c r="C1569" s="326">
        <v>0</v>
      </c>
      <c r="D1569" s="326">
        <v>0</v>
      </c>
      <c r="E1569" s="327">
        <v>0</v>
      </c>
      <c r="F1569" s="329">
        <v>0</v>
      </c>
      <c r="G1569" s="327">
        <v>0</v>
      </c>
      <c r="H1569" s="327">
        <v>0</v>
      </c>
      <c r="I1569" s="18">
        <f>I1576/I1577</f>
        <v>0</v>
      </c>
      <c r="J1569" s="626">
        <f>J1576/J1577</f>
        <v>0</v>
      </c>
    </row>
    <row r="1570" spans="1:10" x14ac:dyDescent="0.25">
      <c r="A1570" s="696" t="s">
        <v>23</v>
      </c>
      <c r="B1570" s="314">
        <f t="shared" ref="B1570:J1570" si="703">B1581/B1564</f>
        <v>33022.222222222226</v>
      </c>
      <c r="C1570" s="131">
        <f t="shared" si="703"/>
        <v>30167.142857142859</v>
      </c>
      <c r="D1570" s="131">
        <f t="shared" si="703"/>
        <v>32150.57471264368</v>
      </c>
      <c r="E1570" s="130">
        <f t="shared" si="703"/>
        <v>28795.454545454544</v>
      </c>
      <c r="F1570" s="132">
        <f t="shared" si="703"/>
        <v>34485.164835164833</v>
      </c>
      <c r="G1570" s="130">
        <f t="shared" si="703"/>
        <v>34298.067632850245</v>
      </c>
      <c r="H1570" s="130">
        <f t="shared" si="703"/>
        <v>37725.595238095237</v>
      </c>
      <c r="I1570" s="314">
        <f t="shared" si="703"/>
        <v>33761.648351648357</v>
      </c>
      <c r="J1570" s="685">
        <f t="shared" si="703"/>
        <v>33761.648351648357</v>
      </c>
    </row>
    <row r="1571" spans="1:10" x14ac:dyDescent="0.25">
      <c r="A1571" s="696" t="s">
        <v>24</v>
      </c>
      <c r="B1571" s="314">
        <f t="shared" ref="B1571:J1571" si="704">B1581/B1558</f>
        <v>27646.511627906981</v>
      </c>
      <c r="C1571" s="131">
        <f t="shared" si="704"/>
        <v>28536.486486486487</v>
      </c>
      <c r="D1571" s="131">
        <f t="shared" si="704"/>
        <v>29136.458333333332</v>
      </c>
      <c r="E1571" s="130">
        <f t="shared" si="704"/>
        <v>25595.959595959597</v>
      </c>
      <c r="F1571" s="132">
        <f t="shared" si="704"/>
        <v>29192.093023255813</v>
      </c>
      <c r="G1571" s="130">
        <f t="shared" si="704"/>
        <v>28743.724696356279</v>
      </c>
      <c r="H1571" s="130">
        <f t="shared" si="704"/>
        <v>30617.874396135267</v>
      </c>
      <c r="I1571" s="314">
        <f t="shared" si="704"/>
        <v>28793.90815370197</v>
      </c>
      <c r="J1571" s="685">
        <f t="shared" si="704"/>
        <v>28793.908153701974</v>
      </c>
    </row>
    <row r="1572" spans="1:10" x14ac:dyDescent="0.25">
      <c r="A1572" s="694" t="s">
        <v>25</v>
      </c>
      <c r="B1572" s="300">
        <f t="shared" ref="B1572:H1572" si="705">B1577*B1565</f>
        <v>1197899.1034482762</v>
      </c>
      <c r="C1572" s="133">
        <f t="shared" si="705"/>
        <v>602094.45172413799</v>
      </c>
      <c r="D1572" s="133">
        <f t="shared" si="705"/>
        <v>1031574.7655172414</v>
      </c>
      <c r="E1572" s="92">
        <f t="shared" si="705"/>
        <v>785932.82068965514</v>
      </c>
      <c r="F1572" s="134">
        <f t="shared" si="705"/>
        <v>2311446.9172413796</v>
      </c>
      <c r="G1572" s="92">
        <f t="shared" si="705"/>
        <v>2732129.0758620696</v>
      </c>
      <c r="H1572" s="92">
        <f t="shared" si="705"/>
        <v>2184456.1775862067</v>
      </c>
      <c r="I1572" s="92">
        <f>FLORESTA!$B1572+FLORESTA!$C1572+FLORESTA!$D1572+FLORESTA!$E1572+FLORESTA!$F1572+FLORESTA!$G1572+FLORESTA!$H1572</f>
        <v>10845533.312068967</v>
      </c>
      <c r="J1572" s="629">
        <f>FLORESTA!$I1572/7</f>
        <v>1549361.9017241381</v>
      </c>
    </row>
    <row r="1573" spans="1:10" x14ac:dyDescent="0.25">
      <c r="A1573" s="694" t="s">
        <v>26</v>
      </c>
      <c r="B1573" s="300">
        <f t="shared" ref="B1573:H1573" si="706">B1577*B1566</f>
        <v>59894.9551724138</v>
      </c>
      <c r="C1573" s="133">
        <f t="shared" si="706"/>
        <v>0</v>
      </c>
      <c r="D1573" s="133">
        <f t="shared" si="706"/>
        <v>0</v>
      </c>
      <c r="E1573" s="92">
        <f t="shared" si="706"/>
        <v>0</v>
      </c>
      <c r="F1573" s="134">
        <f t="shared" si="706"/>
        <v>0</v>
      </c>
      <c r="G1573" s="92">
        <f t="shared" si="706"/>
        <v>178182.33103448278</v>
      </c>
      <c r="H1573" s="92">
        <f t="shared" si="706"/>
        <v>106558.83793103449</v>
      </c>
      <c r="I1573" s="92">
        <f>FLORESTA!$B1573+FLORESTA!$C1573+FLORESTA!$D1573+FLORESTA!$E1573+FLORESTA!$F1573+FLORESTA!$G1573+FLORESTA!$H1573</f>
        <v>344636.1241379311</v>
      </c>
      <c r="J1573" s="629">
        <f>FLORESTA!$I1573/7</f>
        <v>49233.732019704439</v>
      </c>
    </row>
    <row r="1574" spans="1:10" x14ac:dyDescent="0.25">
      <c r="A1574" s="694" t="s">
        <v>27</v>
      </c>
      <c r="B1574" s="300">
        <f t="shared" ref="B1574:H1574" si="707">B1577*B1567</f>
        <v>1617163.7896551727</v>
      </c>
      <c r="C1574" s="133">
        <f t="shared" si="707"/>
        <v>956267.65862068976</v>
      </c>
      <c r="D1574" s="133">
        <f t="shared" si="707"/>
        <v>1078464.527586207</v>
      </c>
      <c r="E1574" s="92">
        <f t="shared" si="707"/>
        <v>1189519.9448275864</v>
      </c>
      <c r="F1574" s="134">
        <f t="shared" si="707"/>
        <v>2679177.1086206897</v>
      </c>
      <c r="G1574" s="92">
        <f t="shared" si="707"/>
        <v>2613340.8551724143</v>
      </c>
      <c r="H1574" s="92">
        <f t="shared" si="707"/>
        <v>2504132.6913793106</v>
      </c>
      <c r="I1574" s="92">
        <f>FLORESTA!$B1574+FLORESTA!$C1574+FLORESTA!$D1574+FLORESTA!$E1574+FLORESTA!$F1574+FLORESTA!$G1574+FLORESTA!$H1574</f>
        <v>12638066.575862071</v>
      </c>
      <c r="J1574" s="629">
        <f>FLORESTA!$I1574/7</f>
        <v>1805438.0822660101</v>
      </c>
    </row>
    <row r="1575" spans="1:10" x14ac:dyDescent="0.25">
      <c r="A1575" s="694" t="s">
        <v>28</v>
      </c>
      <c r="B1575" s="300">
        <f t="shared" ref="B1575:H1575" si="708">B1577*B1568</f>
        <v>119789.9103448276</v>
      </c>
      <c r="C1575" s="133">
        <f t="shared" si="708"/>
        <v>212503.92413793103</v>
      </c>
      <c r="D1575" s="133">
        <f t="shared" si="708"/>
        <v>234448.81034482759</v>
      </c>
      <c r="E1575" s="92">
        <f t="shared" si="708"/>
        <v>148689.9931034483</v>
      </c>
      <c r="F1575" s="134">
        <f t="shared" si="708"/>
        <v>262664.4224137931</v>
      </c>
      <c r="G1575" s="92">
        <f t="shared" si="708"/>
        <v>415758.77241379319</v>
      </c>
      <c r="H1575" s="92">
        <f t="shared" si="708"/>
        <v>532794.18965517252</v>
      </c>
      <c r="I1575" s="92">
        <f>FLORESTA!$B1575+FLORESTA!$C1575+FLORESTA!$D1575+FLORESTA!$E1575+FLORESTA!$F1575+FLORESTA!$G1575+FLORESTA!$H1575</f>
        <v>1926650.0224137935</v>
      </c>
      <c r="J1575" s="629">
        <f>FLORESTA!$I1575/7</f>
        <v>275235.7174876848</v>
      </c>
    </row>
    <row r="1576" spans="1:10" x14ac:dyDescent="0.25">
      <c r="A1576" s="694" t="s">
        <v>29</v>
      </c>
      <c r="B1576" s="300">
        <f t="shared" ref="B1576:H1576" si="709">B1577*B1569</f>
        <v>0</v>
      </c>
      <c r="C1576" s="133">
        <f t="shared" si="709"/>
        <v>0</v>
      </c>
      <c r="D1576" s="133">
        <f t="shared" si="709"/>
        <v>0</v>
      </c>
      <c r="E1576" s="92">
        <f t="shared" si="709"/>
        <v>0</v>
      </c>
      <c r="F1576" s="134">
        <f t="shared" si="709"/>
        <v>0</v>
      </c>
      <c r="G1576" s="92">
        <f t="shared" si="709"/>
        <v>0</v>
      </c>
      <c r="H1576" s="92">
        <f t="shared" si="709"/>
        <v>0</v>
      </c>
      <c r="I1576" s="92">
        <f>FLORESTA!$B1576+FLORESTA!$C1576+FLORESTA!$D1576+FLORESTA!$E1576+FLORESTA!$F1576+FLORESTA!$G1576+FLORESTA!$H1576</f>
        <v>0</v>
      </c>
      <c r="J1576" s="629">
        <f>FLORESTA!$I1576/7</f>
        <v>0</v>
      </c>
    </row>
    <row r="1577" spans="1:10" x14ac:dyDescent="0.25">
      <c r="A1577" s="697" t="s">
        <v>30</v>
      </c>
      <c r="B1577" s="691">
        <f>(3566400/1.16)-B1578</f>
        <v>2994747.7586206901</v>
      </c>
      <c r="C1577" s="691">
        <f>(2111700/1.16)-C1578</f>
        <v>1770866.0344827587</v>
      </c>
      <c r="D1577" s="691">
        <f>(2797100/1.16)-D1578</f>
        <v>2344488.1034482759</v>
      </c>
      <c r="E1577" s="691">
        <f>(2534000/1.16)-E1578</f>
        <v>2124142.7586206896</v>
      </c>
      <c r="F1577" s="691">
        <f>(6276300/1.16)-F1578</f>
        <v>5253288.4482758623</v>
      </c>
      <c r="G1577" s="691">
        <f>(7099700/1.16)-G1578</f>
        <v>5939411.0344827594</v>
      </c>
      <c r="H1577" s="691">
        <f>(6337900/1.16)-H1578</f>
        <v>5327941.8965517245</v>
      </c>
      <c r="I1577" s="91">
        <f>SUM(I1572:I1576)</f>
        <v>25754886.034482762</v>
      </c>
      <c r="J1577" s="631">
        <f>FLORESTA!$I1577/7</f>
        <v>3679269.4334975374</v>
      </c>
    </row>
    <row r="1578" spans="1:10" x14ac:dyDescent="0.25">
      <c r="A1578" s="694" t="s">
        <v>31</v>
      </c>
      <c r="B1578" s="302">
        <f t="shared" ref="B1578:J1578" si="710">2155*B1559</f>
        <v>79735</v>
      </c>
      <c r="C1578" s="139">
        <f t="shared" si="710"/>
        <v>49565</v>
      </c>
      <c r="D1578" s="139">
        <f t="shared" si="710"/>
        <v>66805</v>
      </c>
      <c r="E1578" s="94">
        <f t="shared" si="710"/>
        <v>60340</v>
      </c>
      <c r="F1578" s="112">
        <f t="shared" si="710"/>
        <v>157315</v>
      </c>
      <c r="G1578" s="94">
        <f t="shared" si="710"/>
        <v>181020</v>
      </c>
      <c r="H1578" s="94">
        <f t="shared" si="710"/>
        <v>135765</v>
      </c>
      <c r="I1578" s="94">
        <f t="shared" si="710"/>
        <v>730545</v>
      </c>
      <c r="J1578" s="632">
        <f t="shared" si="710"/>
        <v>104363.57142857143</v>
      </c>
    </row>
    <row r="1579" spans="1:10" x14ac:dyDescent="0.25">
      <c r="A1579" s="698" t="s">
        <v>32</v>
      </c>
      <c r="B1579" s="364">
        <f t="shared" ref="B1579:H1579" si="711">B1577+B1578</f>
        <v>3074482.7586206901</v>
      </c>
      <c r="C1579" s="40">
        <f t="shared" si="711"/>
        <v>1820431.0344827587</v>
      </c>
      <c r="D1579" s="40">
        <f t="shared" si="711"/>
        <v>2411293.1034482759</v>
      </c>
      <c r="E1579" s="39">
        <f t="shared" si="711"/>
        <v>2184482.7586206896</v>
      </c>
      <c r="F1579" s="140">
        <f t="shared" si="711"/>
        <v>5410603.4482758623</v>
      </c>
      <c r="G1579" s="39">
        <f t="shared" si="711"/>
        <v>6120431.0344827594</v>
      </c>
      <c r="H1579" s="39">
        <f t="shared" si="711"/>
        <v>5463706.8965517245</v>
      </c>
      <c r="I1579" s="39">
        <f>I1577+I1578</f>
        <v>26485431.034482762</v>
      </c>
      <c r="J1579" s="634">
        <f>J1577+J1578</f>
        <v>3783633.0049261088</v>
      </c>
    </row>
    <row r="1580" spans="1:10" x14ac:dyDescent="0.25">
      <c r="A1580" s="694" t="s">
        <v>33</v>
      </c>
      <c r="B1580" s="415">
        <f t="shared" ref="B1580:H1580" si="712">B1579*16%</f>
        <v>491917.24137931044</v>
      </c>
      <c r="C1580" s="42">
        <f t="shared" si="712"/>
        <v>291268.96551724139</v>
      </c>
      <c r="D1580" s="42">
        <f t="shared" si="712"/>
        <v>385806.89655172417</v>
      </c>
      <c r="E1580" s="41">
        <f t="shared" si="712"/>
        <v>349517.24137931032</v>
      </c>
      <c r="F1580" s="141">
        <f t="shared" si="712"/>
        <v>865696.55172413797</v>
      </c>
      <c r="G1580" s="41">
        <f t="shared" si="712"/>
        <v>979268.96551724151</v>
      </c>
      <c r="H1580" s="41">
        <f t="shared" si="712"/>
        <v>874193.10344827594</v>
      </c>
      <c r="I1580" s="41">
        <f>I1579*16%</f>
        <v>4237668.9655172424</v>
      </c>
      <c r="J1580" s="635">
        <f>J1579*16%</f>
        <v>605381.28078817739</v>
      </c>
    </row>
    <row r="1581" spans="1:10" ht="15.75" thickBot="1" x14ac:dyDescent="0.3">
      <c r="A1581" s="699" t="s">
        <v>34</v>
      </c>
      <c r="B1581" s="687">
        <f t="shared" ref="B1581:H1581" si="713">B1579+B1580</f>
        <v>3566400.0000000005</v>
      </c>
      <c r="C1581" s="638">
        <f t="shared" si="713"/>
        <v>2111700</v>
      </c>
      <c r="D1581" s="638">
        <f t="shared" si="713"/>
        <v>2797100</v>
      </c>
      <c r="E1581" s="686">
        <f t="shared" si="713"/>
        <v>2534000</v>
      </c>
      <c r="F1581" s="687">
        <f t="shared" si="713"/>
        <v>6276300</v>
      </c>
      <c r="G1581" s="686">
        <f t="shared" si="713"/>
        <v>7099700.0000000009</v>
      </c>
      <c r="H1581" s="686">
        <f t="shared" si="713"/>
        <v>6337900</v>
      </c>
      <c r="I1581" s="686">
        <f>I1579+I1580</f>
        <v>30723100.000000004</v>
      </c>
      <c r="J1581" s="639">
        <f>FLORESTA!$I1581/7</f>
        <v>4389014.2857142864</v>
      </c>
    </row>
    <row r="1582" spans="1:10" ht="15.75" thickBot="1" x14ac:dyDescent="0.3"/>
    <row r="1583" spans="1:10" ht="15.75" thickBot="1" x14ac:dyDescent="0.3">
      <c r="A1583" s="149"/>
      <c r="B1583" s="1006" t="s">
        <v>397</v>
      </c>
      <c r="C1583" s="1006"/>
      <c r="D1583" s="1006"/>
      <c r="E1583" s="1006"/>
      <c r="F1583" s="1006"/>
      <c r="G1583" s="1006"/>
      <c r="H1583" s="1006"/>
      <c r="I1583" s="1006"/>
    </row>
    <row r="1584" spans="1:10" ht="15.75" thickBot="1" x14ac:dyDescent="0.3">
      <c r="A1584" s="149"/>
      <c r="B1584" s="1006"/>
      <c r="C1584" s="1006"/>
      <c r="D1584" s="1006"/>
      <c r="E1584" s="1006"/>
      <c r="F1584" s="1006"/>
      <c r="G1584" s="1006"/>
      <c r="H1584" s="1006"/>
      <c r="I1584" s="1006"/>
    </row>
    <row r="1585" spans="1:10" ht="15.75" x14ac:dyDescent="0.25">
      <c r="A1585" s="692" t="s">
        <v>2</v>
      </c>
      <c r="B1585" s="681" t="s">
        <v>249</v>
      </c>
      <c r="C1585" s="681" t="s">
        <v>250</v>
      </c>
      <c r="D1585" s="681" t="s">
        <v>251</v>
      </c>
      <c r="E1585" s="681" t="s">
        <v>220</v>
      </c>
      <c r="F1585" s="681" t="s">
        <v>221</v>
      </c>
      <c r="G1585" s="681" t="s">
        <v>222</v>
      </c>
      <c r="H1585" s="681" t="s">
        <v>223</v>
      </c>
      <c r="I1585" s="617" t="s">
        <v>96</v>
      </c>
      <c r="J1585" s="682" t="s">
        <v>97</v>
      </c>
    </row>
    <row r="1586" spans="1:10" x14ac:dyDescent="0.25">
      <c r="A1586" s="693" t="s">
        <v>11</v>
      </c>
      <c r="B1586" s="688">
        <f>88+89+35</f>
        <v>212</v>
      </c>
      <c r="C1586" s="56">
        <f>34+17+6</f>
        <v>57</v>
      </c>
      <c r="D1586" s="54">
        <f>51+29+8</f>
        <v>88</v>
      </c>
      <c r="E1586" s="316">
        <f>61+36+14</f>
        <v>111</v>
      </c>
      <c r="F1586" s="311">
        <f>125+82+21</f>
        <v>228</v>
      </c>
      <c r="G1586" s="58">
        <f>120+108+29</f>
        <v>257</v>
      </c>
      <c r="H1586" s="57">
        <f>121+112+33</f>
        <v>266</v>
      </c>
      <c r="I1586" s="311">
        <f t="shared" ref="I1586:I1591" si="714">SUM(B1586:H1586)</f>
        <v>1219</v>
      </c>
      <c r="J1586" s="683">
        <f>FLORESTA!$I1586/7</f>
        <v>174.14285714285714</v>
      </c>
    </row>
    <row r="1587" spans="1:10" x14ac:dyDescent="0.25">
      <c r="A1587" s="694" t="s">
        <v>12</v>
      </c>
      <c r="B1587" s="689">
        <v>65</v>
      </c>
      <c r="C1587" s="13">
        <v>18</v>
      </c>
      <c r="D1587" s="320">
        <v>25</v>
      </c>
      <c r="E1587" s="11">
        <v>44</v>
      </c>
      <c r="F1587" s="125">
        <v>80</v>
      </c>
      <c r="G1587" s="11">
        <v>65</v>
      </c>
      <c r="H1587" s="11">
        <v>70</v>
      </c>
      <c r="I1587" s="313">
        <f t="shared" si="714"/>
        <v>367</v>
      </c>
      <c r="J1587" s="684">
        <f>FLORESTA!$I1587/7</f>
        <v>52.428571428571431</v>
      </c>
    </row>
    <row r="1588" spans="1:10" x14ac:dyDescent="0.25">
      <c r="A1588" s="694" t="s">
        <v>13</v>
      </c>
      <c r="B1588" s="313">
        <v>3</v>
      </c>
      <c r="C1588" s="13">
        <v>1</v>
      </c>
      <c r="D1588" s="13">
        <v>1</v>
      </c>
      <c r="E1588" s="11">
        <v>0</v>
      </c>
      <c r="F1588" s="125">
        <v>1</v>
      </c>
      <c r="G1588" s="11">
        <v>1</v>
      </c>
      <c r="H1588" s="11">
        <v>2</v>
      </c>
      <c r="I1588" s="313">
        <f t="shared" si="714"/>
        <v>9</v>
      </c>
      <c r="J1588" s="684">
        <f>C1588+D1588+E1588+F1588+G1588+H1588+I1588</f>
        <v>15</v>
      </c>
    </row>
    <row r="1589" spans="1:10" x14ac:dyDescent="0.25">
      <c r="A1589" s="694" t="s">
        <v>14</v>
      </c>
      <c r="B1589" s="313">
        <v>75</v>
      </c>
      <c r="C1589" s="13">
        <v>27</v>
      </c>
      <c r="D1589" s="320">
        <v>43</v>
      </c>
      <c r="E1589" s="11">
        <v>48</v>
      </c>
      <c r="F1589" s="125">
        <v>81</v>
      </c>
      <c r="G1589" s="11">
        <v>135</v>
      </c>
      <c r="H1589" s="11">
        <v>120</v>
      </c>
      <c r="I1589" s="313">
        <f t="shared" si="714"/>
        <v>529</v>
      </c>
      <c r="J1589" s="684">
        <f>FLORESTA!$I1589/7</f>
        <v>75.571428571428569</v>
      </c>
    </row>
    <row r="1590" spans="1:10" x14ac:dyDescent="0.25">
      <c r="A1590" s="694" t="s">
        <v>15</v>
      </c>
      <c r="B1590" s="313">
        <v>17</v>
      </c>
      <c r="C1590" s="13">
        <v>2</v>
      </c>
      <c r="D1590" s="13">
        <v>7</v>
      </c>
      <c r="E1590" s="11">
        <v>5</v>
      </c>
      <c r="F1590" s="125">
        <v>26</v>
      </c>
      <c r="G1590" s="11">
        <v>17</v>
      </c>
      <c r="H1590" s="11">
        <v>28</v>
      </c>
      <c r="I1590" s="313">
        <f t="shared" si="714"/>
        <v>102</v>
      </c>
      <c r="J1590" s="684">
        <f>FLORESTA!$I1590/7</f>
        <v>14.571428571428571</v>
      </c>
    </row>
    <row r="1591" spans="1:10" x14ac:dyDescent="0.25">
      <c r="A1591" s="694" t="s">
        <v>16</v>
      </c>
      <c r="B1591" s="313">
        <v>0</v>
      </c>
      <c r="C1591" s="13">
        <v>0</v>
      </c>
      <c r="D1591" s="13">
        <v>0</v>
      </c>
      <c r="E1591" s="11">
        <v>1</v>
      </c>
      <c r="F1591" s="125">
        <v>0</v>
      </c>
      <c r="G1591" s="11">
        <v>0</v>
      </c>
      <c r="H1591" s="11">
        <v>1</v>
      </c>
      <c r="I1591" s="313">
        <f t="shared" si="714"/>
        <v>2</v>
      </c>
      <c r="J1591" s="684">
        <f>FLORESTA!$I1591/7</f>
        <v>0.2857142857142857</v>
      </c>
    </row>
    <row r="1592" spans="1:10" x14ac:dyDescent="0.25">
      <c r="A1592" s="695" t="s">
        <v>17</v>
      </c>
      <c r="B1592" s="15">
        <f t="shared" ref="B1592:I1592" si="715">SUM(B1587:B1591)</f>
        <v>160</v>
      </c>
      <c r="C1592" s="79">
        <f t="shared" si="715"/>
        <v>48</v>
      </c>
      <c r="D1592" s="79">
        <f t="shared" si="715"/>
        <v>76</v>
      </c>
      <c r="E1592" s="103">
        <f t="shared" si="715"/>
        <v>98</v>
      </c>
      <c r="F1592" s="213">
        <f t="shared" si="715"/>
        <v>188</v>
      </c>
      <c r="G1592" s="103">
        <f t="shared" si="715"/>
        <v>218</v>
      </c>
      <c r="H1592" s="103">
        <f t="shared" si="715"/>
        <v>221</v>
      </c>
      <c r="I1592" s="103">
        <f t="shared" si="715"/>
        <v>1009</v>
      </c>
      <c r="J1592" s="625">
        <f>FLORESTA!$I1592/7</f>
        <v>144.14285714285714</v>
      </c>
    </row>
    <row r="1593" spans="1:10" x14ac:dyDescent="0.25">
      <c r="A1593" s="694" t="s">
        <v>18</v>
      </c>
      <c r="B1593" s="690">
        <v>0.43</v>
      </c>
      <c r="C1593" s="326">
        <v>0.45</v>
      </c>
      <c r="D1593" s="326">
        <v>0.44</v>
      </c>
      <c r="E1593" s="327">
        <v>0.55000000000000004</v>
      </c>
      <c r="F1593" s="328">
        <v>0.47</v>
      </c>
      <c r="G1593" s="327">
        <v>0.34</v>
      </c>
      <c r="H1593" s="327">
        <v>0.35</v>
      </c>
      <c r="I1593" s="18">
        <f>I1600/I1605</f>
        <v>0.41135865764115642</v>
      </c>
      <c r="J1593" s="626">
        <f>J1600/J1605</f>
        <v>0.41135865764115642</v>
      </c>
    </row>
    <row r="1594" spans="1:10" x14ac:dyDescent="0.25">
      <c r="A1594" s="694" t="s">
        <v>19</v>
      </c>
      <c r="B1594" s="690">
        <v>0.03</v>
      </c>
      <c r="C1594" s="326">
        <v>0.02</v>
      </c>
      <c r="D1594" s="326">
        <v>0.02</v>
      </c>
      <c r="E1594" s="327">
        <v>0</v>
      </c>
      <c r="F1594" s="327">
        <v>0</v>
      </c>
      <c r="G1594" s="327">
        <v>0.01</v>
      </c>
      <c r="H1594" s="327">
        <v>0.02</v>
      </c>
      <c r="I1594" s="18">
        <f>I1601/I1605</f>
        <v>1.4071506967835825E-2</v>
      </c>
      <c r="J1594" s="626">
        <f>J1601/J1605</f>
        <v>1.4071506967835825E-2</v>
      </c>
    </row>
    <row r="1595" spans="1:10" x14ac:dyDescent="0.25">
      <c r="A1595" s="694" t="s">
        <v>20</v>
      </c>
      <c r="B1595" s="690">
        <v>0.46</v>
      </c>
      <c r="C1595" s="326">
        <v>0.5</v>
      </c>
      <c r="D1595" s="326">
        <v>0.44</v>
      </c>
      <c r="E1595" s="327">
        <v>0.39</v>
      </c>
      <c r="F1595" s="329">
        <v>0.4</v>
      </c>
      <c r="G1595" s="327">
        <v>0.59</v>
      </c>
      <c r="H1595" s="327">
        <v>0.52</v>
      </c>
      <c r="I1595" s="18">
        <f>I1602/I1605</f>
        <v>0.48504466438519689</v>
      </c>
      <c r="J1595" s="626">
        <f>J1602/J1605</f>
        <v>0.48504466438519683</v>
      </c>
    </row>
    <row r="1596" spans="1:10" x14ac:dyDescent="0.25">
      <c r="A1596" s="694" t="s">
        <v>21</v>
      </c>
      <c r="B1596" s="690">
        <v>0.08</v>
      </c>
      <c r="C1596" s="326">
        <v>0.03</v>
      </c>
      <c r="D1596" s="326">
        <v>0.1</v>
      </c>
      <c r="E1596" s="327">
        <v>0.05</v>
      </c>
      <c r="F1596" s="329">
        <v>0.13</v>
      </c>
      <c r="G1596" s="327">
        <v>0.06</v>
      </c>
      <c r="H1596" s="327">
        <v>0.11</v>
      </c>
      <c r="I1596" s="18">
        <f>I1603/I1605</f>
        <v>8.8692263970038029E-2</v>
      </c>
      <c r="J1596" s="626">
        <f>J1603/J1605</f>
        <v>8.8692263970038016E-2</v>
      </c>
    </row>
    <row r="1597" spans="1:10" x14ac:dyDescent="0.25">
      <c r="A1597" s="694" t="s">
        <v>22</v>
      </c>
      <c r="B1597" s="690">
        <v>0</v>
      </c>
      <c r="C1597" s="326">
        <v>0</v>
      </c>
      <c r="D1597" s="326">
        <v>0</v>
      </c>
      <c r="E1597" s="327">
        <v>0.01</v>
      </c>
      <c r="F1597" s="329">
        <v>0</v>
      </c>
      <c r="G1597" s="327">
        <v>0</v>
      </c>
      <c r="H1597" s="327">
        <v>0</v>
      </c>
      <c r="I1597" s="18">
        <f>I1604/I1605</f>
        <v>8.3290703577285866E-4</v>
      </c>
      <c r="J1597" s="626">
        <f>J1604/J1605</f>
        <v>8.3290703577285866E-4</v>
      </c>
    </row>
    <row r="1598" spans="1:10" x14ac:dyDescent="0.25">
      <c r="A1598" s="696" t="s">
        <v>23</v>
      </c>
      <c r="B1598" s="314">
        <f t="shared" ref="B1598:J1598" si="716">B1609/B1592</f>
        <v>37571.875000000007</v>
      </c>
      <c r="C1598" s="131">
        <f t="shared" si="716"/>
        <v>30189.583333333339</v>
      </c>
      <c r="D1598" s="131">
        <f t="shared" si="716"/>
        <v>30452.63157894737</v>
      </c>
      <c r="E1598" s="130">
        <f t="shared" si="716"/>
        <v>29811.224489795917</v>
      </c>
      <c r="F1598" s="132">
        <f t="shared" si="716"/>
        <v>35268.085106382983</v>
      </c>
      <c r="G1598" s="130">
        <f t="shared" si="716"/>
        <v>34584.862385321103</v>
      </c>
      <c r="H1598" s="130">
        <f t="shared" si="716"/>
        <v>35323.076923076922</v>
      </c>
      <c r="I1598" s="314">
        <f t="shared" si="716"/>
        <v>34363.528245787908</v>
      </c>
      <c r="J1598" s="685">
        <f t="shared" si="716"/>
        <v>34363.528245787908</v>
      </c>
    </row>
    <row r="1599" spans="1:10" x14ac:dyDescent="0.25">
      <c r="A1599" s="696" t="s">
        <v>24</v>
      </c>
      <c r="B1599" s="314">
        <f t="shared" ref="B1599:J1599" si="717">B1609/B1586</f>
        <v>28356.132075471702</v>
      </c>
      <c r="C1599" s="131">
        <f t="shared" si="717"/>
        <v>25422.807017543862</v>
      </c>
      <c r="D1599" s="131">
        <f t="shared" si="717"/>
        <v>26300</v>
      </c>
      <c r="E1599" s="130">
        <f t="shared" si="717"/>
        <v>26319.819819819819</v>
      </c>
      <c r="F1599" s="132">
        <f t="shared" si="717"/>
        <v>29080.701754385969</v>
      </c>
      <c r="G1599" s="130">
        <f t="shared" si="717"/>
        <v>29336.575875486382</v>
      </c>
      <c r="H1599" s="130">
        <f t="shared" si="717"/>
        <v>29347.36842105263</v>
      </c>
      <c r="I1599" s="314">
        <f t="shared" si="717"/>
        <v>28443.642329778508</v>
      </c>
      <c r="J1599" s="685">
        <f t="shared" si="717"/>
        <v>28443.642329778508</v>
      </c>
    </row>
    <row r="1600" spans="1:10" x14ac:dyDescent="0.25">
      <c r="A1600" s="694" t="s">
        <v>25</v>
      </c>
      <c r="B1600" s="300">
        <f t="shared" ref="B1600:H1600" si="718">B1605*B1593</f>
        <v>2168168.6120689656</v>
      </c>
      <c r="C1600" s="133">
        <f t="shared" si="718"/>
        <v>544695.36206896557</v>
      </c>
      <c r="D1600" s="133">
        <f t="shared" si="718"/>
        <v>854170.86206896557</v>
      </c>
      <c r="E1600" s="92">
        <f t="shared" si="718"/>
        <v>1333042.9655172415</v>
      </c>
      <c r="F1600" s="134">
        <f t="shared" si="718"/>
        <v>2605427.1724137934</v>
      </c>
      <c r="G1600" s="92">
        <f t="shared" si="718"/>
        <v>2162227.9482758623</v>
      </c>
      <c r="H1600" s="92">
        <f t="shared" si="718"/>
        <v>2302581.8103448274</v>
      </c>
      <c r="I1600" s="92">
        <f>FLORESTA!$B1600+FLORESTA!$C1600+FLORESTA!$D1600+FLORESTA!$E1600+FLORESTA!$F1600+FLORESTA!$G1600+FLORESTA!$H1600</f>
        <v>11970314.732758619</v>
      </c>
      <c r="J1600" s="629">
        <f>FLORESTA!$I1600/7</f>
        <v>1710044.9618226599</v>
      </c>
    </row>
    <row r="1601" spans="1:10" x14ac:dyDescent="0.25">
      <c r="A1601" s="694" t="s">
        <v>26</v>
      </c>
      <c r="B1601" s="300">
        <f t="shared" ref="B1601:H1601" si="719">B1605*B1594</f>
        <v>151267.5775862069</v>
      </c>
      <c r="C1601" s="133">
        <f t="shared" si="719"/>
        <v>24208.682758620693</v>
      </c>
      <c r="D1601" s="133">
        <f t="shared" si="719"/>
        <v>38825.948275862072</v>
      </c>
      <c r="E1601" s="92">
        <f t="shared" si="719"/>
        <v>0</v>
      </c>
      <c r="F1601" s="134">
        <f t="shared" si="719"/>
        <v>0</v>
      </c>
      <c r="G1601" s="92">
        <f t="shared" si="719"/>
        <v>63594.939655172413</v>
      </c>
      <c r="H1601" s="92">
        <f t="shared" si="719"/>
        <v>131576.10344827588</v>
      </c>
      <c r="I1601" s="92">
        <f>FLORESTA!$B1601+FLORESTA!$C1601+FLORESTA!$D1601+FLORESTA!$E1601+FLORESTA!$F1601+FLORESTA!$G1601+FLORESTA!$H1601</f>
        <v>409473.25172413798</v>
      </c>
      <c r="J1601" s="629">
        <f>FLORESTA!$I1601/7</f>
        <v>58496.178817733999</v>
      </c>
    </row>
    <row r="1602" spans="1:10" x14ac:dyDescent="0.25">
      <c r="A1602" s="694" t="s">
        <v>27</v>
      </c>
      <c r="B1602" s="300">
        <f t="shared" ref="B1602:H1602" si="720">B1605*B1595</f>
        <v>2319436.1896551726</v>
      </c>
      <c r="C1602" s="133">
        <f t="shared" si="720"/>
        <v>605217.06896551733</v>
      </c>
      <c r="D1602" s="133">
        <f t="shared" si="720"/>
        <v>854170.86206896557</v>
      </c>
      <c r="E1602" s="92">
        <f t="shared" si="720"/>
        <v>945248.6482758621</v>
      </c>
      <c r="F1602" s="134">
        <f t="shared" si="720"/>
        <v>2217384.8275862071</v>
      </c>
      <c r="G1602" s="92">
        <f t="shared" si="720"/>
        <v>3752101.4396551722</v>
      </c>
      <c r="H1602" s="92">
        <f t="shared" si="720"/>
        <v>3420978.6896551726</v>
      </c>
      <c r="I1602" s="92">
        <f>FLORESTA!$B1602+FLORESTA!$C1602+FLORESTA!$D1602+FLORESTA!$E1602+FLORESTA!$F1602+FLORESTA!$G1602+FLORESTA!$H1602</f>
        <v>14114537.725862071</v>
      </c>
      <c r="J1602" s="629">
        <f>FLORESTA!$I1602/7</f>
        <v>2016362.5322660101</v>
      </c>
    </row>
    <row r="1603" spans="1:10" x14ac:dyDescent="0.25">
      <c r="A1603" s="694" t="s">
        <v>28</v>
      </c>
      <c r="B1603" s="300">
        <f t="shared" ref="B1603:H1603" si="721">B1605*B1596</f>
        <v>403380.20689655177</v>
      </c>
      <c r="C1603" s="133">
        <f t="shared" si="721"/>
        <v>36313.024137931039</v>
      </c>
      <c r="D1603" s="133">
        <f t="shared" si="721"/>
        <v>194129.74137931038</v>
      </c>
      <c r="E1603" s="92">
        <f t="shared" si="721"/>
        <v>121185.72413793104</v>
      </c>
      <c r="F1603" s="134">
        <f t="shared" si="721"/>
        <v>720650.06896551733</v>
      </c>
      <c r="G1603" s="92">
        <f t="shared" si="721"/>
        <v>381569.63793103449</v>
      </c>
      <c r="H1603" s="92">
        <f t="shared" si="721"/>
        <v>723668.56896551733</v>
      </c>
      <c r="I1603" s="92">
        <f>FLORESTA!$B1603+FLORESTA!$C1603+FLORESTA!$D1603+FLORESTA!$E1603+FLORESTA!$F1603+FLORESTA!$G1603+FLORESTA!$H1603</f>
        <v>2580896.9724137932</v>
      </c>
      <c r="J1603" s="629">
        <f>FLORESTA!$I1603/7</f>
        <v>368699.56748768472</v>
      </c>
    </row>
    <row r="1604" spans="1:10" x14ac:dyDescent="0.25">
      <c r="A1604" s="694" t="s">
        <v>29</v>
      </c>
      <c r="B1604" s="300">
        <f t="shared" ref="B1604:H1604" si="722">B1605*B1597</f>
        <v>0</v>
      </c>
      <c r="C1604" s="133">
        <f t="shared" si="722"/>
        <v>0</v>
      </c>
      <c r="D1604" s="133">
        <f t="shared" si="722"/>
        <v>0</v>
      </c>
      <c r="E1604" s="92">
        <f t="shared" si="722"/>
        <v>24237.144827586209</v>
      </c>
      <c r="F1604" s="134">
        <f t="shared" si="722"/>
        <v>0</v>
      </c>
      <c r="G1604" s="92">
        <f t="shared" si="722"/>
        <v>0</v>
      </c>
      <c r="H1604" s="92">
        <f t="shared" si="722"/>
        <v>0</v>
      </c>
      <c r="I1604" s="92">
        <f>FLORESTA!$B1604+FLORESTA!$C1604+FLORESTA!$D1604+FLORESTA!$E1604+FLORESTA!$F1604+FLORESTA!$G1604+FLORESTA!$H1604</f>
        <v>24237.144827586209</v>
      </c>
      <c r="J1604" s="629">
        <f>FLORESTA!$I1604/7</f>
        <v>3462.4492610837442</v>
      </c>
    </row>
    <row r="1605" spans="1:10" x14ac:dyDescent="0.25">
      <c r="A1605" s="697" t="s">
        <v>30</v>
      </c>
      <c r="B1605" s="691">
        <f>(6011500/1.16)-B1606</f>
        <v>5042252.5862068972</v>
      </c>
      <c r="C1605" s="691">
        <f>(1449100/1.16)-C1606</f>
        <v>1210434.1379310347</v>
      </c>
      <c r="D1605" s="691">
        <f>(2314400/1.16)-D1606</f>
        <v>1941297.4137931035</v>
      </c>
      <c r="E1605" s="691">
        <f>(2921500/1.16)-E1606</f>
        <v>2423714.4827586208</v>
      </c>
      <c r="F1605" s="691">
        <f>(6630400/1.16)-F1606</f>
        <v>5543462.0689655179</v>
      </c>
      <c r="G1605" s="691">
        <f>(7539500/1.16)-G1606</f>
        <v>6359493.9655172415</v>
      </c>
      <c r="H1605" s="691">
        <f>(7806400/1.16)-H1606</f>
        <v>6578805.1724137934</v>
      </c>
      <c r="I1605" s="91">
        <f>SUM(I1600:I1604)</f>
        <v>29099459.827586208</v>
      </c>
      <c r="J1605" s="631">
        <f>FLORESTA!$I1605/7</f>
        <v>4157065.6896551726</v>
      </c>
    </row>
    <row r="1606" spans="1:10" x14ac:dyDescent="0.25">
      <c r="A1606" s="694" t="s">
        <v>31</v>
      </c>
      <c r="B1606" s="302">
        <f t="shared" ref="B1606:J1606" si="723">2155*B1587</f>
        <v>140075</v>
      </c>
      <c r="C1606" s="139">
        <f t="shared" si="723"/>
        <v>38790</v>
      </c>
      <c r="D1606" s="139">
        <f t="shared" si="723"/>
        <v>53875</v>
      </c>
      <c r="E1606" s="94">
        <f t="shared" si="723"/>
        <v>94820</v>
      </c>
      <c r="F1606" s="112">
        <f t="shared" si="723"/>
        <v>172400</v>
      </c>
      <c r="G1606" s="94">
        <f t="shared" si="723"/>
        <v>140075</v>
      </c>
      <c r="H1606" s="94">
        <f t="shared" si="723"/>
        <v>150850</v>
      </c>
      <c r="I1606" s="94">
        <f t="shared" si="723"/>
        <v>790885</v>
      </c>
      <c r="J1606" s="632">
        <f t="shared" si="723"/>
        <v>112983.57142857143</v>
      </c>
    </row>
    <row r="1607" spans="1:10" x14ac:dyDescent="0.25">
      <c r="A1607" s="698" t="s">
        <v>32</v>
      </c>
      <c r="B1607" s="364">
        <f t="shared" ref="B1607:H1607" si="724">B1605+B1606</f>
        <v>5182327.5862068972</v>
      </c>
      <c r="C1607" s="40">
        <f t="shared" si="724"/>
        <v>1249224.1379310347</v>
      </c>
      <c r="D1607" s="40">
        <f t="shared" si="724"/>
        <v>1995172.4137931035</v>
      </c>
      <c r="E1607" s="39">
        <f t="shared" si="724"/>
        <v>2518534.4827586208</v>
      </c>
      <c r="F1607" s="140">
        <f t="shared" si="724"/>
        <v>5715862.0689655179</v>
      </c>
      <c r="G1607" s="39">
        <f t="shared" si="724"/>
        <v>6499568.9655172415</v>
      </c>
      <c r="H1607" s="39">
        <f t="shared" si="724"/>
        <v>6729655.1724137934</v>
      </c>
      <c r="I1607" s="39">
        <f>I1605+I1606</f>
        <v>29890344.827586208</v>
      </c>
      <c r="J1607" s="634">
        <f>J1605+J1606</f>
        <v>4270049.2610837445</v>
      </c>
    </row>
    <row r="1608" spans="1:10" x14ac:dyDescent="0.25">
      <c r="A1608" s="694" t="s">
        <v>33</v>
      </c>
      <c r="B1608" s="415">
        <f t="shared" ref="B1608:H1608" si="725">B1607*16%</f>
        <v>829172.41379310354</v>
      </c>
      <c r="C1608" s="42">
        <f t="shared" si="725"/>
        <v>199875.86206896557</v>
      </c>
      <c r="D1608" s="42">
        <f t="shared" si="725"/>
        <v>319227.58620689658</v>
      </c>
      <c r="E1608" s="41">
        <f t="shared" si="725"/>
        <v>402965.5172413793</v>
      </c>
      <c r="F1608" s="141">
        <f t="shared" si="725"/>
        <v>914537.9310344829</v>
      </c>
      <c r="G1608" s="41">
        <f t="shared" si="725"/>
        <v>1039931.0344827586</v>
      </c>
      <c r="H1608" s="41">
        <f t="shared" si="725"/>
        <v>1076744.8275862071</v>
      </c>
      <c r="I1608" s="41">
        <f>I1607*16%</f>
        <v>4782455.1724137934</v>
      </c>
      <c r="J1608" s="635">
        <f>J1607*16%</f>
        <v>683207.88177339907</v>
      </c>
    </row>
    <row r="1609" spans="1:10" ht="15.75" thickBot="1" x14ac:dyDescent="0.3">
      <c r="A1609" s="699" t="s">
        <v>34</v>
      </c>
      <c r="B1609" s="687">
        <f t="shared" ref="B1609:H1609" si="726">B1607+B1608</f>
        <v>6011500.0000000009</v>
      </c>
      <c r="C1609" s="638">
        <f t="shared" si="726"/>
        <v>1449100.0000000002</v>
      </c>
      <c r="D1609" s="638">
        <f t="shared" si="726"/>
        <v>2314400</v>
      </c>
      <c r="E1609" s="686">
        <f t="shared" si="726"/>
        <v>2921500</v>
      </c>
      <c r="F1609" s="687">
        <f t="shared" si="726"/>
        <v>6630400.0000000009</v>
      </c>
      <c r="G1609" s="686">
        <f t="shared" si="726"/>
        <v>7539500</v>
      </c>
      <c r="H1609" s="686">
        <f t="shared" si="726"/>
        <v>7806400</v>
      </c>
      <c r="I1609" s="686">
        <f>I1607+I1608</f>
        <v>34672800</v>
      </c>
      <c r="J1609" s="639">
        <f>FLORESTA!$I1609/7</f>
        <v>4953257.1428571427</v>
      </c>
    </row>
    <row r="1610" spans="1:10" ht="15.75" thickBot="1" x14ac:dyDescent="0.3"/>
    <row r="1611" spans="1:10" ht="15.75" thickBot="1" x14ac:dyDescent="0.3">
      <c r="A1611" s="149"/>
      <c r="B1611" s="1006" t="s">
        <v>398</v>
      </c>
      <c r="C1611" s="1006"/>
      <c r="D1611" s="1006"/>
      <c r="E1611" s="1006"/>
      <c r="F1611" s="1006"/>
      <c r="G1611" s="1006"/>
      <c r="H1611" s="1006"/>
      <c r="I1611" s="1006"/>
    </row>
    <row r="1612" spans="1:10" ht="15.75" thickBot="1" x14ac:dyDescent="0.3">
      <c r="A1612" s="149"/>
      <c r="B1612" s="1006"/>
      <c r="C1612" s="1006"/>
      <c r="D1612" s="1006"/>
      <c r="E1612" s="1006"/>
      <c r="F1612" s="1006"/>
      <c r="G1612" s="1006"/>
      <c r="H1612" s="1006"/>
      <c r="I1612" s="1006"/>
    </row>
    <row r="1613" spans="1:10" ht="15.75" x14ac:dyDescent="0.25">
      <c r="A1613" s="692" t="s">
        <v>2</v>
      </c>
      <c r="B1613" s="681" t="s">
        <v>225</v>
      </c>
      <c r="C1613" s="681" t="s">
        <v>226</v>
      </c>
      <c r="D1613" s="681" t="s">
        <v>227</v>
      </c>
      <c r="E1613" s="681" t="s">
        <v>228</v>
      </c>
      <c r="F1613" s="681" t="s">
        <v>229</v>
      </c>
      <c r="G1613" s="681" t="s">
        <v>230</v>
      </c>
      <c r="H1613" s="681" t="s">
        <v>231</v>
      </c>
      <c r="I1613" s="617" t="s">
        <v>96</v>
      </c>
      <c r="J1613" s="682" t="s">
        <v>97</v>
      </c>
    </row>
    <row r="1614" spans="1:10" x14ac:dyDescent="0.25">
      <c r="A1614" s="693" t="s">
        <v>11</v>
      </c>
      <c r="B1614" s="688">
        <f>98+85+20</f>
        <v>203</v>
      </c>
      <c r="C1614" s="56">
        <f>30+27+2</f>
        <v>59</v>
      </c>
      <c r="D1614" s="54">
        <f>53+26+7</f>
        <v>86</v>
      </c>
      <c r="E1614" s="316">
        <f>60+41+10</f>
        <v>111</v>
      </c>
      <c r="F1614" s="311">
        <f>98+89+18</f>
        <v>205</v>
      </c>
      <c r="G1614" s="58">
        <f>157+122+22</f>
        <v>301</v>
      </c>
      <c r="H1614" s="57">
        <f>98+106+32</f>
        <v>236</v>
      </c>
      <c r="I1614" s="311">
        <f t="shared" ref="I1614:I1619" si="727">SUM(B1614:H1614)</f>
        <v>1201</v>
      </c>
      <c r="J1614" s="683">
        <f>FLORESTA!$I1614/7</f>
        <v>171.57142857142858</v>
      </c>
    </row>
    <row r="1615" spans="1:10" x14ac:dyDescent="0.25">
      <c r="A1615" s="694" t="s">
        <v>12</v>
      </c>
      <c r="B1615" s="689">
        <v>70</v>
      </c>
      <c r="C1615" s="13">
        <v>19</v>
      </c>
      <c r="D1615" s="320">
        <v>26</v>
      </c>
      <c r="E1615" s="11">
        <v>27</v>
      </c>
      <c r="F1615" s="125">
        <v>83</v>
      </c>
      <c r="G1615" s="11">
        <v>90</v>
      </c>
      <c r="H1615" s="11">
        <v>70</v>
      </c>
      <c r="I1615" s="313">
        <f t="shared" si="727"/>
        <v>385</v>
      </c>
      <c r="J1615" s="684">
        <f>FLORESTA!$I1615/7</f>
        <v>55</v>
      </c>
    </row>
    <row r="1616" spans="1:10" x14ac:dyDescent="0.25">
      <c r="A1616" s="694" t="s">
        <v>13</v>
      </c>
      <c r="B1616" s="313">
        <v>0</v>
      </c>
      <c r="C1616" s="13">
        <v>0</v>
      </c>
      <c r="D1616" s="13">
        <v>1</v>
      </c>
      <c r="E1616" s="11">
        <v>1</v>
      </c>
      <c r="F1616" s="125">
        <v>1</v>
      </c>
      <c r="G1616" s="11">
        <v>2</v>
      </c>
      <c r="H1616" s="11">
        <v>3</v>
      </c>
      <c r="I1616" s="313">
        <f t="shared" si="727"/>
        <v>8</v>
      </c>
      <c r="J1616" s="684">
        <f>C1616+D1616+E1616+F1616+G1616+H1616+I1616</f>
        <v>16</v>
      </c>
    </row>
    <row r="1617" spans="1:10" x14ac:dyDescent="0.25">
      <c r="A1617" s="694" t="s">
        <v>14</v>
      </c>
      <c r="B1617" s="313">
        <v>87</v>
      </c>
      <c r="C1617" s="13">
        <v>28</v>
      </c>
      <c r="D1617" s="320">
        <v>44</v>
      </c>
      <c r="E1617" s="11">
        <v>49</v>
      </c>
      <c r="F1617" s="125">
        <v>88</v>
      </c>
      <c r="G1617" s="11">
        <v>127</v>
      </c>
      <c r="H1617" s="11">
        <v>98</v>
      </c>
      <c r="I1617" s="313">
        <f t="shared" si="727"/>
        <v>521</v>
      </c>
      <c r="J1617" s="684">
        <f>FLORESTA!$I1617/7</f>
        <v>74.428571428571431</v>
      </c>
    </row>
    <row r="1618" spans="1:10" x14ac:dyDescent="0.25">
      <c r="A1618" s="694" t="s">
        <v>15</v>
      </c>
      <c r="B1618" s="313">
        <v>22</v>
      </c>
      <c r="C1618" s="13">
        <v>3</v>
      </c>
      <c r="D1618" s="13">
        <v>4</v>
      </c>
      <c r="E1618" s="11">
        <v>9</v>
      </c>
      <c r="F1618" s="125">
        <v>10</v>
      </c>
      <c r="G1618" s="11">
        <v>23</v>
      </c>
      <c r="H1618" s="11">
        <v>21</v>
      </c>
      <c r="I1618" s="313">
        <f t="shared" si="727"/>
        <v>92</v>
      </c>
      <c r="J1618" s="684">
        <f>FLORESTA!$I1618/7</f>
        <v>13.142857142857142</v>
      </c>
    </row>
    <row r="1619" spans="1:10" x14ac:dyDescent="0.25">
      <c r="A1619" s="694" t="s">
        <v>16</v>
      </c>
      <c r="B1619" s="313">
        <v>0</v>
      </c>
      <c r="C1619" s="13">
        <v>0</v>
      </c>
      <c r="D1619" s="13">
        <v>0</v>
      </c>
      <c r="E1619" s="11">
        <v>0</v>
      </c>
      <c r="F1619" s="125">
        <v>0</v>
      </c>
      <c r="G1619" s="11">
        <v>0</v>
      </c>
      <c r="H1619" s="11">
        <v>0</v>
      </c>
      <c r="I1619" s="313">
        <f t="shared" si="727"/>
        <v>0</v>
      </c>
      <c r="J1619" s="684">
        <f>FLORESTA!$I1619/7</f>
        <v>0</v>
      </c>
    </row>
    <row r="1620" spans="1:10" x14ac:dyDescent="0.25">
      <c r="A1620" s="695" t="s">
        <v>17</v>
      </c>
      <c r="B1620" s="15">
        <f t="shared" ref="B1620:I1620" si="728">SUM(B1615:B1619)</f>
        <v>179</v>
      </c>
      <c r="C1620" s="79">
        <f t="shared" si="728"/>
        <v>50</v>
      </c>
      <c r="D1620" s="79">
        <f t="shared" si="728"/>
        <v>75</v>
      </c>
      <c r="E1620" s="103">
        <f t="shared" si="728"/>
        <v>86</v>
      </c>
      <c r="F1620" s="213">
        <f t="shared" si="728"/>
        <v>182</v>
      </c>
      <c r="G1620" s="103">
        <f t="shared" si="728"/>
        <v>242</v>
      </c>
      <c r="H1620" s="103">
        <f t="shared" si="728"/>
        <v>192</v>
      </c>
      <c r="I1620" s="103">
        <f t="shared" si="728"/>
        <v>1006</v>
      </c>
      <c r="J1620" s="625">
        <f>FLORESTA!$I1620/7</f>
        <v>143.71428571428572</v>
      </c>
    </row>
    <row r="1621" spans="1:10" x14ac:dyDescent="0.25">
      <c r="A1621" s="694" t="s">
        <v>18</v>
      </c>
      <c r="B1621" s="690">
        <v>0.45</v>
      </c>
      <c r="C1621" s="326">
        <v>0.45</v>
      </c>
      <c r="D1621" s="326">
        <v>0.45</v>
      </c>
      <c r="E1621" s="327">
        <v>0.38</v>
      </c>
      <c r="F1621" s="328">
        <v>0.51</v>
      </c>
      <c r="G1621" s="327">
        <v>0.41</v>
      </c>
      <c r="H1621" s="327">
        <v>0.39</v>
      </c>
      <c r="I1621" s="18">
        <f>I1628/I1633</f>
        <v>0.43219836309454085</v>
      </c>
      <c r="J1621" s="626">
        <f>J1628/J1633</f>
        <v>0.43219836309454085</v>
      </c>
    </row>
    <row r="1622" spans="1:10" x14ac:dyDescent="0.25">
      <c r="A1622" s="694" t="s">
        <v>19</v>
      </c>
      <c r="B1622" s="690">
        <v>0</v>
      </c>
      <c r="C1622" s="326">
        <v>0</v>
      </c>
      <c r="D1622" s="326">
        <v>0.02</v>
      </c>
      <c r="E1622" s="327">
        <v>0.01</v>
      </c>
      <c r="F1622" s="327">
        <v>0.01</v>
      </c>
      <c r="G1622" s="327">
        <v>0.01</v>
      </c>
      <c r="H1622" s="327">
        <v>0.02</v>
      </c>
      <c r="I1622" s="18">
        <f>I1629/I1633</f>
        <v>1.0361274638342379E-2</v>
      </c>
      <c r="J1622" s="626">
        <f>J1629/J1633</f>
        <v>1.0361274638342379E-2</v>
      </c>
    </row>
    <row r="1623" spans="1:10" x14ac:dyDescent="0.25">
      <c r="A1623" s="694" t="s">
        <v>20</v>
      </c>
      <c r="B1623" s="690">
        <v>0.44</v>
      </c>
      <c r="C1623" s="326">
        <v>0.5</v>
      </c>
      <c r="D1623" s="326">
        <v>0.5</v>
      </c>
      <c r="E1623" s="327">
        <v>0.53</v>
      </c>
      <c r="F1623" s="329">
        <v>0.44</v>
      </c>
      <c r="G1623" s="327">
        <v>0.49</v>
      </c>
      <c r="H1623" s="327">
        <v>0.51</v>
      </c>
      <c r="I1623" s="18">
        <f>I1630/I1633</f>
        <v>0.48103923670946597</v>
      </c>
      <c r="J1623" s="626">
        <f>J1630/J1633</f>
        <v>0.48103923670946602</v>
      </c>
    </row>
    <row r="1624" spans="1:10" x14ac:dyDescent="0.25">
      <c r="A1624" s="694" t="s">
        <v>21</v>
      </c>
      <c r="B1624" s="690">
        <v>0.11</v>
      </c>
      <c r="C1624" s="326">
        <v>0.05</v>
      </c>
      <c r="D1624" s="326">
        <v>0.03</v>
      </c>
      <c r="E1624" s="327">
        <v>0.08</v>
      </c>
      <c r="F1624" s="329">
        <v>0.04</v>
      </c>
      <c r="G1624" s="327">
        <v>0.09</v>
      </c>
      <c r="H1624" s="327">
        <v>0.08</v>
      </c>
      <c r="I1624" s="18">
        <f>I1631/I1633</f>
        <v>7.6401125557650704E-2</v>
      </c>
      <c r="J1624" s="626">
        <f>J1631/J1633</f>
        <v>7.6401125557650704E-2</v>
      </c>
    </row>
    <row r="1625" spans="1:10" x14ac:dyDescent="0.25">
      <c r="A1625" s="694" t="s">
        <v>22</v>
      </c>
      <c r="B1625" s="690">
        <v>0</v>
      </c>
      <c r="C1625" s="326">
        <v>0</v>
      </c>
      <c r="D1625" s="326">
        <v>0</v>
      </c>
      <c r="E1625" s="327">
        <v>0</v>
      </c>
      <c r="F1625" s="329">
        <v>0</v>
      </c>
      <c r="G1625" s="327">
        <v>0</v>
      </c>
      <c r="H1625" s="327">
        <v>0</v>
      </c>
      <c r="I1625" s="18">
        <f>I1632/I1633</f>
        <v>0</v>
      </c>
      <c r="J1625" s="626">
        <f>J1632/J1633</f>
        <v>0</v>
      </c>
    </row>
    <row r="1626" spans="1:10" x14ac:dyDescent="0.25">
      <c r="A1626" s="696" t="s">
        <v>23</v>
      </c>
      <c r="B1626" s="314">
        <f t="shared" ref="B1626:J1626" si="729">B1637/B1620</f>
        <v>34191.620111731841</v>
      </c>
      <c r="C1626" s="131">
        <f t="shared" si="729"/>
        <v>34200</v>
      </c>
      <c r="D1626" s="131">
        <f t="shared" si="729"/>
        <v>29642.666666666668</v>
      </c>
      <c r="E1626" s="130">
        <f t="shared" si="729"/>
        <v>33488.372093023259</v>
      </c>
      <c r="F1626" s="132">
        <f t="shared" si="729"/>
        <v>33579.120879120877</v>
      </c>
      <c r="G1626" s="130">
        <f t="shared" si="729"/>
        <v>38908.67768595041</v>
      </c>
      <c r="H1626" s="130">
        <f t="shared" si="729"/>
        <v>35760.9375</v>
      </c>
      <c r="I1626" s="314">
        <f t="shared" si="729"/>
        <v>35116.202783300199</v>
      </c>
      <c r="J1626" s="685">
        <f t="shared" si="729"/>
        <v>35116.202783300199</v>
      </c>
    </row>
    <row r="1627" spans="1:10" x14ac:dyDescent="0.25">
      <c r="A1627" s="696" t="s">
        <v>24</v>
      </c>
      <c r="B1627" s="314">
        <f t="shared" ref="B1627:J1627" si="730">B1637/B1614</f>
        <v>30149.261083743841</v>
      </c>
      <c r="C1627" s="131">
        <f t="shared" si="730"/>
        <v>28983.050847457627</v>
      </c>
      <c r="D1627" s="131">
        <f t="shared" si="730"/>
        <v>25851.162790697676</v>
      </c>
      <c r="E1627" s="130">
        <f t="shared" si="730"/>
        <v>25945.945945945947</v>
      </c>
      <c r="F1627" s="132">
        <f t="shared" si="730"/>
        <v>29811.707317073171</v>
      </c>
      <c r="G1627" s="130">
        <f t="shared" si="730"/>
        <v>31282.05980066445</v>
      </c>
      <c r="H1627" s="130">
        <f t="shared" si="730"/>
        <v>29093.644067796609</v>
      </c>
      <c r="I1627" s="314">
        <f t="shared" si="730"/>
        <v>29414.571190674436</v>
      </c>
      <c r="J1627" s="685">
        <f t="shared" si="730"/>
        <v>29414.571190674436</v>
      </c>
    </row>
    <row r="1628" spans="1:10" x14ac:dyDescent="0.25">
      <c r="A1628" s="694" t="s">
        <v>25</v>
      </c>
      <c r="B1628" s="300">
        <f t="shared" ref="B1628:H1628" si="731">B1633*B1621</f>
        <v>2306371.8103448278</v>
      </c>
      <c r="C1628" s="133">
        <f t="shared" si="731"/>
        <v>644936.81896551722</v>
      </c>
      <c r="D1628" s="133">
        <f t="shared" si="731"/>
        <v>837234.77586206899</v>
      </c>
      <c r="E1628" s="92">
        <f t="shared" si="731"/>
        <v>921337.97586206894</v>
      </c>
      <c r="F1628" s="134">
        <f t="shared" si="731"/>
        <v>2595687.4706896553</v>
      </c>
      <c r="G1628" s="92">
        <f t="shared" si="731"/>
        <v>3248514.1206896552</v>
      </c>
      <c r="H1628" s="92">
        <f t="shared" si="731"/>
        <v>2249598.6724137934</v>
      </c>
      <c r="I1628" s="92">
        <f>FLORESTA!$B1628+FLORESTA!$C1628+FLORESTA!$D1628+FLORESTA!$E1628+FLORESTA!$F1628+FLORESTA!$G1628+FLORESTA!$H1628</f>
        <v>12803681.644827586</v>
      </c>
      <c r="J1628" s="629">
        <f>FLORESTA!$I1628/7</f>
        <v>1829097.3778325121</v>
      </c>
    </row>
    <row r="1629" spans="1:10" x14ac:dyDescent="0.25">
      <c r="A1629" s="694" t="s">
        <v>26</v>
      </c>
      <c r="B1629" s="300">
        <f t="shared" ref="B1629:H1629" si="732">B1633*B1622</f>
        <v>0</v>
      </c>
      <c r="C1629" s="133">
        <f t="shared" si="732"/>
        <v>0</v>
      </c>
      <c r="D1629" s="133">
        <f t="shared" si="732"/>
        <v>37210.434482758625</v>
      </c>
      <c r="E1629" s="92">
        <f t="shared" si="732"/>
        <v>24245.736206896552</v>
      </c>
      <c r="F1629" s="134">
        <f t="shared" si="732"/>
        <v>50895.832758620687</v>
      </c>
      <c r="G1629" s="92">
        <f t="shared" si="732"/>
        <v>79232.051724137942</v>
      </c>
      <c r="H1629" s="92">
        <f t="shared" si="732"/>
        <v>115364.03448275862</v>
      </c>
      <c r="I1629" s="92">
        <f>FLORESTA!$B1629+FLORESTA!$C1629+FLORESTA!$D1629+FLORESTA!$E1629+FLORESTA!$F1629+FLORESTA!$G1629+FLORESTA!$H1629</f>
        <v>306948.08965517243</v>
      </c>
      <c r="J1629" s="629">
        <f>FLORESTA!$I1629/7</f>
        <v>43849.727093596062</v>
      </c>
    </row>
    <row r="1630" spans="1:10" x14ac:dyDescent="0.25">
      <c r="A1630" s="694" t="s">
        <v>27</v>
      </c>
      <c r="B1630" s="300">
        <f t="shared" ref="B1630:H1630" si="733">B1633*B1623</f>
        <v>2255119.1034482759</v>
      </c>
      <c r="C1630" s="133">
        <f t="shared" si="733"/>
        <v>716596.46551724139</v>
      </c>
      <c r="D1630" s="133">
        <f t="shared" si="733"/>
        <v>930260.86206896557</v>
      </c>
      <c r="E1630" s="92">
        <f t="shared" si="733"/>
        <v>1285024.0189655174</v>
      </c>
      <c r="F1630" s="134">
        <f t="shared" si="733"/>
        <v>2239416.6413793103</v>
      </c>
      <c r="G1630" s="92">
        <f t="shared" si="733"/>
        <v>3882370.5344827585</v>
      </c>
      <c r="H1630" s="92">
        <f t="shared" si="733"/>
        <v>2941782.8793103448</v>
      </c>
      <c r="I1630" s="92">
        <f>FLORESTA!$B1630+FLORESTA!$C1630+FLORESTA!$D1630+FLORESTA!$E1630+FLORESTA!$F1630+FLORESTA!$G1630+FLORESTA!$H1630</f>
        <v>14250570.505172415</v>
      </c>
      <c r="J1630" s="629">
        <f>FLORESTA!$I1630/7</f>
        <v>2035795.7864532021</v>
      </c>
    </row>
    <row r="1631" spans="1:10" x14ac:dyDescent="0.25">
      <c r="A1631" s="694" t="s">
        <v>28</v>
      </c>
      <c r="B1631" s="300">
        <f t="shared" ref="B1631:H1631" si="734">B1633*B1624</f>
        <v>563779.77586206899</v>
      </c>
      <c r="C1631" s="133">
        <f t="shared" si="734"/>
        <v>71659.646551724145</v>
      </c>
      <c r="D1631" s="133">
        <f t="shared" si="734"/>
        <v>55815.651724137933</v>
      </c>
      <c r="E1631" s="92">
        <f t="shared" si="734"/>
        <v>193965.88965517242</v>
      </c>
      <c r="F1631" s="134">
        <f t="shared" si="734"/>
        <v>203583.33103448275</v>
      </c>
      <c r="G1631" s="92">
        <f t="shared" si="734"/>
        <v>713088.46551724139</v>
      </c>
      <c r="H1631" s="92">
        <f t="shared" si="734"/>
        <v>461456.13793103449</v>
      </c>
      <c r="I1631" s="92">
        <f>FLORESTA!$B1631+FLORESTA!$C1631+FLORESTA!$D1631+FLORESTA!$E1631+FLORESTA!$F1631+FLORESTA!$G1631+FLORESTA!$H1631</f>
        <v>2263348.898275862</v>
      </c>
      <c r="J1631" s="629">
        <f>FLORESTA!$I1631/7</f>
        <v>323335.55689655169</v>
      </c>
    </row>
    <row r="1632" spans="1:10" x14ac:dyDescent="0.25">
      <c r="A1632" s="694" t="s">
        <v>29</v>
      </c>
      <c r="B1632" s="300">
        <f t="shared" ref="B1632:H1632" si="735">B1633*B1625</f>
        <v>0</v>
      </c>
      <c r="C1632" s="133">
        <f t="shared" si="735"/>
        <v>0</v>
      </c>
      <c r="D1632" s="133">
        <f t="shared" si="735"/>
        <v>0</v>
      </c>
      <c r="E1632" s="92">
        <f t="shared" si="735"/>
        <v>0</v>
      </c>
      <c r="F1632" s="134">
        <f t="shared" si="735"/>
        <v>0</v>
      </c>
      <c r="G1632" s="92">
        <f t="shared" si="735"/>
        <v>0</v>
      </c>
      <c r="H1632" s="92">
        <f t="shared" si="735"/>
        <v>0</v>
      </c>
      <c r="I1632" s="92">
        <f>FLORESTA!$B1632+FLORESTA!$C1632+FLORESTA!$D1632+FLORESTA!$E1632+FLORESTA!$F1632+FLORESTA!$G1632+FLORESTA!$H1632</f>
        <v>0</v>
      </c>
      <c r="J1632" s="629">
        <f>FLORESTA!$I1632/7</f>
        <v>0</v>
      </c>
    </row>
    <row r="1633" spans="1:10" x14ac:dyDescent="0.25">
      <c r="A1633" s="697" t="s">
        <v>30</v>
      </c>
      <c r="B1633" s="691">
        <f>(6120300/1.16)-B1634</f>
        <v>5125270.6896551726</v>
      </c>
      <c r="C1633" s="691">
        <f>(1710000/1.16)-C1634</f>
        <v>1433192.9310344828</v>
      </c>
      <c r="D1633" s="691">
        <f>(2223200/1.16)-D1634</f>
        <v>1860521.7241379311</v>
      </c>
      <c r="E1633" s="691">
        <f>(2880000/1.16)-E1634</f>
        <v>2424573.6206896552</v>
      </c>
      <c r="F1633" s="691">
        <f>(6111400/1.16)-F1634</f>
        <v>5089583.2758620689</v>
      </c>
      <c r="G1633" s="691">
        <f>(9415900/1.16)-G1634</f>
        <v>7923205.1724137934</v>
      </c>
      <c r="H1633" s="691">
        <f>(6866100/1.16)-H1634</f>
        <v>5768201.7241379311</v>
      </c>
      <c r="I1633" s="91">
        <f>SUM(I1628:I1632)</f>
        <v>29624549.137931038</v>
      </c>
      <c r="J1633" s="631">
        <f>FLORESTA!$I1633/7</f>
        <v>4232078.4482758623</v>
      </c>
    </row>
    <row r="1634" spans="1:10" x14ac:dyDescent="0.25">
      <c r="A1634" s="694" t="s">
        <v>31</v>
      </c>
      <c r="B1634" s="302">
        <f t="shared" ref="B1634:J1634" si="736">2155*B1615</f>
        <v>150850</v>
      </c>
      <c r="C1634" s="139">
        <f t="shared" si="736"/>
        <v>40945</v>
      </c>
      <c r="D1634" s="139">
        <f t="shared" si="736"/>
        <v>56030</v>
      </c>
      <c r="E1634" s="94">
        <f t="shared" si="736"/>
        <v>58185</v>
      </c>
      <c r="F1634" s="112">
        <f t="shared" si="736"/>
        <v>178865</v>
      </c>
      <c r="G1634" s="94">
        <f t="shared" si="736"/>
        <v>193950</v>
      </c>
      <c r="H1634" s="94">
        <f t="shared" si="736"/>
        <v>150850</v>
      </c>
      <c r="I1634" s="94">
        <f t="shared" si="736"/>
        <v>829675</v>
      </c>
      <c r="J1634" s="632">
        <f t="shared" si="736"/>
        <v>118525</v>
      </c>
    </row>
    <row r="1635" spans="1:10" x14ac:dyDescent="0.25">
      <c r="A1635" s="698" t="s">
        <v>32</v>
      </c>
      <c r="B1635" s="364">
        <f t="shared" ref="B1635:H1635" si="737">B1633+B1634</f>
        <v>5276120.6896551726</v>
      </c>
      <c r="C1635" s="40">
        <f t="shared" si="737"/>
        <v>1474137.9310344828</v>
      </c>
      <c r="D1635" s="40">
        <f t="shared" si="737"/>
        <v>1916551.7241379311</v>
      </c>
      <c r="E1635" s="39">
        <f t="shared" si="737"/>
        <v>2482758.6206896552</v>
      </c>
      <c r="F1635" s="140">
        <f t="shared" si="737"/>
        <v>5268448.2758620689</v>
      </c>
      <c r="G1635" s="39">
        <f t="shared" si="737"/>
        <v>8117155.1724137934</v>
      </c>
      <c r="H1635" s="39">
        <f t="shared" si="737"/>
        <v>5919051.7241379311</v>
      </c>
      <c r="I1635" s="39">
        <f>I1633+I1634</f>
        <v>30454224.137931038</v>
      </c>
      <c r="J1635" s="634">
        <f>J1633+J1634</f>
        <v>4350603.4482758623</v>
      </c>
    </row>
    <row r="1636" spans="1:10" x14ac:dyDescent="0.25">
      <c r="A1636" s="694" t="s">
        <v>33</v>
      </c>
      <c r="B1636" s="415">
        <f t="shared" ref="B1636:H1636" si="738">B1635*16%</f>
        <v>844179.31034482759</v>
      </c>
      <c r="C1636" s="42">
        <f t="shared" si="738"/>
        <v>235862.06896551725</v>
      </c>
      <c r="D1636" s="42">
        <f t="shared" si="738"/>
        <v>306648.27586206899</v>
      </c>
      <c r="E1636" s="41">
        <f t="shared" si="738"/>
        <v>397241.37931034481</v>
      </c>
      <c r="F1636" s="141">
        <f t="shared" si="738"/>
        <v>842951.72413793101</v>
      </c>
      <c r="G1636" s="41">
        <f t="shared" si="738"/>
        <v>1298744.8275862071</v>
      </c>
      <c r="H1636" s="41">
        <f t="shared" si="738"/>
        <v>947048.27586206899</v>
      </c>
      <c r="I1636" s="41">
        <f>I1635*16%</f>
        <v>4872675.862068966</v>
      </c>
      <c r="J1636" s="635">
        <f>J1635*16%</f>
        <v>696096.55172413797</v>
      </c>
    </row>
    <row r="1637" spans="1:10" ht="15.75" thickBot="1" x14ac:dyDescent="0.3">
      <c r="A1637" s="699" t="s">
        <v>34</v>
      </c>
      <c r="B1637" s="687">
        <f t="shared" ref="B1637:H1637" si="739">B1635+B1636</f>
        <v>6120300</v>
      </c>
      <c r="C1637" s="638">
        <f t="shared" si="739"/>
        <v>1710000</v>
      </c>
      <c r="D1637" s="638">
        <f t="shared" si="739"/>
        <v>2223200</v>
      </c>
      <c r="E1637" s="686">
        <f t="shared" si="739"/>
        <v>2880000</v>
      </c>
      <c r="F1637" s="687">
        <f t="shared" si="739"/>
        <v>6111400</v>
      </c>
      <c r="G1637" s="686">
        <f t="shared" si="739"/>
        <v>9415900</v>
      </c>
      <c r="H1637" s="686">
        <f t="shared" si="739"/>
        <v>6866100</v>
      </c>
      <c r="I1637" s="686">
        <f>I1635+I1636</f>
        <v>35326900</v>
      </c>
      <c r="J1637" s="639">
        <f>FLORESTA!$I1637/7</f>
        <v>5046700</v>
      </c>
    </row>
    <row r="1638" spans="1:10" ht="15.75" thickBot="1" x14ac:dyDescent="0.3"/>
    <row r="1639" spans="1:10" ht="15.75" thickBot="1" x14ac:dyDescent="0.3">
      <c r="A1639" s="149"/>
      <c r="B1639" s="1006" t="s">
        <v>399</v>
      </c>
      <c r="C1639" s="1006"/>
      <c r="D1639" s="1006"/>
      <c r="E1639" s="1006"/>
      <c r="F1639" s="1006"/>
      <c r="G1639" s="1006"/>
      <c r="H1639" s="1006"/>
      <c r="I1639" s="1006"/>
    </row>
    <row r="1640" spans="1:10" ht="15.75" thickBot="1" x14ac:dyDescent="0.3">
      <c r="A1640" s="149"/>
      <c r="B1640" s="1006"/>
      <c r="C1640" s="1006"/>
      <c r="D1640" s="1006"/>
      <c r="E1640" s="1006"/>
      <c r="F1640" s="1006"/>
      <c r="G1640" s="1006"/>
      <c r="H1640" s="1006"/>
      <c r="I1640" s="1006"/>
    </row>
    <row r="1641" spans="1:10" ht="15.75" x14ac:dyDescent="0.25">
      <c r="A1641" s="692" t="s">
        <v>2</v>
      </c>
      <c r="B1641" s="681" t="s">
        <v>233</v>
      </c>
      <c r="C1641" s="681" t="s">
        <v>234</v>
      </c>
      <c r="D1641" s="681" t="s">
        <v>235</v>
      </c>
      <c r="E1641" s="681" t="s">
        <v>236</v>
      </c>
      <c r="F1641" s="681" t="s">
        <v>237</v>
      </c>
      <c r="G1641" s="681" t="s">
        <v>238</v>
      </c>
      <c r="H1641" s="681" t="s">
        <v>239</v>
      </c>
      <c r="I1641" s="617" t="s">
        <v>96</v>
      </c>
      <c r="J1641" s="682" t="s">
        <v>97</v>
      </c>
    </row>
    <row r="1642" spans="1:10" x14ac:dyDescent="0.25">
      <c r="A1642" s="693" t="s">
        <v>11</v>
      </c>
      <c r="B1642" s="688">
        <f>52+29+10</f>
        <v>91</v>
      </c>
      <c r="C1642" s="56">
        <f>57+26+7</f>
        <v>90</v>
      </c>
      <c r="D1642" s="54">
        <f>53+36+4</f>
        <v>93</v>
      </c>
      <c r="E1642" s="316">
        <f>50+34+5</f>
        <v>89</v>
      </c>
      <c r="F1642" s="311">
        <f>128+67+18</f>
        <v>213</v>
      </c>
      <c r="G1642" s="58">
        <f>154+110+28</f>
        <v>292</v>
      </c>
      <c r="H1642" s="57">
        <f>131+89+34</f>
        <v>254</v>
      </c>
      <c r="I1642" s="311">
        <f t="shared" ref="I1642:I1647" si="740">SUM(B1642:H1642)</f>
        <v>1122</v>
      </c>
      <c r="J1642" s="683">
        <f>FLORESTA!$I1642/7</f>
        <v>160.28571428571428</v>
      </c>
    </row>
    <row r="1643" spans="1:10" x14ac:dyDescent="0.25">
      <c r="A1643" s="694" t="s">
        <v>12</v>
      </c>
      <c r="B1643" s="689">
        <v>27</v>
      </c>
      <c r="C1643" s="13">
        <v>32</v>
      </c>
      <c r="D1643" s="320">
        <v>36</v>
      </c>
      <c r="E1643" s="11">
        <v>27</v>
      </c>
      <c r="F1643" s="125">
        <v>77</v>
      </c>
      <c r="G1643" s="11">
        <v>82</v>
      </c>
      <c r="H1643" s="11">
        <v>82</v>
      </c>
      <c r="I1643" s="313">
        <f t="shared" si="740"/>
        <v>363</v>
      </c>
      <c r="J1643" s="684">
        <f>FLORESTA!$I1643/7</f>
        <v>51.857142857142854</v>
      </c>
    </row>
    <row r="1644" spans="1:10" x14ac:dyDescent="0.25">
      <c r="A1644" s="694" t="s">
        <v>13</v>
      </c>
      <c r="B1644" s="313">
        <v>1</v>
      </c>
      <c r="C1644" s="13">
        <v>0</v>
      </c>
      <c r="D1644" s="13">
        <v>0</v>
      </c>
      <c r="E1644" s="11">
        <v>0</v>
      </c>
      <c r="F1644" s="125">
        <v>2</v>
      </c>
      <c r="G1644" s="11">
        <v>2</v>
      </c>
      <c r="H1644" s="11">
        <v>1</v>
      </c>
      <c r="I1644" s="313">
        <f t="shared" si="740"/>
        <v>6</v>
      </c>
      <c r="J1644" s="684">
        <f>C1644+D1644+E1644+F1644+G1644+H1644+I1644</f>
        <v>11</v>
      </c>
    </row>
    <row r="1645" spans="1:10" x14ac:dyDescent="0.25">
      <c r="A1645" s="694" t="s">
        <v>14</v>
      </c>
      <c r="B1645" s="313">
        <v>39</v>
      </c>
      <c r="C1645" s="13">
        <v>29</v>
      </c>
      <c r="D1645" s="320">
        <v>42</v>
      </c>
      <c r="E1645" s="11">
        <v>49</v>
      </c>
      <c r="F1645" s="125">
        <v>71</v>
      </c>
      <c r="G1645" s="11">
        <v>144</v>
      </c>
      <c r="H1645" s="11">
        <v>93</v>
      </c>
      <c r="I1645" s="313">
        <f t="shared" si="740"/>
        <v>467</v>
      </c>
      <c r="J1645" s="684">
        <f>FLORESTA!$I1645/7</f>
        <v>66.714285714285708</v>
      </c>
    </row>
    <row r="1646" spans="1:10" x14ac:dyDescent="0.25">
      <c r="A1646" s="694" t="s">
        <v>15</v>
      </c>
      <c r="B1646" s="313">
        <v>5</v>
      </c>
      <c r="C1646" s="13">
        <v>6</v>
      </c>
      <c r="D1646" s="13">
        <v>7</v>
      </c>
      <c r="E1646" s="11">
        <v>3</v>
      </c>
      <c r="F1646" s="125">
        <v>15</v>
      </c>
      <c r="G1646" s="11">
        <v>11</v>
      </c>
      <c r="H1646" s="11">
        <v>24</v>
      </c>
      <c r="I1646" s="313">
        <f t="shared" si="740"/>
        <v>71</v>
      </c>
      <c r="J1646" s="684">
        <f>FLORESTA!$I1646/7</f>
        <v>10.142857142857142</v>
      </c>
    </row>
    <row r="1647" spans="1:10" x14ac:dyDescent="0.25">
      <c r="A1647" s="694" t="s">
        <v>16</v>
      </c>
      <c r="B1647" s="313">
        <v>0</v>
      </c>
      <c r="C1647" s="13">
        <v>0</v>
      </c>
      <c r="D1647" s="13">
        <v>0</v>
      </c>
      <c r="E1647" s="11">
        <v>0</v>
      </c>
      <c r="F1647" s="125">
        <v>0</v>
      </c>
      <c r="G1647" s="11">
        <v>1</v>
      </c>
      <c r="H1647" s="11">
        <v>0</v>
      </c>
      <c r="I1647" s="313">
        <f t="shared" si="740"/>
        <v>1</v>
      </c>
      <c r="J1647" s="684">
        <f>FLORESTA!$I1647/7</f>
        <v>0.14285714285714285</v>
      </c>
    </row>
    <row r="1648" spans="1:10" x14ac:dyDescent="0.25">
      <c r="A1648" s="695" t="s">
        <v>17</v>
      </c>
      <c r="B1648" s="15">
        <f t="shared" ref="B1648:I1648" si="741">SUM(B1643:B1647)</f>
        <v>72</v>
      </c>
      <c r="C1648" s="79">
        <f t="shared" si="741"/>
        <v>67</v>
      </c>
      <c r="D1648" s="79">
        <f t="shared" si="741"/>
        <v>85</v>
      </c>
      <c r="E1648" s="103">
        <f t="shared" si="741"/>
        <v>79</v>
      </c>
      <c r="F1648" s="213">
        <f t="shared" si="741"/>
        <v>165</v>
      </c>
      <c r="G1648" s="103">
        <f t="shared" si="741"/>
        <v>240</v>
      </c>
      <c r="H1648" s="103">
        <f t="shared" si="741"/>
        <v>200</v>
      </c>
      <c r="I1648" s="103">
        <f t="shared" si="741"/>
        <v>908</v>
      </c>
      <c r="J1648" s="625">
        <f>FLORESTA!$I1648/7</f>
        <v>129.71428571428572</v>
      </c>
    </row>
    <row r="1649" spans="1:10" x14ac:dyDescent="0.25">
      <c r="A1649" s="694" t="s">
        <v>18</v>
      </c>
      <c r="B1649" s="690">
        <v>0.48</v>
      </c>
      <c r="C1649" s="326">
        <v>0.57999999999999996</v>
      </c>
      <c r="D1649" s="326">
        <v>0.48</v>
      </c>
      <c r="E1649" s="327">
        <v>0.36</v>
      </c>
      <c r="F1649" s="328">
        <v>0.48</v>
      </c>
      <c r="G1649" s="327">
        <v>0.38</v>
      </c>
      <c r="H1649" s="327">
        <v>0.4</v>
      </c>
      <c r="I1649" s="18">
        <f>I1656/I1661</f>
        <v>0.43256267902581946</v>
      </c>
      <c r="J1649" s="626">
        <f>J1656/J1661</f>
        <v>0.43256267902581952</v>
      </c>
    </row>
    <row r="1650" spans="1:10" x14ac:dyDescent="0.25">
      <c r="A1650" s="694" t="s">
        <v>19</v>
      </c>
      <c r="B1650" s="690">
        <v>0.02</v>
      </c>
      <c r="C1650" s="326">
        <v>0</v>
      </c>
      <c r="D1650" s="326">
        <v>0</v>
      </c>
      <c r="E1650" s="327">
        <v>0</v>
      </c>
      <c r="F1650" s="327">
        <v>0.01</v>
      </c>
      <c r="G1650" s="327">
        <v>0.01</v>
      </c>
      <c r="H1650" s="327">
        <v>0</v>
      </c>
      <c r="I1650" s="18">
        <f>I1657/I1661</f>
        <v>6.3506808706527938E-3</v>
      </c>
      <c r="J1650" s="626">
        <f>J1657/J1661</f>
        <v>6.3506808706527947E-3</v>
      </c>
    </row>
    <row r="1651" spans="1:10" x14ac:dyDescent="0.25">
      <c r="A1651" s="694" t="s">
        <v>20</v>
      </c>
      <c r="B1651" s="690">
        <v>0.42</v>
      </c>
      <c r="C1651" s="326">
        <v>0.36</v>
      </c>
      <c r="D1651" s="326">
        <v>0.44</v>
      </c>
      <c r="E1651" s="327">
        <v>0.61</v>
      </c>
      <c r="F1651" s="329">
        <v>0.43</v>
      </c>
      <c r="G1651" s="327">
        <v>0.52</v>
      </c>
      <c r="H1651" s="327">
        <v>0.48</v>
      </c>
      <c r="I1651" s="18">
        <f>I1658/I1661</f>
        <v>0.47512151603002084</v>
      </c>
      <c r="J1651" s="626">
        <f>J1658/J1661</f>
        <v>0.4751215160300209</v>
      </c>
    </row>
    <row r="1652" spans="1:10" x14ac:dyDescent="0.25">
      <c r="A1652" s="694" t="s">
        <v>21</v>
      </c>
      <c r="B1652" s="690">
        <v>0.08</v>
      </c>
      <c r="C1652" s="326">
        <v>0.06</v>
      </c>
      <c r="D1652" s="326">
        <v>0.08</v>
      </c>
      <c r="E1652" s="327">
        <v>0.03</v>
      </c>
      <c r="F1652" s="329">
        <v>0.08</v>
      </c>
      <c r="G1652" s="327">
        <v>0.09</v>
      </c>
      <c r="H1652" s="327">
        <v>0.12</v>
      </c>
      <c r="I1652" s="18">
        <f>I1659/I1661</f>
        <v>8.5965124073506941E-2</v>
      </c>
      <c r="J1652" s="626">
        <f>J1659/J1661</f>
        <v>8.5965124073506941E-2</v>
      </c>
    </row>
    <row r="1653" spans="1:10" x14ac:dyDescent="0.25">
      <c r="A1653" s="694" t="s">
        <v>22</v>
      </c>
      <c r="B1653" s="690">
        <v>0</v>
      </c>
      <c r="C1653" s="326">
        <v>0</v>
      </c>
      <c r="D1653" s="326">
        <v>0</v>
      </c>
      <c r="E1653" s="327">
        <v>0</v>
      </c>
      <c r="F1653" s="329">
        <v>0</v>
      </c>
      <c r="G1653" s="327">
        <v>0</v>
      </c>
      <c r="H1653" s="327">
        <v>0</v>
      </c>
      <c r="I1653" s="18">
        <f>I1660/I1661</f>
        <v>0</v>
      </c>
      <c r="J1653" s="626">
        <f>J1660/J1661</f>
        <v>0</v>
      </c>
    </row>
    <row r="1654" spans="1:10" x14ac:dyDescent="0.25">
      <c r="A1654" s="696" t="s">
        <v>23</v>
      </c>
      <c r="B1654" s="314">
        <f t="shared" ref="B1654:J1654" si="742">B1665/B1648</f>
        <v>34852.777777777781</v>
      </c>
      <c r="C1654" s="131">
        <f t="shared" si="742"/>
        <v>35297.014925373136</v>
      </c>
      <c r="D1654" s="131">
        <f t="shared" si="742"/>
        <v>29788.235294117647</v>
      </c>
      <c r="E1654" s="130">
        <f t="shared" si="742"/>
        <v>31460.759493670885</v>
      </c>
      <c r="F1654" s="132">
        <f t="shared" si="742"/>
        <v>37316.969696969696</v>
      </c>
      <c r="G1654" s="130">
        <f t="shared" si="742"/>
        <v>37403.75</v>
      </c>
      <c r="H1654" s="130">
        <f t="shared" si="742"/>
        <v>33925</v>
      </c>
      <c r="I1654" s="314">
        <f t="shared" si="742"/>
        <v>35034.030837004408</v>
      </c>
      <c r="J1654" s="685">
        <f t="shared" si="742"/>
        <v>35034.0308370044</v>
      </c>
    </row>
    <row r="1655" spans="1:10" x14ac:dyDescent="0.25">
      <c r="A1655" s="696" t="s">
        <v>24</v>
      </c>
      <c r="B1655" s="314">
        <f t="shared" ref="B1655:J1655" si="743">B1665/B1642</f>
        <v>27575.824175824175</v>
      </c>
      <c r="C1655" s="131">
        <f t="shared" si="743"/>
        <v>26276.666666666668</v>
      </c>
      <c r="D1655" s="131">
        <f t="shared" si="743"/>
        <v>27225.806451612902</v>
      </c>
      <c r="E1655" s="130">
        <f t="shared" si="743"/>
        <v>27925.842696629214</v>
      </c>
      <c r="F1655" s="132">
        <f t="shared" si="743"/>
        <v>28907.5117370892</v>
      </c>
      <c r="G1655" s="130">
        <f t="shared" si="743"/>
        <v>30742.808219178081</v>
      </c>
      <c r="H1655" s="130">
        <f t="shared" si="743"/>
        <v>26712.598425196851</v>
      </c>
      <c r="I1655" s="314">
        <f t="shared" si="743"/>
        <v>28351.960784313724</v>
      </c>
      <c r="J1655" s="685">
        <f t="shared" si="743"/>
        <v>28351.960784313724</v>
      </c>
    </row>
    <row r="1656" spans="1:10" x14ac:dyDescent="0.25">
      <c r="A1656" s="694" t="s">
        <v>25</v>
      </c>
      <c r="B1656" s="300">
        <f t="shared" ref="B1656:H1656" si="744">B1661*B1649</f>
        <v>1007086.9737931035</v>
      </c>
      <c r="C1656" s="133">
        <f t="shared" si="744"/>
        <v>1137646.1599999999</v>
      </c>
      <c r="D1656" s="133">
        <f t="shared" si="744"/>
        <v>1006010.2179310345</v>
      </c>
      <c r="E1656" s="92">
        <f t="shared" si="744"/>
        <v>747866.95448275865</v>
      </c>
      <c r="F1656" s="134">
        <f t="shared" si="744"/>
        <v>2458626.8358620689</v>
      </c>
      <c r="G1656" s="92">
        <f t="shared" si="744"/>
        <v>2865488.3806896554</v>
      </c>
      <c r="H1656" s="92">
        <f t="shared" si="744"/>
        <v>2260475.9724137932</v>
      </c>
      <c r="I1656" s="92">
        <f>FLORESTA!$B1656+FLORESTA!$C1656+FLORESTA!$D1656+FLORESTA!$E1656+FLORESTA!$F1656+FLORESTA!$G1656+FLORESTA!$H1656</f>
        <v>11483201.495172415</v>
      </c>
      <c r="J1656" s="629">
        <f>FLORESTA!$I1656/7</f>
        <v>1640457.3564532022</v>
      </c>
    </row>
    <row r="1657" spans="1:10" x14ac:dyDescent="0.25">
      <c r="A1657" s="694" t="s">
        <v>26</v>
      </c>
      <c r="B1657" s="300">
        <f t="shared" ref="B1657:H1657" si="745">B1661*B1650</f>
        <v>41961.957241379314</v>
      </c>
      <c r="C1657" s="133">
        <f t="shared" si="745"/>
        <v>0</v>
      </c>
      <c r="D1657" s="133">
        <f t="shared" si="745"/>
        <v>0</v>
      </c>
      <c r="E1657" s="92">
        <f t="shared" si="745"/>
        <v>0</v>
      </c>
      <c r="F1657" s="134">
        <f t="shared" si="745"/>
        <v>51221.392413793103</v>
      </c>
      <c r="G1657" s="92">
        <f t="shared" si="745"/>
        <v>75407.58896551725</v>
      </c>
      <c r="H1657" s="92">
        <f t="shared" si="745"/>
        <v>0</v>
      </c>
      <c r="I1657" s="92">
        <f>FLORESTA!$B1657+FLORESTA!$C1657+FLORESTA!$D1657+FLORESTA!$E1657+FLORESTA!$F1657+FLORESTA!$G1657+FLORESTA!$H1657</f>
        <v>168590.93862068967</v>
      </c>
      <c r="J1657" s="629">
        <f>FLORESTA!$I1657/7</f>
        <v>24084.419802955668</v>
      </c>
    </row>
    <row r="1658" spans="1:10" x14ac:dyDescent="0.25">
      <c r="A1658" s="694" t="s">
        <v>27</v>
      </c>
      <c r="B1658" s="300">
        <f t="shared" ref="B1658:H1658" si="746">B1661*B1651</f>
        <v>881201.10206896556</v>
      </c>
      <c r="C1658" s="133">
        <f t="shared" si="746"/>
        <v>706125.20275862073</v>
      </c>
      <c r="D1658" s="133">
        <f t="shared" si="746"/>
        <v>922176.03310344834</v>
      </c>
      <c r="E1658" s="92">
        <f t="shared" si="746"/>
        <v>1267219.0062068966</v>
      </c>
      <c r="F1658" s="134">
        <f t="shared" si="746"/>
        <v>2202519.8737931033</v>
      </c>
      <c r="G1658" s="92">
        <f t="shared" si="746"/>
        <v>3921194.6262068967</v>
      </c>
      <c r="H1658" s="92">
        <f t="shared" si="746"/>
        <v>2712571.1668965518</v>
      </c>
      <c r="I1658" s="92">
        <f>FLORESTA!$B1658+FLORESTA!$C1658+FLORESTA!$D1658+FLORESTA!$E1658+FLORESTA!$F1658+FLORESTA!$G1658+FLORESTA!$H1658</f>
        <v>12613007.011034483</v>
      </c>
      <c r="J1658" s="629">
        <f>FLORESTA!$I1658/7</f>
        <v>1801858.1444334977</v>
      </c>
    </row>
    <row r="1659" spans="1:10" x14ac:dyDescent="0.25">
      <c r="A1659" s="694" t="s">
        <v>28</v>
      </c>
      <c r="B1659" s="300">
        <f t="shared" ref="B1659:H1659" si="747">B1661*B1652</f>
        <v>167847.82896551726</v>
      </c>
      <c r="C1659" s="133">
        <f t="shared" si="747"/>
        <v>117687.53379310346</v>
      </c>
      <c r="D1659" s="133">
        <f t="shared" si="747"/>
        <v>167668.36965517243</v>
      </c>
      <c r="E1659" s="92">
        <f t="shared" si="747"/>
        <v>62322.246206896554</v>
      </c>
      <c r="F1659" s="134">
        <f t="shared" si="747"/>
        <v>409771.13931034482</v>
      </c>
      <c r="G1659" s="92">
        <f t="shared" si="747"/>
        <v>678668.30068965524</v>
      </c>
      <c r="H1659" s="92">
        <f t="shared" si="747"/>
        <v>678142.79172413796</v>
      </c>
      <c r="I1659" s="92">
        <f>FLORESTA!$B1659+FLORESTA!$C1659+FLORESTA!$D1659+FLORESTA!$E1659+FLORESTA!$F1659+FLORESTA!$G1659+FLORESTA!$H1659</f>
        <v>2282108.2103448277</v>
      </c>
      <c r="J1659" s="629">
        <f>FLORESTA!$I1659/7</f>
        <v>326015.45862068969</v>
      </c>
    </row>
    <row r="1660" spans="1:10" x14ac:dyDescent="0.25">
      <c r="A1660" s="694" t="s">
        <v>29</v>
      </c>
      <c r="B1660" s="300">
        <f t="shared" ref="B1660:H1660" si="748">B1661*B1653</f>
        <v>0</v>
      </c>
      <c r="C1660" s="133">
        <f t="shared" si="748"/>
        <v>0</v>
      </c>
      <c r="D1660" s="133">
        <f t="shared" si="748"/>
        <v>0</v>
      </c>
      <c r="E1660" s="92">
        <f t="shared" si="748"/>
        <v>0</v>
      </c>
      <c r="F1660" s="134">
        <f t="shared" si="748"/>
        <v>0</v>
      </c>
      <c r="G1660" s="92">
        <f t="shared" si="748"/>
        <v>0</v>
      </c>
      <c r="H1660" s="92">
        <f t="shared" si="748"/>
        <v>0</v>
      </c>
      <c r="I1660" s="92">
        <f>FLORESTA!$B1660+FLORESTA!$C1660+FLORESTA!$D1660+FLORESTA!$E1660+FLORESTA!$F1660+FLORESTA!$G1660+FLORESTA!$H1660</f>
        <v>0</v>
      </c>
      <c r="J1660" s="629">
        <f>FLORESTA!$I1660/7</f>
        <v>0</v>
      </c>
    </row>
    <row r="1661" spans="1:10" x14ac:dyDescent="0.25">
      <c r="A1661" s="697" t="s">
        <v>30</v>
      </c>
      <c r="B1661" s="691">
        <f>(2509400/1.16)-B1662</f>
        <v>2098097.8620689656</v>
      </c>
      <c r="C1661" s="691">
        <f>(2364900/1.16)-C1662</f>
        <v>1961458.8965517243</v>
      </c>
      <c r="D1661" s="691">
        <f>(2532000/1.16)-D1662</f>
        <v>2095854.6206896552</v>
      </c>
      <c r="E1661" s="691">
        <f>(2485400/1.16)-E1662</f>
        <v>2077408.2068965519</v>
      </c>
      <c r="F1661" s="691">
        <f>(6157300/1.16)-F1662</f>
        <v>5122139.2413793104</v>
      </c>
      <c r="G1661" s="691">
        <f>(8976900/1.16)-G1662</f>
        <v>7540758.8965517245</v>
      </c>
      <c r="H1661" s="691">
        <f>(6785000/1.16)-H1662</f>
        <v>5651189.931034483</v>
      </c>
      <c r="I1661" s="91">
        <f>SUM(I1656:I1660)</f>
        <v>26546907.655172415</v>
      </c>
      <c r="J1661" s="631">
        <f>FLORESTA!$I1661/7</f>
        <v>3792415.3793103448</v>
      </c>
    </row>
    <row r="1662" spans="1:10" x14ac:dyDescent="0.25">
      <c r="A1662" s="694" t="s">
        <v>31</v>
      </c>
      <c r="B1662" s="302">
        <f t="shared" ref="B1662:I1662" si="749">2414*B1643</f>
        <v>65178</v>
      </c>
      <c r="C1662" s="139">
        <f t="shared" si="749"/>
        <v>77248</v>
      </c>
      <c r="D1662" s="139">
        <f t="shared" si="749"/>
        <v>86904</v>
      </c>
      <c r="E1662" s="139">
        <f t="shared" si="749"/>
        <v>65178</v>
      </c>
      <c r="F1662" s="139">
        <f t="shared" si="749"/>
        <v>185878</v>
      </c>
      <c r="G1662" s="139">
        <f t="shared" si="749"/>
        <v>197948</v>
      </c>
      <c r="H1662" s="139">
        <f t="shared" si="749"/>
        <v>197948</v>
      </c>
      <c r="I1662" s="94">
        <f t="shared" si="749"/>
        <v>876282</v>
      </c>
      <c r="J1662" s="632">
        <f>2155*J1643</f>
        <v>111752.14285714286</v>
      </c>
    </row>
    <row r="1663" spans="1:10" x14ac:dyDescent="0.25">
      <c r="A1663" s="698" t="s">
        <v>32</v>
      </c>
      <c r="B1663" s="364">
        <f t="shared" ref="B1663:H1663" si="750">B1661+B1662</f>
        <v>2163275.8620689656</v>
      </c>
      <c r="C1663" s="40">
        <f t="shared" si="750"/>
        <v>2038706.8965517243</v>
      </c>
      <c r="D1663" s="40">
        <f t="shared" si="750"/>
        <v>2182758.6206896552</v>
      </c>
      <c r="E1663" s="39">
        <f t="shared" si="750"/>
        <v>2142586.2068965519</v>
      </c>
      <c r="F1663" s="140">
        <f t="shared" si="750"/>
        <v>5308017.2413793104</v>
      </c>
      <c r="G1663" s="39">
        <f t="shared" si="750"/>
        <v>7738706.8965517245</v>
      </c>
      <c r="H1663" s="39">
        <f t="shared" si="750"/>
        <v>5849137.931034483</v>
      </c>
      <c r="I1663" s="39">
        <f>I1661+I1662</f>
        <v>27423189.655172415</v>
      </c>
      <c r="J1663" s="634">
        <f>J1661+J1662</f>
        <v>3904167.5221674875</v>
      </c>
    </row>
    <row r="1664" spans="1:10" x14ac:dyDescent="0.25">
      <c r="A1664" s="694" t="s">
        <v>33</v>
      </c>
      <c r="B1664" s="415">
        <f t="shared" ref="B1664:H1664" si="751">B1663*16%</f>
        <v>346124.13793103449</v>
      </c>
      <c r="C1664" s="42">
        <f t="shared" si="751"/>
        <v>326193.10344827588</v>
      </c>
      <c r="D1664" s="42">
        <f t="shared" si="751"/>
        <v>349241.37931034481</v>
      </c>
      <c r="E1664" s="41">
        <f t="shared" si="751"/>
        <v>342813.79310344829</v>
      </c>
      <c r="F1664" s="141">
        <f t="shared" si="751"/>
        <v>849282.75862068962</v>
      </c>
      <c r="G1664" s="41">
        <f t="shared" si="751"/>
        <v>1238193.1034482759</v>
      </c>
      <c r="H1664" s="41">
        <f t="shared" si="751"/>
        <v>935862.06896551733</v>
      </c>
      <c r="I1664" s="41">
        <f>I1663*16%</f>
        <v>4387710.3448275868</v>
      </c>
      <c r="J1664" s="635">
        <f>J1663*16%</f>
        <v>624666.80354679807</v>
      </c>
    </row>
    <row r="1665" spans="1:10" ht="15.75" thickBot="1" x14ac:dyDescent="0.3">
      <c r="A1665" s="699" t="s">
        <v>34</v>
      </c>
      <c r="B1665" s="687">
        <f t="shared" ref="B1665:H1665" si="752">B1663+B1664</f>
        <v>2509400</v>
      </c>
      <c r="C1665" s="638">
        <f t="shared" si="752"/>
        <v>2364900</v>
      </c>
      <c r="D1665" s="638">
        <f t="shared" si="752"/>
        <v>2532000</v>
      </c>
      <c r="E1665" s="686">
        <f t="shared" si="752"/>
        <v>2485400</v>
      </c>
      <c r="F1665" s="687">
        <f t="shared" si="752"/>
        <v>6157300</v>
      </c>
      <c r="G1665" s="686">
        <f t="shared" si="752"/>
        <v>8976900</v>
      </c>
      <c r="H1665" s="686">
        <f t="shared" si="752"/>
        <v>6785000</v>
      </c>
      <c r="I1665" s="686">
        <f>I1663+I1664</f>
        <v>31810900</v>
      </c>
      <c r="J1665" s="639">
        <f>FLORESTA!$I1665/7</f>
        <v>4544414.2857142854</v>
      </c>
    </row>
    <row r="1666" spans="1:10" ht="15.75" thickBot="1" x14ac:dyDescent="0.3"/>
    <row r="1667" spans="1:10" ht="15.75" thickBot="1" x14ac:dyDescent="0.3">
      <c r="A1667" s="149"/>
      <c r="B1667" s="1006" t="s">
        <v>607</v>
      </c>
      <c r="C1667" s="1006"/>
      <c r="D1667" s="1006"/>
      <c r="E1667" s="1006"/>
      <c r="F1667" s="1006"/>
      <c r="G1667" s="1006"/>
      <c r="H1667" s="1006"/>
      <c r="I1667" s="1006"/>
    </row>
    <row r="1668" spans="1:10" ht="15.75" thickBot="1" x14ac:dyDescent="0.3">
      <c r="A1668" s="149"/>
      <c r="B1668" s="1006"/>
      <c r="C1668" s="1006"/>
      <c r="D1668" s="1006"/>
      <c r="E1668" s="1006"/>
      <c r="F1668" s="1006"/>
      <c r="G1668" s="1006"/>
      <c r="H1668" s="1006"/>
      <c r="I1668" s="1006"/>
    </row>
    <row r="1669" spans="1:10" ht="15.75" x14ac:dyDescent="0.25">
      <c r="A1669" s="692" t="s">
        <v>2</v>
      </c>
      <c r="B1669" s="681" t="s">
        <v>241</v>
      </c>
      <c r="C1669" s="681" t="s">
        <v>255</v>
      </c>
      <c r="D1669" s="681" t="s">
        <v>256</v>
      </c>
      <c r="E1669" s="681" t="s">
        <v>324</v>
      </c>
      <c r="F1669" s="681" t="s">
        <v>325</v>
      </c>
      <c r="G1669" s="681" t="s">
        <v>326</v>
      </c>
      <c r="H1669" s="681" t="s">
        <v>327</v>
      </c>
      <c r="I1669" s="617" t="s">
        <v>96</v>
      </c>
      <c r="J1669" s="682" t="s">
        <v>97</v>
      </c>
    </row>
    <row r="1670" spans="1:10" x14ac:dyDescent="0.25">
      <c r="A1670" s="693" t="s">
        <v>11</v>
      </c>
      <c r="B1670" s="688">
        <f>47+21+4</f>
        <v>72</v>
      </c>
      <c r="C1670" s="56">
        <f>65+48+11</f>
        <v>124</v>
      </c>
      <c r="D1670" s="54">
        <f>64+49+11</f>
        <v>124</v>
      </c>
      <c r="E1670" s="316">
        <f>70+46+13</f>
        <v>129</v>
      </c>
      <c r="F1670" s="311">
        <f>110+79+11</f>
        <v>200</v>
      </c>
      <c r="G1670" s="58">
        <f>140+130+30</f>
        <v>300</v>
      </c>
      <c r="H1670" s="57">
        <f>122+108+26</f>
        <v>256</v>
      </c>
      <c r="I1670" s="311">
        <f t="shared" ref="I1670:I1675" si="753">SUM(B1670:H1670)</f>
        <v>1205</v>
      </c>
      <c r="J1670" s="683">
        <f>FLORESTA!$I1670/7</f>
        <v>172.14285714285714</v>
      </c>
    </row>
    <row r="1671" spans="1:10" x14ac:dyDescent="0.25">
      <c r="A1671" s="694" t="s">
        <v>12</v>
      </c>
      <c r="B1671" s="689">
        <v>18</v>
      </c>
      <c r="C1671" s="13">
        <v>38</v>
      </c>
      <c r="D1671" s="320">
        <v>34</v>
      </c>
      <c r="E1671" s="11">
        <v>32</v>
      </c>
      <c r="F1671" s="125">
        <v>83</v>
      </c>
      <c r="G1671" s="86">
        <v>96</v>
      </c>
      <c r="H1671" s="11">
        <v>85</v>
      </c>
      <c r="I1671" s="313">
        <f t="shared" si="753"/>
        <v>386</v>
      </c>
      <c r="J1671" s="684">
        <f>FLORESTA!$I1671/7</f>
        <v>55.142857142857146</v>
      </c>
    </row>
    <row r="1672" spans="1:10" x14ac:dyDescent="0.25">
      <c r="A1672" s="694" t="s">
        <v>13</v>
      </c>
      <c r="B1672" s="313">
        <v>0</v>
      </c>
      <c r="C1672" s="13">
        <v>0</v>
      </c>
      <c r="D1672" s="13">
        <v>0</v>
      </c>
      <c r="E1672" s="11">
        <v>1</v>
      </c>
      <c r="F1672" s="125">
        <v>2</v>
      </c>
      <c r="G1672" s="11">
        <v>2</v>
      </c>
      <c r="H1672" s="11">
        <v>1</v>
      </c>
      <c r="I1672" s="313">
        <f t="shared" si="753"/>
        <v>6</v>
      </c>
      <c r="J1672" s="684">
        <f>C1672+D1672+E1672+F1672+G1672+H1672+I1672</f>
        <v>12</v>
      </c>
    </row>
    <row r="1673" spans="1:10" x14ac:dyDescent="0.25">
      <c r="A1673" s="694" t="s">
        <v>14</v>
      </c>
      <c r="B1673" s="313">
        <v>41</v>
      </c>
      <c r="C1673" s="13">
        <v>61</v>
      </c>
      <c r="D1673" s="320">
        <v>63</v>
      </c>
      <c r="E1673" s="11">
        <v>78</v>
      </c>
      <c r="F1673" s="125">
        <v>79</v>
      </c>
      <c r="G1673" s="11">
        <v>127</v>
      </c>
      <c r="H1673" s="11">
        <v>114</v>
      </c>
      <c r="I1673" s="313">
        <f t="shared" si="753"/>
        <v>563</v>
      </c>
      <c r="J1673" s="684">
        <f>FLORESTA!$I1673/7</f>
        <v>80.428571428571431</v>
      </c>
    </row>
    <row r="1674" spans="1:10" x14ac:dyDescent="0.25">
      <c r="A1674" s="694" t="s">
        <v>15</v>
      </c>
      <c r="B1674" s="313">
        <v>4</v>
      </c>
      <c r="C1674" s="13">
        <v>7</v>
      </c>
      <c r="D1674" s="13">
        <v>6</v>
      </c>
      <c r="E1674" s="11">
        <v>5</v>
      </c>
      <c r="F1674" s="125">
        <v>13</v>
      </c>
      <c r="G1674" s="11">
        <v>27</v>
      </c>
      <c r="H1674" s="11">
        <v>19</v>
      </c>
      <c r="I1674" s="313">
        <f t="shared" si="753"/>
        <v>81</v>
      </c>
      <c r="J1674" s="684">
        <f>FLORESTA!$I1674/7</f>
        <v>11.571428571428571</v>
      </c>
    </row>
    <row r="1675" spans="1:10" x14ac:dyDescent="0.25">
      <c r="A1675" s="694" t="s">
        <v>16</v>
      </c>
      <c r="B1675" s="313">
        <v>0</v>
      </c>
      <c r="C1675" s="13">
        <v>0</v>
      </c>
      <c r="D1675" s="13">
        <v>0</v>
      </c>
      <c r="E1675" s="11">
        <v>0</v>
      </c>
      <c r="F1675" s="125">
        <v>0</v>
      </c>
      <c r="G1675" s="11">
        <v>0</v>
      </c>
      <c r="H1675" s="11">
        <v>0</v>
      </c>
      <c r="I1675" s="313">
        <f t="shared" si="753"/>
        <v>0</v>
      </c>
      <c r="J1675" s="684">
        <f>FLORESTA!$I1675/7</f>
        <v>0</v>
      </c>
    </row>
    <row r="1676" spans="1:10" x14ac:dyDescent="0.25">
      <c r="A1676" s="695" t="s">
        <v>17</v>
      </c>
      <c r="B1676" s="15">
        <f t="shared" ref="B1676:I1676" si="754">SUM(B1671:B1675)</f>
        <v>63</v>
      </c>
      <c r="C1676" s="79">
        <f t="shared" si="754"/>
        <v>106</v>
      </c>
      <c r="D1676" s="79">
        <f t="shared" si="754"/>
        <v>103</v>
      </c>
      <c r="E1676" s="103">
        <f t="shared" si="754"/>
        <v>116</v>
      </c>
      <c r="F1676" s="213">
        <f t="shared" si="754"/>
        <v>177</v>
      </c>
      <c r="G1676" s="103">
        <f t="shared" si="754"/>
        <v>252</v>
      </c>
      <c r="H1676" s="103">
        <f t="shared" si="754"/>
        <v>219</v>
      </c>
      <c r="I1676" s="103">
        <f t="shared" si="754"/>
        <v>1036</v>
      </c>
      <c r="J1676" s="625">
        <f>FLORESTA!$I1676/7</f>
        <v>148</v>
      </c>
    </row>
    <row r="1677" spans="1:10" x14ac:dyDescent="0.25">
      <c r="A1677" s="694" t="s">
        <v>18</v>
      </c>
      <c r="B1677" s="690">
        <v>0.32</v>
      </c>
      <c r="C1677" s="326">
        <v>0.39</v>
      </c>
      <c r="D1677" s="326">
        <v>0.35</v>
      </c>
      <c r="E1677" s="327">
        <v>0.38</v>
      </c>
      <c r="F1677" s="328">
        <v>0.53</v>
      </c>
      <c r="G1677" s="327">
        <v>0.43</v>
      </c>
      <c r="H1677" s="327">
        <v>0.43</v>
      </c>
      <c r="I1677" s="18">
        <f>I1684/I1689</f>
        <v>0.4234831122197551</v>
      </c>
      <c r="J1677" s="626">
        <f>J1684/J1689</f>
        <v>0.4234831122197551</v>
      </c>
    </row>
    <row r="1678" spans="1:10" x14ac:dyDescent="0.25">
      <c r="A1678" s="694" t="s">
        <v>19</v>
      </c>
      <c r="B1678" s="690">
        <v>0</v>
      </c>
      <c r="C1678" s="326">
        <v>0</v>
      </c>
      <c r="D1678" s="326">
        <v>0</v>
      </c>
      <c r="E1678" s="327">
        <v>0.01</v>
      </c>
      <c r="F1678" s="327">
        <v>0.03</v>
      </c>
      <c r="G1678" s="327">
        <v>0.01</v>
      </c>
      <c r="H1678" s="327">
        <v>0</v>
      </c>
      <c r="I1678" s="18">
        <f>I1685/I1689</f>
        <v>8.5849429190365846E-3</v>
      </c>
      <c r="J1678" s="626">
        <f>J1685/J1689</f>
        <v>8.5849429190365863E-3</v>
      </c>
    </row>
    <row r="1679" spans="1:10" x14ac:dyDescent="0.25">
      <c r="A1679" s="694" t="s">
        <v>20</v>
      </c>
      <c r="B1679" s="690">
        <v>0.62</v>
      </c>
      <c r="C1679" s="326">
        <v>0.56999999999999995</v>
      </c>
      <c r="D1679" s="326">
        <v>0.56999999999999995</v>
      </c>
      <c r="E1679" s="327">
        <v>0.56999999999999995</v>
      </c>
      <c r="F1679" s="329">
        <v>0.39</v>
      </c>
      <c r="G1679" s="327">
        <v>0.47</v>
      </c>
      <c r="H1679" s="327">
        <v>0.49</v>
      </c>
      <c r="I1679" s="18">
        <f>I1686/I1689</f>
        <v>0.49975541125161976</v>
      </c>
      <c r="J1679" s="626">
        <f>J1686/J1689</f>
        <v>0.49975541125161976</v>
      </c>
    </row>
    <row r="1680" spans="1:10" x14ac:dyDescent="0.25">
      <c r="A1680" s="694" t="s">
        <v>21</v>
      </c>
      <c r="B1680" s="690">
        <v>0.06</v>
      </c>
      <c r="C1680" s="326">
        <v>0.04</v>
      </c>
      <c r="D1680" s="326">
        <v>0.08</v>
      </c>
      <c r="E1680" s="327">
        <v>0.04</v>
      </c>
      <c r="F1680" s="329">
        <v>0.05</v>
      </c>
      <c r="G1680" s="327">
        <v>0.09</v>
      </c>
      <c r="H1680" s="327">
        <v>0.08</v>
      </c>
      <c r="I1680" s="18">
        <f>I1687/I1689</f>
        <v>6.8176533609588627E-2</v>
      </c>
      <c r="J1680" s="626">
        <f>J1687/J1689</f>
        <v>6.8176533609588641E-2</v>
      </c>
    </row>
    <row r="1681" spans="1:10" x14ac:dyDescent="0.25">
      <c r="A1681" s="694" t="s">
        <v>22</v>
      </c>
      <c r="B1681" s="690">
        <v>0</v>
      </c>
      <c r="C1681" s="326">
        <v>0</v>
      </c>
      <c r="D1681" s="326">
        <v>0</v>
      </c>
      <c r="E1681" s="327">
        <v>0</v>
      </c>
      <c r="F1681" s="329">
        <v>0</v>
      </c>
      <c r="G1681" s="327">
        <v>0</v>
      </c>
      <c r="H1681" s="327">
        <v>0</v>
      </c>
      <c r="I1681" s="18">
        <f>I1688/I1689</f>
        <v>0</v>
      </c>
      <c r="J1681" s="626">
        <f>J1688/J1689</f>
        <v>0</v>
      </c>
    </row>
    <row r="1682" spans="1:10" x14ac:dyDescent="0.25">
      <c r="A1682" s="696" t="s">
        <v>23</v>
      </c>
      <c r="B1682" s="314">
        <f t="shared" ref="B1682:J1682" si="755">B1693/B1676</f>
        <v>31634.92063492064</v>
      </c>
      <c r="C1682" s="131">
        <f t="shared" si="755"/>
        <v>33737.735849056611</v>
      </c>
      <c r="D1682" s="131">
        <f t="shared" si="755"/>
        <v>33260.194174757278</v>
      </c>
      <c r="E1682" s="130">
        <f t="shared" si="755"/>
        <v>29459.482758620692</v>
      </c>
      <c r="F1682" s="132">
        <f t="shared" si="755"/>
        <v>33338.418079096045</v>
      </c>
      <c r="G1682" s="130">
        <f t="shared" si="755"/>
        <v>34580.952380952382</v>
      </c>
      <c r="H1682" s="130">
        <f t="shared" si="755"/>
        <v>34591.780821917811</v>
      </c>
      <c r="I1682" s="314">
        <f t="shared" si="755"/>
        <v>33400.772200772204</v>
      </c>
      <c r="J1682" s="685">
        <f t="shared" si="755"/>
        <v>33400.772200772197</v>
      </c>
    </row>
    <row r="1683" spans="1:10" x14ac:dyDescent="0.25">
      <c r="A1683" s="696" t="s">
        <v>24</v>
      </c>
      <c r="B1683" s="314">
        <f t="shared" ref="B1683:J1683" si="756">B1693/B1670</f>
        <v>27680.555555555558</v>
      </c>
      <c r="C1683" s="131">
        <f t="shared" si="756"/>
        <v>28840.322580645166</v>
      </c>
      <c r="D1683" s="131">
        <f t="shared" si="756"/>
        <v>27627.419354838708</v>
      </c>
      <c r="E1683" s="130">
        <f t="shared" si="756"/>
        <v>26490.697674418607</v>
      </c>
      <c r="F1683" s="132">
        <f t="shared" si="756"/>
        <v>29504.5</v>
      </c>
      <c r="G1683" s="130">
        <f t="shared" si="756"/>
        <v>29048</v>
      </c>
      <c r="H1683" s="130">
        <f t="shared" si="756"/>
        <v>29592.1875</v>
      </c>
      <c r="I1683" s="314">
        <f t="shared" si="756"/>
        <v>28716.348547717844</v>
      </c>
      <c r="J1683" s="685">
        <f t="shared" si="756"/>
        <v>28716.34854771784</v>
      </c>
    </row>
    <row r="1684" spans="1:10" x14ac:dyDescent="0.25">
      <c r="A1684" s="694" t="s">
        <v>25</v>
      </c>
      <c r="B1684" s="300">
        <f t="shared" ref="B1684:H1684" si="757">B1689*B1677</f>
        <v>535888.46344827593</v>
      </c>
      <c r="C1684" s="133">
        <f t="shared" si="757"/>
        <v>1166567.623448276</v>
      </c>
      <c r="D1684" s="133">
        <f t="shared" si="757"/>
        <v>1004919.9517241379</v>
      </c>
      <c r="E1684" s="92">
        <f t="shared" si="757"/>
        <v>1090106.1048275863</v>
      </c>
      <c r="F1684" s="134">
        <f t="shared" si="757"/>
        <v>2589909.0020689657</v>
      </c>
      <c r="G1684" s="92">
        <f t="shared" si="757"/>
        <v>3130688.0110344831</v>
      </c>
      <c r="H1684" s="92">
        <f t="shared" si="757"/>
        <v>2719964.851724138</v>
      </c>
      <c r="I1684" s="92">
        <f>FLORESTA!$B1684+FLORESTA!$C1684+FLORESTA!$D1684+FLORESTA!$E1684+FLORESTA!$F1684+FLORESTA!$G1684+FLORESTA!$H1684</f>
        <v>12238044.008275865</v>
      </c>
      <c r="J1684" s="629">
        <f>FLORESTA!$I1684/7</f>
        <v>1748292.0011822663</v>
      </c>
    </row>
    <row r="1685" spans="1:10" x14ac:dyDescent="0.25">
      <c r="A1685" s="694" t="s">
        <v>26</v>
      </c>
      <c r="B1685" s="300">
        <f t="shared" ref="B1685:H1685" si="758">B1689*B1678</f>
        <v>0</v>
      </c>
      <c r="C1685" s="133">
        <f t="shared" si="758"/>
        <v>0</v>
      </c>
      <c r="D1685" s="133">
        <f t="shared" si="758"/>
        <v>0</v>
      </c>
      <c r="E1685" s="92">
        <f t="shared" si="758"/>
        <v>28687.002758620692</v>
      </c>
      <c r="F1685" s="134">
        <f t="shared" si="758"/>
        <v>146598.62275862068</v>
      </c>
      <c r="G1685" s="92">
        <f t="shared" si="758"/>
        <v>72806.69793103449</v>
      </c>
      <c r="H1685" s="92">
        <f t="shared" si="758"/>
        <v>0</v>
      </c>
      <c r="I1685" s="92">
        <f>FLORESTA!$B1685+FLORESTA!$C1685+FLORESTA!$D1685+FLORESTA!$E1685+FLORESTA!$F1685+FLORESTA!$G1685+FLORESTA!$H1685</f>
        <v>248092.32344827586</v>
      </c>
      <c r="J1685" s="629">
        <f>FLORESTA!$I1685/7</f>
        <v>35441.76049261084</v>
      </c>
    </row>
    <row r="1686" spans="1:10" x14ac:dyDescent="0.25">
      <c r="A1686" s="694" t="s">
        <v>27</v>
      </c>
      <c r="B1686" s="300">
        <f t="shared" ref="B1686:H1686" si="759">B1689*B1679</f>
        <v>1038283.8979310346</v>
      </c>
      <c r="C1686" s="133">
        <f t="shared" si="759"/>
        <v>1704983.4496551724</v>
      </c>
      <c r="D1686" s="133">
        <f t="shared" si="759"/>
        <v>1636583.9213793103</v>
      </c>
      <c r="E1686" s="92">
        <f t="shared" si="759"/>
        <v>1635159.1572413794</v>
      </c>
      <c r="F1686" s="134">
        <f t="shared" si="759"/>
        <v>1905782.0958620689</v>
      </c>
      <c r="G1686" s="92">
        <f t="shared" si="759"/>
        <v>3421914.8027586211</v>
      </c>
      <c r="H1686" s="92">
        <f t="shared" si="759"/>
        <v>3099494.8310344829</v>
      </c>
      <c r="I1686" s="92">
        <f>FLORESTA!$B1686+FLORESTA!$C1686+FLORESTA!$D1686+FLORESTA!$E1686+FLORESTA!$F1686+FLORESTA!$G1686+FLORESTA!$H1686</f>
        <v>14442202.155862069</v>
      </c>
      <c r="J1686" s="629">
        <f>FLORESTA!$I1686/7</f>
        <v>2063171.7365517241</v>
      </c>
    </row>
    <row r="1687" spans="1:10" x14ac:dyDescent="0.25">
      <c r="A1687" s="694" t="s">
        <v>28</v>
      </c>
      <c r="B1687" s="300">
        <f t="shared" ref="B1687:H1687" si="760">B1689*B1680</f>
        <v>100479.08689655173</v>
      </c>
      <c r="C1687" s="133">
        <f t="shared" si="760"/>
        <v>119647.96137931036</v>
      </c>
      <c r="D1687" s="133">
        <f t="shared" si="760"/>
        <v>229695.98896551726</v>
      </c>
      <c r="E1687" s="92">
        <f t="shared" si="760"/>
        <v>114748.01103448277</v>
      </c>
      <c r="F1687" s="134">
        <f t="shared" si="760"/>
        <v>244331.03793103449</v>
      </c>
      <c r="G1687" s="92">
        <f t="shared" si="760"/>
        <v>655260.28137931041</v>
      </c>
      <c r="H1687" s="92">
        <f t="shared" si="760"/>
        <v>506039.97241379315</v>
      </c>
      <c r="I1687" s="92">
        <f>FLORESTA!$B1687+FLORESTA!$C1687+FLORESTA!$D1687+FLORESTA!$E1687+FLORESTA!$F1687+FLORESTA!$G1687+FLORESTA!$H1687</f>
        <v>1970202.3400000003</v>
      </c>
      <c r="J1687" s="629">
        <f>FLORESTA!$I1687/7</f>
        <v>281457.47714285721</v>
      </c>
    </row>
    <row r="1688" spans="1:10" x14ac:dyDescent="0.25">
      <c r="A1688" s="694" t="s">
        <v>29</v>
      </c>
      <c r="B1688" s="300">
        <f t="shared" ref="B1688:H1688" si="761">B1689*B1681</f>
        <v>0</v>
      </c>
      <c r="C1688" s="133">
        <f t="shared" si="761"/>
        <v>0</v>
      </c>
      <c r="D1688" s="133">
        <f t="shared" si="761"/>
        <v>0</v>
      </c>
      <c r="E1688" s="92">
        <f t="shared" si="761"/>
        <v>0</v>
      </c>
      <c r="F1688" s="134">
        <f t="shared" si="761"/>
        <v>0</v>
      </c>
      <c r="G1688" s="92">
        <f t="shared" si="761"/>
        <v>0</v>
      </c>
      <c r="H1688" s="92">
        <f t="shared" si="761"/>
        <v>0</v>
      </c>
      <c r="I1688" s="92">
        <f>FLORESTA!$B1688+FLORESTA!$C1688+FLORESTA!$D1688+FLORESTA!$E1688+FLORESTA!$F1688+FLORESTA!$G1688+FLORESTA!$H1688</f>
        <v>0</v>
      </c>
      <c r="J1688" s="629">
        <f>FLORESTA!$I1688/7</f>
        <v>0</v>
      </c>
    </row>
    <row r="1689" spans="1:10" x14ac:dyDescent="0.25">
      <c r="A1689" s="697" t="s">
        <v>30</v>
      </c>
      <c r="B1689" s="691">
        <f>(1993000/1.16)-B1690</f>
        <v>1674651.4482758623</v>
      </c>
      <c r="C1689" s="691">
        <f>(3576200/1.16)-C1690</f>
        <v>2991199.034482759</v>
      </c>
      <c r="D1689" s="691">
        <f>(3425800/1.16)-D1690</f>
        <v>2871199.8620689656</v>
      </c>
      <c r="E1689" s="691">
        <f>(3417300/1.16)-E1690</f>
        <v>2868700.2758620693</v>
      </c>
      <c r="F1689" s="691">
        <f>(5900900/1.16)-F1690</f>
        <v>4886620.7586206896</v>
      </c>
      <c r="G1689" s="691">
        <f>(8714400/1.16)-G1690</f>
        <v>7280669.793103449</v>
      </c>
      <c r="H1689" s="691">
        <f>(7575600/1.16)-H1690</f>
        <v>6325499.6551724141</v>
      </c>
      <c r="I1689" s="91">
        <f>SUM(I1684:I1688)</f>
        <v>28898540.827586208</v>
      </c>
      <c r="J1689" s="631">
        <f>FLORESTA!$I1689/7</f>
        <v>4128362.9753694581</v>
      </c>
    </row>
    <row r="1690" spans="1:10" x14ac:dyDescent="0.25">
      <c r="A1690" s="694" t="s">
        <v>31</v>
      </c>
      <c r="B1690" s="302">
        <f t="shared" ref="B1690:I1690" si="762">2414*B1671</f>
        <v>43452</v>
      </c>
      <c r="C1690" s="139">
        <f t="shared" si="762"/>
        <v>91732</v>
      </c>
      <c r="D1690" s="139">
        <f t="shared" si="762"/>
        <v>82076</v>
      </c>
      <c r="E1690" s="139">
        <f t="shared" si="762"/>
        <v>77248</v>
      </c>
      <c r="F1690" s="139">
        <f t="shared" si="762"/>
        <v>200362</v>
      </c>
      <c r="G1690" s="139">
        <f t="shared" si="762"/>
        <v>231744</v>
      </c>
      <c r="H1690" s="139">
        <f t="shared" si="762"/>
        <v>205190</v>
      </c>
      <c r="I1690" s="94">
        <f t="shared" si="762"/>
        <v>931804</v>
      </c>
      <c r="J1690" s="632">
        <f>2155*J1671</f>
        <v>118832.85714285714</v>
      </c>
    </row>
    <row r="1691" spans="1:10" x14ac:dyDescent="0.25">
      <c r="A1691" s="698" t="s">
        <v>32</v>
      </c>
      <c r="B1691" s="364">
        <f t="shared" ref="B1691:H1691" si="763">B1689+B1690</f>
        <v>1718103.4482758623</v>
      </c>
      <c r="C1691" s="40">
        <f t="shared" si="763"/>
        <v>3082931.034482759</v>
      </c>
      <c r="D1691" s="40">
        <f t="shared" si="763"/>
        <v>2953275.8620689656</v>
      </c>
      <c r="E1691" s="39">
        <f t="shared" si="763"/>
        <v>2945948.2758620693</v>
      </c>
      <c r="F1691" s="140">
        <f t="shared" si="763"/>
        <v>5086982.7586206896</v>
      </c>
      <c r="G1691" s="39">
        <f t="shared" si="763"/>
        <v>7512413.793103449</v>
      </c>
      <c r="H1691" s="39">
        <f t="shared" si="763"/>
        <v>6530689.6551724141</v>
      </c>
      <c r="I1691" s="39">
        <f>I1689+I1690</f>
        <v>29830344.827586208</v>
      </c>
      <c r="J1691" s="634">
        <f>J1689+J1690</f>
        <v>4247195.8325123154</v>
      </c>
    </row>
    <row r="1692" spans="1:10" x14ac:dyDescent="0.25">
      <c r="A1692" s="694" t="s">
        <v>33</v>
      </c>
      <c r="B1692" s="415">
        <f t="shared" ref="B1692:H1692" si="764">B1691*16%</f>
        <v>274896.55172413797</v>
      </c>
      <c r="C1692" s="42">
        <f t="shared" si="764"/>
        <v>493268.96551724145</v>
      </c>
      <c r="D1692" s="42">
        <f t="shared" si="764"/>
        <v>472524.13793103449</v>
      </c>
      <c r="E1692" s="41">
        <f t="shared" si="764"/>
        <v>471351.72413793113</v>
      </c>
      <c r="F1692" s="141">
        <f t="shared" si="764"/>
        <v>813917.24137931038</v>
      </c>
      <c r="G1692" s="41">
        <f t="shared" si="764"/>
        <v>1201986.2068965519</v>
      </c>
      <c r="H1692" s="41">
        <f t="shared" si="764"/>
        <v>1044910.3448275863</v>
      </c>
      <c r="I1692" s="41">
        <f>I1691*16%</f>
        <v>4772855.1724137934</v>
      </c>
      <c r="J1692" s="635">
        <f>J1691*16%</f>
        <v>679551.33320197044</v>
      </c>
    </row>
    <row r="1693" spans="1:10" ht="15.75" thickBot="1" x14ac:dyDescent="0.3">
      <c r="A1693" s="699" t="s">
        <v>34</v>
      </c>
      <c r="B1693" s="687">
        <f t="shared" ref="B1693:H1693" si="765">B1691+B1692</f>
        <v>1993000.0000000002</v>
      </c>
      <c r="C1693" s="638">
        <f t="shared" si="765"/>
        <v>3576200.0000000005</v>
      </c>
      <c r="D1693" s="638">
        <f t="shared" si="765"/>
        <v>3425800</v>
      </c>
      <c r="E1693" s="686">
        <f t="shared" si="765"/>
        <v>3417300.0000000005</v>
      </c>
      <c r="F1693" s="687">
        <f t="shared" si="765"/>
        <v>5900900</v>
      </c>
      <c r="G1693" s="686">
        <f t="shared" si="765"/>
        <v>8714400</v>
      </c>
      <c r="H1693" s="686">
        <f t="shared" si="765"/>
        <v>7575600</v>
      </c>
      <c r="I1693" s="686">
        <f>I1691+I1692</f>
        <v>34603200</v>
      </c>
      <c r="J1693" s="639">
        <f>FLORESTA!$I1693/7</f>
        <v>4943314.2857142854</v>
      </c>
    </row>
    <row r="1694" spans="1:10" ht="15.75" thickBot="1" x14ac:dyDescent="0.3"/>
    <row r="1695" spans="1:10" ht="15.75" thickBot="1" x14ac:dyDescent="0.3">
      <c r="A1695" s="149"/>
      <c r="B1695" s="1006" t="s">
        <v>618</v>
      </c>
      <c r="C1695" s="1006"/>
      <c r="D1695" s="1006"/>
      <c r="E1695" s="1006"/>
      <c r="F1695" s="1006"/>
      <c r="G1695" s="1006"/>
      <c r="H1695" s="1006"/>
      <c r="I1695" s="1006"/>
    </row>
    <row r="1696" spans="1:10" ht="15.75" thickBot="1" x14ac:dyDescent="0.3">
      <c r="A1696" s="149"/>
      <c r="B1696" s="1006"/>
      <c r="C1696" s="1006"/>
      <c r="D1696" s="1006"/>
      <c r="E1696" s="1006"/>
      <c r="F1696" s="1006"/>
      <c r="G1696" s="1006"/>
      <c r="H1696" s="1006"/>
      <c r="I1696" s="1006"/>
    </row>
    <row r="1697" spans="1:10" ht="15.75" x14ac:dyDescent="0.25">
      <c r="A1697" s="692" t="s">
        <v>2</v>
      </c>
      <c r="B1697" s="681" t="s">
        <v>329</v>
      </c>
      <c r="C1697" s="681" t="s">
        <v>330</v>
      </c>
      <c r="D1697" s="681" t="s">
        <v>331</v>
      </c>
      <c r="E1697" s="681" t="s">
        <v>332</v>
      </c>
      <c r="F1697" s="681" t="s">
        <v>333</v>
      </c>
      <c r="G1697" s="681" t="s">
        <v>334</v>
      </c>
      <c r="H1697" s="681" t="s">
        <v>335</v>
      </c>
      <c r="I1697" s="617" t="s">
        <v>96</v>
      </c>
      <c r="J1697" s="682" t="s">
        <v>97</v>
      </c>
    </row>
    <row r="1698" spans="1:10" x14ac:dyDescent="0.25">
      <c r="A1698" s="693" t="s">
        <v>11</v>
      </c>
      <c r="B1698" s="56">
        <f>53+38+12</f>
        <v>103</v>
      </c>
      <c r="C1698" s="673">
        <f>49+47+14</f>
        <v>110</v>
      </c>
      <c r="D1698" s="673">
        <f>83+70+18</f>
        <v>171</v>
      </c>
      <c r="E1698" s="738">
        <f>118+99+30</f>
        <v>247</v>
      </c>
      <c r="F1698" s="738">
        <f>101+78+21</f>
        <v>200</v>
      </c>
      <c r="G1698" s="738">
        <f>98+103+19</f>
        <v>220</v>
      </c>
      <c r="H1698" s="738">
        <f>131+90+35</f>
        <v>256</v>
      </c>
      <c r="I1698" s="738">
        <f t="shared" ref="I1698:I1703" si="766">SUM(B1698:H1698)</f>
        <v>1307</v>
      </c>
      <c r="J1698" s="683">
        <f>FLORESTA!$I1698/7</f>
        <v>186.71428571428572</v>
      </c>
    </row>
    <row r="1699" spans="1:10" x14ac:dyDescent="0.25">
      <c r="A1699" s="694" t="s">
        <v>12</v>
      </c>
      <c r="B1699" s="689">
        <v>27</v>
      </c>
      <c r="C1699" s="671">
        <v>26</v>
      </c>
      <c r="D1699" s="675">
        <v>50</v>
      </c>
      <c r="E1699" s="734">
        <v>56</v>
      </c>
      <c r="F1699" s="735">
        <v>55</v>
      </c>
      <c r="G1699" s="736">
        <v>68</v>
      </c>
      <c r="H1699" s="734">
        <v>68</v>
      </c>
      <c r="I1699" s="737">
        <f t="shared" si="766"/>
        <v>350</v>
      </c>
      <c r="J1699" s="684">
        <f>FLORESTA!$I1699/7</f>
        <v>50</v>
      </c>
    </row>
    <row r="1700" spans="1:10" x14ac:dyDescent="0.25">
      <c r="A1700" s="694" t="s">
        <v>13</v>
      </c>
      <c r="B1700" s="313">
        <v>2</v>
      </c>
      <c r="C1700" s="13">
        <v>2</v>
      </c>
      <c r="D1700" s="13">
        <v>0</v>
      </c>
      <c r="E1700" s="11">
        <v>3</v>
      </c>
      <c r="F1700" s="125">
        <v>1</v>
      </c>
      <c r="G1700" s="11">
        <v>2</v>
      </c>
      <c r="H1700" s="11">
        <v>4</v>
      </c>
      <c r="I1700" s="313">
        <f t="shared" si="766"/>
        <v>14</v>
      </c>
      <c r="J1700" s="684">
        <f>C1700+D1700+E1700+F1700+G1700+H1700+I1700</f>
        <v>26</v>
      </c>
    </row>
    <row r="1701" spans="1:10" x14ac:dyDescent="0.25">
      <c r="A1701" s="694" t="s">
        <v>14</v>
      </c>
      <c r="B1701" s="313">
        <v>56</v>
      </c>
      <c r="C1701" s="13">
        <v>69</v>
      </c>
      <c r="D1701" s="320">
        <v>81</v>
      </c>
      <c r="E1701" s="11">
        <v>121</v>
      </c>
      <c r="F1701" s="125">
        <v>92</v>
      </c>
      <c r="G1701" s="11">
        <v>112</v>
      </c>
      <c r="H1701" s="11">
        <v>106</v>
      </c>
      <c r="I1701" s="313">
        <f t="shared" si="766"/>
        <v>637</v>
      </c>
      <c r="J1701" s="684">
        <f>FLORESTA!$I1701/7</f>
        <v>91</v>
      </c>
    </row>
    <row r="1702" spans="1:10" x14ac:dyDescent="0.25">
      <c r="A1702" s="694" t="s">
        <v>15</v>
      </c>
      <c r="B1702" s="313">
        <v>4</v>
      </c>
      <c r="C1702" s="13">
        <v>2</v>
      </c>
      <c r="D1702" s="13">
        <v>13</v>
      </c>
      <c r="E1702" s="11">
        <v>15</v>
      </c>
      <c r="F1702" s="125">
        <v>20</v>
      </c>
      <c r="G1702" s="11">
        <v>17</v>
      </c>
      <c r="H1702" s="11">
        <v>28</v>
      </c>
      <c r="I1702" s="313">
        <f t="shared" si="766"/>
        <v>99</v>
      </c>
      <c r="J1702" s="684">
        <f>FLORESTA!$I1702/7</f>
        <v>14.142857142857142</v>
      </c>
    </row>
    <row r="1703" spans="1:10" x14ac:dyDescent="0.25">
      <c r="A1703" s="694" t="s">
        <v>16</v>
      </c>
      <c r="B1703" s="313">
        <v>0</v>
      </c>
      <c r="C1703" s="13">
        <v>0</v>
      </c>
      <c r="D1703" s="13">
        <v>1</v>
      </c>
      <c r="E1703" s="11">
        <v>0</v>
      </c>
      <c r="F1703" s="125">
        <v>1</v>
      </c>
      <c r="G1703" s="11">
        <v>0</v>
      </c>
      <c r="H1703" s="11">
        <v>0</v>
      </c>
      <c r="I1703" s="313">
        <f t="shared" si="766"/>
        <v>2</v>
      </c>
      <c r="J1703" s="684">
        <f>FLORESTA!$I1703/7</f>
        <v>0.2857142857142857</v>
      </c>
    </row>
    <row r="1704" spans="1:10" x14ac:dyDescent="0.25">
      <c r="A1704" s="695" t="s">
        <v>17</v>
      </c>
      <c r="B1704" s="15">
        <f t="shared" ref="B1704:I1704" si="767">SUM(B1699:B1703)</f>
        <v>89</v>
      </c>
      <c r="C1704" s="79">
        <f t="shared" si="767"/>
        <v>99</v>
      </c>
      <c r="D1704" s="79">
        <f t="shared" si="767"/>
        <v>145</v>
      </c>
      <c r="E1704" s="103">
        <f t="shared" si="767"/>
        <v>195</v>
      </c>
      <c r="F1704" s="213">
        <f t="shared" si="767"/>
        <v>169</v>
      </c>
      <c r="G1704" s="103">
        <f t="shared" si="767"/>
        <v>199</v>
      </c>
      <c r="H1704" s="103">
        <f t="shared" si="767"/>
        <v>206</v>
      </c>
      <c r="I1704" s="103">
        <f t="shared" si="767"/>
        <v>1102</v>
      </c>
      <c r="J1704" s="625">
        <f>FLORESTA!$I1704/7</f>
        <v>157.42857142857142</v>
      </c>
    </row>
    <row r="1705" spans="1:10" x14ac:dyDescent="0.25">
      <c r="A1705" s="694" t="s">
        <v>18</v>
      </c>
      <c r="B1705" s="690">
        <v>0.39</v>
      </c>
      <c r="C1705" s="326">
        <v>0.31</v>
      </c>
      <c r="D1705" s="326">
        <v>0.44</v>
      </c>
      <c r="E1705" s="327">
        <v>0.3</v>
      </c>
      <c r="F1705" s="328">
        <v>0.39</v>
      </c>
      <c r="G1705" s="327">
        <v>0.37</v>
      </c>
      <c r="H1705" s="327">
        <v>0.36</v>
      </c>
      <c r="I1705" s="18">
        <f>I1712/I1717</f>
        <v>0.36357971119743415</v>
      </c>
      <c r="J1705" s="626">
        <f>J1712/J1717</f>
        <v>0.3635797111974341</v>
      </c>
    </row>
    <row r="1706" spans="1:10" x14ac:dyDescent="0.25">
      <c r="A1706" s="694" t="s">
        <v>19</v>
      </c>
      <c r="B1706" s="690">
        <v>0.01</v>
      </c>
      <c r="C1706" s="326">
        <v>0.02</v>
      </c>
      <c r="D1706" s="326">
        <v>0</v>
      </c>
      <c r="E1706" s="327">
        <v>0.03</v>
      </c>
      <c r="F1706" s="327">
        <v>0.01</v>
      </c>
      <c r="G1706" s="327">
        <v>0.02</v>
      </c>
      <c r="H1706" s="327">
        <v>0.02</v>
      </c>
      <c r="I1706" s="18">
        <f>I1713/I1717</f>
        <v>1.7018081207817993E-2</v>
      </c>
      <c r="J1706" s="626">
        <f>J1713/J1717</f>
        <v>1.7018081207817989E-2</v>
      </c>
    </row>
    <row r="1707" spans="1:10" x14ac:dyDescent="0.25">
      <c r="A1707" s="694" t="s">
        <v>20</v>
      </c>
      <c r="B1707" s="690">
        <v>0.56000000000000005</v>
      </c>
      <c r="C1707" s="326">
        <v>0.65</v>
      </c>
      <c r="D1707" s="326">
        <v>0.47</v>
      </c>
      <c r="E1707" s="327">
        <v>0.61</v>
      </c>
      <c r="F1707" s="329">
        <v>0.49</v>
      </c>
      <c r="G1707" s="327">
        <v>0.53</v>
      </c>
      <c r="H1707" s="327">
        <v>0.51</v>
      </c>
      <c r="I1707" s="18">
        <f>I1714/I1717</f>
        <v>0.53962711061144131</v>
      </c>
      <c r="J1707" s="626">
        <f>J1714/J1717</f>
        <v>0.5396271106114412</v>
      </c>
    </row>
    <row r="1708" spans="1:10" x14ac:dyDescent="0.25">
      <c r="A1708" s="694" t="s">
        <v>21</v>
      </c>
      <c r="B1708" s="690">
        <v>0.04</v>
      </c>
      <c r="C1708" s="326">
        <v>0.02</v>
      </c>
      <c r="D1708" s="326">
        <v>0.08</v>
      </c>
      <c r="E1708" s="327">
        <v>0.06</v>
      </c>
      <c r="F1708" s="329">
        <v>0.09</v>
      </c>
      <c r="G1708" s="327">
        <v>0.08</v>
      </c>
      <c r="H1708" s="327">
        <v>0.11</v>
      </c>
      <c r="I1708" s="18">
        <f>I1715/I1717</f>
        <v>7.5493410556393969E-2</v>
      </c>
      <c r="J1708" s="626">
        <f>J1715/J1717</f>
        <v>7.5493410556393969E-2</v>
      </c>
    </row>
    <row r="1709" spans="1:10" x14ac:dyDescent="0.25">
      <c r="A1709" s="694" t="s">
        <v>22</v>
      </c>
      <c r="B1709" s="690">
        <v>0</v>
      </c>
      <c r="C1709" s="326">
        <v>0</v>
      </c>
      <c r="D1709" s="326">
        <v>0.01</v>
      </c>
      <c r="E1709" s="327">
        <v>0</v>
      </c>
      <c r="F1709" s="329">
        <v>0.02</v>
      </c>
      <c r="G1709" s="327">
        <v>0</v>
      </c>
      <c r="H1709" s="327">
        <v>0</v>
      </c>
      <c r="I1709" s="18">
        <f>I1716/I1717</f>
        <v>4.2816864269126058E-3</v>
      </c>
      <c r="J1709" s="626">
        <f>J1716/J1717</f>
        <v>4.2816864269126049E-3</v>
      </c>
    </row>
    <row r="1710" spans="1:10" x14ac:dyDescent="0.25">
      <c r="A1710" s="696" t="s">
        <v>23</v>
      </c>
      <c r="B1710" s="314">
        <f t="shared" ref="B1710:J1710" si="768">B1721/B1704</f>
        <v>31998.876404494382</v>
      </c>
      <c r="C1710" s="131">
        <f t="shared" si="768"/>
        <v>32369.696969696968</v>
      </c>
      <c r="D1710" s="131">
        <f t="shared" si="768"/>
        <v>33806.896551724145</v>
      </c>
      <c r="E1710" s="130">
        <f t="shared" si="768"/>
        <v>35739.487179487187</v>
      </c>
      <c r="F1710" s="132">
        <f t="shared" si="768"/>
        <v>33556.213017751485</v>
      </c>
      <c r="G1710" s="130">
        <f t="shared" si="768"/>
        <v>35006.030150753773</v>
      </c>
      <c r="H1710" s="130">
        <f t="shared" si="768"/>
        <v>35490.776699029127</v>
      </c>
      <c r="I1710" s="314">
        <f t="shared" si="768"/>
        <v>34366.60617059892</v>
      </c>
      <c r="J1710" s="685">
        <f t="shared" si="768"/>
        <v>34366.60617059892</v>
      </c>
    </row>
    <row r="1711" spans="1:10" x14ac:dyDescent="0.25">
      <c r="A1711" s="696" t="s">
        <v>24</v>
      </c>
      <c r="B1711" s="314">
        <f t="shared" ref="B1711:J1711" si="769">B1721/B1698</f>
        <v>27649.514563106797</v>
      </c>
      <c r="C1711" s="131">
        <f t="shared" si="769"/>
        <v>29132.727272727272</v>
      </c>
      <c r="D1711" s="131">
        <f t="shared" si="769"/>
        <v>28666.666666666672</v>
      </c>
      <c r="E1711" s="130">
        <f t="shared" si="769"/>
        <v>28215.384615384621</v>
      </c>
      <c r="F1711" s="132">
        <f t="shared" si="769"/>
        <v>28355.000000000004</v>
      </c>
      <c r="G1711" s="130">
        <f t="shared" si="769"/>
        <v>31664.54545454546</v>
      </c>
      <c r="H1711" s="130">
        <f t="shared" si="769"/>
        <v>28558.984375</v>
      </c>
      <c r="I1711" s="314">
        <f t="shared" si="769"/>
        <v>28976.281560826326</v>
      </c>
      <c r="J1711" s="685">
        <f t="shared" si="769"/>
        <v>28976.281560826326</v>
      </c>
    </row>
    <row r="1712" spans="1:10" x14ac:dyDescent="0.25">
      <c r="A1712" s="694" t="s">
        <v>25</v>
      </c>
      <c r="B1712" s="300">
        <f t="shared" ref="B1712:H1712" si="770">B1717*B1705</f>
        <v>932064.20068965526</v>
      </c>
      <c r="C1712" s="133">
        <f t="shared" si="770"/>
        <v>836944.88413793105</v>
      </c>
      <c r="D1712" s="133">
        <f t="shared" si="770"/>
        <v>1806271.3103448278</v>
      </c>
      <c r="E1712" s="92">
        <f t="shared" si="770"/>
        <v>1761824.1103448279</v>
      </c>
      <c r="F1712" s="134">
        <f t="shared" si="770"/>
        <v>1854849.0103448278</v>
      </c>
      <c r="G1712" s="92">
        <f t="shared" si="770"/>
        <v>2161241.3462068969</v>
      </c>
      <c r="H1712" s="92">
        <f t="shared" si="770"/>
        <v>2209867.3489655172</v>
      </c>
      <c r="I1712" s="92">
        <f>FLORESTA!$B1712+FLORESTA!$C1712+FLORESTA!$D1712+FLORESTA!$E1712+FLORESTA!$F1712+FLORESTA!$G1712+FLORESTA!$H1712</f>
        <v>11563062.211034484</v>
      </c>
      <c r="J1712" s="629">
        <f>FLORESTA!$I1712/7</f>
        <v>1651866.0301477835</v>
      </c>
    </row>
    <row r="1713" spans="1:10" x14ac:dyDescent="0.25">
      <c r="A1713" s="694" t="s">
        <v>26</v>
      </c>
      <c r="B1713" s="300">
        <f t="shared" ref="B1713:H1713" si="771">B1717*B1706</f>
        <v>23899.082068965519</v>
      </c>
      <c r="C1713" s="133">
        <f t="shared" si="771"/>
        <v>53996.444137931037</v>
      </c>
      <c r="D1713" s="133">
        <f t="shared" si="771"/>
        <v>0</v>
      </c>
      <c r="E1713" s="92">
        <f t="shared" si="771"/>
        <v>176182.41103448276</v>
      </c>
      <c r="F1713" s="134">
        <f t="shared" si="771"/>
        <v>47560.231034482764</v>
      </c>
      <c r="G1713" s="92">
        <f t="shared" si="771"/>
        <v>116823.85655172415</v>
      </c>
      <c r="H1713" s="92">
        <f t="shared" si="771"/>
        <v>122770.40827586208</v>
      </c>
      <c r="I1713" s="92">
        <f>FLORESTA!$B1713+FLORESTA!$C1713+FLORESTA!$D1713+FLORESTA!$E1713+FLORESTA!$F1713+FLORESTA!$G1713+FLORESTA!$H1713</f>
        <v>541232.43310344825</v>
      </c>
      <c r="J1713" s="629">
        <f>FLORESTA!$I1713/7</f>
        <v>77318.919014778323</v>
      </c>
    </row>
    <row r="1714" spans="1:10" x14ac:dyDescent="0.25">
      <c r="A1714" s="694" t="s">
        <v>27</v>
      </c>
      <c r="B1714" s="300">
        <f t="shared" ref="B1714:H1714" si="772">B1717*B1707</f>
        <v>1338348.5958620692</v>
      </c>
      <c r="C1714" s="133">
        <f t="shared" si="772"/>
        <v>1754884.4344827589</v>
      </c>
      <c r="D1714" s="133">
        <f t="shared" si="772"/>
        <v>1929426.1724137934</v>
      </c>
      <c r="E1714" s="92">
        <f t="shared" si="772"/>
        <v>3582375.6910344833</v>
      </c>
      <c r="F1714" s="134">
        <f t="shared" si="772"/>
        <v>2330451.3206896554</v>
      </c>
      <c r="G1714" s="92">
        <f t="shared" si="772"/>
        <v>3095832.19862069</v>
      </c>
      <c r="H1714" s="92">
        <f t="shared" si="772"/>
        <v>3130645.411034483</v>
      </c>
      <c r="I1714" s="92">
        <f>FLORESTA!$B1714+FLORESTA!$C1714+FLORESTA!$D1714+FLORESTA!$E1714+FLORESTA!$F1714+FLORESTA!$G1714+FLORESTA!$H1714</f>
        <v>17161963.824137934</v>
      </c>
      <c r="J1714" s="629">
        <f>FLORESTA!$I1714/7</f>
        <v>2451709.1177339903</v>
      </c>
    </row>
    <row r="1715" spans="1:10" x14ac:dyDescent="0.25">
      <c r="A1715" s="694" t="s">
        <v>28</v>
      </c>
      <c r="B1715" s="300">
        <f t="shared" ref="B1715:H1715" si="773">B1717*B1708</f>
        <v>95596.328275862077</v>
      </c>
      <c r="C1715" s="133">
        <f t="shared" si="773"/>
        <v>53996.444137931037</v>
      </c>
      <c r="D1715" s="133">
        <f t="shared" si="773"/>
        <v>328412.96551724145</v>
      </c>
      <c r="E1715" s="92">
        <f t="shared" si="773"/>
        <v>352364.82206896553</v>
      </c>
      <c r="F1715" s="134">
        <f t="shared" si="773"/>
        <v>428042.07931034488</v>
      </c>
      <c r="G1715" s="92">
        <f t="shared" si="773"/>
        <v>467295.42620689661</v>
      </c>
      <c r="H1715" s="92">
        <f t="shared" si="773"/>
        <v>675237.24551724142</v>
      </c>
      <c r="I1715" s="92">
        <f>FLORESTA!$B1715+FLORESTA!$C1715+FLORESTA!$D1715+FLORESTA!$E1715+FLORESTA!$F1715+FLORESTA!$G1715+FLORESTA!$H1715</f>
        <v>2400945.3110344829</v>
      </c>
      <c r="J1715" s="629">
        <f>FLORESTA!$I1715/7</f>
        <v>342992.18729064043</v>
      </c>
    </row>
    <row r="1716" spans="1:10" x14ac:dyDescent="0.25">
      <c r="A1716" s="694" t="s">
        <v>29</v>
      </c>
      <c r="B1716" s="300">
        <f t="shared" ref="B1716:H1716" si="774">B1717*B1709</f>
        <v>0</v>
      </c>
      <c r="C1716" s="133">
        <f t="shared" si="774"/>
        <v>0</v>
      </c>
      <c r="D1716" s="133">
        <f t="shared" si="774"/>
        <v>41051.620689655181</v>
      </c>
      <c r="E1716" s="92">
        <f t="shared" si="774"/>
        <v>0</v>
      </c>
      <c r="F1716" s="134">
        <f t="shared" si="774"/>
        <v>95120.462068965528</v>
      </c>
      <c r="G1716" s="92">
        <f t="shared" si="774"/>
        <v>0</v>
      </c>
      <c r="H1716" s="92">
        <f t="shared" si="774"/>
        <v>0</v>
      </c>
      <c r="I1716" s="92">
        <f>FLORESTA!$B1716+FLORESTA!$C1716+FLORESTA!$D1716+FLORESTA!$E1716+FLORESTA!$F1716+FLORESTA!$G1716+FLORESTA!$H1716</f>
        <v>136172.0827586207</v>
      </c>
      <c r="J1716" s="629">
        <f>FLORESTA!$I1716/7</f>
        <v>19453.154679802956</v>
      </c>
    </row>
    <row r="1717" spans="1:10" x14ac:dyDescent="0.25">
      <c r="A1717" s="697" t="s">
        <v>30</v>
      </c>
      <c r="B1717" s="691">
        <f>(2847900/1.16)-B1718</f>
        <v>2389908.2068965519</v>
      </c>
      <c r="C1717" s="691">
        <f>(3204600/1.16)-C1718</f>
        <v>2699822.2068965519</v>
      </c>
      <c r="D1717" s="691">
        <f>(4902000/1.16)-D1718</f>
        <v>4105162.0689655179</v>
      </c>
      <c r="E1717" s="691">
        <f>(6969200/1.16)-E1718</f>
        <v>5872747.0344827594</v>
      </c>
      <c r="F1717" s="691">
        <f>(5671000/1.16)-F1718</f>
        <v>4756023.1034482764</v>
      </c>
      <c r="G1717" s="691">
        <f>(6966200/1.16)-G1718</f>
        <v>5841192.8275862075</v>
      </c>
      <c r="H1717" s="691">
        <f>(7311100/1.16)-H1718</f>
        <v>6138520.4137931038</v>
      </c>
      <c r="I1717" s="91">
        <f>SUM(I1712:I1716)</f>
        <v>31803375.86206897</v>
      </c>
      <c r="J1717" s="631">
        <f>FLORESTA!$I1717/7</f>
        <v>4543339.4088669959</v>
      </c>
    </row>
    <row r="1718" spans="1:10" x14ac:dyDescent="0.25">
      <c r="A1718" s="694" t="s">
        <v>31</v>
      </c>
      <c r="B1718" s="302">
        <f t="shared" ref="B1718:I1718" si="775">2414*B1699</f>
        <v>65178</v>
      </c>
      <c r="C1718" s="139">
        <f t="shared" si="775"/>
        <v>62764</v>
      </c>
      <c r="D1718" s="139">
        <f t="shared" si="775"/>
        <v>120700</v>
      </c>
      <c r="E1718" s="139">
        <f t="shared" si="775"/>
        <v>135184</v>
      </c>
      <c r="F1718" s="139">
        <f t="shared" si="775"/>
        <v>132770</v>
      </c>
      <c r="G1718" s="139">
        <f t="shared" si="775"/>
        <v>164152</v>
      </c>
      <c r="H1718" s="139">
        <f t="shared" si="775"/>
        <v>164152</v>
      </c>
      <c r="I1718" s="94">
        <f t="shared" si="775"/>
        <v>844900</v>
      </c>
      <c r="J1718" s="632">
        <f>2155*J1699</f>
        <v>107750</v>
      </c>
    </row>
    <row r="1719" spans="1:10" x14ac:dyDescent="0.25">
      <c r="A1719" s="698" t="s">
        <v>32</v>
      </c>
      <c r="B1719" s="364">
        <f t="shared" ref="B1719:H1719" si="776">B1717+B1718</f>
        <v>2455086.2068965519</v>
      </c>
      <c r="C1719" s="40">
        <f t="shared" si="776"/>
        <v>2762586.2068965519</v>
      </c>
      <c r="D1719" s="40">
        <f t="shared" si="776"/>
        <v>4225862.0689655179</v>
      </c>
      <c r="E1719" s="39">
        <f t="shared" si="776"/>
        <v>6007931.0344827594</v>
      </c>
      <c r="F1719" s="140">
        <f t="shared" si="776"/>
        <v>4888793.1034482764</v>
      </c>
      <c r="G1719" s="39">
        <f t="shared" si="776"/>
        <v>6005344.8275862075</v>
      </c>
      <c r="H1719" s="39">
        <f t="shared" si="776"/>
        <v>6302672.4137931038</v>
      </c>
      <c r="I1719" s="39">
        <f>I1717+I1718</f>
        <v>32648275.86206897</v>
      </c>
      <c r="J1719" s="634">
        <f>J1717+J1718</f>
        <v>4651089.4088669959</v>
      </c>
    </row>
    <row r="1720" spans="1:10" x14ac:dyDescent="0.25">
      <c r="A1720" s="694" t="s">
        <v>33</v>
      </c>
      <c r="B1720" s="415">
        <f t="shared" ref="B1720:H1720" si="777">B1719*16%</f>
        <v>392813.79310344829</v>
      </c>
      <c r="C1720" s="42">
        <f t="shared" si="777"/>
        <v>442013.79310344829</v>
      </c>
      <c r="D1720" s="42">
        <f t="shared" si="777"/>
        <v>676137.9310344829</v>
      </c>
      <c r="E1720" s="41">
        <f t="shared" si="777"/>
        <v>961268.96551724151</v>
      </c>
      <c r="F1720" s="141">
        <f t="shared" si="777"/>
        <v>782206.89655172429</v>
      </c>
      <c r="G1720" s="41">
        <f t="shared" si="777"/>
        <v>960855.17241379328</v>
      </c>
      <c r="H1720" s="41">
        <f t="shared" si="777"/>
        <v>1008427.5862068966</v>
      </c>
      <c r="I1720" s="41">
        <f>I1719*16%</f>
        <v>5223724.1379310349</v>
      </c>
      <c r="J1720" s="635">
        <f>J1719*16%</f>
        <v>744174.30541871942</v>
      </c>
    </row>
    <row r="1721" spans="1:10" ht="15.75" thickBot="1" x14ac:dyDescent="0.3">
      <c r="A1721" s="699" t="s">
        <v>34</v>
      </c>
      <c r="B1721" s="687">
        <f t="shared" ref="B1721:H1721" si="778">B1719+B1720</f>
        <v>2847900</v>
      </c>
      <c r="C1721" s="638">
        <f t="shared" si="778"/>
        <v>3204600</v>
      </c>
      <c r="D1721" s="638">
        <f t="shared" si="778"/>
        <v>4902000.0000000009</v>
      </c>
      <c r="E1721" s="686">
        <f t="shared" si="778"/>
        <v>6969200.0000000009</v>
      </c>
      <c r="F1721" s="687">
        <f t="shared" si="778"/>
        <v>5671000.0000000009</v>
      </c>
      <c r="G1721" s="686">
        <f t="shared" si="778"/>
        <v>6966200.0000000009</v>
      </c>
      <c r="H1721" s="686">
        <f t="shared" si="778"/>
        <v>7311100</v>
      </c>
      <c r="I1721" s="686">
        <f>I1719+I1720</f>
        <v>37872000.000000007</v>
      </c>
      <c r="J1721" s="639">
        <f>FLORESTA!$I1721/7</f>
        <v>5410285.7142857155</v>
      </c>
    </row>
    <row r="1722" spans="1:10" ht="15.75" thickBot="1" x14ac:dyDescent="0.3"/>
    <row r="1723" spans="1:10" ht="15.75" thickBot="1" x14ac:dyDescent="0.3">
      <c r="A1723" s="149"/>
      <c r="B1723" s="1006" t="s">
        <v>620</v>
      </c>
      <c r="C1723" s="1006"/>
      <c r="D1723" s="1006"/>
      <c r="E1723" s="1006"/>
      <c r="F1723" s="1006"/>
      <c r="G1723" s="1006"/>
      <c r="H1723" s="1006"/>
      <c r="I1723" s="1006"/>
    </row>
    <row r="1724" spans="1:10" ht="15.75" thickBot="1" x14ac:dyDescent="0.3">
      <c r="A1724" s="149"/>
      <c r="B1724" s="1006"/>
      <c r="C1724" s="1006"/>
      <c r="D1724" s="1006"/>
      <c r="E1724" s="1006"/>
      <c r="F1724" s="1006"/>
      <c r="G1724" s="1006"/>
      <c r="H1724" s="1006"/>
      <c r="I1724" s="1006"/>
    </row>
    <row r="1725" spans="1:10" ht="15.75" x14ac:dyDescent="0.25">
      <c r="A1725" s="692" t="s">
        <v>2</v>
      </c>
      <c r="B1725" s="681" t="s">
        <v>337</v>
      </c>
      <c r="C1725" s="681" t="s">
        <v>338</v>
      </c>
      <c r="D1725" s="681" t="s">
        <v>339</v>
      </c>
      <c r="E1725" s="681" t="s">
        <v>340</v>
      </c>
      <c r="F1725" s="681" t="s">
        <v>341</v>
      </c>
      <c r="G1725" s="681" t="s">
        <v>342</v>
      </c>
      <c r="H1725" s="681" t="s">
        <v>343</v>
      </c>
      <c r="I1725" s="617" t="s">
        <v>96</v>
      </c>
      <c r="J1725" s="682" t="s">
        <v>97</v>
      </c>
    </row>
    <row r="1726" spans="1:10" x14ac:dyDescent="0.25">
      <c r="A1726" s="693" t="s">
        <v>11</v>
      </c>
      <c r="B1726" s="56">
        <f>46+23+13</f>
        <v>82</v>
      </c>
      <c r="C1726" s="673">
        <f>57+48+7</f>
        <v>112</v>
      </c>
      <c r="D1726" s="673">
        <f>79+42+7</f>
        <v>128</v>
      </c>
      <c r="E1726" s="738">
        <f>68+50+11</f>
        <v>129</v>
      </c>
      <c r="F1726" s="738">
        <f>81+64+15</f>
        <v>160</v>
      </c>
      <c r="G1726" s="738">
        <f>140+114+21</f>
        <v>275</v>
      </c>
      <c r="H1726" s="738">
        <f>104+105+21</f>
        <v>230</v>
      </c>
      <c r="I1726" s="738">
        <f t="shared" ref="I1726:I1731" si="779">SUM(B1726:H1726)</f>
        <v>1116</v>
      </c>
      <c r="J1726" s="683">
        <f>FLORESTA!$I1726/7</f>
        <v>159.42857142857142</v>
      </c>
    </row>
    <row r="1727" spans="1:10" x14ac:dyDescent="0.25">
      <c r="A1727" s="694" t="s">
        <v>12</v>
      </c>
      <c r="B1727" s="689">
        <v>17</v>
      </c>
      <c r="C1727" s="671">
        <v>29</v>
      </c>
      <c r="D1727" s="675">
        <v>41</v>
      </c>
      <c r="E1727" s="734">
        <v>34</v>
      </c>
      <c r="F1727" s="735">
        <v>60</v>
      </c>
      <c r="G1727" s="736">
        <v>61</v>
      </c>
      <c r="H1727" s="734">
        <v>64</v>
      </c>
      <c r="I1727" s="737">
        <f t="shared" si="779"/>
        <v>306</v>
      </c>
      <c r="J1727" s="684">
        <f>FLORESTA!$I1727/7</f>
        <v>43.714285714285715</v>
      </c>
    </row>
    <row r="1728" spans="1:10" x14ac:dyDescent="0.25">
      <c r="A1728" s="694" t="s">
        <v>13</v>
      </c>
      <c r="B1728" s="313">
        <v>0</v>
      </c>
      <c r="C1728" s="13">
        <v>1</v>
      </c>
      <c r="D1728" s="13">
        <v>0</v>
      </c>
      <c r="E1728" s="11">
        <v>2</v>
      </c>
      <c r="F1728" s="125">
        <v>0</v>
      </c>
      <c r="G1728" s="11">
        <v>0</v>
      </c>
      <c r="H1728" s="11">
        <v>3</v>
      </c>
      <c r="I1728" s="313">
        <f t="shared" si="779"/>
        <v>6</v>
      </c>
      <c r="J1728" s="684">
        <f>C1728+D1728+E1728+F1728+G1728+H1728+I1728</f>
        <v>12</v>
      </c>
    </row>
    <row r="1729" spans="1:10" x14ac:dyDescent="0.25">
      <c r="A1729" s="694" t="s">
        <v>14</v>
      </c>
      <c r="B1729" s="313">
        <v>46</v>
      </c>
      <c r="C1729" s="13">
        <v>58</v>
      </c>
      <c r="D1729" s="320">
        <v>53</v>
      </c>
      <c r="E1729" s="11">
        <v>72</v>
      </c>
      <c r="F1729" s="125">
        <v>68</v>
      </c>
      <c r="G1729" s="11">
        <v>160</v>
      </c>
      <c r="H1729" s="11">
        <v>110</v>
      </c>
      <c r="I1729" s="313">
        <f t="shared" si="779"/>
        <v>567</v>
      </c>
      <c r="J1729" s="684">
        <f>FLORESTA!$I1729/7</f>
        <v>81</v>
      </c>
    </row>
    <row r="1730" spans="1:10" x14ac:dyDescent="0.25">
      <c r="A1730" s="694" t="s">
        <v>15</v>
      </c>
      <c r="B1730" s="313">
        <v>11</v>
      </c>
      <c r="C1730" s="13">
        <v>10</v>
      </c>
      <c r="D1730" s="13">
        <v>8</v>
      </c>
      <c r="E1730" s="11">
        <v>7</v>
      </c>
      <c r="F1730" s="125">
        <v>6</v>
      </c>
      <c r="G1730" s="11">
        <v>19</v>
      </c>
      <c r="H1730" s="11">
        <v>17</v>
      </c>
      <c r="I1730" s="313">
        <f t="shared" si="779"/>
        <v>78</v>
      </c>
      <c r="J1730" s="684">
        <f>FLORESTA!$I1730/7</f>
        <v>11.142857142857142</v>
      </c>
    </row>
    <row r="1731" spans="1:10" x14ac:dyDescent="0.25">
      <c r="A1731" s="694" t="s">
        <v>16</v>
      </c>
      <c r="B1731" s="313">
        <v>0</v>
      </c>
      <c r="C1731" s="13">
        <v>0</v>
      </c>
      <c r="D1731" s="13">
        <v>0</v>
      </c>
      <c r="E1731" s="11">
        <v>0</v>
      </c>
      <c r="F1731" s="125">
        <v>0</v>
      </c>
      <c r="G1731" s="11">
        <v>0</v>
      </c>
      <c r="H1731" s="11">
        <v>0</v>
      </c>
      <c r="I1731" s="313">
        <f t="shared" si="779"/>
        <v>0</v>
      </c>
      <c r="J1731" s="684">
        <f>FLORESTA!$I1731/7</f>
        <v>0</v>
      </c>
    </row>
    <row r="1732" spans="1:10" x14ac:dyDescent="0.25">
      <c r="A1732" s="695" t="s">
        <v>17</v>
      </c>
      <c r="B1732" s="15">
        <f t="shared" ref="B1732:I1732" si="780">SUM(B1727:B1731)</f>
        <v>74</v>
      </c>
      <c r="C1732" s="79">
        <f t="shared" si="780"/>
        <v>98</v>
      </c>
      <c r="D1732" s="79">
        <f t="shared" si="780"/>
        <v>102</v>
      </c>
      <c r="E1732" s="103">
        <f t="shared" si="780"/>
        <v>115</v>
      </c>
      <c r="F1732" s="213">
        <f t="shared" si="780"/>
        <v>134</v>
      </c>
      <c r="G1732" s="103">
        <f t="shared" si="780"/>
        <v>240</v>
      </c>
      <c r="H1732" s="103">
        <f t="shared" si="780"/>
        <v>194</v>
      </c>
      <c r="I1732" s="103">
        <f t="shared" si="780"/>
        <v>957</v>
      </c>
      <c r="J1732" s="625">
        <f>FLORESTA!$I1732/7</f>
        <v>136.71428571428572</v>
      </c>
    </row>
    <row r="1733" spans="1:10" x14ac:dyDescent="0.25">
      <c r="A1733" s="694" t="s">
        <v>18</v>
      </c>
      <c r="B1733" s="690">
        <v>0.23</v>
      </c>
      <c r="C1733" s="326">
        <v>0.37</v>
      </c>
      <c r="D1733" s="326">
        <v>0.46</v>
      </c>
      <c r="E1733" s="327">
        <v>0.35</v>
      </c>
      <c r="F1733" s="328">
        <v>0.53</v>
      </c>
      <c r="G1733" s="327">
        <v>0.32</v>
      </c>
      <c r="H1733" s="327">
        <v>0.37</v>
      </c>
      <c r="I1733" s="18">
        <f>I1740/I1745</f>
        <v>0.37793044023356998</v>
      </c>
      <c r="J1733" s="626">
        <f>J1740/J1745</f>
        <v>0.37793044023356998</v>
      </c>
    </row>
    <row r="1734" spans="1:10" x14ac:dyDescent="0.25">
      <c r="A1734" s="694" t="s">
        <v>19</v>
      </c>
      <c r="B1734" s="690">
        <v>0</v>
      </c>
      <c r="C1734" s="326">
        <v>0.01</v>
      </c>
      <c r="D1734" s="326">
        <v>0</v>
      </c>
      <c r="E1734" s="327">
        <v>0.01</v>
      </c>
      <c r="F1734" s="327">
        <v>0</v>
      </c>
      <c r="G1734" s="327">
        <v>0</v>
      </c>
      <c r="H1734" s="327">
        <v>0.02</v>
      </c>
      <c r="I1734" s="18">
        <f>I1741/I1745</f>
        <v>6.4519630522704196E-3</v>
      </c>
      <c r="J1734" s="626">
        <f>J1741/J1745</f>
        <v>6.4519630522704196E-3</v>
      </c>
    </row>
    <row r="1735" spans="1:10" x14ac:dyDescent="0.25">
      <c r="A1735" s="694" t="s">
        <v>20</v>
      </c>
      <c r="B1735" s="690">
        <v>0.62</v>
      </c>
      <c r="C1735" s="326">
        <v>0.52</v>
      </c>
      <c r="D1735" s="326">
        <v>0.46</v>
      </c>
      <c r="E1735" s="327">
        <v>0.56999999999999995</v>
      </c>
      <c r="F1735" s="329">
        <v>0.44</v>
      </c>
      <c r="G1735" s="327">
        <v>0.6</v>
      </c>
      <c r="H1735" s="327">
        <v>0.53</v>
      </c>
      <c r="I1735" s="18">
        <f>I1742/I1745</f>
        <v>0.53681571172045872</v>
      </c>
      <c r="J1735" s="626">
        <f>J1742/J1745</f>
        <v>0.53681571172045872</v>
      </c>
    </row>
    <row r="1736" spans="1:10" x14ac:dyDescent="0.25">
      <c r="A1736" s="694" t="s">
        <v>21</v>
      </c>
      <c r="B1736" s="690">
        <v>0.15</v>
      </c>
      <c r="C1736" s="326">
        <v>0.1</v>
      </c>
      <c r="D1736" s="326">
        <v>0.08</v>
      </c>
      <c r="E1736" s="327">
        <v>7.0000000000000007E-2</v>
      </c>
      <c r="F1736" s="329">
        <v>0.03</v>
      </c>
      <c r="G1736" s="327">
        <v>0.08</v>
      </c>
      <c r="H1736" s="327">
        <v>0.08</v>
      </c>
      <c r="I1736" s="18">
        <f>I1743/I1745</f>
        <v>7.8801884993700916E-2</v>
      </c>
      <c r="J1736" s="626">
        <f>J1743/J1745</f>
        <v>7.8801884993700916E-2</v>
      </c>
    </row>
    <row r="1737" spans="1:10" x14ac:dyDescent="0.25">
      <c r="A1737" s="694" t="s">
        <v>22</v>
      </c>
      <c r="B1737" s="690">
        <v>0</v>
      </c>
      <c r="C1737" s="326">
        <v>0</v>
      </c>
      <c r="D1737" s="326">
        <v>0</v>
      </c>
      <c r="E1737" s="327">
        <v>0</v>
      </c>
      <c r="F1737" s="329">
        <v>0</v>
      </c>
      <c r="G1737" s="327">
        <v>0</v>
      </c>
      <c r="H1737" s="327">
        <v>0</v>
      </c>
      <c r="I1737" s="18">
        <f>I1744/I1745</f>
        <v>0</v>
      </c>
      <c r="J1737" s="626">
        <f>J1744/J1745</f>
        <v>0</v>
      </c>
    </row>
    <row r="1738" spans="1:10" x14ac:dyDescent="0.25">
      <c r="A1738" s="696" t="s">
        <v>23</v>
      </c>
      <c r="B1738" s="314">
        <f t="shared" ref="B1738:J1738" si="781">B1749/B1732</f>
        <v>31254.054054054053</v>
      </c>
      <c r="C1738" s="131">
        <f t="shared" si="781"/>
        <v>32536.734693877552</v>
      </c>
      <c r="D1738" s="131">
        <f t="shared" si="781"/>
        <v>36506.862745098042</v>
      </c>
      <c r="E1738" s="130">
        <f t="shared" si="781"/>
        <v>31946.08695652174</v>
      </c>
      <c r="F1738" s="132">
        <f t="shared" si="781"/>
        <v>34562.686567164179</v>
      </c>
      <c r="G1738" s="130">
        <f t="shared" si="781"/>
        <v>33803.750000000007</v>
      </c>
      <c r="H1738" s="130">
        <f t="shared" si="781"/>
        <v>36770.618556701033</v>
      </c>
      <c r="I1738" s="314">
        <f t="shared" si="781"/>
        <v>34249.425287356324</v>
      </c>
      <c r="J1738" s="685">
        <f t="shared" si="781"/>
        <v>34249.425287356324</v>
      </c>
    </row>
    <row r="1739" spans="1:10" x14ac:dyDescent="0.25">
      <c r="A1739" s="696" t="s">
        <v>24</v>
      </c>
      <c r="B1739" s="314">
        <f t="shared" ref="B1739:J1739" si="782">B1749/B1726</f>
        <v>28204.878048780487</v>
      </c>
      <c r="C1739" s="131">
        <f t="shared" si="782"/>
        <v>28469.642857142859</v>
      </c>
      <c r="D1739" s="131">
        <f t="shared" si="782"/>
        <v>29091.40625</v>
      </c>
      <c r="E1739" s="130">
        <f t="shared" si="782"/>
        <v>28479.069767441859</v>
      </c>
      <c r="F1739" s="132">
        <f t="shared" si="782"/>
        <v>28946.25</v>
      </c>
      <c r="G1739" s="130">
        <f t="shared" si="782"/>
        <v>29501.454545454548</v>
      </c>
      <c r="H1739" s="130">
        <f t="shared" si="782"/>
        <v>31015.217391304348</v>
      </c>
      <c r="I1739" s="314">
        <f t="shared" si="782"/>
        <v>29369.802867383514</v>
      </c>
      <c r="J1739" s="685">
        <f t="shared" si="782"/>
        <v>29369.802867383518</v>
      </c>
    </row>
    <row r="1740" spans="1:10" x14ac:dyDescent="0.25">
      <c r="A1740" s="694" t="s">
        <v>25</v>
      </c>
      <c r="B1740" s="300">
        <f t="shared" ref="B1740:H1740" si="783">B1745*B1733</f>
        <v>449133.67379310349</v>
      </c>
      <c r="C1740" s="133">
        <f t="shared" si="783"/>
        <v>991151.22827586206</v>
      </c>
      <c r="D1740" s="133">
        <f t="shared" si="783"/>
        <v>1431111.6151724139</v>
      </c>
      <c r="E1740" s="92">
        <f t="shared" si="783"/>
        <v>1079747.5379310346</v>
      </c>
      <c r="F1740" s="134">
        <f t="shared" si="783"/>
        <v>2039305.4896551727</v>
      </c>
      <c r="G1740" s="92">
        <f t="shared" si="783"/>
        <v>2190920.099310345</v>
      </c>
      <c r="H1740" s="92">
        <f t="shared" si="783"/>
        <v>2218176.9972413792</v>
      </c>
      <c r="I1740" s="92">
        <f>FLORESTA!$B1740+FLORESTA!$C1740+FLORESTA!$D1740+FLORESTA!$E1740+FLORESTA!$F1740+FLORESTA!$G1740+FLORESTA!$H1740</f>
        <v>10399546.64137931</v>
      </c>
      <c r="J1740" s="629">
        <f>FLORESTA!$I1740/7</f>
        <v>1485649.5201970444</v>
      </c>
    </row>
    <row r="1741" spans="1:10" x14ac:dyDescent="0.25">
      <c r="A1741" s="694" t="s">
        <v>26</v>
      </c>
      <c r="B1741" s="300">
        <f t="shared" ref="B1741:H1741" si="784">B1745*B1734</f>
        <v>0</v>
      </c>
      <c r="C1741" s="133">
        <f t="shared" si="784"/>
        <v>26787.87103448276</v>
      </c>
      <c r="D1741" s="133">
        <f t="shared" si="784"/>
        <v>0</v>
      </c>
      <c r="E1741" s="92">
        <f t="shared" si="784"/>
        <v>30849.929655172415</v>
      </c>
      <c r="F1741" s="134">
        <f t="shared" si="784"/>
        <v>0</v>
      </c>
      <c r="G1741" s="92">
        <f t="shared" si="784"/>
        <v>0</v>
      </c>
      <c r="H1741" s="92">
        <f t="shared" si="784"/>
        <v>119901.45931034483</v>
      </c>
      <c r="I1741" s="92">
        <f>FLORESTA!$B1741+FLORESTA!$C1741+FLORESTA!$D1741+FLORESTA!$E1741+FLORESTA!$F1741+FLORESTA!$G1741+FLORESTA!$H1741</f>
        <v>177539.26</v>
      </c>
      <c r="J1741" s="629">
        <f>FLORESTA!$I1741/7</f>
        <v>25362.751428571431</v>
      </c>
    </row>
    <row r="1742" spans="1:10" x14ac:dyDescent="0.25">
      <c r="A1742" s="694" t="s">
        <v>27</v>
      </c>
      <c r="B1742" s="300">
        <f t="shared" ref="B1742:H1742" si="785">B1745*B1735</f>
        <v>1210708.1641379311</v>
      </c>
      <c r="C1742" s="133">
        <f t="shared" si="785"/>
        <v>1392969.2937931034</v>
      </c>
      <c r="D1742" s="133">
        <f t="shared" si="785"/>
        <v>1431111.6151724139</v>
      </c>
      <c r="E1742" s="92">
        <f t="shared" si="785"/>
        <v>1758445.9903448275</v>
      </c>
      <c r="F1742" s="134">
        <f t="shared" si="785"/>
        <v>1693008.3310344829</v>
      </c>
      <c r="G1742" s="92">
        <f t="shared" si="785"/>
        <v>4107975.1862068968</v>
      </c>
      <c r="H1742" s="92">
        <f t="shared" si="785"/>
        <v>3177388.6717241383</v>
      </c>
      <c r="I1742" s="92">
        <f>FLORESTA!$B1742+FLORESTA!$C1742+FLORESTA!$D1742+FLORESTA!$E1742+FLORESTA!$F1742+FLORESTA!$G1742+FLORESTA!$H1742</f>
        <v>14771607.252413796</v>
      </c>
      <c r="J1742" s="629">
        <f>FLORESTA!$I1742/7</f>
        <v>2110229.607487685</v>
      </c>
    </row>
    <row r="1743" spans="1:10" x14ac:dyDescent="0.25">
      <c r="A1743" s="694" t="s">
        <v>28</v>
      </c>
      <c r="B1743" s="300">
        <f t="shared" ref="B1743:H1743" si="786">B1745*B1736</f>
        <v>292913.26551724138</v>
      </c>
      <c r="C1743" s="133">
        <f t="shared" si="786"/>
        <v>267878.71034482762</v>
      </c>
      <c r="D1743" s="133">
        <f t="shared" si="786"/>
        <v>248888.97655172416</v>
      </c>
      <c r="E1743" s="92">
        <f t="shared" si="786"/>
        <v>215949.50758620692</v>
      </c>
      <c r="F1743" s="134">
        <f t="shared" si="786"/>
        <v>115432.38620689655</v>
      </c>
      <c r="G1743" s="92">
        <f t="shared" si="786"/>
        <v>547730.02482758625</v>
      </c>
      <c r="H1743" s="92">
        <f t="shared" si="786"/>
        <v>479605.83724137931</v>
      </c>
      <c r="I1743" s="92">
        <f>FLORESTA!$B1743+FLORESTA!$C1743+FLORESTA!$D1743+FLORESTA!$E1743+FLORESTA!$F1743+FLORESTA!$G1743+FLORESTA!$H1743</f>
        <v>2168398.708275862</v>
      </c>
      <c r="J1743" s="629">
        <f>FLORESTA!$I1743/7</f>
        <v>309771.24403940886</v>
      </c>
    </row>
    <row r="1744" spans="1:10" x14ac:dyDescent="0.25">
      <c r="A1744" s="694" t="s">
        <v>29</v>
      </c>
      <c r="B1744" s="300">
        <f t="shared" ref="B1744:H1744" si="787">B1745*B1737</f>
        <v>0</v>
      </c>
      <c r="C1744" s="133">
        <f t="shared" si="787"/>
        <v>0</v>
      </c>
      <c r="D1744" s="133">
        <f t="shared" si="787"/>
        <v>0</v>
      </c>
      <c r="E1744" s="92">
        <f t="shared" si="787"/>
        <v>0</v>
      </c>
      <c r="F1744" s="134">
        <f t="shared" si="787"/>
        <v>0</v>
      </c>
      <c r="G1744" s="92">
        <f t="shared" si="787"/>
        <v>0</v>
      </c>
      <c r="H1744" s="92">
        <f t="shared" si="787"/>
        <v>0</v>
      </c>
      <c r="I1744" s="92">
        <f>FLORESTA!$B1744+FLORESTA!$C1744+FLORESTA!$D1744+FLORESTA!$E1744+FLORESTA!$F1744+FLORESTA!$G1744+FLORESTA!$H1744</f>
        <v>0</v>
      </c>
      <c r="J1744" s="629">
        <f>FLORESTA!$I1744/7</f>
        <v>0</v>
      </c>
    </row>
    <row r="1745" spans="1:10" x14ac:dyDescent="0.25">
      <c r="A1745" s="697" t="s">
        <v>30</v>
      </c>
      <c r="B1745" s="691">
        <f>(2312800/1.16)-B1746</f>
        <v>1952755.1034482759</v>
      </c>
      <c r="C1745" s="691">
        <f>(3188600/1.16)-C1746</f>
        <v>2678787.1034482759</v>
      </c>
      <c r="D1745" s="691">
        <f>(3723700/1.16)-D1746</f>
        <v>3111112.2068965519</v>
      </c>
      <c r="E1745" s="691">
        <f>(3673800/1.16)-E1746</f>
        <v>3084992.9655172415</v>
      </c>
      <c r="F1745" s="691">
        <f>(4631400/1.16)-F1746</f>
        <v>3847746.2068965519</v>
      </c>
      <c r="G1745" s="691">
        <f>(8112900/1.16)-G1746</f>
        <v>6846625.3103448283</v>
      </c>
      <c r="H1745" s="691">
        <f>(7133500/1.16)-H1746</f>
        <v>5995072.9655172415</v>
      </c>
      <c r="I1745" s="91">
        <f>SUM(I1740:I1744)</f>
        <v>27517091.862068966</v>
      </c>
      <c r="J1745" s="631">
        <f>FLORESTA!$I1745/7</f>
        <v>3931013.1231527096</v>
      </c>
    </row>
    <row r="1746" spans="1:10" x14ac:dyDescent="0.25">
      <c r="A1746" s="694" t="s">
        <v>31</v>
      </c>
      <c r="B1746" s="302">
        <f t="shared" ref="B1746:I1746" si="788">2414*B1727</f>
        <v>41038</v>
      </c>
      <c r="C1746" s="139">
        <f t="shared" si="788"/>
        <v>70006</v>
      </c>
      <c r="D1746" s="139">
        <f t="shared" si="788"/>
        <v>98974</v>
      </c>
      <c r="E1746" s="139">
        <f t="shared" si="788"/>
        <v>82076</v>
      </c>
      <c r="F1746" s="139">
        <f t="shared" si="788"/>
        <v>144840</v>
      </c>
      <c r="G1746" s="139">
        <f t="shared" si="788"/>
        <v>147254</v>
      </c>
      <c r="H1746" s="139">
        <f t="shared" si="788"/>
        <v>154496</v>
      </c>
      <c r="I1746" s="94">
        <f t="shared" si="788"/>
        <v>738684</v>
      </c>
      <c r="J1746" s="632">
        <f>2155*J1727</f>
        <v>94204.28571428571</v>
      </c>
    </row>
    <row r="1747" spans="1:10" x14ac:dyDescent="0.25">
      <c r="A1747" s="698" t="s">
        <v>32</v>
      </c>
      <c r="B1747" s="364">
        <f t="shared" ref="B1747:H1747" si="789">B1745+B1746</f>
        <v>1993793.1034482759</v>
      </c>
      <c r="C1747" s="40">
        <f t="shared" si="789"/>
        <v>2748793.1034482759</v>
      </c>
      <c r="D1747" s="40">
        <f t="shared" si="789"/>
        <v>3210086.2068965519</v>
      </c>
      <c r="E1747" s="39">
        <f t="shared" si="789"/>
        <v>3167068.9655172415</v>
      </c>
      <c r="F1747" s="140">
        <f t="shared" si="789"/>
        <v>3992586.2068965519</v>
      </c>
      <c r="G1747" s="39">
        <f t="shared" si="789"/>
        <v>6993879.3103448283</v>
      </c>
      <c r="H1747" s="39">
        <f t="shared" si="789"/>
        <v>6149568.9655172415</v>
      </c>
      <c r="I1747" s="39">
        <f>I1745+I1746</f>
        <v>28255775.862068966</v>
      </c>
      <c r="J1747" s="634">
        <f>J1745+J1746</f>
        <v>4025217.4088669955</v>
      </c>
    </row>
    <row r="1748" spans="1:10" x14ac:dyDescent="0.25">
      <c r="A1748" s="694" t="s">
        <v>33</v>
      </c>
      <c r="B1748" s="415">
        <f t="shared" ref="B1748:H1748" si="790">B1747*16%</f>
        <v>319006.89655172417</v>
      </c>
      <c r="C1748" s="42">
        <f t="shared" si="790"/>
        <v>439806.89655172417</v>
      </c>
      <c r="D1748" s="42">
        <f t="shared" si="790"/>
        <v>513613.79310344829</v>
      </c>
      <c r="E1748" s="41">
        <f t="shared" si="790"/>
        <v>506731.03448275867</v>
      </c>
      <c r="F1748" s="141">
        <f t="shared" si="790"/>
        <v>638813.79310344835</v>
      </c>
      <c r="G1748" s="41">
        <f t="shared" si="790"/>
        <v>1119020.6896551726</v>
      </c>
      <c r="H1748" s="41">
        <f t="shared" si="790"/>
        <v>983931.03448275861</v>
      </c>
      <c r="I1748" s="41">
        <f>I1747*16%</f>
        <v>4520924.1379310349</v>
      </c>
      <c r="J1748" s="635">
        <f>J1747*16%</f>
        <v>644034.78541871929</v>
      </c>
    </row>
    <row r="1749" spans="1:10" ht="15.75" thickBot="1" x14ac:dyDescent="0.3">
      <c r="A1749" s="699" t="s">
        <v>34</v>
      </c>
      <c r="B1749" s="687">
        <f t="shared" ref="B1749:H1749" si="791">B1747+B1748</f>
        <v>2312800</v>
      </c>
      <c r="C1749" s="638">
        <f t="shared" si="791"/>
        <v>3188600</v>
      </c>
      <c r="D1749" s="638">
        <f t="shared" si="791"/>
        <v>3723700</v>
      </c>
      <c r="E1749" s="686">
        <f t="shared" si="791"/>
        <v>3673800</v>
      </c>
      <c r="F1749" s="687">
        <f t="shared" si="791"/>
        <v>4631400</v>
      </c>
      <c r="G1749" s="686">
        <f t="shared" si="791"/>
        <v>8112900.0000000009</v>
      </c>
      <c r="H1749" s="686">
        <f t="shared" si="791"/>
        <v>7133500</v>
      </c>
      <c r="I1749" s="686">
        <f>I1747+I1748</f>
        <v>32776700</v>
      </c>
      <c r="J1749" s="639">
        <f>FLORESTA!$I1749/7</f>
        <v>4682385.7142857146</v>
      </c>
    </row>
    <row r="1750" spans="1:10" ht="15.75" thickBot="1" x14ac:dyDescent="0.3"/>
    <row r="1751" spans="1:10" ht="15.75" thickBot="1" x14ac:dyDescent="0.3">
      <c r="A1751" s="149"/>
      <c r="B1751" s="1006" t="s">
        <v>624</v>
      </c>
      <c r="C1751" s="1006"/>
      <c r="D1751" s="1006"/>
      <c r="E1751" s="1006"/>
      <c r="F1751" s="1006"/>
      <c r="G1751" s="1006"/>
      <c r="H1751" s="1006"/>
      <c r="I1751" s="1006"/>
    </row>
    <row r="1752" spans="1:10" ht="15.75" thickBot="1" x14ac:dyDescent="0.3">
      <c r="A1752" s="149"/>
      <c r="B1752" s="1006"/>
      <c r="C1752" s="1006"/>
      <c r="D1752" s="1006"/>
      <c r="E1752" s="1006"/>
      <c r="F1752" s="1006"/>
      <c r="G1752" s="1006"/>
      <c r="H1752" s="1006"/>
      <c r="I1752" s="1006"/>
    </row>
    <row r="1753" spans="1:10" ht="15.75" x14ac:dyDescent="0.25">
      <c r="A1753" s="692" t="s">
        <v>2</v>
      </c>
      <c r="B1753" s="681" t="s">
        <v>345</v>
      </c>
      <c r="C1753" s="681" t="s">
        <v>346</v>
      </c>
      <c r="D1753" s="681" t="s">
        <v>347</v>
      </c>
      <c r="E1753" s="681" t="s">
        <v>348</v>
      </c>
      <c r="F1753" s="681" t="s">
        <v>349</v>
      </c>
      <c r="G1753" s="681" t="s">
        <v>350</v>
      </c>
      <c r="H1753" s="681" t="s">
        <v>351</v>
      </c>
      <c r="I1753" s="617" t="s">
        <v>96</v>
      </c>
      <c r="J1753" s="682" t="s">
        <v>97</v>
      </c>
    </row>
    <row r="1754" spans="1:10" x14ac:dyDescent="0.25">
      <c r="A1754" s="693" t="s">
        <v>11</v>
      </c>
      <c r="B1754" s="56">
        <f>52+52+7</f>
        <v>111</v>
      </c>
      <c r="C1754" s="673">
        <f>77+41+8</f>
        <v>126</v>
      </c>
      <c r="D1754" s="673">
        <f>91+74+15</f>
        <v>180</v>
      </c>
      <c r="E1754" s="738">
        <f>102+80+13</f>
        <v>195</v>
      </c>
      <c r="F1754" s="738">
        <f>137+84+20</f>
        <v>241</v>
      </c>
      <c r="G1754" s="738">
        <f>58+49+11</f>
        <v>118</v>
      </c>
      <c r="H1754" s="738">
        <f>63+52+8</f>
        <v>123</v>
      </c>
      <c r="I1754" s="738">
        <f t="shared" ref="I1754:I1759" si="792">SUM(B1754:H1754)</f>
        <v>1094</v>
      </c>
      <c r="J1754" s="683">
        <f>FLORESTA!$I1754/7</f>
        <v>156.28571428571428</v>
      </c>
    </row>
    <row r="1755" spans="1:10" x14ac:dyDescent="0.25">
      <c r="A1755" s="694" t="s">
        <v>12</v>
      </c>
      <c r="B1755" s="689">
        <v>21</v>
      </c>
      <c r="C1755" s="671">
        <v>26</v>
      </c>
      <c r="D1755" s="675">
        <v>54</v>
      </c>
      <c r="E1755" s="734">
        <v>45</v>
      </c>
      <c r="F1755" s="735">
        <v>48</v>
      </c>
      <c r="G1755" s="736">
        <v>22</v>
      </c>
      <c r="H1755" s="734">
        <v>49</v>
      </c>
      <c r="I1755" s="737">
        <f t="shared" si="792"/>
        <v>265</v>
      </c>
      <c r="J1755" s="684">
        <f>FLORESTA!$I1755/7</f>
        <v>37.857142857142854</v>
      </c>
    </row>
    <row r="1756" spans="1:10" x14ac:dyDescent="0.25">
      <c r="A1756" s="694" t="s">
        <v>13</v>
      </c>
      <c r="B1756" s="313">
        <v>0</v>
      </c>
      <c r="C1756" s="13">
        <v>0</v>
      </c>
      <c r="D1756" s="13">
        <v>1</v>
      </c>
      <c r="E1756" s="11">
        <v>1</v>
      </c>
      <c r="F1756" s="125">
        <v>2</v>
      </c>
      <c r="G1756" s="11">
        <v>0</v>
      </c>
      <c r="H1756" s="11">
        <v>1</v>
      </c>
      <c r="I1756" s="313">
        <f t="shared" si="792"/>
        <v>5</v>
      </c>
      <c r="J1756" s="684">
        <f>C1756+D1756+E1756+F1756+G1756+H1756+I1756</f>
        <v>10</v>
      </c>
    </row>
    <row r="1757" spans="1:10" x14ac:dyDescent="0.25">
      <c r="A1757" s="694" t="s">
        <v>14</v>
      </c>
      <c r="B1757" s="313">
        <v>71</v>
      </c>
      <c r="C1757" s="13">
        <v>84</v>
      </c>
      <c r="D1757" s="320">
        <v>95</v>
      </c>
      <c r="E1757" s="11">
        <v>106</v>
      </c>
      <c r="F1757" s="125">
        <v>130</v>
      </c>
      <c r="G1757" s="11">
        <v>74</v>
      </c>
      <c r="H1757" s="11">
        <v>46</v>
      </c>
      <c r="I1757" s="313">
        <f t="shared" si="792"/>
        <v>606</v>
      </c>
      <c r="J1757" s="684">
        <f>FLORESTA!$I1757/7</f>
        <v>86.571428571428569</v>
      </c>
    </row>
    <row r="1758" spans="1:10" x14ac:dyDescent="0.25">
      <c r="A1758" s="694" t="s">
        <v>15</v>
      </c>
      <c r="B1758" s="313">
        <v>7</v>
      </c>
      <c r="C1758" s="13">
        <v>5</v>
      </c>
      <c r="D1758" s="13">
        <v>8</v>
      </c>
      <c r="E1758" s="11">
        <v>9</v>
      </c>
      <c r="F1758" s="125">
        <v>22</v>
      </c>
      <c r="G1758" s="11">
        <v>8</v>
      </c>
      <c r="H1758" s="11">
        <v>8</v>
      </c>
      <c r="I1758" s="313">
        <f t="shared" si="792"/>
        <v>67</v>
      </c>
      <c r="J1758" s="684">
        <f>FLORESTA!$I1758/7</f>
        <v>9.5714285714285712</v>
      </c>
    </row>
    <row r="1759" spans="1:10" x14ac:dyDescent="0.25">
      <c r="A1759" s="694" t="s">
        <v>16</v>
      </c>
      <c r="B1759" s="313">
        <v>1</v>
      </c>
      <c r="C1759" s="13">
        <v>1</v>
      </c>
      <c r="D1759" s="13">
        <v>0</v>
      </c>
      <c r="E1759" s="11">
        <v>0</v>
      </c>
      <c r="F1759" s="125">
        <v>0</v>
      </c>
      <c r="G1759" s="11">
        <v>0</v>
      </c>
      <c r="H1759" s="11">
        <v>0</v>
      </c>
      <c r="I1759" s="313">
        <f t="shared" si="792"/>
        <v>2</v>
      </c>
      <c r="J1759" s="684">
        <f>FLORESTA!$I1759/7</f>
        <v>0.2857142857142857</v>
      </c>
    </row>
    <row r="1760" spans="1:10" x14ac:dyDescent="0.25">
      <c r="A1760" s="695" t="s">
        <v>17</v>
      </c>
      <c r="B1760" s="15">
        <f t="shared" ref="B1760:I1760" si="793">SUM(B1755:B1759)</f>
        <v>100</v>
      </c>
      <c r="C1760" s="79">
        <f t="shared" si="793"/>
        <v>116</v>
      </c>
      <c r="D1760" s="79">
        <f t="shared" si="793"/>
        <v>158</v>
      </c>
      <c r="E1760" s="103">
        <f t="shared" si="793"/>
        <v>161</v>
      </c>
      <c r="F1760" s="213">
        <f t="shared" si="793"/>
        <v>202</v>
      </c>
      <c r="G1760" s="103">
        <f t="shared" si="793"/>
        <v>104</v>
      </c>
      <c r="H1760" s="103">
        <f t="shared" si="793"/>
        <v>104</v>
      </c>
      <c r="I1760" s="103">
        <f t="shared" si="793"/>
        <v>945</v>
      </c>
      <c r="J1760" s="625">
        <f>FLORESTA!$I1760/7</f>
        <v>135</v>
      </c>
    </row>
    <row r="1761" spans="1:10" x14ac:dyDescent="0.25">
      <c r="A1761" s="694" t="s">
        <v>18</v>
      </c>
      <c r="B1761" s="690">
        <v>0.26</v>
      </c>
      <c r="C1761" s="326">
        <v>0.26</v>
      </c>
      <c r="D1761" s="326">
        <v>0.42</v>
      </c>
      <c r="E1761" s="327">
        <v>0.36</v>
      </c>
      <c r="F1761" s="328">
        <v>0.3</v>
      </c>
      <c r="G1761" s="327">
        <v>0.28999999999999998</v>
      </c>
      <c r="H1761" s="327">
        <v>0.55000000000000004</v>
      </c>
      <c r="I1761" s="18">
        <f>I1768/I1773</f>
        <v>0.34887411653464606</v>
      </c>
      <c r="J1761" s="626">
        <f>J1768/J1773</f>
        <v>0.34887411653464612</v>
      </c>
    </row>
    <row r="1762" spans="1:10" x14ac:dyDescent="0.25">
      <c r="A1762" s="694" t="s">
        <v>19</v>
      </c>
      <c r="B1762" s="690">
        <v>0</v>
      </c>
      <c r="C1762" s="326">
        <v>0</v>
      </c>
      <c r="D1762" s="326">
        <v>0.01</v>
      </c>
      <c r="E1762" s="327">
        <v>0.01</v>
      </c>
      <c r="F1762" s="327">
        <v>0.02</v>
      </c>
      <c r="G1762" s="327">
        <v>0</v>
      </c>
      <c r="H1762" s="327">
        <v>0.03</v>
      </c>
      <c r="I1762" s="18">
        <f>I1769/I1773</f>
        <v>1.1120907363219197E-2</v>
      </c>
      <c r="J1762" s="626">
        <f>J1769/J1773</f>
        <v>1.1120907363219197E-2</v>
      </c>
    </row>
    <row r="1763" spans="1:10" x14ac:dyDescent="0.25">
      <c r="A1763" s="694" t="s">
        <v>20</v>
      </c>
      <c r="B1763" s="690">
        <v>0.63</v>
      </c>
      <c r="C1763" s="326">
        <v>0.7</v>
      </c>
      <c r="D1763" s="326">
        <v>0.53</v>
      </c>
      <c r="E1763" s="327">
        <v>0.55000000000000004</v>
      </c>
      <c r="F1763" s="329">
        <v>0.56999999999999995</v>
      </c>
      <c r="G1763" s="327">
        <v>0.66</v>
      </c>
      <c r="H1763" s="327">
        <v>0.37</v>
      </c>
      <c r="I1763" s="18">
        <f>I1770/I1773</f>
        <v>0.56813553833397379</v>
      </c>
      <c r="J1763" s="626">
        <f>J1770/J1773</f>
        <v>0.5681355383339739</v>
      </c>
    </row>
    <row r="1764" spans="1:10" x14ac:dyDescent="0.25">
      <c r="A1764" s="694" t="s">
        <v>21</v>
      </c>
      <c r="B1764" s="690">
        <v>7.0000000000000007E-2</v>
      </c>
      <c r="C1764" s="326">
        <v>0.03</v>
      </c>
      <c r="D1764" s="326">
        <v>0.04</v>
      </c>
      <c r="E1764" s="327">
        <v>0.08</v>
      </c>
      <c r="F1764" s="329">
        <v>0.11</v>
      </c>
      <c r="G1764" s="327">
        <v>0.05</v>
      </c>
      <c r="H1764" s="327">
        <v>0.05</v>
      </c>
      <c r="I1764" s="18">
        <f>I1771/I1773</f>
        <v>6.6666104576452695E-2</v>
      </c>
      <c r="J1764" s="626">
        <f>J1771/J1773</f>
        <v>6.6666104576452695E-2</v>
      </c>
    </row>
    <row r="1765" spans="1:10" x14ac:dyDescent="0.25">
      <c r="A1765" s="694" t="s">
        <v>22</v>
      </c>
      <c r="B1765" s="690">
        <v>0.04</v>
      </c>
      <c r="C1765" s="326">
        <v>0.01</v>
      </c>
      <c r="D1765" s="326">
        <v>0</v>
      </c>
      <c r="E1765" s="327">
        <v>0</v>
      </c>
      <c r="F1765" s="329">
        <v>0</v>
      </c>
      <c r="G1765" s="327">
        <v>0</v>
      </c>
      <c r="H1765" s="327">
        <v>0</v>
      </c>
      <c r="I1765" s="18">
        <f>I1772/I1773</f>
        <v>5.2033331917081538E-3</v>
      </c>
      <c r="J1765" s="626">
        <f>J1772/J1773</f>
        <v>5.2033331917081546E-3</v>
      </c>
    </row>
    <row r="1766" spans="1:10" x14ac:dyDescent="0.25">
      <c r="A1766" s="696" t="s">
        <v>23</v>
      </c>
      <c r="B1766" s="314">
        <f t="shared" ref="B1766:J1766" si="794">B1777/B1760</f>
        <v>32455</v>
      </c>
      <c r="C1766" s="131">
        <f t="shared" si="794"/>
        <v>30143.103448275862</v>
      </c>
      <c r="D1766" s="131">
        <f t="shared" si="794"/>
        <v>34093.670886075954</v>
      </c>
      <c r="E1766" s="130">
        <f t="shared" si="794"/>
        <v>36252.795031055903</v>
      </c>
      <c r="F1766" s="132">
        <f t="shared" si="794"/>
        <v>33975.247524752478</v>
      </c>
      <c r="G1766" s="130">
        <f t="shared" si="794"/>
        <v>33344.230769230773</v>
      </c>
      <c r="H1766" s="130">
        <f t="shared" si="794"/>
        <v>33875</v>
      </c>
      <c r="I1766" s="314">
        <f t="shared" si="794"/>
        <v>33671.322751322754</v>
      </c>
      <c r="J1766" s="685">
        <f t="shared" si="794"/>
        <v>33671.322751322754</v>
      </c>
    </row>
    <row r="1767" spans="1:10" x14ac:dyDescent="0.25">
      <c r="A1767" s="696" t="s">
        <v>24</v>
      </c>
      <c r="B1767" s="314">
        <f t="shared" ref="B1767:J1767" si="795">B1777/B1754</f>
        <v>29238.738738738739</v>
      </c>
      <c r="C1767" s="131">
        <f t="shared" si="795"/>
        <v>27750.79365079365</v>
      </c>
      <c r="D1767" s="131">
        <f t="shared" si="795"/>
        <v>29926.666666666672</v>
      </c>
      <c r="E1767" s="130">
        <f t="shared" si="795"/>
        <v>29931.794871794871</v>
      </c>
      <c r="F1767" s="132">
        <f t="shared" si="795"/>
        <v>28477.178423236517</v>
      </c>
      <c r="G1767" s="130">
        <f t="shared" si="795"/>
        <v>29388.135593220344</v>
      </c>
      <c r="H1767" s="130">
        <f t="shared" si="795"/>
        <v>28642.276422764229</v>
      </c>
      <c r="I1767" s="314">
        <f t="shared" si="795"/>
        <v>29085.374771480809</v>
      </c>
      <c r="J1767" s="685">
        <f t="shared" si="795"/>
        <v>29085.374771480809</v>
      </c>
    </row>
    <row r="1768" spans="1:10" x14ac:dyDescent="0.25">
      <c r="A1768" s="694" t="s">
        <v>25</v>
      </c>
      <c r="B1768" s="300">
        <f t="shared" ref="B1768:H1768" si="796">B1773*B1761</f>
        <v>714259.21517241385</v>
      </c>
      <c r="C1768" s="133">
        <f t="shared" si="796"/>
        <v>767402.04965517251</v>
      </c>
      <c r="D1768" s="133">
        <f t="shared" si="796"/>
        <v>1895643.5834482759</v>
      </c>
      <c r="E1768" s="92">
        <f t="shared" si="796"/>
        <v>1772282.8551724139</v>
      </c>
      <c r="F1768" s="134">
        <f t="shared" si="796"/>
        <v>1740152.1931034485</v>
      </c>
      <c r="G1768" s="92">
        <f t="shared" si="796"/>
        <v>851548.68</v>
      </c>
      <c r="H1768" s="92">
        <f t="shared" si="796"/>
        <v>1605330.631034483</v>
      </c>
      <c r="I1768" s="92">
        <f>FLORESTA!$B1768+FLORESTA!$C1768+FLORESTA!$D1768+FLORESTA!$E1768+FLORESTA!$F1768+FLORESTA!$G1768+FLORESTA!$H1768</f>
        <v>9346619.2075862065</v>
      </c>
      <c r="J1768" s="629">
        <f>FLORESTA!$I1768/7</f>
        <v>1335231.3153694582</v>
      </c>
    </row>
    <row r="1769" spans="1:10" x14ac:dyDescent="0.25">
      <c r="A1769" s="694" t="s">
        <v>26</v>
      </c>
      <c r="B1769" s="300">
        <f t="shared" ref="B1769:H1769" si="797">B1773*B1762</f>
        <v>0</v>
      </c>
      <c r="C1769" s="133">
        <f t="shared" si="797"/>
        <v>0</v>
      </c>
      <c r="D1769" s="133">
        <f t="shared" si="797"/>
        <v>45134.371034482763</v>
      </c>
      <c r="E1769" s="92">
        <f t="shared" si="797"/>
        <v>49230.07931034483</v>
      </c>
      <c r="F1769" s="134">
        <f t="shared" si="797"/>
        <v>116010.14620689656</v>
      </c>
      <c r="G1769" s="92">
        <f t="shared" si="797"/>
        <v>0</v>
      </c>
      <c r="H1769" s="92">
        <f t="shared" si="797"/>
        <v>87563.488965517245</v>
      </c>
      <c r="I1769" s="92">
        <f>FLORESTA!$B1769+FLORESTA!$C1769+FLORESTA!$D1769+FLORESTA!$E1769+FLORESTA!$F1769+FLORESTA!$G1769+FLORESTA!$H1769</f>
        <v>297938.08551724139</v>
      </c>
      <c r="J1769" s="629">
        <f>FLORESTA!$I1769/7</f>
        <v>42562.583645320199</v>
      </c>
    </row>
    <row r="1770" spans="1:10" x14ac:dyDescent="0.25">
      <c r="A1770" s="694" t="s">
        <v>27</v>
      </c>
      <c r="B1770" s="300">
        <f t="shared" ref="B1770:H1770" si="798">B1773*B1763</f>
        <v>1730705.0213793104</v>
      </c>
      <c r="C1770" s="133">
        <f t="shared" si="798"/>
        <v>2066082.4413793103</v>
      </c>
      <c r="D1770" s="133">
        <f t="shared" si="798"/>
        <v>2392121.6648275866</v>
      </c>
      <c r="E1770" s="92">
        <f t="shared" si="798"/>
        <v>2707654.362068966</v>
      </c>
      <c r="F1770" s="134">
        <f t="shared" si="798"/>
        <v>3306289.1668965518</v>
      </c>
      <c r="G1770" s="92">
        <f t="shared" si="798"/>
        <v>1938007.3406896556</v>
      </c>
      <c r="H1770" s="92">
        <f t="shared" si="798"/>
        <v>1079949.6972413794</v>
      </c>
      <c r="I1770" s="92">
        <f>FLORESTA!$B1770+FLORESTA!$C1770+FLORESTA!$D1770+FLORESTA!$E1770+FLORESTA!$F1770+FLORESTA!$G1770+FLORESTA!$H1770</f>
        <v>15220809.694482761</v>
      </c>
      <c r="J1770" s="629">
        <f>FLORESTA!$I1770/7</f>
        <v>2174401.3849261086</v>
      </c>
    </row>
    <row r="1771" spans="1:10" x14ac:dyDescent="0.25">
      <c r="A1771" s="694" t="s">
        <v>28</v>
      </c>
      <c r="B1771" s="300">
        <f t="shared" ref="B1771:H1771" si="799">B1773*B1764</f>
        <v>192300.55793103451</v>
      </c>
      <c r="C1771" s="133">
        <f t="shared" si="799"/>
        <v>88546.390344827581</v>
      </c>
      <c r="D1771" s="133">
        <f t="shared" si="799"/>
        <v>180537.48413793105</v>
      </c>
      <c r="E1771" s="92">
        <f t="shared" si="799"/>
        <v>393840.63448275864</v>
      </c>
      <c r="F1771" s="134">
        <f t="shared" si="799"/>
        <v>638055.80413793109</v>
      </c>
      <c r="G1771" s="92">
        <f t="shared" si="799"/>
        <v>146818.7379310345</v>
      </c>
      <c r="H1771" s="92">
        <f t="shared" si="799"/>
        <v>145939.14827586207</v>
      </c>
      <c r="I1771" s="92">
        <f>FLORESTA!$B1771+FLORESTA!$C1771+FLORESTA!$D1771+FLORESTA!$E1771+FLORESTA!$F1771+FLORESTA!$G1771+FLORESTA!$H1771</f>
        <v>1786038.7572413795</v>
      </c>
      <c r="J1771" s="629">
        <f>FLORESTA!$I1771/7</f>
        <v>255148.39389162563</v>
      </c>
    </row>
    <row r="1772" spans="1:10" x14ac:dyDescent="0.25">
      <c r="A1772" s="694" t="s">
        <v>29</v>
      </c>
      <c r="B1772" s="300">
        <f t="shared" ref="B1772:H1772" si="800">B1773*B1765</f>
        <v>109886.03310344828</v>
      </c>
      <c r="C1772" s="133">
        <f t="shared" si="800"/>
        <v>29515.463448275863</v>
      </c>
      <c r="D1772" s="133">
        <f t="shared" si="800"/>
        <v>0</v>
      </c>
      <c r="E1772" s="92">
        <f t="shared" si="800"/>
        <v>0</v>
      </c>
      <c r="F1772" s="134">
        <f t="shared" si="800"/>
        <v>0</v>
      </c>
      <c r="G1772" s="92">
        <f t="shared" si="800"/>
        <v>0</v>
      </c>
      <c r="H1772" s="92">
        <f t="shared" si="800"/>
        <v>0</v>
      </c>
      <c r="I1772" s="92">
        <f>FLORESTA!$B1772+FLORESTA!$C1772+FLORESTA!$D1772+FLORESTA!$E1772+FLORESTA!$F1772+FLORESTA!$G1772+FLORESTA!$H1772</f>
        <v>139401.49655172415</v>
      </c>
      <c r="J1772" s="629">
        <f>FLORESTA!$I1772/7</f>
        <v>19914.499507389166</v>
      </c>
    </row>
    <row r="1773" spans="1:10" x14ac:dyDescent="0.25">
      <c r="A1773" s="697" t="s">
        <v>30</v>
      </c>
      <c r="B1773" s="691">
        <f>(3245500/1.16)-B1774</f>
        <v>2747150.8275862071</v>
      </c>
      <c r="C1773" s="691">
        <f>(3496600/1.16)-C1774</f>
        <v>2951546.3448275863</v>
      </c>
      <c r="D1773" s="691">
        <f>(5386800/1.16)-D1774</f>
        <v>4513437.1034482764</v>
      </c>
      <c r="E1773" s="691">
        <f>(5836700/1.16)-E1774</f>
        <v>4923007.931034483</v>
      </c>
      <c r="F1773" s="691">
        <f>(6863000/1.16)-F1774</f>
        <v>5800507.3103448283</v>
      </c>
      <c r="G1773" s="691">
        <f>(3467800/1.16)-G1774</f>
        <v>2936374.7586206901</v>
      </c>
      <c r="H1773" s="691">
        <f>(3523000/1.16)-H1774</f>
        <v>2918782.9655172415</v>
      </c>
      <c r="I1773" s="91">
        <f>SUM(I1768:I1772)</f>
        <v>26790807.241379313</v>
      </c>
      <c r="J1773" s="631">
        <f>FLORESTA!$I1773/7</f>
        <v>3827258.1773399017</v>
      </c>
    </row>
    <row r="1774" spans="1:10" x14ac:dyDescent="0.25">
      <c r="A1774" s="694" t="s">
        <v>31</v>
      </c>
      <c r="B1774" s="302">
        <f t="shared" ref="B1774:I1774" si="801">2414*B1755</f>
        <v>50694</v>
      </c>
      <c r="C1774" s="139">
        <f t="shared" si="801"/>
        <v>62764</v>
      </c>
      <c r="D1774" s="139">
        <f t="shared" si="801"/>
        <v>130356</v>
      </c>
      <c r="E1774" s="139">
        <f t="shared" si="801"/>
        <v>108630</v>
      </c>
      <c r="F1774" s="139">
        <f t="shared" si="801"/>
        <v>115872</v>
      </c>
      <c r="G1774" s="139">
        <f t="shared" si="801"/>
        <v>53108</v>
      </c>
      <c r="H1774" s="139">
        <f t="shared" si="801"/>
        <v>118286</v>
      </c>
      <c r="I1774" s="94">
        <f t="shared" si="801"/>
        <v>639710</v>
      </c>
      <c r="J1774" s="632">
        <f>2155*J1755</f>
        <v>81582.142857142855</v>
      </c>
    </row>
    <row r="1775" spans="1:10" x14ac:dyDescent="0.25">
      <c r="A1775" s="698" t="s">
        <v>32</v>
      </c>
      <c r="B1775" s="364">
        <f t="shared" ref="B1775:H1775" si="802">B1773+B1774</f>
        <v>2797844.8275862071</v>
      </c>
      <c r="C1775" s="40">
        <f t="shared" si="802"/>
        <v>3014310.3448275863</v>
      </c>
      <c r="D1775" s="40">
        <f t="shared" si="802"/>
        <v>4643793.1034482764</v>
      </c>
      <c r="E1775" s="39">
        <f t="shared" si="802"/>
        <v>5031637.931034483</v>
      </c>
      <c r="F1775" s="140">
        <f t="shared" si="802"/>
        <v>5916379.3103448283</v>
      </c>
      <c r="G1775" s="39">
        <f t="shared" si="802"/>
        <v>2989482.7586206901</v>
      </c>
      <c r="H1775" s="39">
        <f t="shared" si="802"/>
        <v>3037068.9655172415</v>
      </c>
      <c r="I1775" s="39">
        <f>I1773+I1774</f>
        <v>27430517.241379313</v>
      </c>
      <c r="J1775" s="634">
        <f>J1773+J1774</f>
        <v>3908840.3201970444</v>
      </c>
    </row>
    <row r="1776" spans="1:10" x14ac:dyDescent="0.25">
      <c r="A1776" s="694" t="s">
        <v>33</v>
      </c>
      <c r="B1776" s="415">
        <f t="shared" ref="B1776:H1776" si="803">B1775*16%</f>
        <v>447655.17241379316</v>
      </c>
      <c r="C1776" s="42">
        <f t="shared" si="803"/>
        <v>482289.6551724138</v>
      </c>
      <c r="D1776" s="42">
        <f t="shared" si="803"/>
        <v>743006.89655172429</v>
      </c>
      <c r="E1776" s="41">
        <f t="shared" si="803"/>
        <v>805062.06896551733</v>
      </c>
      <c r="F1776" s="141">
        <f t="shared" si="803"/>
        <v>946620.68965517252</v>
      </c>
      <c r="G1776" s="41">
        <f t="shared" si="803"/>
        <v>478317.24137931044</v>
      </c>
      <c r="H1776" s="41">
        <f t="shared" si="803"/>
        <v>485931.03448275867</v>
      </c>
      <c r="I1776" s="41">
        <f>I1775*16%</f>
        <v>4388882.7586206906</v>
      </c>
      <c r="J1776" s="635">
        <f>J1775*16%</f>
        <v>625414.45123152714</v>
      </c>
    </row>
    <row r="1777" spans="1:10" ht="15.75" thickBot="1" x14ac:dyDescent="0.3">
      <c r="A1777" s="699" t="s">
        <v>34</v>
      </c>
      <c r="B1777" s="687">
        <f t="shared" ref="B1777:H1777" si="804">B1775+B1776</f>
        <v>3245500</v>
      </c>
      <c r="C1777" s="638">
        <f t="shared" si="804"/>
        <v>3496600</v>
      </c>
      <c r="D1777" s="638">
        <f t="shared" si="804"/>
        <v>5386800.0000000009</v>
      </c>
      <c r="E1777" s="686">
        <f t="shared" si="804"/>
        <v>5836700</v>
      </c>
      <c r="F1777" s="687">
        <f t="shared" si="804"/>
        <v>6863000.0000000009</v>
      </c>
      <c r="G1777" s="686">
        <f t="shared" si="804"/>
        <v>3467800.0000000005</v>
      </c>
      <c r="H1777" s="686">
        <f t="shared" si="804"/>
        <v>3523000</v>
      </c>
      <c r="I1777" s="686">
        <f>I1775+I1776</f>
        <v>31819400.000000004</v>
      </c>
      <c r="J1777" s="639">
        <f>FLORESTA!$I1777/7</f>
        <v>4545628.5714285718</v>
      </c>
    </row>
    <row r="1778" spans="1:10" ht="15.75" thickBot="1" x14ac:dyDescent="0.3"/>
    <row r="1779" spans="1:10" ht="15.75" thickBot="1" x14ac:dyDescent="0.3">
      <c r="A1779" s="149"/>
      <c r="B1779" s="1006" t="s">
        <v>627</v>
      </c>
      <c r="C1779" s="1006"/>
      <c r="D1779" s="1006"/>
      <c r="E1779" s="1006"/>
      <c r="F1779" s="1006"/>
      <c r="G1779" s="1006"/>
      <c r="H1779" s="1006"/>
      <c r="I1779" s="1006"/>
    </row>
    <row r="1780" spans="1:10" ht="15.75" thickBot="1" x14ac:dyDescent="0.3">
      <c r="A1780" s="149"/>
      <c r="B1780" s="1006"/>
      <c r="C1780" s="1006"/>
      <c r="D1780" s="1006"/>
      <c r="E1780" s="1006"/>
      <c r="F1780" s="1006"/>
      <c r="G1780" s="1006"/>
      <c r="H1780" s="1006"/>
      <c r="I1780" s="1006"/>
    </row>
    <row r="1781" spans="1:10" ht="15.75" x14ac:dyDescent="0.25">
      <c r="A1781" s="692" t="s">
        <v>2</v>
      </c>
      <c r="B1781" s="681" t="s">
        <v>600</v>
      </c>
      <c r="C1781" s="681" t="s">
        <v>601</v>
      </c>
      <c r="D1781" s="681" t="s">
        <v>602</v>
      </c>
      <c r="E1781" s="681" t="s">
        <v>603</v>
      </c>
      <c r="F1781" s="681" t="s">
        <v>604</v>
      </c>
      <c r="G1781" s="681" t="s">
        <v>653</v>
      </c>
      <c r="H1781" s="681" t="s">
        <v>272</v>
      </c>
      <c r="I1781" s="617" t="s">
        <v>96</v>
      </c>
      <c r="J1781" s="682" t="s">
        <v>97</v>
      </c>
    </row>
    <row r="1782" spans="1:10" x14ac:dyDescent="0.25">
      <c r="A1782" s="693" t="s">
        <v>11</v>
      </c>
      <c r="B1782" s="56">
        <f>96+50+18</f>
        <v>164</v>
      </c>
      <c r="C1782" s="673">
        <f>90+59+7</f>
        <v>156</v>
      </c>
      <c r="D1782" s="673">
        <f>84+72+11</f>
        <v>167</v>
      </c>
      <c r="E1782" s="738">
        <f>90+70+14</f>
        <v>174</v>
      </c>
      <c r="F1782" s="738">
        <f>98+78+17</f>
        <v>193</v>
      </c>
      <c r="G1782" s="738">
        <f>51+43+20</f>
        <v>114</v>
      </c>
      <c r="H1782" s="738">
        <f>52+46+8</f>
        <v>106</v>
      </c>
      <c r="I1782" s="738">
        <f t="shared" ref="I1782:I1787" si="805">SUM(B1782:H1782)</f>
        <v>1074</v>
      </c>
      <c r="J1782" s="683">
        <f>FLORESTA!$I1782/7</f>
        <v>153.42857142857142</v>
      </c>
    </row>
    <row r="1783" spans="1:10" x14ac:dyDescent="0.25">
      <c r="A1783" s="694" t="s">
        <v>12</v>
      </c>
      <c r="B1783" s="689">
        <v>34</v>
      </c>
      <c r="C1783" s="671">
        <v>30</v>
      </c>
      <c r="D1783" s="675">
        <v>44</v>
      </c>
      <c r="E1783" s="734">
        <v>42</v>
      </c>
      <c r="F1783" s="735">
        <v>47</v>
      </c>
      <c r="G1783" s="736">
        <v>17</v>
      </c>
      <c r="H1783" s="734">
        <v>41</v>
      </c>
      <c r="I1783" s="737">
        <f t="shared" si="805"/>
        <v>255</v>
      </c>
      <c r="J1783" s="684">
        <f>FLORESTA!$I1783/7</f>
        <v>36.428571428571431</v>
      </c>
    </row>
    <row r="1784" spans="1:10" x14ac:dyDescent="0.25">
      <c r="A1784" s="694" t="s">
        <v>13</v>
      </c>
      <c r="B1784" s="313">
        <v>2</v>
      </c>
      <c r="C1784" s="13">
        <v>1</v>
      </c>
      <c r="D1784" s="13">
        <v>0</v>
      </c>
      <c r="E1784" s="11">
        <v>2</v>
      </c>
      <c r="F1784" s="125">
        <v>1</v>
      </c>
      <c r="G1784" s="11">
        <v>0</v>
      </c>
      <c r="H1784" s="11">
        <v>0</v>
      </c>
      <c r="I1784" s="313">
        <f t="shared" si="805"/>
        <v>6</v>
      </c>
      <c r="J1784" s="684">
        <f>C1784+D1784+E1784+F1784+G1784+H1784+I1784</f>
        <v>10</v>
      </c>
    </row>
    <row r="1785" spans="1:10" x14ac:dyDescent="0.25">
      <c r="A1785" s="694" t="s">
        <v>14</v>
      </c>
      <c r="B1785" s="313">
        <v>92</v>
      </c>
      <c r="C1785" s="13">
        <v>99</v>
      </c>
      <c r="D1785" s="320">
        <v>100</v>
      </c>
      <c r="E1785" s="11">
        <v>90</v>
      </c>
      <c r="F1785" s="125">
        <v>94</v>
      </c>
      <c r="G1785" s="11">
        <v>56</v>
      </c>
      <c r="H1785" s="11">
        <v>47</v>
      </c>
      <c r="I1785" s="313">
        <f t="shared" si="805"/>
        <v>578</v>
      </c>
      <c r="J1785" s="684">
        <f>FLORESTA!$I1785/7</f>
        <v>82.571428571428569</v>
      </c>
    </row>
    <row r="1786" spans="1:10" x14ac:dyDescent="0.25">
      <c r="A1786" s="694" t="s">
        <v>15</v>
      </c>
      <c r="B1786" s="313">
        <v>9</v>
      </c>
      <c r="C1786" s="13">
        <v>10</v>
      </c>
      <c r="D1786" s="13">
        <v>10</v>
      </c>
      <c r="E1786" s="11">
        <v>9</v>
      </c>
      <c r="F1786" s="125">
        <v>12</v>
      </c>
      <c r="G1786" s="11">
        <v>21</v>
      </c>
      <c r="H1786" s="11">
        <v>9</v>
      </c>
      <c r="I1786" s="313">
        <f t="shared" si="805"/>
        <v>80</v>
      </c>
      <c r="J1786" s="684">
        <f>FLORESTA!$I1786/7</f>
        <v>11.428571428571429</v>
      </c>
    </row>
    <row r="1787" spans="1:10" x14ac:dyDescent="0.25">
      <c r="A1787" s="694" t="s">
        <v>16</v>
      </c>
      <c r="B1787" s="313">
        <v>0</v>
      </c>
      <c r="C1787" s="13">
        <v>0</v>
      </c>
      <c r="D1787" s="13">
        <v>0</v>
      </c>
      <c r="E1787" s="11">
        <v>0</v>
      </c>
      <c r="F1787" s="125">
        <v>0</v>
      </c>
      <c r="G1787" s="11">
        <v>0</v>
      </c>
      <c r="H1787" s="11">
        <v>0</v>
      </c>
      <c r="I1787" s="313">
        <f t="shared" si="805"/>
        <v>0</v>
      </c>
      <c r="J1787" s="684">
        <f>FLORESTA!$I1787/7</f>
        <v>0</v>
      </c>
    </row>
    <row r="1788" spans="1:10" x14ac:dyDescent="0.25">
      <c r="A1788" s="695" t="s">
        <v>17</v>
      </c>
      <c r="B1788" s="15">
        <f t="shared" ref="B1788:I1788" si="806">SUM(B1783:B1787)</f>
        <v>137</v>
      </c>
      <c r="C1788" s="79">
        <f t="shared" si="806"/>
        <v>140</v>
      </c>
      <c r="D1788" s="79">
        <f t="shared" si="806"/>
        <v>154</v>
      </c>
      <c r="E1788" s="103">
        <f t="shared" si="806"/>
        <v>143</v>
      </c>
      <c r="F1788" s="213">
        <f t="shared" si="806"/>
        <v>154</v>
      </c>
      <c r="G1788" s="103">
        <f t="shared" si="806"/>
        <v>94</v>
      </c>
      <c r="H1788" s="103">
        <f t="shared" si="806"/>
        <v>97</v>
      </c>
      <c r="I1788" s="103">
        <f t="shared" si="806"/>
        <v>919</v>
      </c>
      <c r="J1788" s="625">
        <f>FLORESTA!$I1788/7</f>
        <v>131.28571428571428</v>
      </c>
    </row>
    <row r="1789" spans="1:10" x14ac:dyDescent="0.25">
      <c r="A1789" s="694" t="s">
        <v>18</v>
      </c>
      <c r="B1789" s="690">
        <v>0.33</v>
      </c>
      <c r="C1789" s="326">
        <v>0.23</v>
      </c>
      <c r="D1789" s="326">
        <v>0.34</v>
      </c>
      <c r="E1789" s="327">
        <v>0.33</v>
      </c>
      <c r="F1789" s="328">
        <v>0.34</v>
      </c>
      <c r="G1789" s="327">
        <v>0.21</v>
      </c>
      <c r="H1789" s="327">
        <v>0.45</v>
      </c>
      <c r="I1789" s="18">
        <f>I1796/I1801</f>
        <v>0.318873398920062</v>
      </c>
      <c r="J1789" s="626">
        <f>J1796/J1801</f>
        <v>0.31887339892006195</v>
      </c>
    </row>
    <row r="1790" spans="1:10" x14ac:dyDescent="0.25">
      <c r="A1790" s="694" t="s">
        <v>19</v>
      </c>
      <c r="B1790" s="690">
        <v>0.01</v>
      </c>
      <c r="C1790" s="326">
        <v>0</v>
      </c>
      <c r="D1790" s="326">
        <v>0</v>
      </c>
      <c r="E1790" s="327">
        <v>0.05</v>
      </c>
      <c r="F1790" s="327">
        <v>0.01</v>
      </c>
      <c r="G1790" s="327">
        <v>0</v>
      </c>
      <c r="H1790" s="327">
        <v>0</v>
      </c>
      <c r="I1790" s="18">
        <f>I1797/I1801</f>
        <v>1.1492590380668924E-2</v>
      </c>
      <c r="J1790" s="626">
        <f>J1797/J1801</f>
        <v>1.1492590380668924E-2</v>
      </c>
    </row>
    <row r="1791" spans="1:10" x14ac:dyDescent="0.25">
      <c r="A1791" s="694" t="s">
        <v>20</v>
      </c>
      <c r="B1791" s="690">
        <v>0.59</v>
      </c>
      <c r="C1791" s="326">
        <v>0.69</v>
      </c>
      <c r="D1791" s="326">
        <v>0.57999999999999996</v>
      </c>
      <c r="E1791" s="327">
        <v>0.56000000000000005</v>
      </c>
      <c r="F1791" s="329">
        <v>0.59</v>
      </c>
      <c r="G1791" s="327">
        <v>0.54</v>
      </c>
      <c r="H1791" s="327">
        <v>0.45</v>
      </c>
      <c r="I1791" s="18">
        <f>I1798/I1801</f>
        <v>0.57964538538003652</v>
      </c>
      <c r="J1791" s="626">
        <f>J1798/J1801</f>
        <v>0.5796453853800364</v>
      </c>
    </row>
    <row r="1792" spans="1:10" x14ac:dyDescent="0.25">
      <c r="A1792" s="694" t="s">
        <v>21</v>
      </c>
      <c r="B1792" s="690">
        <v>7.0000000000000007E-2</v>
      </c>
      <c r="C1792" s="326">
        <v>0.08</v>
      </c>
      <c r="D1792" s="326">
        <v>0.08</v>
      </c>
      <c r="E1792" s="327">
        <v>0.06</v>
      </c>
      <c r="F1792" s="329">
        <v>0.06</v>
      </c>
      <c r="G1792" s="327">
        <v>0.25</v>
      </c>
      <c r="H1792" s="327">
        <v>0.1</v>
      </c>
      <c r="I1792" s="18">
        <f>I1799/I1801</f>
        <v>8.998862531923256E-2</v>
      </c>
      <c r="J1792" s="626">
        <f>J1799/J1801</f>
        <v>8.998862531923256E-2</v>
      </c>
    </row>
    <row r="1793" spans="1:10" x14ac:dyDescent="0.25">
      <c r="A1793" s="694" t="s">
        <v>22</v>
      </c>
      <c r="B1793" s="690">
        <v>0</v>
      </c>
      <c r="C1793" s="326">
        <v>0</v>
      </c>
      <c r="D1793" s="326">
        <v>0</v>
      </c>
      <c r="E1793" s="327">
        <v>0</v>
      </c>
      <c r="F1793" s="329">
        <v>0</v>
      </c>
      <c r="G1793" s="327">
        <v>0</v>
      </c>
      <c r="H1793" s="327">
        <v>0</v>
      </c>
      <c r="I1793" s="18">
        <f>I1800/I1801</f>
        <v>0</v>
      </c>
      <c r="J1793" s="626">
        <f>J1800/J1801</f>
        <v>0</v>
      </c>
    </row>
    <row r="1794" spans="1:10" x14ac:dyDescent="0.25">
      <c r="A1794" s="696" t="s">
        <v>23</v>
      </c>
      <c r="B1794" s="314">
        <f t="shared" ref="B1794:J1794" si="807">B1805/B1788</f>
        <v>33386.131386861322</v>
      </c>
      <c r="C1794" s="131">
        <f t="shared" si="807"/>
        <v>33282.857142857145</v>
      </c>
      <c r="D1794" s="131">
        <f t="shared" si="807"/>
        <v>33879.870129870134</v>
      </c>
      <c r="E1794" s="130">
        <f t="shared" si="807"/>
        <v>36235.664335664333</v>
      </c>
      <c r="F1794" s="132">
        <f t="shared" si="807"/>
        <v>36831.168831168834</v>
      </c>
      <c r="G1794" s="130">
        <f t="shared" si="807"/>
        <v>32002.127659574468</v>
      </c>
      <c r="H1794" s="130">
        <f t="shared" si="807"/>
        <v>32484.536082474231</v>
      </c>
      <c r="I1794" s="314">
        <f t="shared" si="807"/>
        <v>34237.105549510336</v>
      </c>
      <c r="J1794" s="685">
        <f t="shared" si="807"/>
        <v>34237.105549510343</v>
      </c>
    </row>
    <row r="1795" spans="1:10" x14ac:dyDescent="0.25">
      <c r="A1795" s="696" t="s">
        <v>24</v>
      </c>
      <c r="B1795" s="314">
        <f t="shared" ref="B1795:J1795" si="808">B1805/B1782</f>
        <v>27889.634146341468</v>
      </c>
      <c r="C1795" s="131">
        <f t="shared" si="808"/>
        <v>29869.23076923077</v>
      </c>
      <c r="D1795" s="131">
        <f t="shared" si="808"/>
        <v>31242.514970059885</v>
      </c>
      <c r="E1795" s="130">
        <f t="shared" si="808"/>
        <v>29779.885057471263</v>
      </c>
      <c r="F1795" s="132">
        <f t="shared" si="808"/>
        <v>29388.601036269429</v>
      </c>
      <c r="G1795" s="130">
        <f t="shared" si="808"/>
        <v>26387.719298245614</v>
      </c>
      <c r="H1795" s="130">
        <f t="shared" si="808"/>
        <v>29726.415094339627</v>
      </c>
      <c r="I1795" s="314">
        <f t="shared" si="808"/>
        <v>29295.996275605215</v>
      </c>
      <c r="J1795" s="685">
        <f t="shared" si="808"/>
        <v>29295.996275605219</v>
      </c>
    </row>
    <row r="1796" spans="1:10" x14ac:dyDescent="0.25">
      <c r="A1796" s="694" t="s">
        <v>25</v>
      </c>
      <c r="B1796" s="300">
        <f t="shared" ref="B1796:H1796" si="809">B1801*B1789</f>
        <v>1274110.6096551726</v>
      </c>
      <c r="C1796" s="133">
        <f t="shared" si="809"/>
        <v>907229.60689655179</v>
      </c>
      <c r="D1796" s="133">
        <f t="shared" si="809"/>
        <v>1493153.8013793107</v>
      </c>
      <c r="E1796" s="92">
        <f t="shared" si="809"/>
        <v>1440646.2703448276</v>
      </c>
      <c r="F1796" s="134">
        <f t="shared" si="809"/>
        <v>1623907.0386206899</v>
      </c>
      <c r="G1796" s="92">
        <f t="shared" si="809"/>
        <v>535969.9510344828</v>
      </c>
      <c r="H1796" s="92">
        <f t="shared" si="809"/>
        <v>1177832.3896551726</v>
      </c>
      <c r="I1796" s="92">
        <f>FLORESTA!$B1796+FLORESTA!$C1796+FLORESTA!$D1796+FLORESTA!$E1796+FLORESTA!$F1796+FLORESTA!$G1796+FLORESTA!$H1796</f>
        <v>8452849.6675862074</v>
      </c>
      <c r="J1796" s="629">
        <f>FLORESTA!$I1796/7</f>
        <v>1207549.9525123152</v>
      </c>
    </row>
    <row r="1797" spans="1:10" x14ac:dyDescent="0.25">
      <c r="A1797" s="694" t="s">
        <v>26</v>
      </c>
      <c r="B1797" s="300">
        <f t="shared" ref="B1797:H1797" si="810">B1801*B1790</f>
        <v>38609.412413793107</v>
      </c>
      <c r="C1797" s="133">
        <f t="shared" si="810"/>
        <v>0</v>
      </c>
      <c r="D1797" s="133">
        <f t="shared" si="810"/>
        <v>0</v>
      </c>
      <c r="E1797" s="92">
        <f t="shared" si="810"/>
        <v>218279.7379310345</v>
      </c>
      <c r="F1797" s="134">
        <f t="shared" si="810"/>
        <v>47761.971724137933</v>
      </c>
      <c r="G1797" s="92">
        <f t="shared" si="810"/>
        <v>0</v>
      </c>
      <c r="H1797" s="92">
        <f t="shared" si="810"/>
        <v>0</v>
      </c>
      <c r="I1797" s="92">
        <f>FLORESTA!$B1797+FLORESTA!$C1797+FLORESTA!$D1797+FLORESTA!$E1797+FLORESTA!$F1797+FLORESTA!$G1797+FLORESTA!$H1797</f>
        <v>304651.12206896557</v>
      </c>
      <c r="J1797" s="629">
        <f>FLORESTA!$I1797/7</f>
        <v>43521.58886699508</v>
      </c>
    </row>
    <row r="1798" spans="1:10" x14ac:dyDescent="0.25">
      <c r="A1798" s="694" t="s">
        <v>27</v>
      </c>
      <c r="B1798" s="300">
        <f t="shared" ref="B1798:H1798" si="811">B1801*B1791</f>
        <v>2277955.3324137931</v>
      </c>
      <c r="C1798" s="133">
        <f t="shared" si="811"/>
        <v>2721688.8206896554</v>
      </c>
      <c r="D1798" s="133">
        <f t="shared" si="811"/>
        <v>2547144.7200000002</v>
      </c>
      <c r="E1798" s="92">
        <f t="shared" si="811"/>
        <v>2444733.0648275865</v>
      </c>
      <c r="F1798" s="134">
        <f t="shared" si="811"/>
        <v>2817956.331724138</v>
      </c>
      <c r="G1798" s="92">
        <f t="shared" si="811"/>
        <v>1378208.4455172415</v>
      </c>
      <c r="H1798" s="92">
        <f t="shared" si="811"/>
        <v>1177832.3896551726</v>
      </c>
      <c r="I1798" s="92">
        <f>FLORESTA!$B1798+FLORESTA!$C1798+FLORESTA!$D1798+FLORESTA!$E1798+FLORESTA!$F1798+FLORESTA!$G1798+FLORESTA!$H1798</f>
        <v>15365519.104827587</v>
      </c>
      <c r="J1798" s="629">
        <f>FLORESTA!$I1798/7</f>
        <v>2195074.1578325122</v>
      </c>
    </row>
    <row r="1799" spans="1:10" x14ac:dyDescent="0.25">
      <c r="A1799" s="694" t="s">
        <v>28</v>
      </c>
      <c r="B1799" s="300">
        <f t="shared" ref="B1799:H1799" si="812">B1801*B1792</f>
        <v>270265.88689655176</v>
      </c>
      <c r="C1799" s="133">
        <f t="shared" si="812"/>
        <v>315558.12413793104</v>
      </c>
      <c r="D1799" s="133">
        <f t="shared" si="812"/>
        <v>351330.30620689661</v>
      </c>
      <c r="E1799" s="92">
        <f t="shared" si="812"/>
        <v>261935.68551724136</v>
      </c>
      <c r="F1799" s="134">
        <f t="shared" si="812"/>
        <v>286571.83034482761</v>
      </c>
      <c r="G1799" s="92">
        <f t="shared" si="812"/>
        <v>638059.46551724139</v>
      </c>
      <c r="H1799" s="92">
        <f t="shared" si="812"/>
        <v>261740.53103448279</v>
      </c>
      <c r="I1799" s="92">
        <f>FLORESTA!$B1799+FLORESTA!$C1799+FLORESTA!$D1799+FLORESTA!$E1799+FLORESTA!$F1799+FLORESTA!$G1799+FLORESTA!$H1799</f>
        <v>2385461.8296551723</v>
      </c>
      <c r="J1799" s="629">
        <f>FLORESTA!$I1799/7</f>
        <v>340780.26137931034</v>
      </c>
    </row>
    <row r="1800" spans="1:10" x14ac:dyDescent="0.25">
      <c r="A1800" s="694" t="s">
        <v>29</v>
      </c>
      <c r="B1800" s="300">
        <f t="shared" ref="B1800:H1800" si="813">B1801*B1793</f>
        <v>0</v>
      </c>
      <c r="C1800" s="133">
        <f t="shared" si="813"/>
        <v>0</v>
      </c>
      <c r="D1800" s="133">
        <f t="shared" si="813"/>
        <v>0</v>
      </c>
      <c r="E1800" s="92">
        <f t="shared" si="813"/>
        <v>0</v>
      </c>
      <c r="F1800" s="134">
        <f t="shared" si="813"/>
        <v>0</v>
      </c>
      <c r="G1800" s="92">
        <f t="shared" si="813"/>
        <v>0</v>
      </c>
      <c r="H1800" s="92">
        <f t="shared" si="813"/>
        <v>0</v>
      </c>
      <c r="I1800" s="92">
        <f>FLORESTA!$B1800+FLORESTA!$C1800+FLORESTA!$D1800+FLORESTA!$E1800+FLORESTA!$F1800+FLORESTA!$G1800+FLORESTA!$H1800</f>
        <v>0</v>
      </c>
      <c r="J1800" s="629">
        <f>FLORESTA!$I1800/7</f>
        <v>0</v>
      </c>
    </row>
    <row r="1801" spans="1:10" x14ac:dyDescent="0.25">
      <c r="A1801" s="697" t="s">
        <v>30</v>
      </c>
      <c r="B1801" s="691">
        <f>(4573900/1.16)-B1802</f>
        <v>3860941.2413793108</v>
      </c>
      <c r="C1801" s="691">
        <f>(4659600/1.16)-C1802</f>
        <v>3944476.5517241382</v>
      </c>
      <c r="D1801" s="691">
        <f>(5217500/1.16)-D1802</f>
        <v>4391628.8275862075</v>
      </c>
      <c r="E1801" s="691">
        <f>(5181700/1.16)-E1802</f>
        <v>4365594.7586206896</v>
      </c>
      <c r="F1801" s="691">
        <f>(5672000/1.16)-F1802</f>
        <v>4776197.1724137934</v>
      </c>
      <c r="G1801" s="691">
        <f>(3008200/1.16)-G1802</f>
        <v>2552237.8620689656</v>
      </c>
      <c r="H1801" s="691">
        <f>(3151000/1.16)-H1802</f>
        <v>2617405.3103448278</v>
      </c>
      <c r="I1801" s="91">
        <f>SUM(I1796:I1800)</f>
        <v>26508481.724137932</v>
      </c>
      <c r="J1801" s="631">
        <f>FLORESTA!$I1801/7</f>
        <v>3786925.9605911332</v>
      </c>
    </row>
    <row r="1802" spans="1:10" x14ac:dyDescent="0.25">
      <c r="A1802" s="694" t="s">
        <v>31</v>
      </c>
      <c r="B1802" s="302">
        <f t="shared" ref="B1802:I1802" si="814">2414*B1783</f>
        <v>82076</v>
      </c>
      <c r="C1802" s="139">
        <f t="shared" si="814"/>
        <v>72420</v>
      </c>
      <c r="D1802" s="139">
        <f t="shared" si="814"/>
        <v>106216</v>
      </c>
      <c r="E1802" s="139">
        <f t="shared" si="814"/>
        <v>101388</v>
      </c>
      <c r="F1802" s="139">
        <f t="shared" si="814"/>
        <v>113458</v>
      </c>
      <c r="G1802" s="139">
        <f t="shared" si="814"/>
        <v>41038</v>
      </c>
      <c r="H1802" s="139">
        <f t="shared" si="814"/>
        <v>98974</v>
      </c>
      <c r="I1802" s="94">
        <f t="shared" si="814"/>
        <v>615570</v>
      </c>
      <c r="J1802" s="632">
        <f>2155*J1783</f>
        <v>78503.571428571435</v>
      </c>
    </row>
    <row r="1803" spans="1:10" x14ac:dyDescent="0.25">
      <c r="A1803" s="698" t="s">
        <v>32</v>
      </c>
      <c r="B1803" s="364">
        <f t="shared" ref="B1803:H1803" si="815">B1801+B1802</f>
        <v>3943017.2413793108</v>
      </c>
      <c r="C1803" s="40">
        <f t="shared" si="815"/>
        <v>4016896.5517241382</v>
      </c>
      <c r="D1803" s="40">
        <f t="shared" si="815"/>
        <v>4497844.8275862075</v>
      </c>
      <c r="E1803" s="39">
        <f t="shared" si="815"/>
        <v>4466982.7586206896</v>
      </c>
      <c r="F1803" s="140">
        <f t="shared" si="815"/>
        <v>4889655.1724137934</v>
      </c>
      <c r="G1803" s="39">
        <f t="shared" si="815"/>
        <v>2593275.8620689656</v>
      </c>
      <c r="H1803" s="39">
        <f t="shared" si="815"/>
        <v>2716379.3103448278</v>
      </c>
      <c r="I1803" s="39">
        <f>I1801+I1802</f>
        <v>27124051.724137932</v>
      </c>
      <c r="J1803" s="634">
        <f>J1801+J1802</f>
        <v>3865429.5320197046</v>
      </c>
    </row>
    <row r="1804" spans="1:10" x14ac:dyDescent="0.25">
      <c r="A1804" s="694" t="s">
        <v>33</v>
      </c>
      <c r="B1804" s="415">
        <f t="shared" ref="B1804:H1804" si="816">B1803*16%</f>
        <v>630882.75862068974</v>
      </c>
      <c r="C1804" s="42">
        <f t="shared" si="816"/>
        <v>642703.44827586215</v>
      </c>
      <c r="D1804" s="42">
        <f t="shared" si="816"/>
        <v>719655.17241379328</v>
      </c>
      <c r="E1804" s="41">
        <f t="shared" si="816"/>
        <v>714717.24137931038</v>
      </c>
      <c r="F1804" s="141">
        <f t="shared" si="816"/>
        <v>782344.82758620696</v>
      </c>
      <c r="G1804" s="41">
        <f t="shared" si="816"/>
        <v>414924.13793103449</v>
      </c>
      <c r="H1804" s="41">
        <f t="shared" si="816"/>
        <v>434620.68965517246</v>
      </c>
      <c r="I1804" s="41">
        <f>I1803*16%</f>
        <v>4339848.2758620689</v>
      </c>
      <c r="J1804" s="635">
        <f>J1803*16%</f>
        <v>618468.72512315272</v>
      </c>
    </row>
    <row r="1805" spans="1:10" ht="15.75" thickBot="1" x14ac:dyDescent="0.3">
      <c r="A1805" s="699" t="s">
        <v>34</v>
      </c>
      <c r="B1805" s="687">
        <f t="shared" ref="B1805:H1805" si="817">B1803+B1804</f>
        <v>4573900.0000000009</v>
      </c>
      <c r="C1805" s="638">
        <f t="shared" si="817"/>
        <v>4659600</v>
      </c>
      <c r="D1805" s="638">
        <f t="shared" si="817"/>
        <v>5217500.0000000009</v>
      </c>
      <c r="E1805" s="686">
        <f t="shared" si="817"/>
        <v>5181700</v>
      </c>
      <c r="F1805" s="687">
        <f t="shared" si="817"/>
        <v>5672000</v>
      </c>
      <c r="G1805" s="686">
        <f t="shared" si="817"/>
        <v>3008200</v>
      </c>
      <c r="H1805" s="686">
        <f t="shared" si="817"/>
        <v>3151000.0000000005</v>
      </c>
      <c r="I1805" s="686">
        <f>I1803+I1804</f>
        <v>31463900</v>
      </c>
      <c r="J1805" s="639">
        <f>FLORESTA!$I1805/7</f>
        <v>4494842.8571428573</v>
      </c>
    </row>
    <row r="1806" spans="1:10" ht="15.75" thickBot="1" x14ac:dyDescent="0.3"/>
    <row r="1807" spans="1:10" ht="15.75" thickBot="1" x14ac:dyDescent="0.3">
      <c r="A1807" s="149"/>
      <c r="B1807" s="1006" t="s">
        <v>631</v>
      </c>
      <c r="C1807" s="1006"/>
      <c r="D1807" s="1006"/>
      <c r="E1807" s="1006"/>
      <c r="F1807" s="1006"/>
      <c r="G1807" s="1006"/>
      <c r="H1807" s="1006"/>
      <c r="I1807" s="1006"/>
    </row>
    <row r="1808" spans="1:10" ht="15.75" thickBot="1" x14ac:dyDescent="0.3">
      <c r="A1808" s="149"/>
      <c r="B1808" s="1006"/>
      <c r="C1808" s="1006"/>
      <c r="D1808" s="1006"/>
      <c r="E1808" s="1006"/>
      <c r="F1808" s="1006"/>
      <c r="G1808" s="1006"/>
      <c r="H1808" s="1006"/>
      <c r="I1808" s="1006"/>
    </row>
    <row r="1809" spans="1:10" ht="15.75" x14ac:dyDescent="0.25">
      <c r="A1809" s="692" t="s">
        <v>2</v>
      </c>
      <c r="B1809" s="681" t="s">
        <v>274</v>
      </c>
      <c r="C1809" s="681" t="s">
        <v>275</v>
      </c>
      <c r="D1809" s="681" t="s">
        <v>658</v>
      </c>
      <c r="E1809" s="681" t="s">
        <v>277</v>
      </c>
      <c r="F1809" s="681" t="s">
        <v>278</v>
      </c>
      <c r="G1809" s="681" t="s">
        <v>279</v>
      </c>
      <c r="H1809" s="681" t="s">
        <v>280</v>
      </c>
      <c r="I1809" s="617" t="s">
        <v>96</v>
      </c>
      <c r="J1809" s="682" t="s">
        <v>97</v>
      </c>
    </row>
    <row r="1810" spans="1:10" x14ac:dyDescent="0.25">
      <c r="A1810" s="693" t="s">
        <v>11</v>
      </c>
      <c r="B1810" s="56">
        <f>73+61+15</f>
        <v>149</v>
      </c>
      <c r="C1810" s="673">
        <f>79+45+6</f>
        <v>130</v>
      </c>
      <c r="D1810" s="673">
        <f>71+48+12</f>
        <v>131</v>
      </c>
      <c r="E1810" s="738">
        <f>79+51+7</f>
        <v>137</v>
      </c>
      <c r="F1810" s="738">
        <f>102+67+20</f>
        <v>189</v>
      </c>
      <c r="G1810" s="738">
        <f>115+62+18</f>
        <v>195</v>
      </c>
      <c r="H1810" s="738">
        <f>105+71+15</f>
        <v>191</v>
      </c>
      <c r="I1810" s="738">
        <f t="shared" ref="I1810:I1815" si="818">SUM(B1810:H1810)</f>
        <v>1122</v>
      </c>
      <c r="J1810" s="683">
        <f>FLORESTA!$I1810/7</f>
        <v>160.28571428571428</v>
      </c>
    </row>
    <row r="1811" spans="1:10" x14ac:dyDescent="0.25">
      <c r="A1811" s="694" t="s">
        <v>12</v>
      </c>
      <c r="B1811" s="689">
        <v>35</v>
      </c>
      <c r="C1811" s="671">
        <v>24</v>
      </c>
      <c r="D1811" s="675">
        <v>29</v>
      </c>
      <c r="E1811" s="734">
        <v>34</v>
      </c>
      <c r="F1811" s="735">
        <v>40</v>
      </c>
      <c r="G1811" s="736">
        <v>35</v>
      </c>
      <c r="H1811" s="734">
        <v>47</v>
      </c>
      <c r="I1811" s="737">
        <f t="shared" si="818"/>
        <v>244</v>
      </c>
      <c r="J1811" s="684">
        <f>FLORESTA!$I1811/7</f>
        <v>34.857142857142854</v>
      </c>
    </row>
    <row r="1812" spans="1:10" x14ac:dyDescent="0.25">
      <c r="A1812" s="694" t="s">
        <v>13</v>
      </c>
      <c r="B1812" s="313">
        <v>3</v>
      </c>
      <c r="C1812" s="13">
        <v>1</v>
      </c>
      <c r="D1812" s="13">
        <v>0</v>
      </c>
      <c r="E1812" s="11">
        <v>0</v>
      </c>
      <c r="F1812" s="125">
        <v>2</v>
      </c>
      <c r="G1812" s="11">
        <v>3</v>
      </c>
      <c r="H1812" s="11">
        <v>0</v>
      </c>
      <c r="I1812" s="313">
        <f t="shared" si="818"/>
        <v>9</v>
      </c>
      <c r="J1812" s="684">
        <f>C1812+D1812+E1812+F1812+G1812+H1812+I1812</f>
        <v>15</v>
      </c>
    </row>
    <row r="1813" spans="1:10" x14ac:dyDescent="0.25">
      <c r="A1813" s="694" t="s">
        <v>14</v>
      </c>
      <c r="B1813" s="313">
        <v>97</v>
      </c>
      <c r="C1813" s="13">
        <v>77</v>
      </c>
      <c r="D1813" s="320">
        <v>78</v>
      </c>
      <c r="E1813" s="11">
        <v>72</v>
      </c>
      <c r="F1813" s="125">
        <v>102</v>
      </c>
      <c r="G1813" s="11">
        <v>86</v>
      </c>
      <c r="H1813" s="11">
        <v>95</v>
      </c>
      <c r="I1813" s="313">
        <f t="shared" si="818"/>
        <v>607</v>
      </c>
      <c r="J1813" s="684">
        <f>FLORESTA!$I1813/7</f>
        <v>86.714285714285708</v>
      </c>
    </row>
    <row r="1814" spans="1:10" x14ac:dyDescent="0.25">
      <c r="A1814" s="694" t="s">
        <v>15</v>
      </c>
      <c r="B1814" s="313">
        <v>3</v>
      </c>
      <c r="C1814" s="13">
        <v>9</v>
      </c>
      <c r="D1814" s="13">
        <v>9</v>
      </c>
      <c r="E1814" s="11">
        <v>9</v>
      </c>
      <c r="F1814" s="125">
        <v>13</v>
      </c>
      <c r="G1814" s="11">
        <v>24</v>
      </c>
      <c r="H1814" s="11">
        <v>14</v>
      </c>
      <c r="I1814" s="313">
        <f t="shared" si="818"/>
        <v>81</v>
      </c>
      <c r="J1814" s="684">
        <f>FLORESTA!$I1814/7</f>
        <v>11.571428571428571</v>
      </c>
    </row>
    <row r="1815" spans="1:10" x14ac:dyDescent="0.25">
      <c r="A1815" s="694" t="s">
        <v>16</v>
      </c>
      <c r="B1815" s="313">
        <v>0</v>
      </c>
      <c r="C1815" s="13">
        <v>0</v>
      </c>
      <c r="D1815" s="13">
        <v>0</v>
      </c>
      <c r="E1815" s="11">
        <v>0</v>
      </c>
      <c r="F1815" s="125">
        <v>0</v>
      </c>
      <c r="G1815" s="11">
        <v>0</v>
      </c>
      <c r="H1815" s="11">
        <v>0</v>
      </c>
      <c r="I1815" s="313">
        <f t="shared" si="818"/>
        <v>0</v>
      </c>
      <c r="J1815" s="684">
        <f>FLORESTA!$I1815/7</f>
        <v>0</v>
      </c>
    </row>
    <row r="1816" spans="1:10" x14ac:dyDescent="0.25">
      <c r="A1816" s="695" t="s">
        <v>17</v>
      </c>
      <c r="B1816" s="15">
        <f t="shared" ref="B1816:I1816" si="819">SUM(B1811:B1815)</f>
        <v>138</v>
      </c>
      <c r="C1816" s="79">
        <f t="shared" si="819"/>
        <v>111</v>
      </c>
      <c r="D1816" s="79">
        <f t="shared" si="819"/>
        <v>116</v>
      </c>
      <c r="E1816" s="103">
        <f t="shared" si="819"/>
        <v>115</v>
      </c>
      <c r="F1816" s="213">
        <f t="shared" si="819"/>
        <v>157</v>
      </c>
      <c r="G1816" s="103">
        <f t="shared" si="819"/>
        <v>148</v>
      </c>
      <c r="H1816" s="103">
        <f t="shared" si="819"/>
        <v>156</v>
      </c>
      <c r="I1816" s="103">
        <f t="shared" si="819"/>
        <v>941</v>
      </c>
      <c r="J1816" s="625">
        <f>FLORESTA!$I1816/7</f>
        <v>134.42857142857142</v>
      </c>
    </row>
    <row r="1817" spans="1:10" x14ac:dyDescent="0.25">
      <c r="A1817" s="694" t="s">
        <v>18</v>
      </c>
      <c r="B1817" s="690">
        <v>0.28999999999999998</v>
      </c>
      <c r="C1817" s="326">
        <v>0.25</v>
      </c>
      <c r="D1817" s="326">
        <v>0.33</v>
      </c>
      <c r="E1817" s="327">
        <v>0.38</v>
      </c>
      <c r="F1817" s="328">
        <v>0.3</v>
      </c>
      <c r="G1817" s="327">
        <v>0.26</v>
      </c>
      <c r="H1817" s="327">
        <v>0.32</v>
      </c>
      <c r="I1817" s="18">
        <f>I1824/I1829</f>
        <v>0.30341988110501006</v>
      </c>
      <c r="J1817" s="626">
        <f>J1824/J1829</f>
        <v>0.30341988110501006</v>
      </c>
    </row>
    <row r="1818" spans="1:10" x14ac:dyDescent="0.25">
      <c r="A1818" s="694" t="s">
        <v>19</v>
      </c>
      <c r="B1818" s="690">
        <v>0.02</v>
      </c>
      <c r="C1818" s="326">
        <v>0.01</v>
      </c>
      <c r="D1818" s="326">
        <v>0</v>
      </c>
      <c r="E1818" s="327">
        <v>0</v>
      </c>
      <c r="F1818" s="327">
        <v>0.01</v>
      </c>
      <c r="G1818" s="327">
        <v>0.02</v>
      </c>
      <c r="H1818" s="327">
        <v>0</v>
      </c>
      <c r="I1818" s="18">
        <f>I1825/I1829</f>
        <v>8.8261009045579684E-3</v>
      </c>
      <c r="J1818" s="626">
        <f>J1825/J1829</f>
        <v>8.8261009045579684E-3</v>
      </c>
    </row>
    <row r="1819" spans="1:10" x14ac:dyDescent="0.25">
      <c r="A1819" s="694" t="s">
        <v>20</v>
      </c>
      <c r="B1819" s="690">
        <v>0.66</v>
      </c>
      <c r="C1819" s="326">
        <v>0.66</v>
      </c>
      <c r="D1819" s="326">
        <v>0.57999999999999996</v>
      </c>
      <c r="E1819" s="327">
        <v>0.56999999999999995</v>
      </c>
      <c r="F1819" s="329">
        <v>0.61</v>
      </c>
      <c r="G1819" s="327">
        <v>0.55000000000000004</v>
      </c>
      <c r="H1819" s="327">
        <v>0.57999999999999996</v>
      </c>
      <c r="I1819" s="18">
        <f>I1826/I1829</f>
        <v>0.59853131393798031</v>
      </c>
      <c r="J1819" s="626">
        <f>J1826/J1829</f>
        <v>0.59853131393798031</v>
      </c>
    </row>
    <row r="1820" spans="1:10" x14ac:dyDescent="0.25">
      <c r="A1820" s="694" t="s">
        <v>21</v>
      </c>
      <c r="B1820" s="690">
        <v>0.03</v>
      </c>
      <c r="C1820" s="326">
        <v>0.08</v>
      </c>
      <c r="D1820" s="326">
        <v>0.09</v>
      </c>
      <c r="E1820" s="327">
        <v>0.05</v>
      </c>
      <c r="F1820" s="329">
        <v>0.08</v>
      </c>
      <c r="G1820" s="327">
        <v>0.17</v>
      </c>
      <c r="H1820" s="327">
        <v>0.1</v>
      </c>
      <c r="I1820" s="18">
        <f>I1827/I1829</f>
        <v>8.922270405245164E-2</v>
      </c>
      <c r="J1820" s="626">
        <f>J1827/J1829</f>
        <v>8.922270405245164E-2</v>
      </c>
    </row>
    <row r="1821" spans="1:10" x14ac:dyDescent="0.25">
      <c r="A1821" s="694" t="s">
        <v>22</v>
      </c>
      <c r="B1821" s="690">
        <v>0</v>
      </c>
      <c r="C1821" s="326">
        <v>0</v>
      </c>
      <c r="D1821" s="326">
        <v>0</v>
      </c>
      <c r="E1821" s="327">
        <v>0</v>
      </c>
      <c r="F1821" s="329">
        <v>0</v>
      </c>
      <c r="G1821" s="327">
        <v>0</v>
      </c>
      <c r="H1821" s="327">
        <v>0</v>
      </c>
      <c r="I1821" s="18">
        <f>I1828/I1829</f>
        <v>0</v>
      </c>
      <c r="J1821" s="626">
        <f>J1828/J1829</f>
        <v>0</v>
      </c>
    </row>
    <row r="1822" spans="1:10" x14ac:dyDescent="0.25">
      <c r="A1822" s="696" t="s">
        <v>23</v>
      </c>
      <c r="B1822" s="314">
        <f t="shared" ref="B1822:J1822" si="820">B1833/B1816</f>
        <v>30554.347826086956</v>
      </c>
      <c r="C1822" s="131">
        <f t="shared" si="820"/>
        <v>31454.954954954959</v>
      </c>
      <c r="D1822" s="131">
        <f t="shared" si="820"/>
        <v>31934.482758620692</v>
      </c>
      <c r="E1822" s="130">
        <f t="shared" si="820"/>
        <v>33837.391304347824</v>
      </c>
      <c r="F1822" s="132">
        <f t="shared" si="820"/>
        <v>32264.331210191089</v>
      </c>
      <c r="G1822" s="130">
        <f t="shared" si="820"/>
        <v>34939.864864864874</v>
      </c>
      <c r="H1822" s="130">
        <f t="shared" si="820"/>
        <v>35020.51282051282</v>
      </c>
      <c r="I1822" s="314">
        <f t="shared" si="820"/>
        <v>32947.396386822533</v>
      </c>
      <c r="J1822" s="685">
        <f t="shared" si="820"/>
        <v>32947.396386822533</v>
      </c>
    </row>
    <row r="1823" spans="1:10" x14ac:dyDescent="0.25">
      <c r="A1823" s="696" t="s">
        <v>24</v>
      </c>
      <c r="B1823" s="314">
        <f t="shared" ref="B1823:J1823" si="821">B1833/B1810</f>
        <v>28298.657718120805</v>
      </c>
      <c r="C1823" s="131">
        <f t="shared" si="821"/>
        <v>26857.692307692312</v>
      </c>
      <c r="D1823" s="131">
        <f t="shared" si="821"/>
        <v>28277.862595419851</v>
      </c>
      <c r="E1823" s="130">
        <f t="shared" si="821"/>
        <v>28403.649635036498</v>
      </c>
      <c r="F1823" s="132">
        <f t="shared" si="821"/>
        <v>26801.587301587308</v>
      </c>
      <c r="G1823" s="130">
        <f t="shared" si="821"/>
        <v>26518.461538461543</v>
      </c>
      <c r="H1823" s="130">
        <f t="shared" si="821"/>
        <v>28603.141361256545</v>
      </c>
      <c r="I1823" s="314">
        <f t="shared" si="821"/>
        <v>27632.352941176476</v>
      </c>
      <c r="J1823" s="685">
        <f t="shared" si="821"/>
        <v>27632.352941176476</v>
      </c>
    </row>
    <row r="1824" spans="1:10" x14ac:dyDescent="0.25">
      <c r="A1824" s="694" t="s">
        <v>25</v>
      </c>
      <c r="B1824" s="300">
        <f t="shared" ref="B1824:H1824" si="822">B1829*B1817</f>
        <v>1029622.9</v>
      </c>
      <c r="C1824" s="133">
        <f t="shared" si="822"/>
        <v>737994.44827586215</v>
      </c>
      <c r="D1824" s="133">
        <f t="shared" si="822"/>
        <v>1030735.9510344829</v>
      </c>
      <c r="E1824" s="92">
        <f t="shared" si="822"/>
        <v>1243547.3268965518</v>
      </c>
      <c r="F1824" s="134">
        <f t="shared" si="822"/>
        <v>1281075.1034482759</v>
      </c>
      <c r="G1824" s="92">
        <f t="shared" si="822"/>
        <v>1137072.255172414</v>
      </c>
      <c r="H1824" s="92">
        <f t="shared" si="822"/>
        <v>1470783.0951724139</v>
      </c>
      <c r="I1824" s="92">
        <f>FLORESTA!$B1824+FLORESTA!$C1824+FLORESTA!$D1824+FLORESTA!$E1824+FLORESTA!$F1824+FLORESTA!$G1824+FLORESTA!$H1824</f>
        <v>7930831.0800000001</v>
      </c>
      <c r="J1824" s="629">
        <f>FLORESTA!$I1824/7</f>
        <v>1132975.8685714286</v>
      </c>
    </row>
    <row r="1825" spans="1:10" x14ac:dyDescent="0.25">
      <c r="A1825" s="694" t="s">
        <v>26</v>
      </c>
      <c r="B1825" s="300">
        <f t="shared" ref="B1825:H1825" si="823">B1829*B1818</f>
        <v>71008.475862068968</v>
      </c>
      <c r="C1825" s="133">
        <f t="shared" si="823"/>
        <v>29519.777931034485</v>
      </c>
      <c r="D1825" s="133">
        <f t="shared" si="823"/>
        <v>0</v>
      </c>
      <c r="E1825" s="92">
        <f t="shared" si="823"/>
        <v>0</v>
      </c>
      <c r="F1825" s="134">
        <f t="shared" si="823"/>
        <v>42702.503448275871</v>
      </c>
      <c r="G1825" s="92">
        <f t="shared" si="823"/>
        <v>87467.096551724157</v>
      </c>
      <c r="H1825" s="92">
        <f t="shared" si="823"/>
        <v>0</v>
      </c>
      <c r="I1825" s="92">
        <f>FLORESTA!$B1825+FLORESTA!$C1825+FLORESTA!$D1825+FLORESTA!$E1825+FLORESTA!$F1825+FLORESTA!$G1825+FLORESTA!$H1825</f>
        <v>230697.85379310348</v>
      </c>
      <c r="J1825" s="629">
        <f>FLORESTA!$I1825/7</f>
        <v>32956.836256157643</v>
      </c>
    </row>
    <row r="1826" spans="1:10" x14ac:dyDescent="0.25">
      <c r="A1826" s="694" t="s">
        <v>27</v>
      </c>
      <c r="B1826" s="300">
        <f t="shared" ref="B1826:H1826" si="824">B1829*B1819</f>
        <v>2343279.703448276</v>
      </c>
      <c r="C1826" s="133">
        <f t="shared" si="824"/>
        <v>1948305.3434482762</v>
      </c>
      <c r="D1826" s="133">
        <f t="shared" si="824"/>
        <v>1811596.52</v>
      </c>
      <c r="E1826" s="92">
        <f t="shared" si="824"/>
        <v>1865320.9903448275</v>
      </c>
      <c r="F1826" s="134">
        <f t="shared" si="824"/>
        <v>2604852.7103448277</v>
      </c>
      <c r="G1826" s="92">
        <f t="shared" si="824"/>
        <v>2405345.1551724141</v>
      </c>
      <c r="H1826" s="92">
        <f t="shared" si="824"/>
        <v>2665794.36</v>
      </c>
      <c r="I1826" s="92">
        <f>FLORESTA!$B1826+FLORESTA!$C1826+FLORESTA!$D1826+FLORESTA!$E1826+FLORESTA!$F1826+FLORESTA!$G1826+FLORESTA!$H1826</f>
        <v>15644494.782758623</v>
      </c>
      <c r="J1826" s="629">
        <f>FLORESTA!$I1826/7</f>
        <v>2234927.8261083746</v>
      </c>
    </row>
    <row r="1827" spans="1:10" x14ac:dyDescent="0.25">
      <c r="A1827" s="694" t="s">
        <v>28</v>
      </c>
      <c r="B1827" s="300">
        <f t="shared" ref="B1827:H1827" si="825">B1829*B1820</f>
        <v>106512.71379310345</v>
      </c>
      <c r="C1827" s="133">
        <f t="shared" si="825"/>
        <v>236158.22344827588</v>
      </c>
      <c r="D1827" s="133">
        <f t="shared" si="825"/>
        <v>281109.80482758622</v>
      </c>
      <c r="E1827" s="92">
        <f t="shared" si="825"/>
        <v>163624.6482758621</v>
      </c>
      <c r="F1827" s="134">
        <f t="shared" si="825"/>
        <v>341620.02758620697</v>
      </c>
      <c r="G1827" s="92">
        <f t="shared" si="825"/>
        <v>743470.32068965537</v>
      </c>
      <c r="H1827" s="92">
        <f t="shared" si="825"/>
        <v>459619.71724137937</v>
      </c>
      <c r="I1827" s="92">
        <f>FLORESTA!$B1827+FLORESTA!$C1827+FLORESTA!$D1827+FLORESTA!$E1827+FLORESTA!$F1827+FLORESTA!$G1827+FLORESTA!$H1827</f>
        <v>2332115.4558620695</v>
      </c>
      <c r="J1827" s="629">
        <f>FLORESTA!$I1827/7</f>
        <v>333159.35083743848</v>
      </c>
    </row>
    <row r="1828" spans="1:10" x14ac:dyDescent="0.25">
      <c r="A1828" s="694" t="s">
        <v>29</v>
      </c>
      <c r="B1828" s="300">
        <f t="shared" ref="B1828:H1828" si="826">B1829*B1821</f>
        <v>0</v>
      </c>
      <c r="C1828" s="133">
        <f t="shared" si="826"/>
        <v>0</v>
      </c>
      <c r="D1828" s="133">
        <f t="shared" si="826"/>
        <v>0</v>
      </c>
      <c r="E1828" s="92">
        <f t="shared" si="826"/>
        <v>0</v>
      </c>
      <c r="F1828" s="134">
        <f t="shared" si="826"/>
        <v>0</v>
      </c>
      <c r="G1828" s="92">
        <f t="shared" si="826"/>
        <v>0</v>
      </c>
      <c r="H1828" s="92">
        <f t="shared" si="826"/>
        <v>0</v>
      </c>
      <c r="I1828" s="92">
        <f>FLORESTA!$B1828+FLORESTA!$C1828+FLORESTA!$D1828+FLORESTA!$E1828+FLORESTA!$F1828+FLORESTA!$G1828+FLORESTA!$H1828</f>
        <v>0</v>
      </c>
      <c r="J1828" s="629">
        <f>FLORESTA!$I1828/7</f>
        <v>0</v>
      </c>
    </row>
    <row r="1829" spans="1:10" x14ac:dyDescent="0.25">
      <c r="A1829" s="697" t="s">
        <v>30</v>
      </c>
      <c r="B1829" s="691">
        <f>(4216500/1.16)-B1830</f>
        <v>3550423.7931034486</v>
      </c>
      <c r="C1829" s="691">
        <f>(3491500/1.16)-C1830</f>
        <v>2951977.7931034486</v>
      </c>
      <c r="D1829" s="691">
        <f>(3704400/1.16)-D1830</f>
        <v>3123442.2758620693</v>
      </c>
      <c r="E1829" s="691">
        <f>(3891300/1.16)-E1830</f>
        <v>3272492.9655172415</v>
      </c>
      <c r="F1829" s="691">
        <f>(5065500/1.16)-F1830</f>
        <v>4270250.3448275868</v>
      </c>
      <c r="G1829" s="691">
        <f>(5171100/1.16)-G1830</f>
        <v>4373354.8275862075</v>
      </c>
      <c r="H1829" s="691">
        <f>(5463200/1.16)-H1830</f>
        <v>4596197.1724137934</v>
      </c>
      <c r="I1829" s="91">
        <f>SUM(I1824:I1828)</f>
        <v>26138139.172413796</v>
      </c>
      <c r="J1829" s="631">
        <f>FLORESTA!$I1829/7</f>
        <v>3734019.8817733997</v>
      </c>
    </row>
    <row r="1830" spans="1:10" x14ac:dyDescent="0.25">
      <c r="A1830" s="694" t="s">
        <v>31</v>
      </c>
      <c r="B1830" s="302">
        <f t="shared" ref="B1830:I1830" si="827">2414*B1811</f>
        <v>84490</v>
      </c>
      <c r="C1830" s="139">
        <f t="shared" si="827"/>
        <v>57936</v>
      </c>
      <c r="D1830" s="139">
        <f t="shared" si="827"/>
        <v>70006</v>
      </c>
      <c r="E1830" s="139">
        <f t="shared" si="827"/>
        <v>82076</v>
      </c>
      <c r="F1830" s="139">
        <f t="shared" si="827"/>
        <v>96560</v>
      </c>
      <c r="G1830" s="139">
        <f t="shared" si="827"/>
        <v>84490</v>
      </c>
      <c r="H1830" s="139">
        <f t="shared" si="827"/>
        <v>113458</v>
      </c>
      <c r="I1830" s="94">
        <f t="shared" si="827"/>
        <v>589016</v>
      </c>
      <c r="J1830" s="632">
        <f>2155*J1811</f>
        <v>75117.142857142855</v>
      </c>
    </row>
    <row r="1831" spans="1:10" x14ac:dyDescent="0.25">
      <c r="A1831" s="698" t="s">
        <v>32</v>
      </c>
      <c r="B1831" s="364">
        <f t="shared" ref="B1831:H1831" si="828">B1829+B1830</f>
        <v>3634913.7931034486</v>
      </c>
      <c r="C1831" s="40">
        <f t="shared" si="828"/>
        <v>3009913.7931034486</v>
      </c>
      <c r="D1831" s="40">
        <f t="shared" si="828"/>
        <v>3193448.2758620693</v>
      </c>
      <c r="E1831" s="39">
        <f t="shared" si="828"/>
        <v>3354568.9655172415</v>
      </c>
      <c r="F1831" s="140">
        <f t="shared" si="828"/>
        <v>4366810.3448275868</v>
      </c>
      <c r="G1831" s="39">
        <f t="shared" si="828"/>
        <v>4457844.8275862075</v>
      </c>
      <c r="H1831" s="39">
        <f t="shared" si="828"/>
        <v>4709655.1724137934</v>
      </c>
      <c r="I1831" s="39">
        <f>I1829+I1830</f>
        <v>26727155.172413796</v>
      </c>
      <c r="J1831" s="634">
        <f>J1829+J1830</f>
        <v>3809137.0246305424</v>
      </c>
    </row>
    <row r="1832" spans="1:10" x14ac:dyDescent="0.25">
      <c r="A1832" s="694" t="s">
        <v>33</v>
      </c>
      <c r="B1832" s="415">
        <f t="shared" ref="B1832:H1832" si="829">B1831*16%</f>
        <v>581586.20689655177</v>
      </c>
      <c r="C1832" s="42">
        <f t="shared" si="829"/>
        <v>481586.20689655177</v>
      </c>
      <c r="D1832" s="42">
        <f t="shared" si="829"/>
        <v>510951.72413793113</v>
      </c>
      <c r="E1832" s="41">
        <f t="shared" si="829"/>
        <v>536731.03448275861</v>
      </c>
      <c r="F1832" s="141">
        <f t="shared" si="829"/>
        <v>698689.65517241391</v>
      </c>
      <c r="G1832" s="41">
        <f t="shared" si="829"/>
        <v>713255.17241379328</v>
      </c>
      <c r="H1832" s="41">
        <f t="shared" si="829"/>
        <v>753544.82758620696</v>
      </c>
      <c r="I1832" s="41">
        <f>I1831*16%</f>
        <v>4276344.8275862075</v>
      </c>
      <c r="J1832" s="635">
        <f>J1831*16%</f>
        <v>609461.92394088674</v>
      </c>
    </row>
    <row r="1833" spans="1:10" ht="15.75" thickBot="1" x14ac:dyDescent="0.3">
      <c r="A1833" s="699" t="s">
        <v>34</v>
      </c>
      <c r="B1833" s="687">
        <f t="shared" ref="B1833:H1833" si="830">B1831+B1832</f>
        <v>4216500</v>
      </c>
      <c r="C1833" s="638">
        <f t="shared" si="830"/>
        <v>3491500.0000000005</v>
      </c>
      <c r="D1833" s="638">
        <f t="shared" si="830"/>
        <v>3704400.0000000005</v>
      </c>
      <c r="E1833" s="686">
        <f t="shared" si="830"/>
        <v>3891300</v>
      </c>
      <c r="F1833" s="687">
        <f t="shared" si="830"/>
        <v>5065500.0000000009</v>
      </c>
      <c r="G1833" s="686">
        <f t="shared" si="830"/>
        <v>5171100.0000000009</v>
      </c>
      <c r="H1833" s="686">
        <f t="shared" si="830"/>
        <v>5463200</v>
      </c>
      <c r="I1833" s="686">
        <f>I1831+I1832</f>
        <v>31003500.000000004</v>
      </c>
      <c r="J1833" s="639">
        <f>FLORESTA!$I1833/7</f>
        <v>4429071.4285714291</v>
      </c>
    </row>
    <row r="1834" spans="1:10" ht="15.75" thickBot="1" x14ac:dyDescent="0.3"/>
    <row r="1835" spans="1:10" ht="15.75" thickBot="1" x14ac:dyDescent="0.3">
      <c r="A1835" s="149"/>
      <c r="B1835" s="1006" t="s">
        <v>634</v>
      </c>
      <c r="C1835" s="1006"/>
      <c r="D1835" s="1006"/>
      <c r="E1835" s="1006"/>
      <c r="F1835" s="1006"/>
      <c r="G1835" s="1006"/>
      <c r="H1835" s="1006"/>
      <c r="I1835" s="1006"/>
    </row>
    <row r="1836" spans="1:10" ht="15.75" thickBot="1" x14ac:dyDescent="0.3">
      <c r="A1836" s="149"/>
      <c r="B1836" s="1006"/>
      <c r="C1836" s="1006"/>
      <c r="D1836" s="1006"/>
      <c r="E1836" s="1006"/>
      <c r="F1836" s="1006"/>
      <c r="G1836" s="1006"/>
      <c r="H1836" s="1006"/>
      <c r="I1836" s="1006"/>
    </row>
    <row r="1837" spans="1:10" ht="15.75" x14ac:dyDescent="0.25">
      <c r="A1837" s="692" t="s">
        <v>2</v>
      </c>
      <c r="B1837" s="681" t="s">
        <v>282</v>
      </c>
      <c r="C1837" s="681" t="s">
        <v>4</v>
      </c>
      <c r="D1837" s="681" t="s">
        <v>5</v>
      </c>
      <c r="E1837" s="681" t="s">
        <v>6</v>
      </c>
      <c r="F1837" s="681" t="s">
        <v>7</v>
      </c>
      <c r="G1837" s="681" t="s">
        <v>283</v>
      </c>
      <c r="H1837" s="681" t="s">
        <v>9</v>
      </c>
      <c r="I1837" s="617" t="s">
        <v>96</v>
      </c>
      <c r="J1837" s="682" t="s">
        <v>97</v>
      </c>
    </row>
    <row r="1838" spans="1:10" x14ac:dyDescent="0.25">
      <c r="A1838" s="693" t="s">
        <v>11</v>
      </c>
      <c r="B1838" s="56">
        <f>80+84+24</f>
        <v>188</v>
      </c>
      <c r="C1838" s="673">
        <f>56+33+10</f>
        <v>99</v>
      </c>
      <c r="D1838" s="673">
        <f>60+39+8</f>
        <v>107</v>
      </c>
      <c r="E1838" s="738">
        <f>64+42+11</f>
        <v>117</v>
      </c>
      <c r="F1838" s="738">
        <f>93+91+19</f>
        <v>203</v>
      </c>
      <c r="G1838" s="738">
        <f>134+97+24</f>
        <v>255</v>
      </c>
      <c r="H1838" s="738">
        <f>104+95+31</f>
        <v>230</v>
      </c>
      <c r="I1838" s="738">
        <f t="shared" ref="I1838:I1843" si="831">SUM(B1838:H1838)</f>
        <v>1199</v>
      </c>
      <c r="J1838" s="683">
        <f>FLORESTA!$I1838/7</f>
        <v>171.28571428571428</v>
      </c>
    </row>
    <row r="1839" spans="1:10" x14ac:dyDescent="0.25">
      <c r="A1839" s="694" t="s">
        <v>12</v>
      </c>
      <c r="B1839" s="689">
        <v>44</v>
      </c>
      <c r="C1839" s="671">
        <v>21</v>
      </c>
      <c r="D1839" s="675">
        <v>25</v>
      </c>
      <c r="E1839" s="734">
        <v>27</v>
      </c>
      <c r="F1839" s="735">
        <v>60</v>
      </c>
      <c r="G1839" s="736">
        <v>64</v>
      </c>
      <c r="H1839" s="734">
        <v>70</v>
      </c>
      <c r="I1839" s="737">
        <f t="shared" si="831"/>
        <v>311</v>
      </c>
      <c r="J1839" s="684">
        <f>FLORESTA!$I1839/7</f>
        <v>44.428571428571431</v>
      </c>
    </row>
    <row r="1840" spans="1:10" x14ac:dyDescent="0.25">
      <c r="A1840" s="694" t="s">
        <v>13</v>
      </c>
      <c r="B1840" s="313">
        <v>2</v>
      </c>
      <c r="C1840" s="13">
        <v>0</v>
      </c>
      <c r="D1840" s="13">
        <v>0</v>
      </c>
      <c r="E1840" s="11">
        <v>0</v>
      </c>
      <c r="F1840" s="125">
        <v>1</v>
      </c>
      <c r="G1840" s="11">
        <v>5</v>
      </c>
      <c r="H1840" s="11">
        <v>0</v>
      </c>
      <c r="I1840" s="313">
        <f t="shared" si="831"/>
        <v>8</v>
      </c>
      <c r="J1840" s="684">
        <f>C1840+D1840+E1840+F1840+G1840+H1840+I1840</f>
        <v>14</v>
      </c>
    </row>
    <row r="1841" spans="1:10" x14ac:dyDescent="0.25">
      <c r="A1841" s="694" t="s">
        <v>14</v>
      </c>
      <c r="B1841" s="313">
        <v>96</v>
      </c>
      <c r="C1841" s="13">
        <v>56</v>
      </c>
      <c r="D1841" s="320">
        <v>64</v>
      </c>
      <c r="E1841" s="11">
        <v>66</v>
      </c>
      <c r="F1841" s="125">
        <v>99</v>
      </c>
      <c r="G1841" s="11">
        <v>123</v>
      </c>
      <c r="H1841" s="11">
        <v>115</v>
      </c>
      <c r="I1841" s="313">
        <f t="shared" si="831"/>
        <v>619</v>
      </c>
      <c r="J1841" s="684">
        <f>FLORESTA!$I1841/7</f>
        <v>88.428571428571431</v>
      </c>
    </row>
    <row r="1842" spans="1:10" x14ac:dyDescent="0.25">
      <c r="A1842" s="694" t="s">
        <v>15</v>
      </c>
      <c r="B1842" s="313">
        <v>15</v>
      </c>
      <c r="C1842" s="13">
        <v>7</v>
      </c>
      <c r="D1842" s="13">
        <v>6</v>
      </c>
      <c r="E1842" s="11">
        <v>3</v>
      </c>
      <c r="F1842" s="125">
        <v>15</v>
      </c>
      <c r="G1842" s="11">
        <v>20</v>
      </c>
      <c r="H1842" s="11">
        <v>11</v>
      </c>
      <c r="I1842" s="313">
        <f t="shared" si="831"/>
        <v>77</v>
      </c>
      <c r="J1842" s="684">
        <f>FLORESTA!$I1842/7</f>
        <v>11</v>
      </c>
    </row>
    <row r="1843" spans="1:10" x14ac:dyDescent="0.25">
      <c r="A1843" s="694" t="s">
        <v>16</v>
      </c>
      <c r="B1843" s="313">
        <v>0</v>
      </c>
      <c r="C1843" s="13">
        <v>0</v>
      </c>
      <c r="D1843" s="13">
        <v>0</v>
      </c>
      <c r="E1843" s="11">
        <v>0</v>
      </c>
      <c r="F1843" s="125">
        <v>0</v>
      </c>
      <c r="G1843" s="11">
        <v>0</v>
      </c>
      <c r="H1843" s="11">
        <v>0</v>
      </c>
      <c r="I1843" s="313">
        <f t="shared" si="831"/>
        <v>0</v>
      </c>
      <c r="J1843" s="684">
        <f>FLORESTA!$I1843/7</f>
        <v>0</v>
      </c>
    </row>
    <row r="1844" spans="1:10" x14ac:dyDescent="0.25">
      <c r="A1844" s="695" t="s">
        <v>17</v>
      </c>
      <c r="B1844" s="15">
        <f t="shared" ref="B1844:I1844" si="832">SUM(B1839:B1843)</f>
        <v>157</v>
      </c>
      <c r="C1844" s="79">
        <f t="shared" si="832"/>
        <v>84</v>
      </c>
      <c r="D1844" s="79">
        <f t="shared" si="832"/>
        <v>95</v>
      </c>
      <c r="E1844" s="103">
        <f t="shared" si="832"/>
        <v>96</v>
      </c>
      <c r="F1844" s="213">
        <f t="shared" si="832"/>
        <v>175</v>
      </c>
      <c r="G1844" s="103">
        <f t="shared" si="832"/>
        <v>212</v>
      </c>
      <c r="H1844" s="103">
        <f t="shared" si="832"/>
        <v>196</v>
      </c>
      <c r="I1844" s="103">
        <f t="shared" si="832"/>
        <v>1015</v>
      </c>
      <c r="J1844" s="625">
        <f>FLORESTA!$I1844/7</f>
        <v>145</v>
      </c>
    </row>
    <row r="1845" spans="1:10" x14ac:dyDescent="0.25">
      <c r="A1845" s="694" t="s">
        <v>18</v>
      </c>
      <c r="B1845" s="690">
        <v>0.31</v>
      </c>
      <c r="C1845" s="326">
        <v>0.31</v>
      </c>
      <c r="D1845" s="326">
        <v>0.32</v>
      </c>
      <c r="E1845" s="327">
        <v>0.37</v>
      </c>
      <c r="F1845" s="328">
        <v>0.37</v>
      </c>
      <c r="G1845" s="327">
        <v>0.35</v>
      </c>
      <c r="H1845" s="327">
        <v>0.39</v>
      </c>
      <c r="I1845" s="18">
        <f>I1852/I1857</f>
        <v>0.35100762282543224</v>
      </c>
      <c r="J1845" s="626">
        <f>J1852/J1857</f>
        <v>0.35100762282543224</v>
      </c>
    </row>
    <row r="1846" spans="1:10" x14ac:dyDescent="0.25">
      <c r="A1846" s="694" t="s">
        <v>19</v>
      </c>
      <c r="B1846" s="690">
        <v>0.01</v>
      </c>
      <c r="C1846" s="326">
        <v>0</v>
      </c>
      <c r="D1846" s="326">
        <v>0</v>
      </c>
      <c r="E1846" s="327">
        <v>0</v>
      </c>
      <c r="F1846" s="327">
        <v>0.01</v>
      </c>
      <c r="G1846" s="327">
        <v>0.03</v>
      </c>
      <c r="H1846" s="327">
        <v>0</v>
      </c>
      <c r="I1846" s="18">
        <f>I1853/I1857</f>
        <v>9.7903793139151214E-3</v>
      </c>
      <c r="J1846" s="626">
        <f>J1853/J1857</f>
        <v>9.7903793139151214E-3</v>
      </c>
    </row>
    <row r="1847" spans="1:10" x14ac:dyDescent="0.25">
      <c r="A1847" s="694" t="s">
        <v>20</v>
      </c>
      <c r="B1847" s="690">
        <v>0.59</v>
      </c>
      <c r="C1847" s="326">
        <v>0.61</v>
      </c>
      <c r="D1847" s="326">
        <v>0.62</v>
      </c>
      <c r="E1847" s="327">
        <v>0.59</v>
      </c>
      <c r="F1847" s="329">
        <v>0.53</v>
      </c>
      <c r="G1847" s="327">
        <v>0.54</v>
      </c>
      <c r="H1847" s="327">
        <v>0.54</v>
      </c>
      <c r="I1847" s="18">
        <f>I1854/I1857</f>
        <v>0.5635440472732397</v>
      </c>
      <c r="J1847" s="626">
        <f>J1854/J1857</f>
        <v>0.5635440472732397</v>
      </c>
    </row>
    <row r="1848" spans="1:10" x14ac:dyDescent="0.25">
      <c r="A1848" s="694" t="s">
        <v>21</v>
      </c>
      <c r="B1848" s="690">
        <v>0.09</v>
      </c>
      <c r="C1848" s="326">
        <v>0.08</v>
      </c>
      <c r="D1848" s="326">
        <v>0.06</v>
      </c>
      <c r="E1848" s="327">
        <v>0.04</v>
      </c>
      <c r="F1848" s="329">
        <v>0.09</v>
      </c>
      <c r="G1848" s="327">
        <v>0.08</v>
      </c>
      <c r="H1848" s="327">
        <v>7.0000000000000007E-2</v>
      </c>
      <c r="I1848" s="18">
        <f>I1855/I1857</f>
        <v>7.5657950587412912E-2</v>
      </c>
      <c r="J1848" s="626">
        <f>J1855/J1857</f>
        <v>7.5657950587412912E-2</v>
      </c>
    </row>
    <row r="1849" spans="1:10" x14ac:dyDescent="0.25">
      <c r="A1849" s="694" t="s">
        <v>22</v>
      </c>
      <c r="B1849" s="690">
        <v>0</v>
      </c>
      <c r="C1849" s="326">
        <v>0</v>
      </c>
      <c r="D1849" s="326">
        <v>0</v>
      </c>
      <c r="E1849" s="327">
        <v>0</v>
      </c>
      <c r="F1849" s="329">
        <v>0</v>
      </c>
      <c r="G1849" s="327">
        <v>0</v>
      </c>
      <c r="H1849" s="327">
        <v>0</v>
      </c>
      <c r="I1849" s="18">
        <f>I1856/I1857</f>
        <v>0</v>
      </c>
      <c r="J1849" s="626">
        <f>J1856/J1857</f>
        <v>0</v>
      </c>
    </row>
    <row r="1850" spans="1:10" x14ac:dyDescent="0.25">
      <c r="A1850" s="696" t="s">
        <v>23</v>
      </c>
      <c r="B1850" s="314">
        <f t="shared" ref="B1850:J1850" si="833">B1861/B1844</f>
        <v>33650.955414012737</v>
      </c>
      <c r="C1850" s="131">
        <f t="shared" si="833"/>
        <v>33096.42857142858</v>
      </c>
      <c r="D1850" s="131">
        <f t="shared" si="833"/>
        <v>31265.263157894737</v>
      </c>
      <c r="E1850" s="130">
        <f t="shared" si="833"/>
        <v>34834.375</v>
      </c>
      <c r="F1850" s="132">
        <f t="shared" si="833"/>
        <v>33168.571428571435</v>
      </c>
      <c r="G1850" s="130">
        <f t="shared" si="833"/>
        <v>35362.735849056611</v>
      </c>
      <c r="H1850" s="130">
        <f t="shared" si="833"/>
        <v>33890.816326530614</v>
      </c>
      <c r="I1850" s="314">
        <f t="shared" si="833"/>
        <v>33814.384236453203</v>
      </c>
      <c r="J1850" s="685">
        <f t="shared" si="833"/>
        <v>33814.384236453203</v>
      </c>
    </row>
    <row r="1851" spans="1:10" x14ac:dyDescent="0.25">
      <c r="A1851" s="696" t="s">
        <v>24</v>
      </c>
      <c r="B1851" s="314">
        <f t="shared" ref="B1851:J1851" si="834">B1861/B1838</f>
        <v>28102.127659574468</v>
      </c>
      <c r="C1851" s="131">
        <f t="shared" si="834"/>
        <v>28081.818181818187</v>
      </c>
      <c r="D1851" s="131">
        <f t="shared" si="834"/>
        <v>27758.878504672899</v>
      </c>
      <c r="E1851" s="130">
        <f t="shared" si="834"/>
        <v>28582.051282051281</v>
      </c>
      <c r="F1851" s="132">
        <f t="shared" si="834"/>
        <v>28593.596059113304</v>
      </c>
      <c r="G1851" s="130">
        <f t="shared" si="834"/>
        <v>29399.607843137259</v>
      </c>
      <c r="H1851" s="130">
        <f t="shared" si="834"/>
        <v>28880.869565217396</v>
      </c>
      <c r="I1851" s="314">
        <f t="shared" si="834"/>
        <v>28625.187656380316</v>
      </c>
      <c r="J1851" s="685">
        <f t="shared" si="834"/>
        <v>28625.18765638032</v>
      </c>
    </row>
    <row r="1852" spans="1:10" x14ac:dyDescent="0.25">
      <c r="A1852" s="694" t="s">
        <v>25</v>
      </c>
      <c r="B1852" s="300">
        <f t="shared" ref="B1852:H1852" si="835">B1857*B1845</f>
        <v>1378962.6951724137</v>
      </c>
      <c r="C1852" s="133">
        <f t="shared" si="835"/>
        <v>727242.61862068973</v>
      </c>
      <c r="D1852" s="133">
        <f t="shared" si="835"/>
        <v>800053.51724137936</v>
      </c>
      <c r="E1852" s="92">
        <f t="shared" si="835"/>
        <v>1042536.7262068966</v>
      </c>
      <c r="F1852" s="134">
        <f t="shared" si="835"/>
        <v>1797844.5448275865</v>
      </c>
      <c r="G1852" s="92">
        <f t="shared" si="835"/>
        <v>2207922.0896551725</v>
      </c>
      <c r="H1852" s="92">
        <f t="shared" si="835"/>
        <v>2167385.7310344833</v>
      </c>
      <c r="I1852" s="92">
        <f>FLORESTA!$B1852+FLORESTA!$C1852+FLORESTA!$D1852+FLORESTA!$E1852+FLORESTA!$F1852+FLORESTA!$G1852+FLORESTA!$H1852</f>
        <v>10121947.922758622</v>
      </c>
      <c r="J1852" s="629">
        <f>FLORESTA!$I1852/7</f>
        <v>1445992.560394089</v>
      </c>
    </row>
    <row r="1853" spans="1:10" x14ac:dyDescent="0.25">
      <c r="A1853" s="694" t="s">
        <v>26</v>
      </c>
      <c r="B1853" s="300">
        <f t="shared" ref="B1853:H1853" si="836">B1857*B1846</f>
        <v>44482.667586206895</v>
      </c>
      <c r="C1853" s="133">
        <f t="shared" si="836"/>
        <v>0</v>
      </c>
      <c r="D1853" s="133">
        <f t="shared" si="836"/>
        <v>0</v>
      </c>
      <c r="E1853" s="92">
        <f t="shared" si="836"/>
        <v>0</v>
      </c>
      <c r="F1853" s="134">
        <f t="shared" si="836"/>
        <v>48590.393103448281</v>
      </c>
      <c r="G1853" s="92">
        <f t="shared" si="836"/>
        <v>189250.46482758623</v>
      </c>
      <c r="H1853" s="92">
        <f t="shared" si="836"/>
        <v>0</v>
      </c>
      <c r="I1853" s="92">
        <f>FLORESTA!$B1853+FLORESTA!$C1853+FLORESTA!$D1853+FLORESTA!$E1853+FLORESTA!$F1853+FLORESTA!$G1853+FLORESTA!$H1853</f>
        <v>282323.52551724139</v>
      </c>
      <c r="J1853" s="629">
        <f>FLORESTA!$I1853/7</f>
        <v>40331.93221674877</v>
      </c>
    </row>
    <row r="1854" spans="1:10" x14ac:dyDescent="0.25">
      <c r="A1854" s="694" t="s">
        <v>27</v>
      </c>
      <c r="B1854" s="300">
        <f t="shared" ref="B1854:H1854" si="837">B1857*B1847</f>
        <v>2624477.3875862067</v>
      </c>
      <c r="C1854" s="133">
        <f t="shared" si="837"/>
        <v>1431025.7979310346</v>
      </c>
      <c r="D1854" s="133">
        <f t="shared" si="837"/>
        <v>1550103.6896551724</v>
      </c>
      <c r="E1854" s="92">
        <f t="shared" si="837"/>
        <v>1662423.428275862</v>
      </c>
      <c r="F1854" s="134">
        <f t="shared" si="837"/>
        <v>2575290.8344827592</v>
      </c>
      <c r="G1854" s="92">
        <f t="shared" si="837"/>
        <v>3406508.3668965525</v>
      </c>
      <c r="H1854" s="92">
        <f t="shared" si="837"/>
        <v>3000995.6275862074</v>
      </c>
      <c r="I1854" s="92">
        <f>FLORESTA!$B1854+FLORESTA!$C1854+FLORESTA!$D1854+FLORESTA!$E1854+FLORESTA!$F1854+FLORESTA!$G1854+FLORESTA!$H1854</f>
        <v>16250825.132413793</v>
      </c>
      <c r="J1854" s="629">
        <f>FLORESTA!$I1854/7</f>
        <v>2321546.4474876849</v>
      </c>
    </row>
    <row r="1855" spans="1:10" x14ac:dyDescent="0.25">
      <c r="A1855" s="694" t="s">
        <v>28</v>
      </c>
      <c r="B1855" s="300">
        <f t="shared" ref="B1855:H1855" si="838">B1857*B1848</f>
        <v>400344.00827586203</v>
      </c>
      <c r="C1855" s="133">
        <f t="shared" si="838"/>
        <v>187675.51448275865</v>
      </c>
      <c r="D1855" s="133">
        <f t="shared" si="838"/>
        <v>150010.03448275861</v>
      </c>
      <c r="E1855" s="92">
        <f t="shared" si="838"/>
        <v>112706.67310344828</v>
      </c>
      <c r="F1855" s="134">
        <f t="shared" si="838"/>
        <v>437313.53793103452</v>
      </c>
      <c r="G1855" s="92">
        <f t="shared" si="838"/>
        <v>504667.90620689659</v>
      </c>
      <c r="H1855" s="92">
        <f t="shared" si="838"/>
        <v>389017.95172413799</v>
      </c>
      <c r="I1855" s="92">
        <f>FLORESTA!$B1855+FLORESTA!$C1855+FLORESTA!$D1855+FLORESTA!$E1855+FLORESTA!$F1855+FLORESTA!$G1855+FLORESTA!$H1855</f>
        <v>2181735.6262068967</v>
      </c>
      <c r="J1855" s="629">
        <f>FLORESTA!$I1855/7</f>
        <v>311676.51802955667</v>
      </c>
    </row>
    <row r="1856" spans="1:10" x14ac:dyDescent="0.25">
      <c r="A1856" s="694" t="s">
        <v>29</v>
      </c>
      <c r="B1856" s="300">
        <f t="shared" ref="B1856:H1856" si="839">B1857*B1849</f>
        <v>0</v>
      </c>
      <c r="C1856" s="133">
        <f t="shared" si="839"/>
        <v>0</v>
      </c>
      <c r="D1856" s="133">
        <f t="shared" si="839"/>
        <v>0</v>
      </c>
      <c r="E1856" s="92">
        <f t="shared" si="839"/>
        <v>0</v>
      </c>
      <c r="F1856" s="134">
        <f t="shared" si="839"/>
        <v>0</v>
      </c>
      <c r="G1856" s="92">
        <f t="shared" si="839"/>
        <v>0</v>
      </c>
      <c r="H1856" s="92">
        <f t="shared" si="839"/>
        <v>0</v>
      </c>
      <c r="I1856" s="92">
        <f>FLORESTA!$B1856+FLORESTA!$C1856+FLORESTA!$D1856+FLORESTA!$E1856+FLORESTA!$F1856+FLORESTA!$G1856+FLORESTA!$H1856</f>
        <v>0</v>
      </c>
      <c r="J1856" s="629">
        <f>FLORESTA!$I1856/7</f>
        <v>0</v>
      </c>
    </row>
    <row r="1857" spans="1:10" x14ac:dyDescent="0.25">
      <c r="A1857" s="697" t="s">
        <v>30</v>
      </c>
      <c r="B1857" s="691">
        <f>(5283200/1.16)-B1858</f>
        <v>4448266.7586206896</v>
      </c>
      <c r="C1857" s="691">
        <f>(2780100/1.16)-C1858</f>
        <v>2345943.931034483</v>
      </c>
      <c r="D1857" s="691">
        <f>(2970200/1.16)-D1858</f>
        <v>2500167.2413793104</v>
      </c>
      <c r="E1857" s="691">
        <f>(3344100/1.16)-E1858</f>
        <v>2817666.8275862071</v>
      </c>
      <c r="F1857" s="691">
        <f>(5804500/1.16)-F1858</f>
        <v>4859039.3103448283</v>
      </c>
      <c r="G1857" s="691">
        <f>(7496900/1.16)-G1858</f>
        <v>6308348.8275862075</v>
      </c>
      <c r="H1857" s="691">
        <f>(6642600/1.16)-H1858</f>
        <v>5557399.3103448283</v>
      </c>
      <c r="I1857" s="91">
        <f>SUM(I1852:I1856)</f>
        <v>28836832.206896555</v>
      </c>
      <c r="J1857" s="631">
        <f>FLORESTA!$I1857/7</f>
        <v>4119547.4581280793</v>
      </c>
    </row>
    <row r="1858" spans="1:10" x14ac:dyDescent="0.25">
      <c r="A1858" s="694" t="s">
        <v>31</v>
      </c>
      <c r="B1858" s="302">
        <f t="shared" ref="B1858:I1858" si="840">2414*B1839</f>
        <v>106216</v>
      </c>
      <c r="C1858" s="139">
        <f t="shared" si="840"/>
        <v>50694</v>
      </c>
      <c r="D1858" s="139">
        <f t="shared" si="840"/>
        <v>60350</v>
      </c>
      <c r="E1858" s="139">
        <f t="shared" si="840"/>
        <v>65178</v>
      </c>
      <c r="F1858" s="139">
        <f t="shared" si="840"/>
        <v>144840</v>
      </c>
      <c r="G1858" s="139">
        <f t="shared" si="840"/>
        <v>154496</v>
      </c>
      <c r="H1858" s="139">
        <f t="shared" si="840"/>
        <v>168980</v>
      </c>
      <c r="I1858" s="94">
        <f t="shared" si="840"/>
        <v>750754</v>
      </c>
      <c r="J1858" s="632">
        <f>2155*J1839</f>
        <v>95743.571428571435</v>
      </c>
    </row>
    <row r="1859" spans="1:10" x14ac:dyDescent="0.25">
      <c r="A1859" s="698" t="s">
        <v>32</v>
      </c>
      <c r="B1859" s="364">
        <f t="shared" ref="B1859:H1859" si="841">B1857+B1858</f>
        <v>4554482.7586206896</v>
      </c>
      <c r="C1859" s="40">
        <f t="shared" si="841"/>
        <v>2396637.931034483</v>
      </c>
      <c r="D1859" s="40">
        <f t="shared" si="841"/>
        <v>2560517.2413793104</v>
      </c>
      <c r="E1859" s="39">
        <f t="shared" si="841"/>
        <v>2882844.8275862071</v>
      </c>
      <c r="F1859" s="140">
        <f t="shared" si="841"/>
        <v>5003879.3103448283</v>
      </c>
      <c r="G1859" s="39">
        <f t="shared" si="841"/>
        <v>6462844.8275862075</v>
      </c>
      <c r="H1859" s="39">
        <f t="shared" si="841"/>
        <v>5726379.3103448283</v>
      </c>
      <c r="I1859" s="39">
        <f>I1857+I1858</f>
        <v>29587586.206896555</v>
      </c>
      <c r="J1859" s="634">
        <f>J1857+J1858</f>
        <v>4215291.0295566507</v>
      </c>
    </row>
    <row r="1860" spans="1:10" x14ac:dyDescent="0.25">
      <c r="A1860" s="694" t="s">
        <v>33</v>
      </c>
      <c r="B1860" s="415">
        <f t="shared" ref="B1860:H1860" si="842">B1859*16%</f>
        <v>728717.24137931038</v>
      </c>
      <c r="C1860" s="42">
        <f t="shared" si="842"/>
        <v>383462.06896551728</v>
      </c>
      <c r="D1860" s="42">
        <f t="shared" si="842"/>
        <v>409682.75862068968</v>
      </c>
      <c r="E1860" s="41">
        <f t="shared" si="842"/>
        <v>461255.17241379316</v>
      </c>
      <c r="F1860" s="141">
        <f t="shared" si="842"/>
        <v>800620.68965517252</v>
      </c>
      <c r="G1860" s="41">
        <f t="shared" si="842"/>
        <v>1034055.1724137933</v>
      </c>
      <c r="H1860" s="41">
        <f t="shared" si="842"/>
        <v>916220.68965517252</v>
      </c>
      <c r="I1860" s="41">
        <f>I1859*16%</f>
        <v>4734013.793103449</v>
      </c>
      <c r="J1860" s="635">
        <f>J1859*16%</f>
        <v>674446.56472906412</v>
      </c>
    </row>
    <row r="1861" spans="1:10" ht="15.75" thickBot="1" x14ac:dyDescent="0.3">
      <c r="A1861" s="699" t="s">
        <v>34</v>
      </c>
      <c r="B1861" s="687">
        <f t="shared" ref="B1861:H1861" si="843">B1859+B1860</f>
        <v>5283200</v>
      </c>
      <c r="C1861" s="638">
        <f t="shared" si="843"/>
        <v>2780100.0000000005</v>
      </c>
      <c r="D1861" s="638">
        <f t="shared" si="843"/>
        <v>2970200</v>
      </c>
      <c r="E1861" s="686">
        <f t="shared" si="843"/>
        <v>3344100</v>
      </c>
      <c r="F1861" s="687">
        <f t="shared" si="843"/>
        <v>5804500.0000000009</v>
      </c>
      <c r="G1861" s="686">
        <f t="shared" si="843"/>
        <v>7496900.0000000009</v>
      </c>
      <c r="H1861" s="686">
        <f t="shared" si="843"/>
        <v>6642600.0000000009</v>
      </c>
      <c r="I1861" s="686">
        <f>I1859+I1860</f>
        <v>34321600</v>
      </c>
      <c r="J1861" s="639">
        <f>FLORESTA!$I1861/7</f>
        <v>4903085.7142857146</v>
      </c>
    </row>
    <row r="1862" spans="1:10" ht="15.75" thickBot="1" x14ac:dyDescent="0.3"/>
    <row r="1863" spans="1:10" ht="15.75" thickBot="1" x14ac:dyDescent="0.3">
      <c r="A1863" s="149"/>
      <c r="B1863" s="1006" t="s">
        <v>637</v>
      </c>
      <c r="C1863" s="1006"/>
      <c r="D1863" s="1006"/>
      <c r="E1863" s="1006"/>
      <c r="F1863" s="1006"/>
      <c r="G1863" s="1006"/>
      <c r="H1863" s="1006"/>
      <c r="I1863" s="1006"/>
    </row>
    <row r="1864" spans="1:10" ht="15.75" thickBot="1" x14ac:dyDescent="0.3">
      <c r="A1864" s="149"/>
      <c r="B1864" s="1006"/>
      <c r="C1864" s="1006"/>
      <c r="D1864" s="1006"/>
      <c r="E1864" s="1006"/>
      <c r="F1864" s="1006"/>
      <c r="G1864" s="1006"/>
      <c r="H1864" s="1006"/>
      <c r="I1864" s="1006"/>
    </row>
    <row r="1865" spans="1:10" ht="15.75" x14ac:dyDescent="0.25">
      <c r="A1865" s="692" t="s">
        <v>2</v>
      </c>
      <c r="B1865" s="681" t="s">
        <v>285</v>
      </c>
      <c r="C1865" s="681" t="s">
        <v>37</v>
      </c>
      <c r="D1865" s="681" t="s">
        <v>286</v>
      </c>
      <c r="E1865" s="681" t="s">
        <v>39</v>
      </c>
      <c r="F1865" s="681" t="s">
        <v>40</v>
      </c>
      <c r="G1865" s="681" t="s">
        <v>287</v>
      </c>
      <c r="H1865" s="681" t="s">
        <v>42</v>
      </c>
      <c r="I1865" s="617" t="s">
        <v>96</v>
      </c>
      <c r="J1865" s="682" t="s">
        <v>97</v>
      </c>
    </row>
    <row r="1866" spans="1:10" x14ac:dyDescent="0.25">
      <c r="A1866" s="693" t="s">
        <v>11</v>
      </c>
      <c r="B1866" s="56">
        <f>56+32+9</f>
        <v>97</v>
      </c>
      <c r="C1866" s="673">
        <f>50+38+4</f>
        <v>92</v>
      </c>
      <c r="D1866" s="673">
        <f>51+48+11</f>
        <v>110</v>
      </c>
      <c r="E1866" s="738">
        <f>53+51+13</f>
        <v>117</v>
      </c>
      <c r="F1866" s="738">
        <f>101+99+22</f>
        <v>222</v>
      </c>
      <c r="G1866" s="738">
        <f>169+119+32</f>
        <v>320</v>
      </c>
      <c r="H1866" s="738">
        <f>103+91+17</f>
        <v>211</v>
      </c>
      <c r="I1866" s="738">
        <f t="shared" ref="I1866:I1871" si="844">SUM(B1866:H1866)</f>
        <v>1169</v>
      </c>
      <c r="J1866" s="683">
        <f>FLORESTA!$I1866/7</f>
        <v>167</v>
      </c>
    </row>
    <row r="1867" spans="1:10" x14ac:dyDescent="0.25">
      <c r="A1867" s="694" t="s">
        <v>12</v>
      </c>
      <c r="B1867" s="689">
        <v>25</v>
      </c>
      <c r="C1867" s="671">
        <v>31</v>
      </c>
      <c r="D1867" s="675">
        <v>32</v>
      </c>
      <c r="E1867" s="734">
        <v>31</v>
      </c>
      <c r="F1867" s="735">
        <v>57</v>
      </c>
      <c r="G1867" s="736">
        <v>77</v>
      </c>
      <c r="H1867" s="734">
        <v>55</v>
      </c>
      <c r="I1867" s="737">
        <f t="shared" si="844"/>
        <v>308</v>
      </c>
      <c r="J1867" s="684">
        <f>FLORESTA!$I1867/7</f>
        <v>44</v>
      </c>
    </row>
    <row r="1868" spans="1:10" x14ac:dyDescent="0.25">
      <c r="A1868" s="694" t="s">
        <v>13</v>
      </c>
      <c r="B1868" s="313">
        <v>0</v>
      </c>
      <c r="C1868" s="13">
        <v>0</v>
      </c>
      <c r="D1868" s="13">
        <v>0</v>
      </c>
      <c r="E1868" s="11">
        <v>0</v>
      </c>
      <c r="F1868" s="125">
        <v>3</v>
      </c>
      <c r="G1868" s="11">
        <v>5</v>
      </c>
      <c r="H1868" s="11">
        <v>6</v>
      </c>
      <c r="I1868" s="313">
        <f t="shared" si="844"/>
        <v>14</v>
      </c>
      <c r="J1868" s="684">
        <f>C1868+D1868+E1868+F1868+G1868+H1868+I1868</f>
        <v>28</v>
      </c>
    </row>
    <row r="1869" spans="1:10" x14ac:dyDescent="0.25">
      <c r="A1869" s="694" t="s">
        <v>14</v>
      </c>
      <c r="B1869" s="313">
        <v>48</v>
      </c>
      <c r="C1869" s="13">
        <v>46</v>
      </c>
      <c r="D1869" s="320">
        <v>57</v>
      </c>
      <c r="E1869" s="11">
        <v>55</v>
      </c>
      <c r="F1869" s="125">
        <v>105</v>
      </c>
      <c r="G1869" s="11">
        <v>138</v>
      </c>
      <c r="H1869" s="11">
        <v>102</v>
      </c>
      <c r="I1869" s="313">
        <f t="shared" si="844"/>
        <v>551</v>
      </c>
      <c r="J1869" s="684">
        <f>FLORESTA!$I1869/7</f>
        <v>78.714285714285708</v>
      </c>
    </row>
    <row r="1870" spans="1:10" x14ac:dyDescent="0.25">
      <c r="A1870" s="694" t="s">
        <v>15</v>
      </c>
      <c r="B1870" s="313">
        <v>7</v>
      </c>
      <c r="C1870" s="13">
        <v>7</v>
      </c>
      <c r="D1870" s="13">
        <v>11</v>
      </c>
      <c r="E1870" s="11">
        <v>11</v>
      </c>
      <c r="F1870" s="125">
        <v>20</v>
      </c>
      <c r="G1870" s="11">
        <v>21</v>
      </c>
      <c r="H1870" s="11">
        <v>15</v>
      </c>
      <c r="I1870" s="313">
        <f t="shared" si="844"/>
        <v>92</v>
      </c>
      <c r="J1870" s="684">
        <f>FLORESTA!$I1870/7</f>
        <v>13.142857142857142</v>
      </c>
    </row>
    <row r="1871" spans="1:10" x14ac:dyDescent="0.25">
      <c r="A1871" s="694" t="s">
        <v>16</v>
      </c>
      <c r="B1871" s="313">
        <v>0</v>
      </c>
      <c r="C1871" s="13">
        <v>0</v>
      </c>
      <c r="D1871" s="13">
        <v>0</v>
      </c>
      <c r="E1871" s="11">
        <v>0</v>
      </c>
      <c r="F1871" s="125">
        <v>0</v>
      </c>
      <c r="G1871" s="11">
        <v>0</v>
      </c>
      <c r="H1871" s="11">
        <v>0</v>
      </c>
      <c r="I1871" s="313">
        <f t="shared" si="844"/>
        <v>0</v>
      </c>
      <c r="J1871" s="684">
        <f>FLORESTA!$I1871/7</f>
        <v>0</v>
      </c>
    </row>
    <row r="1872" spans="1:10" x14ac:dyDescent="0.25">
      <c r="A1872" s="695" t="s">
        <v>17</v>
      </c>
      <c r="B1872" s="15">
        <f t="shared" ref="B1872:I1872" si="845">SUM(B1867:B1871)</f>
        <v>80</v>
      </c>
      <c r="C1872" s="79">
        <f t="shared" si="845"/>
        <v>84</v>
      </c>
      <c r="D1872" s="79">
        <f t="shared" si="845"/>
        <v>100</v>
      </c>
      <c r="E1872" s="103">
        <f t="shared" si="845"/>
        <v>97</v>
      </c>
      <c r="F1872" s="213">
        <f t="shared" si="845"/>
        <v>185</v>
      </c>
      <c r="G1872" s="103">
        <f t="shared" si="845"/>
        <v>241</v>
      </c>
      <c r="H1872" s="103">
        <f t="shared" si="845"/>
        <v>178</v>
      </c>
      <c r="I1872" s="103">
        <f t="shared" si="845"/>
        <v>965</v>
      </c>
      <c r="J1872" s="625">
        <f>FLORESTA!$I1872/7</f>
        <v>137.85714285714286</v>
      </c>
    </row>
    <row r="1873" spans="1:10" x14ac:dyDescent="0.25">
      <c r="A1873" s="694" t="s">
        <v>18</v>
      </c>
      <c r="B1873" s="690">
        <v>0.37</v>
      </c>
      <c r="C1873" s="326">
        <v>0.44</v>
      </c>
      <c r="D1873" s="326">
        <v>0.41</v>
      </c>
      <c r="E1873" s="327">
        <v>0.33</v>
      </c>
      <c r="F1873" s="328">
        <v>0.36</v>
      </c>
      <c r="G1873" s="327">
        <v>0.38</v>
      </c>
      <c r="H1873" s="327">
        <v>0.34</v>
      </c>
      <c r="I1873" s="18">
        <f>I1880/I1885</f>
        <v>0.37027107836672335</v>
      </c>
      <c r="J1873" s="626">
        <f>J1880/J1885</f>
        <v>0.37027107836672341</v>
      </c>
    </row>
    <row r="1874" spans="1:10" x14ac:dyDescent="0.25">
      <c r="A1874" s="694" t="s">
        <v>19</v>
      </c>
      <c r="B1874" s="690">
        <v>0</v>
      </c>
      <c r="C1874" s="326">
        <v>0</v>
      </c>
      <c r="D1874" s="326">
        <v>0</v>
      </c>
      <c r="E1874" s="327">
        <v>0</v>
      </c>
      <c r="F1874" s="327">
        <v>0.02</v>
      </c>
      <c r="G1874" s="327">
        <v>0.02</v>
      </c>
      <c r="H1874" s="327">
        <v>0.02</v>
      </c>
      <c r="I1874" s="18">
        <f>I1881/I1885</f>
        <v>1.30506664845986E-2</v>
      </c>
      <c r="J1874" s="626">
        <f>J1881/J1885</f>
        <v>1.30506664845986E-2</v>
      </c>
    </row>
    <row r="1875" spans="1:10" x14ac:dyDescent="0.25">
      <c r="A1875" s="694" t="s">
        <v>20</v>
      </c>
      <c r="B1875" s="690">
        <v>0.56999999999999995</v>
      </c>
      <c r="C1875" s="326">
        <v>0.48</v>
      </c>
      <c r="D1875" s="326">
        <v>0.47</v>
      </c>
      <c r="E1875" s="327">
        <v>0.59</v>
      </c>
      <c r="F1875" s="329">
        <v>0.5</v>
      </c>
      <c r="G1875" s="327">
        <v>0.53</v>
      </c>
      <c r="H1875" s="327">
        <v>0.55000000000000004</v>
      </c>
      <c r="I1875" s="18">
        <f>I1882/I1885</f>
        <v>0.52777981439172339</v>
      </c>
      <c r="J1875" s="626">
        <f>J1882/J1885</f>
        <v>0.5277798143917235</v>
      </c>
    </row>
    <row r="1876" spans="1:10" x14ac:dyDescent="0.25">
      <c r="A1876" s="694" t="s">
        <v>21</v>
      </c>
      <c r="B1876" s="690">
        <v>0.06</v>
      </c>
      <c r="C1876" s="326">
        <v>0.08</v>
      </c>
      <c r="D1876" s="326">
        <v>0.12</v>
      </c>
      <c r="E1876" s="327">
        <v>0.08</v>
      </c>
      <c r="F1876" s="329">
        <v>0.12</v>
      </c>
      <c r="G1876" s="327">
        <v>7.0000000000000007E-2</v>
      </c>
      <c r="H1876" s="327">
        <v>0.09</v>
      </c>
      <c r="I1876" s="18">
        <f>I1883/I1885</f>
        <v>8.8898440756954702E-2</v>
      </c>
      <c r="J1876" s="626">
        <f>J1883/J1885</f>
        <v>8.8898440756954702E-2</v>
      </c>
    </row>
    <row r="1877" spans="1:10" x14ac:dyDescent="0.25">
      <c r="A1877" s="694" t="s">
        <v>22</v>
      </c>
      <c r="B1877" s="690">
        <v>0</v>
      </c>
      <c r="C1877" s="326">
        <v>0</v>
      </c>
      <c r="D1877" s="326">
        <v>0</v>
      </c>
      <c r="E1877" s="327">
        <v>0</v>
      </c>
      <c r="F1877" s="329">
        <v>0</v>
      </c>
      <c r="G1877" s="327">
        <v>0</v>
      </c>
      <c r="H1877" s="327">
        <v>0</v>
      </c>
      <c r="I1877" s="18">
        <f>I1884/I1885</f>
        <v>0</v>
      </c>
      <c r="J1877" s="626">
        <f>J1884/J1885</f>
        <v>0</v>
      </c>
    </row>
    <row r="1878" spans="1:10" x14ac:dyDescent="0.25">
      <c r="A1878" s="696" t="s">
        <v>23</v>
      </c>
      <c r="B1878" s="314">
        <f t="shared" ref="B1878:J1878" si="846">B1889/B1872</f>
        <v>32480</v>
      </c>
      <c r="C1878" s="131">
        <f t="shared" si="846"/>
        <v>31967.857142857149</v>
      </c>
      <c r="D1878" s="131">
        <f t="shared" si="846"/>
        <v>30948.000000000004</v>
      </c>
      <c r="E1878" s="130">
        <f t="shared" si="846"/>
        <v>34347.422680412375</v>
      </c>
      <c r="F1878" s="132">
        <f t="shared" si="846"/>
        <v>34218.37837837838</v>
      </c>
      <c r="G1878" s="130">
        <f t="shared" si="846"/>
        <v>37629.460580912862</v>
      </c>
      <c r="H1878" s="130">
        <f t="shared" si="846"/>
        <v>36493.258426966298</v>
      </c>
      <c r="I1878" s="314">
        <f t="shared" si="846"/>
        <v>34823.937823834196</v>
      </c>
      <c r="J1878" s="685">
        <f t="shared" si="846"/>
        <v>34823.937823834196</v>
      </c>
    </row>
    <row r="1879" spans="1:10" x14ac:dyDescent="0.25">
      <c r="A1879" s="696" t="s">
        <v>24</v>
      </c>
      <c r="B1879" s="314">
        <f t="shared" ref="B1879:J1879" si="847">B1889/B1866</f>
        <v>26787.628865979383</v>
      </c>
      <c r="C1879" s="131">
        <f t="shared" si="847"/>
        <v>29188.043478260875</v>
      </c>
      <c r="D1879" s="131">
        <f t="shared" si="847"/>
        <v>28134.54545454546</v>
      </c>
      <c r="E1879" s="130">
        <f t="shared" si="847"/>
        <v>28476.068376068379</v>
      </c>
      <c r="F1879" s="132">
        <f t="shared" si="847"/>
        <v>28515.315315315318</v>
      </c>
      <c r="G1879" s="130">
        <f t="shared" si="847"/>
        <v>28339.6875</v>
      </c>
      <c r="H1879" s="130">
        <f t="shared" si="847"/>
        <v>30785.781990521333</v>
      </c>
      <c r="I1879" s="314">
        <f t="shared" si="847"/>
        <v>28746.877673224979</v>
      </c>
      <c r="J1879" s="685">
        <f t="shared" si="847"/>
        <v>28746.877673224983</v>
      </c>
    </row>
    <row r="1880" spans="1:10" x14ac:dyDescent="0.25">
      <c r="A1880" s="694" t="s">
        <v>25</v>
      </c>
      <c r="B1880" s="300">
        <f t="shared" ref="B1880:H1880" si="848">B1885*B1873</f>
        <v>806470.5</v>
      </c>
      <c r="C1880" s="133">
        <f t="shared" si="848"/>
        <v>985635.10896551737</v>
      </c>
      <c r="D1880" s="133">
        <f t="shared" si="848"/>
        <v>1062180.0441379312</v>
      </c>
      <c r="E1880" s="92">
        <f t="shared" si="848"/>
        <v>923115.98689655191</v>
      </c>
      <c r="F1880" s="134">
        <f t="shared" si="848"/>
        <v>1915071.6165517243</v>
      </c>
      <c r="G1880" s="92">
        <f t="shared" si="848"/>
        <v>2900147.3944827588</v>
      </c>
      <c r="H1880" s="92">
        <f t="shared" si="848"/>
        <v>1858799.5793103452</v>
      </c>
      <c r="I1880" s="92">
        <f>FLORESTA!$B1880+FLORESTA!$C1880+FLORESTA!$D1880+FLORESTA!$E1880+FLORESTA!$F1880+FLORESTA!$G1880+FLORESTA!$H1880</f>
        <v>10451420.230344828</v>
      </c>
      <c r="J1880" s="629">
        <f>FLORESTA!$I1880/7</f>
        <v>1493060.032906404</v>
      </c>
    </row>
    <row r="1881" spans="1:10" x14ac:dyDescent="0.25">
      <c r="A1881" s="694" t="s">
        <v>26</v>
      </c>
      <c r="B1881" s="300">
        <f t="shared" ref="B1881:H1881" si="849">B1885*B1874</f>
        <v>0</v>
      </c>
      <c r="C1881" s="133">
        <f t="shared" si="849"/>
        <v>0</v>
      </c>
      <c r="D1881" s="133">
        <f t="shared" si="849"/>
        <v>0</v>
      </c>
      <c r="E1881" s="92">
        <f t="shared" si="849"/>
        <v>0</v>
      </c>
      <c r="F1881" s="134">
        <f t="shared" si="849"/>
        <v>106392.86758620691</v>
      </c>
      <c r="G1881" s="92">
        <f t="shared" si="849"/>
        <v>152639.33655172415</v>
      </c>
      <c r="H1881" s="92">
        <f t="shared" si="849"/>
        <v>109341.15172413795</v>
      </c>
      <c r="I1881" s="92">
        <f>FLORESTA!$B1881+FLORESTA!$C1881+FLORESTA!$D1881+FLORESTA!$E1881+FLORESTA!$F1881+FLORESTA!$G1881+FLORESTA!$H1881</f>
        <v>368373.355862069</v>
      </c>
      <c r="J1881" s="629">
        <f>FLORESTA!$I1881/7</f>
        <v>52624.765123152712</v>
      </c>
    </row>
    <row r="1882" spans="1:10" x14ac:dyDescent="0.25">
      <c r="A1882" s="694" t="s">
        <v>27</v>
      </c>
      <c r="B1882" s="300">
        <f t="shared" ref="B1882:H1882" si="850">B1885*B1875</f>
        <v>1242400.5</v>
      </c>
      <c r="C1882" s="133">
        <f t="shared" si="850"/>
        <v>1075238.3006896554</v>
      </c>
      <c r="D1882" s="133">
        <f t="shared" si="850"/>
        <v>1217621.0262068966</v>
      </c>
      <c r="E1882" s="92">
        <f t="shared" si="850"/>
        <v>1650419.4917241379</v>
      </c>
      <c r="F1882" s="134">
        <f t="shared" si="850"/>
        <v>2659821.6896551726</v>
      </c>
      <c r="G1882" s="92">
        <f t="shared" si="850"/>
        <v>4044942.4186206902</v>
      </c>
      <c r="H1882" s="92">
        <f t="shared" si="850"/>
        <v>3006881.6724137939</v>
      </c>
      <c r="I1882" s="92">
        <f>FLORESTA!$B1882+FLORESTA!$C1882+FLORESTA!$D1882+FLORESTA!$E1882+FLORESTA!$F1882+FLORESTA!$G1882+FLORESTA!$H1882</f>
        <v>14897325.099310348</v>
      </c>
      <c r="J1882" s="629">
        <f>FLORESTA!$I1882/7</f>
        <v>2128189.2999014785</v>
      </c>
    </row>
    <row r="1883" spans="1:10" x14ac:dyDescent="0.25">
      <c r="A1883" s="694" t="s">
        <v>28</v>
      </c>
      <c r="B1883" s="300">
        <f t="shared" ref="B1883:H1883" si="851">B1885*B1876</f>
        <v>130779</v>
      </c>
      <c r="C1883" s="133">
        <f t="shared" si="851"/>
        <v>179206.38344827588</v>
      </c>
      <c r="D1883" s="133">
        <f t="shared" si="851"/>
        <v>310881.96413793106</v>
      </c>
      <c r="E1883" s="92">
        <f t="shared" si="851"/>
        <v>223785.69379310348</v>
      </c>
      <c r="F1883" s="134">
        <f t="shared" si="851"/>
        <v>638357.20551724138</v>
      </c>
      <c r="G1883" s="92">
        <f t="shared" si="851"/>
        <v>534237.67793103459</v>
      </c>
      <c r="H1883" s="92">
        <f t="shared" si="851"/>
        <v>492035.18275862071</v>
      </c>
      <c r="I1883" s="92">
        <f>FLORESTA!$B1883+FLORESTA!$C1883+FLORESTA!$D1883+FLORESTA!$E1883+FLORESTA!$F1883+FLORESTA!$G1883+FLORESTA!$H1883</f>
        <v>2509283.1075862069</v>
      </c>
      <c r="J1883" s="629">
        <f>FLORESTA!$I1883/7</f>
        <v>358469.01536945812</v>
      </c>
    </row>
    <row r="1884" spans="1:10" x14ac:dyDescent="0.25">
      <c r="A1884" s="694" t="s">
        <v>29</v>
      </c>
      <c r="B1884" s="300">
        <f t="shared" ref="B1884:H1884" si="852">B1885*B1877</f>
        <v>0</v>
      </c>
      <c r="C1884" s="133">
        <f t="shared" si="852"/>
        <v>0</v>
      </c>
      <c r="D1884" s="133">
        <f t="shared" si="852"/>
        <v>0</v>
      </c>
      <c r="E1884" s="92">
        <f t="shared" si="852"/>
        <v>0</v>
      </c>
      <c r="F1884" s="134">
        <f t="shared" si="852"/>
        <v>0</v>
      </c>
      <c r="G1884" s="92">
        <f t="shared" si="852"/>
        <v>0</v>
      </c>
      <c r="H1884" s="92">
        <f t="shared" si="852"/>
        <v>0</v>
      </c>
      <c r="I1884" s="92">
        <f>FLORESTA!$B1884+FLORESTA!$C1884+FLORESTA!$D1884+FLORESTA!$E1884+FLORESTA!$F1884+FLORESTA!$G1884+FLORESTA!$H1884</f>
        <v>0</v>
      </c>
      <c r="J1884" s="629">
        <f>FLORESTA!$I1884/7</f>
        <v>0</v>
      </c>
    </row>
    <row r="1885" spans="1:10" x14ac:dyDescent="0.25">
      <c r="A1885" s="697" t="s">
        <v>30</v>
      </c>
      <c r="B1885" s="691">
        <f>(2598400/1.16)-B1886</f>
        <v>2179650</v>
      </c>
      <c r="C1885" s="691">
        <f>(2685300/1.16)-C1886</f>
        <v>2240079.7931034486</v>
      </c>
      <c r="D1885" s="691">
        <f>(3094800/1.16)-D1886</f>
        <v>2590683.034482759</v>
      </c>
      <c r="E1885" s="691">
        <f>(3331700/1.16)-E1886</f>
        <v>2797321.1724137934</v>
      </c>
      <c r="F1885" s="691">
        <f>(6330400/1.16)-F1886</f>
        <v>5319643.3793103453</v>
      </c>
      <c r="G1885" s="691">
        <f>(9068700/1.16)-G1886</f>
        <v>7631966.8275862075</v>
      </c>
      <c r="H1885" s="691">
        <f>(6495800/1.16)-H1886</f>
        <v>5467057.5862068972</v>
      </c>
      <c r="I1885" s="91">
        <f>SUM(I1880:I1884)</f>
        <v>28226401.793103449</v>
      </c>
      <c r="J1885" s="631">
        <f>FLORESTA!$I1885/7</f>
        <v>4032343.1133004925</v>
      </c>
    </row>
    <row r="1886" spans="1:10" x14ac:dyDescent="0.25">
      <c r="A1886" s="694" t="s">
        <v>31</v>
      </c>
      <c r="B1886" s="302">
        <f t="shared" ref="B1886:I1886" si="853">2414*B1867</f>
        <v>60350</v>
      </c>
      <c r="C1886" s="139">
        <f t="shared" si="853"/>
        <v>74834</v>
      </c>
      <c r="D1886" s="139">
        <f t="shared" si="853"/>
        <v>77248</v>
      </c>
      <c r="E1886" s="139">
        <f t="shared" si="853"/>
        <v>74834</v>
      </c>
      <c r="F1886" s="139">
        <f t="shared" si="853"/>
        <v>137598</v>
      </c>
      <c r="G1886" s="139">
        <f t="shared" si="853"/>
        <v>185878</v>
      </c>
      <c r="H1886" s="139">
        <f t="shared" si="853"/>
        <v>132770</v>
      </c>
      <c r="I1886" s="94">
        <f t="shared" si="853"/>
        <v>743512</v>
      </c>
      <c r="J1886" s="632">
        <f>2155*J1867</f>
        <v>94820</v>
      </c>
    </row>
    <row r="1887" spans="1:10" x14ac:dyDescent="0.25">
      <c r="A1887" s="698" t="s">
        <v>32</v>
      </c>
      <c r="B1887" s="364">
        <f t="shared" ref="B1887:H1887" si="854">B1885+B1886</f>
        <v>2240000</v>
      </c>
      <c r="C1887" s="40">
        <f t="shared" si="854"/>
        <v>2314913.7931034486</v>
      </c>
      <c r="D1887" s="40">
        <f t="shared" si="854"/>
        <v>2667931.034482759</v>
      </c>
      <c r="E1887" s="39">
        <f t="shared" si="854"/>
        <v>2872155.1724137934</v>
      </c>
      <c r="F1887" s="140">
        <f t="shared" si="854"/>
        <v>5457241.3793103453</v>
      </c>
      <c r="G1887" s="39">
        <f t="shared" si="854"/>
        <v>7817844.8275862075</v>
      </c>
      <c r="H1887" s="39">
        <f t="shared" si="854"/>
        <v>5599827.5862068972</v>
      </c>
      <c r="I1887" s="39">
        <f>I1885+I1886</f>
        <v>28969913.793103449</v>
      </c>
      <c r="J1887" s="634">
        <f>J1885+J1886</f>
        <v>4127163.1133004925</v>
      </c>
    </row>
    <row r="1888" spans="1:10" x14ac:dyDescent="0.25">
      <c r="A1888" s="694" t="s">
        <v>33</v>
      </c>
      <c r="B1888" s="415">
        <f t="shared" ref="B1888:H1888" si="855">B1887*16%</f>
        <v>358400</v>
      </c>
      <c r="C1888" s="42">
        <f t="shared" si="855"/>
        <v>370386.20689655177</v>
      </c>
      <c r="D1888" s="42">
        <f t="shared" si="855"/>
        <v>426868.96551724145</v>
      </c>
      <c r="E1888" s="41">
        <f t="shared" si="855"/>
        <v>459544.82758620696</v>
      </c>
      <c r="F1888" s="141">
        <f t="shared" si="855"/>
        <v>873158.6206896553</v>
      </c>
      <c r="G1888" s="41">
        <f t="shared" si="855"/>
        <v>1250855.1724137932</v>
      </c>
      <c r="H1888" s="41">
        <f t="shared" si="855"/>
        <v>895972.41379310354</v>
      </c>
      <c r="I1888" s="41">
        <f>I1887*16%</f>
        <v>4635186.2068965519</v>
      </c>
      <c r="J1888" s="635">
        <f>J1887*16%</f>
        <v>660346.09812807885</v>
      </c>
    </row>
    <row r="1889" spans="1:10" ht="15.75" thickBot="1" x14ac:dyDescent="0.3">
      <c r="A1889" s="699" t="s">
        <v>34</v>
      </c>
      <c r="B1889" s="687">
        <f t="shared" ref="B1889:H1889" si="856">B1887+B1888</f>
        <v>2598400</v>
      </c>
      <c r="C1889" s="638">
        <f t="shared" si="856"/>
        <v>2685300.0000000005</v>
      </c>
      <c r="D1889" s="638">
        <f t="shared" si="856"/>
        <v>3094800.0000000005</v>
      </c>
      <c r="E1889" s="686">
        <f t="shared" si="856"/>
        <v>3331700.0000000005</v>
      </c>
      <c r="F1889" s="687">
        <f t="shared" si="856"/>
        <v>6330400.0000000009</v>
      </c>
      <c r="G1889" s="686">
        <f t="shared" si="856"/>
        <v>9068700</v>
      </c>
      <c r="H1889" s="686">
        <f t="shared" si="856"/>
        <v>6495800.0000000009</v>
      </c>
      <c r="I1889" s="686">
        <f>I1887+I1888</f>
        <v>33605100</v>
      </c>
      <c r="J1889" s="639">
        <f>FLORESTA!$I1889/7</f>
        <v>4800728.5714285718</v>
      </c>
    </row>
    <row r="1890" spans="1:10" ht="15.75" thickBot="1" x14ac:dyDescent="0.3"/>
    <row r="1891" spans="1:10" ht="15.75" thickBot="1" x14ac:dyDescent="0.3">
      <c r="A1891" s="149"/>
      <c r="B1891" s="1006" t="s">
        <v>640</v>
      </c>
      <c r="C1891" s="1006"/>
      <c r="D1891" s="1006"/>
      <c r="E1891" s="1006"/>
      <c r="F1891" s="1006"/>
      <c r="G1891" s="1006"/>
      <c r="H1891" s="1006"/>
      <c r="I1891" s="1006"/>
    </row>
    <row r="1892" spans="1:10" ht="15.75" thickBot="1" x14ac:dyDescent="0.3">
      <c r="A1892" s="149"/>
      <c r="B1892" s="1006"/>
      <c r="C1892" s="1006"/>
      <c r="D1892" s="1006"/>
      <c r="E1892" s="1006"/>
      <c r="F1892" s="1006"/>
      <c r="G1892" s="1006"/>
      <c r="H1892" s="1006"/>
      <c r="I1892" s="1006"/>
    </row>
    <row r="1893" spans="1:10" ht="15.75" x14ac:dyDescent="0.25">
      <c r="A1893" s="692" t="s">
        <v>2</v>
      </c>
      <c r="B1893" s="681" t="s">
        <v>45</v>
      </c>
      <c r="C1893" s="681" t="s">
        <v>289</v>
      </c>
      <c r="D1893" s="681" t="s">
        <v>47</v>
      </c>
      <c r="E1893" s="681" t="s">
        <v>48</v>
      </c>
      <c r="F1893" s="681" t="s">
        <v>49</v>
      </c>
      <c r="G1893" s="681" t="s">
        <v>50</v>
      </c>
      <c r="H1893" s="681" t="s">
        <v>290</v>
      </c>
      <c r="I1893" s="617" t="s">
        <v>96</v>
      </c>
      <c r="J1893" s="682" t="s">
        <v>97</v>
      </c>
    </row>
    <row r="1894" spans="1:10" x14ac:dyDescent="0.25">
      <c r="A1894" s="693" t="s">
        <v>11</v>
      </c>
      <c r="B1894" s="56">
        <f>42+22+5</f>
        <v>69</v>
      </c>
      <c r="C1894" s="673">
        <f>45+35+14</f>
        <v>94</v>
      </c>
      <c r="D1894" s="673">
        <f>77+27+3</f>
        <v>107</v>
      </c>
      <c r="E1894" s="738">
        <f>56+41+7</f>
        <v>104</v>
      </c>
      <c r="F1894" s="743">
        <f>92+94+15</f>
        <v>201</v>
      </c>
      <c r="G1894" s="738">
        <f>114+109+30</f>
        <v>253</v>
      </c>
      <c r="H1894" s="738">
        <f>81+85+22</f>
        <v>188</v>
      </c>
      <c r="I1894" s="738">
        <f t="shared" ref="I1894:I1899" si="857">SUM(B1894:H1894)</f>
        <v>1016</v>
      </c>
      <c r="J1894" s="683">
        <f>FLORESTA!$I1894/7</f>
        <v>145.14285714285714</v>
      </c>
    </row>
    <row r="1895" spans="1:10" x14ac:dyDescent="0.25">
      <c r="A1895" s="694" t="s">
        <v>12</v>
      </c>
      <c r="B1895" s="689">
        <v>20</v>
      </c>
      <c r="C1895" s="671">
        <v>26</v>
      </c>
      <c r="D1895" s="675">
        <v>30</v>
      </c>
      <c r="E1895" s="734">
        <v>28</v>
      </c>
      <c r="F1895" s="735">
        <v>72</v>
      </c>
      <c r="G1895" s="736">
        <v>77</v>
      </c>
      <c r="H1895" s="734">
        <v>47</v>
      </c>
      <c r="I1895" s="737">
        <f t="shared" si="857"/>
        <v>300</v>
      </c>
      <c r="J1895" s="684">
        <f>FLORESTA!$I1895/7</f>
        <v>42.857142857142854</v>
      </c>
    </row>
    <row r="1896" spans="1:10" x14ac:dyDescent="0.25">
      <c r="A1896" s="694" t="s">
        <v>13</v>
      </c>
      <c r="B1896" s="313">
        <v>2</v>
      </c>
      <c r="C1896" s="13">
        <v>0</v>
      </c>
      <c r="D1896" s="13">
        <v>1</v>
      </c>
      <c r="E1896" s="11">
        <v>0</v>
      </c>
      <c r="F1896" s="125">
        <v>1</v>
      </c>
      <c r="G1896" s="11">
        <v>2</v>
      </c>
      <c r="H1896" s="11">
        <v>2</v>
      </c>
      <c r="I1896" s="313">
        <f t="shared" si="857"/>
        <v>8</v>
      </c>
      <c r="J1896" s="684">
        <f>C1896+D1896+E1896+F1896+G1896+H1896+I1896</f>
        <v>14</v>
      </c>
    </row>
    <row r="1897" spans="1:10" x14ac:dyDescent="0.25">
      <c r="A1897" s="694" t="s">
        <v>14</v>
      </c>
      <c r="B1897" s="313">
        <v>26</v>
      </c>
      <c r="C1897" s="13">
        <v>51</v>
      </c>
      <c r="D1897" s="320">
        <v>51</v>
      </c>
      <c r="E1897" s="11">
        <v>61</v>
      </c>
      <c r="F1897" s="125">
        <v>81</v>
      </c>
      <c r="G1897" s="11">
        <v>120</v>
      </c>
      <c r="H1897" s="11">
        <v>99</v>
      </c>
      <c r="I1897" s="313">
        <f t="shared" si="857"/>
        <v>489</v>
      </c>
      <c r="J1897" s="684">
        <f>FLORESTA!$I1897/7</f>
        <v>69.857142857142861</v>
      </c>
    </row>
    <row r="1898" spans="1:10" x14ac:dyDescent="0.25">
      <c r="A1898" s="694" t="s">
        <v>15</v>
      </c>
      <c r="B1898" s="313">
        <v>12</v>
      </c>
      <c r="C1898" s="13">
        <v>1</v>
      </c>
      <c r="D1898" s="13">
        <v>9</v>
      </c>
      <c r="E1898" s="11">
        <v>3</v>
      </c>
      <c r="F1898" s="125">
        <v>18</v>
      </c>
      <c r="G1898" s="11">
        <v>14</v>
      </c>
      <c r="H1898" s="11">
        <v>10</v>
      </c>
      <c r="I1898" s="313">
        <f t="shared" si="857"/>
        <v>67</v>
      </c>
      <c r="J1898" s="684">
        <f>FLORESTA!$I1898/7</f>
        <v>9.5714285714285712</v>
      </c>
    </row>
    <row r="1899" spans="1:10" x14ac:dyDescent="0.25">
      <c r="A1899" s="694" t="s">
        <v>16</v>
      </c>
      <c r="B1899" s="313">
        <v>0</v>
      </c>
      <c r="C1899" s="13">
        <v>1</v>
      </c>
      <c r="D1899" s="13">
        <v>0</v>
      </c>
      <c r="E1899" s="11">
        <v>0</v>
      </c>
      <c r="F1899" s="125">
        <v>0</v>
      </c>
      <c r="G1899" s="11">
        <v>2</v>
      </c>
      <c r="H1899" s="11">
        <v>0</v>
      </c>
      <c r="I1899" s="313">
        <f t="shared" si="857"/>
        <v>3</v>
      </c>
      <c r="J1899" s="684">
        <f>FLORESTA!$I1899/7</f>
        <v>0.42857142857142855</v>
      </c>
    </row>
    <row r="1900" spans="1:10" x14ac:dyDescent="0.25">
      <c r="A1900" s="695" t="s">
        <v>17</v>
      </c>
      <c r="B1900" s="15">
        <f t="shared" ref="B1900:I1900" si="858">SUM(B1895:B1899)</f>
        <v>60</v>
      </c>
      <c r="C1900" s="79">
        <f t="shared" si="858"/>
        <v>79</v>
      </c>
      <c r="D1900" s="79">
        <f t="shared" si="858"/>
        <v>91</v>
      </c>
      <c r="E1900" s="103">
        <f t="shared" si="858"/>
        <v>92</v>
      </c>
      <c r="F1900" s="213">
        <f t="shared" si="858"/>
        <v>172</v>
      </c>
      <c r="G1900" s="103">
        <f t="shared" si="858"/>
        <v>215</v>
      </c>
      <c r="H1900" s="103">
        <f t="shared" si="858"/>
        <v>158</v>
      </c>
      <c r="I1900" s="103">
        <f t="shared" si="858"/>
        <v>867</v>
      </c>
      <c r="J1900" s="625">
        <f>FLORESTA!$I1900/7</f>
        <v>123.85714285714286</v>
      </c>
    </row>
    <row r="1901" spans="1:10" x14ac:dyDescent="0.25">
      <c r="A1901" s="694" t="s">
        <v>18</v>
      </c>
      <c r="B1901" s="690">
        <v>0.41</v>
      </c>
      <c r="C1901" s="326">
        <v>0.34</v>
      </c>
      <c r="D1901" s="326">
        <v>0.48</v>
      </c>
      <c r="E1901" s="327">
        <v>0.34</v>
      </c>
      <c r="F1901" s="328">
        <v>0.44</v>
      </c>
      <c r="G1901" s="327">
        <v>0.41</v>
      </c>
      <c r="H1901" s="327">
        <v>0.31</v>
      </c>
      <c r="I1901" s="18">
        <f>I1908/I1913</f>
        <v>0.39167690853108628</v>
      </c>
      <c r="J1901" s="626">
        <f>J1908/J1913</f>
        <v>0.39167690853108628</v>
      </c>
    </row>
    <row r="1902" spans="1:10" x14ac:dyDescent="0.25">
      <c r="A1902" s="694" t="s">
        <v>19</v>
      </c>
      <c r="B1902" s="690">
        <v>0.04</v>
      </c>
      <c r="C1902" s="326">
        <v>0</v>
      </c>
      <c r="D1902" s="326">
        <v>0.01</v>
      </c>
      <c r="E1902" s="327">
        <v>0</v>
      </c>
      <c r="F1902" s="327">
        <v>0.01</v>
      </c>
      <c r="G1902" s="327">
        <v>0.01</v>
      </c>
      <c r="H1902" s="327">
        <v>0.02</v>
      </c>
      <c r="I1902" s="18">
        <f>I1909/I1913</f>
        <v>1.1941458666989375E-2</v>
      </c>
      <c r="J1902" s="626">
        <f>J1909/J1913</f>
        <v>1.1941458666989375E-2</v>
      </c>
    </row>
    <row r="1903" spans="1:10" x14ac:dyDescent="0.25">
      <c r="A1903" s="694" t="s">
        <v>20</v>
      </c>
      <c r="B1903" s="690">
        <v>0.39</v>
      </c>
      <c r="C1903" s="326">
        <v>0.63</v>
      </c>
      <c r="D1903" s="326">
        <v>0.42</v>
      </c>
      <c r="E1903" s="327">
        <v>0.64</v>
      </c>
      <c r="F1903" s="329">
        <v>0.45</v>
      </c>
      <c r="G1903" s="327">
        <v>0.5</v>
      </c>
      <c r="H1903" s="327">
        <v>0.59</v>
      </c>
      <c r="I1903" s="18">
        <f>I1910/I1913</f>
        <v>0.5164018514167672</v>
      </c>
      <c r="J1903" s="626">
        <f>J1910/J1913</f>
        <v>0.5164018514167672</v>
      </c>
    </row>
    <row r="1904" spans="1:10" x14ac:dyDescent="0.25">
      <c r="A1904" s="694" t="s">
        <v>21</v>
      </c>
      <c r="B1904" s="690">
        <v>0.16</v>
      </c>
      <c r="C1904" s="326">
        <v>0.01</v>
      </c>
      <c r="D1904" s="326">
        <v>0.09</v>
      </c>
      <c r="E1904" s="327">
        <v>0.02</v>
      </c>
      <c r="F1904" s="329">
        <v>0.1</v>
      </c>
      <c r="G1904" s="327">
        <v>7.0000000000000007E-2</v>
      </c>
      <c r="H1904" s="327">
        <v>0.08</v>
      </c>
      <c r="I1904" s="18">
        <f>I1911/I1913</f>
        <v>7.5692831571147784E-2</v>
      </c>
      <c r="J1904" s="626">
        <f>J1911/J1913</f>
        <v>7.5692831571147784E-2</v>
      </c>
    </row>
    <row r="1905" spans="1:10" x14ac:dyDescent="0.25">
      <c r="A1905" s="694" t="s">
        <v>22</v>
      </c>
      <c r="B1905" s="690">
        <v>0</v>
      </c>
      <c r="C1905" s="326">
        <v>0.02</v>
      </c>
      <c r="D1905" s="326">
        <v>0</v>
      </c>
      <c r="E1905" s="327">
        <v>0</v>
      </c>
      <c r="F1905" s="329">
        <v>0</v>
      </c>
      <c r="G1905" s="327">
        <v>0.01</v>
      </c>
      <c r="H1905" s="327">
        <v>0</v>
      </c>
      <c r="I1905" s="18">
        <f>I1912/I1913</f>
        <v>4.2869498140094067E-3</v>
      </c>
      <c r="J1905" s="626">
        <f>J1912/J1913</f>
        <v>4.2869498140094067E-3</v>
      </c>
    </row>
    <row r="1906" spans="1:10" x14ac:dyDescent="0.25">
      <c r="A1906" s="696" t="s">
        <v>23</v>
      </c>
      <c r="B1906" s="314">
        <f t="shared" ref="B1906:J1906" si="859">B1917/B1900</f>
        <v>32131.666666666672</v>
      </c>
      <c r="C1906" s="131">
        <f t="shared" si="859"/>
        <v>33860.759493670885</v>
      </c>
      <c r="D1906" s="131">
        <f t="shared" si="859"/>
        <v>34479.120879120877</v>
      </c>
      <c r="E1906" s="130">
        <f t="shared" si="859"/>
        <v>31475</v>
      </c>
      <c r="F1906" s="132">
        <f t="shared" si="859"/>
        <v>35555.232558139534</v>
      </c>
      <c r="G1906" s="130">
        <f t="shared" si="859"/>
        <v>34200.930232558145</v>
      </c>
      <c r="H1906" s="130">
        <f t="shared" si="859"/>
        <v>34967.088607594946</v>
      </c>
      <c r="I1906" s="314">
        <f t="shared" si="859"/>
        <v>34174.971164936564</v>
      </c>
      <c r="J1906" s="685">
        <f t="shared" si="859"/>
        <v>34174.971164936556</v>
      </c>
    </row>
    <row r="1907" spans="1:10" x14ac:dyDescent="0.25">
      <c r="A1907" s="696" t="s">
        <v>24</v>
      </c>
      <c r="B1907" s="314">
        <f t="shared" ref="B1907:J1907" si="860">B1917/B1894</f>
        <v>27940.579710144932</v>
      </c>
      <c r="C1907" s="131">
        <f t="shared" si="860"/>
        <v>28457.446808510638</v>
      </c>
      <c r="D1907" s="131">
        <f t="shared" si="860"/>
        <v>29323.364485981307</v>
      </c>
      <c r="E1907" s="130">
        <f t="shared" si="860"/>
        <v>27843.26923076923</v>
      </c>
      <c r="F1907" s="132">
        <f t="shared" si="860"/>
        <v>30425.373134328358</v>
      </c>
      <c r="G1907" s="130">
        <f t="shared" si="860"/>
        <v>29064.031620553364</v>
      </c>
      <c r="H1907" s="130">
        <f t="shared" si="860"/>
        <v>29387.234042553195</v>
      </c>
      <c r="I1907" s="314">
        <f t="shared" si="860"/>
        <v>29163.090551181103</v>
      </c>
      <c r="J1907" s="685">
        <f t="shared" si="860"/>
        <v>29163.0905511811</v>
      </c>
    </row>
    <row r="1908" spans="1:10" x14ac:dyDescent="0.25">
      <c r="A1908" s="694" t="s">
        <v>25</v>
      </c>
      <c r="B1908" s="300">
        <f t="shared" ref="B1908:H1908" si="861">B1913*B1901</f>
        <v>661618.13103448285</v>
      </c>
      <c r="C1908" s="133">
        <f t="shared" si="861"/>
        <v>762711.96413793112</v>
      </c>
      <c r="D1908" s="133">
        <f t="shared" si="861"/>
        <v>1263555.6413793103</v>
      </c>
      <c r="E1908" s="92">
        <f t="shared" si="861"/>
        <v>825758.37517241389</v>
      </c>
      <c r="F1908" s="134">
        <f t="shared" si="861"/>
        <v>2243196.8937931033</v>
      </c>
      <c r="G1908" s="92">
        <f t="shared" si="861"/>
        <v>2522765.8820689656</v>
      </c>
      <c r="H1908" s="92">
        <f t="shared" si="861"/>
        <v>1441283.1924137932</v>
      </c>
      <c r="I1908" s="92">
        <f>FLORESTA!$B1908+FLORESTA!$C1908+FLORESTA!$D1908+FLORESTA!$E1908+FLORESTA!$F1908+FLORESTA!$G1908+FLORESTA!$H1908</f>
        <v>9720890.0800000001</v>
      </c>
      <c r="J1908" s="629">
        <f>FLORESTA!$I1908/7</f>
        <v>1388698.5828571429</v>
      </c>
    </row>
    <row r="1909" spans="1:10" x14ac:dyDescent="0.25">
      <c r="A1909" s="694" t="s">
        <v>26</v>
      </c>
      <c r="B1909" s="300">
        <f t="shared" ref="B1909:H1909" si="862">B1913*B1902</f>
        <v>64548.110344827597</v>
      </c>
      <c r="C1909" s="133">
        <f t="shared" si="862"/>
        <v>0</v>
      </c>
      <c r="D1909" s="133">
        <f t="shared" si="862"/>
        <v>26324.075862068967</v>
      </c>
      <c r="E1909" s="92">
        <f t="shared" si="862"/>
        <v>0</v>
      </c>
      <c r="F1909" s="134">
        <f t="shared" si="862"/>
        <v>50981.747586206897</v>
      </c>
      <c r="G1909" s="92">
        <f t="shared" si="862"/>
        <v>61530.875172413806</v>
      </c>
      <c r="H1909" s="92">
        <f t="shared" si="862"/>
        <v>92986.012413793113</v>
      </c>
      <c r="I1909" s="92">
        <f>FLORESTA!$B1909+FLORESTA!$C1909+FLORESTA!$D1909+FLORESTA!$E1909+FLORESTA!$F1909+FLORESTA!$G1909+FLORESTA!$H1909</f>
        <v>296370.82137931034</v>
      </c>
      <c r="J1909" s="629">
        <f>FLORESTA!$I1909/7</f>
        <v>42338.688768472908</v>
      </c>
    </row>
    <row r="1910" spans="1:10" x14ac:dyDescent="0.25">
      <c r="A1910" s="694" t="s">
        <v>27</v>
      </c>
      <c r="B1910" s="300">
        <f t="shared" ref="B1910:H1910" si="863">B1913*B1903</f>
        <v>629344.07586206903</v>
      </c>
      <c r="C1910" s="133">
        <f t="shared" si="863"/>
        <v>1413260.4041379311</v>
      </c>
      <c r="D1910" s="133">
        <f t="shared" si="863"/>
        <v>1105611.1862068966</v>
      </c>
      <c r="E1910" s="92">
        <f t="shared" si="863"/>
        <v>1554368.7062068966</v>
      </c>
      <c r="F1910" s="134">
        <f t="shared" si="863"/>
        <v>2294178.6413793103</v>
      </c>
      <c r="G1910" s="92">
        <f t="shared" si="863"/>
        <v>3076543.7586206901</v>
      </c>
      <c r="H1910" s="92">
        <f t="shared" si="863"/>
        <v>2743087.3662068965</v>
      </c>
      <c r="I1910" s="92">
        <f>FLORESTA!$B1910+FLORESTA!$C1910+FLORESTA!$D1910+FLORESTA!$E1910+FLORESTA!$F1910+FLORESTA!$G1910+FLORESTA!$H1910</f>
        <v>12816394.13862069</v>
      </c>
      <c r="J1910" s="629">
        <f>FLORESTA!$I1910/7</f>
        <v>1830913.4483743843</v>
      </c>
    </row>
    <row r="1911" spans="1:10" x14ac:dyDescent="0.25">
      <c r="A1911" s="694" t="s">
        <v>28</v>
      </c>
      <c r="B1911" s="300">
        <f t="shared" ref="B1911:H1911" si="864">B1913*B1904</f>
        <v>258192.44137931039</v>
      </c>
      <c r="C1911" s="133">
        <f t="shared" si="864"/>
        <v>22432.704827586207</v>
      </c>
      <c r="D1911" s="133">
        <f t="shared" si="864"/>
        <v>236916.68275862071</v>
      </c>
      <c r="E1911" s="92">
        <f t="shared" si="864"/>
        <v>48574.022068965518</v>
      </c>
      <c r="F1911" s="134">
        <f t="shared" si="864"/>
        <v>509817.475862069</v>
      </c>
      <c r="G1911" s="92">
        <f t="shared" si="864"/>
        <v>430716.12620689668</v>
      </c>
      <c r="H1911" s="92">
        <f t="shared" si="864"/>
        <v>371944.04965517245</v>
      </c>
      <c r="I1911" s="92">
        <f>FLORESTA!$B1911+FLORESTA!$C1911+FLORESTA!$D1911+FLORESTA!$E1911+FLORESTA!$F1911+FLORESTA!$G1911+FLORESTA!$H1911</f>
        <v>1878593.502758621</v>
      </c>
      <c r="J1911" s="629">
        <f>FLORESTA!$I1911/7</f>
        <v>268370.50039408874</v>
      </c>
    </row>
    <row r="1912" spans="1:10" x14ac:dyDescent="0.25">
      <c r="A1912" s="694" t="s">
        <v>29</v>
      </c>
      <c r="B1912" s="300">
        <f t="shared" ref="B1912:H1912" si="865">B1913*B1905</f>
        <v>0</v>
      </c>
      <c r="C1912" s="133">
        <f t="shared" si="865"/>
        <v>44865.409655172414</v>
      </c>
      <c r="D1912" s="133">
        <f t="shared" si="865"/>
        <v>0</v>
      </c>
      <c r="E1912" s="92">
        <f t="shared" si="865"/>
        <v>0</v>
      </c>
      <c r="F1912" s="134">
        <f t="shared" si="865"/>
        <v>0</v>
      </c>
      <c r="G1912" s="92">
        <f t="shared" si="865"/>
        <v>61530.875172413806</v>
      </c>
      <c r="H1912" s="92">
        <f t="shared" si="865"/>
        <v>0</v>
      </c>
      <c r="I1912" s="92">
        <f>FLORESTA!$B1912+FLORESTA!$C1912+FLORESTA!$D1912+FLORESTA!$E1912+FLORESTA!$F1912+FLORESTA!$G1912+FLORESTA!$H1912</f>
        <v>106396.28482758622</v>
      </c>
      <c r="J1912" s="629">
        <f>FLORESTA!$I1912/7</f>
        <v>15199.469261083746</v>
      </c>
    </row>
    <row r="1913" spans="1:10" x14ac:dyDescent="0.25">
      <c r="A1913" s="697" t="s">
        <v>30</v>
      </c>
      <c r="B1913" s="691">
        <f>(1927900/1.16)-B1914</f>
        <v>1613702.7586206899</v>
      </c>
      <c r="C1913" s="691">
        <f>(2675000/1.16)-C1914</f>
        <v>2243270.4827586208</v>
      </c>
      <c r="D1913" s="691">
        <f>(3137600/1.16)-D1914</f>
        <v>2632407.5862068967</v>
      </c>
      <c r="E1913" s="691">
        <f>(2895700/1.16)-E1914</f>
        <v>2428701.1034482759</v>
      </c>
      <c r="F1913" s="691">
        <f>(6115500/1.16)-F1914</f>
        <v>5098174.7586206896</v>
      </c>
      <c r="G1913" s="691">
        <f>(7353200/1.16)-G1914</f>
        <v>6153087.5172413802</v>
      </c>
      <c r="H1913" s="691">
        <f>(5524800/1.16)-H1914</f>
        <v>4649300.6206896557</v>
      </c>
      <c r="I1913" s="91">
        <f>SUM(I1908:I1912)</f>
        <v>24818644.827586208</v>
      </c>
      <c r="J1913" s="631">
        <f>FLORESTA!$I1913/7</f>
        <v>3545520.6896551726</v>
      </c>
    </row>
    <row r="1914" spans="1:10" x14ac:dyDescent="0.25">
      <c r="A1914" s="694" t="s">
        <v>31</v>
      </c>
      <c r="B1914" s="302">
        <f t="shared" ref="B1914:I1914" si="866">2414*B1895</f>
        <v>48280</v>
      </c>
      <c r="C1914" s="139">
        <f t="shared" si="866"/>
        <v>62764</v>
      </c>
      <c r="D1914" s="139">
        <f t="shared" si="866"/>
        <v>72420</v>
      </c>
      <c r="E1914" s="139">
        <f t="shared" si="866"/>
        <v>67592</v>
      </c>
      <c r="F1914" s="139">
        <f t="shared" si="866"/>
        <v>173808</v>
      </c>
      <c r="G1914" s="139">
        <f t="shared" si="866"/>
        <v>185878</v>
      </c>
      <c r="H1914" s="139">
        <f t="shared" si="866"/>
        <v>113458</v>
      </c>
      <c r="I1914" s="94">
        <f t="shared" si="866"/>
        <v>724200</v>
      </c>
      <c r="J1914" s="632">
        <f>2155*J1895</f>
        <v>92357.142857142855</v>
      </c>
    </row>
    <row r="1915" spans="1:10" x14ac:dyDescent="0.25">
      <c r="A1915" s="698" t="s">
        <v>32</v>
      </c>
      <c r="B1915" s="364">
        <f t="shared" ref="B1915:H1915" si="867">B1913+B1914</f>
        <v>1661982.7586206899</v>
      </c>
      <c r="C1915" s="40">
        <f t="shared" si="867"/>
        <v>2306034.4827586208</v>
      </c>
      <c r="D1915" s="40">
        <f t="shared" si="867"/>
        <v>2704827.5862068967</v>
      </c>
      <c r="E1915" s="39">
        <f t="shared" si="867"/>
        <v>2496293.1034482759</v>
      </c>
      <c r="F1915" s="140">
        <f t="shared" si="867"/>
        <v>5271982.7586206896</v>
      </c>
      <c r="G1915" s="39">
        <f t="shared" si="867"/>
        <v>6338965.5172413802</v>
      </c>
      <c r="H1915" s="39">
        <f t="shared" si="867"/>
        <v>4762758.6206896557</v>
      </c>
      <c r="I1915" s="39">
        <f>I1913+I1914</f>
        <v>25542844.827586208</v>
      </c>
      <c r="J1915" s="634">
        <f>J1913+J1914</f>
        <v>3637877.8325123154</v>
      </c>
    </row>
    <row r="1916" spans="1:10" x14ac:dyDescent="0.25">
      <c r="A1916" s="694" t="s">
        <v>33</v>
      </c>
      <c r="B1916" s="415">
        <f t="shared" ref="B1916:H1916" si="868">B1915*16%</f>
        <v>265917.24137931038</v>
      </c>
      <c r="C1916" s="42">
        <f t="shared" si="868"/>
        <v>368965.5172413793</v>
      </c>
      <c r="D1916" s="42">
        <f t="shared" si="868"/>
        <v>432772.41379310348</v>
      </c>
      <c r="E1916" s="41">
        <f t="shared" si="868"/>
        <v>399406.89655172417</v>
      </c>
      <c r="F1916" s="141">
        <f t="shared" si="868"/>
        <v>843517.24137931038</v>
      </c>
      <c r="G1916" s="41">
        <f t="shared" si="868"/>
        <v>1014234.4827586209</v>
      </c>
      <c r="H1916" s="41">
        <f t="shared" si="868"/>
        <v>762041.37931034493</v>
      </c>
      <c r="I1916" s="41">
        <f>I1915*16%</f>
        <v>4086855.1724137934</v>
      </c>
      <c r="J1916" s="635">
        <f>J1915*16%</f>
        <v>582060.45320197043</v>
      </c>
    </row>
    <row r="1917" spans="1:10" ht="15.75" thickBot="1" x14ac:dyDescent="0.3">
      <c r="A1917" s="699" t="s">
        <v>34</v>
      </c>
      <c r="B1917" s="687">
        <f t="shared" ref="B1917:H1917" si="869">B1915+B1916</f>
        <v>1927900.0000000002</v>
      </c>
      <c r="C1917" s="638">
        <f t="shared" si="869"/>
        <v>2675000</v>
      </c>
      <c r="D1917" s="638">
        <f t="shared" si="869"/>
        <v>3137600</v>
      </c>
      <c r="E1917" s="686">
        <f t="shared" si="869"/>
        <v>2895700</v>
      </c>
      <c r="F1917" s="687">
        <f t="shared" si="869"/>
        <v>6115500</v>
      </c>
      <c r="G1917" s="686">
        <f t="shared" si="869"/>
        <v>7353200.0000000009</v>
      </c>
      <c r="H1917" s="686">
        <f t="shared" si="869"/>
        <v>5524800.0000000009</v>
      </c>
      <c r="I1917" s="686">
        <f>I1915+I1916</f>
        <v>29629700</v>
      </c>
      <c r="J1917" s="639">
        <f>FLORESTA!$I1917/7</f>
        <v>4232814.2857142854</v>
      </c>
    </row>
    <row r="1918" spans="1:10" ht="15.75" thickBot="1" x14ac:dyDescent="0.3"/>
    <row r="1919" spans="1:10" ht="15.75" thickBot="1" x14ac:dyDescent="0.3">
      <c r="A1919" s="149"/>
      <c r="B1919" s="1006" t="s">
        <v>643</v>
      </c>
      <c r="C1919" s="1006"/>
      <c r="D1919" s="1006"/>
      <c r="E1919" s="1006"/>
      <c r="F1919" s="1006"/>
      <c r="G1919" s="1006"/>
      <c r="H1919" s="1006"/>
      <c r="I1919" s="1006"/>
    </row>
    <row r="1920" spans="1:10" ht="15.75" thickBot="1" x14ac:dyDescent="0.3">
      <c r="A1920" s="149"/>
      <c r="B1920" s="1006"/>
      <c r="C1920" s="1006"/>
      <c r="D1920" s="1006"/>
      <c r="E1920" s="1006"/>
      <c r="F1920" s="1006"/>
      <c r="G1920" s="1006"/>
      <c r="H1920" s="1006"/>
      <c r="I1920" s="1006"/>
    </row>
    <row r="1921" spans="1:10" ht="15.75" x14ac:dyDescent="0.25">
      <c r="A1921" s="692" t="s">
        <v>2</v>
      </c>
      <c r="B1921" s="681" t="s">
        <v>53</v>
      </c>
      <c r="C1921" s="681" t="s">
        <v>54</v>
      </c>
      <c r="D1921" s="681" t="s">
        <v>292</v>
      </c>
      <c r="E1921" s="681" t="s">
        <v>293</v>
      </c>
      <c r="F1921" s="681" t="s">
        <v>294</v>
      </c>
      <c r="G1921" s="681" t="s">
        <v>295</v>
      </c>
      <c r="H1921" s="681" t="s">
        <v>296</v>
      </c>
      <c r="I1921" s="617" t="s">
        <v>96</v>
      </c>
      <c r="J1921" s="682" t="s">
        <v>97</v>
      </c>
    </row>
    <row r="1922" spans="1:10" x14ac:dyDescent="0.25">
      <c r="A1922" s="693" t="s">
        <v>11</v>
      </c>
      <c r="B1922" s="56">
        <f>52+31+8</f>
        <v>91</v>
      </c>
      <c r="C1922" s="673">
        <f>44+51+9</f>
        <v>104</v>
      </c>
      <c r="D1922" s="673">
        <f>48+32+4</f>
        <v>84</v>
      </c>
      <c r="E1922" s="738">
        <f>51+27+8</f>
        <v>86</v>
      </c>
      <c r="F1922" s="743">
        <f>107+79+15</f>
        <v>201</v>
      </c>
      <c r="G1922" s="738">
        <f>151+118+32</f>
        <v>301</v>
      </c>
      <c r="H1922" s="738">
        <f>97+73+29</f>
        <v>199</v>
      </c>
      <c r="I1922" s="738">
        <f t="shared" ref="I1922:I1927" si="870">SUM(B1922:H1922)</f>
        <v>1066</v>
      </c>
      <c r="J1922" s="683">
        <f>FLORESTA!$I1922/7</f>
        <v>152.28571428571428</v>
      </c>
    </row>
    <row r="1923" spans="1:10" x14ac:dyDescent="0.25">
      <c r="A1923" s="694" t="s">
        <v>12</v>
      </c>
      <c r="B1923" s="689">
        <v>24</v>
      </c>
      <c r="C1923" s="671">
        <v>21</v>
      </c>
      <c r="D1923" s="675">
        <v>24</v>
      </c>
      <c r="E1923" s="734">
        <v>23</v>
      </c>
      <c r="F1923" s="735">
        <v>69</v>
      </c>
      <c r="G1923" s="736">
        <v>75</v>
      </c>
      <c r="H1923" s="734">
        <v>72</v>
      </c>
      <c r="I1923" s="737">
        <f t="shared" si="870"/>
        <v>308</v>
      </c>
      <c r="J1923" s="684">
        <f>FLORESTA!$I1923/7</f>
        <v>44</v>
      </c>
    </row>
    <row r="1924" spans="1:10" x14ac:dyDescent="0.25">
      <c r="A1924" s="694" t="s">
        <v>13</v>
      </c>
      <c r="B1924" s="313">
        <v>1</v>
      </c>
      <c r="C1924" s="13">
        <v>2</v>
      </c>
      <c r="D1924" s="13">
        <v>1</v>
      </c>
      <c r="E1924" s="11">
        <v>1</v>
      </c>
      <c r="F1924" s="125">
        <v>2</v>
      </c>
      <c r="G1924" s="11">
        <v>2</v>
      </c>
      <c r="H1924" s="11">
        <v>2</v>
      </c>
      <c r="I1924" s="313">
        <f t="shared" si="870"/>
        <v>11</v>
      </c>
      <c r="J1924" s="684">
        <f>C1924+D1924+E1924+F1924+G1924+H1924+I1924</f>
        <v>21</v>
      </c>
    </row>
    <row r="1925" spans="1:10" x14ac:dyDescent="0.25">
      <c r="A1925" s="694" t="s">
        <v>14</v>
      </c>
      <c r="B1925" s="313">
        <v>54</v>
      </c>
      <c r="C1925" s="13">
        <v>63</v>
      </c>
      <c r="D1925" s="320">
        <v>49</v>
      </c>
      <c r="E1925" s="11">
        <v>47</v>
      </c>
      <c r="F1925" s="125">
        <v>97</v>
      </c>
      <c r="G1925" s="11">
        <v>142</v>
      </c>
      <c r="H1925" s="11">
        <v>77</v>
      </c>
      <c r="I1925" s="313">
        <f t="shared" si="870"/>
        <v>529</v>
      </c>
      <c r="J1925" s="684">
        <f>FLORESTA!$I1925/7</f>
        <v>75.571428571428569</v>
      </c>
    </row>
    <row r="1926" spans="1:10" x14ac:dyDescent="0.25">
      <c r="A1926" s="694" t="s">
        <v>15</v>
      </c>
      <c r="B1926" s="313">
        <v>6</v>
      </c>
      <c r="C1926" s="13">
        <v>8</v>
      </c>
      <c r="D1926" s="13">
        <v>4</v>
      </c>
      <c r="E1926" s="11">
        <v>4</v>
      </c>
      <c r="F1926" s="125">
        <v>13</v>
      </c>
      <c r="G1926" s="11">
        <v>32</v>
      </c>
      <c r="H1926" s="11">
        <v>13</v>
      </c>
      <c r="I1926" s="313">
        <f t="shared" si="870"/>
        <v>80</v>
      </c>
      <c r="J1926" s="684">
        <f>FLORESTA!$I1926/7</f>
        <v>11.428571428571429</v>
      </c>
    </row>
    <row r="1927" spans="1:10" x14ac:dyDescent="0.25">
      <c r="A1927" s="694" t="s">
        <v>16</v>
      </c>
      <c r="B1927" s="313">
        <v>0</v>
      </c>
      <c r="C1927" s="13">
        <v>1</v>
      </c>
      <c r="D1927" s="13">
        <v>0</v>
      </c>
      <c r="E1927" s="11">
        <v>0</v>
      </c>
      <c r="F1927" s="125">
        <v>0</v>
      </c>
      <c r="G1927" s="11">
        <v>0</v>
      </c>
      <c r="H1927" s="11">
        <v>1</v>
      </c>
      <c r="I1927" s="313">
        <f t="shared" si="870"/>
        <v>2</v>
      </c>
      <c r="J1927" s="684">
        <f>FLORESTA!$I1927/7</f>
        <v>0.2857142857142857</v>
      </c>
    </row>
    <row r="1928" spans="1:10" x14ac:dyDescent="0.25">
      <c r="A1928" s="695" t="s">
        <v>17</v>
      </c>
      <c r="B1928" s="15">
        <f t="shared" ref="B1928:I1928" si="871">SUM(B1923:B1927)</f>
        <v>85</v>
      </c>
      <c r="C1928" s="79">
        <f t="shared" si="871"/>
        <v>95</v>
      </c>
      <c r="D1928" s="79">
        <f t="shared" si="871"/>
        <v>78</v>
      </c>
      <c r="E1928" s="103">
        <f t="shared" si="871"/>
        <v>75</v>
      </c>
      <c r="F1928" s="213">
        <f t="shared" si="871"/>
        <v>181</v>
      </c>
      <c r="G1928" s="103">
        <f t="shared" si="871"/>
        <v>251</v>
      </c>
      <c r="H1928" s="103">
        <f t="shared" si="871"/>
        <v>165</v>
      </c>
      <c r="I1928" s="103">
        <f t="shared" si="871"/>
        <v>930</v>
      </c>
      <c r="J1928" s="625">
        <f>FLORESTA!$I1928/7</f>
        <v>132.85714285714286</v>
      </c>
    </row>
    <row r="1929" spans="1:10" x14ac:dyDescent="0.25">
      <c r="A1929" s="694" t="s">
        <v>18</v>
      </c>
      <c r="B1929" s="690">
        <v>0.32</v>
      </c>
      <c r="C1929" s="326">
        <v>0.23</v>
      </c>
      <c r="D1929" s="326">
        <v>0.43</v>
      </c>
      <c r="E1929" s="327">
        <v>0.38</v>
      </c>
      <c r="F1929" s="328">
        <v>0.44</v>
      </c>
      <c r="G1929" s="327">
        <v>0.38</v>
      </c>
      <c r="H1929" s="327">
        <v>0.47</v>
      </c>
      <c r="I1929" s="18">
        <f>I1936/I1941</f>
        <v>0.39245335844748763</v>
      </c>
      <c r="J1929" s="626">
        <f>J1936/J1941</f>
        <v>0.39245335844748758</v>
      </c>
    </row>
    <row r="1930" spans="1:10" x14ac:dyDescent="0.25">
      <c r="A1930" s="694" t="s">
        <v>19</v>
      </c>
      <c r="B1930" s="690">
        <v>0.01</v>
      </c>
      <c r="C1930" s="326">
        <v>0.03</v>
      </c>
      <c r="D1930" s="326">
        <v>0.01</v>
      </c>
      <c r="E1930" s="327">
        <v>0.01</v>
      </c>
      <c r="F1930" s="327">
        <v>0.01</v>
      </c>
      <c r="G1930" s="327">
        <v>0.01</v>
      </c>
      <c r="H1930" s="327">
        <v>0.02</v>
      </c>
      <c r="I1930" s="18">
        <f>I1937/I1941</f>
        <v>1.3719891220376468E-2</v>
      </c>
      <c r="J1930" s="626">
        <f>J1937/J1941</f>
        <v>1.3719891220376468E-2</v>
      </c>
    </row>
    <row r="1931" spans="1:10" x14ac:dyDescent="0.25">
      <c r="A1931" s="694" t="s">
        <v>20</v>
      </c>
      <c r="B1931" s="690">
        <v>0.61</v>
      </c>
      <c r="C1931" s="326">
        <v>0.63</v>
      </c>
      <c r="D1931" s="326">
        <v>0.52</v>
      </c>
      <c r="E1931" s="327">
        <v>0.56000000000000005</v>
      </c>
      <c r="F1931" s="329">
        <v>0.47</v>
      </c>
      <c r="G1931" s="327">
        <v>0.49</v>
      </c>
      <c r="H1931" s="327">
        <v>0.42</v>
      </c>
      <c r="I1931" s="18">
        <f>I1938/I1941</f>
        <v>0.50475255786937234</v>
      </c>
      <c r="J1931" s="626">
        <f>J1938/J1941</f>
        <v>0.50475255786937234</v>
      </c>
    </row>
    <row r="1932" spans="1:10" x14ac:dyDescent="0.25">
      <c r="A1932" s="694" t="s">
        <v>21</v>
      </c>
      <c r="B1932" s="690">
        <v>0.06</v>
      </c>
      <c r="C1932" s="326">
        <v>0.1</v>
      </c>
      <c r="D1932" s="326">
        <v>0.04</v>
      </c>
      <c r="E1932" s="327">
        <v>0.05</v>
      </c>
      <c r="F1932" s="329">
        <v>0.08</v>
      </c>
      <c r="G1932" s="327">
        <v>0.12</v>
      </c>
      <c r="H1932" s="327">
        <v>0.08</v>
      </c>
      <c r="I1932" s="18">
        <f>I1939/I1941</f>
        <v>8.6317585028747201E-2</v>
      </c>
      <c r="J1932" s="626">
        <f>J1939/J1941</f>
        <v>8.6317585028747201E-2</v>
      </c>
    </row>
    <row r="1933" spans="1:10" x14ac:dyDescent="0.25">
      <c r="A1933" s="694" t="s">
        <v>22</v>
      </c>
      <c r="B1933" s="690">
        <v>0</v>
      </c>
      <c r="C1933" s="326">
        <v>0.01</v>
      </c>
      <c r="D1933" s="326">
        <v>0</v>
      </c>
      <c r="E1933" s="327">
        <v>0</v>
      </c>
      <c r="F1933" s="329">
        <v>0</v>
      </c>
      <c r="G1933" s="327">
        <v>0</v>
      </c>
      <c r="H1933" s="327">
        <v>0.01</v>
      </c>
      <c r="I1933" s="18">
        <f>I1940/I1941</f>
        <v>2.7566074340162547E-3</v>
      </c>
      <c r="J1933" s="626">
        <f>J1940/J1941</f>
        <v>2.7566074340162543E-3</v>
      </c>
    </row>
    <row r="1934" spans="1:10" x14ac:dyDescent="0.25">
      <c r="A1934" s="696" t="s">
        <v>23</v>
      </c>
      <c r="B1934" s="314">
        <f t="shared" ref="B1934:J1934" si="872">B1945/B1928</f>
        <v>31105.882352941175</v>
      </c>
      <c r="C1934" s="131">
        <f t="shared" si="872"/>
        <v>31143.157894736843</v>
      </c>
      <c r="D1934" s="131">
        <f t="shared" si="872"/>
        <v>31639.74358974359</v>
      </c>
      <c r="E1934" s="130">
        <f t="shared" si="872"/>
        <v>30250.666666666668</v>
      </c>
      <c r="F1934" s="132">
        <f t="shared" si="872"/>
        <v>34084.530386740335</v>
      </c>
      <c r="G1934" s="130">
        <f t="shared" si="872"/>
        <v>35286.852589641436</v>
      </c>
      <c r="H1934" s="130">
        <f t="shared" si="872"/>
        <v>33940</v>
      </c>
      <c r="I1934" s="314">
        <f t="shared" si="872"/>
        <v>33296.451612903227</v>
      </c>
      <c r="J1934" s="685">
        <f t="shared" si="872"/>
        <v>33296.451612903227</v>
      </c>
    </row>
    <row r="1935" spans="1:10" x14ac:dyDescent="0.25">
      <c r="A1935" s="696" t="s">
        <v>24</v>
      </c>
      <c r="B1935" s="314">
        <f t="shared" ref="B1935:J1935" si="873">B1945/B1922</f>
        <v>29054.945054945056</v>
      </c>
      <c r="C1935" s="131">
        <f t="shared" si="873"/>
        <v>28448.076923076922</v>
      </c>
      <c r="D1935" s="131">
        <f t="shared" si="873"/>
        <v>29379.761904761905</v>
      </c>
      <c r="E1935" s="130">
        <f t="shared" si="873"/>
        <v>26381.39534883721</v>
      </c>
      <c r="F1935" s="132">
        <f t="shared" si="873"/>
        <v>30693.034825870651</v>
      </c>
      <c r="G1935" s="130">
        <f t="shared" si="873"/>
        <v>29425.249169435217</v>
      </c>
      <c r="H1935" s="130">
        <f t="shared" si="873"/>
        <v>28141.206030150755</v>
      </c>
      <c r="I1935" s="314">
        <f t="shared" si="873"/>
        <v>29048.499061913699</v>
      </c>
      <c r="J1935" s="685">
        <f t="shared" si="873"/>
        <v>29048.499061913702</v>
      </c>
    </row>
    <row r="1936" spans="1:10" x14ac:dyDescent="0.25">
      <c r="A1936" s="694" t="s">
        <v>25</v>
      </c>
      <c r="B1936" s="300">
        <f t="shared" ref="B1936:H1936" si="874">B1941*B1929</f>
        <v>710839.79034482769</v>
      </c>
      <c r="C1936" s="133">
        <f t="shared" si="874"/>
        <v>574959.3455172414</v>
      </c>
      <c r="D1936" s="133">
        <f t="shared" si="874"/>
        <v>889912.52</v>
      </c>
      <c r="E1936" s="92">
        <f t="shared" si="874"/>
        <v>722129.22620689659</v>
      </c>
      <c r="F1936" s="134">
        <f t="shared" si="874"/>
        <v>2266790.2703448278</v>
      </c>
      <c r="G1936" s="92">
        <f t="shared" si="874"/>
        <v>2832632.034482759</v>
      </c>
      <c r="H1936" s="92">
        <f t="shared" si="874"/>
        <v>2187316.2744827587</v>
      </c>
      <c r="I1936" s="92">
        <f>FLORESTA!$B1936+FLORESTA!$C1936+FLORESTA!$D1936+FLORESTA!$E1936+FLORESTA!$F1936+FLORESTA!$G1936+FLORESTA!$H1936</f>
        <v>10184579.46137931</v>
      </c>
      <c r="J1936" s="629">
        <f>FLORESTA!$I1936/7</f>
        <v>1454939.9230541871</v>
      </c>
    </row>
    <row r="1937" spans="1:10" x14ac:dyDescent="0.25">
      <c r="A1937" s="694" t="s">
        <v>26</v>
      </c>
      <c r="B1937" s="300">
        <f t="shared" ref="B1937:H1937" si="875">B1941*B1930</f>
        <v>22213.743448275865</v>
      </c>
      <c r="C1937" s="133">
        <f t="shared" si="875"/>
        <v>74994.697241379312</v>
      </c>
      <c r="D1937" s="133">
        <f t="shared" si="875"/>
        <v>20695.64</v>
      </c>
      <c r="E1937" s="92">
        <f t="shared" si="875"/>
        <v>19003.400689655176</v>
      </c>
      <c r="F1937" s="134">
        <f t="shared" si="875"/>
        <v>51517.960689655178</v>
      </c>
      <c r="G1937" s="92">
        <f t="shared" si="875"/>
        <v>74542.948275862072</v>
      </c>
      <c r="H1937" s="92">
        <f t="shared" si="875"/>
        <v>93077.288275862084</v>
      </c>
      <c r="I1937" s="92">
        <f>FLORESTA!$B1937+FLORESTA!$C1937+FLORESTA!$D1937+FLORESTA!$E1937+FLORESTA!$F1937+FLORESTA!$G1937+FLORESTA!$H1937</f>
        <v>356045.67862068966</v>
      </c>
      <c r="J1937" s="629">
        <f>FLORESTA!$I1937/7</f>
        <v>50863.668374384237</v>
      </c>
    </row>
    <row r="1938" spans="1:10" x14ac:dyDescent="0.25">
      <c r="A1938" s="694" t="s">
        <v>27</v>
      </c>
      <c r="B1938" s="300">
        <f t="shared" ref="B1938:H1938" si="876">B1941*B1931</f>
        <v>1355038.3503448276</v>
      </c>
      <c r="C1938" s="133">
        <f t="shared" si="876"/>
        <v>1574888.6420689656</v>
      </c>
      <c r="D1938" s="133">
        <f t="shared" si="876"/>
        <v>1076173.28</v>
      </c>
      <c r="E1938" s="92">
        <f t="shared" si="876"/>
        <v>1064190.4386206898</v>
      </c>
      <c r="F1938" s="134">
        <f t="shared" si="876"/>
        <v>2421344.1524137934</v>
      </c>
      <c r="G1938" s="92">
        <f t="shared" si="876"/>
        <v>3652604.4655172415</v>
      </c>
      <c r="H1938" s="92">
        <f t="shared" si="876"/>
        <v>1954623.0537931034</v>
      </c>
      <c r="I1938" s="92">
        <f>FLORESTA!$B1938+FLORESTA!$C1938+FLORESTA!$D1938+FLORESTA!$E1938+FLORESTA!$F1938+FLORESTA!$G1938+FLORESTA!$H1938</f>
        <v>13098862.382758621</v>
      </c>
      <c r="J1938" s="629">
        <f>FLORESTA!$I1938/7</f>
        <v>1871266.0546798031</v>
      </c>
    </row>
    <row r="1939" spans="1:10" x14ac:dyDescent="0.25">
      <c r="A1939" s="694" t="s">
        <v>28</v>
      </c>
      <c r="B1939" s="300">
        <f t="shared" ref="B1939:H1939" si="877">B1941*B1932</f>
        <v>133282.46068965518</v>
      </c>
      <c r="C1939" s="133">
        <f t="shared" si="877"/>
        <v>249982.32413793105</v>
      </c>
      <c r="D1939" s="133">
        <f t="shared" si="877"/>
        <v>82782.559999999998</v>
      </c>
      <c r="E1939" s="92">
        <f t="shared" si="877"/>
        <v>95017.003448275878</v>
      </c>
      <c r="F1939" s="134">
        <f t="shared" si="877"/>
        <v>412143.68551724142</v>
      </c>
      <c r="G1939" s="92">
        <f t="shared" si="877"/>
        <v>894515.37931034493</v>
      </c>
      <c r="H1939" s="92">
        <f t="shared" si="877"/>
        <v>372309.15310344833</v>
      </c>
      <c r="I1939" s="92">
        <f>FLORESTA!$B1939+FLORESTA!$C1939+FLORESTA!$D1939+FLORESTA!$E1939+FLORESTA!$F1939+FLORESTA!$G1939+FLORESTA!$H1939</f>
        <v>2240032.5662068971</v>
      </c>
      <c r="J1939" s="629">
        <f>FLORESTA!$I1939/7</f>
        <v>320004.65231527103</v>
      </c>
    </row>
    <row r="1940" spans="1:10" x14ac:dyDescent="0.25">
      <c r="A1940" s="694" t="s">
        <v>29</v>
      </c>
      <c r="B1940" s="300">
        <f t="shared" ref="B1940:H1940" si="878">B1941*B1933</f>
        <v>0</v>
      </c>
      <c r="C1940" s="133">
        <f t="shared" si="878"/>
        <v>24998.232413793103</v>
      </c>
      <c r="D1940" s="133">
        <f t="shared" si="878"/>
        <v>0</v>
      </c>
      <c r="E1940" s="92">
        <f t="shared" si="878"/>
        <v>0</v>
      </c>
      <c r="F1940" s="134">
        <f t="shared" si="878"/>
        <v>0</v>
      </c>
      <c r="G1940" s="92">
        <f t="shared" si="878"/>
        <v>0</v>
      </c>
      <c r="H1940" s="92">
        <f t="shared" si="878"/>
        <v>46538.644137931042</v>
      </c>
      <c r="I1940" s="92">
        <f>FLORESTA!$B1940+FLORESTA!$C1940+FLORESTA!$D1940+FLORESTA!$E1940+FLORESTA!$F1940+FLORESTA!$G1940+FLORESTA!$H1940</f>
        <v>71536.876551724141</v>
      </c>
      <c r="J1940" s="629">
        <f>FLORESTA!$I1940/7</f>
        <v>10219.553793103449</v>
      </c>
    </row>
    <row r="1941" spans="1:10" x14ac:dyDescent="0.25">
      <c r="A1941" s="697" t="s">
        <v>30</v>
      </c>
      <c r="B1941" s="691">
        <f>(2644000/1.16)-B1942</f>
        <v>2221374.3448275863</v>
      </c>
      <c r="C1941" s="691">
        <f>(2958600/1.16)-C1942</f>
        <v>2499823.2413793104</v>
      </c>
      <c r="D1941" s="691">
        <f>(2467900/1.16)-D1942</f>
        <v>2069564</v>
      </c>
      <c r="E1941" s="691">
        <f>(2268800/1.16)-E1942</f>
        <v>1900340.0689655175</v>
      </c>
      <c r="F1941" s="691">
        <f>(6169300/1.16)-F1942</f>
        <v>5151796.0689655179</v>
      </c>
      <c r="G1941" s="691">
        <f>(8857000/1.16)-G1942</f>
        <v>7454294.8275862075</v>
      </c>
      <c r="H1941" s="691">
        <f>(5600100/1.16)-H1942</f>
        <v>4653864.4137931038</v>
      </c>
      <c r="I1941" s="91">
        <f>SUM(I1936:I1940)</f>
        <v>25951056.965517245</v>
      </c>
      <c r="J1941" s="631">
        <f>FLORESTA!$I1941/7</f>
        <v>3707293.8522167495</v>
      </c>
    </row>
    <row r="1942" spans="1:10" x14ac:dyDescent="0.25">
      <c r="A1942" s="694" t="s">
        <v>31</v>
      </c>
      <c r="B1942" s="302">
        <f t="shared" ref="B1942:I1942" si="879">2414*B1923</f>
        <v>57936</v>
      </c>
      <c r="C1942" s="139">
        <f t="shared" si="879"/>
        <v>50694</v>
      </c>
      <c r="D1942" s="139">
        <f t="shared" si="879"/>
        <v>57936</v>
      </c>
      <c r="E1942" s="139">
        <f t="shared" si="879"/>
        <v>55522</v>
      </c>
      <c r="F1942" s="139">
        <f t="shared" si="879"/>
        <v>166566</v>
      </c>
      <c r="G1942" s="139">
        <f t="shared" si="879"/>
        <v>181050</v>
      </c>
      <c r="H1942" s="139">
        <f t="shared" si="879"/>
        <v>173808</v>
      </c>
      <c r="I1942" s="94">
        <f t="shared" si="879"/>
        <v>743512</v>
      </c>
      <c r="J1942" s="632">
        <f>2155*J1923</f>
        <v>94820</v>
      </c>
    </row>
    <row r="1943" spans="1:10" x14ac:dyDescent="0.25">
      <c r="A1943" s="698" t="s">
        <v>32</v>
      </c>
      <c r="B1943" s="364">
        <f t="shared" ref="B1943:H1943" si="880">B1941+B1942</f>
        <v>2279310.3448275863</v>
      </c>
      <c r="C1943" s="40">
        <f t="shared" si="880"/>
        <v>2550517.2413793104</v>
      </c>
      <c r="D1943" s="40">
        <f t="shared" si="880"/>
        <v>2127500</v>
      </c>
      <c r="E1943" s="39">
        <f t="shared" si="880"/>
        <v>1955862.0689655175</v>
      </c>
      <c r="F1943" s="140">
        <f t="shared" si="880"/>
        <v>5318362.0689655179</v>
      </c>
      <c r="G1943" s="39">
        <f t="shared" si="880"/>
        <v>7635344.8275862075</v>
      </c>
      <c r="H1943" s="39">
        <f t="shared" si="880"/>
        <v>4827672.4137931038</v>
      </c>
      <c r="I1943" s="39">
        <f>I1941+I1942</f>
        <v>26694568.965517245</v>
      </c>
      <c r="J1943" s="634">
        <f>J1941+J1942</f>
        <v>3802113.8522167495</v>
      </c>
    </row>
    <row r="1944" spans="1:10" x14ac:dyDescent="0.25">
      <c r="A1944" s="694" t="s">
        <v>33</v>
      </c>
      <c r="B1944" s="415">
        <f t="shared" ref="B1944:H1944" si="881">B1943*16%</f>
        <v>364689.6551724138</v>
      </c>
      <c r="C1944" s="42">
        <f t="shared" si="881"/>
        <v>408082.75862068968</v>
      </c>
      <c r="D1944" s="42">
        <f t="shared" si="881"/>
        <v>340400</v>
      </c>
      <c r="E1944" s="41">
        <f t="shared" si="881"/>
        <v>312937.93103448278</v>
      </c>
      <c r="F1944" s="141">
        <f t="shared" si="881"/>
        <v>850937.9310344829</v>
      </c>
      <c r="G1944" s="41">
        <f t="shared" si="881"/>
        <v>1221655.1724137932</v>
      </c>
      <c r="H1944" s="41">
        <f t="shared" si="881"/>
        <v>772427.58620689658</v>
      </c>
      <c r="I1944" s="41">
        <f>I1943*16%</f>
        <v>4271131.0344827594</v>
      </c>
      <c r="J1944" s="635">
        <f>J1943*16%</f>
        <v>608338.2163546799</v>
      </c>
    </row>
    <row r="1945" spans="1:10" ht="15.75" thickBot="1" x14ac:dyDescent="0.3">
      <c r="A1945" s="699" t="s">
        <v>34</v>
      </c>
      <c r="B1945" s="687">
        <f t="shared" ref="B1945:H1945" si="882">B1943+B1944</f>
        <v>2644000</v>
      </c>
      <c r="C1945" s="638">
        <f t="shared" si="882"/>
        <v>2958600</v>
      </c>
      <c r="D1945" s="638">
        <f t="shared" si="882"/>
        <v>2467900</v>
      </c>
      <c r="E1945" s="686">
        <f t="shared" si="882"/>
        <v>2268800</v>
      </c>
      <c r="F1945" s="687">
        <f t="shared" si="882"/>
        <v>6169300.0000000009</v>
      </c>
      <c r="G1945" s="686">
        <f t="shared" si="882"/>
        <v>8857000</v>
      </c>
      <c r="H1945" s="686">
        <f t="shared" si="882"/>
        <v>5600100</v>
      </c>
      <c r="I1945" s="686">
        <f>I1943+I1944</f>
        <v>30965700.000000004</v>
      </c>
      <c r="J1945" s="639">
        <f>FLORESTA!$I1945/7</f>
        <v>4423671.4285714291</v>
      </c>
    </row>
    <row r="1946" spans="1:10" ht="15.75" thickBot="1" x14ac:dyDescent="0.3"/>
    <row r="1947" spans="1:10" ht="15.75" thickBot="1" x14ac:dyDescent="0.3">
      <c r="A1947" s="149"/>
      <c r="B1947" s="1006" t="s">
        <v>646</v>
      </c>
      <c r="C1947" s="1006"/>
      <c r="D1947" s="1006"/>
      <c r="E1947" s="1006"/>
      <c r="F1947" s="1006"/>
      <c r="G1947" s="1006"/>
      <c r="H1947" s="1006"/>
      <c r="I1947" s="1006"/>
    </row>
    <row r="1948" spans="1:10" ht="15.75" thickBot="1" x14ac:dyDescent="0.3">
      <c r="A1948" s="149"/>
      <c r="B1948" s="1006"/>
      <c r="C1948" s="1006"/>
      <c r="D1948" s="1006"/>
      <c r="E1948" s="1006"/>
      <c r="F1948" s="1006"/>
      <c r="G1948" s="1006"/>
      <c r="H1948" s="1006"/>
      <c r="I1948" s="1006"/>
    </row>
    <row r="1949" spans="1:10" ht="15.75" x14ac:dyDescent="0.25">
      <c r="A1949" s="692" t="s">
        <v>2</v>
      </c>
      <c r="B1949" s="681" t="s">
        <v>298</v>
      </c>
      <c r="C1949" s="681" t="s">
        <v>299</v>
      </c>
      <c r="D1949" s="681" t="s">
        <v>300</v>
      </c>
      <c r="E1949" s="681" t="s">
        <v>301</v>
      </c>
      <c r="F1949" s="681" t="s">
        <v>65</v>
      </c>
      <c r="G1949" s="681" t="s">
        <v>66</v>
      </c>
      <c r="H1949" s="681" t="s">
        <v>67</v>
      </c>
      <c r="I1949" s="617" t="s">
        <v>96</v>
      </c>
      <c r="J1949" s="682" t="s">
        <v>97</v>
      </c>
    </row>
    <row r="1950" spans="1:10" x14ac:dyDescent="0.25">
      <c r="A1950" s="693" t="s">
        <v>11</v>
      </c>
      <c r="B1950" s="56">
        <f>32+26+8</f>
        <v>66</v>
      </c>
      <c r="C1950" s="673">
        <f>40+26+4</f>
        <v>70</v>
      </c>
      <c r="D1950" s="673">
        <f>47+17+10</f>
        <v>74</v>
      </c>
      <c r="E1950" s="738">
        <f>56+36+10</f>
        <v>102</v>
      </c>
      <c r="F1950" s="743">
        <f>99+80+15</f>
        <v>194</v>
      </c>
      <c r="G1950" s="738">
        <f>139+120+39</f>
        <v>298</v>
      </c>
      <c r="H1950" s="738">
        <f>96+83+17</f>
        <v>196</v>
      </c>
      <c r="I1950" s="738">
        <f t="shared" ref="I1950:I1955" si="883">SUM(B1950:H1950)</f>
        <v>1000</v>
      </c>
      <c r="J1950" s="683">
        <f>FLORESTA!$I1950/7</f>
        <v>142.85714285714286</v>
      </c>
    </row>
    <row r="1951" spans="1:10" x14ac:dyDescent="0.25">
      <c r="A1951" s="694" t="s">
        <v>12</v>
      </c>
      <c r="B1951" s="689">
        <v>16</v>
      </c>
      <c r="C1951" s="671">
        <v>15</v>
      </c>
      <c r="D1951" s="675">
        <v>13</v>
      </c>
      <c r="E1951" s="734">
        <v>30</v>
      </c>
      <c r="F1951" s="735">
        <v>66</v>
      </c>
      <c r="G1951" s="736">
        <v>85</v>
      </c>
      <c r="H1951" s="734">
        <v>69</v>
      </c>
      <c r="I1951" s="737">
        <f t="shared" si="883"/>
        <v>294</v>
      </c>
      <c r="J1951" s="684">
        <f>FLORESTA!$I1951/7</f>
        <v>42</v>
      </c>
    </row>
    <row r="1952" spans="1:10" x14ac:dyDescent="0.25">
      <c r="A1952" s="694" t="s">
        <v>13</v>
      </c>
      <c r="B1952" s="313">
        <v>0</v>
      </c>
      <c r="C1952" s="13">
        <v>0</v>
      </c>
      <c r="D1952" s="13">
        <v>0</v>
      </c>
      <c r="E1952" s="11">
        <v>0</v>
      </c>
      <c r="F1952" s="125">
        <v>2</v>
      </c>
      <c r="G1952" s="11">
        <v>4</v>
      </c>
      <c r="H1952" s="11">
        <v>1</v>
      </c>
      <c r="I1952" s="313">
        <f t="shared" si="883"/>
        <v>7</v>
      </c>
      <c r="J1952" s="684">
        <f>C1952+D1952+E1952+F1952+G1952+H1952+I1952</f>
        <v>14</v>
      </c>
    </row>
    <row r="1953" spans="1:10" x14ac:dyDescent="0.25">
      <c r="A1953" s="694" t="s">
        <v>14</v>
      </c>
      <c r="B1953" s="313">
        <v>38</v>
      </c>
      <c r="C1953" s="13">
        <v>44</v>
      </c>
      <c r="D1953" s="320">
        <v>43</v>
      </c>
      <c r="E1953" s="11">
        <v>52</v>
      </c>
      <c r="F1953" s="125">
        <v>68</v>
      </c>
      <c r="G1953" s="11">
        <v>144</v>
      </c>
      <c r="H1953" s="11">
        <v>82</v>
      </c>
      <c r="I1953" s="313">
        <f t="shared" si="883"/>
        <v>471</v>
      </c>
      <c r="J1953" s="684">
        <f>FLORESTA!$I1953/7</f>
        <v>67.285714285714292</v>
      </c>
    </row>
    <row r="1954" spans="1:10" x14ac:dyDescent="0.25">
      <c r="A1954" s="694" t="s">
        <v>15</v>
      </c>
      <c r="B1954" s="313">
        <v>8</v>
      </c>
      <c r="C1954" s="13">
        <v>3</v>
      </c>
      <c r="D1954" s="13">
        <v>3</v>
      </c>
      <c r="E1954" s="11">
        <v>7</v>
      </c>
      <c r="F1954" s="125">
        <v>21</v>
      </c>
      <c r="G1954" s="11">
        <v>18</v>
      </c>
      <c r="H1954" s="11">
        <v>16</v>
      </c>
      <c r="I1954" s="313">
        <f t="shared" si="883"/>
        <v>76</v>
      </c>
      <c r="J1954" s="684">
        <f>FLORESTA!$I1954/7</f>
        <v>10.857142857142858</v>
      </c>
    </row>
    <row r="1955" spans="1:10" x14ac:dyDescent="0.25">
      <c r="A1955" s="694" t="s">
        <v>16</v>
      </c>
      <c r="B1955" s="313">
        <v>0</v>
      </c>
      <c r="C1955" s="13">
        <v>0</v>
      </c>
      <c r="D1955" s="13">
        <v>0</v>
      </c>
      <c r="E1955" s="11">
        <v>0</v>
      </c>
      <c r="F1955" s="125">
        <v>0</v>
      </c>
      <c r="G1955" s="11">
        <v>0</v>
      </c>
      <c r="H1955" s="11">
        <v>0</v>
      </c>
      <c r="I1955" s="313">
        <f t="shared" si="883"/>
        <v>0</v>
      </c>
      <c r="J1955" s="684">
        <f>FLORESTA!$I1955/7</f>
        <v>0</v>
      </c>
    </row>
    <row r="1956" spans="1:10" x14ac:dyDescent="0.25">
      <c r="A1956" s="695" t="s">
        <v>17</v>
      </c>
      <c r="B1956" s="15">
        <f t="shared" ref="B1956:I1956" si="884">SUM(B1951:B1955)</f>
        <v>62</v>
      </c>
      <c r="C1956" s="79">
        <f t="shared" si="884"/>
        <v>62</v>
      </c>
      <c r="D1956" s="79">
        <f t="shared" si="884"/>
        <v>59</v>
      </c>
      <c r="E1956" s="103">
        <f t="shared" si="884"/>
        <v>89</v>
      </c>
      <c r="F1956" s="213">
        <f t="shared" si="884"/>
        <v>157</v>
      </c>
      <c r="G1956" s="103">
        <f t="shared" si="884"/>
        <v>251</v>
      </c>
      <c r="H1956" s="103">
        <f t="shared" si="884"/>
        <v>168</v>
      </c>
      <c r="I1956" s="103">
        <f t="shared" si="884"/>
        <v>848</v>
      </c>
      <c r="J1956" s="625">
        <f>FLORESTA!$I1956/7</f>
        <v>121.14285714285714</v>
      </c>
    </row>
    <row r="1957" spans="1:10" x14ac:dyDescent="0.25">
      <c r="A1957" s="694" t="s">
        <v>18</v>
      </c>
      <c r="B1957" s="690">
        <v>0.34</v>
      </c>
      <c r="C1957" s="326">
        <v>0.3</v>
      </c>
      <c r="D1957" s="326">
        <v>0.26</v>
      </c>
      <c r="E1957" s="327">
        <v>0.43</v>
      </c>
      <c r="F1957" s="328">
        <v>0.48</v>
      </c>
      <c r="G1957" s="327">
        <v>0.4</v>
      </c>
      <c r="H1957" s="327">
        <v>0.44</v>
      </c>
      <c r="I1957" s="18">
        <f>I1964/I1969</f>
        <v>0.40549104013876469</v>
      </c>
      <c r="J1957" s="626">
        <f>J1964/J1969</f>
        <v>0.40549104013876464</v>
      </c>
    </row>
    <row r="1958" spans="1:10" x14ac:dyDescent="0.25">
      <c r="A1958" s="694" t="s">
        <v>19</v>
      </c>
      <c r="B1958" s="690">
        <v>0</v>
      </c>
      <c r="C1958" s="326">
        <v>0</v>
      </c>
      <c r="D1958" s="326">
        <v>0</v>
      </c>
      <c r="E1958" s="327">
        <v>0</v>
      </c>
      <c r="F1958" s="327">
        <v>0.01</v>
      </c>
      <c r="G1958" s="327">
        <v>0.02</v>
      </c>
      <c r="H1958" s="327">
        <v>0.01</v>
      </c>
      <c r="I1958" s="18">
        <f>I1965/I1969</f>
        <v>9.909484121316578E-3</v>
      </c>
      <c r="J1958" s="626">
        <f>J1965/J1969</f>
        <v>9.9094841213165762E-3</v>
      </c>
    </row>
    <row r="1959" spans="1:10" x14ac:dyDescent="0.25">
      <c r="A1959" s="694" t="s">
        <v>20</v>
      </c>
      <c r="B1959" s="690">
        <v>0.53</v>
      </c>
      <c r="C1959" s="326">
        <v>0.65</v>
      </c>
      <c r="D1959" s="326">
        <v>0.69</v>
      </c>
      <c r="E1959" s="327">
        <v>0.5</v>
      </c>
      <c r="F1959" s="329">
        <v>0.38</v>
      </c>
      <c r="G1959" s="327">
        <v>0.51</v>
      </c>
      <c r="H1959" s="327">
        <v>0.47</v>
      </c>
      <c r="I1959" s="18">
        <f>I1966/I1969</f>
        <v>0.49981002215392095</v>
      </c>
      <c r="J1959" s="626">
        <f>J1966/J1969</f>
        <v>0.4998100221539209</v>
      </c>
    </row>
    <row r="1960" spans="1:10" x14ac:dyDescent="0.25">
      <c r="A1960" s="694" t="s">
        <v>21</v>
      </c>
      <c r="B1960" s="690">
        <v>0.13</v>
      </c>
      <c r="C1960" s="326">
        <v>0.05</v>
      </c>
      <c r="D1960" s="326">
        <v>0.05</v>
      </c>
      <c r="E1960" s="327">
        <v>7.0000000000000007E-2</v>
      </c>
      <c r="F1960" s="329">
        <v>0.13</v>
      </c>
      <c r="G1960" s="327">
        <v>7.0000000000000007E-2</v>
      </c>
      <c r="H1960" s="327">
        <v>0.08</v>
      </c>
      <c r="I1960" s="18">
        <f>I1967/I1969</f>
        <v>8.4789453585997876E-2</v>
      </c>
      <c r="J1960" s="626">
        <f>J1967/J1969</f>
        <v>8.4789453585997862E-2</v>
      </c>
    </row>
    <row r="1961" spans="1:10" x14ac:dyDescent="0.25">
      <c r="A1961" s="694" t="s">
        <v>22</v>
      </c>
      <c r="B1961" s="690">
        <v>0</v>
      </c>
      <c r="C1961" s="326">
        <v>0</v>
      </c>
      <c r="D1961" s="326">
        <v>0</v>
      </c>
      <c r="E1961" s="327">
        <v>0</v>
      </c>
      <c r="F1961" s="329">
        <v>0</v>
      </c>
      <c r="G1961" s="327">
        <v>0</v>
      </c>
      <c r="H1961" s="327">
        <v>0</v>
      </c>
      <c r="I1961" s="18">
        <f>I1968/I1969</f>
        <v>0</v>
      </c>
      <c r="J1961" s="626">
        <f>J1968/J1969</f>
        <v>0</v>
      </c>
    </row>
    <row r="1962" spans="1:10" x14ac:dyDescent="0.25">
      <c r="A1962" s="696" t="s">
        <v>23</v>
      </c>
      <c r="B1962" s="314">
        <f t="shared" ref="B1962:J1962" si="885">B1973/B1956</f>
        <v>30101.612903225807</v>
      </c>
      <c r="C1962" s="131">
        <f t="shared" si="885"/>
        <v>33541.93548387097</v>
      </c>
      <c r="D1962" s="131">
        <f t="shared" si="885"/>
        <v>32594.91525423729</v>
      </c>
      <c r="E1962" s="130">
        <f t="shared" si="885"/>
        <v>31578.651685393259</v>
      </c>
      <c r="F1962" s="132">
        <f t="shared" si="885"/>
        <v>35298.726114649682</v>
      </c>
      <c r="G1962" s="130">
        <f t="shared" si="885"/>
        <v>33710.756972111551</v>
      </c>
      <c r="H1962" s="130">
        <f t="shared" si="885"/>
        <v>33563.690476190473</v>
      </c>
      <c r="I1962" s="314">
        <f t="shared" si="885"/>
        <v>33397.99528301887</v>
      </c>
      <c r="J1962" s="685">
        <f t="shared" si="885"/>
        <v>33397.99528301887</v>
      </c>
    </row>
    <row r="1963" spans="1:10" x14ac:dyDescent="0.25">
      <c r="A1963" s="696" t="s">
        <v>24</v>
      </c>
      <c r="B1963" s="314">
        <f t="shared" ref="B1963:J1963" si="886">B1973/B1950</f>
        <v>28277.272727272728</v>
      </c>
      <c r="C1963" s="131">
        <f t="shared" si="886"/>
        <v>29708.571428571428</v>
      </c>
      <c r="D1963" s="131">
        <f t="shared" si="886"/>
        <v>25987.83783783784</v>
      </c>
      <c r="E1963" s="130">
        <f t="shared" si="886"/>
        <v>27553.921568627451</v>
      </c>
      <c r="F1963" s="132">
        <f t="shared" si="886"/>
        <v>28566.494845360823</v>
      </c>
      <c r="G1963" s="130">
        <f t="shared" si="886"/>
        <v>28393.959731543626</v>
      </c>
      <c r="H1963" s="130">
        <f t="shared" si="886"/>
        <v>28768.877551020407</v>
      </c>
      <c r="I1963" s="314">
        <f t="shared" si="886"/>
        <v>28321.5</v>
      </c>
      <c r="J1963" s="685">
        <f t="shared" si="886"/>
        <v>28321.5</v>
      </c>
    </row>
    <row r="1964" spans="1:10" x14ac:dyDescent="0.25">
      <c r="A1964" s="694" t="s">
        <v>25</v>
      </c>
      <c r="B1964" s="300">
        <f t="shared" ref="B1964:H1964" si="887">B1969*B1957</f>
        <v>533886.80551724148</v>
      </c>
      <c r="C1964" s="133">
        <f t="shared" si="887"/>
        <v>526964.58620689658</v>
      </c>
      <c r="D1964" s="133">
        <f t="shared" si="887"/>
        <v>422880.33517241385</v>
      </c>
      <c r="E1964" s="92">
        <f t="shared" si="887"/>
        <v>1010682.675862069</v>
      </c>
      <c r="F1964" s="134">
        <f t="shared" si="887"/>
        <v>2216724.48</v>
      </c>
      <c r="G1964" s="92">
        <f t="shared" si="887"/>
        <v>2835648.1379310349</v>
      </c>
      <c r="H1964" s="92">
        <f t="shared" si="887"/>
        <v>2065528.2013793103</v>
      </c>
      <c r="I1964" s="92">
        <f>FLORESTA!$B1964+FLORESTA!$C1964+FLORESTA!$D1964+FLORESTA!$E1964+FLORESTA!$F1964+FLORESTA!$G1964+FLORESTA!$H1964</f>
        <v>9612315.2220689654</v>
      </c>
      <c r="J1964" s="629">
        <f>FLORESTA!$I1964/7</f>
        <v>1373187.888866995</v>
      </c>
    </row>
    <row r="1965" spans="1:10" x14ac:dyDescent="0.25">
      <c r="A1965" s="694" t="s">
        <v>26</v>
      </c>
      <c r="B1965" s="300">
        <f t="shared" ref="B1965:H1965" si="888">B1969*B1958</f>
        <v>0</v>
      </c>
      <c r="C1965" s="133">
        <f t="shared" si="888"/>
        <v>0</v>
      </c>
      <c r="D1965" s="133">
        <f t="shared" si="888"/>
        <v>0</v>
      </c>
      <c r="E1965" s="92">
        <f t="shared" si="888"/>
        <v>0</v>
      </c>
      <c r="F1965" s="134">
        <f t="shared" si="888"/>
        <v>46181.760000000002</v>
      </c>
      <c r="G1965" s="92">
        <f t="shared" si="888"/>
        <v>141782.40689655175</v>
      </c>
      <c r="H1965" s="92">
        <f t="shared" si="888"/>
        <v>46943.822758620692</v>
      </c>
      <c r="I1965" s="92">
        <f>FLORESTA!$B1965+FLORESTA!$C1965+FLORESTA!$D1965+FLORESTA!$E1965+FLORESTA!$F1965+FLORESTA!$G1965+FLORESTA!$H1965</f>
        <v>234907.98965517245</v>
      </c>
      <c r="J1965" s="629">
        <f>FLORESTA!$I1965/7</f>
        <v>33558.284236453204</v>
      </c>
    </row>
    <row r="1966" spans="1:10" x14ac:dyDescent="0.25">
      <c r="A1966" s="694" t="s">
        <v>27</v>
      </c>
      <c r="B1966" s="300">
        <f t="shared" ref="B1966:H1966" si="889">B1969*B1959</f>
        <v>832235.31448275864</v>
      </c>
      <c r="C1966" s="133">
        <f t="shared" si="889"/>
        <v>1141756.6034482759</v>
      </c>
      <c r="D1966" s="133">
        <f t="shared" si="889"/>
        <v>1122259.3510344827</v>
      </c>
      <c r="E1966" s="92">
        <f t="shared" si="889"/>
        <v>1175212.4137931035</v>
      </c>
      <c r="F1966" s="134">
        <f t="shared" si="889"/>
        <v>1754906.8800000001</v>
      </c>
      <c r="G1966" s="92">
        <f t="shared" si="889"/>
        <v>3615451.3758620694</v>
      </c>
      <c r="H1966" s="92">
        <f t="shared" si="889"/>
        <v>2206359.6696551722</v>
      </c>
      <c r="I1966" s="92">
        <f>FLORESTA!$B1966+FLORESTA!$C1966+FLORESTA!$D1966+FLORESTA!$E1966+FLORESTA!$F1966+FLORESTA!$G1966+FLORESTA!$H1966</f>
        <v>11848181.608275862</v>
      </c>
      <c r="J1966" s="629">
        <f>FLORESTA!$I1966/7</f>
        <v>1692597.3726108375</v>
      </c>
    </row>
    <row r="1967" spans="1:10" x14ac:dyDescent="0.25">
      <c r="A1967" s="694" t="s">
        <v>28</v>
      </c>
      <c r="B1967" s="300">
        <f t="shared" ref="B1967:H1967" si="890">B1969*B1960</f>
        <v>204133.1903448276</v>
      </c>
      <c r="C1967" s="133">
        <f t="shared" si="890"/>
        <v>87827.431034482768</v>
      </c>
      <c r="D1967" s="133">
        <f t="shared" si="890"/>
        <v>81323.141379310357</v>
      </c>
      <c r="E1967" s="92">
        <f t="shared" si="890"/>
        <v>164529.7379310345</v>
      </c>
      <c r="F1967" s="134">
        <f t="shared" si="890"/>
        <v>600362.88</v>
      </c>
      <c r="G1967" s="92">
        <f t="shared" si="890"/>
        <v>496238.42413793114</v>
      </c>
      <c r="H1967" s="92">
        <f t="shared" si="890"/>
        <v>375550.58206896554</v>
      </c>
      <c r="I1967" s="92">
        <f>FLORESTA!$B1967+FLORESTA!$C1967+FLORESTA!$D1967+FLORESTA!$E1967+FLORESTA!$F1967+FLORESTA!$G1967+FLORESTA!$H1967</f>
        <v>2009965.3868965518</v>
      </c>
      <c r="J1967" s="629">
        <f>FLORESTA!$I1967/7</f>
        <v>287137.91241379309</v>
      </c>
    </row>
    <row r="1968" spans="1:10" x14ac:dyDescent="0.25">
      <c r="A1968" s="694" t="s">
        <v>29</v>
      </c>
      <c r="B1968" s="300">
        <f t="shared" ref="B1968:H1968" si="891">B1969*B1961</f>
        <v>0</v>
      </c>
      <c r="C1968" s="133">
        <f t="shared" si="891"/>
        <v>0</v>
      </c>
      <c r="D1968" s="133">
        <f t="shared" si="891"/>
        <v>0</v>
      </c>
      <c r="E1968" s="92">
        <f t="shared" si="891"/>
        <v>0</v>
      </c>
      <c r="F1968" s="134">
        <f t="shared" si="891"/>
        <v>0</v>
      </c>
      <c r="G1968" s="92">
        <f t="shared" si="891"/>
        <v>0</v>
      </c>
      <c r="H1968" s="92">
        <f t="shared" si="891"/>
        <v>0</v>
      </c>
      <c r="I1968" s="92">
        <f>FLORESTA!$B1968+FLORESTA!$C1968+FLORESTA!$D1968+FLORESTA!$E1968+FLORESTA!$F1968+FLORESTA!$G1968+FLORESTA!$H1968</f>
        <v>0</v>
      </c>
      <c r="J1968" s="629">
        <f>FLORESTA!$I1968/7</f>
        <v>0</v>
      </c>
    </row>
    <row r="1969" spans="1:10" x14ac:dyDescent="0.25">
      <c r="A1969" s="697" t="s">
        <v>30</v>
      </c>
      <c r="B1969" s="691">
        <f>(1866300/1.16)-B1970</f>
        <v>1570255.3103448276</v>
      </c>
      <c r="C1969" s="691">
        <f>(2079600/1.16)-C1970</f>
        <v>1756548.6206896552</v>
      </c>
      <c r="D1969" s="691">
        <f>(1923100/1.16)-D1970</f>
        <v>1626462.8275862071</v>
      </c>
      <c r="E1969" s="691">
        <f>(2810500/1.16)-E1970</f>
        <v>2350424.8275862071</v>
      </c>
      <c r="F1969" s="691">
        <f>(5541900/1.16)-F1970</f>
        <v>4618176</v>
      </c>
      <c r="G1969" s="691">
        <f>(8461400/1.16)-G1970</f>
        <v>7089120.3448275868</v>
      </c>
      <c r="H1969" s="691">
        <f>(5638700/1.16)-H1970</f>
        <v>4694382.2758620689</v>
      </c>
      <c r="I1969" s="91">
        <f>SUM(I1964:I1968)</f>
        <v>23705370.206896551</v>
      </c>
      <c r="J1969" s="631">
        <f>FLORESTA!$I1969/7</f>
        <v>3386481.4581280788</v>
      </c>
    </row>
    <row r="1970" spans="1:10" x14ac:dyDescent="0.25">
      <c r="A1970" s="694" t="s">
        <v>31</v>
      </c>
      <c r="B1970" s="302">
        <f t="shared" ref="B1970:I1970" si="892">2414*B1951</f>
        <v>38624</v>
      </c>
      <c r="C1970" s="139">
        <f t="shared" si="892"/>
        <v>36210</v>
      </c>
      <c r="D1970" s="139">
        <f t="shared" si="892"/>
        <v>31382</v>
      </c>
      <c r="E1970" s="139">
        <f t="shared" si="892"/>
        <v>72420</v>
      </c>
      <c r="F1970" s="139">
        <f t="shared" si="892"/>
        <v>159324</v>
      </c>
      <c r="G1970" s="139">
        <f t="shared" si="892"/>
        <v>205190</v>
      </c>
      <c r="H1970" s="139">
        <f t="shared" si="892"/>
        <v>166566</v>
      </c>
      <c r="I1970" s="94">
        <f t="shared" si="892"/>
        <v>709716</v>
      </c>
      <c r="J1970" s="632">
        <f>2155*J1951</f>
        <v>90510</v>
      </c>
    </row>
    <row r="1971" spans="1:10" x14ac:dyDescent="0.25">
      <c r="A1971" s="698" t="s">
        <v>32</v>
      </c>
      <c r="B1971" s="364">
        <f t="shared" ref="B1971:H1971" si="893">B1969+B1970</f>
        <v>1608879.3103448276</v>
      </c>
      <c r="C1971" s="40">
        <f t="shared" si="893"/>
        <v>1792758.6206896552</v>
      </c>
      <c r="D1971" s="40">
        <f t="shared" si="893"/>
        <v>1657844.8275862071</v>
      </c>
      <c r="E1971" s="39">
        <f t="shared" si="893"/>
        <v>2422844.8275862071</v>
      </c>
      <c r="F1971" s="140">
        <f t="shared" si="893"/>
        <v>4777500</v>
      </c>
      <c r="G1971" s="39">
        <f t="shared" si="893"/>
        <v>7294310.3448275868</v>
      </c>
      <c r="H1971" s="39">
        <f t="shared" si="893"/>
        <v>4860948.2758620689</v>
      </c>
      <c r="I1971" s="39">
        <f>I1969+I1970</f>
        <v>24415086.206896551</v>
      </c>
      <c r="J1971" s="634">
        <f>J1969+J1970</f>
        <v>3476991.4581280788</v>
      </c>
    </row>
    <row r="1972" spans="1:10" x14ac:dyDescent="0.25">
      <c r="A1972" s="694" t="s">
        <v>33</v>
      </c>
      <c r="B1972" s="415">
        <f t="shared" ref="B1972:H1972" si="894">B1971*16%</f>
        <v>257420.68965517243</v>
      </c>
      <c r="C1972" s="42">
        <f t="shared" si="894"/>
        <v>286841.37931034481</v>
      </c>
      <c r="D1972" s="42">
        <f t="shared" si="894"/>
        <v>265255.17241379316</v>
      </c>
      <c r="E1972" s="41">
        <f t="shared" si="894"/>
        <v>387655.17241379316</v>
      </c>
      <c r="F1972" s="141">
        <f t="shared" si="894"/>
        <v>764400</v>
      </c>
      <c r="G1972" s="41">
        <f t="shared" si="894"/>
        <v>1167089.6551724139</v>
      </c>
      <c r="H1972" s="41">
        <f t="shared" si="894"/>
        <v>777751.72413793101</v>
      </c>
      <c r="I1972" s="41">
        <f>I1971*16%</f>
        <v>3906413.7931034481</v>
      </c>
      <c r="J1972" s="635">
        <f>J1971*16%</f>
        <v>556318.63330049266</v>
      </c>
    </row>
    <row r="1973" spans="1:10" ht="15.75" thickBot="1" x14ac:dyDescent="0.3">
      <c r="A1973" s="699" t="s">
        <v>34</v>
      </c>
      <c r="B1973" s="687">
        <f t="shared" ref="B1973:H1973" si="895">B1971+B1972</f>
        <v>1866300</v>
      </c>
      <c r="C1973" s="638">
        <f t="shared" si="895"/>
        <v>2079600</v>
      </c>
      <c r="D1973" s="638">
        <f t="shared" si="895"/>
        <v>1923100.0000000002</v>
      </c>
      <c r="E1973" s="686">
        <f t="shared" si="895"/>
        <v>2810500</v>
      </c>
      <c r="F1973" s="687">
        <f t="shared" si="895"/>
        <v>5541900</v>
      </c>
      <c r="G1973" s="686">
        <f t="shared" si="895"/>
        <v>8461400</v>
      </c>
      <c r="H1973" s="686">
        <f t="shared" si="895"/>
        <v>5638700</v>
      </c>
      <c r="I1973" s="686">
        <f>I1971+I1972</f>
        <v>28321500</v>
      </c>
      <c r="J1973" s="639">
        <f>FLORESTA!$I1973/7</f>
        <v>4045928.5714285714</v>
      </c>
    </row>
    <row r="1974" spans="1:10" ht="15.75" thickBot="1" x14ac:dyDescent="0.3"/>
    <row r="1975" spans="1:10" ht="15.75" thickBot="1" x14ac:dyDescent="0.3">
      <c r="A1975" s="149"/>
      <c r="B1975" s="1006" t="s">
        <v>649</v>
      </c>
      <c r="C1975" s="1006"/>
      <c r="D1975" s="1006"/>
      <c r="E1975" s="1006"/>
      <c r="F1975" s="1006"/>
      <c r="G1975" s="1006"/>
      <c r="H1975" s="1006"/>
      <c r="I1975" s="1006"/>
    </row>
    <row r="1976" spans="1:10" ht="15.75" thickBot="1" x14ac:dyDescent="0.3">
      <c r="A1976" s="149"/>
      <c r="B1976" s="1006"/>
      <c r="C1976" s="1006"/>
      <c r="D1976" s="1006"/>
      <c r="E1976" s="1006"/>
      <c r="F1976" s="1006"/>
      <c r="G1976" s="1006"/>
      <c r="H1976" s="1006"/>
      <c r="I1976" s="1006"/>
    </row>
    <row r="1977" spans="1:10" ht="15.75" x14ac:dyDescent="0.25">
      <c r="A1977" s="692" t="s">
        <v>2</v>
      </c>
      <c r="B1977" s="681" t="s">
        <v>70</v>
      </c>
      <c r="C1977" s="681" t="s">
        <v>71</v>
      </c>
      <c r="D1977" s="681" t="s">
        <v>72</v>
      </c>
      <c r="E1977" s="681" t="s">
        <v>73</v>
      </c>
      <c r="F1977" s="681" t="s">
        <v>74</v>
      </c>
      <c r="G1977" s="681" t="s">
        <v>75</v>
      </c>
      <c r="H1977" s="681" t="s">
        <v>76</v>
      </c>
      <c r="I1977" s="617" t="s">
        <v>96</v>
      </c>
      <c r="J1977" s="682" t="s">
        <v>97</v>
      </c>
    </row>
    <row r="1978" spans="1:10" x14ac:dyDescent="0.25">
      <c r="A1978" s="693" t="s">
        <v>11</v>
      </c>
      <c r="B1978" s="56">
        <f>31+27+5</f>
        <v>63</v>
      </c>
      <c r="C1978" s="673">
        <f>51+30+12</f>
        <v>93</v>
      </c>
      <c r="D1978" s="673">
        <f>67+41+11</f>
        <v>119</v>
      </c>
      <c r="E1978" s="738">
        <f>50+45+5</f>
        <v>100</v>
      </c>
      <c r="F1978" s="743">
        <f>102+77+19</f>
        <v>198</v>
      </c>
      <c r="G1978" s="738">
        <f>136+124+23</f>
        <v>283</v>
      </c>
      <c r="H1978" s="738">
        <f>100+93+24</f>
        <v>217</v>
      </c>
      <c r="I1978" s="738">
        <f t="shared" ref="I1978:I1983" si="896">SUM(B1978:H1978)</f>
        <v>1073</v>
      </c>
      <c r="J1978" s="683">
        <f>FLORESTA!$I1978/7</f>
        <v>153.28571428571428</v>
      </c>
    </row>
    <row r="1979" spans="1:10" x14ac:dyDescent="0.25">
      <c r="A1979" s="694" t="s">
        <v>12</v>
      </c>
      <c r="B1979" s="689">
        <v>19</v>
      </c>
      <c r="C1979" s="671">
        <v>33</v>
      </c>
      <c r="D1979" s="675">
        <v>28</v>
      </c>
      <c r="E1979" s="734">
        <v>37</v>
      </c>
      <c r="F1979" s="735">
        <v>67</v>
      </c>
      <c r="G1979" s="736">
        <v>83</v>
      </c>
      <c r="H1979" s="734">
        <v>57</v>
      </c>
      <c r="I1979" s="737">
        <f t="shared" si="896"/>
        <v>324</v>
      </c>
      <c r="J1979" s="684">
        <f>FLORESTA!$I1979/7</f>
        <v>46.285714285714285</v>
      </c>
    </row>
    <row r="1980" spans="1:10" x14ac:dyDescent="0.25">
      <c r="A1980" s="694" t="s">
        <v>13</v>
      </c>
      <c r="B1980" s="313">
        <v>1</v>
      </c>
      <c r="C1980" s="13">
        <v>1</v>
      </c>
      <c r="D1980" s="13">
        <v>2</v>
      </c>
      <c r="E1980" s="11">
        <v>1</v>
      </c>
      <c r="F1980" s="125">
        <v>0</v>
      </c>
      <c r="G1980" s="11">
        <v>5</v>
      </c>
      <c r="H1980" s="11">
        <v>3</v>
      </c>
      <c r="I1980" s="313">
        <f t="shared" si="896"/>
        <v>13</v>
      </c>
      <c r="J1980" s="684">
        <f>C1980+D1980+E1980+F1980+G1980+H1980+I1980</f>
        <v>25</v>
      </c>
    </row>
    <row r="1981" spans="1:10" x14ac:dyDescent="0.25">
      <c r="A1981" s="694" t="s">
        <v>14</v>
      </c>
      <c r="B1981" s="313">
        <v>33</v>
      </c>
      <c r="C1981" s="13">
        <v>42</v>
      </c>
      <c r="D1981" s="320">
        <v>69</v>
      </c>
      <c r="E1981" s="11">
        <v>50</v>
      </c>
      <c r="F1981" s="125">
        <v>95</v>
      </c>
      <c r="G1981" s="11">
        <v>124</v>
      </c>
      <c r="H1981" s="11">
        <v>105</v>
      </c>
      <c r="I1981" s="313">
        <f t="shared" si="896"/>
        <v>518</v>
      </c>
      <c r="J1981" s="684">
        <f>FLORESTA!$I1981/7</f>
        <v>74</v>
      </c>
    </row>
    <row r="1982" spans="1:10" x14ac:dyDescent="0.25">
      <c r="A1982" s="694" t="s">
        <v>15</v>
      </c>
      <c r="B1982" s="313">
        <v>3</v>
      </c>
      <c r="C1982" s="13">
        <v>1</v>
      </c>
      <c r="D1982" s="13">
        <v>3</v>
      </c>
      <c r="E1982" s="11">
        <v>1</v>
      </c>
      <c r="F1982" s="125">
        <v>13</v>
      </c>
      <c r="G1982" s="11">
        <v>16</v>
      </c>
      <c r="H1982" s="11">
        <v>17</v>
      </c>
      <c r="I1982" s="313">
        <f t="shared" si="896"/>
        <v>54</v>
      </c>
      <c r="J1982" s="684">
        <f>FLORESTA!$I1982/7</f>
        <v>7.7142857142857144</v>
      </c>
    </row>
    <row r="1983" spans="1:10" x14ac:dyDescent="0.25">
      <c r="A1983" s="694" t="s">
        <v>16</v>
      </c>
      <c r="B1983" s="313">
        <v>0</v>
      </c>
      <c r="C1983" s="13">
        <v>0</v>
      </c>
      <c r="D1983" s="13">
        <v>0</v>
      </c>
      <c r="E1983" s="11">
        <v>0</v>
      </c>
      <c r="F1983" s="125">
        <v>0</v>
      </c>
      <c r="G1983" s="11">
        <v>0</v>
      </c>
      <c r="H1983" s="11">
        <v>1</v>
      </c>
      <c r="I1983" s="313">
        <f t="shared" si="896"/>
        <v>1</v>
      </c>
      <c r="J1983" s="684">
        <f>FLORESTA!$I1983/7</f>
        <v>0.14285714285714285</v>
      </c>
    </row>
    <row r="1984" spans="1:10" x14ac:dyDescent="0.25">
      <c r="A1984" s="695" t="s">
        <v>17</v>
      </c>
      <c r="B1984" s="15">
        <f t="shared" ref="B1984:I1984" si="897">SUM(B1979:B1983)</f>
        <v>56</v>
      </c>
      <c r="C1984" s="79">
        <f t="shared" si="897"/>
        <v>77</v>
      </c>
      <c r="D1984" s="79">
        <f t="shared" si="897"/>
        <v>102</v>
      </c>
      <c r="E1984" s="103">
        <f t="shared" si="897"/>
        <v>89</v>
      </c>
      <c r="F1984" s="213">
        <f t="shared" si="897"/>
        <v>175</v>
      </c>
      <c r="G1984" s="103">
        <f t="shared" si="897"/>
        <v>228</v>
      </c>
      <c r="H1984" s="103">
        <f t="shared" si="897"/>
        <v>183</v>
      </c>
      <c r="I1984" s="103">
        <f t="shared" si="897"/>
        <v>910</v>
      </c>
      <c r="J1984" s="625">
        <f>FLORESTA!$I1984/7</f>
        <v>130</v>
      </c>
    </row>
    <row r="1985" spans="1:10" x14ac:dyDescent="0.25">
      <c r="A1985" s="694" t="s">
        <v>18</v>
      </c>
      <c r="B1985" s="690">
        <v>0.39</v>
      </c>
      <c r="C1985" s="326">
        <v>0.49</v>
      </c>
      <c r="D1985" s="326">
        <v>0.34</v>
      </c>
      <c r="E1985" s="327">
        <v>0.46</v>
      </c>
      <c r="F1985" s="328">
        <v>0.44</v>
      </c>
      <c r="G1985" s="327">
        <v>0.41</v>
      </c>
      <c r="H1985" s="327">
        <v>0.37</v>
      </c>
      <c r="I1985" s="18">
        <f>I1992/I1997</f>
        <v>0.40997189660798145</v>
      </c>
      <c r="J1985" s="626">
        <f>J1992/J1997</f>
        <v>0.4099718966079815</v>
      </c>
    </row>
    <row r="1986" spans="1:10" x14ac:dyDescent="0.25">
      <c r="A1986" s="694" t="s">
        <v>19</v>
      </c>
      <c r="B1986" s="690">
        <v>0.05</v>
      </c>
      <c r="C1986" s="326">
        <v>0.04</v>
      </c>
      <c r="D1986" s="326">
        <v>0.01</v>
      </c>
      <c r="E1986" s="327">
        <v>0.01</v>
      </c>
      <c r="F1986" s="327">
        <v>0</v>
      </c>
      <c r="G1986" s="327">
        <v>0.02</v>
      </c>
      <c r="H1986" s="327">
        <v>0.01</v>
      </c>
      <c r="I1986" s="18">
        <f>I1993/I1997</f>
        <v>1.6019695747002686E-2</v>
      </c>
      <c r="J1986" s="626">
        <f>J1993/J1997</f>
        <v>1.6019695747002686E-2</v>
      </c>
    </row>
    <row r="1987" spans="1:10" x14ac:dyDescent="0.25">
      <c r="A1987" s="694" t="s">
        <v>20</v>
      </c>
      <c r="B1987" s="690">
        <v>0.53</v>
      </c>
      <c r="C1987" s="326">
        <v>0.46</v>
      </c>
      <c r="D1987" s="326">
        <v>0.62</v>
      </c>
      <c r="E1987" s="327">
        <v>0.52</v>
      </c>
      <c r="F1987" s="329">
        <v>0.49</v>
      </c>
      <c r="G1987" s="327">
        <v>0.46</v>
      </c>
      <c r="H1987" s="327">
        <v>0.51</v>
      </c>
      <c r="I1987" s="18">
        <f>I1994/I1997</f>
        <v>0.5022054274923633</v>
      </c>
      <c r="J1987" s="626">
        <f>J1994/J1997</f>
        <v>0.5022054274923633</v>
      </c>
    </row>
    <row r="1988" spans="1:10" x14ac:dyDescent="0.25">
      <c r="A1988" s="694" t="s">
        <v>21</v>
      </c>
      <c r="B1988" s="690">
        <v>0.03</v>
      </c>
      <c r="C1988" s="326">
        <v>0.01</v>
      </c>
      <c r="D1988" s="326">
        <v>0.03</v>
      </c>
      <c r="E1988" s="327">
        <v>0.01</v>
      </c>
      <c r="F1988" s="329">
        <v>7.0000000000000007E-2</v>
      </c>
      <c r="G1988" s="327">
        <v>0.11</v>
      </c>
      <c r="H1988" s="327">
        <v>0.1</v>
      </c>
      <c r="I1988" s="18">
        <f>I1995/I1997</f>
        <v>6.981385693055002E-2</v>
      </c>
      <c r="J1988" s="626">
        <f>J1995/J1997</f>
        <v>6.981385693055002E-2</v>
      </c>
    </row>
    <row r="1989" spans="1:10" x14ac:dyDescent="0.25">
      <c r="A1989" s="694" t="s">
        <v>22</v>
      </c>
      <c r="B1989" s="690">
        <v>0</v>
      </c>
      <c r="C1989" s="326">
        <v>0</v>
      </c>
      <c r="D1989" s="326">
        <v>0</v>
      </c>
      <c r="E1989" s="327">
        <v>0</v>
      </c>
      <c r="F1989" s="329">
        <v>0</v>
      </c>
      <c r="G1989" s="327">
        <v>0</v>
      </c>
      <c r="H1989" s="327">
        <v>0.01</v>
      </c>
      <c r="I1989" s="18">
        <f>I1996/I1997</f>
        <v>1.9891232221025471E-3</v>
      </c>
      <c r="J1989" s="626">
        <f>J1996/J1997</f>
        <v>1.9891232221025475E-3</v>
      </c>
    </row>
    <row r="1990" spans="1:10" x14ac:dyDescent="0.25">
      <c r="A1990" s="696" t="s">
        <v>23</v>
      </c>
      <c r="B1990" s="314">
        <f t="shared" ref="B1990:J1990" si="898">B2001/B1984</f>
        <v>32492.857142857141</v>
      </c>
      <c r="C1990" s="131">
        <f t="shared" si="898"/>
        <v>33588.311688311689</v>
      </c>
      <c r="D1990" s="131">
        <f t="shared" si="898"/>
        <v>32014.705882352941</v>
      </c>
      <c r="E1990" s="130">
        <f t="shared" si="898"/>
        <v>32878.651685393255</v>
      </c>
      <c r="F1990" s="132">
        <f t="shared" si="898"/>
        <v>30144.571428571428</v>
      </c>
      <c r="G1990" s="130">
        <f t="shared" si="898"/>
        <v>37735.964912280702</v>
      </c>
      <c r="H1990" s="130">
        <f t="shared" si="898"/>
        <v>33068.852459016402</v>
      </c>
      <c r="I1990" s="314">
        <f t="shared" si="898"/>
        <v>33547.582417582416</v>
      </c>
      <c r="J1990" s="685">
        <f t="shared" si="898"/>
        <v>33547.582417582416</v>
      </c>
    </row>
    <row r="1991" spans="1:10" x14ac:dyDescent="0.25">
      <c r="A1991" s="696" t="s">
        <v>24</v>
      </c>
      <c r="B1991" s="314">
        <f t="shared" ref="B1991:J1991" si="899">B2001/B1978</f>
        <v>28882.539682539682</v>
      </c>
      <c r="C1991" s="131">
        <f t="shared" si="899"/>
        <v>27809.677419354837</v>
      </c>
      <c r="D1991" s="131">
        <f t="shared" si="899"/>
        <v>27441.176470588234</v>
      </c>
      <c r="E1991" s="130">
        <f t="shared" si="899"/>
        <v>29262</v>
      </c>
      <c r="F1991" s="132">
        <f t="shared" si="899"/>
        <v>26642.929292929293</v>
      </c>
      <c r="G1991" s="130">
        <f t="shared" si="899"/>
        <v>30402.120141342755</v>
      </c>
      <c r="H1991" s="130">
        <f t="shared" si="899"/>
        <v>27887.557603686641</v>
      </c>
      <c r="I1991" s="314">
        <f t="shared" si="899"/>
        <v>28451.35135135135</v>
      </c>
      <c r="J1991" s="685">
        <f t="shared" si="899"/>
        <v>28451.351351351354</v>
      </c>
    </row>
    <row r="1992" spans="1:10" x14ac:dyDescent="0.25">
      <c r="A1992" s="694" t="s">
        <v>25</v>
      </c>
      <c r="B1992" s="300">
        <f t="shared" ref="B1992:H1992" si="900">B1997*B1985</f>
        <v>593874.32896551723</v>
      </c>
      <c r="C1992" s="133">
        <f t="shared" si="900"/>
        <v>1053454.4131034482</v>
      </c>
      <c r="D1992" s="133">
        <f t="shared" si="900"/>
        <v>934148.03034482768</v>
      </c>
      <c r="E1992" s="92">
        <f t="shared" si="900"/>
        <v>1119303.3751724139</v>
      </c>
      <c r="F1992" s="134">
        <f t="shared" si="900"/>
        <v>1929811.1420689656</v>
      </c>
      <c r="G1992" s="92">
        <f t="shared" si="900"/>
        <v>2958849.8558620689</v>
      </c>
      <c r="H1992" s="92">
        <f t="shared" si="900"/>
        <v>1879340.4641379314</v>
      </c>
      <c r="I1992" s="92">
        <f>FLORESTA!$B1992+FLORESTA!$C1992+FLORESTA!$D1992+FLORESTA!$E1992+FLORESTA!$F1992+FLORESTA!$G1992+FLORESTA!$H1992</f>
        <v>10468781.609655172</v>
      </c>
      <c r="J1992" s="629">
        <f>FLORESTA!$I1992/7</f>
        <v>1495540.2299507388</v>
      </c>
    </row>
    <row r="1993" spans="1:10" x14ac:dyDescent="0.25">
      <c r="A1993" s="694" t="s">
        <v>26</v>
      </c>
      <c r="B1993" s="300">
        <f t="shared" ref="B1993:H1993" si="901">B1997*B1986</f>
        <v>76137.73448275862</v>
      </c>
      <c r="C1993" s="133">
        <f t="shared" si="901"/>
        <v>85996.278620689656</v>
      </c>
      <c r="D1993" s="133">
        <f t="shared" si="901"/>
        <v>27474.94206896552</v>
      </c>
      <c r="E1993" s="92">
        <f t="shared" si="901"/>
        <v>24332.682068965518</v>
      </c>
      <c r="F1993" s="134">
        <f t="shared" si="901"/>
        <v>0</v>
      </c>
      <c r="G1993" s="92">
        <f t="shared" si="901"/>
        <v>144334.13931034482</v>
      </c>
      <c r="H1993" s="92">
        <f t="shared" si="901"/>
        <v>50792.985517241388</v>
      </c>
      <c r="I1993" s="92">
        <f>FLORESTA!$B1993+FLORESTA!$C1993+FLORESTA!$D1993+FLORESTA!$E1993+FLORESTA!$F1993+FLORESTA!$G1993+FLORESTA!$H1993</f>
        <v>409068.76206896553</v>
      </c>
      <c r="J1993" s="629">
        <f>FLORESTA!$I1993/7</f>
        <v>58438.394581280787</v>
      </c>
    </row>
    <row r="1994" spans="1:10" x14ac:dyDescent="0.25">
      <c r="A1994" s="694" t="s">
        <v>27</v>
      </c>
      <c r="B1994" s="300">
        <f t="shared" ref="B1994:H1994" si="902">B1997*B1987</f>
        <v>807059.98551724141</v>
      </c>
      <c r="C1994" s="133">
        <f t="shared" si="902"/>
        <v>988957.20413793111</v>
      </c>
      <c r="D1994" s="133">
        <f t="shared" si="902"/>
        <v>1703446.4082758622</v>
      </c>
      <c r="E1994" s="92">
        <f t="shared" si="902"/>
        <v>1265299.467586207</v>
      </c>
      <c r="F1994" s="134">
        <f t="shared" si="902"/>
        <v>2149107.8627586206</v>
      </c>
      <c r="G1994" s="92">
        <f t="shared" si="902"/>
        <v>3319685.2041379311</v>
      </c>
      <c r="H1994" s="92">
        <f t="shared" si="902"/>
        <v>2590442.2613793109</v>
      </c>
      <c r="I1994" s="92">
        <f>FLORESTA!$B1994+FLORESTA!$C1994+FLORESTA!$D1994+FLORESTA!$E1994+FLORESTA!$F1994+FLORESTA!$G1994+FLORESTA!$H1994</f>
        <v>12823998.393793104</v>
      </c>
      <c r="J1994" s="629">
        <f>FLORESTA!$I1994/7</f>
        <v>1831999.7705418721</v>
      </c>
    </row>
    <row r="1995" spans="1:10" x14ac:dyDescent="0.25">
      <c r="A1995" s="694" t="s">
        <v>28</v>
      </c>
      <c r="B1995" s="300">
        <f t="shared" ref="B1995:H1995" si="903">B1997*B1988</f>
        <v>45682.640689655171</v>
      </c>
      <c r="C1995" s="133">
        <f t="shared" si="903"/>
        <v>21499.069655172414</v>
      </c>
      <c r="D1995" s="133">
        <f t="shared" si="903"/>
        <v>82424.826206896556</v>
      </c>
      <c r="E1995" s="92">
        <f t="shared" si="903"/>
        <v>24332.682068965518</v>
      </c>
      <c r="F1995" s="134">
        <f t="shared" si="903"/>
        <v>307015.4089655173</v>
      </c>
      <c r="G1995" s="92">
        <f t="shared" si="903"/>
        <v>793837.76620689651</v>
      </c>
      <c r="H1995" s="92">
        <f t="shared" si="903"/>
        <v>507929.85517241387</v>
      </c>
      <c r="I1995" s="92">
        <f>FLORESTA!$B1995+FLORESTA!$C1995+FLORESTA!$D1995+FLORESTA!$E1995+FLORESTA!$F1995+FLORESTA!$G1995+FLORESTA!$H1995</f>
        <v>1782722.2489655174</v>
      </c>
      <c r="J1995" s="629">
        <f>FLORESTA!$I1995/7</f>
        <v>254674.6069950739</v>
      </c>
    </row>
    <row r="1996" spans="1:10" x14ac:dyDescent="0.25">
      <c r="A1996" s="694" t="s">
        <v>29</v>
      </c>
      <c r="B1996" s="300">
        <f t="shared" ref="B1996:H1996" si="904">B1997*B1989</f>
        <v>0</v>
      </c>
      <c r="C1996" s="133">
        <f t="shared" si="904"/>
        <v>0</v>
      </c>
      <c r="D1996" s="133">
        <f t="shared" si="904"/>
        <v>0</v>
      </c>
      <c r="E1996" s="92">
        <f t="shared" si="904"/>
        <v>0</v>
      </c>
      <c r="F1996" s="134">
        <f t="shared" si="904"/>
        <v>0</v>
      </c>
      <c r="G1996" s="92">
        <f t="shared" si="904"/>
        <v>0</v>
      </c>
      <c r="H1996" s="92">
        <f t="shared" si="904"/>
        <v>50792.985517241388</v>
      </c>
      <c r="I1996" s="92">
        <f>FLORESTA!$B1996+FLORESTA!$C1996+FLORESTA!$D1996+FLORESTA!$E1996+FLORESTA!$F1996+FLORESTA!$G1996+FLORESTA!$H1996</f>
        <v>50792.985517241388</v>
      </c>
      <c r="J1996" s="629">
        <f>FLORESTA!$I1996/7</f>
        <v>7256.1407881773412</v>
      </c>
    </row>
    <row r="1997" spans="1:10" x14ac:dyDescent="0.25">
      <c r="A1997" s="697" t="s">
        <v>30</v>
      </c>
      <c r="B1997" s="691">
        <f>(1819600/1.16)-B1998</f>
        <v>1522754.6896551724</v>
      </c>
      <c r="C1997" s="691">
        <f>(2586300/1.16)-C1998</f>
        <v>2149906.9655172415</v>
      </c>
      <c r="D1997" s="691">
        <f>(3265500/1.16)-D1998</f>
        <v>2747494.2068965519</v>
      </c>
      <c r="E1997" s="691">
        <f>(2926200/1.16)-E1998</f>
        <v>2433268.2068965519</v>
      </c>
      <c r="F1997" s="691">
        <f>(5275300/1.16)-F1998</f>
        <v>4385934.4137931038</v>
      </c>
      <c r="G1997" s="691">
        <f>(8603800/1.16)-G1998</f>
        <v>7216706.9655172415</v>
      </c>
      <c r="H1997" s="691">
        <f>(6051600/1.16)-H1998</f>
        <v>5079298.5517241387</v>
      </c>
      <c r="I1997" s="91">
        <f>SUM(I1992:I1996)</f>
        <v>25535364</v>
      </c>
      <c r="J1997" s="631">
        <f>FLORESTA!$I1997/7</f>
        <v>3647909.1428571427</v>
      </c>
    </row>
    <row r="1998" spans="1:10" x14ac:dyDescent="0.25">
      <c r="A1998" s="694" t="s">
        <v>31</v>
      </c>
      <c r="B1998" s="302">
        <f t="shared" ref="B1998:I1998" si="905">2414*B1979</f>
        <v>45866</v>
      </c>
      <c r="C1998" s="139">
        <f t="shared" si="905"/>
        <v>79662</v>
      </c>
      <c r="D1998" s="139">
        <f t="shared" si="905"/>
        <v>67592</v>
      </c>
      <c r="E1998" s="139">
        <f t="shared" si="905"/>
        <v>89318</v>
      </c>
      <c r="F1998" s="139">
        <f t="shared" si="905"/>
        <v>161738</v>
      </c>
      <c r="G1998" s="139">
        <f t="shared" si="905"/>
        <v>200362</v>
      </c>
      <c r="H1998" s="139">
        <f t="shared" si="905"/>
        <v>137598</v>
      </c>
      <c r="I1998" s="94">
        <f t="shared" si="905"/>
        <v>782136</v>
      </c>
      <c r="J1998" s="632">
        <f>2155*J1979</f>
        <v>99745.71428571429</v>
      </c>
    </row>
    <row r="1999" spans="1:10" x14ac:dyDescent="0.25">
      <c r="A1999" s="698" t="s">
        <v>32</v>
      </c>
      <c r="B1999" s="364">
        <f t="shared" ref="B1999:H1999" si="906">B1997+B1998</f>
        <v>1568620.6896551724</v>
      </c>
      <c r="C1999" s="40">
        <f t="shared" si="906"/>
        <v>2229568.9655172415</v>
      </c>
      <c r="D1999" s="40">
        <f t="shared" si="906"/>
        <v>2815086.2068965519</v>
      </c>
      <c r="E1999" s="39">
        <f t="shared" si="906"/>
        <v>2522586.2068965519</v>
      </c>
      <c r="F1999" s="140">
        <f t="shared" si="906"/>
        <v>4547672.4137931038</v>
      </c>
      <c r="G1999" s="39">
        <f t="shared" si="906"/>
        <v>7417068.9655172415</v>
      </c>
      <c r="H1999" s="39">
        <f t="shared" si="906"/>
        <v>5216896.5517241387</v>
      </c>
      <c r="I1999" s="39">
        <f>I1997+I1998</f>
        <v>26317500</v>
      </c>
      <c r="J1999" s="634">
        <f>J1997+J1998</f>
        <v>3747654.8571428568</v>
      </c>
    </row>
    <row r="2000" spans="1:10" x14ac:dyDescent="0.25">
      <c r="A2000" s="694" t="s">
        <v>33</v>
      </c>
      <c r="B2000" s="415">
        <f t="shared" ref="B2000:H2000" si="907">B1999*16%</f>
        <v>250979.31034482759</v>
      </c>
      <c r="C2000" s="42">
        <f t="shared" si="907"/>
        <v>356731.03448275867</v>
      </c>
      <c r="D2000" s="42">
        <f t="shared" si="907"/>
        <v>450413.79310344829</v>
      </c>
      <c r="E2000" s="41">
        <f t="shared" si="907"/>
        <v>403613.79310344829</v>
      </c>
      <c r="F2000" s="141">
        <f t="shared" si="907"/>
        <v>727627.58620689658</v>
      </c>
      <c r="G2000" s="41">
        <f t="shared" si="907"/>
        <v>1186731.0344827587</v>
      </c>
      <c r="H2000" s="41">
        <f t="shared" si="907"/>
        <v>834703.44827586226</v>
      </c>
      <c r="I2000" s="41">
        <f>I1999*16%</f>
        <v>4210800</v>
      </c>
      <c r="J2000" s="635">
        <f>J1999*16%</f>
        <v>599624.77714285708</v>
      </c>
    </row>
    <row r="2001" spans="1:10" ht="15.75" thickBot="1" x14ac:dyDescent="0.3">
      <c r="A2001" s="699" t="s">
        <v>34</v>
      </c>
      <c r="B2001" s="687">
        <f t="shared" ref="B2001:H2001" si="908">B1999+B2000</f>
        <v>1819600</v>
      </c>
      <c r="C2001" s="638">
        <f t="shared" si="908"/>
        <v>2586300</v>
      </c>
      <c r="D2001" s="638">
        <f t="shared" si="908"/>
        <v>3265500</v>
      </c>
      <c r="E2001" s="686">
        <f t="shared" si="908"/>
        <v>2926200</v>
      </c>
      <c r="F2001" s="687">
        <f t="shared" si="908"/>
        <v>5275300</v>
      </c>
      <c r="G2001" s="686">
        <f t="shared" si="908"/>
        <v>8603800</v>
      </c>
      <c r="H2001" s="686">
        <f t="shared" si="908"/>
        <v>6051600.0000000009</v>
      </c>
      <c r="I2001" s="686">
        <f>I1999+I2000</f>
        <v>30528300</v>
      </c>
      <c r="J2001" s="639">
        <f>FLORESTA!$I2001/7</f>
        <v>4361185.7142857146</v>
      </c>
    </row>
    <row r="2002" spans="1:10" ht="15.75" thickBot="1" x14ac:dyDescent="0.3"/>
    <row r="2003" spans="1:10" ht="15.75" thickBot="1" x14ac:dyDescent="0.3">
      <c r="A2003" s="149"/>
      <c r="B2003" s="1006" t="s">
        <v>652</v>
      </c>
      <c r="C2003" s="1006"/>
      <c r="D2003" s="1006"/>
      <c r="E2003" s="1006"/>
      <c r="F2003" s="1006"/>
      <c r="G2003" s="1006"/>
      <c r="H2003" s="1006"/>
      <c r="I2003" s="1006"/>
    </row>
    <row r="2004" spans="1:10" ht="15.75" thickBot="1" x14ac:dyDescent="0.3">
      <c r="A2004" s="149"/>
      <c r="B2004" s="1006"/>
      <c r="C2004" s="1006"/>
      <c r="D2004" s="1006"/>
      <c r="E2004" s="1006"/>
      <c r="F2004" s="1006"/>
      <c r="G2004" s="1006"/>
      <c r="H2004" s="1006"/>
      <c r="I2004" s="1006"/>
    </row>
    <row r="2005" spans="1:10" ht="15.75" x14ac:dyDescent="0.25">
      <c r="A2005" s="692" t="s">
        <v>2</v>
      </c>
      <c r="B2005" s="681" t="s">
        <v>81</v>
      </c>
      <c r="C2005" s="681" t="s">
        <v>82</v>
      </c>
      <c r="D2005" s="681" t="s">
        <v>83</v>
      </c>
      <c r="E2005" s="681" t="s">
        <v>84</v>
      </c>
      <c r="F2005" s="681" t="s">
        <v>85</v>
      </c>
      <c r="G2005" s="681" t="s">
        <v>86</v>
      </c>
      <c r="H2005" s="681" t="s">
        <v>87</v>
      </c>
      <c r="I2005" s="617" t="s">
        <v>96</v>
      </c>
      <c r="J2005" s="682" t="s">
        <v>97</v>
      </c>
    </row>
    <row r="2006" spans="1:10" x14ac:dyDescent="0.25">
      <c r="A2006" s="693" t="s">
        <v>11</v>
      </c>
      <c r="B2006" s="56">
        <f>34+27+6</f>
        <v>67</v>
      </c>
      <c r="C2006" s="673">
        <f>43+25+7</f>
        <v>75</v>
      </c>
      <c r="D2006" s="673">
        <f>42+35+4</f>
        <v>81</v>
      </c>
      <c r="E2006" s="738">
        <f>45+27+11</f>
        <v>83</v>
      </c>
      <c r="F2006" s="743">
        <f>87+78+17</f>
        <v>182</v>
      </c>
      <c r="G2006" s="738">
        <f>128+91+21</f>
        <v>240</v>
      </c>
      <c r="H2006" s="738">
        <f>70+78+17</f>
        <v>165</v>
      </c>
      <c r="I2006" s="738">
        <f t="shared" ref="I2006:I2011" si="909">SUM(B2006:H2006)</f>
        <v>893</v>
      </c>
      <c r="J2006" s="683">
        <f>FLORESTA!$I2006/7</f>
        <v>127.57142857142857</v>
      </c>
    </row>
    <row r="2007" spans="1:10" x14ac:dyDescent="0.25">
      <c r="A2007" s="694" t="s">
        <v>12</v>
      </c>
      <c r="B2007" s="689">
        <v>15</v>
      </c>
      <c r="C2007" s="671">
        <v>17</v>
      </c>
      <c r="D2007" s="675">
        <v>15</v>
      </c>
      <c r="E2007" s="734">
        <v>13</v>
      </c>
      <c r="F2007" s="735">
        <v>53</v>
      </c>
      <c r="G2007" s="736">
        <v>51</v>
      </c>
      <c r="H2007" s="734">
        <v>52</v>
      </c>
      <c r="I2007" s="737">
        <f t="shared" si="909"/>
        <v>216</v>
      </c>
      <c r="J2007" s="684">
        <f>FLORESTA!$I2007/7</f>
        <v>30.857142857142858</v>
      </c>
    </row>
    <row r="2008" spans="1:10" x14ac:dyDescent="0.25">
      <c r="A2008" s="694" t="s">
        <v>13</v>
      </c>
      <c r="B2008" s="313">
        <v>0</v>
      </c>
      <c r="C2008" s="13">
        <v>2</v>
      </c>
      <c r="D2008" s="13">
        <v>1</v>
      </c>
      <c r="E2008" s="11">
        <v>0</v>
      </c>
      <c r="F2008" s="125">
        <v>3</v>
      </c>
      <c r="G2008" s="11">
        <v>1</v>
      </c>
      <c r="H2008" s="11">
        <v>0</v>
      </c>
      <c r="I2008" s="313">
        <f t="shared" si="909"/>
        <v>7</v>
      </c>
      <c r="J2008" s="684">
        <f>C2008+D2008+E2008+F2008+G2008+H2008+I2008</f>
        <v>14</v>
      </c>
    </row>
    <row r="2009" spans="1:10" x14ac:dyDescent="0.25">
      <c r="A2009" s="694" t="s">
        <v>14</v>
      </c>
      <c r="B2009" s="313">
        <v>41</v>
      </c>
      <c r="C2009" s="13">
        <v>44</v>
      </c>
      <c r="D2009" s="320">
        <v>46</v>
      </c>
      <c r="E2009" s="11">
        <v>58</v>
      </c>
      <c r="F2009" s="125">
        <v>93</v>
      </c>
      <c r="G2009" s="11">
        <v>132</v>
      </c>
      <c r="H2009" s="11">
        <v>87</v>
      </c>
      <c r="I2009" s="313">
        <f t="shared" si="909"/>
        <v>501</v>
      </c>
      <c r="J2009" s="684">
        <f>FLORESTA!$I2009/7</f>
        <v>71.571428571428569</v>
      </c>
    </row>
    <row r="2010" spans="1:10" x14ac:dyDescent="0.25">
      <c r="A2010" s="694" t="s">
        <v>15</v>
      </c>
      <c r="B2010" s="313">
        <v>5</v>
      </c>
      <c r="C2010" s="13">
        <v>1</v>
      </c>
      <c r="D2010" s="13">
        <v>2</v>
      </c>
      <c r="E2010" s="11">
        <v>5</v>
      </c>
      <c r="F2010" s="125">
        <v>13</v>
      </c>
      <c r="G2010" s="11">
        <v>12</v>
      </c>
      <c r="H2010" s="11">
        <v>12</v>
      </c>
      <c r="I2010" s="313">
        <f t="shared" si="909"/>
        <v>50</v>
      </c>
      <c r="J2010" s="684">
        <f>FLORESTA!$I2010/7</f>
        <v>7.1428571428571432</v>
      </c>
    </row>
    <row r="2011" spans="1:10" x14ac:dyDescent="0.25">
      <c r="A2011" s="694" t="s">
        <v>16</v>
      </c>
      <c r="B2011" s="313">
        <v>0</v>
      </c>
      <c r="C2011" s="13">
        <v>0</v>
      </c>
      <c r="D2011" s="13">
        <v>0</v>
      </c>
      <c r="E2011" s="11">
        <v>0</v>
      </c>
      <c r="F2011" s="125">
        <v>0</v>
      </c>
      <c r="G2011" s="11">
        <v>0</v>
      </c>
      <c r="H2011" s="11">
        <v>0</v>
      </c>
      <c r="I2011" s="313">
        <f t="shared" si="909"/>
        <v>0</v>
      </c>
      <c r="J2011" s="684">
        <f>FLORESTA!$I2011/7</f>
        <v>0</v>
      </c>
    </row>
    <row r="2012" spans="1:10" x14ac:dyDescent="0.25">
      <c r="A2012" s="695" t="s">
        <v>17</v>
      </c>
      <c r="B2012" s="15">
        <f t="shared" ref="B2012:I2012" si="910">SUM(B2007:B2011)</f>
        <v>61</v>
      </c>
      <c r="C2012" s="79">
        <f t="shared" si="910"/>
        <v>64</v>
      </c>
      <c r="D2012" s="79">
        <f t="shared" si="910"/>
        <v>64</v>
      </c>
      <c r="E2012" s="103">
        <f t="shared" si="910"/>
        <v>76</v>
      </c>
      <c r="F2012" s="213">
        <f t="shared" si="910"/>
        <v>162</v>
      </c>
      <c r="G2012" s="103">
        <f t="shared" si="910"/>
        <v>196</v>
      </c>
      <c r="H2012" s="103">
        <f t="shared" si="910"/>
        <v>151</v>
      </c>
      <c r="I2012" s="103">
        <f t="shared" si="910"/>
        <v>774</v>
      </c>
      <c r="J2012" s="625">
        <f>FLORESTA!$I2012/7</f>
        <v>110.57142857142857</v>
      </c>
    </row>
    <row r="2013" spans="1:10" x14ac:dyDescent="0.25">
      <c r="A2013" s="694" t="s">
        <v>18</v>
      </c>
      <c r="B2013" s="690">
        <v>0.32</v>
      </c>
      <c r="C2013" s="326">
        <v>0.32</v>
      </c>
      <c r="D2013" s="326">
        <v>0.3</v>
      </c>
      <c r="E2013" s="327">
        <v>0.22</v>
      </c>
      <c r="F2013" s="328">
        <v>0.39</v>
      </c>
      <c r="G2013" s="327">
        <v>0.28999999999999998</v>
      </c>
      <c r="H2013" s="327">
        <v>0.38</v>
      </c>
      <c r="I2013" s="18">
        <f>I2020/I2025</f>
        <v>0.32733083417467568</v>
      </c>
      <c r="J2013" s="626">
        <f>J2020/J2025</f>
        <v>0.32733083417467568</v>
      </c>
    </row>
    <row r="2014" spans="1:10" x14ac:dyDescent="0.25">
      <c r="A2014" s="694" t="s">
        <v>19</v>
      </c>
      <c r="B2014" s="690">
        <v>0</v>
      </c>
      <c r="C2014" s="326">
        <v>0.04</v>
      </c>
      <c r="D2014" s="326">
        <v>0.06</v>
      </c>
      <c r="E2014" s="327">
        <v>0</v>
      </c>
      <c r="F2014" s="327">
        <v>0.02</v>
      </c>
      <c r="G2014" s="327">
        <v>0.01</v>
      </c>
      <c r="H2014" s="327">
        <v>0</v>
      </c>
      <c r="I2014" s="18">
        <f>I2021/I2025</f>
        <v>1.5776268513108198E-2</v>
      </c>
      <c r="J2014" s="626">
        <f>J2021/J2025</f>
        <v>1.5776268513108198E-2</v>
      </c>
    </row>
    <row r="2015" spans="1:10" x14ac:dyDescent="0.25">
      <c r="A2015" s="694" t="s">
        <v>20</v>
      </c>
      <c r="B2015" s="690">
        <v>0.57999999999999996</v>
      </c>
      <c r="C2015" s="326">
        <v>0.63</v>
      </c>
      <c r="D2015" s="326">
        <v>0.61</v>
      </c>
      <c r="E2015" s="327">
        <v>0.71</v>
      </c>
      <c r="F2015" s="329">
        <v>0.49</v>
      </c>
      <c r="G2015" s="327">
        <v>0.62</v>
      </c>
      <c r="H2015" s="327">
        <v>0.53</v>
      </c>
      <c r="I2015" s="18">
        <f>I2022/I2025</f>
        <v>0.58057341223660142</v>
      </c>
      <c r="J2015" s="626">
        <f>J2022/J2025</f>
        <v>0.58057341223660142</v>
      </c>
    </row>
    <row r="2016" spans="1:10" x14ac:dyDescent="0.25">
      <c r="A2016" s="694" t="s">
        <v>21</v>
      </c>
      <c r="B2016" s="690">
        <v>0.1</v>
      </c>
      <c r="C2016" s="326">
        <v>0.01</v>
      </c>
      <c r="D2016" s="326">
        <v>0.03</v>
      </c>
      <c r="E2016" s="327">
        <v>7.0000000000000007E-2</v>
      </c>
      <c r="F2016" s="329">
        <v>0.1</v>
      </c>
      <c r="G2016" s="327">
        <v>0.08</v>
      </c>
      <c r="H2016" s="327">
        <v>0.09</v>
      </c>
      <c r="I2016" s="18">
        <f>I2023/I2025</f>
        <v>7.6319485075614604E-2</v>
      </c>
      <c r="J2016" s="626">
        <f>J2023/J2025</f>
        <v>7.6319485075614604E-2</v>
      </c>
    </row>
    <row r="2017" spans="1:10" x14ac:dyDescent="0.25">
      <c r="A2017" s="694" t="s">
        <v>22</v>
      </c>
      <c r="B2017" s="690">
        <v>0</v>
      </c>
      <c r="C2017" s="326">
        <v>0</v>
      </c>
      <c r="D2017" s="326">
        <v>0</v>
      </c>
      <c r="E2017" s="327">
        <v>0</v>
      </c>
      <c r="F2017" s="329">
        <v>0</v>
      </c>
      <c r="G2017" s="327">
        <v>0</v>
      </c>
      <c r="H2017" s="327">
        <v>0</v>
      </c>
      <c r="I2017" s="18">
        <f>I2024/I2025</f>
        <v>0</v>
      </c>
      <c r="J2017" s="626">
        <f>J2024/J2025</f>
        <v>0</v>
      </c>
    </row>
    <row r="2018" spans="1:10" x14ac:dyDescent="0.25">
      <c r="A2018" s="696" t="s">
        <v>23</v>
      </c>
      <c r="B2018" s="314">
        <f t="shared" ref="B2018:J2018" si="911">B2029/B2012</f>
        <v>29285.245901639344</v>
      </c>
      <c r="C2018" s="131">
        <f t="shared" si="911"/>
        <v>30620.3125</v>
      </c>
      <c r="D2018" s="131">
        <f t="shared" si="911"/>
        <v>38465.625</v>
      </c>
      <c r="E2018" s="130">
        <f t="shared" si="911"/>
        <v>28203.947368421053</v>
      </c>
      <c r="F2018" s="132">
        <f t="shared" si="911"/>
        <v>32429.012345679017</v>
      </c>
      <c r="G2018" s="130">
        <f t="shared" si="911"/>
        <v>35141.326530612248</v>
      </c>
      <c r="H2018" s="130">
        <f t="shared" si="911"/>
        <v>32519.205298013247</v>
      </c>
      <c r="I2018" s="314">
        <f t="shared" si="911"/>
        <v>32820.413436692514</v>
      </c>
      <c r="J2018" s="685">
        <f t="shared" si="911"/>
        <v>32820.413436692514</v>
      </c>
    </row>
    <row r="2019" spans="1:10" x14ac:dyDescent="0.25">
      <c r="A2019" s="696" t="s">
        <v>24</v>
      </c>
      <c r="B2019" s="314">
        <f t="shared" ref="B2019:J2019" si="912">B2029/B2006</f>
        <v>26662.686567164179</v>
      </c>
      <c r="C2019" s="131">
        <f t="shared" si="912"/>
        <v>26129.333333333332</v>
      </c>
      <c r="D2019" s="131">
        <f t="shared" si="912"/>
        <v>30392.592592592591</v>
      </c>
      <c r="E2019" s="130">
        <f t="shared" si="912"/>
        <v>25825.301204819276</v>
      </c>
      <c r="F2019" s="132">
        <f t="shared" si="912"/>
        <v>28865.384615384621</v>
      </c>
      <c r="G2019" s="130">
        <f t="shared" si="912"/>
        <v>28698.75</v>
      </c>
      <c r="H2019" s="130">
        <f t="shared" si="912"/>
        <v>29760</v>
      </c>
      <c r="I2019" s="314">
        <f t="shared" si="912"/>
        <v>28446.808510638301</v>
      </c>
      <c r="J2019" s="685">
        <f t="shared" si="912"/>
        <v>28446.808510638301</v>
      </c>
    </row>
    <row r="2020" spans="1:10" x14ac:dyDescent="0.25">
      <c r="A2020" s="694" t="s">
        <v>25</v>
      </c>
      <c r="B2020" s="300">
        <f t="shared" ref="B2020:H2020" si="913">B2025*B2013</f>
        <v>481212.8</v>
      </c>
      <c r="C2020" s="133">
        <f t="shared" si="913"/>
        <v>527474.73655172414</v>
      </c>
      <c r="D2020" s="133">
        <f t="shared" si="913"/>
        <v>625809.41379310342</v>
      </c>
      <c r="E2020" s="92">
        <f t="shared" si="913"/>
        <v>399621.82206896559</v>
      </c>
      <c r="F2020" s="134">
        <f t="shared" si="913"/>
        <v>1716365.5510344831</v>
      </c>
      <c r="G2020" s="92">
        <f t="shared" si="913"/>
        <v>1686221.94</v>
      </c>
      <c r="H2020" s="92">
        <f t="shared" si="913"/>
        <v>1560878.6703448277</v>
      </c>
      <c r="I2020" s="92">
        <f>FLORESTA!$B2020+FLORESTA!$C2020+FLORESTA!$D2020+FLORESTA!$E2020+FLORESTA!$F2020+FLORESTA!$G2020+FLORESTA!$H2020</f>
        <v>6997584.9337931033</v>
      </c>
      <c r="J2020" s="629">
        <f>FLORESTA!$I2020/7</f>
        <v>999654.99054187187</v>
      </c>
    </row>
    <row r="2021" spans="1:10" x14ac:dyDescent="0.25">
      <c r="A2021" s="694" t="s">
        <v>26</v>
      </c>
      <c r="B2021" s="300">
        <f t="shared" ref="B2021:H2021" si="914">B2025*B2014</f>
        <v>0</v>
      </c>
      <c r="C2021" s="133">
        <f t="shared" si="914"/>
        <v>65934.342068965518</v>
      </c>
      <c r="D2021" s="133">
        <f t="shared" si="914"/>
        <v>125161.88275862069</v>
      </c>
      <c r="E2021" s="92">
        <f t="shared" si="914"/>
        <v>0</v>
      </c>
      <c r="F2021" s="134">
        <f t="shared" si="914"/>
        <v>88018.746206896569</v>
      </c>
      <c r="G2021" s="92">
        <f t="shared" si="914"/>
        <v>58145.584137931037</v>
      </c>
      <c r="H2021" s="92">
        <f t="shared" si="914"/>
        <v>0</v>
      </c>
      <c r="I2021" s="92">
        <f>FLORESTA!$B2021+FLORESTA!$C2021+FLORESTA!$D2021+FLORESTA!$E2021+FLORESTA!$F2021+FLORESTA!$G2021+FLORESTA!$H2021</f>
        <v>337260.55517241382</v>
      </c>
      <c r="J2021" s="629">
        <f>FLORESTA!$I2021/7</f>
        <v>48180.07931034483</v>
      </c>
    </row>
    <row r="2022" spans="1:10" x14ac:dyDescent="0.25">
      <c r="A2022" s="694" t="s">
        <v>27</v>
      </c>
      <c r="B2022" s="300">
        <f t="shared" ref="B2022:H2022" si="915">B2025*B2015</f>
        <v>872198.2</v>
      </c>
      <c r="C2022" s="133">
        <f t="shared" si="915"/>
        <v>1038465.8875862069</v>
      </c>
      <c r="D2022" s="133">
        <f t="shared" si="915"/>
        <v>1272479.1413793103</v>
      </c>
      <c r="E2022" s="92">
        <f t="shared" si="915"/>
        <v>1289688.6075862069</v>
      </c>
      <c r="F2022" s="134">
        <f t="shared" si="915"/>
        <v>2156459.282068966</v>
      </c>
      <c r="G2022" s="92">
        <f t="shared" si="915"/>
        <v>3605026.2165517244</v>
      </c>
      <c r="H2022" s="92">
        <f t="shared" si="915"/>
        <v>2177014.9875862072</v>
      </c>
      <c r="I2022" s="92">
        <f>FLORESTA!$B2022+FLORESTA!$C2022+FLORESTA!$D2022+FLORESTA!$E2022+FLORESTA!$F2022+FLORESTA!$G2022+FLORESTA!$H2022</f>
        <v>12411332.322758622</v>
      </c>
      <c r="J2022" s="629">
        <f>FLORESTA!$I2022/7</f>
        <v>1773047.4746798032</v>
      </c>
    </row>
    <row r="2023" spans="1:10" x14ac:dyDescent="0.25">
      <c r="A2023" s="694" t="s">
        <v>28</v>
      </c>
      <c r="B2023" s="300">
        <f t="shared" ref="B2023:H2023" si="916">B2025*B2016</f>
        <v>150379</v>
      </c>
      <c r="C2023" s="133">
        <f t="shared" si="916"/>
        <v>16483.585517241379</v>
      </c>
      <c r="D2023" s="133">
        <f t="shared" si="916"/>
        <v>62580.941379310345</v>
      </c>
      <c r="E2023" s="92">
        <f t="shared" si="916"/>
        <v>127152.3979310345</v>
      </c>
      <c r="F2023" s="134">
        <f t="shared" si="916"/>
        <v>440093.73103448283</v>
      </c>
      <c r="G2023" s="92">
        <f t="shared" si="916"/>
        <v>465164.67310344829</v>
      </c>
      <c r="H2023" s="92">
        <f t="shared" si="916"/>
        <v>369681.79034482758</v>
      </c>
      <c r="I2023" s="92">
        <f>FLORESTA!$B2023+FLORESTA!$C2023+FLORESTA!$D2023+FLORESTA!$E2023+FLORESTA!$F2023+FLORESTA!$G2023+FLORESTA!$H2023</f>
        <v>1631536.1193103448</v>
      </c>
      <c r="J2023" s="629">
        <f>FLORESTA!$I2023/7</f>
        <v>233076.58847290641</v>
      </c>
    </row>
    <row r="2024" spans="1:10" x14ac:dyDescent="0.25">
      <c r="A2024" s="694" t="s">
        <v>29</v>
      </c>
      <c r="B2024" s="300">
        <f t="shared" ref="B2024:H2024" si="917">B2025*B2017</f>
        <v>0</v>
      </c>
      <c r="C2024" s="133">
        <f t="shared" si="917"/>
        <v>0</v>
      </c>
      <c r="D2024" s="133">
        <f t="shared" si="917"/>
        <v>0</v>
      </c>
      <c r="E2024" s="92">
        <f t="shared" si="917"/>
        <v>0</v>
      </c>
      <c r="F2024" s="134">
        <f t="shared" si="917"/>
        <v>0</v>
      </c>
      <c r="G2024" s="92">
        <f t="shared" si="917"/>
        <v>0</v>
      </c>
      <c r="H2024" s="92">
        <f t="shared" si="917"/>
        <v>0</v>
      </c>
      <c r="I2024" s="92">
        <f>FLORESTA!$B2024+FLORESTA!$C2024+FLORESTA!$D2024+FLORESTA!$E2024+FLORESTA!$F2024+FLORESTA!$G2024+FLORESTA!$H2024</f>
        <v>0</v>
      </c>
      <c r="J2024" s="629">
        <f>FLORESTA!$I2024/7</f>
        <v>0</v>
      </c>
    </row>
    <row r="2025" spans="1:10" x14ac:dyDescent="0.25">
      <c r="A2025" s="697" t="s">
        <v>30</v>
      </c>
      <c r="B2025" s="691">
        <f>(1786400/1.16)-B2026</f>
        <v>1503790</v>
      </c>
      <c r="C2025" s="691">
        <f>(1959700/1.16)-C2026</f>
        <v>1648358.551724138</v>
      </c>
      <c r="D2025" s="691">
        <f>(2461800/1.16)-D2026</f>
        <v>2086031.3793103448</v>
      </c>
      <c r="E2025" s="691">
        <f>(2143500/1.16)-E2026</f>
        <v>1816462.8275862071</v>
      </c>
      <c r="F2025" s="691">
        <f>(5253500/1.16)-F2026</f>
        <v>4400937.3103448283</v>
      </c>
      <c r="G2025" s="691">
        <f>(6887700/1.16)-G2026</f>
        <v>5814558.4137931038</v>
      </c>
      <c r="H2025" s="691">
        <f>(4910400/1.16)-H2026</f>
        <v>4107575.4482758623</v>
      </c>
      <c r="I2025" s="91">
        <f>SUM(I2020:I2024)</f>
        <v>21377713.931034487</v>
      </c>
      <c r="J2025" s="631">
        <f>FLORESTA!$I2025/7</f>
        <v>3053959.1330049266</v>
      </c>
    </row>
    <row r="2026" spans="1:10" x14ac:dyDescent="0.25">
      <c r="A2026" s="694" t="s">
        <v>31</v>
      </c>
      <c r="B2026" s="302">
        <f t="shared" ref="B2026:I2026" si="918">2414*B2007</f>
        <v>36210</v>
      </c>
      <c r="C2026" s="139">
        <f t="shared" si="918"/>
        <v>41038</v>
      </c>
      <c r="D2026" s="139">
        <f t="shared" si="918"/>
        <v>36210</v>
      </c>
      <c r="E2026" s="139">
        <f t="shared" si="918"/>
        <v>31382</v>
      </c>
      <c r="F2026" s="139">
        <f t="shared" si="918"/>
        <v>127942</v>
      </c>
      <c r="G2026" s="139">
        <f t="shared" si="918"/>
        <v>123114</v>
      </c>
      <c r="H2026" s="139">
        <f t="shared" si="918"/>
        <v>125528</v>
      </c>
      <c r="I2026" s="94">
        <f t="shared" si="918"/>
        <v>521424</v>
      </c>
      <c r="J2026" s="632">
        <f>2155*J2007</f>
        <v>66497.142857142855</v>
      </c>
    </row>
    <row r="2027" spans="1:10" x14ac:dyDescent="0.25">
      <c r="A2027" s="698" t="s">
        <v>32</v>
      </c>
      <c r="B2027" s="364">
        <f t="shared" ref="B2027:H2027" si="919">B2025+B2026</f>
        <v>1540000</v>
      </c>
      <c r="C2027" s="40">
        <f t="shared" si="919"/>
        <v>1689396.551724138</v>
      </c>
      <c r="D2027" s="40">
        <f t="shared" si="919"/>
        <v>2122241.3793103448</v>
      </c>
      <c r="E2027" s="39">
        <f t="shared" si="919"/>
        <v>1847844.8275862071</v>
      </c>
      <c r="F2027" s="140">
        <f t="shared" si="919"/>
        <v>4528879.3103448283</v>
      </c>
      <c r="G2027" s="39">
        <f t="shared" si="919"/>
        <v>5937672.4137931038</v>
      </c>
      <c r="H2027" s="39">
        <f t="shared" si="919"/>
        <v>4233103.4482758623</v>
      </c>
      <c r="I2027" s="39">
        <f>I2025+I2026</f>
        <v>21899137.931034487</v>
      </c>
      <c r="J2027" s="634">
        <f>J2025+J2026</f>
        <v>3120456.2758620693</v>
      </c>
    </row>
    <row r="2028" spans="1:10" x14ac:dyDescent="0.25">
      <c r="A2028" s="694" t="s">
        <v>33</v>
      </c>
      <c r="B2028" s="415">
        <f t="shared" ref="B2028:H2028" si="920">B2027*16%</f>
        <v>246400</v>
      </c>
      <c r="C2028" s="42">
        <f t="shared" si="920"/>
        <v>270303.44827586209</v>
      </c>
      <c r="D2028" s="42">
        <f t="shared" si="920"/>
        <v>339558.62068965519</v>
      </c>
      <c r="E2028" s="41">
        <f t="shared" si="920"/>
        <v>295655.17241379316</v>
      </c>
      <c r="F2028" s="141">
        <f t="shared" si="920"/>
        <v>724620.68965517252</v>
      </c>
      <c r="G2028" s="41">
        <f t="shared" si="920"/>
        <v>950027.58620689658</v>
      </c>
      <c r="H2028" s="41">
        <f t="shared" si="920"/>
        <v>677296.55172413797</v>
      </c>
      <c r="I2028" s="41">
        <f>I2027*16%</f>
        <v>3503862.0689655179</v>
      </c>
      <c r="J2028" s="635">
        <f>J2027*16%</f>
        <v>499273.0041379311</v>
      </c>
    </row>
    <row r="2029" spans="1:10" ht="15.75" thickBot="1" x14ac:dyDescent="0.3">
      <c r="A2029" s="699" t="s">
        <v>34</v>
      </c>
      <c r="B2029" s="687">
        <f t="shared" ref="B2029:H2029" si="921">B2027+B2028</f>
        <v>1786400</v>
      </c>
      <c r="C2029" s="638">
        <f t="shared" si="921"/>
        <v>1959700</v>
      </c>
      <c r="D2029" s="638">
        <f t="shared" si="921"/>
        <v>2461800</v>
      </c>
      <c r="E2029" s="686">
        <f t="shared" si="921"/>
        <v>2143500</v>
      </c>
      <c r="F2029" s="687">
        <f t="shared" si="921"/>
        <v>5253500.0000000009</v>
      </c>
      <c r="G2029" s="686">
        <f t="shared" si="921"/>
        <v>6887700</v>
      </c>
      <c r="H2029" s="686">
        <f t="shared" si="921"/>
        <v>4910400</v>
      </c>
      <c r="I2029" s="686">
        <f>I2027+I2028</f>
        <v>25403000.000000004</v>
      </c>
      <c r="J2029" s="639">
        <f>FLORESTA!$I2029/7</f>
        <v>3629000.0000000005</v>
      </c>
    </row>
    <row r="2030" spans="1:10" ht="15.75" thickBot="1" x14ac:dyDescent="0.3"/>
    <row r="2031" spans="1:10" ht="15.75" thickBot="1" x14ac:dyDescent="0.3">
      <c r="A2031" s="149"/>
      <c r="B2031" s="1006" t="s">
        <v>656</v>
      </c>
      <c r="C2031" s="1006"/>
      <c r="D2031" s="1006"/>
      <c r="E2031" s="1006"/>
      <c r="F2031" s="1006"/>
      <c r="G2031" s="1006"/>
      <c r="H2031" s="1006"/>
      <c r="I2031" s="1006"/>
    </row>
    <row r="2032" spans="1:10" ht="15.75" thickBot="1" x14ac:dyDescent="0.3">
      <c r="A2032" s="149"/>
      <c r="B2032" s="1006"/>
      <c r="C2032" s="1006"/>
      <c r="D2032" s="1006"/>
      <c r="E2032" s="1006"/>
      <c r="F2032" s="1006"/>
      <c r="G2032" s="1006"/>
      <c r="H2032" s="1006"/>
      <c r="I2032" s="1006"/>
    </row>
    <row r="2033" spans="1:10" ht="15.75" x14ac:dyDescent="0.25">
      <c r="A2033" s="692" t="s">
        <v>2</v>
      </c>
      <c r="B2033" s="681" t="s">
        <v>89</v>
      </c>
      <c r="C2033" s="681" t="s">
        <v>90</v>
      </c>
      <c r="D2033" s="681" t="s">
        <v>172</v>
      </c>
      <c r="E2033" s="681" t="s">
        <v>324</v>
      </c>
      <c r="F2033" s="681" t="s">
        <v>325</v>
      </c>
      <c r="G2033" s="681" t="s">
        <v>326</v>
      </c>
      <c r="H2033" s="681" t="s">
        <v>327</v>
      </c>
      <c r="I2033" s="617" t="s">
        <v>96</v>
      </c>
      <c r="J2033" s="682" t="s">
        <v>97</v>
      </c>
    </row>
    <row r="2034" spans="1:10" x14ac:dyDescent="0.25">
      <c r="A2034" s="693" t="s">
        <v>11</v>
      </c>
      <c r="B2034" s="56">
        <f>36+22+4</f>
        <v>62</v>
      </c>
      <c r="C2034" s="673">
        <f>40+29+7</f>
        <v>76</v>
      </c>
      <c r="D2034" s="673">
        <f>52+38+10</f>
        <v>100</v>
      </c>
      <c r="E2034" s="738">
        <f>52+34+15</f>
        <v>101</v>
      </c>
      <c r="F2034" s="743">
        <f>98+86+15</f>
        <v>199</v>
      </c>
      <c r="G2034" s="738">
        <f>87+122+26</f>
        <v>235</v>
      </c>
      <c r="H2034" s="738">
        <f>92+72+23</f>
        <v>187</v>
      </c>
      <c r="I2034" s="738">
        <f t="shared" ref="I2034:I2039" si="922">SUM(B2034:H2034)</f>
        <v>960</v>
      </c>
      <c r="J2034" s="683">
        <f>FLORESTA!$I2034/7</f>
        <v>137.14285714285714</v>
      </c>
    </row>
    <row r="2035" spans="1:10" x14ac:dyDescent="0.25">
      <c r="A2035" s="694" t="s">
        <v>12</v>
      </c>
      <c r="B2035" s="689">
        <v>17</v>
      </c>
      <c r="C2035" s="671">
        <v>23</v>
      </c>
      <c r="D2035" s="675">
        <v>30</v>
      </c>
      <c r="E2035" s="734">
        <v>21</v>
      </c>
      <c r="F2035" s="735">
        <v>57</v>
      </c>
      <c r="G2035" s="736">
        <v>62</v>
      </c>
      <c r="H2035" s="734">
        <v>42</v>
      </c>
      <c r="I2035" s="737">
        <f t="shared" si="922"/>
        <v>252</v>
      </c>
      <c r="J2035" s="684">
        <f>FLORESTA!$I2035/7</f>
        <v>36</v>
      </c>
    </row>
    <row r="2036" spans="1:10" x14ac:dyDescent="0.25">
      <c r="A2036" s="694" t="s">
        <v>13</v>
      </c>
      <c r="B2036" s="313">
        <v>0</v>
      </c>
      <c r="C2036" s="13">
        <v>0</v>
      </c>
      <c r="D2036" s="13">
        <v>0</v>
      </c>
      <c r="E2036" s="11">
        <v>0</v>
      </c>
      <c r="F2036" s="125">
        <v>0</v>
      </c>
      <c r="G2036" s="11">
        <v>0</v>
      </c>
      <c r="H2036" s="11">
        <v>5</v>
      </c>
      <c r="I2036" s="313">
        <f t="shared" si="922"/>
        <v>5</v>
      </c>
      <c r="J2036" s="684">
        <f>C2036+D2036+E2036+F2036+G2036+H2036+I2036</f>
        <v>10</v>
      </c>
    </row>
    <row r="2037" spans="1:10" x14ac:dyDescent="0.25">
      <c r="A2037" s="694" t="s">
        <v>14</v>
      </c>
      <c r="B2037" s="313">
        <v>37</v>
      </c>
      <c r="C2037" s="13">
        <v>43</v>
      </c>
      <c r="D2037" s="320">
        <v>48</v>
      </c>
      <c r="E2037" s="11">
        <v>62</v>
      </c>
      <c r="F2037" s="125">
        <v>82</v>
      </c>
      <c r="G2037" s="11">
        <v>103</v>
      </c>
      <c r="H2037" s="11">
        <v>85</v>
      </c>
      <c r="I2037" s="313">
        <f t="shared" si="922"/>
        <v>460</v>
      </c>
      <c r="J2037" s="684">
        <f>FLORESTA!$I2037/7</f>
        <v>65.714285714285708</v>
      </c>
    </row>
    <row r="2038" spans="1:10" x14ac:dyDescent="0.25">
      <c r="A2038" s="694" t="s">
        <v>15</v>
      </c>
      <c r="B2038" s="313">
        <v>2</v>
      </c>
      <c r="C2038" s="13">
        <v>1</v>
      </c>
      <c r="D2038" s="13">
        <v>6</v>
      </c>
      <c r="E2038" s="11">
        <v>6</v>
      </c>
      <c r="F2038" s="125">
        <v>32</v>
      </c>
      <c r="G2038" s="11">
        <v>34</v>
      </c>
      <c r="H2038" s="11">
        <v>16</v>
      </c>
      <c r="I2038" s="313">
        <f t="shared" si="922"/>
        <v>97</v>
      </c>
      <c r="J2038" s="684">
        <f>FLORESTA!$I2038/7</f>
        <v>13.857142857142858</v>
      </c>
    </row>
    <row r="2039" spans="1:10" x14ac:dyDescent="0.25">
      <c r="A2039" s="694" t="s">
        <v>16</v>
      </c>
      <c r="B2039" s="313">
        <v>0</v>
      </c>
      <c r="C2039" s="13">
        <v>0</v>
      </c>
      <c r="D2039" s="13">
        <v>0</v>
      </c>
      <c r="E2039" s="11">
        <v>0</v>
      </c>
      <c r="F2039" s="125">
        <v>0</v>
      </c>
      <c r="G2039" s="11">
        <v>0</v>
      </c>
      <c r="H2039" s="11">
        <v>0</v>
      </c>
      <c r="I2039" s="313">
        <f t="shared" si="922"/>
        <v>0</v>
      </c>
      <c r="J2039" s="684">
        <f>FLORESTA!$I2039/7</f>
        <v>0</v>
      </c>
    </row>
    <row r="2040" spans="1:10" x14ac:dyDescent="0.25">
      <c r="A2040" s="695" t="s">
        <v>17</v>
      </c>
      <c r="B2040" s="15">
        <f t="shared" ref="B2040:I2040" si="923">SUM(B2035:B2039)</f>
        <v>56</v>
      </c>
      <c r="C2040" s="79">
        <f t="shared" si="923"/>
        <v>67</v>
      </c>
      <c r="D2040" s="79">
        <f t="shared" si="923"/>
        <v>84</v>
      </c>
      <c r="E2040" s="103">
        <f t="shared" si="923"/>
        <v>89</v>
      </c>
      <c r="F2040" s="213">
        <f t="shared" si="923"/>
        <v>171</v>
      </c>
      <c r="G2040" s="103">
        <f t="shared" si="923"/>
        <v>199</v>
      </c>
      <c r="H2040" s="103">
        <f t="shared" si="923"/>
        <v>148</v>
      </c>
      <c r="I2040" s="103">
        <f t="shared" si="923"/>
        <v>814</v>
      </c>
      <c r="J2040" s="625">
        <f>FLORESTA!$I2040/7</f>
        <v>116.28571428571429</v>
      </c>
    </row>
    <row r="2041" spans="1:10" x14ac:dyDescent="0.25">
      <c r="A2041" s="694" t="s">
        <v>18</v>
      </c>
      <c r="B2041" s="690">
        <v>0.44</v>
      </c>
      <c r="C2041" s="326">
        <v>0.42</v>
      </c>
      <c r="D2041" s="326">
        <v>0.43</v>
      </c>
      <c r="E2041" s="327">
        <v>0.27</v>
      </c>
      <c r="F2041" s="328">
        <v>0.36</v>
      </c>
      <c r="G2041" s="327">
        <v>0.35</v>
      </c>
      <c r="H2041" s="327">
        <v>0.3</v>
      </c>
      <c r="I2041" s="18">
        <f>I2048/I2053</f>
        <v>0.35276205389911336</v>
      </c>
      <c r="J2041" s="626">
        <f>J2048/J2053</f>
        <v>0.3527620538991133</v>
      </c>
    </row>
    <row r="2042" spans="1:10" x14ac:dyDescent="0.25">
      <c r="A2042" s="694" t="s">
        <v>19</v>
      </c>
      <c r="B2042" s="690">
        <v>0</v>
      </c>
      <c r="C2042" s="326">
        <v>0</v>
      </c>
      <c r="D2042" s="326">
        <v>0</v>
      </c>
      <c r="E2042" s="327">
        <v>0</v>
      </c>
      <c r="F2042" s="327">
        <v>0</v>
      </c>
      <c r="G2042" s="327">
        <v>0</v>
      </c>
      <c r="H2042" s="327">
        <v>0.04</v>
      </c>
      <c r="I2042" s="18">
        <f>I2049/I2053</f>
        <v>7.8249495834335995E-3</v>
      </c>
      <c r="J2042" s="626">
        <f>J2049/J2053</f>
        <v>7.8249495834335995E-3</v>
      </c>
    </row>
    <row r="2043" spans="1:10" x14ac:dyDescent="0.25">
      <c r="A2043" s="694" t="s">
        <v>20</v>
      </c>
      <c r="B2043" s="690">
        <v>0.53</v>
      </c>
      <c r="C2043" s="326">
        <v>0.56999999999999995</v>
      </c>
      <c r="D2043" s="326">
        <v>0.5</v>
      </c>
      <c r="E2043" s="327">
        <v>0.65</v>
      </c>
      <c r="F2043" s="329">
        <v>0.47</v>
      </c>
      <c r="G2043" s="327">
        <v>0.5</v>
      </c>
      <c r="H2043" s="327">
        <v>0.55000000000000004</v>
      </c>
      <c r="I2043" s="18">
        <f>I2050/I2053</f>
        <v>0.52513671191850708</v>
      </c>
      <c r="J2043" s="626">
        <f>J2050/J2053</f>
        <v>0.52513671191850708</v>
      </c>
    </row>
    <row r="2044" spans="1:10" x14ac:dyDescent="0.25">
      <c r="A2044" s="694" t="s">
        <v>21</v>
      </c>
      <c r="B2044" s="690">
        <v>0.03</v>
      </c>
      <c r="C2044" s="326">
        <v>0.01</v>
      </c>
      <c r="D2044" s="326">
        <v>7.0000000000000007E-2</v>
      </c>
      <c r="E2044" s="327">
        <v>0.08</v>
      </c>
      <c r="F2044" s="329">
        <v>0.17</v>
      </c>
      <c r="G2044" s="327">
        <v>0.15</v>
      </c>
      <c r="H2044" s="327">
        <v>0.11</v>
      </c>
      <c r="I2044" s="18">
        <f>I2051/I2053</f>
        <v>0.114276284598946</v>
      </c>
      <c r="J2044" s="626">
        <f>J2051/J2053</f>
        <v>0.114276284598946</v>
      </c>
    </row>
    <row r="2045" spans="1:10" x14ac:dyDescent="0.25">
      <c r="A2045" s="694" t="s">
        <v>22</v>
      </c>
      <c r="B2045" s="690">
        <v>0</v>
      </c>
      <c r="C2045" s="326">
        <v>0</v>
      </c>
      <c r="D2045" s="326">
        <v>0</v>
      </c>
      <c r="E2045" s="327">
        <v>0</v>
      </c>
      <c r="F2045" s="329">
        <v>0</v>
      </c>
      <c r="G2045" s="327">
        <v>0</v>
      </c>
      <c r="H2045" s="327">
        <v>0</v>
      </c>
      <c r="I2045" s="18">
        <f>I2052/I2053</f>
        <v>0</v>
      </c>
      <c r="J2045" s="626">
        <f>J2052/J2053</f>
        <v>0</v>
      </c>
    </row>
    <row r="2046" spans="1:10" x14ac:dyDescent="0.25">
      <c r="A2046" s="696" t="s">
        <v>23</v>
      </c>
      <c r="B2046" s="314">
        <f t="shared" ref="B2046:J2046" si="924">B2057/B2040</f>
        <v>30101.785714285717</v>
      </c>
      <c r="C2046" s="131">
        <f t="shared" si="924"/>
        <v>31532.835820895521</v>
      </c>
      <c r="D2046" s="131">
        <f t="shared" si="924"/>
        <v>33476.190476190481</v>
      </c>
      <c r="E2046" s="130">
        <f t="shared" si="924"/>
        <v>31671.91011235955</v>
      </c>
      <c r="F2046" s="132">
        <f t="shared" si="924"/>
        <v>36047.95321637427</v>
      </c>
      <c r="G2046" s="130">
        <f t="shared" si="924"/>
        <v>36835.175879396986</v>
      </c>
      <c r="H2046" s="130">
        <f t="shared" si="924"/>
        <v>37497.2972972973</v>
      </c>
      <c r="I2046" s="314">
        <f t="shared" si="924"/>
        <v>34979.361179361178</v>
      </c>
      <c r="J2046" s="685">
        <f t="shared" si="924"/>
        <v>34979.361179361178</v>
      </c>
    </row>
    <row r="2047" spans="1:10" x14ac:dyDescent="0.25">
      <c r="A2047" s="696" t="s">
        <v>24</v>
      </c>
      <c r="B2047" s="314">
        <f t="shared" ref="B2047:J2047" si="925">B2057/B2034</f>
        <v>27188.70967741936</v>
      </c>
      <c r="C2047" s="131">
        <f t="shared" si="925"/>
        <v>27798.684210526317</v>
      </c>
      <c r="D2047" s="131">
        <f t="shared" si="925"/>
        <v>28120.000000000004</v>
      </c>
      <c r="E2047" s="130">
        <f t="shared" si="925"/>
        <v>27908.910891089108</v>
      </c>
      <c r="F2047" s="132">
        <f t="shared" si="925"/>
        <v>30975.879396984925</v>
      </c>
      <c r="G2047" s="130">
        <f t="shared" si="925"/>
        <v>31192.340425531915</v>
      </c>
      <c r="H2047" s="130">
        <f t="shared" si="925"/>
        <v>29677.005347593582</v>
      </c>
      <c r="I2047" s="314">
        <f t="shared" si="925"/>
        <v>29659.583333333332</v>
      </c>
      <c r="J2047" s="685">
        <f t="shared" si="925"/>
        <v>29659.583333333336</v>
      </c>
    </row>
    <row r="2048" spans="1:10" x14ac:dyDescent="0.25">
      <c r="A2048" s="694" t="s">
        <v>25</v>
      </c>
      <c r="B2048" s="300">
        <f t="shared" ref="B2048:H2048" si="926">B2053*B2041</f>
        <v>621346.72827586217</v>
      </c>
      <c r="C2048" s="133">
        <f t="shared" si="926"/>
        <v>741623.86344827584</v>
      </c>
      <c r="D2048" s="133">
        <f t="shared" si="926"/>
        <v>1011238.7103448277</v>
      </c>
      <c r="E2048" s="92">
        <f t="shared" si="926"/>
        <v>642412.62</v>
      </c>
      <c r="F2048" s="134">
        <f t="shared" si="926"/>
        <v>1863492.3062068964</v>
      </c>
      <c r="G2048" s="92">
        <f t="shared" si="926"/>
        <v>2159314.4758620691</v>
      </c>
      <c r="H2048" s="92">
        <f t="shared" si="926"/>
        <v>1404824.9793103449</v>
      </c>
      <c r="I2048" s="92">
        <f>FLORESTA!$B2048+FLORESTA!$C2048+FLORESTA!$D2048+FLORESTA!$E2048+FLORESTA!$F2048+FLORESTA!$G2048+FLORESTA!$H2048</f>
        <v>8444253.6834482756</v>
      </c>
      <c r="J2048" s="629">
        <f>FLORESTA!$I2048/7</f>
        <v>1206321.954778325</v>
      </c>
    </row>
    <row r="2049" spans="1:10" x14ac:dyDescent="0.25">
      <c r="A2049" s="694" t="s">
        <v>26</v>
      </c>
      <c r="B2049" s="300">
        <f t="shared" ref="B2049:H2049" si="927">B2053*B2042</f>
        <v>0</v>
      </c>
      <c r="C2049" s="133">
        <f t="shared" si="927"/>
        <v>0</v>
      </c>
      <c r="D2049" s="133">
        <f t="shared" si="927"/>
        <v>0</v>
      </c>
      <c r="E2049" s="92">
        <f t="shared" si="927"/>
        <v>0</v>
      </c>
      <c r="F2049" s="134">
        <f t="shared" si="927"/>
        <v>0</v>
      </c>
      <c r="G2049" s="92">
        <f t="shared" si="927"/>
        <v>0</v>
      </c>
      <c r="H2049" s="92">
        <f t="shared" si="927"/>
        <v>187309.99724137931</v>
      </c>
      <c r="I2049" s="92">
        <f>FLORESTA!$B2049+FLORESTA!$C2049+FLORESTA!$D2049+FLORESTA!$E2049+FLORESTA!$F2049+FLORESTA!$G2049+FLORESTA!$H2049</f>
        <v>187309.99724137931</v>
      </c>
      <c r="J2049" s="629">
        <f>FLORESTA!$I2049/7</f>
        <v>26758.57103448276</v>
      </c>
    </row>
    <row r="2050" spans="1:10" x14ac:dyDescent="0.25">
      <c r="A2050" s="694" t="s">
        <v>27</v>
      </c>
      <c r="B2050" s="300">
        <f t="shared" ref="B2050:H2050" si="928">B2053*B2043</f>
        <v>748440.37724137946</v>
      </c>
      <c r="C2050" s="133">
        <f t="shared" si="928"/>
        <v>1006489.5289655172</v>
      </c>
      <c r="D2050" s="133">
        <f t="shared" si="928"/>
        <v>1175858.9655172415</v>
      </c>
      <c r="E2050" s="92">
        <f t="shared" si="928"/>
        <v>1546548.9000000001</v>
      </c>
      <c r="F2050" s="134">
        <f t="shared" si="928"/>
        <v>2432892.7331034481</v>
      </c>
      <c r="G2050" s="92">
        <f t="shared" si="928"/>
        <v>3084734.9655172415</v>
      </c>
      <c r="H2050" s="92">
        <f t="shared" si="928"/>
        <v>2575512.4620689657</v>
      </c>
      <c r="I2050" s="92">
        <f>FLORESTA!$B2050+FLORESTA!$C2050+FLORESTA!$D2050+FLORESTA!$E2050+FLORESTA!$F2050+FLORESTA!$G2050+FLORESTA!$H2050</f>
        <v>12570477.932413794</v>
      </c>
      <c r="J2050" s="629">
        <f>FLORESTA!$I2050/7</f>
        <v>1795782.5617733991</v>
      </c>
    </row>
    <row r="2051" spans="1:10" x14ac:dyDescent="0.25">
      <c r="A2051" s="694" t="s">
        <v>28</v>
      </c>
      <c r="B2051" s="300">
        <f t="shared" ref="B2051:H2051" si="929">B2053*B2044</f>
        <v>42364.549655172414</v>
      </c>
      <c r="C2051" s="133">
        <f t="shared" si="929"/>
        <v>17657.71103448276</v>
      </c>
      <c r="D2051" s="133">
        <f t="shared" si="929"/>
        <v>164620.25517241383</v>
      </c>
      <c r="E2051" s="92">
        <f t="shared" si="929"/>
        <v>190344.48</v>
      </c>
      <c r="F2051" s="134">
        <f t="shared" si="929"/>
        <v>879982.47793103452</v>
      </c>
      <c r="G2051" s="92">
        <f t="shared" si="929"/>
        <v>925420.48965517245</v>
      </c>
      <c r="H2051" s="92">
        <f t="shared" si="929"/>
        <v>515102.49241379311</v>
      </c>
      <c r="I2051" s="92">
        <f>FLORESTA!$B2051+FLORESTA!$C2051+FLORESTA!$D2051+FLORESTA!$E2051+FLORESTA!$F2051+FLORESTA!$G2051+FLORESTA!$H2051</f>
        <v>2735492.455862069</v>
      </c>
      <c r="J2051" s="629">
        <f>FLORESTA!$I2051/7</f>
        <v>390784.63655172416</v>
      </c>
    </row>
    <row r="2052" spans="1:10" x14ac:dyDescent="0.25">
      <c r="A2052" s="694" t="s">
        <v>29</v>
      </c>
      <c r="B2052" s="300">
        <f t="shared" ref="B2052:H2052" si="930">B2053*B2045</f>
        <v>0</v>
      </c>
      <c r="C2052" s="133">
        <f t="shared" si="930"/>
        <v>0</v>
      </c>
      <c r="D2052" s="133">
        <f t="shared" si="930"/>
        <v>0</v>
      </c>
      <c r="E2052" s="92">
        <f t="shared" si="930"/>
        <v>0</v>
      </c>
      <c r="F2052" s="134">
        <f t="shared" si="930"/>
        <v>0</v>
      </c>
      <c r="G2052" s="92">
        <f t="shared" si="930"/>
        <v>0</v>
      </c>
      <c r="H2052" s="92">
        <f t="shared" si="930"/>
        <v>0</v>
      </c>
      <c r="I2052" s="92">
        <f>FLORESTA!$B2052+FLORESTA!$C2052+FLORESTA!$D2052+FLORESTA!$E2052+FLORESTA!$F2052+FLORESTA!$G2052+FLORESTA!$H2052</f>
        <v>0</v>
      </c>
      <c r="J2052" s="629">
        <f>FLORESTA!$I2052/7</f>
        <v>0</v>
      </c>
    </row>
    <row r="2053" spans="1:10" x14ac:dyDescent="0.25">
      <c r="A2053" s="697" t="s">
        <v>30</v>
      </c>
      <c r="B2053" s="691">
        <f>(1685700/1.16)-B2054</f>
        <v>1412151.6551724139</v>
      </c>
      <c r="C2053" s="691">
        <f>(2112700/1.16)-C2054</f>
        <v>1765771.1034482759</v>
      </c>
      <c r="D2053" s="691">
        <f>(2812000/1.16)-D2054</f>
        <v>2351717.931034483</v>
      </c>
      <c r="E2053" s="691">
        <f>(2818800/1.16)-E2054</f>
        <v>2379306</v>
      </c>
      <c r="F2053" s="691">
        <f>(6164200/1.16)-F2054</f>
        <v>5176367.5172413792</v>
      </c>
      <c r="G2053" s="691">
        <f>(7330200/1.16)-G2054</f>
        <v>6169469.931034483</v>
      </c>
      <c r="H2053" s="691">
        <f>(5549600/1.16)-H2054</f>
        <v>4682749.931034483</v>
      </c>
      <c r="I2053" s="91">
        <f>SUM(I2048:I2052)</f>
        <v>23937534.068965517</v>
      </c>
      <c r="J2053" s="631">
        <f>FLORESTA!$I2053/7</f>
        <v>3419647.7241379311</v>
      </c>
    </row>
    <row r="2054" spans="1:10" x14ac:dyDescent="0.25">
      <c r="A2054" s="694" t="s">
        <v>31</v>
      </c>
      <c r="B2054" s="302">
        <f t="shared" ref="B2054:I2054" si="931">2414*B2035</f>
        <v>41038</v>
      </c>
      <c r="C2054" s="139">
        <f t="shared" si="931"/>
        <v>55522</v>
      </c>
      <c r="D2054" s="139">
        <f t="shared" si="931"/>
        <v>72420</v>
      </c>
      <c r="E2054" s="139">
        <f t="shared" si="931"/>
        <v>50694</v>
      </c>
      <c r="F2054" s="139">
        <f t="shared" si="931"/>
        <v>137598</v>
      </c>
      <c r="G2054" s="139">
        <f t="shared" si="931"/>
        <v>149668</v>
      </c>
      <c r="H2054" s="139">
        <f t="shared" si="931"/>
        <v>101388</v>
      </c>
      <c r="I2054" s="94">
        <f t="shared" si="931"/>
        <v>608328</v>
      </c>
      <c r="J2054" s="632">
        <f>2155*J2035</f>
        <v>77580</v>
      </c>
    </row>
    <row r="2055" spans="1:10" x14ac:dyDescent="0.25">
      <c r="A2055" s="698" t="s">
        <v>32</v>
      </c>
      <c r="B2055" s="364">
        <f t="shared" ref="B2055:H2055" si="932">B2053+B2054</f>
        <v>1453189.6551724139</v>
      </c>
      <c r="C2055" s="40">
        <f t="shared" si="932"/>
        <v>1821293.1034482759</v>
      </c>
      <c r="D2055" s="40">
        <f t="shared" si="932"/>
        <v>2424137.931034483</v>
      </c>
      <c r="E2055" s="39">
        <f t="shared" si="932"/>
        <v>2430000</v>
      </c>
      <c r="F2055" s="140">
        <f t="shared" si="932"/>
        <v>5313965.5172413792</v>
      </c>
      <c r="G2055" s="39">
        <f t="shared" si="932"/>
        <v>6319137.931034483</v>
      </c>
      <c r="H2055" s="39">
        <f t="shared" si="932"/>
        <v>4784137.931034483</v>
      </c>
      <c r="I2055" s="39">
        <f>I2053+I2054</f>
        <v>24545862.068965517</v>
      </c>
      <c r="J2055" s="634">
        <f>J2053+J2054</f>
        <v>3497227.7241379311</v>
      </c>
    </row>
    <row r="2056" spans="1:10" x14ac:dyDescent="0.25">
      <c r="A2056" s="694" t="s">
        <v>33</v>
      </c>
      <c r="B2056" s="415">
        <f t="shared" ref="B2056:H2056" si="933">B2055*16%</f>
        <v>232510.34482758623</v>
      </c>
      <c r="C2056" s="42">
        <f t="shared" si="933"/>
        <v>291406.89655172417</v>
      </c>
      <c r="D2056" s="42">
        <f t="shared" si="933"/>
        <v>387862.06896551728</v>
      </c>
      <c r="E2056" s="41">
        <f t="shared" si="933"/>
        <v>388800</v>
      </c>
      <c r="F2056" s="141">
        <f t="shared" si="933"/>
        <v>850234.48275862075</v>
      </c>
      <c r="G2056" s="41">
        <f t="shared" si="933"/>
        <v>1011062.0689655173</v>
      </c>
      <c r="H2056" s="41">
        <f t="shared" si="933"/>
        <v>765462.06896551733</v>
      </c>
      <c r="I2056" s="41">
        <f>I2055*16%</f>
        <v>3927337.931034483</v>
      </c>
      <c r="J2056" s="635">
        <f>J2055*16%</f>
        <v>559556.43586206902</v>
      </c>
    </row>
    <row r="2057" spans="1:10" ht="15.75" thickBot="1" x14ac:dyDescent="0.3">
      <c r="A2057" s="699" t="s">
        <v>34</v>
      </c>
      <c r="B2057" s="687">
        <f t="shared" ref="B2057:H2057" si="934">B2055+B2056</f>
        <v>1685700.0000000002</v>
      </c>
      <c r="C2057" s="638">
        <f t="shared" si="934"/>
        <v>2112700</v>
      </c>
      <c r="D2057" s="638">
        <f t="shared" si="934"/>
        <v>2812000.0000000005</v>
      </c>
      <c r="E2057" s="686">
        <f t="shared" si="934"/>
        <v>2818800</v>
      </c>
      <c r="F2057" s="687">
        <f t="shared" si="934"/>
        <v>6164200</v>
      </c>
      <c r="G2057" s="686">
        <f t="shared" si="934"/>
        <v>7330200</v>
      </c>
      <c r="H2057" s="686">
        <f t="shared" si="934"/>
        <v>5549600</v>
      </c>
      <c r="I2057" s="686">
        <f>I2055+I2056</f>
        <v>28473200</v>
      </c>
      <c r="J2057" s="639">
        <f>FLORESTA!$I2057/7</f>
        <v>4067600</v>
      </c>
    </row>
    <row r="2058" spans="1:10" ht="15.75" thickBot="1" x14ac:dyDescent="0.3"/>
    <row r="2059" spans="1:10" ht="15.75" thickBot="1" x14ac:dyDescent="0.3">
      <c r="A2059" s="149"/>
      <c r="B2059" s="1006" t="s">
        <v>660</v>
      </c>
      <c r="C2059" s="1006"/>
      <c r="D2059" s="1006"/>
      <c r="E2059" s="1006"/>
      <c r="F2059" s="1006"/>
      <c r="G2059" s="1006"/>
      <c r="H2059" s="1006"/>
      <c r="I2059" s="1006"/>
    </row>
    <row r="2060" spans="1:10" ht="15.75" thickBot="1" x14ac:dyDescent="0.3">
      <c r="A2060" s="149"/>
      <c r="B2060" s="1006"/>
      <c r="C2060" s="1006"/>
      <c r="D2060" s="1006"/>
      <c r="E2060" s="1006"/>
      <c r="F2060" s="1006"/>
      <c r="G2060" s="1006"/>
      <c r="H2060" s="1006"/>
      <c r="I2060" s="1006"/>
    </row>
    <row r="2061" spans="1:10" ht="15.75" x14ac:dyDescent="0.25">
      <c r="A2061" s="692" t="s">
        <v>2</v>
      </c>
      <c r="B2061" s="681" t="s">
        <v>329</v>
      </c>
      <c r="C2061" s="681" t="s">
        <v>330</v>
      </c>
      <c r="D2061" s="681" t="s">
        <v>331</v>
      </c>
      <c r="E2061" s="681" t="s">
        <v>332</v>
      </c>
      <c r="F2061" s="681" t="s">
        <v>333</v>
      </c>
      <c r="G2061" s="681" t="s">
        <v>334</v>
      </c>
      <c r="H2061" s="681" t="s">
        <v>335</v>
      </c>
      <c r="I2061" s="617" t="s">
        <v>96</v>
      </c>
      <c r="J2061" s="682" t="s">
        <v>97</v>
      </c>
    </row>
    <row r="2062" spans="1:10" x14ac:dyDescent="0.25">
      <c r="A2062" s="693" t="s">
        <v>11</v>
      </c>
      <c r="B2062" s="56">
        <f>25+20+5</f>
        <v>50</v>
      </c>
      <c r="C2062" s="673">
        <f>44+32+5</f>
        <v>81</v>
      </c>
      <c r="D2062" s="673">
        <f>53+33+10</f>
        <v>96</v>
      </c>
      <c r="E2062" s="738">
        <f>82+60+19</f>
        <v>161</v>
      </c>
      <c r="F2062" s="743">
        <f>101+76+12</f>
        <v>189</v>
      </c>
      <c r="G2062" s="738">
        <f>130+104+32</f>
        <v>266</v>
      </c>
      <c r="H2062" s="738">
        <f>101+84+30</f>
        <v>215</v>
      </c>
      <c r="I2062" s="738">
        <f t="shared" ref="I2062:I2067" si="935">SUM(B2062:H2062)</f>
        <v>1058</v>
      </c>
      <c r="J2062" s="683">
        <f>FLORESTA!$I2062/7</f>
        <v>151.14285714285714</v>
      </c>
    </row>
    <row r="2063" spans="1:10" x14ac:dyDescent="0.25">
      <c r="A2063" s="694" t="s">
        <v>12</v>
      </c>
      <c r="B2063" s="689">
        <v>10</v>
      </c>
      <c r="C2063" s="671">
        <v>21</v>
      </c>
      <c r="D2063" s="675">
        <v>18</v>
      </c>
      <c r="E2063" s="734">
        <v>37</v>
      </c>
      <c r="F2063" s="735">
        <v>62</v>
      </c>
      <c r="G2063" s="736">
        <v>82</v>
      </c>
      <c r="H2063" s="734">
        <v>54</v>
      </c>
      <c r="I2063" s="737">
        <f t="shared" si="935"/>
        <v>284</v>
      </c>
      <c r="J2063" s="684">
        <f>FLORESTA!$I2063/7</f>
        <v>40.571428571428569</v>
      </c>
    </row>
    <row r="2064" spans="1:10" x14ac:dyDescent="0.25">
      <c r="A2064" s="694" t="s">
        <v>13</v>
      </c>
      <c r="B2064" s="313">
        <v>0</v>
      </c>
      <c r="C2064" s="13">
        <v>0</v>
      </c>
      <c r="D2064" s="13">
        <v>1</v>
      </c>
      <c r="E2064" s="11">
        <v>3</v>
      </c>
      <c r="F2064" s="125">
        <v>1</v>
      </c>
      <c r="G2064" s="11">
        <v>4</v>
      </c>
      <c r="H2064" s="11">
        <v>2</v>
      </c>
      <c r="I2064" s="313">
        <f t="shared" si="935"/>
        <v>11</v>
      </c>
      <c r="J2064" s="684">
        <f>C2064+D2064+E2064+F2064+G2064+H2064+I2064</f>
        <v>22</v>
      </c>
    </row>
    <row r="2065" spans="1:10" x14ac:dyDescent="0.25">
      <c r="A2065" s="694" t="s">
        <v>14</v>
      </c>
      <c r="B2065" s="313">
        <v>28</v>
      </c>
      <c r="C2065" s="13">
        <v>39</v>
      </c>
      <c r="D2065" s="320">
        <v>61</v>
      </c>
      <c r="E2065" s="11">
        <v>82</v>
      </c>
      <c r="F2065" s="125">
        <v>77</v>
      </c>
      <c r="G2065" s="11">
        <v>121</v>
      </c>
      <c r="H2065" s="11">
        <v>93</v>
      </c>
      <c r="I2065" s="313">
        <f t="shared" si="935"/>
        <v>501</v>
      </c>
      <c r="J2065" s="684">
        <f>FLORESTA!$I2065/7</f>
        <v>71.571428571428569</v>
      </c>
    </row>
    <row r="2066" spans="1:10" x14ac:dyDescent="0.25">
      <c r="A2066" s="694" t="s">
        <v>15</v>
      </c>
      <c r="B2066" s="313">
        <v>4</v>
      </c>
      <c r="C2066" s="13">
        <v>6</v>
      </c>
      <c r="D2066" s="13">
        <v>6</v>
      </c>
      <c r="E2066" s="11">
        <v>7</v>
      </c>
      <c r="F2066" s="125">
        <v>15</v>
      </c>
      <c r="G2066" s="11">
        <v>15</v>
      </c>
      <c r="H2066" s="11">
        <v>21</v>
      </c>
      <c r="I2066" s="313">
        <f t="shared" si="935"/>
        <v>74</v>
      </c>
      <c r="J2066" s="684">
        <f>FLORESTA!$I2066/7</f>
        <v>10.571428571428571</v>
      </c>
    </row>
    <row r="2067" spans="1:10" x14ac:dyDescent="0.25">
      <c r="A2067" s="694" t="s">
        <v>16</v>
      </c>
      <c r="B2067" s="313">
        <v>0</v>
      </c>
      <c r="C2067" s="13">
        <v>0</v>
      </c>
      <c r="D2067" s="13">
        <v>0</v>
      </c>
      <c r="E2067" s="11">
        <v>2</v>
      </c>
      <c r="F2067" s="125">
        <v>0</v>
      </c>
      <c r="G2067" s="11">
        <v>0</v>
      </c>
      <c r="H2067" s="11">
        <v>0</v>
      </c>
      <c r="I2067" s="313">
        <f t="shared" si="935"/>
        <v>2</v>
      </c>
      <c r="J2067" s="684">
        <f>FLORESTA!$I2067/7</f>
        <v>0.2857142857142857</v>
      </c>
    </row>
    <row r="2068" spans="1:10" x14ac:dyDescent="0.25">
      <c r="A2068" s="695" t="s">
        <v>17</v>
      </c>
      <c r="B2068" s="15">
        <f t="shared" ref="B2068:I2068" si="936">SUM(B2063:B2067)</f>
        <v>42</v>
      </c>
      <c r="C2068" s="79">
        <f t="shared" si="936"/>
        <v>66</v>
      </c>
      <c r="D2068" s="79">
        <f t="shared" si="936"/>
        <v>86</v>
      </c>
      <c r="E2068" s="103">
        <f t="shared" si="936"/>
        <v>131</v>
      </c>
      <c r="F2068" s="213">
        <f t="shared" si="936"/>
        <v>155</v>
      </c>
      <c r="G2068" s="103">
        <f t="shared" si="936"/>
        <v>222</v>
      </c>
      <c r="H2068" s="103">
        <f t="shared" si="936"/>
        <v>170</v>
      </c>
      <c r="I2068" s="103">
        <f t="shared" si="936"/>
        <v>872</v>
      </c>
      <c r="J2068" s="625">
        <f>FLORESTA!$I2068/7</f>
        <v>124.57142857142857</v>
      </c>
    </row>
    <row r="2069" spans="1:10" x14ac:dyDescent="0.25">
      <c r="A2069" s="694" t="s">
        <v>18</v>
      </c>
      <c r="B2069" s="690">
        <v>0.34</v>
      </c>
      <c r="C2069" s="326">
        <v>0.33</v>
      </c>
      <c r="D2069" s="326">
        <v>0.27</v>
      </c>
      <c r="E2069" s="327">
        <v>0.34</v>
      </c>
      <c r="F2069" s="328">
        <v>0.46</v>
      </c>
      <c r="G2069" s="327">
        <v>0.43</v>
      </c>
      <c r="H2069" s="327">
        <v>0.35</v>
      </c>
      <c r="I2069" s="18">
        <f>I2076/I2081</f>
        <v>0.38122796561236166</v>
      </c>
      <c r="J2069" s="626">
        <f>J2076/J2081</f>
        <v>0.38122796561236166</v>
      </c>
    </row>
    <row r="2070" spans="1:10" x14ac:dyDescent="0.25">
      <c r="A2070" s="694" t="s">
        <v>19</v>
      </c>
      <c r="B2070" s="690">
        <v>0</v>
      </c>
      <c r="C2070" s="326">
        <v>0</v>
      </c>
      <c r="D2070" s="326">
        <v>0.02</v>
      </c>
      <c r="E2070" s="327">
        <v>0.03</v>
      </c>
      <c r="F2070" s="327">
        <v>0.01</v>
      </c>
      <c r="G2070" s="327">
        <v>0.02</v>
      </c>
      <c r="H2070" s="327">
        <v>0.01</v>
      </c>
      <c r="I2070" s="18">
        <f>I2077/I2081</f>
        <v>1.5230733902476621E-2</v>
      </c>
      <c r="J2070" s="626">
        <f>J2077/J2081</f>
        <v>1.5230733902476619E-2</v>
      </c>
    </row>
    <row r="2071" spans="1:10" x14ac:dyDescent="0.25">
      <c r="A2071" s="694" t="s">
        <v>20</v>
      </c>
      <c r="B2071" s="690">
        <v>0.56999999999999995</v>
      </c>
      <c r="C2071" s="326">
        <v>0.59</v>
      </c>
      <c r="D2071" s="326">
        <v>0.65</v>
      </c>
      <c r="E2071" s="327">
        <v>0.55000000000000004</v>
      </c>
      <c r="F2071" s="329">
        <v>0.45</v>
      </c>
      <c r="G2071" s="327">
        <v>0.48</v>
      </c>
      <c r="H2071" s="327">
        <v>0.5</v>
      </c>
      <c r="I2071" s="18">
        <f>I2078/I2081</f>
        <v>0.51484673164523909</v>
      </c>
      <c r="J2071" s="626">
        <f>J2078/J2081</f>
        <v>0.51484673164523898</v>
      </c>
    </row>
    <row r="2072" spans="1:10" x14ac:dyDescent="0.25">
      <c r="A2072" s="694" t="s">
        <v>21</v>
      </c>
      <c r="B2072" s="690">
        <v>0.09</v>
      </c>
      <c r="C2072" s="326">
        <v>0.08</v>
      </c>
      <c r="D2072" s="326">
        <v>0.06</v>
      </c>
      <c r="E2072" s="327">
        <v>0.06</v>
      </c>
      <c r="F2072" s="329">
        <v>0.08</v>
      </c>
      <c r="G2072" s="327">
        <v>7.0000000000000007E-2</v>
      </c>
      <c r="H2072" s="327">
        <v>0.14000000000000001</v>
      </c>
      <c r="I2072" s="18">
        <f>I2079/I2081</f>
        <v>8.5632614207969665E-2</v>
      </c>
      <c r="J2072" s="626">
        <f>J2079/J2081</f>
        <v>8.5632614207969651E-2</v>
      </c>
    </row>
    <row r="2073" spans="1:10" x14ac:dyDescent="0.25">
      <c r="A2073" s="694" t="s">
        <v>22</v>
      </c>
      <c r="B2073" s="690">
        <v>0</v>
      </c>
      <c r="C2073" s="326">
        <v>0</v>
      </c>
      <c r="D2073" s="326">
        <v>0</v>
      </c>
      <c r="E2073" s="327">
        <v>0.02</v>
      </c>
      <c r="F2073" s="329">
        <v>0</v>
      </c>
      <c r="G2073" s="327">
        <v>0</v>
      </c>
      <c r="H2073" s="327">
        <v>0</v>
      </c>
      <c r="I2073" s="18">
        <f>I2080/I2081</f>
        <v>3.0619546319531027E-3</v>
      </c>
      <c r="J2073" s="626">
        <f>J2080/J2081</f>
        <v>3.0619546319531022E-3</v>
      </c>
    </row>
    <row r="2074" spans="1:10" x14ac:dyDescent="0.25">
      <c r="A2074" s="696" t="s">
        <v>23</v>
      </c>
      <c r="B2074" s="314">
        <f t="shared" ref="B2074:J2074" si="937">B2085/B2068</f>
        <v>29764.285714285714</v>
      </c>
      <c r="C2074" s="131">
        <f t="shared" si="937"/>
        <v>34415.151515151512</v>
      </c>
      <c r="D2074" s="131">
        <f t="shared" si="937"/>
        <v>28639.534883720931</v>
      </c>
      <c r="E2074" s="130">
        <f t="shared" si="937"/>
        <v>35466.412213740463</v>
      </c>
      <c r="F2074" s="132">
        <f t="shared" si="937"/>
        <v>37770.967741935485</v>
      </c>
      <c r="G2074" s="130">
        <f t="shared" si="937"/>
        <v>34624.324324324327</v>
      </c>
      <c r="H2074" s="130">
        <f t="shared" si="937"/>
        <v>37024.117647058833</v>
      </c>
      <c r="I2074" s="314">
        <f t="shared" si="937"/>
        <v>34937.84403669725</v>
      </c>
      <c r="J2074" s="685">
        <f t="shared" si="937"/>
        <v>34937.84403669725</v>
      </c>
    </row>
    <row r="2075" spans="1:10" x14ac:dyDescent="0.25">
      <c r="A2075" s="696" t="s">
        <v>24</v>
      </c>
      <c r="B2075" s="314">
        <f t="shared" ref="B2075:J2075" si="938">B2085/B2062</f>
        <v>25002</v>
      </c>
      <c r="C2075" s="131">
        <f t="shared" si="938"/>
        <v>28041.975308641977</v>
      </c>
      <c r="D2075" s="131">
        <f t="shared" si="938"/>
        <v>25656.25</v>
      </c>
      <c r="E2075" s="130">
        <f t="shared" si="938"/>
        <v>28857.763975155285</v>
      </c>
      <c r="F2075" s="132">
        <f t="shared" si="938"/>
        <v>30976.190476190477</v>
      </c>
      <c r="G2075" s="130">
        <f t="shared" si="938"/>
        <v>28896.992481203011</v>
      </c>
      <c r="H2075" s="130">
        <f t="shared" si="938"/>
        <v>29274.883720930236</v>
      </c>
      <c r="I2075" s="314">
        <f t="shared" si="938"/>
        <v>28795.652173913044</v>
      </c>
      <c r="J2075" s="685">
        <f t="shared" si="938"/>
        <v>28795.652173913044</v>
      </c>
    </row>
    <row r="2076" spans="1:10" x14ac:dyDescent="0.25">
      <c r="A2076" s="694" t="s">
        <v>25</v>
      </c>
      <c r="B2076" s="300">
        <f t="shared" ref="B2076:H2076" si="939">B2081*B2069</f>
        <v>358201.02068965521</v>
      </c>
      <c r="C2076" s="133">
        <f t="shared" si="939"/>
        <v>629445.11793103453</v>
      </c>
      <c r="D2076" s="133">
        <f t="shared" si="939"/>
        <v>561552.44275862072</v>
      </c>
      <c r="E2076" s="92">
        <f t="shared" si="939"/>
        <v>1331419.8110344829</v>
      </c>
      <c r="F2076" s="134">
        <f t="shared" si="939"/>
        <v>2252764.7889655172</v>
      </c>
      <c r="G2076" s="92">
        <f t="shared" si="939"/>
        <v>2764225.4634482763</v>
      </c>
      <c r="H2076" s="92">
        <f t="shared" si="939"/>
        <v>1853457.2965517242</v>
      </c>
      <c r="I2076" s="92">
        <f>FLORESTA!$B2076+FLORESTA!$C2076+FLORESTA!$D2076+FLORESTA!$E2076+FLORESTA!$F2076+FLORESTA!$G2076+FLORESTA!$H2076</f>
        <v>9751065.9413793124</v>
      </c>
      <c r="J2076" s="629">
        <f>FLORESTA!$I2076/7</f>
        <v>1393009.4201970447</v>
      </c>
    </row>
    <row r="2077" spans="1:10" x14ac:dyDescent="0.25">
      <c r="A2077" s="694" t="s">
        <v>26</v>
      </c>
      <c r="B2077" s="300">
        <f t="shared" ref="B2077:H2077" si="940">B2081*B2070</f>
        <v>0</v>
      </c>
      <c r="C2077" s="133">
        <f t="shared" si="940"/>
        <v>0</v>
      </c>
      <c r="D2077" s="133">
        <f t="shared" si="940"/>
        <v>41596.477241379311</v>
      </c>
      <c r="E2077" s="92">
        <f t="shared" si="940"/>
        <v>117478.21862068966</v>
      </c>
      <c r="F2077" s="134">
        <f t="shared" si="940"/>
        <v>48973.147586206898</v>
      </c>
      <c r="G2077" s="92">
        <f t="shared" si="940"/>
        <v>128568.62620689657</v>
      </c>
      <c r="H2077" s="92">
        <f t="shared" si="940"/>
        <v>52955.922758620698</v>
      </c>
      <c r="I2077" s="92">
        <f>FLORESTA!$B2077+FLORESTA!$C2077+FLORESTA!$D2077+FLORESTA!$E2077+FLORESTA!$F2077+FLORESTA!$G2077+FLORESTA!$H2077</f>
        <v>389572.39241379313</v>
      </c>
      <c r="J2077" s="629">
        <f>FLORESTA!$I2077/7</f>
        <v>55653.198916256159</v>
      </c>
    </row>
    <row r="2078" spans="1:10" x14ac:dyDescent="0.25">
      <c r="A2078" s="694" t="s">
        <v>27</v>
      </c>
      <c r="B2078" s="300">
        <f t="shared" ref="B2078:H2078" si="941">B2081*B2071</f>
        <v>600513.47586206894</v>
      </c>
      <c r="C2078" s="133">
        <f t="shared" si="941"/>
        <v>1125371.5744827588</v>
      </c>
      <c r="D2078" s="133">
        <f t="shared" si="941"/>
        <v>1351885.5103448275</v>
      </c>
      <c r="E2078" s="92">
        <f t="shared" si="941"/>
        <v>2153767.3413793109</v>
      </c>
      <c r="F2078" s="134">
        <f t="shared" si="941"/>
        <v>2203791.6413793103</v>
      </c>
      <c r="G2078" s="92">
        <f t="shared" si="941"/>
        <v>3085647.0289655174</v>
      </c>
      <c r="H2078" s="92">
        <f t="shared" si="941"/>
        <v>2647796.1379310349</v>
      </c>
      <c r="I2078" s="92">
        <f>FLORESTA!$B2078+FLORESTA!$C2078+FLORESTA!$D2078+FLORESTA!$E2078+FLORESTA!$F2078+FLORESTA!$G2078+FLORESTA!$H2078</f>
        <v>13168772.710344829</v>
      </c>
      <c r="J2078" s="629">
        <f>FLORESTA!$I2078/7</f>
        <v>1881253.2443349755</v>
      </c>
    </row>
    <row r="2079" spans="1:10" x14ac:dyDescent="0.25">
      <c r="A2079" s="694" t="s">
        <v>28</v>
      </c>
      <c r="B2079" s="300">
        <f t="shared" ref="B2079:H2079" si="942">B2081*B2072</f>
        <v>94817.917241379313</v>
      </c>
      <c r="C2079" s="133">
        <f t="shared" si="942"/>
        <v>152592.755862069</v>
      </c>
      <c r="D2079" s="133">
        <f t="shared" si="942"/>
        <v>124789.43172413793</v>
      </c>
      <c r="E2079" s="92">
        <f t="shared" si="942"/>
        <v>234956.43724137932</v>
      </c>
      <c r="F2079" s="134">
        <f t="shared" si="942"/>
        <v>391785.18068965519</v>
      </c>
      <c r="G2079" s="92">
        <f t="shared" si="942"/>
        <v>449990.19172413804</v>
      </c>
      <c r="H2079" s="92">
        <f t="shared" si="942"/>
        <v>741382.91862068989</v>
      </c>
      <c r="I2079" s="92">
        <f>FLORESTA!$B2079+FLORESTA!$C2079+FLORESTA!$D2079+FLORESTA!$E2079+FLORESTA!$F2079+FLORESTA!$G2079+FLORESTA!$H2079</f>
        <v>2190314.8331034486</v>
      </c>
      <c r="J2079" s="629">
        <f>FLORESTA!$I2079/7</f>
        <v>312902.11901477835</v>
      </c>
    </row>
    <row r="2080" spans="1:10" x14ac:dyDescent="0.25">
      <c r="A2080" s="694" t="s">
        <v>29</v>
      </c>
      <c r="B2080" s="300">
        <f t="shared" ref="B2080:H2080" si="943">B2081*B2073</f>
        <v>0</v>
      </c>
      <c r="C2080" s="133">
        <f t="shared" si="943"/>
        <v>0</v>
      </c>
      <c r="D2080" s="133">
        <f t="shared" si="943"/>
        <v>0</v>
      </c>
      <c r="E2080" s="92">
        <f t="shared" si="943"/>
        <v>78318.812413793115</v>
      </c>
      <c r="F2080" s="134">
        <f t="shared" si="943"/>
        <v>0</v>
      </c>
      <c r="G2080" s="92">
        <f t="shared" si="943"/>
        <v>0</v>
      </c>
      <c r="H2080" s="92">
        <f t="shared" si="943"/>
        <v>0</v>
      </c>
      <c r="I2080" s="92">
        <f>FLORESTA!$B2080+FLORESTA!$C2080+FLORESTA!$D2080+FLORESTA!$E2080+FLORESTA!$F2080+FLORESTA!$G2080+FLORESTA!$H2080</f>
        <v>78318.812413793115</v>
      </c>
      <c r="J2080" s="629">
        <f>FLORESTA!$I2080/7</f>
        <v>11188.401773399017</v>
      </c>
    </row>
    <row r="2081" spans="1:10" x14ac:dyDescent="0.25">
      <c r="A2081" s="697" t="s">
        <v>30</v>
      </c>
      <c r="B2081" s="691">
        <f>(1250100/1.16)-B2082</f>
        <v>1053532.4137931035</v>
      </c>
      <c r="C2081" s="691">
        <f>(2271400/1.16)-C2082</f>
        <v>1907409.4482758623</v>
      </c>
      <c r="D2081" s="691">
        <f>(2463000/1.16)-D2082</f>
        <v>2079823.8620689656</v>
      </c>
      <c r="E2081" s="691">
        <f>(4646100/1.16)-E2082</f>
        <v>3915940.6206896557</v>
      </c>
      <c r="F2081" s="691">
        <f>(5854500/1.16)-F2082</f>
        <v>4897314.7586206896</v>
      </c>
      <c r="G2081" s="691">
        <f>(7686600/1.16)-G2082</f>
        <v>6428431.3103448283</v>
      </c>
      <c r="H2081" s="691">
        <f>(6294100/1.16)-H2082</f>
        <v>5295592.2758620698</v>
      </c>
      <c r="I2081" s="91">
        <f>SUM(I2076:I2080)</f>
        <v>25578044.689655174</v>
      </c>
      <c r="J2081" s="631">
        <f>FLORESTA!$I2081/7</f>
        <v>3654006.3842364536</v>
      </c>
    </row>
    <row r="2082" spans="1:10" x14ac:dyDescent="0.25">
      <c r="A2082" s="694" t="s">
        <v>31</v>
      </c>
      <c r="B2082" s="302">
        <f t="shared" ref="B2082:I2082" si="944">2414*B2063</f>
        <v>24140</v>
      </c>
      <c r="C2082" s="139">
        <f t="shared" si="944"/>
        <v>50694</v>
      </c>
      <c r="D2082" s="139">
        <f t="shared" si="944"/>
        <v>43452</v>
      </c>
      <c r="E2082" s="139">
        <f t="shared" si="944"/>
        <v>89318</v>
      </c>
      <c r="F2082" s="139">
        <f t="shared" si="944"/>
        <v>149668</v>
      </c>
      <c r="G2082" s="139">
        <f t="shared" si="944"/>
        <v>197948</v>
      </c>
      <c r="H2082" s="139">
        <f t="shared" si="944"/>
        <v>130356</v>
      </c>
      <c r="I2082" s="94">
        <f t="shared" si="944"/>
        <v>685576</v>
      </c>
      <c r="J2082" s="632">
        <f>2414*J2063</f>
        <v>97939.428571428565</v>
      </c>
    </row>
    <row r="2083" spans="1:10" x14ac:dyDescent="0.25">
      <c r="A2083" s="698" t="s">
        <v>32</v>
      </c>
      <c r="B2083" s="364">
        <f t="shared" ref="B2083:H2083" si="945">B2081+B2082</f>
        <v>1077672.4137931035</v>
      </c>
      <c r="C2083" s="40">
        <f t="shared" si="945"/>
        <v>1958103.4482758623</v>
      </c>
      <c r="D2083" s="40">
        <f t="shared" si="945"/>
        <v>2123275.8620689656</v>
      </c>
      <c r="E2083" s="39">
        <f t="shared" si="945"/>
        <v>4005258.6206896557</v>
      </c>
      <c r="F2083" s="140">
        <f t="shared" si="945"/>
        <v>5046982.7586206896</v>
      </c>
      <c r="G2083" s="39">
        <f t="shared" si="945"/>
        <v>6626379.3103448283</v>
      </c>
      <c r="H2083" s="39">
        <f t="shared" si="945"/>
        <v>5425948.2758620698</v>
      </c>
      <c r="I2083" s="39">
        <f>I2081+I2082</f>
        <v>26263620.689655174</v>
      </c>
      <c r="J2083" s="634">
        <f>J2081+J2082</f>
        <v>3751945.8128078822</v>
      </c>
    </row>
    <row r="2084" spans="1:10" x14ac:dyDescent="0.25">
      <c r="A2084" s="694" t="s">
        <v>33</v>
      </c>
      <c r="B2084" s="415">
        <f t="shared" ref="B2084:H2084" si="946">B2083*16%</f>
        <v>172427.58620689658</v>
      </c>
      <c r="C2084" s="42">
        <f t="shared" si="946"/>
        <v>313296.55172413797</v>
      </c>
      <c r="D2084" s="42">
        <f t="shared" si="946"/>
        <v>339724.13793103449</v>
      </c>
      <c r="E2084" s="41">
        <f t="shared" si="946"/>
        <v>640841.37931034493</v>
      </c>
      <c r="F2084" s="141">
        <f t="shared" si="946"/>
        <v>807517.24137931038</v>
      </c>
      <c r="G2084" s="41">
        <f t="shared" si="946"/>
        <v>1060220.6896551726</v>
      </c>
      <c r="H2084" s="41">
        <f t="shared" si="946"/>
        <v>868151.72413793113</v>
      </c>
      <c r="I2084" s="41">
        <f>I2083*16%</f>
        <v>4202179.3103448283</v>
      </c>
      <c r="J2084" s="635">
        <f>J2083*16%</f>
        <v>600311.33004926122</v>
      </c>
    </row>
    <row r="2085" spans="1:10" ht="15.75" thickBot="1" x14ac:dyDescent="0.3">
      <c r="A2085" s="699" t="s">
        <v>34</v>
      </c>
      <c r="B2085" s="687">
        <f t="shared" ref="B2085:H2085" si="947">B2083+B2084</f>
        <v>1250100</v>
      </c>
      <c r="C2085" s="638">
        <f t="shared" si="947"/>
        <v>2271400</v>
      </c>
      <c r="D2085" s="638">
        <f t="shared" si="947"/>
        <v>2463000</v>
      </c>
      <c r="E2085" s="686">
        <f t="shared" si="947"/>
        <v>4646100.0000000009</v>
      </c>
      <c r="F2085" s="687">
        <f t="shared" si="947"/>
        <v>5854500</v>
      </c>
      <c r="G2085" s="686">
        <f t="shared" si="947"/>
        <v>7686600.0000000009</v>
      </c>
      <c r="H2085" s="686">
        <f t="shared" si="947"/>
        <v>6294100.0000000009</v>
      </c>
      <c r="I2085" s="686">
        <f>I2083+I2084</f>
        <v>30465800</v>
      </c>
      <c r="J2085" s="639">
        <f>FLORESTA!$I2085/7</f>
        <v>4352257.1428571427</v>
      </c>
    </row>
    <row r="2086" spans="1:10" ht="15.75" thickBot="1" x14ac:dyDescent="0.3"/>
    <row r="2087" spans="1:10" ht="15.75" thickBot="1" x14ac:dyDescent="0.3">
      <c r="A2087" s="149"/>
      <c r="B2087" s="1006" t="s">
        <v>663</v>
      </c>
      <c r="C2087" s="1006"/>
      <c r="D2087" s="1006"/>
      <c r="E2087" s="1006"/>
      <c r="F2087" s="1006"/>
      <c r="G2087" s="1006"/>
      <c r="H2087" s="1006"/>
      <c r="I2087" s="1006"/>
    </row>
    <row r="2088" spans="1:10" ht="15.75" thickBot="1" x14ac:dyDescent="0.3">
      <c r="A2088" s="149"/>
      <c r="B2088" s="1006"/>
      <c r="C2088" s="1006"/>
      <c r="D2088" s="1006"/>
      <c r="E2088" s="1006"/>
      <c r="F2088" s="1006"/>
      <c r="G2088" s="1006"/>
      <c r="H2088" s="1006"/>
      <c r="I2088" s="1006"/>
    </row>
    <row r="2089" spans="1:10" ht="15.75" x14ac:dyDescent="0.25">
      <c r="A2089" s="692" t="s">
        <v>2</v>
      </c>
      <c r="B2089" s="681" t="s">
        <v>337</v>
      </c>
      <c r="C2089" s="681" t="s">
        <v>338</v>
      </c>
      <c r="D2089" s="681" t="s">
        <v>339</v>
      </c>
      <c r="E2089" s="681" t="s">
        <v>340</v>
      </c>
      <c r="F2089" s="681" t="s">
        <v>341</v>
      </c>
      <c r="G2089" s="681" t="s">
        <v>342</v>
      </c>
      <c r="H2089" s="681" t="s">
        <v>343</v>
      </c>
      <c r="I2089" s="617" t="s">
        <v>96</v>
      </c>
      <c r="J2089" s="682" t="s">
        <v>97</v>
      </c>
    </row>
    <row r="2090" spans="1:10" x14ac:dyDescent="0.25">
      <c r="A2090" s="693" t="s">
        <v>11</v>
      </c>
      <c r="B2090" s="56">
        <f>30+20+4</f>
        <v>54</v>
      </c>
      <c r="C2090" s="673">
        <f>44+23+3</f>
        <v>70</v>
      </c>
      <c r="D2090" s="673">
        <f>42+29+5</f>
        <v>76</v>
      </c>
      <c r="E2090" s="738">
        <f>47+31+5</f>
        <v>83</v>
      </c>
      <c r="F2090" s="743">
        <f>96+75+16</f>
        <v>187</v>
      </c>
      <c r="G2090" s="738">
        <f>124+89+18</f>
        <v>231</v>
      </c>
      <c r="H2090" s="738">
        <f>76+95+19</f>
        <v>190</v>
      </c>
      <c r="I2090" s="738">
        <f t="shared" ref="I2090:I2095" si="948">SUM(B2090:H2090)</f>
        <v>891</v>
      </c>
      <c r="J2090" s="683">
        <f>FLORESTA!$I2090/7</f>
        <v>127.28571428571429</v>
      </c>
    </row>
    <row r="2091" spans="1:10" x14ac:dyDescent="0.25">
      <c r="A2091" s="694" t="s">
        <v>12</v>
      </c>
      <c r="B2091" s="689">
        <v>13</v>
      </c>
      <c r="C2091" s="671">
        <v>16</v>
      </c>
      <c r="D2091" s="675">
        <v>21</v>
      </c>
      <c r="E2091" s="734">
        <v>18</v>
      </c>
      <c r="F2091" s="735">
        <v>54</v>
      </c>
      <c r="G2091" s="736">
        <v>58</v>
      </c>
      <c r="H2091" s="734">
        <v>48</v>
      </c>
      <c r="I2091" s="737">
        <f t="shared" si="948"/>
        <v>228</v>
      </c>
      <c r="J2091" s="684">
        <f>FLORESTA!$I2091/7</f>
        <v>32.571428571428569</v>
      </c>
    </row>
    <row r="2092" spans="1:10" x14ac:dyDescent="0.25">
      <c r="A2092" s="694" t="s">
        <v>13</v>
      </c>
      <c r="B2092" s="313">
        <v>1</v>
      </c>
      <c r="C2092" s="13">
        <v>0</v>
      </c>
      <c r="D2092" s="13">
        <v>1</v>
      </c>
      <c r="E2092" s="11">
        <v>0</v>
      </c>
      <c r="F2092" s="125">
        <v>4</v>
      </c>
      <c r="G2092" s="11">
        <v>1</v>
      </c>
      <c r="H2092" s="11">
        <v>1</v>
      </c>
      <c r="I2092" s="313">
        <f t="shared" si="948"/>
        <v>8</v>
      </c>
      <c r="J2092" s="684">
        <f>C2092+D2092+E2092+F2092+G2092+H2092+I2092</f>
        <v>15</v>
      </c>
    </row>
    <row r="2093" spans="1:10" x14ac:dyDescent="0.25">
      <c r="A2093" s="694" t="s">
        <v>14</v>
      </c>
      <c r="B2093" s="313">
        <v>26</v>
      </c>
      <c r="C2093" s="13">
        <v>43</v>
      </c>
      <c r="D2093" s="320">
        <v>45</v>
      </c>
      <c r="E2093" s="11">
        <v>51</v>
      </c>
      <c r="F2093" s="125">
        <v>90</v>
      </c>
      <c r="G2093" s="11">
        <v>108</v>
      </c>
      <c r="H2093" s="11">
        <v>101</v>
      </c>
      <c r="I2093" s="313">
        <f t="shared" si="948"/>
        <v>464</v>
      </c>
      <c r="J2093" s="684">
        <f>FLORESTA!$I2093/7</f>
        <v>66.285714285714292</v>
      </c>
    </row>
    <row r="2094" spans="1:10" x14ac:dyDescent="0.25">
      <c r="A2094" s="694" t="s">
        <v>15</v>
      </c>
      <c r="B2094" s="313">
        <v>6</v>
      </c>
      <c r="C2094" s="13">
        <v>5</v>
      </c>
      <c r="D2094" s="13">
        <v>5</v>
      </c>
      <c r="E2094" s="11">
        <v>5</v>
      </c>
      <c r="F2094" s="125">
        <v>17</v>
      </c>
      <c r="G2094" s="11">
        <v>18</v>
      </c>
      <c r="H2094" s="11">
        <v>20</v>
      </c>
      <c r="I2094" s="313">
        <f t="shared" si="948"/>
        <v>76</v>
      </c>
      <c r="J2094" s="684">
        <f>FLORESTA!$I2094/7</f>
        <v>10.857142857142858</v>
      </c>
    </row>
    <row r="2095" spans="1:10" x14ac:dyDescent="0.25">
      <c r="A2095" s="694" t="s">
        <v>16</v>
      </c>
      <c r="B2095" s="313">
        <v>0</v>
      </c>
      <c r="C2095" s="13">
        <v>0</v>
      </c>
      <c r="D2095" s="13">
        <v>0</v>
      </c>
      <c r="E2095" s="11">
        <v>0</v>
      </c>
      <c r="F2095" s="125">
        <v>0</v>
      </c>
      <c r="G2095" s="11">
        <v>0</v>
      </c>
      <c r="H2095" s="11">
        <v>0</v>
      </c>
      <c r="I2095" s="313">
        <f t="shared" si="948"/>
        <v>0</v>
      </c>
      <c r="J2095" s="684">
        <f>FLORESTA!$I2095/7</f>
        <v>0</v>
      </c>
    </row>
    <row r="2096" spans="1:10" x14ac:dyDescent="0.25">
      <c r="A2096" s="695" t="s">
        <v>17</v>
      </c>
      <c r="B2096" s="15">
        <f t="shared" ref="B2096:I2096" si="949">SUM(B2091:B2095)</f>
        <v>46</v>
      </c>
      <c r="C2096" s="79">
        <f t="shared" si="949"/>
        <v>64</v>
      </c>
      <c r="D2096" s="79">
        <f t="shared" si="949"/>
        <v>72</v>
      </c>
      <c r="E2096" s="103">
        <f t="shared" si="949"/>
        <v>74</v>
      </c>
      <c r="F2096" s="213">
        <f t="shared" si="949"/>
        <v>165</v>
      </c>
      <c r="G2096" s="103">
        <f t="shared" si="949"/>
        <v>185</v>
      </c>
      <c r="H2096" s="103">
        <f t="shared" si="949"/>
        <v>170</v>
      </c>
      <c r="I2096" s="103">
        <f t="shared" si="949"/>
        <v>776</v>
      </c>
      <c r="J2096" s="625">
        <f>FLORESTA!$I2096/7</f>
        <v>110.85714285714286</v>
      </c>
    </row>
    <row r="2097" spans="1:10" x14ac:dyDescent="0.25">
      <c r="A2097" s="694" t="s">
        <v>18</v>
      </c>
      <c r="B2097" s="690">
        <v>0.28999999999999998</v>
      </c>
      <c r="C2097" s="326">
        <v>0.3</v>
      </c>
      <c r="D2097" s="326">
        <v>0.35</v>
      </c>
      <c r="E2097" s="327">
        <v>0.22</v>
      </c>
      <c r="F2097" s="328">
        <v>0.36</v>
      </c>
      <c r="G2097" s="327">
        <v>0.35</v>
      </c>
      <c r="H2097" s="327">
        <v>0.32</v>
      </c>
      <c r="I2097" s="18">
        <f>I2104/I2109</f>
        <v>0.32577701910668261</v>
      </c>
      <c r="J2097" s="626">
        <f>J2104/J2109</f>
        <v>0.32577701910668266</v>
      </c>
    </row>
    <row r="2098" spans="1:10" x14ac:dyDescent="0.25">
      <c r="A2098" s="694" t="s">
        <v>19</v>
      </c>
      <c r="B2098" s="690">
        <v>0.03</v>
      </c>
      <c r="C2098" s="326">
        <v>0</v>
      </c>
      <c r="D2098" s="326">
        <v>0.02</v>
      </c>
      <c r="E2098" s="327">
        <v>0</v>
      </c>
      <c r="F2098" s="327">
        <v>0.02</v>
      </c>
      <c r="G2098" s="327">
        <v>0.01</v>
      </c>
      <c r="H2098" s="327">
        <v>0</v>
      </c>
      <c r="I2098" s="18">
        <f>I2105/I2109</f>
        <v>1.0100566577484182E-2</v>
      </c>
      <c r="J2098" s="626">
        <f>J2105/J2109</f>
        <v>1.0100566577484182E-2</v>
      </c>
    </row>
    <row r="2099" spans="1:10" x14ac:dyDescent="0.25">
      <c r="A2099" s="694" t="s">
        <v>20</v>
      </c>
      <c r="B2099" s="690">
        <v>0.55000000000000004</v>
      </c>
      <c r="C2099" s="326">
        <v>0.62</v>
      </c>
      <c r="D2099" s="326">
        <v>0.56999999999999995</v>
      </c>
      <c r="E2099" s="327">
        <v>0.69</v>
      </c>
      <c r="F2099" s="329">
        <v>0.51</v>
      </c>
      <c r="G2099" s="327">
        <v>0.54</v>
      </c>
      <c r="H2099" s="327">
        <v>0.56999999999999995</v>
      </c>
      <c r="I2099" s="18">
        <f>I2106/I2109</f>
        <v>0.56383657404156007</v>
      </c>
      <c r="J2099" s="626">
        <f>J2106/J2109</f>
        <v>0.56383657404156007</v>
      </c>
    </row>
    <row r="2100" spans="1:10" x14ac:dyDescent="0.25">
      <c r="A2100" s="694" t="s">
        <v>21</v>
      </c>
      <c r="B2100" s="690">
        <v>0.13</v>
      </c>
      <c r="C2100" s="326">
        <v>0.08</v>
      </c>
      <c r="D2100" s="326">
        <v>0.06</v>
      </c>
      <c r="E2100" s="327">
        <v>0.09</v>
      </c>
      <c r="F2100" s="329">
        <v>0.11</v>
      </c>
      <c r="G2100" s="327">
        <v>0.1</v>
      </c>
      <c r="H2100" s="327">
        <v>0.11</v>
      </c>
      <c r="I2100" s="18">
        <f>I2107/I2109</f>
        <v>0.10028584027427316</v>
      </c>
      <c r="J2100" s="626">
        <f>J2107/J2109</f>
        <v>0.10028584027427316</v>
      </c>
    </row>
    <row r="2101" spans="1:10" x14ac:dyDescent="0.25">
      <c r="A2101" s="694" t="s">
        <v>22</v>
      </c>
      <c r="B2101" s="690">
        <v>0</v>
      </c>
      <c r="C2101" s="326">
        <v>0</v>
      </c>
      <c r="D2101" s="326">
        <v>0</v>
      </c>
      <c r="E2101" s="327">
        <v>0</v>
      </c>
      <c r="F2101" s="329">
        <v>0</v>
      </c>
      <c r="G2101" s="327">
        <v>0</v>
      </c>
      <c r="H2101" s="327">
        <v>0</v>
      </c>
      <c r="I2101" s="18">
        <f>I2108/I2109</f>
        <v>0</v>
      </c>
      <c r="J2101" s="626">
        <f>J2108/J2109</f>
        <v>0</v>
      </c>
    </row>
    <row r="2102" spans="1:10" x14ac:dyDescent="0.25">
      <c r="A2102" s="696" t="s">
        <v>23</v>
      </c>
      <c r="B2102" s="314">
        <f t="shared" ref="B2102:J2102" si="950">B2113/B2096</f>
        <v>32247.82608695652</v>
      </c>
      <c r="C2102" s="131">
        <f t="shared" si="950"/>
        <v>30848.437500000004</v>
      </c>
      <c r="D2102" s="131">
        <f t="shared" si="950"/>
        <v>28487.500000000004</v>
      </c>
      <c r="E2102" s="130">
        <f t="shared" si="950"/>
        <v>32116.216216216217</v>
      </c>
      <c r="F2102" s="132">
        <f t="shared" si="950"/>
        <v>31636.363636363636</v>
      </c>
      <c r="G2102" s="130">
        <f t="shared" si="950"/>
        <v>35985.405405405407</v>
      </c>
      <c r="H2102" s="130">
        <f t="shared" si="950"/>
        <v>32854.705882352944</v>
      </c>
      <c r="I2102" s="314">
        <f t="shared" si="950"/>
        <v>32664.948453608249</v>
      </c>
      <c r="J2102" s="685">
        <f t="shared" si="950"/>
        <v>32664.948453608249</v>
      </c>
    </row>
    <row r="2103" spans="1:10" x14ac:dyDescent="0.25">
      <c r="A2103" s="696" t="s">
        <v>24</v>
      </c>
      <c r="B2103" s="314">
        <f t="shared" ref="B2103:J2103" si="951">B2113/B2090</f>
        <v>27470.370370370369</v>
      </c>
      <c r="C2103" s="131">
        <f t="shared" si="951"/>
        <v>28204.285714285717</v>
      </c>
      <c r="D2103" s="131">
        <f t="shared" si="951"/>
        <v>26988.157894736843</v>
      </c>
      <c r="E2103" s="130">
        <f t="shared" si="951"/>
        <v>28633.734939759037</v>
      </c>
      <c r="F2103" s="132">
        <f t="shared" si="951"/>
        <v>27914.438502673798</v>
      </c>
      <c r="G2103" s="130">
        <f t="shared" si="951"/>
        <v>28819.480519480519</v>
      </c>
      <c r="H2103" s="130">
        <f t="shared" si="951"/>
        <v>29396.315789473691</v>
      </c>
      <c r="I2103" s="314">
        <f t="shared" si="951"/>
        <v>28448.933782267115</v>
      </c>
      <c r="J2103" s="685">
        <f t="shared" si="951"/>
        <v>28448.933782267115</v>
      </c>
    </row>
    <row r="2104" spans="1:10" x14ac:dyDescent="0.25">
      <c r="A2104" s="694" t="s">
        <v>25</v>
      </c>
      <c r="B2104" s="300">
        <f t="shared" ref="B2104:H2104" si="952">B2109*B2097</f>
        <v>361749.22</v>
      </c>
      <c r="C2104" s="133">
        <f t="shared" si="952"/>
        <v>499007.62758620695</v>
      </c>
      <c r="D2104" s="133">
        <f t="shared" si="952"/>
        <v>601123.47931034479</v>
      </c>
      <c r="E2104" s="92">
        <f t="shared" si="952"/>
        <v>441175.04275862069</v>
      </c>
      <c r="F2104" s="134">
        <f t="shared" si="952"/>
        <v>1573071.8399999999</v>
      </c>
      <c r="G2104" s="92">
        <f t="shared" si="952"/>
        <v>1959663.9034482758</v>
      </c>
      <c r="H2104" s="92">
        <f t="shared" si="952"/>
        <v>1503693.3737931037</v>
      </c>
      <c r="I2104" s="92">
        <f>FLORESTA!$B2104+FLORESTA!$C2104+FLORESTA!$D2104+FLORESTA!$E2104+FLORESTA!$F2104+FLORESTA!$G2104+FLORESTA!$H2104</f>
        <v>6939484.4868965512</v>
      </c>
      <c r="J2104" s="629">
        <f>FLORESTA!$I2104/7</f>
        <v>991354.92669950728</v>
      </c>
    </row>
    <row r="2105" spans="1:10" x14ac:dyDescent="0.25">
      <c r="A2105" s="694" t="s">
        <v>26</v>
      </c>
      <c r="B2105" s="300">
        <f t="shared" ref="B2105:H2105" si="953">B2109*B2098</f>
        <v>37422.333103448276</v>
      </c>
      <c r="C2105" s="133">
        <f t="shared" si="953"/>
        <v>0</v>
      </c>
      <c r="D2105" s="133">
        <f t="shared" si="953"/>
        <v>34349.913103448278</v>
      </c>
      <c r="E2105" s="92">
        <f t="shared" si="953"/>
        <v>0</v>
      </c>
      <c r="F2105" s="134">
        <f t="shared" si="953"/>
        <v>87392.88</v>
      </c>
      <c r="G2105" s="92">
        <f t="shared" si="953"/>
        <v>55990.397241379309</v>
      </c>
      <c r="H2105" s="92">
        <f t="shared" si="953"/>
        <v>0</v>
      </c>
      <c r="I2105" s="92">
        <f>FLORESTA!$B2105+FLORESTA!$C2105+FLORESTA!$D2105+FLORESTA!$E2105+FLORESTA!$F2105+FLORESTA!$G2105+FLORESTA!$H2105</f>
        <v>215155.52344827587</v>
      </c>
      <c r="J2105" s="629">
        <f>FLORESTA!$I2105/7</f>
        <v>30736.503349753697</v>
      </c>
    </row>
    <row r="2106" spans="1:10" x14ac:dyDescent="0.25">
      <c r="A2106" s="694" t="s">
        <v>27</v>
      </c>
      <c r="B2106" s="300">
        <f t="shared" ref="B2106:H2106" si="954">B2109*B2099</f>
        <v>686076.10689655179</v>
      </c>
      <c r="C2106" s="133">
        <f t="shared" si="954"/>
        <v>1031282.4303448277</v>
      </c>
      <c r="D2106" s="133">
        <f t="shared" si="954"/>
        <v>978972.52344827587</v>
      </c>
      <c r="E2106" s="92">
        <f t="shared" si="954"/>
        <v>1383685.3613793103</v>
      </c>
      <c r="F2106" s="134">
        <f t="shared" si="954"/>
        <v>2228518.44</v>
      </c>
      <c r="G2106" s="92">
        <f t="shared" si="954"/>
        <v>3023481.451034483</v>
      </c>
      <c r="H2106" s="92">
        <f t="shared" si="954"/>
        <v>2678453.8220689655</v>
      </c>
      <c r="I2106" s="92">
        <f>FLORESTA!$B2106+FLORESTA!$C2106+FLORESTA!$D2106+FLORESTA!$E2106+FLORESTA!$F2106+FLORESTA!$G2106+FLORESTA!$H2106</f>
        <v>12010470.135172414</v>
      </c>
      <c r="J2106" s="629">
        <f>FLORESTA!$I2106/7</f>
        <v>1715781.4478817733</v>
      </c>
    </row>
    <row r="2107" spans="1:10" x14ac:dyDescent="0.25">
      <c r="A2107" s="694" t="s">
        <v>28</v>
      </c>
      <c r="B2107" s="300">
        <f t="shared" ref="B2107:H2107" si="955">B2109*B2100</f>
        <v>162163.44344827588</v>
      </c>
      <c r="C2107" s="133">
        <f t="shared" si="955"/>
        <v>133068.7006896552</v>
      </c>
      <c r="D2107" s="133">
        <f t="shared" si="955"/>
        <v>103049.73931034483</v>
      </c>
      <c r="E2107" s="92">
        <f t="shared" si="955"/>
        <v>180480.69931034482</v>
      </c>
      <c r="F2107" s="134">
        <f t="shared" si="955"/>
        <v>480660.84</v>
      </c>
      <c r="G2107" s="92">
        <f t="shared" si="955"/>
        <v>559903.97241379309</v>
      </c>
      <c r="H2107" s="92">
        <f t="shared" si="955"/>
        <v>516894.59724137938</v>
      </c>
      <c r="I2107" s="92">
        <f>FLORESTA!$B2107+FLORESTA!$C2107+FLORESTA!$D2107+FLORESTA!$E2107+FLORESTA!$F2107+FLORESTA!$G2107+FLORESTA!$H2107</f>
        <v>2136221.9924137932</v>
      </c>
      <c r="J2107" s="629">
        <f>FLORESTA!$I2107/7</f>
        <v>305174.5703448276</v>
      </c>
    </row>
    <row r="2108" spans="1:10" x14ac:dyDescent="0.25">
      <c r="A2108" s="694" t="s">
        <v>29</v>
      </c>
      <c r="B2108" s="300">
        <f t="shared" ref="B2108:H2108" si="956">B2109*B2101</f>
        <v>0</v>
      </c>
      <c r="C2108" s="133">
        <f t="shared" si="956"/>
        <v>0</v>
      </c>
      <c r="D2108" s="133">
        <f t="shared" si="956"/>
        <v>0</v>
      </c>
      <c r="E2108" s="92">
        <f t="shared" si="956"/>
        <v>0</v>
      </c>
      <c r="F2108" s="134">
        <f t="shared" si="956"/>
        <v>0</v>
      </c>
      <c r="G2108" s="92">
        <f t="shared" si="956"/>
        <v>0</v>
      </c>
      <c r="H2108" s="92">
        <f t="shared" si="956"/>
        <v>0</v>
      </c>
      <c r="I2108" s="92">
        <f>FLORESTA!$B2108+FLORESTA!$C2108+FLORESTA!$D2108+FLORESTA!$E2108+FLORESTA!$F2108+FLORESTA!$G2108+FLORESTA!$H2108</f>
        <v>0</v>
      </c>
      <c r="J2108" s="629">
        <f>FLORESTA!$I2108/7</f>
        <v>0</v>
      </c>
    </row>
    <row r="2109" spans="1:10" x14ac:dyDescent="0.25">
      <c r="A2109" s="697" t="s">
        <v>30</v>
      </c>
      <c r="B2109" s="691">
        <f>(1483400/1.16)-B2110</f>
        <v>1247411.1034482759</v>
      </c>
      <c r="C2109" s="691">
        <f>(1974300/1.16)-C2110</f>
        <v>1663358.7586206899</v>
      </c>
      <c r="D2109" s="691">
        <f>(2051100/1.16)-D2110</f>
        <v>1717495.6551724139</v>
      </c>
      <c r="E2109" s="691">
        <f>(2376600/1.16)-E2110</f>
        <v>2005341.1034482759</v>
      </c>
      <c r="F2109" s="691">
        <f>(5220000/1.16)-F2110</f>
        <v>4369644</v>
      </c>
      <c r="G2109" s="691">
        <f>(6657300/1.16)-G2110</f>
        <v>5599039.7241379311</v>
      </c>
      <c r="H2109" s="691">
        <f>(5585300/1.16)-H2110</f>
        <v>4699041.793103449</v>
      </c>
      <c r="I2109" s="91">
        <f>SUM(I2104:I2108)</f>
        <v>21301332.137931034</v>
      </c>
      <c r="J2109" s="631">
        <f>FLORESTA!$I2109/7</f>
        <v>3043047.4482758618</v>
      </c>
    </row>
    <row r="2110" spans="1:10" x14ac:dyDescent="0.25">
      <c r="A2110" s="694" t="s">
        <v>31</v>
      </c>
      <c r="B2110" s="302">
        <f t="shared" ref="B2110:I2110" si="957">2414*B2091</f>
        <v>31382</v>
      </c>
      <c r="C2110" s="139">
        <f t="shared" si="957"/>
        <v>38624</v>
      </c>
      <c r="D2110" s="139">
        <f t="shared" si="957"/>
        <v>50694</v>
      </c>
      <c r="E2110" s="139">
        <f t="shared" si="957"/>
        <v>43452</v>
      </c>
      <c r="F2110" s="139">
        <f t="shared" si="957"/>
        <v>130356</v>
      </c>
      <c r="G2110" s="139">
        <f t="shared" si="957"/>
        <v>140012</v>
      </c>
      <c r="H2110" s="139">
        <f t="shared" si="957"/>
        <v>115872</v>
      </c>
      <c r="I2110" s="94">
        <f t="shared" si="957"/>
        <v>550392</v>
      </c>
      <c r="J2110" s="632">
        <f>2414*J2091</f>
        <v>78627.428571428565</v>
      </c>
    </row>
    <row r="2111" spans="1:10" x14ac:dyDescent="0.25">
      <c r="A2111" s="698" t="s">
        <v>32</v>
      </c>
      <c r="B2111" s="364">
        <f t="shared" ref="B2111:H2111" si="958">B2109+B2110</f>
        <v>1278793.1034482759</v>
      </c>
      <c r="C2111" s="40">
        <f t="shared" si="958"/>
        <v>1701982.7586206899</v>
      </c>
      <c r="D2111" s="40">
        <f t="shared" si="958"/>
        <v>1768189.6551724139</v>
      </c>
      <c r="E2111" s="39">
        <f t="shared" si="958"/>
        <v>2048793.1034482759</v>
      </c>
      <c r="F2111" s="140">
        <f t="shared" si="958"/>
        <v>4500000</v>
      </c>
      <c r="G2111" s="39">
        <f t="shared" si="958"/>
        <v>5739051.7241379311</v>
      </c>
      <c r="H2111" s="39">
        <f t="shared" si="958"/>
        <v>4814913.793103449</v>
      </c>
      <c r="I2111" s="39">
        <f>I2109+I2110</f>
        <v>21851724.137931034</v>
      </c>
      <c r="J2111" s="634">
        <f>J2109+J2110</f>
        <v>3121674.8768472904</v>
      </c>
    </row>
    <row r="2112" spans="1:10" x14ac:dyDescent="0.25">
      <c r="A2112" s="694" t="s">
        <v>33</v>
      </c>
      <c r="B2112" s="415">
        <f t="shared" ref="B2112:H2112" si="959">B2111*16%</f>
        <v>204606.89655172414</v>
      </c>
      <c r="C2112" s="42">
        <f t="shared" si="959"/>
        <v>272317.24137931038</v>
      </c>
      <c r="D2112" s="42">
        <f t="shared" si="959"/>
        <v>282910.34482758626</v>
      </c>
      <c r="E2112" s="41">
        <f t="shared" si="959"/>
        <v>327806.89655172417</v>
      </c>
      <c r="F2112" s="141">
        <f t="shared" si="959"/>
        <v>720000</v>
      </c>
      <c r="G2112" s="41">
        <f t="shared" si="959"/>
        <v>918248.27586206899</v>
      </c>
      <c r="H2112" s="41">
        <f t="shared" si="959"/>
        <v>770386.20689655188</v>
      </c>
      <c r="I2112" s="41">
        <f>I2111*16%</f>
        <v>3496275.8620689656</v>
      </c>
      <c r="J2112" s="635">
        <f>J2111*16%</f>
        <v>499467.98029556649</v>
      </c>
    </row>
    <row r="2113" spans="1:10" ht="15.75" thickBot="1" x14ac:dyDescent="0.3">
      <c r="A2113" s="699" t="s">
        <v>34</v>
      </c>
      <c r="B2113" s="687">
        <f t="shared" ref="B2113:H2113" si="960">B2111+B2112</f>
        <v>1483400</v>
      </c>
      <c r="C2113" s="638">
        <f t="shared" si="960"/>
        <v>1974300.0000000002</v>
      </c>
      <c r="D2113" s="638">
        <f t="shared" si="960"/>
        <v>2051100.0000000002</v>
      </c>
      <c r="E2113" s="686">
        <f t="shared" si="960"/>
        <v>2376600</v>
      </c>
      <c r="F2113" s="687">
        <f t="shared" si="960"/>
        <v>5220000</v>
      </c>
      <c r="G2113" s="686">
        <f t="shared" si="960"/>
        <v>6657300</v>
      </c>
      <c r="H2113" s="686">
        <f t="shared" si="960"/>
        <v>5585300.0000000009</v>
      </c>
      <c r="I2113" s="686">
        <f>I2111+I2112</f>
        <v>25348000</v>
      </c>
      <c r="J2113" s="639">
        <f>FLORESTA!$I2113/7</f>
        <v>3621142.8571428573</v>
      </c>
    </row>
    <row r="2114" spans="1:10" ht="15.75" thickBot="1" x14ac:dyDescent="0.3"/>
    <row r="2115" spans="1:10" ht="15.75" thickBot="1" x14ac:dyDescent="0.3">
      <c r="A2115" s="149"/>
      <c r="B2115" s="1006" t="s">
        <v>698</v>
      </c>
      <c r="C2115" s="1006"/>
      <c r="D2115" s="1006"/>
      <c r="E2115" s="1006"/>
      <c r="F2115" s="1006"/>
      <c r="G2115" s="1006"/>
      <c r="H2115" s="1006"/>
      <c r="I2115" s="1006"/>
    </row>
    <row r="2116" spans="1:10" ht="15.75" thickBot="1" x14ac:dyDescent="0.3">
      <c r="A2116" s="149"/>
      <c r="B2116" s="1006"/>
      <c r="C2116" s="1006"/>
      <c r="D2116" s="1006"/>
      <c r="E2116" s="1006"/>
      <c r="F2116" s="1006"/>
      <c r="G2116" s="1006"/>
      <c r="H2116" s="1006"/>
      <c r="I2116" s="1006"/>
    </row>
    <row r="2117" spans="1:10" ht="15.75" x14ac:dyDescent="0.25">
      <c r="A2117" s="692" t="s">
        <v>2</v>
      </c>
      <c r="B2117" s="681" t="s">
        <v>345</v>
      </c>
      <c r="C2117" s="681" t="s">
        <v>346</v>
      </c>
      <c r="D2117" s="681" t="s">
        <v>347</v>
      </c>
      <c r="E2117" s="681" t="s">
        <v>348</v>
      </c>
      <c r="F2117" s="681" t="s">
        <v>349</v>
      </c>
      <c r="G2117" s="681" t="s">
        <v>350</v>
      </c>
      <c r="H2117" s="681" t="s">
        <v>351</v>
      </c>
      <c r="I2117" s="617" t="s">
        <v>96</v>
      </c>
      <c r="J2117" s="682" t="s">
        <v>97</v>
      </c>
    </row>
    <row r="2118" spans="1:10" x14ac:dyDescent="0.25">
      <c r="A2118" s="693" t="s">
        <v>11</v>
      </c>
      <c r="B2118" s="56">
        <f>95+86+32</f>
        <v>213</v>
      </c>
      <c r="C2118" s="673">
        <f>34+16+2</f>
        <v>52</v>
      </c>
      <c r="D2118" s="673">
        <f>30+22+9</f>
        <v>61</v>
      </c>
      <c r="E2118" s="738">
        <f>42+32+7</f>
        <v>81</v>
      </c>
      <c r="F2118" s="743">
        <f>117+70+12</f>
        <v>199</v>
      </c>
      <c r="G2118" s="738">
        <f>144+88+20</f>
        <v>252</v>
      </c>
      <c r="H2118" s="738">
        <f>96+89+29</f>
        <v>214</v>
      </c>
      <c r="I2118" s="738">
        <f t="shared" ref="I2118:I2123" si="961">SUM(B2118:H2118)</f>
        <v>1072</v>
      </c>
      <c r="J2118" s="683">
        <f>FLORESTA!$I2118/7</f>
        <v>153.14285714285714</v>
      </c>
    </row>
    <row r="2119" spans="1:10" x14ac:dyDescent="0.25">
      <c r="A2119" s="694" t="s">
        <v>12</v>
      </c>
      <c r="B2119" s="689">
        <v>53</v>
      </c>
      <c r="C2119" s="671">
        <v>14</v>
      </c>
      <c r="D2119" s="675">
        <v>21</v>
      </c>
      <c r="E2119" s="734">
        <v>18</v>
      </c>
      <c r="F2119" s="735">
        <v>48</v>
      </c>
      <c r="G2119" s="736">
        <v>59</v>
      </c>
      <c r="H2119" s="734">
        <v>55</v>
      </c>
      <c r="I2119" s="737">
        <f t="shared" si="961"/>
        <v>268</v>
      </c>
      <c r="J2119" s="684">
        <f>FLORESTA!$I2119/7</f>
        <v>38.285714285714285</v>
      </c>
    </row>
    <row r="2120" spans="1:10" x14ac:dyDescent="0.25">
      <c r="A2120" s="694" t="s">
        <v>13</v>
      </c>
      <c r="B2120" s="313">
        <v>1</v>
      </c>
      <c r="C2120" s="13">
        <v>0</v>
      </c>
      <c r="D2120" s="13">
        <v>0</v>
      </c>
      <c r="E2120" s="11">
        <v>2</v>
      </c>
      <c r="F2120" s="125">
        <v>3</v>
      </c>
      <c r="G2120" s="11">
        <v>1</v>
      </c>
      <c r="H2120" s="11">
        <v>2</v>
      </c>
      <c r="I2120" s="313">
        <f t="shared" si="961"/>
        <v>9</v>
      </c>
      <c r="J2120" s="684">
        <f>C2120+D2120+E2120+F2120+G2120+H2120+I2120</f>
        <v>17</v>
      </c>
    </row>
    <row r="2121" spans="1:10" x14ac:dyDescent="0.25">
      <c r="A2121" s="694" t="s">
        <v>14</v>
      </c>
      <c r="B2121" s="313">
        <v>94</v>
      </c>
      <c r="C2121" s="13">
        <v>27</v>
      </c>
      <c r="D2121" s="320">
        <v>33</v>
      </c>
      <c r="E2121" s="11">
        <v>42</v>
      </c>
      <c r="F2121" s="125">
        <v>94</v>
      </c>
      <c r="G2121" s="11">
        <v>127</v>
      </c>
      <c r="H2121" s="11">
        <v>93</v>
      </c>
      <c r="I2121" s="313">
        <f t="shared" si="961"/>
        <v>510</v>
      </c>
      <c r="J2121" s="684">
        <f>FLORESTA!$I2121/7</f>
        <v>72.857142857142861</v>
      </c>
    </row>
    <row r="2122" spans="1:10" x14ac:dyDescent="0.25">
      <c r="A2122" s="694" t="s">
        <v>15</v>
      </c>
      <c r="B2122" s="313">
        <v>16</v>
      </c>
      <c r="C2122" s="13">
        <v>2</v>
      </c>
      <c r="D2122" s="13">
        <v>4</v>
      </c>
      <c r="E2122" s="11">
        <v>3</v>
      </c>
      <c r="F2122" s="125">
        <v>23</v>
      </c>
      <c r="G2122" s="11">
        <v>14</v>
      </c>
      <c r="H2122" s="11">
        <v>22</v>
      </c>
      <c r="I2122" s="313">
        <f t="shared" si="961"/>
        <v>84</v>
      </c>
      <c r="J2122" s="684">
        <f>FLORESTA!$I2122/7</f>
        <v>12</v>
      </c>
    </row>
    <row r="2123" spans="1:10" x14ac:dyDescent="0.25">
      <c r="A2123" s="694" t="s">
        <v>16</v>
      </c>
      <c r="B2123" s="313">
        <v>0</v>
      </c>
      <c r="C2123" s="13">
        <v>0</v>
      </c>
      <c r="D2123" s="13">
        <v>0</v>
      </c>
      <c r="E2123" s="11">
        <v>0</v>
      </c>
      <c r="F2123" s="125">
        <v>1</v>
      </c>
      <c r="G2123" s="11">
        <v>0</v>
      </c>
      <c r="H2123" s="11">
        <v>0</v>
      </c>
      <c r="I2123" s="313">
        <f t="shared" si="961"/>
        <v>1</v>
      </c>
      <c r="J2123" s="684">
        <f>FLORESTA!$I2123/7</f>
        <v>0.14285714285714285</v>
      </c>
    </row>
    <row r="2124" spans="1:10" x14ac:dyDescent="0.25">
      <c r="A2124" s="695" t="s">
        <v>17</v>
      </c>
      <c r="B2124" s="15">
        <f t="shared" ref="B2124:I2124" si="962">SUM(B2119:B2123)</f>
        <v>164</v>
      </c>
      <c r="C2124" s="79">
        <f t="shared" si="962"/>
        <v>43</v>
      </c>
      <c r="D2124" s="79">
        <f t="shared" si="962"/>
        <v>58</v>
      </c>
      <c r="E2124" s="103">
        <f t="shared" si="962"/>
        <v>65</v>
      </c>
      <c r="F2124" s="213">
        <f t="shared" si="962"/>
        <v>169</v>
      </c>
      <c r="G2124" s="103">
        <f t="shared" si="962"/>
        <v>201</v>
      </c>
      <c r="H2124" s="103">
        <f t="shared" si="962"/>
        <v>172</v>
      </c>
      <c r="I2124" s="103">
        <f t="shared" si="962"/>
        <v>872</v>
      </c>
      <c r="J2124" s="625">
        <f>FLORESTA!$I2124/7</f>
        <v>124.57142857142857</v>
      </c>
    </row>
    <row r="2125" spans="1:10" x14ac:dyDescent="0.25">
      <c r="A2125" s="694" t="s">
        <v>18</v>
      </c>
      <c r="B2125" s="690">
        <v>0.36</v>
      </c>
      <c r="C2125" s="326">
        <v>0.34</v>
      </c>
      <c r="D2125" s="326">
        <v>0.41</v>
      </c>
      <c r="E2125" s="327">
        <v>0.35</v>
      </c>
      <c r="F2125" s="328">
        <v>0.33</v>
      </c>
      <c r="G2125" s="327">
        <v>0.37</v>
      </c>
      <c r="H2125" s="327">
        <v>0.35</v>
      </c>
      <c r="I2125" s="18">
        <f>I2132/I2137</f>
        <v>0.35552349707267689</v>
      </c>
      <c r="J2125" s="626">
        <f>J2132/J2137</f>
        <v>0.35552349707267694</v>
      </c>
    </row>
    <row r="2126" spans="1:10" x14ac:dyDescent="0.25">
      <c r="A2126" s="694" t="s">
        <v>19</v>
      </c>
      <c r="B2126" s="690">
        <v>0.01</v>
      </c>
      <c r="C2126" s="326">
        <v>0</v>
      </c>
      <c r="D2126" s="326">
        <v>0</v>
      </c>
      <c r="E2126" s="327">
        <v>0.03</v>
      </c>
      <c r="F2126" s="327">
        <v>0.01</v>
      </c>
      <c r="G2126" s="327">
        <v>0</v>
      </c>
      <c r="H2126" s="327">
        <v>0.01</v>
      </c>
      <c r="I2126" s="18">
        <f>I2133/I2137</f>
        <v>8.1610284194809091E-3</v>
      </c>
      <c r="J2126" s="626">
        <f>J2133/J2137</f>
        <v>8.1610284194809091E-3</v>
      </c>
    </row>
    <row r="2127" spans="1:10" x14ac:dyDescent="0.25">
      <c r="A2127" s="694" t="s">
        <v>20</v>
      </c>
      <c r="B2127" s="690">
        <v>0.53</v>
      </c>
      <c r="C2127" s="326">
        <v>0.63</v>
      </c>
      <c r="D2127" s="326">
        <v>0.51</v>
      </c>
      <c r="E2127" s="327">
        <v>0.53</v>
      </c>
      <c r="F2127" s="329">
        <v>0.52</v>
      </c>
      <c r="G2127" s="327">
        <v>0.56000000000000005</v>
      </c>
      <c r="H2127" s="327">
        <v>0.52</v>
      </c>
      <c r="I2127" s="18">
        <f>I2134/I2137</f>
        <v>0.53655347398765518</v>
      </c>
      <c r="J2127" s="626">
        <f>J2134/J2137</f>
        <v>0.53655347398765529</v>
      </c>
    </row>
    <row r="2128" spans="1:10" x14ac:dyDescent="0.25">
      <c r="A2128" s="694" t="s">
        <v>21</v>
      </c>
      <c r="B2128" s="690">
        <v>0.1</v>
      </c>
      <c r="C2128" s="326">
        <v>0.03</v>
      </c>
      <c r="D2128" s="326">
        <v>0.08</v>
      </c>
      <c r="E2128" s="327">
        <v>0.09</v>
      </c>
      <c r="F2128" s="329">
        <v>0.12</v>
      </c>
      <c r="G2128" s="327">
        <v>7.0000000000000007E-2</v>
      </c>
      <c r="H2128" s="327">
        <v>0.12</v>
      </c>
      <c r="I2128" s="18">
        <f>I2135/I2137</f>
        <v>9.5842779025780256E-2</v>
      </c>
      <c r="J2128" s="626">
        <f>J2135/J2137</f>
        <v>9.584277902578027E-2</v>
      </c>
    </row>
    <row r="2129" spans="1:10" x14ac:dyDescent="0.25">
      <c r="A2129" s="694" t="s">
        <v>22</v>
      </c>
      <c r="B2129" s="690">
        <v>0</v>
      </c>
      <c r="C2129" s="326">
        <v>0</v>
      </c>
      <c r="D2129" s="326">
        <v>0</v>
      </c>
      <c r="E2129" s="327">
        <v>0</v>
      </c>
      <c r="F2129" s="329">
        <v>0.02</v>
      </c>
      <c r="G2129" s="327">
        <v>0</v>
      </c>
      <c r="H2129" s="327">
        <v>0</v>
      </c>
      <c r="I2129" s="18">
        <f>I2136/I2137</f>
        <v>3.9192214944067539E-3</v>
      </c>
      <c r="J2129" s="626">
        <f>J2136/J2137</f>
        <v>3.9192214944067548E-3</v>
      </c>
    </row>
    <row r="2130" spans="1:10" x14ac:dyDescent="0.25">
      <c r="A2130" s="696" t="s">
        <v>23</v>
      </c>
      <c r="B2130" s="314">
        <f t="shared" ref="B2130:J2130" si="963">B2141/B2124</f>
        <v>35465.853658536587</v>
      </c>
      <c r="C2130" s="131">
        <f t="shared" si="963"/>
        <v>31055.813953488378</v>
      </c>
      <c r="D2130" s="131">
        <f t="shared" si="963"/>
        <v>27718.965517241384</v>
      </c>
      <c r="E2130" s="130">
        <f t="shared" si="963"/>
        <v>34429.230769230766</v>
      </c>
      <c r="F2130" s="132">
        <f t="shared" si="963"/>
        <v>34436.094674556211</v>
      </c>
      <c r="G2130" s="130">
        <f t="shared" si="963"/>
        <v>34977.114427860695</v>
      </c>
      <c r="H2130" s="130">
        <f t="shared" si="963"/>
        <v>34391.27906976745</v>
      </c>
      <c r="I2130" s="314">
        <f t="shared" si="963"/>
        <v>34131.651376146794</v>
      </c>
      <c r="J2130" s="685">
        <f t="shared" si="963"/>
        <v>34131.651376146794</v>
      </c>
    </row>
    <row r="2131" spans="1:10" x14ac:dyDescent="0.25">
      <c r="A2131" s="696" t="s">
        <v>24</v>
      </c>
      <c r="B2131" s="314">
        <f t="shared" ref="B2131:J2131" si="964">B2141/B2118</f>
        <v>27307.042253521126</v>
      </c>
      <c r="C2131" s="131">
        <f t="shared" si="964"/>
        <v>25680.769230769234</v>
      </c>
      <c r="D2131" s="131">
        <f t="shared" si="964"/>
        <v>26355.737704918036</v>
      </c>
      <c r="E2131" s="130">
        <f t="shared" si="964"/>
        <v>27628.395061728395</v>
      </c>
      <c r="F2131" s="132">
        <f t="shared" si="964"/>
        <v>29244.723618090451</v>
      </c>
      <c r="G2131" s="130">
        <f t="shared" si="964"/>
        <v>27898.4126984127</v>
      </c>
      <c r="H2131" s="130">
        <f t="shared" si="964"/>
        <v>27641.588785046733</v>
      </c>
      <c r="I2131" s="314">
        <f t="shared" si="964"/>
        <v>27763.805970149257</v>
      </c>
      <c r="J2131" s="685">
        <f t="shared" si="964"/>
        <v>27763.805970149257</v>
      </c>
    </row>
    <row r="2132" spans="1:10" x14ac:dyDescent="0.25">
      <c r="A2132" s="694" t="s">
        <v>25</v>
      </c>
      <c r="B2132" s="300">
        <f t="shared" ref="B2132:H2132" si="965">B2137*B2125</f>
        <v>1759030.5351724138</v>
      </c>
      <c r="C2132" s="133">
        <f t="shared" si="965"/>
        <v>379919.70482758631</v>
      </c>
      <c r="D2132" s="133">
        <f t="shared" si="965"/>
        <v>547454.25310344831</v>
      </c>
      <c r="E2132" s="92">
        <f t="shared" si="965"/>
        <v>660020.24827586208</v>
      </c>
      <c r="F2132" s="134">
        <f t="shared" si="965"/>
        <v>1617366.5503448276</v>
      </c>
      <c r="G2132" s="92">
        <f t="shared" si="965"/>
        <v>2189757.5524137933</v>
      </c>
      <c r="H2132" s="92">
        <f t="shared" si="965"/>
        <v>1738319.2931034483</v>
      </c>
      <c r="I2132" s="92">
        <f>FLORESTA!$B2132+FLORESTA!$C2132+FLORESTA!$D2132+FLORESTA!$E2132+FLORESTA!$F2132+FLORESTA!$G2132+FLORESTA!$H2132</f>
        <v>8891868.1372413803</v>
      </c>
      <c r="J2132" s="629">
        <f>FLORESTA!$I2132/7</f>
        <v>1270266.8767487686</v>
      </c>
    </row>
    <row r="2133" spans="1:10" x14ac:dyDescent="0.25">
      <c r="A2133" s="694" t="s">
        <v>26</v>
      </c>
      <c r="B2133" s="300">
        <f t="shared" ref="B2133:H2133" si="966">B2137*B2126</f>
        <v>48861.959310344828</v>
      </c>
      <c r="C2133" s="133">
        <f t="shared" si="966"/>
        <v>0</v>
      </c>
      <c r="D2133" s="133">
        <f t="shared" si="966"/>
        <v>0</v>
      </c>
      <c r="E2133" s="92">
        <f t="shared" si="966"/>
        <v>56573.164137931039</v>
      </c>
      <c r="F2133" s="134">
        <f t="shared" si="966"/>
        <v>49011.107586206897</v>
      </c>
      <c r="G2133" s="92">
        <f t="shared" si="966"/>
        <v>0</v>
      </c>
      <c r="H2133" s="92">
        <f t="shared" si="966"/>
        <v>49666.265517241387</v>
      </c>
      <c r="I2133" s="92">
        <f>FLORESTA!$B2133+FLORESTA!$C2133+FLORESTA!$D2133+FLORESTA!$E2133+FLORESTA!$F2133+FLORESTA!$G2133+FLORESTA!$H2133</f>
        <v>204112.49655172415</v>
      </c>
      <c r="J2133" s="629">
        <f>FLORESTA!$I2133/7</f>
        <v>29158.928078817735</v>
      </c>
    </row>
    <row r="2134" spans="1:10" x14ac:dyDescent="0.25">
      <c r="A2134" s="694" t="s">
        <v>27</v>
      </c>
      <c r="B2134" s="300">
        <f t="shared" ref="B2134:H2134" si="967">B2137*B2127</f>
        <v>2589683.8434482762</v>
      </c>
      <c r="C2134" s="133">
        <f t="shared" si="967"/>
        <v>703968.86482758634</v>
      </c>
      <c r="D2134" s="133">
        <f t="shared" si="967"/>
        <v>680979.68068965524</v>
      </c>
      <c r="E2134" s="92">
        <f t="shared" si="967"/>
        <v>999459.23310344841</v>
      </c>
      <c r="F2134" s="134">
        <f t="shared" si="967"/>
        <v>2548577.5944827585</v>
      </c>
      <c r="G2134" s="92">
        <f t="shared" si="967"/>
        <v>3314227.6468965523</v>
      </c>
      <c r="H2134" s="92">
        <f t="shared" si="967"/>
        <v>2582645.806896552</v>
      </c>
      <c r="I2134" s="92">
        <f>FLORESTA!$B2134+FLORESTA!$C2134+FLORESTA!$D2134+FLORESTA!$E2134+FLORESTA!$F2134+FLORESTA!$G2134+FLORESTA!$H2134</f>
        <v>13419542.67034483</v>
      </c>
      <c r="J2134" s="629">
        <f>FLORESTA!$I2134/7</f>
        <v>1917077.5243349758</v>
      </c>
    </row>
    <row r="2135" spans="1:10" x14ac:dyDescent="0.25">
      <c r="A2135" s="694" t="s">
        <v>28</v>
      </c>
      <c r="B2135" s="300">
        <f t="shared" ref="B2135:H2135" si="968">B2137*B2128</f>
        <v>488619.59310344834</v>
      </c>
      <c r="C2135" s="133">
        <f t="shared" si="968"/>
        <v>33522.326896551727</v>
      </c>
      <c r="D2135" s="133">
        <f t="shared" si="968"/>
        <v>106820.34206896553</v>
      </c>
      <c r="E2135" s="92">
        <f t="shared" si="968"/>
        <v>169719.49241379311</v>
      </c>
      <c r="F2135" s="134">
        <f t="shared" si="968"/>
        <v>588133.29103448277</v>
      </c>
      <c r="G2135" s="92">
        <f t="shared" si="968"/>
        <v>414278.45586206904</v>
      </c>
      <c r="H2135" s="92">
        <f t="shared" si="968"/>
        <v>595995.18620689667</v>
      </c>
      <c r="I2135" s="92">
        <f>FLORESTA!$B2135+FLORESTA!$C2135+FLORESTA!$D2135+FLORESTA!$E2135+FLORESTA!$F2135+FLORESTA!$G2135+FLORESTA!$H2135</f>
        <v>2397088.6875862074</v>
      </c>
      <c r="J2135" s="629">
        <f>FLORESTA!$I2135/7</f>
        <v>342441.24108374392</v>
      </c>
    </row>
    <row r="2136" spans="1:10" x14ac:dyDescent="0.25">
      <c r="A2136" s="694" t="s">
        <v>29</v>
      </c>
      <c r="B2136" s="300">
        <f t="shared" ref="B2136:H2136" si="969">B2137*B2129</f>
        <v>0</v>
      </c>
      <c r="C2136" s="133">
        <f t="shared" si="969"/>
        <v>0</v>
      </c>
      <c r="D2136" s="133">
        <f t="shared" si="969"/>
        <v>0</v>
      </c>
      <c r="E2136" s="92">
        <f t="shared" si="969"/>
        <v>0</v>
      </c>
      <c r="F2136" s="134">
        <f t="shared" si="969"/>
        <v>98022.215172413795</v>
      </c>
      <c r="G2136" s="92">
        <f t="shared" si="969"/>
        <v>0</v>
      </c>
      <c r="H2136" s="92">
        <f t="shared" si="969"/>
        <v>0</v>
      </c>
      <c r="I2136" s="92">
        <f>FLORESTA!$B2136+FLORESTA!$C2136+FLORESTA!$D2136+FLORESTA!$E2136+FLORESTA!$F2136+FLORESTA!$G2136+FLORESTA!$H2136</f>
        <v>98022.215172413795</v>
      </c>
      <c r="J2136" s="629">
        <f>FLORESTA!$I2136/7</f>
        <v>14003.173596059114</v>
      </c>
    </row>
    <row r="2137" spans="1:10" x14ac:dyDescent="0.25">
      <c r="A2137" s="697" t="s">
        <v>30</v>
      </c>
      <c r="B2137" s="691">
        <f>(5816400/1.16)-B2138</f>
        <v>4886195.931034483</v>
      </c>
      <c r="C2137" s="691">
        <f>(1335400/1.16)-C2138</f>
        <v>1117410.8965517243</v>
      </c>
      <c r="D2137" s="691">
        <f>(1607700/1.16)-D2138</f>
        <v>1335254.2758620691</v>
      </c>
      <c r="E2137" s="691">
        <f>(2237900/1.16)-E2138</f>
        <v>1885772.1379310347</v>
      </c>
      <c r="F2137" s="691">
        <f>(5819700/1.16)-F2138</f>
        <v>4901110.7586206896</v>
      </c>
      <c r="G2137" s="691">
        <f>(7030400/1.16)-G2138</f>
        <v>5918263.6551724141</v>
      </c>
      <c r="H2137" s="691">
        <f>(5915300/1.16)-H2138</f>
        <v>4966626.5517241387</v>
      </c>
      <c r="I2137" s="91">
        <f>SUM(I2132:I2136)</f>
        <v>25010634.206896555</v>
      </c>
      <c r="J2137" s="631">
        <f>FLORESTA!$I2137/7</f>
        <v>3572947.7438423648</v>
      </c>
    </row>
    <row r="2138" spans="1:10" x14ac:dyDescent="0.25">
      <c r="A2138" s="694" t="s">
        <v>31</v>
      </c>
      <c r="B2138" s="302">
        <f t="shared" ref="B2138:I2138" si="970">2414*B2119</f>
        <v>127942</v>
      </c>
      <c r="C2138" s="139">
        <f t="shared" si="970"/>
        <v>33796</v>
      </c>
      <c r="D2138" s="139">
        <f t="shared" si="970"/>
        <v>50694</v>
      </c>
      <c r="E2138" s="139">
        <f t="shared" si="970"/>
        <v>43452</v>
      </c>
      <c r="F2138" s="139">
        <f t="shared" si="970"/>
        <v>115872</v>
      </c>
      <c r="G2138" s="139">
        <f t="shared" si="970"/>
        <v>142426</v>
      </c>
      <c r="H2138" s="139">
        <f t="shared" si="970"/>
        <v>132770</v>
      </c>
      <c r="I2138" s="94">
        <f t="shared" si="970"/>
        <v>646952</v>
      </c>
      <c r="J2138" s="632">
        <f>2414*J2119</f>
        <v>92421.71428571429</v>
      </c>
    </row>
    <row r="2139" spans="1:10" x14ac:dyDescent="0.25">
      <c r="A2139" s="698" t="s">
        <v>32</v>
      </c>
      <c r="B2139" s="364">
        <f t="shared" ref="B2139:H2139" si="971">B2137+B2138</f>
        <v>5014137.931034483</v>
      </c>
      <c r="C2139" s="40">
        <f t="shared" si="971"/>
        <v>1151206.8965517243</v>
      </c>
      <c r="D2139" s="40">
        <f t="shared" si="971"/>
        <v>1385948.2758620691</v>
      </c>
      <c r="E2139" s="39">
        <f t="shared" si="971"/>
        <v>1929224.1379310347</v>
      </c>
      <c r="F2139" s="140">
        <f t="shared" si="971"/>
        <v>5016982.7586206896</v>
      </c>
      <c r="G2139" s="39">
        <f t="shared" si="971"/>
        <v>6060689.6551724141</v>
      </c>
      <c r="H2139" s="39">
        <f t="shared" si="971"/>
        <v>5099396.5517241387</v>
      </c>
      <c r="I2139" s="39">
        <f>I2137+I2138</f>
        <v>25657586.206896555</v>
      </c>
      <c r="J2139" s="634">
        <f>J2137+J2138</f>
        <v>3665369.4581280788</v>
      </c>
    </row>
    <row r="2140" spans="1:10" x14ac:dyDescent="0.25">
      <c r="A2140" s="694" t="s">
        <v>33</v>
      </c>
      <c r="B2140" s="415">
        <f t="shared" ref="B2140:H2140" si="972">B2139*16%</f>
        <v>802262.06896551733</v>
      </c>
      <c r="C2140" s="42">
        <f t="shared" si="972"/>
        <v>184193.10344827588</v>
      </c>
      <c r="D2140" s="42">
        <f t="shared" si="972"/>
        <v>221751.72413793107</v>
      </c>
      <c r="E2140" s="41">
        <f t="shared" si="972"/>
        <v>308675.86206896557</v>
      </c>
      <c r="F2140" s="141">
        <f t="shared" si="972"/>
        <v>802717.24137931038</v>
      </c>
      <c r="G2140" s="41">
        <f t="shared" si="972"/>
        <v>969710.34482758632</v>
      </c>
      <c r="H2140" s="41">
        <f t="shared" si="972"/>
        <v>815903.44827586226</v>
      </c>
      <c r="I2140" s="41">
        <f>I2139*16%</f>
        <v>4105213.793103449</v>
      </c>
      <c r="J2140" s="635">
        <f>J2139*16%</f>
        <v>586459.11330049264</v>
      </c>
    </row>
    <row r="2141" spans="1:10" ht="15.75" thickBot="1" x14ac:dyDescent="0.3">
      <c r="A2141" s="699" t="s">
        <v>34</v>
      </c>
      <c r="B2141" s="687">
        <f t="shared" ref="B2141:H2141" si="973">B2139+B2140</f>
        <v>5816400</v>
      </c>
      <c r="C2141" s="638">
        <f t="shared" si="973"/>
        <v>1335400.0000000002</v>
      </c>
      <c r="D2141" s="638">
        <f t="shared" si="973"/>
        <v>1607700.0000000002</v>
      </c>
      <c r="E2141" s="686">
        <f t="shared" si="973"/>
        <v>2237900</v>
      </c>
      <c r="F2141" s="687">
        <f t="shared" si="973"/>
        <v>5819700</v>
      </c>
      <c r="G2141" s="686">
        <f t="shared" si="973"/>
        <v>7030400</v>
      </c>
      <c r="H2141" s="686">
        <f t="shared" si="973"/>
        <v>5915300.0000000009</v>
      </c>
      <c r="I2141" s="686">
        <f>I2139+I2140</f>
        <v>29762800.000000004</v>
      </c>
      <c r="J2141" s="639">
        <f>FLORESTA!$I2141/7</f>
        <v>4251828.5714285718</v>
      </c>
    </row>
    <row r="2142" spans="1:10" ht="15.75" thickBot="1" x14ac:dyDescent="0.3"/>
    <row r="2143" spans="1:10" ht="15.75" thickBot="1" x14ac:dyDescent="0.3">
      <c r="A2143" s="149"/>
      <c r="B2143" s="1006" t="s">
        <v>705</v>
      </c>
      <c r="C2143" s="1006"/>
      <c r="D2143" s="1006"/>
      <c r="E2143" s="1006"/>
      <c r="F2143" s="1006"/>
      <c r="G2143" s="1006"/>
      <c r="H2143" s="1006"/>
      <c r="I2143" s="1006"/>
    </row>
    <row r="2144" spans="1:10" ht="15.75" thickBot="1" x14ac:dyDescent="0.3">
      <c r="A2144" s="149"/>
      <c r="B2144" s="1006"/>
      <c r="C2144" s="1006"/>
      <c r="D2144" s="1006"/>
      <c r="E2144" s="1006"/>
      <c r="F2144" s="1006"/>
      <c r="G2144" s="1006"/>
      <c r="H2144" s="1006"/>
      <c r="I2144" s="1006"/>
    </row>
    <row r="2145" spans="1:10" ht="15.75" x14ac:dyDescent="0.25">
      <c r="A2145" s="692" t="s">
        <v>2</v>
      </c>
      <c r="B2145" s="681" t="s">
        <v>600</v>
      </c>
      <c r="C2145" s="681" t="s">
        <v>601</v>
      </c>
      <c r="D2145" s="681" t="s">
        <v>602</v>
      </c>
      <c r="E2145" s="681" t="s">
        <v>603</v>
      </c>
      <c r="F2145" s="681" t="s">
        <v>604</v>
      </c>
      <c r="G2145" s="681" t="s">
        <v>653</v>
      </c>
      <c r="H2145" s="681" t="s">
        <v>272</v>
      </c>
      <c r="I2145" s="617" t="s">
        <v>96</v>
      </c>
      <c r="J2145" s="682" t="s">
        <v>97</v>
      </c>
    </row>
    <row r="2146" spans="1:10" x14ac:dyDescent="0.25">
      <c r="A2146" s="693" t="s">
        <v>11</v>
      </c>
      <c r="B2146" s="56">
        <f>33+17+5</f>
        <v>55</v>
      </c>
      <c r="C2146" s="673">
        <f>39+30+3</f>
        <v>72</v>
      </c>
      <c r="D2146" s="673">
        <f>40+20+3</f>
        <v>63</v>
      </c>
      <c r="E2146" s="738">
        <f>54+34+8</f>
        <v>96</v>
      </c>
      <c r="F2146" s="743">
        <f>96+53+15</f>
        <v>164</v>
      </c>
      <c r="G2146" s="738">
        <f>108+120+28</f>
        <v>256</v>
      </c>
      <c r="H2146" s="738">
        <f>103+84+31</f>
        <v>218</v>
      </c>
      <c r="I2146" s="738">
        <f t="shared" ref="I2146:I2151" si="974">SUM(B2146:H2146)</f>
        <v>924</v>
      </c>
      <c r="J2146" s="683">
        <f>FLORESTA!$I2146/7</f>
        <v>132</v>
      </c>
    </row>
    <row r="2147" spans="1:10" x14ac:dyDescent="0.25">
      <c r="A2147" s="694" t="s">
        <v>12</v>
      </c>
      <c r="B2147" s="689">
        <v>19</v>
      </c>
      <c r="C2147" s="671">
        <v>23</v>
      </c>
      <c r="D2147" s="675">
        <v>18</v>
      </c>
      <c r="E2147" s="734">
        <v>21</v>
      </c>
      <c r="F2147" s="735">
        <v>49</v>
      </c>
      <c r="G2147" s="736">
        <v>68</v>
      </c>
      <c r="H2147" s="734">
        <v>63</v>
      </c>
      <c r="I2147" s="737">
        <f t="shared" si="974"/>
        <v>261</v>
      </c>
      <c r="J2147" s="684">
        <f>FLORESTA!$I2147/7</f>
        <v>37.285714285714285</v>
      </c>
    </row>
    <row r="2148" spans="1:10" x14ac:dyDescent="0.25">
      <c r="A2148" s="694" t="s">
        <v>13</v>
      </c>
      <c r="B2148" s="313">
        <v>0</v>
      </c>
      <c r="C2148" s="13">
        <v>0</v>
      </c>
      <c r="D2148" s="13">
        <v>0</v>
      </c>
      <c r="E2148" s="11">
        <v>2</v>
      </c>
      <c r="F2148" s="125">
        <v>0</v>
      </c>
      <c r="G2148" s="11">
        <v>2</v>
      </c>
      <c r="H2148" s="11">
        <v>2</v>
      </c>
      <c r="I2148" s="313">
        <f t="shared" si="974"/>
        <v>6</v>
      </c>
      <c r="J2148" s="684">
        <f>C2148+D2148+E2148+F2148+G2148+H2148+I2148</f>
        <v>12</v>
      </c>
    </row>
    <row r="2149" spans="1:10" x14ac:dyDescent="0.25">
      <c r="A2149" s="694" t="s">
        <v>14</v>
      </c>
      <c r="B2149" s="313">
        <v>27</v>
      </c>
      <c r="C2149" s="13">
        <v>34</v>
      </c>
      <c r="D2149" s="320">
        <v>31</v>
      </c>
      <c r="E2149" s="11">
        <v>53</v>
      </c>
      <c r="F2149" s="125">
        <v>70</v>
      </c>
      <c r="G2149" s="11">
        <v>118</v>
      </c>
      <c r="H2149" s="11">
        <v>90</v>
      </c>
      <c r="I2149" s="313">
        <f t="shared" si="974"/>
        <v>423</v>
      </c>
      <c r="J2149" s="684">
        <f>FLORESTA!$I2149/7</f>
        <v>60.428571428571431</v>
      </c>
    </row>
    <row r="2150" spans="1:10" x14ac:dyDescent="0.25">
      <c r="A2150" s="694" t="s">
        <v>15</v>
      </c>
      <c r="B2150" s="313">
        <v>2</v>
      </c>
      <c r="C2150" s="13">
        <v>6</v>
      </c>
      <c r="D2150" s="13">
        <v>2</v>
      </c>
      <c r="E2150" s="11">
        <v>3</v>
      </c>
      <c r="F2150" s="125">
        <v>16</v>
      </c>
      <c r="G2150" s="11">
        <v>19</v>
      </c>
      <c r="H2150" s="11">
        <v>14</v>
      </c>
      <c r="I2150" s="313">
        <f t="shared" si="974"/>
        <v>62</v>
      </c>
      <c r="J2150" s="684">
        <f>FLORESTA!$I2150/7</f>
        <v>8.8571428571428577</v>
      </c>
    </row>
    <row r="2151" spans="1:10" x14ac:dyDescent="0.25">
      <c r="A2151" s="694" t="s">
        <v>16</v>
      </c>
      <c r="B2151" s="313">
        <v>0</v>
      </c>
      <c r="C2151" s="13">
        <v>0</v>
      </c>
      <c r="D2151" s="13">
        <v>0</v>
      </c>
      <c r="E2151" s="11">
        <v>0</v>
      </c>
      <c r="F2151" s="125">
        <v>0</v>
      </c>
      <c r="G2151" s="11">
        <v>0</v>
      </c>
      <c r="H2151" s="11">
        <v>0</v>
      </c>
      <c r="I2151" s="313">
        <f t="shared" si="974"/>
        <v>0</v>
      </c>
      <c r="J2151" s="684">
        <f>FLORESTA!$I2151/7</f>
        <v>0</v>
      </c>
    </row>
    <row r="2152" spans="1:10" x14ac:dyDescent="0.25">
      <c r="A2152" s="695" t="s">
        <v>17</v>
      </c>
      <c r="B2152" s="15">
        <f t="shared" ref="B2152:I2152" si="975">SUM(B2147:B2151)</f>
        <v>48</v>
      </c>
      <c r="C2152" s="79">
        <f t="shared" si="975"/>
        <v>63</v>
      </c>
      <c r="D2152" s="79">
        <f t="shared" si="975"/>
        <v>51</v>
      </c>
      <c r="E2152" s="103">
        <f t="shared" si="975"/>
        <v>79</v>
      </c>
      <c r="F2152" s="213">
        <f t="shared" si="975"/>
        <v>135</v>
      </c>
      <c r="G2152" s="103">
        <f t="shared" si="975"/>
        <v>207</v>
      </c>
      <c r="H2152" s="103">
        <f t="shared" si="975"/>
        <v>169</v>
      </c>
      <c r="I2152" s="103">
        <f t="shared" si="975"/>
        <v>752</v>
      </c>
      <c r="J2152" s="625">
        <f>FLORESTA!$I2152/7</f>
        <v>107.42857142857143</v>
      </c>
    </row>
    <row r="2153" spans="1:10" x14ac:dyDescent="0.25">
      <c r="A2153" s="694" t="s">
        <v>18</v>
      </c>
      <c r="B2153" s="690">
        <v>0.39</v>
      </c>
      <c r="C2153" s="326">
        <v>0.38</v>
      </c>
      <c r="D2153" s="326">
        <v>0.38</v>
      </c>
      <c r="E2153" s="327">
        <v>0.28999999999999998</v>
      </c>
      <c r="F2153" s="328">
        <v>0.4</v>
      </c>
      <c r="G2153" s="327">
        <v>0.36</v>
      </c>
      <c r="H2153" s="327">
        <v>0.38</v>
      </c>
      <c r="I2153" s="18">
        <f>I2160/I2165</f>
        <v>0.36891969699252997</v>
      </c>
      <c r="J2153" s="626">
        <f>J2160/J2165</f>
        <v>0.36891969699252997</v>
      </c>
    </row>
    <row r="2154" spans="1:10" x14ac:dyDescent="0.25">
      <c r="A2154" s="694" t="s">
        <v>19</v>
      </c>
      <c r="B2154" s="690">
        <v>0</v>
      </c>
      <c r="C2154" s="326">
        <v>0</v>
      </c>
      <c r="D2154" s="326">
        <v>0</v>
      </c>
      <c r="E2154" s="327">
        <v>0.08</v>
      </c>
      <c r="F2154" s="327">
        <v>0</v>
      </c>
      <c r="G2154" s="327">
        <v>0.01</v>
      </c>
      <c r="H2154" s="327">
        <v>0.02</v>
      </c>
      <c r="I2154" s="18">
        <f>I2161/I2165</f>
        <v>1.6046697783188728E-2</v>
      </c>
      <c r="J2154" s="626">
        <f>J2161/J2165</f>
        <v>1.6046697783188728E-2</v>
      </c>
    </row>
    <row r="2155" spans="1:10" x14ac:dyDescent="0.25">
      <c r="A2155" s="694" t="s">
        <v>20</v>
      </c>
      <c r="B2155" s="690">
        <v>0.57999999999999996</v>
      </c>
      <c r="C2155" s="326">
        <v>0.53</v>
      </c>
      <c r="D2155" s="326">
        <v>0.59</v>
      </c>
      <c r="E2155" s="327">
        <v>0.6</v>
      </c>
      <c r="F2155" s="329">
        <v>0.49</v>
      </c>
      <c r="G2155" s="327">
        <v>0.53</v>
      </c>
      <c r="H2155" s="327">
        <v>0.49</v>
      </c>
      <c r="I2155" s="18">
        <f>I2162/I2165</f>
        <v>0.52705013286524915</v>
      </c>
      <c r="J2155" s="626">
        <f>J2162/J2165</f>
        <v>0.52705013286524915</v>
      </c>
    </row>
    <row r="2156" spans="1:10" x14ac:dyDescent="0.25">
      <c r="A2156" s="694" t="s">
        <v>21</v>
      </c>
      <c r="B2156" s="690">
        <v>0.03</v>
      </c>
      <c r="C2156" s="326">
        <v>0.09</v>
      </c>
      <c r="D2156" s="326">
        <v>0.03</v>
      </c>
      <c r="E2156" s="327">
        <v>0.03</v>
      </c>
      <c r="F2156" s="329">
        <v>0.11</v>
      </c>
      <c r="G2156" s="327">
        <v>0.1</v>
      </c>
      <c r="H2156" s="327">
        <v>0.11</v>
      </c>
      <c r="I2156" s="18">
        <f>I2163/I2165</f>
        <v>8.7983472359032103E-2</v>
      </c>
      <c r="J2156" s="626">
        <f>J2163/J2165</f>
        <v>8.7983472359032103E-2</v>
      </c>
    </row>
    <row r="2157" spans="1:10" x14ac:dyDescent="0.25">
      <c r="A2157" s="694" t="s">
        <v>22</v>
      </c>
      <c r="B2157" s="690">
        <v>0</v>
      </c>
      <c r="C2157" s="326">
        <v>0</v>
      </c>
      <c r="D2157" s="326">
        <v>0</v>
      </c>
      <c r="E2157" s="327">
        <v>0</v>
      </c>
      <c r="F2157" s="329">
        <v>0</v>
      </c>
      <c r="G2157" s="327">
        <v>0</v>
      </c>
      <c r="H2157" s="327">
        <v>0</v>
      </c>
      <c r="I2157" s="18">
        <f>I2164/I2165</f>
        <v>0</v>
      </c>
      <c r="J2157" s="626">
        <f>J2164/J2165</f>
        <v>0</v>
      </c>
    </row>
    <row r="2158" spans="1:10" x14ac:dyDescent="0.25">
      <c r="A2158" s="696" t="s">
        <v>23</v>
      </c>
      <c r="B2158" s="314">
        <f t="shared" ref="B2158:J2158" si="976">B2169/B2152</f>
        <v>29768.750000000004</v>
      </c>
      <c r="C2158" s="131">
        <f t="shared" si="976"/>
        <v>32360.317460317463</v>
      </c>
      <c r="D2158" s="131">
        <f t="shared" si="976"/>
        <v>32494.117647058825</v>
      </c>
      <c r="E2158" s="130">
        <f t="shared" si="976"/>
        <v>34305.063291139239</v>
      </c>
      <c r="F2158" s="132">
        <f t="shared" si="976"/>
        <v>33549.629629629628</v>
      </c>
      <c r="G2158" s="130">
        <f t="shared" si="976"/>
        <v>36320.289855072471</v>
      </c>
      <c r="H2158" s="130">
        <f t="shared" si="976"/>
        <v>38114.79289940829</v>
      </c>
      <c r="I2158" s="314">
        <f t="shared" si="976"/>
        <v>35005.053191489365</v>
      </c>
      <c r="J2158" s="685">
        <f t="shared" si="976"/>
        <v>35005.053191489365</v>
      </c>
    </row>
    <row r="2159" spans="1:10" x14ac:dyDescent="0.25">
      <c r="A2159" s="696" t="s">
        <v>24</v>
      </c>
      <c r="B2159" s="314">
        <f t="shared" ref="B2159:J2159" si="977">B2169/B2146</f>
        <v>25980.000000000004</v>
      </c>
      <c r="C2159" s="131">
        <f t="shared" si="977"/>
        <v>28315.277777777781</v>
      </c>
      <c r="D2159" s="131">
        <f t="shared" si="977"/>
        <v>26304.761904761905</v>
      </c>
      <c r="E2159" s="130">
        <f t="shared" si="977"/>
        <v>28230.208333333332</v>
      </c>
      <c r="F2159" s="132">
        <f t="shared" si="977"/>
        <v>27617.073170731706</v>
      </c>
      <c r="G2159" s="130">
        <f t="shared" si="977"/>
        <v>29368.359375000004</v>
      </c>
      <c r="H2159" s="130">
        <f t="shared" si="977"/>
        <v>29547.706422018353</v>
      </c>
      <c r="I2159" s="314">
        <f t="shared" si="977"/>
        <v>28488.961038961043</v>
      </c>
      <c r="J2159" s="685">
        <f t="shared" si="977"/>
        <v>28488.961038961043</v>
      </c>
    </row>
    <row r="2160" spans="1:10" x14ac:dyDescent="0.25">
      <c r="A2160" s="694" t="s">
        <v>25</v>
      </c>
      <c r="B2160" s="300">
        <f t="shared" ref="B2160:H2160" si="978">B2165*B2153</f>
        <v>462518.29448275868</v>
      </c>
      <c r="C2160" s="133">
        <f t="shared" si="978"/>
        <v>646751.64000000013</v>
      </c>
      <c r="D2160" s="133">
        <f t="shared" si="978"/>
        <v>526364.10206896556</v>
      </c>
      <c r="E2160" s="92">
        <f t="shared" si="978"/>
        <v>662823.74</v>
      </c>
      <c r="F2160" s="134">
        <f t="shared" si="978"/>
        <v>1514478.703448276</v>
      </c>
      <c r="G2160" s="92">
        <f t="shared" si="978"/>
        <v>2274170.7972413795</v>
      </c>
      <c r="H2160" s="92">
        <f t="shared" si="978"/>
        <v>2052322.6331034487</v>
      </c>
      <c r="I2160" s="92">
        <f>FLORESTA!$B2160+FLORESTA!$C2160+FLORESTA!$D2160+FLORESTA!$E2160+FLORESTA!$F2160+FLORESTA!$G2160+FLORESTA!$H2160</f>
        <v>8139429.9103448289</v>
      </c>
      <c r="J2160" s="629">
        <f>FLORESTA!$I2160/7</f>
        <v>1162775.7014778326</v>
      </c>
    </row>
    <row r="2161" spans="1:80" x14ac:dyDescent="0.25">
      <c r="A2161" s="694" t="s">
        <v>26</v>
      </c>
      <c r="B2161" s="300">
        <f t="shared" ref="B2161:H2161" si="979">B2165*B2154</f>
        <v>0</v>
      </c>
      <c r="C2161" s="133">
        <f t="shared" si="979"/>
        <v>0</v>
      </c>
      <c r="D2161" s="133">
        <f t="shared" si="979"/>
        <v>0</v>
      </c>
      <c r="E2161" s="92">
        <f t="shared" si="979"/>
        <v>182847.92827586207</v>
      </c>
      <c r="F2161" s="134">
        <f t="shared" si="979"/>
        <v>0</v>
      </c>
      <c r="G2161" s="92">
        <f t="shared" si="979"/>
        <v>63171.411034482764</v>
      </c>
      <c r="H2161" s="92">
        <f t="shared" si="979"/>
        <v>108016.98068965519</v>
      </c>
      <c r="I2161" s="92">
        <f>FLORESTA!$B2161+FLORESTA!$C2161+FLORESTA!$D2161+FLORESTA!$E2161+FLORESTA!$F2161+FLORESTA!$G2161+FLORESTA!$H2161</f>
        <v>354036.32</v>
      </c>
      <c r="J2161" s="629">
        <f>FLORESTA!$I2161/7</f>
        <v>50576.617142857147</v>
      </c>
    </row>
    <row r="2162" spans="1:80" x14ac:dyDescent="0.25">
      <c r="A2162" s="694" t="s">
        <v>27</v>
      </c>
      <c r="B2162" s="300">
        <f t="shared" ref="B2162:H2162" si="980">B2165*B2155</f>
        <v>687847.72</v>
      </c>
      <c r="C2162" s="133">
        <f t="shared" si="980"/>
        <v>902048.3400000002</v>
      </c>
      <c r="D2162" s="133">
        <f t="shared" si="980"/>
        <v>817249.52689655172</v>
      </c>
      <c r="E2162" s="92">
        <f t="shared" si="980"/>
        <v>1371359.4620689654</v>
      </c>
      <c r="F2162" s="134">
        <f t="shared" si="980"/>
        <v>1855236.4117241381</v>
      </c>
      <c r="G2162" s="92">
        <f t="shared" si="980"/>
        <v>3348084.7848275867</v>
      </c>
      <c r="H2162" s="92">
        <f t="shared" si="980"/>
        <v>2646416.0268965522</v>
      </c>
      <c r="I2162" s="92">
        <f>FLORESTA!$B2162+FLORESTA!$C2162+FLORESTA!$D2162+FLORESTA!$E2162+FLORESTA!$F2162+FLORESTA!$G2162+FLORESTA!$H2162</f>
        <v>11628242.272413794</v>
      </c>
      <c r="J2162" s="629">
        <f>FLORESTA!$I2162/7</f>
        <v>1661177.4674876849</v>
      </c>
    </row>
    <row r="2163" spans="1:80" x14ac:dyDescent="0.25">
      <c r="A2163" s="694" t="s">
        <v>28</v>
      </c>
      <c r="B2163" s="300">
        <f t="shared" ref="B2163:H2163" si="981">B2165*B2156</f>
        <v>35578.330344827591</v>
      </c>
      <c r="C2163" s="133">
        <f t="shared" si="981"/>
        <v>153178.02000000002</v>
      </c>
      <c r="D2163" s="133">
        <f t="shared" si="981"/>
        <v>41555.060689655169</v>
      </c>
      <c r="E2163" s="92">
        <f t="shared" si="981"/>
        <v>68567.973103448283</v>
      </c>
      <c r="F2163" s="134">
        <f t="shared" si="981"/>
        <v>416481.64344827592</v>
      </c>
      <c r="G2163" s="92">
        <f t="shared" si="981"/>
        <v>631714.11034482764</v>
      </c>
      <c r="H2163" s="92">
        <f t="shared" si="981"/>
        <v>594093.39379310352</v>
      </c>
      <c r="I2163" s="92">
        <f>FLORESTA!$B2163+FLORESTA!$C2163+FLORESTA!$D2163+FLORESTA!$E2163+FLORESTA!$F2163+FLORESTA!$G2163+FLORESTA!$H2163</f>
        <v>1941168.5317241382</v>
      </c>
      <c r="J2163" s="629">
        <f>FLORESTA!$I2163/7</f>
        <v>277309.79024630546</v>
      </c>
    </row>
    <row r="2164" spans="1:80" x14ac:dyDescent="0.25">
      <c r="A2164" s="694" t="s">
        <v>29</v>
      </c>
      <c r="B2164" s="300">
        <f t="shared" ref="B2164:H2164" si="982">B2165*B2157</f>
        <v>0</v>
      </c>
      <c r="C2164" s="133">
        <f t="shared" si="982"/>
        <v>0</v>
      </c>
      <c r="D2164" s="133">
        <f t="shared" si="982"/>
        <v>0</v>
      </c>
      <c r="E2164" s="92">
        <f t="shared" si="982"/>
        <v>0</v>
      </c>
      <c r="F2164" s="134">
        <f t="shared" si="982"/>
        <v>0</v>
      </c>
      <c r="G2164" s="92">
        <f t="shared" si="982"/>
        <v>0</v>
      </c>
      <c r="H2164" s="92">
        <f t="shared" si="982"/>
        <v>0</v>
      </c>
      <c r="I2164" s="92">
        <f>FLORESTA!$B2164+FLORESTA!$C2164+FLORESTA!$D2164+FLORESTA!$E2164+FLORESTA!$F2164+FLORESTA!$G2164+FLORESTA!$H2164</f>
        <v>0</v>
      </c>
      <c r="J2164" s="629">
        <f>FLORESTA!$I2164/7</f>
        <v>0</v>
      </c>
    </row>
    <row r="2165" spans="1:80" x14ac:dyDescent="0.25">
      <c r="A2165" s="697" t="s">
        <v>30</v>
      </c>
      <c r="B2165" s="691">
        <f>(1428900/1.16)-B2166</f>
        <v>1185944.3448275863</v>
      </c>
      <c r="C2165" s="691">
        <f>(2038700/1.16)-C2166</f>
        <v>1701978.0000000002</v>
      </c>
      <c r="D2165" s="691">
        <f>(1657200/1.16)-D2166</f>
        <v>1385168.6896551724</v>
      </c>
      <c r="E2165" s="691">
        <f>(2710100/1.16)-E2166</f>
        <v>2285599.1034482759</v>
      </c>
      <c r="F2165" s="691">
        <f>(4529200/1.16)-F2166</f>
        <v>3786196.7586206901</v>
      </c>
      <c r="G2165" s="691">
        <f>(7518300/1.16)-G2166</f>
        <v>6317141.1034482764</v>
      </c>
      <c r="H2165" s="691">
        <f>(6441400/1.16)-H2166</f>
        <v>5400849.0344827594</v>
      </c>
      <c r="I2165" s="91">
        <f>SUM(I2160:I2164)</f>
        <v>22062877.034482762</v>
      </c>
      <c r="J2165" s="631">
        <f>FLORESTA!$I2165/7</f>
        <v>3151839.5763546801</v>
      </c>
    </row>
    <row r="2166" spans="1:80" x14ac:dyDescent="0.25">
      <c r="A2166" s="694" t="s">
        <v>31</v>
      </c>
      <c r="B2166" s="302">
        <f t="shared" ref="B2166:I2166" si="983">2414*B2147</f>
        <v>45866</v>
      </c>
      <c r="C2166" s="139">
        <f t="shared" si="983"/>
        <v>55522</v>
      </c>
      <c r="D2166" s="139">
        <f t="shared" si="983"/>
        <v>43452</v>
      </c>
      <c r="E2166" s="139">
        <f t="shared" si="983"/>
        <v>50694</v>
      </c>
      <c r="F2166" s="139">
        <f t="shared" si="983"/>
        <v>118286</v>
      </c>
      <c r="G2166" s="139">
        <f t="shared" si="983"/>
        <v>164152</v>
      </c>
      <c r="H2166" s="139">
        <f t="shared" si="983"/>
        <v>152082</v>
      </c>
      <c r="I2166" s="94">
        <f t="shared" si="983"/>
        <v>630054</v>
      </c>
      <c r="J2166" s="632">
        <f>2414*J2147</f>
        <v>90007.71428571429</v>
      </c>
    </row>
    <row r="2167" spans="1:80" x14ac:dyDescent="0.25">
      <c r="A2167" s="698" t="s">
        <v>32</v>
      </c>
      <c r="B2167" s="364">
        <f t="shared" ref="B2167:H2167" si="984">B2165+B2166</f>
        <v>1231810.3448275863</v>
      </c>
      <c r="C2167" s="40">
        <f t="shared" si="984"/>
        <v>1757500.0000000002</v>
      </c>
      <c r="D2167" s="40">
        <f t="shared" si="984"/>
        <v>1428620.6896551724</v>
      </c>
      <c r="E2167" s="39">
        <f t="shared" si="984"/>
        <v>2336293.1034482759</v>
      </c>
      <c r="F2167" s="140">
        <f t="shared" si="984"/>
        <v>3904482.7586206901</v>
      </c>
      <c r="G2167" s="39">
        <f t="shared" si="984"/>
        <v>6481293.1034482764</v>
      </c>
      <c r="H2167" s="39">
        <f t="shared" si="984"/>
        <v>5552931.0344827594</v>
      </c>
      <c r="I2167" s="39">
        <f>I2165+I2166</f>
        <v>22692931.034482762</v>
      </c>
      <c r="J2167" s="634">
        <f>J2165+J2166</f>
        <v>3241847.2906403942</v>
      </c>
    </row>
    <row r="2168" spans="1:80" x14ac:dyDescent="0.25">
      <c r="A2168" s="694" t="s">
        <v>33</v>
      </c>
      <c r="B2168" s="415">
        <f t="shared" ref="B2168:H2168" si="985">B2167*16%</f>
        <v>197089.65517241383</v>
      </c>
      <c r="C2168" s="42">
        <f t="shared" si="985"/>
        <v>281200.00000000006</v>
      </c>
      <c r="D2168" s="42">
        <f t="shared" si="985"/>
        <v>228579.31034482759</v>
      </c>
      <c r="E2168" s="41">
        <f t="shared" si="985"/>
        <v>373806.89655172417</v>
      </c>
      <c r="F2168" s="141">
        <f t="shared" si="985"/>
        <v>624717.24137931038</v>
      </c>
      <c r="G2168" s="41">
        <f t="shared" si="985"/>
        <v>1037006.8965517243</v>
      </c>
      <c r="H2168" s="41">
        <f t="shared" si="985"/>
        <v>888468.96551724151</v>
      </c>
      <c r="I2168" s="41">
        <f>I2167*16%</f>
        <v>3630868.965517242</v>
      </c>
      <c r="J2168" s="635">
        <f>J2167*16%</f>
        <v>518695.56650246307</v>
      </c>
    </row>
    <row r="2169" spans="1:80" ht="15.75" thickBot="1" x14ac:dyDescent="0.3">
      <c r="A2169" s="699" t="s">
        <v>34</v>
      </c>
      <c r="B2169" s="687">
        <f t="shared" ref="B2169:H2169" si="986">B2167+B2168</f>
        <v>1428900.0000000002</v>
      </c>
      <c r="C2169" s="638">
        <f t="shared" si="986"/>
        <v>2038700.0000000002</v>
      </c>
      <c r="D2169" s="638">
        <f t="shared" si="986"/>
        <v>1657200</v>
      </c>
      <c r="E2169" s="686">
        <f t="shared" si="986"/>
        <v>2710100</v>
      </c>
      <c r="F2169" s="687">
        <f t="shared" si="986"/>
        <v>4529200</v>
      </c>
      <c r="G2169" s="686">
        <f t="shared" si="986"/>
        <v>7518300.0000000009</v>
      </c>
      <c r="H2169" s="686">
        <f t="shared" si="986"/>
        <v>6441400.0000000009</v>
      </c>
      <c r="I2169" s="686">
        <f>I2167+I2168</f>
        <v>26323800.000000004</v>
      </c>
      <c r="J2169" s="639">
        <f>FLORESTA!$I2169/7</f>
        <v>3760542.8571428577</v>
      </c>
    </row>
    <row r="2170" spans="1:80" ht="15.75" thickBot="1" x14ac:dyDescent="0.3"/>
    <row r="2171" spans="1:80" ht="26.25" x14ac:dyDescent="0.25">
      <c r="A2171" t="s">
        <v>664</v>
      </c>
      <c r="B2171" s="1002" t="s">
        <v>401</v>
      </c>
      <c r="C2171" s="1002"/>
      <c r="D2171" s="1002"/>
      <c r="E2171" s="1002"/>
      <c r="F2171" s="1002"/>
      <c r="G2171" s="1002"/>
      <c r="H2171" s="1002"/>
      <c r="K2171" s="89"/>
    </row>
    <row r="2172" spans="1:80" ht="15.75" x14ac:dyDescent="0.25">
      <c r="A2172" s="187" t="s">
        <v>2</v>
      </c>
      <c r="B2172" s="50" t="s">
        <v>353</v>
      </c>
      <c r="C2172" s="50" t="s">
        <v>354</v>
      </c>
      <c r="D2172" s="50" t="s">
        <v>355</v>
      </c>
      <c r="E2172" s="50" t="s">
        <v>356</v>
      </c>
      <c r="F2172" s="50" t="s">
        <v>357</v>
      </c>
      <c r="G2172" s="50" t="s">
        <v>69</v>
      </c>
      <c r="H2172" s="50" t="s">
        <v>358</v>
      </c>
      <c r="I2172" s="50" t="s">
        <v>359</v>
      </c>
      <c r="J2172" s="50" t="s">
        <v>98</v>
      </c>
      <c r="K2172" s="50" t="s">
        <v>106</v>
      </c>
      <c r="L2172" s="50" t="s">
        <v>114</v>
      </c>
      <c r="M2172" s="50" t="s">
        <v>122</v>
      </c>
      <c r="N2172" s="50" t="s">
        <v>130</v>
      </c>
      <c r="O2172" s="50" t="s">
        <v>138</v>
      </c>
      <c r="P2172" s="50" t="s">
        <v>146</v>
      </c>
      <c r="Q2172" s="50" t="s">
        <v>154</v>
      </c>
      <c r="R2172" s="50" t="s">
        <v>162</v>
      </c>
      <c r="S2172" s="50" t="s">
        <v>166</v>
      </c>
      <c r="T2172" s="50" t="s">
        <v>169</v>
      </c>
      <c r="U2172" s="50" t="s">
        <v>360</v>
      </c>
      <c r="V2172" s="50" t="s">
        <v>361</v>
      </c>
      <c r="W2172" s="50" t="s">
        <v>362</v>
      </c>
      <c r="X2172" s="50" t="s">
        <v>363</v>
      </c>
      <c r="Y2172" s="50" t="s">
        <v>364</v>
      </c>
      <c r="Z2172" s="50" t="s">
        <v>365</v>
      </c>
      <c r="AA2172" s="50" t="s">
        <v>366</v>
      </c>
      <c r="AB2172" s="50" t="s">
        <v>367</v>
      </c>
      <c r="AC2172" s="50" t="s">
        <v>368</v>
      </c>
      <c r="AD2172" s="50" t="s">
        <v>369</v>
      </c>
      <c r="AE2172" s="50" t="s">
        <v>370</v>
      </c>
      <c r="AF2172" s="50" t="s">
        <v>371</v>
      </c>
      <c r="AG2172" s="50" t="s">
        <v>372</v>
      </c>
      <c r="AH2172" s="50" t="s">
        <v>373</v>
      </c>
      <c r="AI2172" s="50" t="s">
        <v>374</v>
      </c>
      <c r="AJ2172" s="50" t="s">
        <v>375</v>
      </c>
      <c r="AK2172" s="50" t="s">
        <v>376</v>
      </c>
      <c r="AL2172" s="50" t="s">
        <v>377</v>
      </c>
      <c r="AM2172" s="50" t="s">
        <v>378</v>
      </c>
      <c r="AN2172" s="50" t="s">
        <v>379</v>
      </c>
      <c r="AO2172" s="50" t="s">
        <v>380</v>
      </c>
      <c r="AP2172" s="50" t="s">
        <v>381</v>
      </c>
      <c r="AQ2172" s="50" t="s">
        <v>382</v>
      </c>
      <c r="AR2172" s="50" t="s">
        <v>383</v>
      </c>
      <c r="AS2172" s="50" t="s">
        <v>384</v>
      </c>
      <c r="AT2172" s="50" t="s">
        <v>385</v>
      </c>
      <c r="AU2172" s="50" t="s">
        <v>386</v>
      </c>
      <c r="AV2172" s="50" t="s">
        <v>387</v>
      </c>
      <c r="AW2172" s="50" t="s">
        <v>388</v>
      </c>
      <c r="AX2172" s="50" t="s">
        <v>389</v>
      </c>
      <c r="AY2172" s="50" t="s">
        <v>390</v>
      </c>
      <c r="AZ2172" s="50" t="s">
        <v>391</v>
      </c>
      <c r="BA2172" s="50" t="s">
        <v>392</v>
      </c>
      <c r="BB2172" s="50" t="s">
        <v>393</v>
      </c>
      <c r="BC2172" s="50" t="s">
        <v>394</v>
      </c>
      <c r="BD2172" s="50" t="s">
        <v>395</v>
      </c>
      <c r="BE2172" s="50" t="s">
        <v>396</v>
      </c>
      <c r="BF2172" s="50" t="s">
        <v>397</v>
      </c>
      <c r="BG2172" s="50" t="s">
        <v>398</v>
      </c>
      <c r="BH2172" s="50" t="s">
        <v>399</v>
      </c>
      <c r="BI2172" s="50" t="s">
        <v>607</v>
      </c>
      <c r="BJ2172" s="50" t="s">
        <v>618</v>
      </c>
      <c r="BK2172" s="50" t="s">
        <v>620</v>
      </c>
      <c r="BL2172" s="50" t="s">
        <v>624</v>
      </c>
      <c r="BM2172" s="50" t="s">
        <v>627</v>
      </c>
      <c r="BN2172" s="50" t="s">
        <v>631</v>
      </c>
      <c r="BO2172" s="50" t="s">
        <v>634</v>
      </c>
      <c r="BP2172" s="50" t="s">
        <v>637</v>
      </c>
      <c r="BQ2172" s="50" t="s">
        <v>640</v>
      </c>
      <c r="BR2172" s="50" t="s">
        <v>643</v>
      </c>
      <c r="BS2172" s="50" t="s">
        <v>646</v>
      </c>
      <c r="BT2172" s="50" t="s">
        <v>649</v>
      </c>
      <c r="BU2172" s="50" t="s">
        <v>652</v>
      </c>
      <c r="BV2172" s="50" t="s">
        <v>656</v>
      </c>
      <c r="BW2172" s="50" t="s">
        <v>660</v>
      </c>
      <c r="BX2172" s="50" t="s">
        <v>663</v>
      </c>
      <c r="BY2172" s="50" t="s">
        <v>667</v>
      </c>
      <c r="BZ2172" s="50" t="s">
        <v>670</v>
      </c>
      <c r="CA2172" s="50" t="s">
        <v>96</v>
      </c>
      <c r="CB2172" s="52" t="s">
        <v>409</v>
      </c>
    </row>
    <row r="2173" spans="1:80" x14ac:dyDescent="0.25">
      <c r="A2173" s="332" t="s">
        <v>11</v>
      </c>
      <c r="B2173" s="333">
        <v>630</v>
      </c>
      <c r="C2173" s="56">
        <f t="shared" ref="C2173:C2196" si="987">I32</f>
        <v>746</v>
      </c>
      <c r="D2173" s="333">
        <f t="shared" ref="D2173:D2196" si="988">I60</f>
        <v>884</v>
      </c>
      <c r="E2173" s="333">
        <f t="shared" ref="E2173:E2196" si="989">I88</f>
        <v>1089</v>
      </c>
      <c r="F2173" s="334">
        <f t="shared" ref="F2173:F2184" si="990">I116</f>
        <v>970</v>
      </c>
      <c r="G2173" s="334">
        <f t="shared" ref="G2173:G2196" si="991">I145</f>
        <v>1079</v>
      </c>
      <c r="H2173" s="334">
        <f t="shared" ref="H2173:H2196" si="992">I174</f>
        <v>1005</v>
      </c>
      <c r="I2173" s="317">
        <f t="shared" ref="I2173:I2196" si="993">I202</f>
        <v>1142</v>
      </c>
      <c r="J2173" s="317">
        <f t="shared" ref="J2173:J2196" si="994">I230</f>
        <v>1190</v>
      </c>
      <c r="K2173" s="317">
        <f t="shared" ref="K2173:K2196" si="995">I260</f>
        <v>1141</v>
      </c>
      <c r="L2173" s="335">
        <f t="shared" ref="L2173:L2196" si="996">I289</f>
        <v>1067</v>
      </c>
      <c r="M2173" s="335">
        <f t="shared" ref="M2173:M2196" si="997">I318</f>
        <v>1037</v>
      </c>
      <c r="N2173" s="335">
        <f t="shared" ref="N2173:N2196" si="998">I346</f>
        <v>1128</v>
      </c>
      <c r="O2173" s="335">
        <f t="shared" ref="O2173:O2196" si="999">I374</f>
        <v>1338</v>
      </c>
      <c r="P2173" s="335">
        <f t="shared" ref="P2173:P2196" si="1000">I403</f>
        <v>1175</v>
      </c>
      <c r="Q2173" s="335">
        <f t="shared" ref="Q2173:Q2196" si="1001">I432</f>
        <v>1185</v>
      </c>
      <c r="R2173" s="335">
        <f t="shared" ref="R2173:R2196" si="1002">I461</f>
        <v>1093</v>
      </c>
      <c r="S2173" s="335">
        <f t="shared" ref="S2173:S2196" si="1003">I490</f>
        <v>1025</v>
      </c>
      <c r="T2173" s="335">
        <f t="shared" ref="T2173:T2196" si="1004">I519</f>
        <v>1103</v>
      </c>
      <c r="U2173" s="335">
        <f t="shared" ref="U2173:U2196" si="1005">+I547</f>
        <v>1101</v>
      </c>
      <c r="V2173" s="335">
        <f t="shared" ref="V2173:V2196" si="1006">+I575</f>
        <v>1155</v>
      </c>
      <c r="W2173" s="335">
        <f t="shared" ref="W2173:W2196" si="1007">+I603</f>
        <v>1154</v>
      </c>
      <c r="X2173" s="335">
        <f t="shared" ref="X2173:X2196" si="1008">+I632</f>
        <v>1133</v>
      </c>
      <c r="Y2173" s="335">
        <f t="shared" ref="Y2173:Y2196" si="1009">+I661</f>
        <v>1380</v>
      </c>
      <c r="Z2173" s="335">
        <f t="shared" ref="Z2173:Z2196" si="1010">+I690</f>
        <v>1290</v>
      </c>
      <c r="AA2173" s="335">
        <f t="shared" ref="AA2173:AA2196" si="1011">+I718</f>
        <v>1279</v>
      </c>
      <c r="AB2173" s="335">
        <f t="shared" ref="AB2173:AB2196" si="1012">+I746</f>
        <v>1379</v>
      </c>
      <c r="AC2173" s="335">
        <f t="shared" ref="AC2173:AC2196" si="1013">+I774</f>
        <v>1512</v>
      </c>
      <c r="AD2173" s="335">
        <f t="shared" ref="AD2173:AD2196" si="1014">+I802</f>
        <v>1426</v>
      </c>
      <c r="AE2173" s="335">
        <f t="shared" ref="AE2173:AE2196" si="1015">+I830</f>
        <v>1408</v>
      </c>
      <c r="AF2173" s="335">
        <f t="shared" ref="AF2173:AF2196" si="1016">+I858</f>
        <v>1437</v>
      </c>
      <c r="AG2173" s="335">
        <f t="shared" ref="AG2173:AG2196" si="1017">+I886</f>
        <v>1415</v>
      </c>
      <c r="AH2173" s="335">
        <f t="shared" ref="AH2173:AH2196" si="1018">+I914</f>
        <v>1443</v>
      </c>
      <c r="AI2173" s="335">
        <f t="shared" ref="AI2173:AI2196" si="1019">+I942</f>
        <v>1431</v>
      </c>
      <c r="AJ2173" s="335">
        <f t="shared" ref="AJ2173:AJ2196" si="1020">+I970</f>
        <v>1453</v>
      </c>
      <c r="AK2173" s="335">
        <f t="shared" ref="AK2173:AK2196" si="1021">+I998</f>
        <v>1475</v>
      </c>
      <c r="AL2173" s="335">
        <f t="shared" ref="AL2173:AL2196" si="1022">+I1026</f>
        <v>1238</v>
      </c>
      <c r="AM2173" s="335">
        <f t="shared" ref="AM2173:AM2196" si="1023">+I1054</f>
        <v>1472</v>
      </c>
      <c r="AN2173" s="335">
        <f t="shared" ref="AN2173:AN2196" si="1024">+I1082</f>
        <v>1475</v>
      </c>
      <c r="AO2173" s="335">
        <f t="shared" ref="AO2173:AO2196" si="1025">+I1110</f>
        <v>1299</v>
      </c>
      <c r="AP2173" s="335">
        <f t="shared" ref="AP2173:AP2196" si="1026">+I1138</f>
        <v>1378</v>
      </c>
      <c r="AQ2173" s="335">
        <f t="shared" ref="AQ2173:AQ2196" si="1027">+I1166</f>
        <v>1313</v>
      </c>
      <c r="AR2173" s="335">
        <f t="shared" ref="AR2173:AR2196" si="1028">+I1194</f>
        <v>1251</v>
      </c>
      <c r="AS2173" s="335">
        <f t="shared" ref="AS2173:AS2196" si="1029">+I1222</f>
        <v>1119</v>
      </c>
      <c r="AT2173" s="335">
        <f t="shared" ref="AT2173:AT2196" si="1030">+I1250</f>
        <v>1209</v>
      </c>
      <c r="AU2173" s="335">
        <f t="shared" ref="AU2173:AU2196" si="1031">+I1278</f>
        <v>1080</v>
      </c>
      <c r="AV2173" s="335">
        <f t="shared" ref="AV2173:AV2196" si="1032">+I1306</f>
        <v>1150</v>
      </c>
      <c r="AW2173" s="335">
        <f t="shared" ref="AW2173:AW2196" si="1033">+I1334</f>
        <v>978</v>
      </c>
      <c r="AX2173" s="335">
        <f t="shared" ref="AX2173:AX2196" si="1034">+I1362</f>
        <v>1112</v>
      </c>
      <c r="AY2173" s="335">
        <f>+I1390</f>
        <v>1110</v>
      </c>
      <c r="AZ2173" s="335">
        <f>+I1418</f>
        <v>1143</v>
      </c>
      <c r="BA2173" s="335">
        <f>+I1446</f>
        <v>1114</v>
      </c>
      <c r="BB2173" s="335">
        <f>+I1474</f>
        <v>1123</v>
      </c>
      <c r="BC2173" s="335">
        <f>+I1502</f>
        <v>1066</v>
      </c>
      <c r="BD2173" s="335">
        <f>+I1530</f>
        <v>1132</v>
      </c>
      <c r="BE2173" s="335">
        <f>+I1558</f>
        <v>1067</v>
      </c>
      <c r="BF2173" s="335">
        <f>+I1586</f>
        <v>1219</v>
      </c>
      <c r="BG2173" s="335">
        <f>+I1614</f>
        <v>1201</v>
      </c>
      <c r="BH2173" s="335">
        <f>+I1642</f>
        <v>1122</v>
      </c>
      <c r="BI2173" s="335">
        <f>+I1670</f>
        <v>1205</v>
      </c>
      <c r="BJ2173" s="335">
        <f>+I1698</f>
        <v>1307</v>
      </c>
      <c r="BK2173" s="335">
        <f>+I1726</f>
        <v>1116</v>
      </c>
      <c r="BL2173" s="335">
        <f>+I1754</f>
        <v>1094</v>
      </c>
      <c r="BM2173" s="335">
        <f>+I1782</f>
        <v>1074</v>
      </c>
      <c r="BN2173" s="335">
        <f>+I1810</f>
        <v>1122</v>
      </c>
      <c r="BO2173" s="335">
        <f>+I1838</f>
        <v>1199</v>
      </c>
      <c r="BP2173" s="335">
        <f>+I1866</f>
        <v>1169</v>
      </c>
      <c r="BQ2173" s="335">
        <f>+I1894</f>
        <v>1016</v>
      </c>
      <c r="BR2173" s="335">
        <f>+I1922</f>
        <v>1066</v>
      </c>
      <c r="BS2173" s="335">
        <f>+I1950</f>
        <v>1000</v>
      </c>
      <c r="BT2173" s="335">
        <f>+I1978</f>
        <v>1073</v>
      </c>
      <c r="BU2173" s="335">
        <f>+I2006</f>
        <v>893</v>
      </c>
      <c r="BV2173" s="335">
        <f>+I2034</f>
        <v>960</v>
      </c>
      <c r="BW2173" s="335">
        <f>+I2062</f>
        <v>1058</v>
      </c>
      <c r="BX2173" s="335">
        <f>+I2090</f>
        <v>891</v>
      </c>
      <c r="BY2173" s="335">
        <f>+I2118</f>
        <v>1072</v>
      </c>
      <c r="BZ2173" s="335">
        <f>+I2146</f>
        <v>924</v>
      </c>
      <c r="CA2173" s="333">
        <f>SUM(FLORESTA!$B2173:$BZ2173)</f>
        <v>89508</v>
      </c>
      <c r="CB2173" s="333">
        <f>FLORESTA!$CA2173/77</f>
        <v>1162.4415584415585</v>
      </c>
    </row>
    <row r="2174" spans="1:80" x14ac:dyDescent="0.25">
      <c r="A2174" s="212" t="s">
        <v>12</v>
      </c>
      <c r="B2174" s="78">
        <v>38</v>
      </c>
      <c r="C2174" s="11">
        <f t="shared" si="987"/>
        <v>108</v>
      </c>
      <c r="D2174" s="78">
        <f t="shared" si="988"/>
        <v>169</v>
      </c>
      <c r="E2174" s="78">
        <f t="shared" si="989"/>
        <v>209</v>
      </c>
      <c r="F2174" s="78">
        <f t="shared" si="990"/>
        <v>361</v>
      </c>
      <c r="G2174" s="78">
        <f t="shared" si="991"/>
        <v>268</v>
      </c>
      <c r="H2174" s="78">
        <f t="shared" si="992"/>
        <v>236</v>
      </c>
      <c r="I2174" s="78">
        <f t="shared" si="993"/>
        <v>271</v>
      </c>
      <c r="J2174" s="78">
        <f t="shared" si="994"/>
        <v>280</v>
      </c>
      <c r="K2174" s="78">
        <f t="shared" si="995"/>
        <v>235</v>
      </c>
      <c r="L2174" s="78">
        <f t="shared" si="996"/>
        <v>223</v>
      </c>
      <c r="M2174" s="78">
        <f t="shared" si="997"/>
        <v>187</v>
      </c>
      <c r="N2174" s="78">
        <f t="shared" si="998"/>
        <v>225</v>
      </c>
      <c r="O2174" s="78">
        <f t="shared" si="999"/>
        <v>280</v>
      </c>
      <c r="P2174" s="78">
        <f t="shared" si="1000"/>
        <v>254</v>
      </c>
      <c r="Q2174" s="78">
        <f t="shared" si="1001"/>
        <v>314</v>
      </c>
      <c r="R2174" s="78">
        <f t="shared" si="1002"/>
        <v>279</v>
      </c>
      <c r="S2174" s="78">
        <f t="shared" si="1003"/>
        <v>310</v>
      </c>
      <c r="T2174" s="78">
        <f t="shared" si="1004"/>
        <v>345</v>
      </c>
      <c r="U2174" s="78">
        <f t="shared" si="1005"/>
        <v>379</v>
      </c>
      <c r="V2174" s="78">
        <f t="shared" si="1006"/>
        <v>336</v>
      </c>
      <c r="W2174" s="78">
        <f t="shared" si="1007"/>
        <v>354</v>
      </c>
      <c r="X2174" s="78">
        <f t="shared" si="1008"/>
        <v>377</v>
      </c>
      <c r="Y2174" s="78">
        <f t="shared" si="1009"/>
        <v>502</v>
      </c>
      <c r="Z2174" s="78">
        <f t="shared" si="1010"/>
        <v>416</v>
      </c>
      <c r="AA2174" s="78">
        <f t="shared" si="1011"/>
        <v>406</v>
      </c>
      <c r="AB2174" s="78">
        <f t="shared" si="1012"/>
        <v>405</v>
      </c>
      <c r="AC2174" s="78">
        <f t="shared" si="1013"/>
        <v>448</v>
      </c>
      <c r="AD2174" s="78">
        <f t="shared" si="1014"/>
        <v>445</v>
      </c>
      <c r="AE2174" s="78">
        <f t="shared" si="1015"/>
        <v>447</v>
      </c>
      <c r="AF2174" s="78">
        <f t="shared" si="1016"/>
        <v>496</v>
      </c>
      <c r="AG2174" s="78">
        <f t="shared" si="1017"/>
        <v>451</v>
      </c>
      <c r="AH2174" s="78">
        <f t="shared" si="1018"/>
        <v>488</v>
      </c>
      <c r="AI2174" s="78">
        <f t="shared" si="1019"/>
        <v>485</v>
      </c>
      <c r="AJ2174" s="78">
        <f t="shared" si="1020"/>
        <v>456</v>
      </c>
      <c r="AK2174" s="78">
        <f t="shared" si="1021"/>
        <v>398</v>
      </c>
      <c r="AL2174" s="78">
        <f t="shared" si="1022"/>
        <v>378</v>
      </c>
      <c r="AM2174" s="78">
        <f t="shared" si="1023"/>
        <v>417</v>
      </c>
      <c r="AN2174" s="78">
        <f t="shared" si="1024"/>
        <v>479</v>
      </c>
      <c r="AO2174" s="78">
        <f t="shared" si="1025"/>
        <v>420</v>
      </c>
      <c r="AP2174" s="78">
        <f t="shared" si="1026"/>
        <v>413</v>
      </c>
      <c r="AQ2174" s="78">
        <f t="shared" si="1027"/>
        <v>422</v>
      </c>
      <c r="AR2174" s="78">
        <f t="shared" si="1028"/>
        <v>433</v>
      </c>
      <c r="AS2174" s="78">
        <f t="shared" si="1029"/>
        <v>386</v>
      </c>
      <c r="AT2174" s="78">
        <f t="shared" si="1030"/>
        <v>400</v>
      </c>
      <c r="AU2174" s="78">
        <f t="shared" si="1031"/>
        <v>343</v>
      </c>
      <c r="AV2174" s="78">
        <f t="shared" si="1032"/>
        <v>339</v>
      </c>
      <c r="AW2174" s="78">
        <f t="shared" si="1033"/>
        <v>301</v>
      </c>
      <c r="AX2174" s="78">
        <f t="shared" si="1034"/>
        <v>316</v>
      </c>
      <c r="AY2174" s="78">
        <f t="shared" ref="AY2174:AY2196" si="1035">+I1391</f>
        <v>340</v>
      </c>
      <c r="AZ2174" s="78">
        <f t="shared" ref="AZ2174:AZ2196" si="1036">+I1419</f>
        <v>336</v>
      </c>
      <c r="BA2174" s="78">
        <f t="shared" ref="BA2174:BA2196" si="1037">+I1447</f>
        <v>333</v>
      </c>
      <c r="BB2174" s="78">
        <f t="shared" ref="BB2174:BB2196" si="1038">+I1475</f>
        <v>360</v>
      </c>
      <c r="BC2174" s="78">
        <f t="shared" ref="BC2174:BC2196" si="1039">+I1503</f>
        <v>344</v>
      </c>
      <c r="BD2174" s="78">
        <f t="shared" ref="BD2174:BD2196" si="1040">+I1531</f>
        <v>342</v>
      </c>
      <c r="BE2174" s="78">
        <f t="shared" ref="BE2174:BE2196" si="1041">+I1559</f>
        <v>339</v>
      </c>
      <c r="BF2174" s="78">
        <f t="shared" ref="BF2174:BF2196" si="1042">+I1587</f>
        <v>367</v>
      </c>
      <c r="BG2174" s="78">
        <f t="shared" ref="BG2174:BG2196" si="1043">+I1615</f>
        <v>385</v>
      </c>
      <c r="BH2174" s="78">
        <f t="shared" ref="BH2174:BH2196" si="1044">+I1643</f>
        <v>363</v>
      </c>
      <c r="BI2174" s="78">
        <f t="shared" ref="BI2174:BI2196" si="1045">+I1671</f>
        <v>386</v>
      </c>
      <c r="BJ2174" s="78">
        <f t="shared" ref="BJ2174:BJ2196" si="1046">+I1699</f>
        <v>350</v>
      </c>
      <c r="BK2174" s="78">
        <f t="shared" ref="BK2174:BK2196" si="1047">+I1727</f>
        <v>306</v>
      </c>
      <c r="BL2174" s="78">
        <f t="shared" ref="BL2174:BL2196" si="1048">+I1755</f>
        <v>265</v>
      </c>
      <c r="BM2174" s="78">
        <f t="shared" ref="BM2174:BM2196" si="1049">+I1783</f>
        <v>255</v>
      </c>
      <c r="BN2174" s="78">
        <f t="shared" ref="BN2174:BN2196" si="1050">+I1811</f>
        <v>244</v>
      </c>
      <c r="BO2174" s="78">
        <f t="shared" ref="BO2174:BO2196" si="1051">+I1839</f>
        <v>311</v>
      </c>
      <c r="BP2174" s="78">
        <f t="shared" ref="BP2174:BP2196" si="1052">+I1867</f>
        <v>308</v>
      </c>
      <c r="BQ2174" s="78">
        <f t="shared" ref="BQ2174:BQ2196" si="1053">+I1895</f>
        <v>300</v>
      </c>
      <c r="BR2174" s="78">
        <f t="shared" ref="BR2174:BR2196" si="1054">+I1923</f>
        <v>308</v>
      </c>
      <c r="BS2174" s="78">
        <f t="shared" ref="BS2174:BS2196" si="1055">+I1951</f>
        <v>294</v>
      </c>
      <c r="BT2174" s="78">
        <f t="shared" ref="BT2174:BT2196" si="1056">+I1979</f>
        <v>324</v>
      </c>
      <c r="BU2174" s="78">
        <f t="shared" ref="BU2174:BU2196" si="1057">+I2007</f>
        <v>216</v>
      </c>
      <c r="BV2174" s="78">
        <f t="shared" ref="BV2174:BV2196" si="1058">+I2035</f>
        <v>252</v>
      </c>
      <c r="BW2174" s="78">
        <f t="shared" ref="BW2174:BW2196" si="1059">+I2063</f>
        <v>284</v>
      </c>
      <c r="BX2174" s="78">
        <f t="shared" ref="BX2174:BX2196" si="1060">+I2091</f>
        <v>228</v>
      </c>
      <c r="BY2174" s="78">
        <f t="shared" ref="BY2174:BY2196" si="1061">+I2119</f>
        <v>268</v>
      </c>
      <c r="BZ2174" s="78">
        <f t="shared" ref="BZ2174:BZ2196" si="1062">+I2147</f>
        <v>261</v>
      </c>
      <c r="CA2174" s="78">
        <f>SUM(FLORESTA!$B2174:$BZ2174)</f>
        <v>25597</v>
      </c>
      <c r="CB2174" s="60">
        <f>FLORESTA!$CA2174/77</f>
        <v>332.42857142857144</v>
      </c>
    </row>
    <row r="2175" spans="1:80" x14ac:dyDescent="0.25">
      <c r="A2175" s="212" t="s">
        <v>13</v>
      </c>
      <c r="B2175" s="78">
        <v>2</v>
      </c>
      <c r="C2175" s="11">
        <f t="shared" si="987"/>
        <v>0</v>
      </c>
      <c r="D2175" s="78">
        <f t="shared" si="988"/>
        <v>1</v>
      </c>
      <c r="E2175" s="78">
        <f t="shared" si="989"/>
        <v>1</v>
      </c>
      <c r="F2175" s="78">
        <f t="shared" si="990"/>
        <v>5</v>
      </c>
      <c r="G2175" s="78">
        <f t="shared" si="991"/>
        <v>6</v>
      </c>
      <c r="H2175" s="78">
        <f t="shared" si="992"/>
        <v>2</v>
      </c>
      <c r="I2175" s="78">
        <f t="shared" si="993"/>
        <v>6</v>
      </c>
      <c r="J2175" s="78">
        <f t="shared" si="994"/>
        <v>3</v>
      </c>
      <c r="K2175" s="78">
        <f t="shared" si="995"/>
        <v>8</v>
      </c>
      <c r="L2175" s="78">
        <f t="shared" si="996"/>
        <v>11</v>
      </c>
      <c r="M2175" s="78">
        <f t="shared" si="997"/>
        <v>7</v>
      </c>
      <c r="N2175" s="78">
        <f t="shared" si="998"/>
        <v>10</v>
      </c>
      <c r="O2175" s="78">
        <f t="shared" si="999"/>
        <v>23</v>
      </c>
      <c r="P2175" s="78">
        <f t="shared" si="1000"/>
        <v>10</v>
      </c>
      <c r="Q2175" s="78">
        <f t="shared" si="1001"/>
        <v>12</v>
      </c>
      <c r="R2175" s="78">
        <f t="shared" si="1002"/>
        <v>6</v>
      </c>
      <c r="S2175" s="78">
        <f t="shared" si="1003"/>
        <v>11</v>
      </c>
      <c r="T2175" s="78">
        <f t="shared" si="1004"/>
        <v>12</v>
      </c>
      <c r="U2175" s="78">
        <f t="shared" si="1005"/>
        <v>11</v>
      </c>
      <c r="V2175" s="78">
        <f t="shared" si="1006"/>
        <v>12</v>
      </c>
      <c r="W2175" s="78">
        <f t="shared" si="1007"/>
        <v>159</v>
      </c>
      <c r="X2175" s="78">
        <f t="shared" si="1008"/>
        <v>11</v>
      </c>
      <c r="Y2175" s="78">
        <f t="shared" si="1009"/>
        <v>17</v>
      </c>
      <c r="Z2175" s="78">
        <f t="shared" si="1010"/>
        <v>15</v>
      </c>
      <c r="AA2175" s="78">
        <f t="shared" si="1011"/>
        <v>17</v>
      </c>
      <c r="AB2175" s="78">
        <f t="shared" si="1012"/>
        <v>13</v>
      </c>
      <c r="AC2175" s="78">
        <f t="shared" si="1013"/>
        <v>15</v>
      </c>
      <c r="AD2175" s="78">
        <f t="shared" si="1014"/>
        <v>14</v>
      </c>
      <c r="AE2175" s="78">
        <f t="shared" si="1015"/>
        <v>10</v>
      </c>
      <c r="AF2175" s="78">
        <f t="shared" si="1016"/>
        <v>10</v>
      </c>
      <c r="AG2175" s="78">
        <f t="shared" si="1017"/>
        <v>11</v>
      </c>
      <c r="AH2175" s="78">
        <f t="shared" si="1018"/>
        <v>12</v>
      </c>
      <c r="AI2175" s="78">
        <f t="shared" si="1019"/>
        <v>12</v>
      </c>
      <c r="AJ2175" s="78">
        <f t="shared" si="1020"/>
        <v>12</v>
      </c>
      <c r="AK2175" s="78">
        <f t="shared" si="1021"/>
        <v>13</v>
      </c>
      <c r="AL2175" s="78">
        <f t="shared" si="1022"/>
        <v>17</v>
      </c>
      <c r="AM2175" s="78">
        <f t="shared" si="1023"/>
        <v>8</v>
      </c>
      <c r="AN2175" s="78">
        <f t="shared" si="1024"/>
        <v>17</v>
      </c>
      <c r="AO2175" s="78">
        <f t="shared" si="1025"/>
        <v>8</v>
      </c>
      <c r="AP2175" s="78">
        <f t="shared" si="1026"/>
        <v>15</v>
      </c>
      <c r="AQ2175" s="78">
        <f t="shared" si="1027"/>
        <v>18</v>
      </c>
      <c r="AR2175" s="78">
        <f t="shared" si="1028"/>
        <v>8</v>
      </c>
      <c r="AS2175" s="78">
        <f t="shared" si="1029"/>
        <v>15</v>
      </c>
      <c r="AT2175" s="78">
        <f t="shared" si="1030"/>
        <v>5</v>
      </c>
      <c r="AU2175" s="78">
        <f t="shared" si="1031"/>
        <v>12</v>
      </c>
      <c r="AV2175" s="78">
        <f t="shared" si="1032"/>
        <v>7</v>
      </c>
      <c r="AW2175" s="78">
        <f t="shared" si="1033"/>
        <v>46</v>
      </c>
      <c r="AX2175" s="78">
        <f t="shared" si="1034"/>
        <v>10</v>
      </c>
      <c r="AY2175" s="78">
        <f t="shared" si="1035"/>
        <v>12</v>
      </c>
      <c r="AZ2175" s="78">
        <f t="shared" si="1036"/>
        <v>11</v>
      </c>
      <c r="BA2175" s="78">
        <f t="shared" si="1037"/>
        <v>13</v>
      </c>
      <c r="BB2175" s="78">
        <f t="shared" si="1038"/>
        <v>20</v>
      </c>
      <c r="BC2175" s="78">
        <f t="shared" si="1039"/>
        <v>12</v>
      </c>
      <c r="BD2175" s="78">
        <f t="shared" si="1040"/>
        <v>12</v>
      </c>
      <c r="BE2175" s="78">
        <f t="shared" si="1041"/>
        <v>8</v>
      </c>
      <c r="BF2175" s="78">
        <f t="shared" si="1042"/>
        <v>9</v>
      </c>
      <c r="BG2175" s="78">
        <f t="shared" si="1043"/>
        <v>8</v>
      </c>
      <c r="BH2175" s="78">
        <f t="shared" si="1044"/>
        <v>6</v>
      </c>
      <c r="BI2175" s="78">
        <f t="shared" si="1045"/>
        <v>6</v>
      </c>
      <c r="BJ2175" s="78">
        <f t="shared" si="1046"/>
        <v>14</v>
      </c>
      <c r="BK2175" s="78">
        <f t="shared" si="1047"/>
        <v>6</v>
      </c>
      <c r="BL2175" s="78">
        <f t="shared" si="1048"/>
        <v>5</v>
      </c>
      <c r="BM2175" s="78">
        <f t="shared" si="1049"/>
        <v>6</v>
      </c>
      <c r="BN2175" s="78">
        <f t="shared" si="1050"/>
        <v>9</v>
      </c>
      <c r="BO2175" s="78">
        <f t="shared" si="1051"/>
        <v>8</v>
      </c>
      <c r="BP2175" s="78">
        <f t="shared" si="1052"/>
        <v>14</v>
      </c>
      <c r="BQ2175" s="78">
        <f t="shared" si="1053"/>
        <v>8</v>
      </c>
      <c r="BR2175" s="78">
        <f t="shared" si="1054"/>
        <v>11</v>
      </c>
      <c r="BS2175" s="78">
        <f t="shared" si="1055"/>
        <v>7</v>
      </c>
      <c r="BT2175" s="78">
        <f t="shared" si="1056"/>
        <v>13</v>
      </c>
      <c r="BU2175" s="78">
        <f t="shared" si="1057"/>
        <v>7</v>
      </c>
      <c r="BV2175" s="78">
        <f t="shared" si="1058"/>
        <v>5</v>
      </c>
      <c r="BW2175" s="78">
        <f t="shared" si="1059"/>
        <v>11</v>
      </c>
      <c r="BX2175" s="78">
        <f t="shared" si="1060"/>
        <v>8</v>
      </c>
      <c r="BY2175" s="78">
        <f t="shared" si="1061"/>
        <v>9</v>
      </c>
      <c r="BZ2175" s="78">
        <f t="shared" si="1062"/>
        <v>6</v>
      </c>
      <c r="CA2175" s="78">
        <f>SUM(FLORESTA!$B2175:$BZ2175)</f>
        <v>950</v>
      </c>
      <c r="CB2175" s="60">
        <f>FLORESTA!$CA2175/77</f>
        <v>12.337662337662337</v>
      </c>
    </row>
    <row r="2176" spans="1:80" x14ac:dyDescent="0.25">
      <c r="A2176" s="212" t="s">
        <v>14</v>
      </c>
      <c r="B2176" s="78">
        <v>351</v>
      </c>
      <c r="C2176" s="11">
        <f t="shared" si="987"/>
        <v>515</v>
      </c>
      <c r="D2176" s="78">
        <f t="shared" si="988"/>
        <v>577</v>
      </c>
      <c r="E2176" s="78">
        <f t="shared" si="989"/>
        <v>766</v>
      </c>
      <c r="F2176" s="78">
        <f t="shared" si="990"/>
        <v>640</v>
      </c>
      <c r="G2176" s="78">
        <f t="shared" si="991"/>
        <v>676</v>
      </c>
      <c r="H2176" s="78">
        <f t="shared" si="992"/>
        <v>688</v>
      </c>
      <c r="I2176" s="78">
        <f t="shared" si="993"/>
        <v>790</v>
      </c>
      <c r="J2176" s="78">
        <f t="shared" si="994"/>
        <v>800</v>
      </c>
      <c r="K2176" s="78">
        <f t="shared" si="995"/>
        <v>728</v>
      </c>
      <c r="L2176" s="78">
        <f t="shared" si="996"/>
        <v>679</v>
      </c>
      <c r="M2176" s="78">
        <f t="shared" si="997"/>
        <v>735</v>
      </c>
      <c r="N2176" s="78">
        <f t="shared" si="998"/>
        <v>763</v>
      </c>
      <c r="O2176" s="78">
        <f t="shared" si="999"/>
        <v>893</v>
      </c>
      <c r="P2176" s="78">
        <f t="shared" si="1000"/>
        <v>778</v>
      </c>
      <c r="Q2176" s="78">
        <f t="shared" si="1001"/>
        <v>709</v>
      </c>
      <c r="R2176" s="78">
        <f t="shared" si="1002"/>
        <v>718</v>
      </c>
      <c r="S2176" s="78">
        <f t="shared" si="1003"/>
        <v>635</v>
      </c>
      <c r="T2176" s="78">
        <f t="shared" si="1004"/>
        <v>619</v>
      </c>
      <c r="U2176" s="78">
        <f t="shared" si="1005"/>
        <v>647</v>
      </c>
      <c r="V2176" s="78">
        <f t="shared" si="1006"/>
        <v>688</v>
      </c>
      <c r="W2176" s="78">
        <f t="shared" si="1007"/>
        <v>537</v>
      </c>
      <c r="X2176" s="78">
        <f t="shared" si="1008"/>
        <v>624</v>
      </c>
      <c r="Y2176" s="78">
        <f t="shared" si="1009"/>
        <v>684</v>
      </c>
      <c r="Z2176" s="78">
        <f t="shared" si="1010"/>
        <v>595</v>
      </c>
      <c r="AA2176" s="78">
        <f t="shared" si="1011"/>
        <v>590</v>
      </c>
      <c r="AB2176" s="78">
        <f t="shared" si="1012"/>
        <v>668</v>
      </c>
      <c r="AC2176" s="78">
        <f t="shared" si="1013"/>
        <v>747</v>
      </c>
      <c r="AD2176" s="78">
        <f t="shared" si="1014"/>
        <v>672</v>
      </c>
      <c r="AE2176" s="78">
        <f t="shared" si="1015"/>
        <v>619</v>
      </c>
      <c r="AF2176" s="78">
        <f t="shared" si="1016"/>
        <v>592</v>
      </c>
      <c r="AG2176" s="78">
        <f t="shared" si="1017"/>
        <v>600</v>
      </c>
      <c r="AH2176" s="78">
        <f t="shared" si="1018"/>
        <v>583</v>
      </c>
      <c r="AI2176" s="78">
        <f t="shared" si="1019"/>
        <v>588</v>
      </c>
      <c r="AJ2176" s="78">
        <f t="shared" si="1020"/>
        <v>610</v>
      </c>
      <c r="AK2176" s="78">
        <f t="shared" si="1021"/>
        <v>763</v>
      </c>
      <c r="AL2176" s="78">
        <f t="shared" si="1022"/>
        <v>550</v>
      </c>
      <c r="AM2176" s="78">
        <f t="shared" si="1023"/>
        <v>663</v>
      </c>
      <c r="AN2176" s="78">
        <f t="shared" si="1024"/>
        <v>592</v>
      </c>
      <c r="AO2176" s="78">
        <f t="shared" si="1025"/>
        <v>580</v>
      </c>
      <c r="AP2176" s="78">
        <f t="shared" si="1026"/>
        <v>582</v>
      </c>
      <c r="AQ2176" s="78">
        <f t="shared" si="1027"/>
        <v>559</v>
      </c>
      <c r="AR2176" s="78">
        <f t="shared" si="1028"/>
        <v>529</v>
      </c>
      <c r="AS2176" s="78">
        <f t="shared" si="1029"/>
        <v>432</v>
      </c>
      <c r="AT2176" s="78">
        <f t="shared" si="1030"/>
        <v>498</v>
      </c>
      <c r="AU2176" s="78">
        <f t="shared" si="1031"/>
        <v>467</v>
      </c>
      <c r="AV2176" s="78">
        <f t="shared" si="1032"/>
        <v>537</v>
      </c>
      <c r="AW2176" s="78">
        <f t="shared" si="1033"/>
        <v>435</v>
      </c>
      <c r="AX2176" s="78">
        <f t="shared" si="1034"/>
        <v>533</v>
      </c>
      <c r="AY2176" s="78">
        <f t="shared" si="1035"/>
        <v>493</v>
      </c>
      <c r="AZ2176" s="78">
        <f t="shared" si="1036"/>
        <v>502</v>
      </c>
      <c r="BA2176" s="78">
        <f t="shared" si="1037"/>
        <v>441</v>
      </c>
      <c r="BB2176" s="78">
        <f t="shared" si="1038"/>
        <v>449</v>
      </c>
      <c r="BC2176" s="78">
        <f t="shared" si="1039"/>
        <v>447</v>
      </c>
      <c r="BD2176" s="78">
        <f t="shared" si="1040"/>
        <v>495</v>
      </c>
      <c r="BE2176" s="78">
        <f t="shared" si="1041"/>
        <v>480</v>
      </c>
      <c r="BF2176" s="78">
        <f t="shared" si="1042"/>
        <v>529</v>
      </c>
      <c r="BG2176" s="78">
        <f t="shared" si="1043"/>
        <v>521</v>
      </c>
      <c r="BH2176" s="78">
        <f t="shared" si="1044"/>
        <v>467</v>
      </c>
      <c r="BI2176" s="78">
        <f t="shared" si="1045"/>
        <v>563</v>
      </c>
      <c r="BJ2176" s="78">
        <f t="shared" si="1046"/>
        <v>637</v>
      </c>
      <c r="BK2176" s="78">
        <f t="shared" si="1047"/>
        <v>567</v>
      </c>
      <c r="BL2176" s="78">
        <f t="shared" si="1048"/>
        <v>606</v>
      </c>
      <c r="BM2176" s="78">
        <f t="shared" si="1049"/>
        <v>578</v>
      </c>
      <c r="BN2176" s="78">
        <f t="shared" si="1050"/>
        <v>607</v>
      </c>
      <c r="BO2176" s="78">
        <f t="shared" si="1051"/>
        <v>619</v>
      </c>
      <c r="BP2176" s="78">
        <f t="shared" si="1052"/>
        <v>551</v>
      </c>
      <c r="BQ2176" s="78">
        <f t="shared" si="1053"/>
        <v>489</v>
      </c>
      <c r="BR2176" s="78">
        <f t="shared" si="1054"/>
        <v>529</v>
      </c>
      <c r="BS2176" s="78">
        <f t="shared" si="1055"/>
        <v>471</v>
      </c>
      <c r="BT2176" s="78">
        <f t="shared" si="1056"/>
        <v>518</v>
      </c>
      <c r="BU2176" s="78">
        <f t="shared" si="1057"/>
        <v>501</v>
      </c>
      <c r="BV2176" s="78">
        <f t="shared" si="1058"/>
        <v>460</v>
      </c>
      <c r="BW2176" s="78">
        <f t="shared" si="1059"/>
        <v>501</v>
      </c>
      <c r="BX2176" s="78">
        <f t="shared" si="1060"/>
        <v>464</v>
      </c>
      <c r="BY2176" s="78">
        <f t="shared" si="1061"/>
        <v>510</v>
      </c>
      <c r="BZ2176" s="78">
        <f t="shared" si="1062"/>
        <v>423</v>
      </c>
      <c r="CA2176" s="78">
        <f>SUM(FLORESTA!$B2176:$BZ2176)</f>
        <v>45242</v>
      </c>
      <c r="CB2176" s="60">
        <f>FLORESTA!$CA2176/77</f>
        <v>587.55844155844159</v>
      </c>
    </row>
    <row r="2177" spans="1:80" x14ac:dyDescent="0.25">
      <c r="A2177" s="212" t="s">
        <v>15</v>
      </c>
      <c r="B2177" s="78">
        <v>68</v>
      </c>
      <c r="C2177" s="11">
        <f t="shared" si="987"/>
        <v>82</v>
      </c>
      <c r="D2177" s="78">
        <f t="shared" si="988"/>
        <v>113</v>
      </c>
      <c r="E2177" s="78">
        <f t="shared" si="989"/>
        <v>54</v>
      </c>
      <c r="F2177" s="78">
        <f t="shared" si="990"/>
        <v>17</v>
      </c>
      <c r="G2177" s="78">
        <f t="shared" si="991"/>
        <v>65</v>
      </c>
      <c r="H2177" s="78">
        <f t="shared" si="992"/>
        <v>52</v>
      </c>
      <c r="I2177" s="78">
        <f t="shared" si="993"/>
        <v>29</v>
      </c>
      <c r="J2177" s="78">
        <f t="shared" si="994"/>
        <v>20</v>
      </c>
      <c r="K2177" s="78">
        <f t="shared" si="995"/>
        <v>5</v>
      </c>
      <c r="L2177" s="78">
        <f t="shared" si="996"/>
        <v>5</v>
      </c>
      <c r="M2177" s="78">
        <f t="shared" si="997"/>
        <v>0</v>
      </c>
      <c r="N2177" s="78">
        <f t="shared" si="998"/>
        <v>2</v>
      </c>
      <c r="O2177" s="78">
        <f t="shared" si="999"/>
        <v>0</v>
      </c>
      <c r="P2177" s="78">
        <f t="shared" si="1000"/>
        <v>1</v>
      </c>
      <c r="Q2177" s="78">
        <f t="shared" si="1001"/>
        <v>0</v>
      </c>
      <c r="R2177" s="78">
        <f t="shared" si="1002"/>
        <v>3</v>
      </c>
      <c r="S2177" s="78">
        <f t="shared" si="1003"/>
        <v>1</v>
      </c>
      <c r="T2177" s="78">
        <f t="shared" si="1004"/>
        <v>0</v>
      </c>
      <c r="U2177" s="78">
        <f t="shared" si="1005"/>
        <v>0</v>
      </c>
      <c r="V2177" s="78">
        <f t="shared" si="1006"/>
        <v>0</v>
      </c>
      <c r="W2177" s="78">
        <f t="shared" si="1007"/>
        <v>1</v>
      </c>
      <c r="X2177" s="78">
        <f t="shared" si="1008"/>
        <v>0</v>
      </c>
      <c r="Y2177" s="78">
        <f t="shared" si="1009"/>
        <v>0</v>
      </c>
      <c r="Z2177" s="78">
        <f t="shared" si="1010"/>
        <v>54</v>
      </c>
      <c r="AA2177" s="78">
        <f t="shared" si="1011"/>
        <v>41</v>
      </c>
      <c r="AB2177" s="78">
        <f t="shared" si="1012"/>
        <v>47</v>
      </c>
      <c r="AC2177" s="78">
        <f t="shared" si="1013"/>
        <v>40</v>
      </c>
      <c r="AD2177" s="78">
        <f t="shared" si="1014"/>
        <v>63</v>
      </c>
      <c r="AE2177" s="78">
        <f t="shared" si="1015"/>
        <v>82</v>
      </c>
      <c r="AF2177" s="78">
        <f t="shared" si="1016"/>
        <v>64</v>
      </c>
      <c r="AG2177" s="78">
        <f t="shared" si="1017"/>
        <v>77</v>
      </c>
      <c r="AH2177" s="78">
        <f t="shared" si="1018"/>
        <v>72</v>
      </c>
      <c r="AI2177" s="78">
        <f t="shared" si="1019"/>
        <v>60</v>
      </c>
      <c r="AJ2177" s="78">
        <f t="shared" si="1020"/>
        <v>93</v>
      </c>
      <c r="AK2177" s="78">
        <f t="shared" si="1021"/>
        <v>35</v>
      </c>
      <c r="AL2177" s="78">
        <f t="shared" si="1022"/>
        <v>92</v>
      </c>
      <c r="AM2177" s="78">
        <f t="shared" si="1023"/>
        <v>111</v>
      </c>
      <c r="AN2177" s="78">
        <f t="shared" si="1024"/>
        <v>101</v>
      </c>
      <c r="AO2177" s="78">
        <f t="shared" si="1025"/>
        <v>55</v>
      </c>
      <c r="AP2177" s="78">
        <f t="shared" si="1026"/>
        <v>106</v>
      </c>
      <c r="AQ2177" s="78">
        <f t="shared" si="1027"/>
        <v>89</v>
      </c>
      <c r="AR2177" s="78">
        <f t="shared" si="1028"/>
        <v>70</v>
      </c>
      <c r="AS2177" s="78">
        <f t="shared" si="1029"/>
        <v>81</v>
      </c>
      <c r="AT2177" s="78">
        <f t="shared" si="1030"/>
        <v>88</v>
      </c>
      <c r="AU2177" s="78">
        <f t="shared" si="1031"/>
        <v>77</v>
      </c>
      <c r="AV2177" s="78">
        <f t="shared" si="1032"/>
        <v>71</v>
      </c>
      <c r="AW2177" s="78">
        <f t="shared" si="1033"/>
        <v>42</v>
      </c>
      <c r="AX2177" s="78">
        <f t="shared" si="1034"/>
        <v>75</v>
      </c>
      <c r="AY2177" s="78">
        <f t="shared" si="1035"/>
        <v>66</v>
      </c>
      <c r="AZ2177" s="78">
        <f t="shared" si="1036"/>
        <v>104</v>
      </c>
      <c r="BA2177" s="78">
        <f t="shared" si="1037"/>
        <v>125</v>
      </c>
      <c r="BB2177" s="78">
        <f t="shared" si="1038"/>
        <v>107</v>
      </c>
      <c r="BC2177" s="78">
        <f t="shared" si="1039"/>
        <v>101</v>
      </c>
      <c r="BD2177" s="78">
        <f t="shared" si="1040"/>
        <v>98</v>
      </c>
      <c r="BE2177" s="78">
        <f t="shared" si="1041"/>
        <v>83</v>
      </c>
      <c r="BF2177" s="78">
        <f t="shared" si="1042"/>
        <v>102</v>
      </c>
      <c r="BG2177" s="78">
        <f t="shared" si="1043"/>
        <v>92</v>
      </c>
      <c r="BH2177" s="78">
        <f t="shared" si="1044"/>
        <v>71</v>
      </c>
      <c r="BI2177" s="78">
        <f t="shared" si="1045"/>
        <v>81</v>
      </c>
      <c r="BJ2177" s="78">
        <f t="shared" si="1046"/>
        <v>99</v>
      </c>
      <c r="BK2177" s="78">
        <f t="shared" si="1047"/>
        <v>78</v>
      </c>
      <c r="BL2177" s="78">
        <f t="shared" si="1048"/>
        <v>67</v>
      </c>
      <c r="BM2177" s="78">
        <f t="shared" si="1049"/>
        <v>80</v>
      </c>
      <c r="BN2177" s="78">
        <f t="shared" si="1050"/>
        <v>81</v>
      </c>
      <c r="BO2177" s="78">
        <f t="shared" si="1051"/>
        <v>77</v>
      </c>
      <c r="BP2177" s="78">
        <f t="shared" si="1052"/>
        <v>92</v>
      </c>
      <c r="BQ2177" s="78">
        <f t="shared" si="1053"/>
        <v>67</v>
      </c>
      <c r="BR2177" s="78">
        <f t="shared" si="1054"/>
        <v>80</v>
      </c>
      <c r="BS2177" s="78">
        <f t="shared" si="1055"/>
        <v>76</v>
      </c>
      <c r="BT2177" s="78">
        <f t="shared" si="1056"/>
        <v>54</v>
      </c>
      <c r="BU2177" s="78">
        <f t="shared" si="1057"/>
        <v>50</v>
      </c>
      <c r="BV2177" s="78">
        <f t="shared" si="1058"/>
        <v>97</v>
      </c>
      <c r="BW2177" s="78">
        <f t="shared" si="1059"/>
        <v>74</v>
      </c>
      <c r="BX2177" s="78">
        <f t="shared" si="1060"/>
        <v>76</v>
      </c>
      <c r="BY2177" s="78">
        <f t="shared" si="1061"/>
        <v>84</v>
      </c>
      <c r="BZ2177" s="78">
        <f t="shared" si="1062"/>
        <v>62</v>
      </c>
      <c r="CA2177" s="78">
        <f>SUM(FLORESTA!$B2177:$BZ2177)</f>
        <v>4628</v>
      </c>
      <c r="CB2177" s="60">
        <f>FLORESTA!$CA2177/77</f>
        <v>60.103896103896105</v>
      </c>
    </row>
    <row r="2178" spans="1:80" x14ac:dyDescent="0.25">
      <c r="A2178" s="212" t="s">
        <v>16</v>
      </c>
      <c r="B2178" s="78">
        <v>4</v>
      </c>
      <c r="C2178" s="11">
        <f t="shared" si="987"/>
        <v>1</v>
      </c>
      <c r="D2178" s="78">
        <f t="shared" si="988"/>
        <v>1</v>
      </c>
      <c r="E2178" s="78">
        <f t="shared" si="989"/>
        <v>1</v>
      </c>
      <c r="F2178" s="78">
        <f t="shared" si="990"/>
        <v>0</v>
      </c>
      <c r="G2178" s="78">
        <f t="shared" si="991"/>
        <v>1</v>
      </c>
      <c r="H2178" s="78">
        <f t="shared" si="992"/>
        <v>2</v>
      </c>
      <c r="I2178" s="78">
        <f t="shared" si="993"/>
        <v>2</v>
      </c>
      <c r="J2178" s="78">
        <f t="shared" si="994"/>
        <v>0</v>
      </c>
      <c r="K2178" s="78">
        <f t="shared" si="995"/>
        <v>8</v>
      </c>
      <c r="L2178" s="78">
        <f t="shared" si="996"/>
        <v>1</v>
      </c>
      <c r="M2178" s="78">
        <f t="shared" si="997"/>
        <v>0</v>
      </c>
      <c r="N2178" s="78">
        <f t="shared" si="998"/>
        <v>0</v>
      </c>
      <c r="O2178" s="78">
        <f t="shared" si="999"/>
        <v>1</v>
      </c>
      <c r="P2178" s="78">
        <f t="shared" si="1000"/>
        <v>0</v>
      </c>
      <c r="Q2178" s="78">
        <f t="shared" si="1001"/>
        <v>0</v>
      </c>
      <c r="R2178" s="78">
        <f t="shared" si="1002"/>
        <v>0</v>
      </c>
      <c r="S2178" s="78">
        <f t="shared" si="1003"/>
        <v>1</v>
      </c>
      <c r="T2178" s="78">
        <f t="shared" si="1004"/>
        <v>0</v>
      </c>
      <c r="U2178" s="78">
        <f t="shared" si="1005"/>
        <v>0</v>
      </c>
      <c r="V2178" s="78">
        <f t="shared" si="1006"/>
        <v>0</v>
      </c>
      <c r="W2178" s="78">
        <f t="shared" si="1007"/>
        <v>1</v>
      </c>
      <c r="X2178" s="78">
        <f t="shared" si="1008"/>
        <v>0</v>
      </c>
      <c r="Y2178" s="78">
        <f t="shared" si="1009"/>
        <v>0</v>
      </c>
      <c r="Z2178" s="78">
        <f t="shared" si="1010"/>
        <v>0</v>
      </c>
      <c r="AA2178" s="78">
        <f t="shared" si="1011"/>
        <v>1</v>
      </c>
      <c r="AB2178" s="78">
        <f t="shared" si="1012"/>
        <v>2</v>
      </c>
      <c r="AC2178" s="78">
        <f t="shared" si="1013"/>
        <v>0</v>
      </c>
      <c r="AD2178" s="78">
        <f t="shared" si="1014"/>
        <v>0</v>
      </c>
      <c r="AE2178" s="78">
        <f t="shared" si="1015"/>
        <v>1</v>
      </c>
      <c r="AF2178" s="78">
        <f t="shared" si="1016"/>
        <v>0</v>
      </c>
      <c r="AG2178" s="78">
        <f t="shared" si="1017"/>
        <v>0</v>
      </c>
      <c r="AH2178" s="78">
        <f t="shared" si="1018"/>
        <v>1</v>
      </c>
      <c r="AI2178" s="78">
        <f t="shared" si="1019"/>
        <v>2</v>
      </c>
      <c r="AJ2178" s="78">
        <f t="shared" si="1020"/>
        <v>2</v>
      </c>
      <c r="AK2178" s="78">
        <f t="shared" si="1021"/>
        <v>0</v>
      </c>
      <c r="AL2178" s="78">
        <f t="shared" si="1022"/>
        <v>0</v>
      </c>
      <c r="AM2178" s="78">
        <f t="shared" si="1023"/>
        <v>2</v>
      </c>
      <c r="AN2178" s="78">
        <f t="shared" si="1024"/>
        <v>2</v>
      </c>
      <c r="AO2178" s="78">
        <f t="shared" si="1025"/>
        <v>0</v>
      </c>
      <c r="AP2178" s="78">
        <f t="shared" si="1026"/>
        <v>1</v>
      </c>
      <c r="AQ2178" s="78">
        <f t="shared" si="1027"/>
        <v>0</v>
      </c>
      <c r="AR2178" s="78">
        <f t="shared" si="1028"/>
        <v>1</v>
      </c>
      <c r="AS2178" s="78">
        <f t="shared" si="1029"/>
        <v>0</v>
      </c>
      <c r="AT2178" s="78">
        <f t="shared" si="1030"/>
        <v>1</v>
      </c>
      <c r="AU2178" s="78">
        <f t="shared" si="1031"/>
        <v>0</v>
      </c>
      <c r="AV2178" s="78">
        <f t="shared" si="1032"/>
        <v>0</v>
      </c>
      <c r="AW2178" s="78">
        <f t="shared" si="1033"/>
        <v>0</v>
      </c>
      <c r="AX2178" s="78">
        <f t="shared" si="1034"/>
        <v>0</v>
      </c>
      <c r="AY2178" s="78">
        <f t="shared" si="1035"/>
        <v>1</v>
      </c>
      <c r="AZ2178" s="78">
        <f t="shared" si="1036"/>
        <v>0</v>
      </c>
      <c r="BA2178" s="78">
        <f t="shared" si="1037"/>
        <v>0</v>
      </c>
      <c r="BB2178" s="78">
        <f t="shared" si="1038"/>
        <v>1</v>
      </c>
      <c r="BC2178" s="78">
        <f t="shared" si="1039"/>
        <v>0</v>
      </c>
      <c r="BD2178" s="78">
        <f t="shared" si="1040"/>
        <v>0</v>
      </c>
      <c r="BE2178" s="78">
        <f t="shared" si="1041"/>
        <v>0</v>
      </c>
      <c r="BF2178" s="78">
        <f t="shared" si="1042"/>
        <v>2</v>
      </c>
      <c r="BG2178" s="78">
        <f t="shared" si="1043"/>
        <v>0</v>
      </c>
      <c r="BH2178" s="78">
        <f t="shared" si="1044"/>
        <v>1</v>
      </c>
      <c r="BI2178" s="78">
        <f t="shared" si="1045"/>
        <v>0</v>
      </c>
      <c r="BJ2178" s="78">
        <f t="shared" si="1046"/>
        <v>2</v>
      </c>
      <c r="BK2178" s="78">
        <f t="shared" si="1047"/>
        <v>0</v>
      </c>
      <c r="BL2178" s="78">
        <f t="shared" si="1048"/>
        <v>2</v>
      </c>
      <c r="BM2178" s="78">
        <f t="shared" si="1049"/>
        <v>0</v>
      </c>
      <c r="BN2178" s="78">
        <f t="shared" si="1050"/>
        <v>0</v>
      </c>
      <c r="BO2178" s="78">
        <f t="shared" si="1051"/>
        <v>0</v>
      </c>
      <c r="BP2178" s="78">
        <f t="shared" si="1052"/>
        <v>0</v>
      </c>
      <c r="BQ2178" s="78">
        <f t="shared" si="1053"/>
        <v>3</v>
      </c>
      <c r="BR2178" s="78">
        <f t="shared" si="1054"/>
        <v>2</v>
      </c>
      <c r="BS2178" s="78">
        <f t="shared" si="1055"/>
        <v>0</v>
      </c>
      <c r="BT2178" s="78">
        <f t="shared" si="1056"/>
        <v>1</v>
      </c>
      <c r="BU2178" s="78">
        <f t="shared" si="1057"/>
        <v>0</v>
      </c>
      <c r="BV2178" s="78">
        <f t="shared" si="1058"/>
        <v>0</v>
      </c>
      <c r="BW2178" s="78">
        <f t="shared" si="1059"/>
        <v>2</v>
      </c>
      <c r="BX2178" s="78">
        <f t="shared" si="1060"/>
        <v>0</v>
      </c>
      <c r="BY2178" s="78">
        <f t="shared" si="1061"/>
        <v>1</v>
      </c>
      <c r="BZ2178" s="78">
        <f t="shared" si="1062"/>
        <v>0</v>
      </c>
      <c r="CA2178" s="78">
        <f>SUM(FLORESTA!$B2178:$BZ2178)</f>
        <v>58</v>
      </c>
      <c r="CB2178" s="60">
        <f>FLORESTA!$CA2178/77</f>
        <v>0.75324675324675328</v>
      </c>
    </row>
    <row r="2179" spans="1:80" x14ac:dyDescent="0.25">
      <c r="A2179" s="213" t="s">
        <v>17</v>
      </c>
      <c r="B2179" s="193">
        <f>SUM(B2174:B2178)</f>
        <v>463</v>
      </c>
      <c r="C2179" s="193">
        <f t="shared" si="987"/>
        <v>706</v>
      </c>
      <c r="D2179" s="193">
        <f t="shared" si="988"/>
        <v>861</v>
      </c>
      <c r="E2179" s="193">
        <f t="shared" si="989"/>
        <v>1031</v>
      </c>
      <c r="F2179" s="193">
        <f t="shared" si="990"/>
        <v>1023</v>
      </c>
      <c r="G2179" s="193">
        <f t="shared" si="991"/>
        <v>1016</v>
      </c>
      <c r="H2179" s="193">
        <f t="shared" si="992"/>
        <v>980</v>
      </c>
      <c r="I2179" s="193">
        <f t="shared" si="993"/>
        <v>1098</v>
      </c>
      <c r="J2179" s="193">
        <f t="shared" si="994"/>
        <v>1103</v>
      </c>
      <c r="K2179" s="193">
        <f t="shared" si="995"/>
        <v>984</v>
      </c>
      <c r="L2179" s="193">
        <f t="shared" si="996"/>
        <v>919</v>
      </c>
      <c r="M2179" s="193">
        <f t="shared" si="997"/>
        <v>929</v>
      </c>
      <c r="N2179" s="193">
        <f t="shared" si="998"/>
        <v>1000</v>
      </c>
      <c r="O2179" s="193">
        <f t="shared" si="999"/>
        <v>1197</v>
      </c>
      <c r="P2179" s="193">
        <f t="shared" si="1000"/>
        <v>1043</v>
      </c>
      <c r="Q2179" s="193">
        <f t="shared" si="1001"/>
        <v>1035</v>
      </c>
      <c r="R2179" s="193">
        <f t="shared" si="1002"/>
        <v>1006</v>
      </c>
      <c r="S2179" s="193">
        <f t="shared" si="1003"/>
        <v>958</v>
      </c>
      <c r="T2179" s="193">
        <f t="shared" si="1004"/>
        <v>976</v>
      </c>
      <c r="U2179" s="193">
        <f t="shared" si="1005"/>
        <v>1037</v>
      </c>
      <c r="V2179" s="193">
        <f t="shared" si="1006"/>
        <v>1036</v>
      </c>
      <c r="W2179" s="193">
        <f t="shared" si="1007"/>
        <v>1052</v>
      </c>
      <c r="X2179" s="193">
        <f t="shared" si="1008"/>
        <v>1012</v>
      </c>
      <c r="Y2179" s="193">
        <f t="shared" si="1009"/>
        <v>1203</v>
      </c>
      <c r="Z2179" s="193">
        <f t="shared" si="1010"/>
        <v>1080</v>
      </c>
      <c r="AA2179" s="193">
        <f t="shared" si="1011"/>
        <v>1055</v>
      </c>
      <c r="AB2179" s="193">
        <f t="shared" si="1012"/>
        <v>1135</v>
      </c>
      <c r="AC2179" s="193">
        <f t="shared" si="1013"/>
        <v>1250</v>
      </c>
      <c r="AD2179" s="193">
        <f t="shared" si="1014"/>
        <v>1194</v>
      </c>
      <c r="AE2179" s="193">
        <f t="shared" si="1015"/>
        <v>1159</v>
      </c>
      <c r="AF2179" s="193">
        <f t="shared" si="1016"/>
        <v>1162</v>
      </c>
      <c r="AG2179" s="193">
        <f t="shared" si="1017"/>
        <v>1139</v>
      </c>
      <c r="AH2179" s="193">
        <f t="shared" si="1018"/>
        <v>1156</v>
      </c>
      <c r="AI2179" s="193">
        <f t="shared" si="1019"/>
        <v>1147</v>
      </c>
      <c r="AJ2179" s="193">
        <f t="shared" si="1020"/>
        <v>1173</v>
      </c>
      <c r="AK2179" s="193">
        <f t="shared" si="1021"/>
        <v>1209</v>
      </c>
      <c r="AL2179" s="193">
        <f t="shared" si="1022"/>
        <v>1037</v>
      </c>
      <c r="AM2179" s="193">
        <f t="shared" si="1023"/>
        <v>1201</v>
      </c>
      <c r="AN2179" s="193">
        <f t="shared" si="1024"/>
        <v>1191</v>
      </c>
      <c r="AO2179" s="193">
        <f t="shared" si="1025"/>
        <v>1063</v>
      </c>
      <c r="AP2179" s="193">
        <f t="shared" si="1026"/>
        <v>1117</v>
      </c>
      <c r="AQ2179" s="193">
        <f t="shared" si="1027"/>
        <v>1088</v>
      </c>
      <c r="AR2179" s="193">
        <f t="shared" si="1028"/>
        <v>1041</v>
      </c>
      <c r="AS2179" s="193">
        <f t="shared" si="1029"/>
        <v>914</v>
      </c>
      <c r="AT2179" s="193">
        <f t="shared" si="1030"/>
        <v>992</v>
      </c>
      <c r="AU2179" s="193">
        <f t="shared" si="1031"/>
        <v>899</v>
      </c>
      <c r="AV2179" s="193">
        <f t="shared" si="1032"/>
        <v>954</v>
      </c>
      <c r="AW2179" s="193">
        <f t="shared" si="1033"/>
        <v>824</v>
      </c>
      <c r="AX2179" s="193">
        <f t="shared" si="1034"/>
        <v>934</v>
      </c>
      <c r="AY2179" s="193">
        <f t="shared" si="1035"/>
        <v>912</v>
      </c>
      <c r="AZ2179" s="193">
        <f t="shared" si="1036"/>
        <v>953</v>
      </c>
      <c r="BA2179" s="193">
        <f t="shared" si="1037"/>
        <v>912</v>
      </c>
      <c r="BB2179" s="193">
        <f t="shared" si="1038"/>
        <v>937</v>
      </c>
      <c r="BC2179" s="193">
        <f t="shared" si="1039"/>
        <v>904</v>
      </c>
      <c r="BD2179" s="193">
        <f t="shared" si="1040"/>
        <v>947</v>
      </c>
      <c r="BE2179" s="193">
        <f t="shared" si="1041"/>
        <v>910</v>
      </c>
      <c r="BF2179" s="193">
        <f t="shared" si="1042"/>
        <v>1009</v>
      </c>
      <c r="BG2179" s="193">
        <f t="shared" si="1043"/>
        <v>1006</v>
      </c>
      <c r="BH2179" s="193">
        <f t="shared" si="1044"/>
        <v>908</v>
      </c>
      <c r="BI2179" s="193">
        <f t="shared" si="1045"/>
        <v>1036</v>
      </c>
      <c r="BJ2179" s="193">
        <f t="shared" si="1046"/>
        <v>1102</v>
      </c>
      <c r="BK2179" s="193">
        <f t="shared" si="1047"/>
        <v>957</v>
      </c>
      <c r="BL2179" s="193">
        <f t="shared" si="1048"/>
        <v>945</v>
      </c>
      <c r="BM2179" s="193">
        <f t="shared" si="1049"/>
        <v>919</v>
      </c>
      <c r="BN2179" s="193">
        <f t="shared" si="1050"/>
        <v>941</v>
      </c>
      <c r="BO2179" s="193">
        <f t="shared" si="1051"/>
        <v>1015</v>
      </c>
      <c r="BP2179" s="193">
        <f t="shared" si="1052"/>
        <v>965</v>
      </c>
      <c r="BQ2179" s="193">
        <f t="shared" si="1053"/>
        <v>867</v>
      </c>
      <c r="BR2179" s="193">
        <f t="shared" si="1054"/>
        <v>930</v>
      </c>
      <c r="BS2179" s="193">
        <f t="shared" si="1055"/>
        <v>848</v>
      </c>
      <c r="BT2179" s="193">
        <f t="shared" si="1056"/>
        <v>910</v>
      </c>
      <c r="BU2179" s="193">
        <f t="shared" si="1057"/>
        <v>774</v>
      </c>
      <c r="BV2179" s="193">
        <f t="shared" si="1058"/>
        <v>814</v>
      </c>
      <c r="BW2179" s="193">
        <f t="shared" si="1059"/>
        <v>872</v>
      </c>
      <c r="BX2179" s="193">
        <f t="shared" si="1060"/>
        <v>776</v>
      </c>
      <c r="BY2179" s="193">
        <f t="shared" si="1061"/>
        <v>872</v>
      </c>
      <c r="BZ2179" s="193">
        <f t="shared" si="1062"/>
        <v>752</v>
      </c>
      <c r="CA2179" s="193">
        <f>SUM(FLORESTA!$B2179:$BZ2179)</f>
        <v>76475</v>
      </c>
      <c r="CB2179" s="214">
        <f>FLORESTA!$CA2179/77</f>
        <v>993.18181818181813</v>
      </c>
    </row>
    <row r="2180" spans="1:80" x14ac:dyDescent="0.25">
      <c r="A2180" s="212" t="s">
        <v>18</v>
      </c>
      <c r="B2180" s="22">
        <v>7.7287522700497893E-2</v>
      </c>
      <c r="C2180" s="30">
        <f t="shared" si="987"/>
        <v>0.1517063801994866</v>
      </c>
      <c r="D2180" s="30">
        <f t="shared" si="988"/>
        <v>0.20257414859549749</v>
      </c>
      <c r="E2180" s="30">
        <f t="shared" si="989"/>
        <v>0.24062512202630082</v>
      </c>
      <c r="F2180" s="30">
        <f t="shared" si="990"/>
        <v>0.4355271925853843</v>
      </c>
      <c r="G2180" s="30">
        <f t="shared" si="991"/>
        <v>0.29008552915465696</v>
      </c>
      <c r="H2180" s="30">
        <f t="shared" si="992"/>
        <v>0.2733367936068305</v>
      </c>
      <c r="I2180" s="30">
        <f t="shared" si="993"/>
        <v>0.27713021365788587</v>
      </c>
      <c r="J2180" s="30">
        <f t="shared" si="994"/>
        <v>0.29084228018919878</v>
      </c>
      <c r="K2180" s="30">
        <f t="shared" si="995"/>
        <v>0.26980087509453898</v>
      </c>
      <c r="L2180" s="30">
        <f t="shared" si="996"/>
        <v>0.28053734491554638</v>
      </c>
      <c r="M2180" s="30">
        <f t="shared" si="997"/>
        <v>0.2193693821437116</v>
      </c>
      <c r="N2180" s="30">
        <f t="shared" si="998"/>
        <v>0.27289958737406594</v>
      </c>
      <c r="O2180" s="30">
        <f t="shared" si="999"/>
        <v>0.25312112021868388</v>
      </c>
      <c r="P2180" s="30">
        <f t="shared" si="1000"/>
        <v>0.27540010262449499</v>
      </c>
      <c r="Q2180" s="30">
        <f t="shared" si="1001"/>
        <v>0.34207062596065957</v>
      </c>
      <c r="R2180" s="30">
        <f t="shared" si="1002"/>
        <v>0.32497621711744862</v>
      </c>
      <c r="S2180" s="30">
        <f t="shared" si="1003"/>
        <v>0.35849428747406392</v>
      </c>
      <c r="T2180" s="30">
        <f t="shared" si="1004"/>
        <v>0.38738915386311495</v>
      </c>
      <c r="U2180" s="30">
        <f t="shared" si="1005"/>
        <v>0.37884356788216061</v>
      </c>
      <c r="V2180" s="30">
        <f t="shared" si="1006"/>
        <v>0.3702216770167775</v>
      </c>
      <c r="W2180" s="30">
        <f t="shared" si="1007"/>
        <v>0.37068807985529856</v>
      </c>
      <c r="X2180" s="30">
        <f t="shared" si="1008"/>
        <v>0.41560673462910874</v>
      </c>
      <c r="Y2180" s="30">
        <f t="shared" si="1009"/>
        <v>0.44589470626939198</v>
      </c>
      <c r="Z2180" s="30">
        <f t="shared" si="1010"/>
        <v>0.37352686272076374</v>
      </c>
      <c r="AA2180" s="30">
        <f t="shared" si="1011"/>
        <v>0.45845398588326863</v>
      </c>
      <c r="AB2180" s="30">
        <f t="shared" si="1012"/>
        <v>0.41864974071442768</v>
      </c>
      <c r="AC2180" s="30">
        <f t="shared" si="1013"/>
        <v>0.39273814294945059</v>
      </c>
      <c r="AD2180" s="30">
        <f t="shared" si="1014"/>
        <v>0.41811055576206158</v>
      </c>
      <c r="AE2180" s="30">
        <f t="shared" si="1015"/>
        <v>0.4429775256807304</v>
      </c>
      <c r="AF2180" s="30">
        <f t="shared" si="1016"/>
        <v>0.46355604965794589</v>
      </c>
      <c r="AG2180" s="30">
        <f t="shared" si="1017"/>
        <v>0.44222986477249304</v>
      </c>
      <c r="AH2180" s="30">
        <f t="shared" si="1018"/>
        <v>0.47842274654192074</v>
      </c>
      <c r="AI2180" s="30">
        <f t="shared" si="1019"/>
        <v>0.46412174320801752</v>
      </c>
      <c r="AJ2180" s="30">
        <f t="shared" si="1020"/>
        <v>0.42174674962216652</v>
      </c>
      <c r="AK2180" s="30">
        <f t="shared" si="1021"/>
        <v>0.39238168881879548</v>
      </c>
      <c r="AL2180" s="30">
        <f t="shared" si="1022"/>
        <v>0.40949279207967548</v>
      </c>
      <c r="AM2180" s="30">
        <f t="shared" si="1023"/>
        <v>0.38072217556459065</v>
      </c>
      <c r="AN2180" s="30">
        <f t="shared" si="1024"/>
        <v>0.45135641256569975</v>
      </c>
      <c r="AO2180" s="30">
        <f t="shared" si="1025"/>
        <v>0.44842593361255684</v>
      </c>
      <c r="AP2180" s="30">
        <f t="shared" si="1026"/>
        <v>0.41781528546287011</v>
      </c>
      <c r="AQ2180" s="30">
        <f t="shared" si="1027"/>
        <v>0.44194310417661647</v>
      </c>
      <c r="AR2180" s="30">
        <f t="shared" si="1028"/>
        <v>0.47914358273294005</v>
      </c>
      <c r="AS2180" s="30">
        <f t="shared" si="1029"/>
        <v>0.49783415541718917</v>
      </c>
      <c r="AT2180" s="30">
        <f t="shared" si="1030"/>
        <v>0.45666741494642632</v>
      </c>
      <c r="AU2180" s="30">
        <f t="shared" si="1031"/>
        <v>0.4291568454920946</v>
      </c>
      <c r="AV2180" s="30">
        <f t="shared" si="1032"/>
        <v>0.40689604401736817</v>
      </c>
      <c r="AW2180" s="30">
        <f t="shared" si="1033"/>
        <v>0.4089805827710451</v>
      </c>
      <c r="AX2180" s="30">
        <f t="shared" si="1034"/>
        <v>0.37692572930438073</v>
      </c>
      <c r="AY2180" s="30">
        <f t="shared" si="1035"/>
        <v>0.42741855914197319</v>
      </c>
      <c r="AZ2180" s="30">
        <f t="shared" si="1036"/>
        <v>0.41158224276944777</v>
      </c>
      <c r="BA2180" s="30">
        <f t="shared" si="1037"/>
        <v>0.40387604502551333</v>
      </c>
      <c r="BB2180" s="30">
        <f t="shared" si="1038"/>
        <v>0.44127317938137589</v>
      </c>
      <c r="BC2180" s="30">
        <f t="shared" si="1039"/>
        <v>0.42970922702777342</v>
      </c>
      <c r="BD2180" s="30">
        <f t="shared" si="1040"/>
        <v>0.41846760838343999</v>
      </c>
      <c r="BE2180" s="30">
        <f t="shared" si="1041"/>
        <v>0.4211058553141363</v>
      </c>
      <c r="BF2180" s="30">
        <f t="shared" si="1042"/>
        <v>0.41135865764115642</v>
      </c>
      <c r="BG2180" s="30">
        <f t="shared" si="1043"/>
        <v>0.43219836309454085</v>
      </c>
      <c r="BH2180" s="30">
        <f t="shared" si="1044"/>
        <v>0.43256267902581946</v>
      </c>
      <c r="BI2180" s="30">
        <f t="shared" si="1045"/>
        <v>0.4234831122197551</v>
      </c>
      <c r="BJ2180" s="30">
        <f t="shared" si="1046"/>
        <v>0.36357971119743415</v>
      </c>
      <c r="BK2180" s="30">
        <f t="shared" si="1047"/>
        <v>0.37793044023356998</v>
      </c>
      <c r="BL2180" s="30">
        <f t="shared" si="1048"/>
        <v>0.34887411653464606</v>
      </c>
      <c r="BM2180" s="30">
        <f t="shared" si="1049"/>
        <v>0.318873398920062</v>
      </c>
      <c r="BN2180" s="30">
        <f t="shared" si="1050"/>
        <v>0.30341988110501006</v>
      </c>
      <c r="BO2180" s="30">
        <f t="shared" si="1051"/>
        <v>0.35100762282543224</v>
      </c>
      <c r="BP2180" s="30">
        <f t="shared" si="1052"/>
        <v>0.37027107836672335</v>
      </c>
      <c r="BQ2180" s="30">
        <f t="shared" si="1053"/>
        <v>0.39167690853108628</v>
      </c>
      <c r="BR2180" s="30">
        <f t="shared" si="1054"/>
        <v>0.39245335844748763</v>
      </c>
      <c r="BS2180" s="30">
        <f t="shared" si="1055"/>
        <v>0.40549104013876469</v>
      </c>
      <c r="BT2180" s="30">
        <f t="shared" si="1056"/>
        <v>0.40997189660798145</v>
      </c>
      <c r="BU2180" s="30">
        <f t="shared" si="1057"/>
        <v>0.32733083417467568</v>
      </c>
      <c r="BV2180" s="30">
        <f t="shared" si="1058"/>
        <v>0.35276205389911336</v>
      </c>
      <c r="BW2180" s="30">
        <f t="shared" si="1059"/>
        <v>0.38122796561236166</v>
      </c>
      <c r="BX2180" s="30">
        <f t="shared" si="1060"/>
        <v>0.32577701910668261</v>
      </c>
      <c r="BY2180" s="30">
        <f t="shared" si="1061"/>
        <v>0.35552349707267689</v>
      </c>
      <c r="BZ2180" s="30">
        <f t="shared" si="1062"/>
        <v>0.36891969699252997</v>
      </c>
      <c r="CA2180" s="22">
        <f>CA2187/CA2192</f>
        <v>0.37977829600186375</v>
      </c>
      <c r="CB2180" s="160">
        <f>CB2187/CB2192</f>
        <v>0.37977829600186375</v>
      </c>
    </row>
    <row r="2181" spans="1:80" x14ac:dyDescent="0.25">
      <c r="A2181" s="212" t="s">
        <v>19</v>
      </c>
      <c r="B2181" s="22">
        <v>5.0872369952942595E-3</v>
      </c>
      <c r="C2181" s="30">
        <f t="shared" si="987"/>
        <v>0</v>
      </c>
      <c r="D2181" s="30">
        <f t="shared" si="988"/>
        <v>2.2968223254154099E-3</v>
      </c>
      <c r="E2181" s="30">
        <f t="shared" si="989"/>
        <v>1.9374238906974513E-3</v>
      </c>
      <c r="F2181" s="30">
        <f t="shared" si="990"/>
        <v>1.018249757366696E-2</v>
      </c>
      <c r="G2181" s="30">
        <f t="shared" si="991"/>
        <v>7.1378823513985412E-3</v>
      </c>
      <c r="H2181" s="30">
        <f t="shared" si="992"/>
        <v>2.8589090314606971E-3</v>
      </c>
      <c r="I2181" s="30">
        <f t="shared" si="993"/>
        <v>6.0738506759351763E-3</v>
      </c>
      <c r="J2181" s="30">
        <f t="shared" si="994"/>
        <v>1.2526887807152523E-3</v>
      </c>
      <c r="K2181" s="30">
        <f t="shared" si="995"/>
        <v>1.1043957491046367E-2</v>
      </c>
      <c r="L2181" s="30">
        <f t="shared" si="996"/>
        <v>1.0748891360655991E-2</v>
      </c>
      <c r="M2181" s="30">
        <f t="shared" si="997"/>
        <v>1.2236082234826553E-2</v>
      </c>
      <c r="N2181" s="30">
        <f t="shared" si="998"/>
        <v>9.9194293899690714E-2</v>
      </c>
      <c r="O2181" s="30">
        <f t="shared" si="999"/>
        <v>2.4295934400060348E-2</v>
      </c>
      <c r="P2181" s="30">
        <f t="shared" si="1000"/>
        <v>8.9442618310381552E-3</v>
      </c>
      <c r="Q2181" s="30">
        <f t="shared" si="1001"/>
        <v>1.3261518547086449E-2</v>
      </c>
      <c r="R2181" s="30">
        <f t="shared" si="1002"/>
        <v>8.6468937533128246E-3</v>
      </c>
      <c r="S2181" s="30">
        <f t="shared" si="1003"/>
        <v>1.514726025807701E-2</v>
      </c>
      <c r="T2181" s="30">
        <f t="shared" si="1004"/>
        <v>1.7563509137261808E-2</v>
      </c>
      <c r="U2181" s="30">
        <f t="shared" si="1005"/>
        <v>9.131800316670163E-3</v>
      </c>
      <c r="V2181" s="30">
        <f t="shared" si="1006"/>
        <v>1.4654796838724579E-2</v>
      </c>
      <c r="W2181" s="30">
        <f t="shared" si="1007"/>
        <v>1.9189724978049046E-2</v>
      </c>
      <c r="X2181" s="30">
        <f t="shared" si="1008"/>
        <v>2.5804098276015486E-2</v>
      </c>
      <c r="Y2181" s="30">
        <f t="shared" si="1009"/>
        <v>1.8467336822624081E-2</v>
      </c>
      <c r="Z2181" s="30">
        <f t="shared" si="1010"/>
        <v>1.4066545621086812E-2</v>
      </c>
      <c r="AA2181" s="30">
        <f t="shared" si="1011"/>
        <v>1.9290231982888921E-2</v>
      </c>
      <c r="AB2181" s="30">
        <f t="shared" si="1012"/>
        <v>1.3468246563691562E-2</v>
      </c>
      <c r="AC2181" s="30">
        <f t="shared" si="1013"/>
        <v>1.6851862578732616E-2</v>
      </c>
      <c r="AD2181" s="30">
        <f t="shared" si="1014"/>
        <v>1.3896303311697319E-2</v>
      </c>
      <c r="AE2181" s="30">
        <f t="shared" si="1015"/>
        <v>1.0043611149023801E-2</v>
      </c>
      <c r="AF2181" s="30">
        <f t="shared" si="1016"/>
        <v>1.0606086888763178E-2</v>
      </c>
      <c r="AG2181" s="30">
        <f t="shared" si="1017"/>
        <v>1.6557393210704527E-2</v>
      </c>
      <c r="AH2181" s="30">
        <f t="shared" si="1018"/>
        <v>1.1797276866899409E-2</v>
      </c>
      <c r="AI2181" s="30">
        <f t="shared" si="1019"/>
        <v>1.079710766898437E-2</v>
      </c>
      <c r="AJ2181" s="30">
        <f t="shared" si="1020"/>
        <v>1.1729052911875464E-2</v>
      </c>
      <c r="AK2181" s="30">
        <f t="shared" si="1021"/>
        <v>1.1526916899699485E-2</v>
      </c>
      <c r="AL2181" s="30">
        <f t="shared" si="1022"/>
        <v>1.9920057124169669E-2</v>
      </c>
      <c r="AM2181" s="30">
        <f t="shared" si="1023"/>
        <v>8.2030244228253491E-3</v>
      </c>
      <c r="AN2181" s="30">
        <f t="shared" si="1024"/>
        <v>1.9371686439582696E-2</v>
      </c>
      <c r="AO2181" s="30">
        <f t="shared" si="1025"/>
        <v>9.340648711558314E-3</v>
      </c>
      <c r="AP2181" s="30">
        <f t="shared" si="1026"/>
        <v>1.3405717979777321E-2</v>
      </c>
      <c r="AQ2181" s="30">
        <f t="shared" si="1027"/>
        <v>2.2395958311692887E-2</v>
      </c>
      <c r="AR2181" s="30">
        <f t="shared" si="1028"/>
        <v>9.7417527297482421E-3</v>
      </c>
      <c r="AS2181" s="30">
        <f t="shared" si="1029"/>
        <v>1.6825829238782116E-2</v>
      </c>
      <c r="AT2181" s="30">
        <f t="shared" si="1030"/>
        <v>5.5791896238104027E-3</v>
      </c>
      <c r="AU2181" s="30">
        <f t="shared" si="1031"/>
        <v>1.5232595352904643E-2</v>
      </c>
      <c r="AV2181" s="30">
        <f t="shared" si="1032"/>
        <v>8.8789277611293679E-3</v>
      </c>
      <c r="AW2181" s="30">
        <f t="shared" si="1033"/>
        <v>1.2873495028029749E-2</v>
      </c>
      <c r="AX2181" s="30">
        <f t="shared" si="1034"/>
        <v>1.0338589772053085E-2</v>
      </c>
      <c r="AY2181" s="30">
        <f t="shared" si="1035"/>
        <v>1.9058538274499912E-2</v>
      </c>
      <c r="AZ2181" s="30">
        <f t="shared" si="1036"/>
        <v>1.3510982372152109E-2</v>
      </c>
      <c r="BA2181" s="30">
        <f t="shared" si="1037"/>
        <v>1.4071283813009301E-2</v>
      </c>
      <c r="BB2181" s="30">
        <f t="shared" si="1038"/>
        <v>2.4291413557837243E-2</v>
      </c>
      <c r="BC2181" s="30">
        <f t="shared" si="1039"/>
        <v>1.5493462893296051E-2</v>
      </c>
      <c r="BD2181" s="30">
        <f t="shared" si="1040"/>
        <v>1.7079496890381258E-2</v>
      </c>
      <c r="BE2181" s="30">
        <f t="shared" si="1041"/>
        <v>1.3381388047165259E-2</v>
      </c>
      <c r="BF2181" s="30">
        <f t="shared" si="1042"/>
        <v>1.4071506967835825E-2</v>
      </c>
      <c r="BG2181" s="30">
        <f t="shared" si="1043"/>
        <v>1.0361274638342379E-2</v>
      </c>
      <c r="BH2181" s="30">
        <f t="shared" si="1044"/>
        <v>6.3506808706527938E-3</v>
      </c>
      <c r="BI2181" s="30">
        <f t="shared" si="1045"/>
        <v>8.5849429190365846E-3</v>
      </c>
      <c r="BJ2181" s="30">
        <f t="shared" si="1046"/>
        <v>1.7018081207817993E-2</v>
      </c>
      <c r="BK2181" s="30">
        <f t="shared" si="1047"/>
        <v>6.4519630522704196E-3</v>
      </c>
      <c r="BL2181" s="30">
        <f t="shared" si="1048"/>
        <v>1.1120907363219197E-2</v>
      </c>
      <c r="BM2181" s="30">
        <f t="shared" si="1049"/>
        <v>1.1492590380668924E-2</v>
      </c>
      <c r="BN2181" s="30">
        <f t="shared" si="1050"/>
        <v>8.8261009045579684E-3</v>
      </c>
      <c r="BO2181" s="30">
        <f t="shared" si="1051"/>
        <v>9.7903793139151214E-3</v>
      </c>
      <c r="BP2181" s="30">
        <f t="shared" si="1052"/>
        <v>1.30506664845986E-2</v>
      </c>
      <c r="BQ2181" s="30">
        <f t="shared" si="1053"/>
        <v>1.1941458666989375E-2</v>
      </c>
      <c r="BR2181" s="30">
        <f t="shared" si="1054"/>
        <v>1.3719891220376468E-2</v>
      </c>
      <c r="BS2181" s="30">
        <f t="shared" si="1055"/>
        <v>9.909484121316578E-3</v>
      </c>
      <c r="BT2181" s="30">
        <f t="shared" si="1056"/>
        <v>1.6019695747002686E-2</v>
      </c>
      <c r="BU2181" s="30">
        <f t="shared" si="1057"/>
        <v>1.5776268513108198E-2</v>
      </c>
      <c r="BV2181" s="30">
        <f t="shared" si="1058"/>
        <v>7.8249495834335995E-3</v>
      </c>
      <c r="BW2181" s="30">
        <f t="shared" si="1059"/>
        <v>1.5230733902476621E-2</v>
      </c>
      <c r="BX2181" s="30">
        <f t="shared" si="1060"/>
        <v>1.0100566577484182E-2</v>
      </c>
      <c r="BY2181" s="30">
        <f t="shared" si="1061"/>
        <v>8.1610284194809091E-3</v>
      </c>
      <c r="BZ2181" s="30">
        <f t="shared" si="1062"/>
        <v>1.6046697783188728E-2</v>
      </c>
      <c r="CA2181" s="22">
        <f>CA2188/CA2192</f>
        <v>1.3747835946680234E-2</v>
      </c>
      <c r="CB2181" s="160">
        <f>CB2188/CB2192</f>
        <v>1.3747835946680234E-2</v>
      </c>
    </row>
    <row r="2182" spans="1:80" x14ac:dyDescent="0.25">
      <c r="A2182" s="212" t="s">
        <v>20</v>
      </c>
      <c r="B2182" s="22">
        <v>0.75535068899819102</v>
      </c>
      <c r="C2182" s="30">
        <f t="shared" si="987"/>
        <v>0.7368663584718721</v>
      </c>
      <c r="D2182" s="30">
        <f t="shared" si="988"/>
        <v>0.66575762253714932</v>
      </c>
      <c r="E2182" s="30">
        <f t="shared" si="989"/>
        <v>0.71410544240470375</v>
      </c>
      <c r="F2182" s="30">
        <f t="shared" si="990"/>
        <v>0.53426021778988975</v>
      </c>
      <c r="G2182" s="30">
        <f t="shared" si="991"/>
        <v>0.64847454107372293</v>
      </c>
      <c r="H2182" s="30">
        <f t="shared" si="992"/>
        <v>0.66444677419297538</v>
      </c>
      <c r="I2182" s="30">
        <f t="shared" si="993"/>
        <v>0.68740122381948277</v>
      </c>
      <c r="J2182" s="30">
        <f t="shared" si="994"/>
        <v>0.68042847925402905</v>
      </c>
      <c r="K2182" s="30">
        <f t="shared" si="995"/>
        <v>0.71299202887658719</v>
      </c>
      <c r="L2182" s="30">
        <f t="shared" si="996"/>
        <v>0.6969529692485873</v>
      </c>
      <c r="M2182" s="30">
        <f t="shared" si="997"/>
        <v>0.76839453562146187</v>
      </c>
      <c r="N2182" s="30">
        <f t="shared" si="998"/>
        <v>0.62790611872624336</v>
      </c>
      <c r="O2182" s="30">
        <f t="shared" si="999"/>
        <v>0.72043379276743014</v>
      </c>
      <c r="P2182" s="30">
        <f t="shared" si="1000"/>
        <v>0.71464932198754894</v>
      </c>
      <c r="Q2182" s="30">
        <f t="shared" si="1001"/>
        <v>0.64466785549225403</v>
      </c>
      <c r="R2182" s="30">
        <f t="shared" si="1002"/>
        <v>0.66495755872204343</v>
      </c>
      <c r="S2182" s="30">
        <f t="shared" si="1003"/>
        <v>0.62519101427290602</v>
      </c>
      <c r="T2182" s="30">
        <f t="shared" si="1004"/>
        <v>0.5950473369996232</v>
      </c>
      <c r="U2182" s="30">
        <f t="shared" si="1005"/>
        <v>0.61202463180116917</v>
      </c>
      <c r="V2182" s="30">
        <f t="shared" si="1006"/>
        <v>0.61512352614449806</v>
      </c>
      <c r="W2182" s="30">
        <f t="shared" si="1007"/>
        <v>0.60930850077561383</v>
      </c>
      <c r="X2182" s="30">
        <f t="shared" si="1008"/>
        <v>0.55858916709487572</v>
      </c>
      <c r="Y2182" s="30">
        <f t="shared" si="1009"/>
        <v>0.53563795690798399</v>
      </c>
      <c r="Z2182" s="30">
        <f t="shared" si="1010"/>
        <v>0.56587876182815267</v>
      </c>
      <c r="AA2182" s="30">
        <f t="shared" si="1011"/>
        <v>0.48958204170891462</v>
      </c>
      <c r="AB2182" s="30">
        <f t="shared" si="1012"/>
        <v>0.52324127902942386</v>
      </c>
      <c r="AC2182" s="30">
        <f t="shared" si="1013"/>
        <v>0.56001479625530493</v>
      </c>
      <c r="AD2182" s="30">
        <f t="shared" si="1014"/>
        <v>0.51890527854782753</v>
      </c>
      <c r="AE2182" s="30">
        <f t="shared" si="1015"/>
        <v>0.48586091053515063</v>
      </c>
      <c r="AF2182" s="30">
        <f t="shared" si="1016"/>
        <v>0.47553804785448317</v>
      </c>
      <c r="AG2182" s="30">
        <f t="shared" si="1017"/>
        <v>0.48380117801517025</v>
      </c>
      <c r="AH2182" s="30">
        <f t="shared" si="1018"/>
        <v>0.44870328033836526</v>
      </c>
      <c r="AI2182" s="30">
        <f t="shared" si="1019"/>
        <v>0.48068569943886419</v>
      </c>
      <c r="AJ2182" s="30">
        <f t="shared" si="1020"/>
        <v>0.49032426261288231</v>
      </c>
      <c r="AK2182" s="30">
        <f t="shared" si="1021"/>
        <v>0.5707534471059279</v>
      </c>
      <c r="AL2182" s="30">
        <f t="shared" si="1022"/>
        <v>0.48602481905376993</v>
      </c>
      <c r="AM2182" s="30">
        <f t="shared" si="1023"/>
        <v>0.51320417858952205</v>
      </c>
      <c r="AN2182" s="30">
        <f t="shared" si="1024"/>
        <v>0.45828148779022987</v>
      </c>
      <c r="AO2182" s="30">
        <f t="shared" si="1025"/>
        <v>0.49112502370596728</v>
      </c>
      <c r="AP2182" s="30">
        <f t="shared" si="1026"/>
        <v>0.47809326904106952</v>
      </c>
      <c r="AQ2182" s="30">
        <f t="shared" si="1027"/>
        <v>0.45836984296857858</v>
      </c>
      <c r="AR2182" s="30">
        <f t="shared" si="1028"/>
        <v>0.44704060940893747</v>
      </c>
      <c r="AS2182" s="30">
        <f t="shared" si="1029"/>
        <v>0.40921002925232025</v>
      </c>
      <c r="AT2182" s="30">
        <f t="shared" si="1030"/>
        <v>0.45032455351203682</v>
      </c>
      <c r="AU2182" s="30">
        <f t="shared" si="1031"/>
        <v>0.47914391854685784</v>
      </c>
      <c r="AV2182" s="30">
        <f t="shared" si="1032"/>
        <v>0.51386814096624145</v>
      </c>
      <c r="AW2182" s="30">
        <f t="shared" si="1033"/>
        <v>0.53404923288970785</v>
      </c>
      <c r="AX2182" s="30">
        <f t="shared" si="1034"/>
        <v>0.53070913496524719</v>
      </c>
      <c r="AY2182" s="30">
        <f t="shared" si="1035"/>
        <v>0.48919986016211015</v>
      </c>
      <c r="AZ2182" s="30">
        <f t="shared" si="1036"/>
        <v>0.47581563573719382</v>
      </c>
      <c r="BA2182" s="30">
        <f t="shared" si="1037"/>
        <v>0.46173712882044737</v>
      </c>
      <c r="BB2182" s="30">
        <f t="shared" si="1038"/>
        <v>0.43952280931683047</v>
      </c>
      <c r="BC2182" s="30">
        <f t="shared" si="1039"/>
        <v>0.44586227039525117</v>
      </c>
      <c r="BD2182" s="30">
        <f t="shared" si="1040"/>
        <v>0.46755561689705116</v>
      </c>
      <c r="BE2182" s="30">
        <f t="shared" si="1041"/>
        <v>0.49070559112322171</v>
      </c>
      <c r="BF2182" s="30">
        <f t="shared" si="1042"/>
        <v>0.48504466438519689</v>
      </c>
      <c r="BG2182" s="30">
        <f t="shared" si="1043"/>
        <v>0.48103923670946597</v>
      </c>
      <c r="BH2182" s="30">
        <f t="shared" si="1044"/>
        <v>0.47512151603002084</v>
      </c>
      <c r="BI2182" s="30">
        <f t="shared" si="1045"/>
        <v>0.49975541125161976</v>
      </c>
      <c r="BJ2182" s="30">
        <f t="shared" si="1046"/>
        <v>0.53962711061144131</v>
      </c>
      <c r="BK2182" s="30">
        <f t="shared" si="1047"/>
        <v>0.53681571172045872</v>
      </c>
      <c r="BL2182" s="30">
        <f t="shared" si="1048"/>
        <v>0.56813553833397379</v>
      </c>
      <c r="BM2182" s="30">
        <f t="shared" si="1049"/>
        <v>0.57964538538003652</v>
      </c>
      <c r="BN2182" s="30">
        <f t="shared" si="1050"/>
        <v>0.59853131393798031</v>
      </c>
      <c r="BO2182" s="30">
        <f t="shared" si="1051"/>
        <v>0.5635440472732397</v>
      </c>
      <c r="BP2182" s="30">
        <f t="shared" si="1052"/>
        <v>0.52777981439172339</v>
      </c>
      <c r="BQ2182" s="30">
        <f t="shared" si="1053"/>
        <v>0.5164018514167672</v>
      </c>
      <c r="BR2182" s="30">
        <f t="shared" si="1054"/>
        <v>0.50475255786937234</v>
      </c>
      <c r="BS2182" s="30">
        <f t="shared" si="1055"/>
        <v>0.49981002215392095</v>
      </c>
      <c r="BT2182" s="30">
        <f t="shared" si="1056"/>
        <v>0.5022054274923633</v>
      </c>
      <c r="BU2182" s="30">
        <f t="shared" si="1057"/>
        <v>0.58057341223660142</v>
      </c>
      <c r="BV2182" s="30">
        <f t="shared" si="1058"/>
        <v>0.52513671191850708</v>
      </c>
      <c r="BW2182" s="30">
        <f t="shared" si="1059"/>
        <v>0.51484673164523909</v>
      </c>
      <c r="BX2182" s="30">
        <f t="shared" si="1060"/>
        <v>0.56383657404156007</v>
      </c>
      <c r="BY2182" s="30">
        <f t="shared" si="1061"/>
        <v>0.53655347398765518</v>
      </c>
      <c r="BZ2182" s="30">
        <f t="shared" si="1062"/>
        <v>0.52705013286524915</v>
      </c>
      <c r="CA2182" s="22">
        <f>CA2189/CA2192</f>
        <v>0.54844664348480565</v>
      </c>
      <c r="CB2182" s="160">
        <f>CB2189/CB2192</f>
        <v>0.54844664348480554</v>
      </c>
    </row>
    <row r="2183" spans="1:80" x14ac:dyDescent="0.25">
      <c r="A2183" s="212" t="s">
        <v>21</v>
      </c>
      <c r="B2183" s="22">
        <v>0.15366387084014765</v>
      </c>
      <c r="C2183" s="30">
        <f t="shared" si="987"/>
        <v>0.11022372839378455</v>
      </c>
      <c r="D2183" s="30">
        <f t="shared" si="988"/>
        <v>0.12860600510461886</v>
      </c>
      <c r="E2183" s="30">
        <f t="shared" si="989"/>
        <v>4.3332011678297935E-2</v>
      </c>
      <c r="F2183" s="30">
        <f t="shared" si="990"/>
        <v>2.003009205105908E-2</v>
      </c>
      <c r="G2183" s="30">
        <f t="shared" si="991"/>
        <v>5.43020474202216E-2</v>
      </c>
      <c r="H2183" s="30">
        <f t="shared" si="992"/>
        <v>5.4959622711759429E-2</v>
      </c>
      <c r="I2183" s="30">
        <f t="shared" si="993"/>
        <v>2.5249728136474116E-2</v>
      </c>
      <c r="J2183" s="30">
        <f t="shared" si="994"/>
        <v>2.7476551776056988E-2</v>
      </c>
      <c r="K2183" s="30">
        <f t="shared" si="995"/>
        <v>3.2481068913931578E-3</v>
      </c>
      <c r="L2183" s="30">
        <f t="shared" si="996"/>
        <v>7.999623990477385E-3</v>
      </c>
      <c r="M2183" s="30">
        <f t="shared" si="997"/>
        <v>0</v>
      </c>
      <c r="N2183" s="30">
        <f t="shared" si="998"/>
        <v>0</v>
      </c>
      <c r="O2183" s="30">
        <f t="shared" si="999"/>
        <v>0</v>
      </c>
      <c r="P2183" s="30">
        <f t="shared" si="1000"/>
        <v>1.0063135569179339E-3</v>
      </c>
      <c r="Q2183" s="30">
        <f t="shared" si="1001"/>
        <v>0</v>
      </c>
      <c r="R2183" s="30">
        <f t="shared" si="1002"/>
        <v>1.419330407195182E-3</v>
      </c>
      <c r="S2183" s="30">
        <f t="shared" si="1003"/>
        <v>0</v>
      </c>
      <c r="T2183" s="30">
        <f t="shared" si="1004"/>
        <v>0</v>
      </c>
      <c r="U2183" s="30">
        <f t="shared" si="1005"/>
        <v>0</v>
      </c>
      <c r="V2183" s="30">
        <f t="shared" si="1006"/>
        <v>0</v>
      </c>
      <c r="W2183" s="30">
        <f t="shared" si="1007"/>
        <v>8.1369439103855853E-4</v>
      </c>
      <c r="X2183" s="30">
        <f t="shared" si="1008"/>
        <v>0</v>
      </c>
      <c r="Y2183" s="30">
        <f t="shared" si="1009"/>
        <v>0</v>
      </c>
      <c r="Z2183" s="30">
        <f t="shared" si="1010"/>
        <v>4.6527829829996821E-2</v>
      </c>
      <c r="AA2183" s="30">
        <f t="shared" si="1011"/>
        <v>3.2673740424927815E-2</v>
      </c>
      <c r="AB2183" s="30">
        <f t="shared" si="1012"/>
        <v>4.0753003366492797E-2</v>
      </c>
      <c r="AC2183" s="30">
        <f t="shared" si="1013"/>
        <v>3.0395198216511855E-2</v>
      </c>
      <c r="AD2183" s="30">
        <f t="shared" si="1014"/>
        <v>4.9087862378413658E-2</v>
      </c>
      <c r="AE2183" s="30">
        <f t="shared" si="1015"/>
        <v>6.1117952635095091E-2</v>
      </c>
      <c r="AF2183" s="30">
        <f t="shared" si="1016"/>
        <v>5.0299815598807827E-2</v>
      </c>
      <c r="AG2183" s="30">
        <f t="shared" si="1017"/>
        <v>5.7411564001632082E-2</v>
      </c>
      <c r="AH2183" s="30">
        <f t="shared" si="1018"/>
        <v>6.107669625281445E-2</v>
      </c>
      <c r="AI2183" s="30">
        <f t="shared" si="1019"/>
        <v>4.4395449684133961E-2</v>
      </c>
      <c r="AJ2183" s="30">
        <f t="shared" si="1020"/>
        <v>7.3908340347111745E-2</v>
      </c>
      <c r="AK2183" s="30">
        <f t="shared" si="1021"/>
        <v>2.5337947175577254E-2</v>
      </c>
      <c r="AL2183" s="30">
        <f t="shared" si="1022"/>
        <v>8.4562331742384936E-2</v>
      </c>
      <c r="AM2183" s="30">
        <f t="shared" si="1023"/>
        <v>9.5025543756715625E-2</v>
      </c>
      <c r="AN2183" s="30">
        <f t="shared" si="1024"/>
        <v>7.0362695847666495E-2</v>
      </c>
      <c r="AO2183" s="30">
        <f t="shared" si="1025"/>
        <v>5.1108393969917572E-2</v>
      </c>
      <c r="AP2183" s="30">
        <f t="shared" si="1026"/>
        <v>8.9560555977407572E-2</v>
      </c>
      <c r="AQ2183" s="30">
        <f t="shared" si="1027"/>
        <v>7.7291094543112018E-2</v>
      </c>
      <c r="AR2183" s="30">
        <f t="shared" si="1028"/>
        <v>6.298430408713078E-2</v>
      </c>
      <c r="AS2183" s="30">
        <f t="shared" si="1029"/>
        <v>7.6129986091708388E-2</v>
      </c>
      <c r="AT2183" s="30">
        <f t="shared" si="1030"/>
        <v>8.5446916074179743E-2</v>
      </c>
      <c r="AU2183" s="30">
        <f t="shared" si="1031"/>
        <v>7.6466640608142858E-2</v>
      </c>
      <c r="AV2183" s="30">
        <f t="shared" si="1032"/>
        <v>7.0356887255261111E-2</v>
      </c>
      <c r="AW2183" s="30">
        <f t="shared" si="1033"/>
        <v>4.409668931121722E-2</v>
      </c>
      <c r="AX2183" s="30">
        <f t="shared" si="1034"/>
        <v>8.2026545958318944E-2</v>
      </c>
      <c r="AY2183" s="30">
        <f t="shared" si="1035"/>
        <v>6.3593824971915972E-2</v>
      </c>
      <c r="AZ2183" s="30">
        <f t="shared" si="1036"/>
        <v>9.9091139121206304E-2</v>
      </c>
      <c r="BA2183" s="30">
        <f t="shared" si="1037"/>
        <v>0.12031554234103009</v>
      </c>
      <c r="BB2183" s="30">
        <f t="shared" si="1038"/>
        <v>9.4912597743956315E-2</v>
      </c>
      <c r="BC2183" s="30">
        <f t="shared" si="1039"/>
        <v>0.10893503968367928</v>
      </c>
      <c r="BD2183" s="30">
        <f t="shared" si="1040"/>
        <v>9.6897277829127701E-2</v>
      </c>
      <c r="BE2183" s="30">
        <f t="shared" si="1041"/>
        <v>7.4807165515476781E-2</v>
      </c>
      <c r="BF2183" s="30">
        <f t="shared" si="1042"/>
        <v>8.8692263970038029E-2</v>
      </c>
      <c r="BG2183" s="30">
        <f t="shared" si="1043"/>
        <v>7.6401125557650704E-2</v>
      </c>
      <c r="BH2183" s="30">
        <f t="shared" si="1044"/>
        <v>8.5965124073506941E-2</v>
      </c>
      <c r="BI2183" s="30">
        <f t="shared" si="1045"/>
        <v>6.8176533609588627E-2</v>
      </c>
      <c r="BJ2183" s="30">
        <f t="shared" si="1046"/>
        <v>7.5493410556393969E-2</v>
      </c>
      <c r="BK2183" s="30">
        <f t="shared" si="1047"/>
        <v>7.8801884993700916E-2</v>
      </c>
      <c r="BL2183" s="30">
        <f t="shared" si="1048"/>
        <v>6.6666104576452695E-2</v>
      </c>
      <c r="BM2183" s="30">
        <f t="shared" si="1049"/>
        <v>8.998862531923256E-2</v>
      </c>
      <c r="BN2183" s="30">
        <f t="shared" si="1050"/>
        <v>8.922270405245164E-2</v>
      </c>
      <c r="BO2183" s="30">
        <f t="shared" si="1051"/>
        <v>7.5657950587412912E-2</v>
      </c>
      <c r="BP2183" s="30">
        <f t="shared" si="1052"/>
        <v>8.8898440756954702E-2</v>
      </c>
      <c r="BQ2183" s="30">
        <f t="shared" si="1053"/>
        <v>7.5692831571147784E-2</v>
      </c>
      <c r="BR2183" s="30">
        <f t="shared" si="1054"/>
        <v>8.6317585028747201E-2</v>
      </c>
      <c r="BS2183" s="30">
        <f t="shared" si="1055"/>
        <v>8.4789453585997876E-2</v>
      </c>
      <c r="BT2183" s="30">
        <f t="shared" si="1056"/>
        <v>6.981385693055002E-2</v>
      </c>
      <c r="BU2183" s="30">
        <f t="shared" si="1057"/>
        <v>7.6319485075614604E-2</v>
      </c>
      <c r="BV2183" s="30">
        <f t="shared" si="1058"/>
        <v>0.114276284598946</v>
      </c>
      <c r="BW2183" s="30">
        <f t="shared" si="1059"/>
        <v>8.5632614207969665E-2</v>
      </c>
      <c r="BX2183" s="30">
        <f t="shared" si="1060"/>
        <v>0.10028584027427316</v>
      </c>
      <c r="BY2183" s="30">
        <f t="shared" si="1061"/>
        <v>9.5842779025780256E-2</v>
      </c>
      <c r="BZ2183" s="30">
        <f t="shared" si="1062"/>
        <v>8.7983472359032103E-2</v>
      </c>
      <c r="CA2183" s="22">
        <f>CA2190/CA2192</f>
        <v>5.7186860114612117E-2</v>
      </c>
      <c r="CB2183" s="160">
        <f>CB2190/CB2192</f>
        <v>5.7186860114612117E-2</v>
      </c>
    </row>
    <row r="2184" spans="1:80" x14ac:dyDescent="0.25">
      <c r="A2184" s="212" t="s">
        <v>22</v>
      </c>
      <c r="B2184" s="22">
        <v>8.6106804658693924E-3</v>
      </c>
      <c r="C2184" s="30">
        <f t="shared" si="987"/>
        <v>1.2035329348567372E-3</v>
      </c>
      <c r="D2184" s="30">
        <f t="shared" si="988"/>
        <v>7.6540143731899284E-4</v>
      </c>
      <c r="E2184" s="30">
        <f t="shared" si="989"/>
        <v>0</v>
      </c>
      <c r="F2184" s="30">
        <f t="shared" si="990"/>
        <v>0</v>
      </c>
      <c r="G2184" s="30">
        <f t="shared" si="991"/>
        <v>0</v>
      </c>
      <c r="H2184" s="30">
        <f t="shared" si="992"/>
        <v>4.3979004569738786E-3</v>
      </c>
      <c r="I2184" s="30">
        <f t="shared" si="993"/>
        <v>4.1449837102219842E-3</v>
      </c>
      <c r="J2184" s="30">
        <f t="shared" si="994"/>
        <v>0</v>
      </c>
      <c r="K2184" s="30">
        <f t="shared" si="995"/>
        <v>2.9150316464343763E-3</v>
      </c>
      <c r="L2184" s="30">
        <f t="shared" si="996"/>
        <v>3.7611704847328687E-3</v>
      </c>
      <c r="M2184" s="30">
        <f t="shared" si="997"/>
        <v>0</v>
      </c>
      <c r="N2184" s="30">
        <f t="shared" si="998"/>
        <v>0</v>
      </c>
      <c r="O2184" s="30">
        <f t="shared" si="999"/>
        <v>2.149152613825442E-3</v>
      </c>
      <c r="P2184" s="30">
        <f t="shared" si="1000"/>
        <v>0</v>
      </c>
      <c r="Q2184" s="30">
        <f t="shared" si="1001"/>
        <v>0</v>
      </c>
      <c r="R2184" s="30">
        <f t="shared" si="1002"/>
        <v>0</v>
      </c>
      <c r="S2184" s="30">
        <f t="shared" si="1003"/>
        <v>1.1674379949529589E-3</v>
      </c>
      <c r="T2184" s="30">
        <f t="shared" si="1004"/>
        <v>0</v>
      </c>
      <c r="U2184" s="30">
        <f t="shared" si="1005"/>
        <v>0</v>
      </c>
      <c r="V2184" s="30">
        <f t="shared" si="1006"/>
        <v>0</v>
      </c>
      <c r="W2184" s="30">
        <f t="shared" si="1007"/>
        <v>0</v>
      </c>
      <c r="X2184" s="30">
        <f t="shared" si="1008"/>
        <v>0</v>
      </c>
      <c r="Y2184" s="30">
        <f t="shared" si="1009"/>
        <v>0</v>
      </c>
      <c r="Z2184" s="30">
        <f t="shared" si="1010"/>
        <v>0</v>
      </c>
      <c r="AA2184" s="30">
        <f t="shared" si="1011"/>
        <v>0</v>
      </c>
      <c r="AB2184" s="30">
        <f t="shared" si="1012"/>
        <v>3.8877303259641205E-3</v>
      </c>
      <c r="AC2184" s="30">
        <f t="shared" si="1013"/>
        <v>0</v>
      </c>
      <c r="AD2184" s="30">
        <f t="shared" si="1014"/>
        <v>0</v>
      </c>
      <c r="AE2184" s="30">
        <f t="shared" si="1015"/>
        <v>0</v>
      </c>
      <c r="AF2184" s="30">
        <f t="shared" si="1016"/>
        <v>0</v>
      </c>
      <c r="AG2184" s="30">
        <f t="shared" si="1017"/>
        <v>0</v>
      </c>
      <c r="AH2184" s="30">
        <f t="shared" si="1018"/>
        <v>0</v>
      </c>
      <c r="AI2184" s="30">
        <f t="shared" si="1019"/>
        <v>0</v>
      </c>
      <c r="AJ2184" s="30">
        <f t="shared" si="1020"/>
        <v>2.2915945059639219E-3</v>
      </c>
      <c r="AK2184" s="30">
        <f t="shared" si="1021"/>
        <v>0</v>
      </c>
      <c r="AL2184" s="30">
        <f t="shared" si="1022"/>
        <v>0</v>
      </c>
      <c r="AM2184" s="30">
        <f t="shared" si="1023"/>
        <v>2.8450776663463892E-3</v>
      </c>
      <c r="AN2184" s="30">
        <f t="shared" si="1024"/>
        <v>6.277173568213655E-4</v>
      </c>
      <c r="AO2184" s="30">
        <f t="shared" si="1025"/>
        <v>0</v>
      </c>
      <c r="AP2184" s="30">
        <f t="shared" si="1026"/>
        <v>1.1251715388755316E-3</v>
      </c>
      <c r="AQ2184" s="30">
        <f t="shared" si="1027"/>
        <v>0</v>
      </c>
      <c r="AR2184" s="30">
        <f t="shared" si="1028"/>
        <v>1.089751041243394E-3</v>
      </c>
      <c r="AS2184" s="30">
        <f t="shared" si="1029"/>
        <v>0</v>
      </c>
      <c r="AT2184" s="30">
        <f t="shared" si="1030"/>
        <v>1.9819258435466694E-3</v>
      </c>
      <c r="AU2184" s="30">
        <f t="shared" si="1031"/>
        <v>0</v>
      </c>
      <c r="AV2184" s="30">
        <f t="shared" si="1032"/>
        <v>0</v>
      </c>
      <c r="AW2184" s="30">
        <f t="shared" si="1033"/>
        <v>0</v>
      </c>
      <c r="AX2184" s="30">
        <f t="shared" si="1034"/>
        <v>0</v>
      </c>
      <c r="AY2184" s="30">
        <f t="shared" si="1035"/>
        <v>7.2921744950066379E-4</v>
      </c>
      <c r="AZ2184" s="30">
        <f t="shared" si="1036"/>
        <v>0</v>
      </c>
      <c r="BA2184" s="30">
        <f t="shared" si="1037"/>
        <v>0</v>
      </c>
      <c r="BB2184" s="30">
        <f t="shared" si="1038"/>
        <v>0</v>
      </c>
      <c r="BC2184" s="30">
        <f t="shared" si="1039"/>
        <v>0</v>
      </c>
      <c r="BD2184" s="30">
        <f t="shared" si="1040"/>
        <v>0</v>
      </c>
      <c r="BE2184" s="30">
        <f t="shared" si="1041"/>
        <v>0</v>
      </c>
      <c r="BF2184" s="30">
        <f t="shared" si="1042"/>
        <v>8.3290703577285866E-4</v>
      </c>
      <c r="BG2184" s="30">
        <f t="shared" si="1043"/>
        <v>0</v>
      </c>
      <c r="BH2184" s="30">
        <f t="shared" si="1044"/>
        <v>0</v>
      </c>
      <c r="BI2184" s="30">
        <f t="shared" si="1045"/>
        <v>0</v>
      </c>
      <c r="BJ2184" s="30">
        <f t="shared" si="1046"/>
        <v>4.2816864269126058E-3</v>
      </c>
      <c r="BK2184" s="30">
        <f t="shared" si="1047"/>
        <v>0</v>
      </c>
      <c r="BL2184" s="30">
        <f t="shared" si="1048"/>
        <v>5.2033331917081538E-3</v>
      </c>
      <c r="BM2184" s="30">
        <f t="shared" si="1049"/>
        <v>0</v>
      </c>
      <c r="BN2184" s="30">
        <f t="shared" si="1050"/>
        <v>0</v>
      </c>
      <c r="BO2184" s="30">
        <f t="shared" si="1051"/>
        <v>0</v>
      </c>
      <c r="BP2184" s="30">
        <f t="shared" si="1052"/>
        <v>0</v>
      </c>
      <c r="BQ2184" s="30">
        <f t="shared" si="1053"/>
        <v>4.2869498140094067E-3</v>
      </c>
      <c r="BR2184" s="30">
        <f t="shared" si="1054"/>
        <v>2.7566074340162547E-3</v>
      </c>
      <c r="BS2184" s="30">
        <f t="shared" si="1055"/>
        <v>0</v>
      </c>
      <c r="BT2184" s="30">
        <f t="shared" si="1056"/>
        <v>1.9891232221025471E-3</v>
      </c>
      <c r="BU2184" s="30">
        <f t="shared" si="1057"/>
        <v>0</v>
      </c>
      <c r="BV2184" s="30">
        <f t="shared" si="1058"/>
        <v>0</v>
      </c>
      <c r="BW2184" s="30">
        <f t="shared" si="1059"/>
        <v>3.0619546319531027E-3</v>
      </c>
      <c r="BX2184" s="30">
        <f t="shared" si="1060"/>
        <v>0</v>
      </c>
      <c r="BY2184" s="30">
        <f t="shared" si="1061"/>
        <v>3.9192214944067539E-3</v>
      </c>
      <c r="BZ2184" s="30">
        <f t="shared" si="1062"/>
        <v>0</v>
      </c>
      <c r="CA2184" s="22">
        <f>CA2191/CA2192</f>
        <v>8.4036445203847178E-4</v>
      </c>
      <c r="CB2184" s="160">
        <f>CB2191/CB2192</f>
        <v>8.4036445203847189E-4</v>
      </c>
    </row>
    <row r="2185" spans="1:80" x14ac:dyDescent="0.25">
      <c r="A2185" s="215" t="s">
        <v>23</v>
      </c>
      <c r="B2185" s="66">
        <v>29258.963282937366</v>
      </c>
      <c r="C2185" s="66">
        <f t="shared" si="987"/>
        <v>30986.402266288951</v>
      </c>
      <c r="D2185" s="66">
        <f t="shared" si="988"/>
        <v>30687.45644599303</v>
      </c>
      <c r="E2185" s="66">
        <f t="shared" si="989"/>
        <v>30964.597478176536</v>
      </c>
      <c r="F2185" s="66">
        <f>128</f>
        <v>128</v>
      </c>
      <c r="G2185" s="66">
        <f t="shared" si="991"/>
        <v>32125.688976377958</v>
      </c>
      <c r="H2185" s="66">
        <f t="shared" si="992"/>
        <v>30477.142857142862</v>
      </c>
      <c r="I2185" s="66">
        <f t="shared" si="993"/>
        <v>30956.557377049186</v>
      </c>
      <c r="J2185" s="66">
        <f t="shared" si="994"/>
        <v>31994.197642792384</v>
      </c>
      <c r="K2185" s="66">
        <f t="shared" si="995"/>
        <v>33881.91056910569</v>
      </c>
      <c r="L2185" s="66">
        <f t="shared" si="996"/>
        <v>33153.862894450496</v>
      </c>
      <c r="M2185" s="66">
        <f t="shared" si="997"/>
        <v>32582.992465016145</v>
      </c>
      <c r="N2185" s="66">
        <f t="shared" si="998"/>
        <v>34172.800000000003</v>
      </c>
      <c r="O2185" s="66">
        <f t="shared" si="999"/>
        <v>33718.629908103598</v>
      </c>
      <c r="P2185" s="66">
        <f t="shared" si="1000"/>
        <v>33547.555129434324</v>
      </c>
      <c r="Q2185" s="66">
        <f t="shared" si="1001"/>
        <v>34289.855072463768</v>
      </c>
      <c r="R2185" s="66">
        <f t="shared" si="1002"/>
        <v>33010.536779324058</v>
      </c>
      <c r="S2185" s="66">
        <f t="shared" si="1003"/>
        <v>33643.215031315245</v>
      </c>
      <c r="T2185" s="66">
        <f t="shared" si="1004"/>
        <v>34475.204918032789</v>
      </c>
      <c r="U2185" s="66">
        <f t="shared" si="1005"/>
        <v>33830.761812921897</v>
      </c>
      <c r="V2185" s="66">
        <f t="shared" si="1006"/>
        <v>34300.772200772204</v>
      </c>
      <c r="W2185" s="66">
        <f t="shared" si="1007"/>
        <v>34186.787072243344</v>
      </c>
      <c r="X2185" s="66">
        <f t="shared" si="1008"/>
        <v>35068.972332015808</v>
      </c>
      <c r="Y2185" s="66">
        <f t="shared" si="1009"/>
        <v>34890.856192851206</v>
      </c>
      <c r="Z2185" s="66">
        <f t="shared" si="1010"/>
        <v>34673.888888888891</v>
      </c>
      <c r="AA2185" s="66">
        <f t="shared" si="1011"/>
        <v>34444.834123222747</v>
      </c>
      <c r="AB2185" s="66">
        <f t="shared" si="1012"/>
        <v>34602.555066079301</v>
      </c>
      <c r="AC2185" s="66">
        <f t="shared" si="1013"/>
        <v>34865.280000000006</v>
      </c>
      <c r="AD2185" s="66">
        <f t="shared" si="1014"/>
        <v>34028.224455611387</v>
      </c>
      <c r="AE2185" s="66">
        <f t="shared" si="1015"/>
        <v>34874.633304572912</v>
      </c>
      <c r="AF2185" s="66">
        <f t="shared" si="1016"/>
        <v>34667.728055077452</v>
      </c>
      <c r="AG2185" s="66">
        <f t="shared" si="1017"/>
        <v>35271.115013169452</v>
      </c>
      <c r="AH2185" s="66">
        <f t="shared" si="1018"/>
        <v>35885.553633217998</v>
      </c>
      <c r="AI2185" s="66">
        <f t="shared" si="1019"/>
        <v>35196.425457715784</v>
      </c>
      <c r="AJ2185" s="66">
        <f t="shared" si="1020"/>
        <v>35276.044330775789</v>
      </c>
      <c r="AK2185" s="66">
        <f t="shared" si="1021"/>
        <v>35544.830438378827</v>
      </c>
      <c r="AL2185" s="66">
        <f t="shared" si="1022"/>
        <v>34336.644165863065</v>
      </c>
      <c r="AM2185" s="66">
        <f t="shared" si="1023"/>
        <v>35385.761865112407</v>
      </c>
      <c r="AN2185" s="66">
        <f t="shared" si="1024"/>
        <v>34736.859781696054</v>
      </c>
      <c r="AO2185" s="66">
        <f t="shared" si="1025"/>
        <v>34639.228598306676</v>
      </c>
      <c r="AP2185" s="66">
        <f t="shared" si="1026"/>
        <v>35158.460161145929</v>
      </c>
      <c r="AQ2185" s="66">
        <f t="shared" si="1027"/>
        <v>35218.474264705888</v>
      </c>
      <c r="AR2185" s="66">
        <f t="shared" si="1028"/>
        <v>34000.864553314132</v>
      </c>
      <c r="AS2185" s="66">
        <f t="shared" si="1029"/>
        <v>34978.774617067837</v>
      </c>
      <c r="AT2185" s="66">
        <f t="shared" si="1030"/>
        <v>33893.447580645159</v>
      </c>
      <c r="AU2185" s="66">
        <f t="shared" si="1031"/>
        <v>34090.433815350392</v>
      </c>
      <c r="AV2185" s="66">
        <f t="shared" si="1032"/>
        <v>34095.387840670861</v>
      </c>
      <c r="AW2185" s="66">
        <f t="shared" si="1033"/>
        <v>33714.684466019426</v>
      </c>
      <c r="AX2185" s="66">
        <f t="shared" si="1034"/>
        <v>34067.02355460386</v>
      </c>
      <c r="AY2185" s="66">
        <f t="shared" si="1035"/>
        <v>35586.732456140366</v>
      </c>
      <c r="AZ2185" s="66">
        <f t="shared" si="1036"/>
        <v>33730.220356768099</v>
      </c>
      <c r="BA2185" s="66">
        <f t="shared" si="1037"/>
        <v>34925.109649122809</v>
      </c>
      <c r="BB2185" s="66">
        <f t="shared" si="1038"/>
        <v>34399.466382070437</v>
      </c>
      <c r="BC2185" s="66">
        <f t="shared" si="1039"/>
        <v>35064.269911504431</v>
      </c>
      <c r="BD2185" s="66">
        <f t="shared" si="1040"/>
        <v>34686.906019007394</v>
      </c>
      <c r="BE2185" s="66">
        <f t="shared" si="1041"/>
        <v>33761.648351648357</v>
      </c>
      <c r="BF2185" s="66">
        <f t="shared" si="1042"/>
        <v>34363.528245787908</v>
      </c>
      <c r="BG2185" s="66">
        <f t="shared" si="1043"/>
        <v>35116.202783300199</v>
      </c>
      <c r="BH2185" s="66">
        <f t="shared" si="1044"/>
        <v>35034.030837004408</v>
      </c>
      <c r="BI2185" s="66">
        <f t="shared" si="1045"/>
        <v>33400.772200772204</v>
      </c>
      <c r="BJ2185" s="66">
        <f t="shared" si="1046"/>
        <v>34366.60617059892</v>
      </c>
      <c r="BK2185" s="66">
        <f t="shared" si="1047"/>
        <v>34249.425287356324</v>
      </c>
      <c r="BL2185" s="66">
        <f t="shared" si="1048"/>
        <v>33671.322751322754</v>
      </c>
      <c r="BM2185" s="66">
        <f t="shared" si="1049"/>
        <v>34237.105549510336</v>
      </c>
      <c r="BN2185" s="66">
        <f t="shared" si="1050"/>
        <v>32947.396386822533</v>
      </c>
      <c r="BO2185" s="66">
        <f t="shared" si="1051"/>
        <v>33814.384236453203</v>
      </c>
      <c r="BP2185" s="66">
        <f t="shared" si="1052"/>
        <v>34823.937823834196</v>
      </c>
      <c r="BQ2185" s="66">
        <f t="shared" si="1053"/>
        <v>34174.971164936564</v>
      </c>
      <c r="BR2185" s="66">
        <f t="shared" si="1054"/>
        <v>33296.451612903227</v>
      </c>
      <c r="BS2185" s="66">
        <f t="shared" si="1055"/>
        <v>33397.99528301887</v>
      </c>
      <c r="BT2185" s="66">
        <f t="shared" si="1056"/>
        <v>33547.582417582416</v>
      </c>
      <c r="BU2185" s="66">
        <f t="shared" si="1057"/>
        <v>32820.413436692514</v>
      </c>
      <c r="BV2185" s="66">
        <f t="shared" si="1058"/>
        <v>34979.361179361178</v>
      </c>
      <c r="BW2185" s="66">
        <f t="shared" si="1059"/>
        <v>34937.84403669725</v>
      </c>
      <c r="BX2185" s="66">
        <f t="shared" si="1060"/>
        <v>32664.948453608249</v>
      </c>
      <c r="BY2185" s="66">
        <f t="shared" si="1061"/>
        <v>34131.651376146794</v>
      </c>
      <c r="BZ2185" s="66">
        <f t="shared" si="1062"/>
        <v>35005.053191489365</v>
      </c>
      <c r="CA2185" s="66">
        <f>CA2196/CA2179</f>
        <v>33955.071198169331</v>
      </c>
      <c r="CB2185" s="67">
        <f>CB2196/CB2179</f>
        <v>33955.071198169331</v>
      </c>
    </row>
    <row r="2186" spans="1:80" x14ac:dyDescent="0.25">
      <c r="A2186" s="215" t="s">
        <v>24</v>
      </c>
      <c r="B2186" s="66">
        <v>21503.015873015873</v>
      </c>
      <c r="C2186" s="66">
        <f t="shared" si="987"/>
        <v>29324.932975871314</v>
      </c>
      <c r="D2186" s="66">
        <f t="shared" si="988"/>
        <v>29889.027149321268</v>
      </c>
      <c r="E2186" s="66">
        <f t="shared" si="989"/>
        <v>29315.426997245188</v>
      </c>
      <c r="F2186" s="66">
        <f t="shared" ref="F2186:F2196" si="1063">I129</f>
        <v>31066.391752577321</v>
      </c>
      <c r="G2186" s="66">
        <f t="shared" si="991"/>
        <v>30249.953660797037</v>
      </c>
      <c r="H2186" s="66">
        <f t="shared" si="992"/>
        <v>29719.004975124382</v>
      </c>
      <c r="I2186" s="66">
        <f t="shared" si="993"/>
        <v>29763.835376532406</v>
      </c>
      <c r="J2186" s="66">
        <f t="shared" si="994"/>
        <v>29655.126050420167</v>
      </c>
      <c r="K2186" s="66">
        <f t="shared" si="995"/>
        <v>29219.807186678354</v>
      </c>
      <c r="L2186" s="66">
        <f t="shared" si="996"/>
        <v>28555.201499531398</v>
      </c>
      <c r="M2186" s="66">
        <f t="shared" si="997"/>
        <v>29189.585342333656</v>
      </c>
      <c r="N2186" s="66">
        <f t="shared" si="998"/>
        <v>30295.035460992909</v>
      </c>
      <c r="O2186" s="66">
        <f t="shared" si="999"/>
        <v>30165.321375186853</v>
      </c>
      <c r="P2186" s="66">
        <f t="shared" si="1000"/>
        <v>29778.808510638297</v>
      </c>
      <c r="Q2186" s="66">
        <f t="shared" si="1001"/>
        <v>29949.367088607596</v>
      </c>
      <c r="R2186" s="66">
        <f t="shared" si="1002"/>
        <v>30382.982616651421</v>
      </c>
      <c r="S2186" s="66">
        <f t="shared" si="1003"/>
        <v>31444.097560975613</v>
      </c>
      <c r="T2186" s="66">
        <f t="shared" si="1004"/>
        <v>30505.711695376245</v>
      </c>
      <c r="U2186" s="66">
        <f t="shared" si="1005"/>
        <v>31864.21435059038</v>
      </c>
      <c r="V2186" s="66">
        <f t="shared" si="1006"/>
        <v>30766.753246753247</v>
      </c>
      <c r="W2186" s="66">
        <f t="shared" si="1007"/>
        <v>31165.077989601388</v>
      </c>
      <c r="X2186" s="66">
        <f t="shared" si="1008"/>
        <v>31323.742277140336</v>
      </c>
      <c r="Y2186" s="66">
        <f t="shared" si="1009"/>
        <v>30415.72463768116</v>
      </c>
      <c r="Z2186" s="66">
        <f t="shared" si="1010"/>
        <v>29029.302325581397</v>
      </c>
      <c r="AA2186" s="66">
        <f t="shared" si="1011"/>
        <v>28412.275215011727</v>
      </c>
      <c r="AB2186" s="66">
        <f t="shared" si="1012"/>
        <v>28479.985496736772</v>
      </c>
      <c r="AC2186" s="66">
        <f t="shared" si="1013"/>
        <v>28823.80952380953</v>
      </c>
      <c r="AD2186" s="66">
        <f t="shared" si="1014"/>
        <v>28492.075736325387</v>
      </c>
      <c r="AE2186" s="66">
        <f t="shared" si="1015"/>
        <v>28707.173295454551</v>
      </c>
      <c r="AF2186" s="66">
        <f t="shared" si="1016"/>
        <v>28033.333333333332</v>
      </c>
      <c r="AG2186" s="66">
        <f t="shared" si="1017"/>
        <v>28391.378091872797</v>
      </c>
      <c r="AH2186" s="66">
        <f t="shared" si="1018"/>
        <v>28748.232848232852</v>
      </c>
      <c r="AI2186" s="66">
        <f t="shared" si="1019"/>
        <v>28211.25087351503</v>
      </c>
      <c r="AJ2186" s="66">
        <f t="shared" si="1020"/>
        <v>28478.183069511357</v>
      </c>
      <c r="AK2186" s="66">
        <f t="shared" si="1021"/>
        <v>29134.711864406781</v>
      </c>
      <c r="AL2186" s="66">
        <f t="shared" si="1022"/>
        <v>28761.793214862682</v>
      </c>
      <c r="AM2186" s="66">
        <f t="shared" si="1023"/>
        <v>28871.127717391304</v>
      </c>
      <c r="AN2186" s="66">
        <f t="shared" si="1024"/>
        <v>28048.542372881355</v>
      </c>
      <c r="AO2186" s="66">
        <f t="shared" si="1025"/>
        <v>28346.035411855275</v>
      </c>
      <c r="AP2186" s="66">
        <f t="shared" si="1026"/>
        <v>28499.274310595065</v>
      </c>
      <c r="AQ2186" s="66">
        <f t="shared" si="1027"/>
        <v>29183.32063975629</v>
      </c>
      <c r="AR2186" s="66">
        <f t="shared" si="1028"/>
        <v>28293.285371702645</v>
      </c>
      <c r="AS2186" s="66">
        <f t="shared" si="1029"/>
        <v>28570.688114387849</v>
      </c>
      <c r="AT2186" s="66">
        <f t="shared" si="1030"/>
        <v>27810.008271298593</v>
      </c>
      <c r="AU2186" s="66">
        <f t="shared" si="1031"/>
        <v>28377.129629629631</v>
      </c>
      <c r="AV2186" s="66">
        <f t="shared" si="1032"/>
        <v>28284.34782608696</v>
      </c>
      <c r="AW2186" s="66">
        <f t="shared" si="1033"/>
        <v>28405.828220858904</v>
      </c>
      <c r="AX2186" s="66">
        <f t="shared" si="1034"/>
        <v>28613.848920863315</v>
      </c>
      <c r="AY2186" s="66">
        <f t="shared" si="1035"/>
        <v>29238.828828828839</v>
      </c>
      <c r="AZ2186" s="66">
        <f t="shared" si="1036"/>
        <v>28123.272090988627</v>
      </c>
      <c r="BA2186" s="66">
        <f t="shared" si="1037"/>
        <v>28592.190305206463</v>
      </c>
      <c r="BB2186" s="66">
        <f t="shared" si="1038"/>
        <v>28701.959038290293</v>
      </c>
      <c r="BC2186" s="66">
        <f t="shared" si="1039"/>
        <v>29735.553470919327</v>
      </c>
      <c r="BD2186" s="66">
        <f t="shared" si="1040"/>
        <v>29018.109540636044</v>
      </c>
      <c r="BE2186" s="66">
        <f t="shared" si="1041"/>
        <v>28793.90815370197</v>
      </c>
      <c r="BF2186" s="66">
        <f t="shared" si="1042"/>
        <v>28443.642329778508</v>
      </c>
      <c r="BG2186" s="66">
        <f t="shared" si="1043"/>
        <v>29414.571190674436</v>
      </c>
      <c r="BH2186" s="66">
        <f t="shared" si="1044"/>
        <v>28351.960784313724</v>
      </c>
      <c r="BI2186" s="66">
        <f t="shared" si="1045"/>
        <v>28716.348547717844</v>
      </c>
      <c r="BJ2186" s="66">
        <f t="shared" si="1046"/>
        <v>28976.281560826326</v>
      </c>
      <c r="BK2186" s="66">
        <f t="shared" si="1047"/>
        <v>29369.802867383514</v>
      </c>
      <c r="BL2186" s="66">
        <f t="shared" si="1048"/>
        <v>29085.374771480809</v>
      </c>
      <c r="BM2186" s="66">
        <f t="shared" si="1049"/>
        <v>29295.996275605215</v>
      </c>
      <c r="BN2186" s="66">
        <f t="shared" si="1050"/>
        <v>27632.352941176476</v>
      </c>
      <c r="BO2186" s="66">
        <f t="shared" si="1051"/>
        <v>28625.187656380316</v>
      </c>
      <c r="BP2186" s="66">
        <f t="shared" si="1052"/>
        <v>28746.877673224979</v>
      </c>
      <c r="BQ2186" s="66">
        <f t="shared" si="1053"/>
        <v>29163.090551181103</v>
      </c>
      <c r="BR2186" s="66">
        <f t="shared" si="1054"/>
        <v>29048.499061913699</v>
      </c>
      <c r="BS2186" s="66">
        <f t="shared" si="1055"/>
        <v>28321.5</v>
      </c>
      <c r="BT2186" s="66">
        <f t="shared" si="1056"/>
        <v>28451.35135135135</v>
      </c>
      <c r="BU2186" s="66">
        <f t="shared" si="1057"/>
        <v>28446.808510638301</v>
      </c>
      <c r="BV2186" s="66">
        <f t="shared" si="1058"/>
        <v>29659.583333333332</v>
      </c>
      <c r="BW2186" s="66">
        <f t="shared" si="1059"/>
        <v>28795.652173913044</v>
      </c>
      <c r="BX2186" s="66">
        <f t="shared" si="1060"/>
        <v>28448.933782267115</v>
      </c>
      <c r="BY2186" s="66">
        <f t="shared" si="1061"/>
        <v>27763.805970149257</v>
      </c>
      <c r="BZ2186" s="66">
        <f t="shared" si="1062"/>
        <v>28488.961038961043</v>
      </c>
      <c r="CA2186" s="66">
        <f>CA2196/CA2173</f>
        <v>29010.971867095675</v>
      </c>
      <c r="CB2186" s="67">
        <f>CB2196/CB2173</f>
        <v>29010.971867095672</v>
      </c>
    </row>
    <row r="2187" spans="1:80" x14ac:dyDescent="0.25">
      <c r="A2187" s="212" t="s">
        <v>25</v>
      </c>
      <c r="B2187" s="92">
        <v>896262.59827586217</v>
      </c>
      <c r="C2187" s="92">
        <f t="shared" si="987"/>
        <v>2825717.25</v>
      </c>
      <c r="D2187" s="92">
        <f t="shared" si="988"/>
        <v>4540356.1775862072</v>
      </c>
      <c r="E2187" s="92">
        <f t="shared" si="989"/>
        <v>6513896.6724137934</v>
      </c>
      <c r="F2187" s="92">
        <f t="shared" si="1063"/>
        <v>10975274.815517241</v>
      </c>
      <c r="G2187" s="92">
        <f t="shared" si="991"/>
        <v>7994795.5948275868</v>
      </c>
      <c r="H2187" s="92">
        <f t="shared" si="992"/>
        <v>6898843.2844827585</v>
      </c>
      <c r="I2187" s="92">
        <f t="shared" si="993"/>
        <v>7958619.3120689671</v>
      </c>
      <c r="J2187" s="92">
        <f t="shared" si="994"/>
        <v>8672529.6741379313</v>
      </c>
      <c r="K2187" s="92">
        <f t="shared" si="995"/>
        <v>7617768.863793103</v>
      </c>
      <c r="L2187" s="92">
        <f t="shared" si="996"/>
        <v>7233738.7775862077</v>
      </c>
      <c r="M2187" s="92">
        <f t="shared" si="997"/>
        <v>5635927.9896551725</v>
      </c>
      <c r="N2187" s="92">
        <f t="shared" si="998"/>
        <v>7907111.4500000011</v>
      </c>
      <c r="O2187" s="92">
        <f t="shared" si="999"/>
        <v>8654397.886206897</v>
      </c>
      <c r="P2187" s="92">
        <f t="shared" si="1000"/>
        <v>8156389.703448277</v>
      </c>
      <c r="Q2187" s="92">
        <f t="shared" si="1001"/>
        <v>10234122.893103449</v>
      </c>
      <c r="R2187" s="92">
        <f t="shared" si="1002"/>
        <v>9108062.4362068959</v>
      </c>
      <c r="S2187" s="92">
        <f t="shared" si="1003"/>
        <v>9721148.0500000007</v>
      </c>
      <c r="T2187" s="92">
        <f t="shared" si="1004"/>
        <v>10948876.168965518</v>
      </c>
      <c r="U2187" s="92">
        <f t="shared" si="1005"/>
        <v>11148149.918965518</v>
      </c>
      <c r="V2187" s="92">
        <f t="shared" si="1006"/>
        <v>11073351.806896552</v>
      </c>
      <c r="W2187" s="92">
        <f t="shared" si="1007"/>
        <v>11209981.674137931</v>
      </c>
      <c r="X2187" s="92">
        <f t="shared" si="1008"/>
        <v>12377691.27586207</v>
      </c>
      <c r="Y2187" s="92">
        <f t="shared" si="1009"/>
        <v>15651980.641379312</v>
      </c>
      <c r="Z2187" s="92">
        <f t="shared" si="1010"/>
        <v>11723553.78448276</v>
      </c>
      <c r="AA2187" s="92">
        <f t="shared" si="1011"/>
        <v>13960864.965517242</v>
      </c>
      <c r="AB2187" s="92">
        <f t="shared" si="1012"/>
        <v>13808757.844827589</v>
      </c>
      <c r="AC2187" s="92">
        <f t="shared" si="1013"/>
        <v>14376142.344827587</v>
      </c>
      <c r="AD2187" s="92">
        <f t="shared" si="1014"/>
        <v>14243616.953448279</v>
      </c>
      <c r="AE2187" s="92">
        <f t="shared" si="1015"/>
        <v>15008647.337931035</v>
      </c>
      <c r="AF2187" s="92">
        <f t="shared" si="1016"/>
        <v>15602656.924137931</v>
      </c>
      <c r="AG2187" s="92">
        <f t="shared" si="1017"/>
        <v>14885758.498275863</v>
      </c>
      <c r="AH2187" s="92">
        <f t="shared" si="1018"/>
        <v>16606135.029310346</v>
      </c>
      <c r="AI2187" s="92">
        <f t="shared" si="1019"/>
        <v>15667268.462068968</v>
      </c>
      <c r="AJ2187" s="92">
        <f t="shared" si="1020"/>
        <v>14629846.182758622</v>
      </c>
      <c r="AK2187" s="92">
        <f t="shared" si="1021"/>
        <v>14199745.20172414</v>
      </c>
      <c r="AL2187" s="92">
        <f t="shared" si="1022"/>
        <v>12236130.229310345</v>
      </c>
      <c r="AM2187" s="92">
        <f t="shared" si="1023"/>
        <v>13606184.584482759</v>
      </c>
      <c r="AN2187" s="92">
        <f t="shared" si="1024"/>
        <v>15631793.874137932</v>
      </c>
      <c r="AO2187" s="92">
        <f t="shared" si="1025"/>
        <v>13828367.200000001</v>
      </c>
      <c r="AP2187" s="92">
        <f t="shared" si="1026"/>
        <v>13773346.655172415</v>
      </c>
      <c r="AQ2187" s="92">
        <f t="shared" si="1027"/>
        <v>14196578.110344829</v>
      </c>
      <c r="AR2187" s="92">
        <f t="shared" si="1028"/>
        <v>14172937.725862069</v>
      </c>
      <c r="AS2187" s="92">
        <f t="shared" si="1029"/>
        <v>13306625.105172414</v>
      </c>
      <c r="AT2187" s="92">
        <f t="shared" si="1030"/>
        <v>12842739.606896551</v>
      </c>
      <c r="AU2187" s="92">
        <f t="shared" si="1031"/>
        <v>11021143.13448276</v>
      </c>
      <c r="AV2187" s="92">
        <f t="shared" si="1032"/>
        <v>11112319.66724138</v>
      </c>
      <c r="AW2187" s="92">
        <f t="shared" si="1033"/>
        <v>9529409.8310344834</v>
      </c>
      <c r="AX2187" s="92">
        <f t="shared" si="1034"/>
        <v>10082328.88448276</v>
      </c>
      <c r="AY2187" s="92">
        <f t="shared" si="1035"/>
        <v>11645375.317241382</v>
      </c>
      <c r="AZ2187" s="92">
        <f t="shared" si="1036"/>
        <v>11107386.732758621</v>
      </c>
      <c r="BA2187" s="92">
        <f t="shared" si="1037"/>
        <v>10799947.167241381</v>
      </c>
      <c r="BB2187" s="92">
        <f t="shared" si="1038"/>
        <v>11919082.25</v>
      </c>
      <c r="BC2187" s="92">
        <f t="shared" si="1039"/>
        <v>11423660.06724138</v>
      </c>
      <c r="BD2187" s="92">
        <f t="shared" si="1040"/>
        <v>11541613.837931035</v>
      </c>
      <c r="BE2187" s="92">
        <f t="shared" si="1041"/>
        <v>10845533.312068967</v>
      </c>
      <c r="BF2187" s="92">
        <f t="shared" si="1042"/>
        <v>11970314.732758619</v>
      </c>
      <c r="BG2187" s="92">
        <f t="shared" si="1043"/>
        <v>12803681.644827586</v>
      </c>
      <c r="BH2187" s="92">
        <f t="shared" si="1044"/>
        <v>11483201.495172415</v>
      </c>
      <c r="BI2187" s="92">
        <f t="shared" si="1045"/>
        <v>12238044.008275865</v>
      </c>
      <c r="BJ2187" s="92">
        <f t="shared" si="1046"/>
        <v>11563062.211034484</v>
      </c>
      <c r="BK2187" s="92">
        <f t="shared" si="1047"/>
        <v>10399546.64137931</v>
      </c>
      <c r="BL2187" s="92">
        <f t="shared" si="1048"/>
        <v>9346619.2075862065</v>
      </c>
      <c r="BM2187" s="92">
        <f t="shared" si="1049"/>
        <v>8452849.6675862074</v>
      </c>
      <c r="BN2187" s="92">
        <f t="shared" si="1050"/>
        <v>7930831.0800000001</v>
      </c>
      <c r="BO2187" s="92">
        <f t="shared" si="1051"/>
        <v>10121947.922758622</v>
      </c>
      <c r="BP2187" s="92">
        <f t="shared" si="1052"/>
        <v>10451420.230344828</v>
      </c>
      <c r="BQ2187" s="92">
        <f t="shared" si="1053"/>
        <v>9720890.0800000001</v>
      </c>
      <c r="BR2187" s="92">
        <f t="shared" si="1054"/>
        <v>10184579.46137931</v>
      </c>
      <c r="BS2187" s="92">
        <f t="shared" si="1055"/>
        <v>9612315.2220689654</v>
      </c>
      <c r="BT2187" s="92">
        <f t="shared" si="1056"/>
        <v>10468781.609655172</v>
      </c>
      <c r="BU2187" s="92">
        <f t="shared" si="1057"/>
        <v>6997584.9337931033</v>
      </c>
      <c r="BV2187" s="92">
        <f t="shared" si="1058"/>
        <v>8444253.6834482756</v>
      </c>
      <c r="BW2187" s="92">
        <f t="shared" si="1059"/>
        <v>9751065.9413793124</v>
      </c>
      <c r="BX2187" s="92">
        <f t="shared" si="1060"/>
        <v>6939484.4868965512</v>
      </c>
      <c r="BY2187" s="92">
        <f t="shared" si="1061"/>
        <v>8891868.1372413803</v>
      </c>
      <c r="BZ2187" s="92">
        <f t="shared" si="1062"/>
        <v>8139429.9103448289</v>
      </c>
      <c r="CA2187" s="92">
        <f>SUM(FLORESTA!$B2187:$BZ2187)</f>
        <v>829202264.0458622</v>
      </c>
      <c r="CB2187" s="133">
        <f>FLORESTA!$CA2187/77</f>
        <v>10768860.572024185</v>
      </c>
    </row>
    <row r="2188" spans="1:80" x14ac:dyDescent="0.25">
      <c r="A2188" s="212" t="s">
        <v>26</v>
      </c>
      <c r="B2188" s="92">
        <v>58994.001724137939</v>
      </c>
      <c r="C2188" s="92">
        <f t="shared" si="987"/>
        <v>0</v>
      </c>
      <c r="D2188" s="92">
        <f t="shared" si="988"/>
        <v>51479.379310344833</v>
      </c>
      <c r="E2188" s="92">
        <f t="shared" si="989"/>
        <v>52447.47068965518</v>
      </c>
      <c r="F2188" s="92">
        <f t="shared" si="1063"/>
        <v>256598.69482758624</v>
      </c>
      <c r="G2188" s="92">
        <f t="shared" si="991"/>
        <v>196720.9827586207</v>
      </c>
      <c r="H2188" s="92">
        <f t="shared" si="992"/>
        <v>72157.008620689652</v>
      </c>
      <c r="I2188" s="92">
        <f t="shared" si="993"/>
        <v>174428.70862068966</v>
      </c>
      <c r="J2188" s="92">
        <f t="shared" si="994"/>
        <v>37353.512068965523</v>
      </c>
      <c r="K2188" s="92">
        <f t="shared" si="995"/>
        <v>311823.73103448277</v>
      </c>
      <c r="L2188" s="92">
        <f t="shared" si="996"/>
        <v>277163.35689655173</v>
      </c>
      <c r="M2188" s="92">
        <f t="shared" si="997"/>
        <v>314363.27931034483</v>
      </c>
      <c r="N2188" s="92">
        <f t="shared" si="998"/>
        <v>2874098.6551724141</v>
      </c>
      <c r="O2188" s="92">
        <f t="shared" si="999"/>
        <v>830695.92586206901</v>
      </c>
      <c r="P2188" s="92">
        <f t="shared" si="1000"/>
        <v>264897.81379310344</v>
      </c>
      <c r="Q2188" s="92">
        <f t="shared" si="1001"/>
        <v>396760.20172413794</v>
      </c>
      <c r="R2188" s="92">
        <f t="shared" si="1002"/>
        <v>242345.26724137933</v>
      </c>
      <c r="S2188" s="92">
        <f t="shared" si="1003"/>
        <v>410742.27586206899</v>
      </c>
      <c r="T2188" s="92">
        <f t="shared" si="1004"/>
        <v>496401.83448275871</v>
      </c>
      <c r="U2188" s="92">
        <f t="shared" si="1005"/>
        <v>268719.56551724143</v>
      </c>
      <c r="V2188" s="92">
        <f t="shared" si="1006"/>
        <v>438325.82241379318</v>
      </c>
      <c r="W2188" s="92">
        <f t="shared" si="1007"/>
        <v>580316.65172413795</v>
      </c>
      <c r="X2188" s="92">
        <f t="shared" si="1008"/>
        <v>768503.33620689646</v>
      </c>
      <c r="Y2188" s="92">
        <f t="shared" si="1009"/>
        <v>648248.10517241387</v>
      </c>
      <c r="Z2188" s="92">
        <f t="shared" si="1010"/>
        <v>441494.09482758632</v>
      </c>
      <c r="AA2188" s="92">
        <f t="shared" si="1011"/>
        <v>587427.16206896561</v>
      </c>
      <c r="AB2188" s="92">
        <f t="shared" si="1012"/>
        <v>444237.12068965519</v>
      </c>
      <c r="AC2188" s="92">
        <f t="shared" si="1013"/>
        <v>616860.82586206892</v>
      </c>
      <c r="AD2188" s="92">
        <f t="shared" si="1014"/>
        <v>473400.20172413799</v>
      </c>
      <c r="AE2188" s="92">
        <f t="shared" si="1015"/>
        <v>340290.44137931033</v>
      </c>
      <c r="AF2188" s="92">
        <f t="shared" si="1016"/>
        <v>356986.24827586208</v>
      </c>
      <c r="AG2188" s="92">
        <f t="shared" si="1017"/>
        <v>557333.13448275859</v>
      </c>
      <c r="AH2188" s="92">
        <f t="shared" si="1018"/>
        <v>409485.48965517245</v>
      </c>
      <c r="AI2188" s="92">
        <f t="shared" si="1019"/>
        <v>364475.88793103455</v>
      </c>
      <c r="AJ2188" s="92">
        <f t="shared" si="1020"/>
        <v>406865.58965517243</v>
      </c>
      <c r="AK2188" s="92">
        <f t="shared" si="1021"/>
        <v>417143.02068965521</v>
      </c>
      <c r="AL2188" s="92">
        <f t="shared" si="1022"/>
        <v>595234.92931034486</v>
      </c>
      <c r="AM2188" s="92">
        <f t="shared" si="1023"/>
        <v>293158.29655172414</v>
      </c>
      <c r="AN2188" s="92">
        <f t="shared" si="1024"/>
        <v>670898.21034482762</v>
      </c>
      <c r="AO2188" s="92">
        <f t="shared" si="1025"/>
        <v>288042.93103448278</v>
      </c>
      <c r="AP2188" s="92">
        <f t="shared" si="1026"/>
        <v>441921.60344827588</v>
      </c>
      <c r="AQ2188" s="92">
        <f t="shared" si="1027"/>
        <v>719427.3844827587</v>
      </c>
      <c r="AR2188" s="92">
        <f t="shared" si="1028"/>
        <v>288158.41379310348</v>
      </c>
      <c r="AS2188" s="92">
        <f t="shared" si="1029"/>
        <v>449738.12931034487</v>
      </c>
      <c r="AT2188" s="92">
        <f t="shared" si="1030"/>
        <v>156902.10689655173</v>
      </c>
      <c r="AU2188" s="92">
        <f t="shared" si="1031"/>
        <v>391187.08103448275</v>
      </c>
      <c r="AV2188" s="92">
        <f t="shared" si="1032"/>
        <v>242483.27068965521</v>
      </c>
      <c r="AW2188" s="92">
        <f t="shared" si="1033"/>
        <v>299957.54137931037</v>
      </c>
      <c r="AX2188" s="92">
        <f t="shared" si="1034"/>
        <v>276545.36206896551</v>
      </c>
      <c r="AY2188" s="92">
        <f t="shared" si="1035"/>
        <v>519265.77931034489</v>
      </c>
      <c r="AZ2188" s="92">
        <f t="shared" si="1036"/>
        <v>364621.43103448272</v>
      </c>
      <c r="BA2188" s="92">
        <f t="shared" si="1037"/>
        <v>376276.6413793104</v>
      </c>
      <c r="BB2188" s="92">
        <f t="shared" si="1038"/>
        <v>656127.24655172415</v>
      </c>
      <c r="BC2188" s="92">
        <f t="shared" si="1039"/>
        <v>411887.95172413799</v>
      </c>
      <c r="BD2188" s="92">
        <f t="shared" si="1040"/>
        <v>471063.8379310345</v>
      </c>
      <c r="BE2188" s="92">
        <f t="shared" si="1041"/>
        <v>344636.1241379311</v>
      </c>
      <c r="BF2188" s="92">
        <f t="shared" si="1042"/>
        <v>409473.25172413798</v>
      </c>
      <c r="BG2188" s="92">
        <f t="shared" si="1043"/>
        <v>306948.08965517243</v>
      </c>
      <c r="BH2188" s="92">
        <f t="shared" si="1044"/>
        <v>168590.93862068967</v>
      </c>
      <c r="BI2188" s="92">
        <f t="shared" si="1045"/>
        <v>248092.32344827586</v>
      </c>
      <c r="BJ2188" s="92">
        <f t="shared" si="1046"/>
        <v>541232.43310344825</v>
      </c>
      <c r="BK2188" s="92">
        <f t="shared" si="1047"/>
        <v>177539.26</v>
      </c>
      <c r="BL2188" s="92">
        <f t="shared" si="1048"/>
        <v>297938.08551724139</v>
      </c>
      <c r="BM2188" s="92">
        <f t="shared" si="1049"/>
        <v>304651.12206896557</v>
      </c>
      <c r="BN2188" s="92">
        <f t="shared" si="1050"/>
        <v>230697.85379310348</v>
      </c>
      <c r="BO2188" s="92">
        <f t="shared" si="1051"/>
        <v>282323.52551724139</v>
      </c>
      <c r="BP2188" s="92">
        <f t="shared" si="1052"/>
        <v>368373.355862069</v>
      </c>
      <c r="BQ2188" s="92">
        <f t="shared" si="1053"/>
        <v>296370.82137931034</v>
      </c>
      <c r="BR2188" s="92">
        <f t="shared" si="1054"/>
        <v>356045.67862068966</v>
      </c>
      <c r="BS2188" s="92">
        <f t="shared" si="1055"/>
        <v>234907.98965517245</v>
      </c>
      <c r="BT2188" s="92">
        <f t="shared" si="1056"/>
        <v>409068.76206896553</v>
      </c>
      <c r="BU2188" s="92">
        <f t="shared" si="1057"/>
        <v>337260.55517241382</v>
      </c>
      <c r="BV2188" s="92">
        <f t="shared" si="1058"/>
        <v>187309.99724137931</v>
      </c>
      <c r="BW2188" s="92">
        <f t="shared" si="1059"/>
        <v>389572.39241379313</v>
      </c>
      <c r="BX2188" s="92">
        <f t="shared" si="1060"/>
        <v>215155.52344827587</v>
      </c>
      <c r="BY2188" s="92">
        <f t="shared" si="1061"/>
        <v>204112.49655172415</v>
      </c>
      <c r="BZ2188" s="92">
        <f t="shared" si="1062"/>
        <v>354036.32</v>
      </c>
      <c r="CA2188" s="92">
        <f>SUM(FLORESTA!$B2188:$BZ2188)</f>
        <v>30016819.846551724</v>
      </c>
      <c r="CB2188" s="133">
        <f>FLORESTA!$CA2188/77</f>
        <v>389828.82917599642</v>
      </c>
    </row>
    <row r="2189" spans="1:80" x14ac:dyDescent="0.25">
      <c r="A2189" s="212" t="s">
        <v>27</v>
      </c>
      <c r="B2189" s="92">
        <v>8759403.1672413815</v>
      </c>
      <c r="C2189" s="92">
        <f t="shared" si="987"/>
        <v>13725038.968965519</v>
      </c>
      <c r="D2189" s="92">
        <f t="shared" si="988"/>
        <v>14921828.650000002</v>
      </c>
      <c r="E2189" s="92">
        <f t="shared" si="989"/>
        <v>19331352.544827588</v>
      </c>
      <c r="F2189" s="92">
        <f t="shared" si="1063"/>
        <v>13463344.684482761</v>
      </c>
      <c r="G2189" s="92">
        <f t="shared" si="991"/>
        <v>17872044.218965519</v>
      </c>
      <c r="H2189" s="92">
        <f t="shared" si="992"/>
        <v>16770205.377586208</v>
      </c>
      <c r="I2189" s="92">
        <f t="shared" si="993"/>
        <v>19740773.056896552</v>
      </c>
      <c r="J2189" s="92">
        <f t="shared" si="994"/>
        <v>20289471.577586208</v>
      </c>
      <c r="K2189" s="92">
        <f t="shared" si="995"/>
        <v>20131174.429310348</v>
      </c>
      <c r="L2189" s="92">
        <f t="shared" si="996"/>
        <v>17971139.355172414</v>
      </c>
      <c r="M2189" s="92">
        <f t="shared" si="997"/>
        <v>19741206.489655174</v>
      </c>
      <c r="N2189" s="92">
        <f t="shared" si="998"/>
        <v>18193225.239655174</v>
      </c>
      <c r="O2189" s="92">
        <f t="shared" si="999"/>
        <v>24632163.005172417</v>
      </c>
      <c r="P2189" s="92">
        <f t="shared" si="1000"/>
        <v>21165418.298275862</v>
      </c>
      <c r="Q2189" s="92">
        <f t="shared" si="1001"/>
        <v>19287274.491379313</v>
      </c>
      <c r="R2189" s="92">
        <f t="shared" si="1002"/>
        <v>18636671.372413795</v>
      </c>
      <c r="S2189" s="92">
        <f t="shared" si="1003"/>
        <v>16953057.891379312</v>
      </c>
      <c r="T2189" s="92">
        <f t="shared" si="1004"/>
        <v>16817971.13448276</v>
      </c>
      <c r="U2189" s="92">
        <f t="shared" si="1005"/>
        <v>18009919.998275865</v>
      </c>
      <c r="V2189" s="92">
        <f t="shared" si="1006"/>
        <v>18398380.30172414</v>
      </c>
      <c r="W2189" s="92">
        <f t="shared" si="1007"/>
        <v>18426104.044827588</v>
      </c>
      <c r="X2189" s="92">
        <f t="shared" si="1008"/>
        <v>16636025.560344828</v>
      </c>
      <c r="Y2189" s="92">
        <f t="shared" si="1009"/>
        <v>18802185.391379312</v>
      </c>
      <c r="Z2189" s="92">
        <f t="shared" si="1010"/>
        <v>17760730.918965518</v>
      </c>
      <c r="AA2189" s="92">
        <f t="shared" si="1011"/>
        <v>14908778.163793104</v>
      </c>
      <c r="AB2189" s="92">
        <f t="shared" si="1012"/>
        <v>17258608.841379311</v>
      </c>
      <c r="AC2189" s="92">
        <f t="shared" si="1013"/>
        <v>20499288.318965521</v>
      </c>
      <c r="AD2189" s="92">
        <f t="shared" si="1014"/>
        <v>17677353.324137934</v>
      </c>
      <c r="AE2189" s="92">
        <f t="shared" si="1015"/>
        <v>16461591.477586208</v>
      </c>
      <c r="AF2189" s="92">
        <f t="shared" si="1016"/>
        <v>16005954.448275864</v>
      </c>
      <c r="AG2189" s="92">
        <f t="shared" si="1017"/>
        <v>16285077.220689658</v>
      </c>
      <c r="AH2189" s="92">
        <f t="shared" si="1018"/>
        <v>15574567.294827588</v>
      </c>
      <c r="AI2189" s="92">
        <f t="shared" si="1019"/>
        <v>16226414.748275865</v>
      </c>
      <c r="AJ2189" s="92">
        <f t="shared" si="1020"/>
        <v>17008710.910344828</v>
      </c>
      <c r="AK2189" s="92">
        <f t="shared" si="1021"/>
        <v>20654769.967241384</v>
      </c>
      <c r="AL2189" s="92">
        <f t="shared" si="1022"/>
        <v>14522997.951724138</v>
      </c>
      <c r="AM2189" s="92">
        <f t="shared" si="1023"/>
        <v>18340803.955172416</v>
      </c>
      <c r="AN2189" s="92">
        <f t="shared" si="1024"/>
        <v>15871629.501724141</v>
      </c>
      <c r="AO2189" s="92">
        <f t="shared" si="1025"/>
        <v>15145103.482758621</v>
      </c>
      <c r="AP2189" s="92">
        <f t="shared" si="1026"/>
        <v>15760419.872413795</v>
      </c>
      <c r="AQ2189" s="92">
        <f t="shared" si="1027"/>
        <v>14724255.718965519</v>
      </c>
      <c r="AR2189" s="92">
        <f t="shared" si="1028"/>
        <v>13223340.448275864</v>
      </c>
      <c r="AS2189" s="92">
        <f t="shared" si="1029"/>
        <v>10937787.994827587</v>
      </c>
      <c r="AT2189" s="92">
        <f t="shared" si="1030"/>
        <v>12664360.955172414</v>
      </c>
      <c r="AU2189" s="92">
        <f t="shared" si="1031"/>
        <v>12304857.218965517</v>
      </c>
      <c r="AV2189" s="92">
        <f t="shared" si="1032"/>
        <v>14033724.665517244</v>
      </c>
      <c r="AW2189" s="92">
        <f t="shared" si="1033"/>
        <v>12443558.996551726</v>
      </c>
      <c r="AX2189" s="92">
        <f t="shared" si="1034"/>
        <v>14195857.763793105</v>
      </c>
      <c r="AY2189" s="92">
        <f t="shared" si="1035"/>
        <v>13328658.41896552</v>
      </c>
      <c r="AZ2189" s="92">
        <f t="shared" si="1036"/>
        <v>12840855.922413794</v>
      </c>
      <c r="BA2189" s="92">
        <f t="shared" si="1037"/>
        <v>12347195.774137931</v>
      </c>
      <c r="BB2189" s="92">
        <f t="shared" si="1038"/>
        <v>11871803.589655172</v>
      </c>
      <c r="BC2189" s="92">
        <f t="shared" si="1039"/>
        <v>11853082.720689654</v>
      </c>
      <c r="BD2189" s="92">
        <f t="shared" si="1040"/>
        <v>12895493.629310345</v>
      </c>
      <c r="BE2189" s="92">
        <f t="shared" si="1041"/>
        <v>12638066.575862071</v>
      </c>
      <c r="BF2189" s="92">
        <f t="shared" si="1042"/>
        <v>14114537.725862071</v>
      </c>
      <c r="BG2189" s="92">
        <f t="shared" si="1043"/>
        <v>14250570.505172415</v>
      </c>
      <c r="BH2189" s="92">
        <f t="shared" si="1044"/>
        <v>12613007.011034483</v>
      </c>
      <c r="BI2189" s="92">
        <f t="shared" si="1045"/>
        <v>14442202.155862069</v>
      </c>
      <c r="BJ2189" s="92">
        <f t="shared" si="1046"/>
        <v>17161963.824137934</v>
      </c>
      <c r="BK2189" s="92">
        <f t="shared" si="1047"/>
        <v>14771607.252413796</v>
      </c>
      <c r="BL2189" s="92">
        <f t="shared" si="1048"/>
        <v>15220809.694482761</v>
      </c>
      <c r="BM2189" s="92">
        <f t="shared" si="1049"/>
        <v>15365519.104827587</v>
      </c>
      <c r="BN2189" s="92">
        <f t="shared" si="1050"/>
        <v>15644494.782758623</v>
      </c>
      <c r="BO2189" s="92">
        <f t="shared" si="1051"/>
        <v>16250825.132413793</v>
      </c>
      <c r="BP2189" s="92">
        <f t="shared" si="1052"/>
        <v>14897325.099310348</v>
      </c>
      <c r="BQ2189" s="92">
        <f t="shared" si="1053"/>
        <v>12816394.13862069</v>
      </c>
      <c r="BR2189" s="92">
        <f t="shared" si="1054"/>
        <v>13098862.382758621</v>
      </c>
      <c r="BS2189" s="92">
        <f t="shared" si="1055"/>
        <v>11848181.608275862</v>
      </c>
      <c r="BT2189" s="92">
        <f t="shared" si="1056"/>
        <v>12823998.393793104</v>
      </c>
      <c r="BU2189" s="92">
        <f t="shared" si="1057"/>
        <v>12411332.322758622</v>
      </c>
      <c r="BV2189" s="92">
        <f t="shared" si="1058"/>
        <v>12570477.932413794</v>
      </c>
      <c r="BW2189" s="92">
        <f t="shared" si="1059"/>
        <v>13168772.710344829</v>
      </c>
      <c r="BX2189" s="92">
        <f t="shared" si="1060"/>
        <v>12010470.135172414</v>
      </c>
      <c r="BY2189" s="92">
        <f t="shared" si="1061"/>
        <v>13419542.67034483</v>
      </c>
      <c r="BZ2189" s="92">
        <f t="shared" si="1062"/>
        <v>11628242.272413794</v>
      </c>
      <c r="CA2189" s="92">
        <f>SUM(FLORESTA!$B2189:$BZ2189)</f>
        <v>1197470216.8965518</v>
      </c>
      <c r="CB2189" s="133">
        <f>FLORESTA!$CA2189/77</f>
        <v>15551561.258396776</v>
      </c>
    </row>
    <row r="2190" spans="1:80" x14ac:dyDescent="0.25">
      <c r="A2190" s="212" t="s">
        <v>28</v>
      </c>
      <c r="B2190" s="92">
        <v>1781958.7862068969</v>
      </c>
      <c r="C2190" s="92">
        <f t="shared" si="987"/>
        <v>2053052.0224137933</v>
      </c>
      <c r="D2190" s="92">
        <f t="shared" si="988"/>
        <v>2882485.6172413798</v>
      </c>
      <c r="E2190" s="92">
        <f t="shared" si="989"/>
        <v>1173029.0017241382</v>
      </c>
      <c r="F2190" s="92">
        <f t="shared" si="1063"/>
        <v>504757.83965517243</v>
      </c>
      <c r="G2190" s="92">
        <f t="shared" si="991"/>
        <v>1496571.6172413796</v>
      </c>
      <c r="H2190" s="92">
        <f t="shared" si="992"/>
        <v>1387145.2103448277</v>
      </c>
      <c r="I2190" s="92">
        <f t="shared" si="993"/>
        <v>725121.13103448285</v>
      </c>
      <c r="J2190" s="92">
        <f t="shared" si="994"/>
        <v>819314.20172413811</v>
      </c>
      <c r="K2190" s="92">
        <f t="shared" si="995"/>
        <v>91709.589655172429</v>
      </c>
      <c r="L2190" s="92">
        <f t="shared" si="996"/>
        <v>206272.68103448278</v>
      </c>
      <c r="M2190" s="92">
        <f t="shared" si="997"/>
        <v>0</v>
      </c>
      <c r="N2190" s="92">
        <f t="shared" si="998"/>
        <v>0</v>
      </c>
      <c r="O2190" s="92">
        <f t="shared" si="999"/>
        <v>0</v>
      </c>
      <c r="P2190" s="92">
        <f t="shared" si="1000"/>
        <v>29803.494827586208</v>
      </c>
      <c r="Q2190" s="92">
        <f t="shared" si="1001"/>
        <v>0</v>
      </c>
      <c r="R2190" s="92">
        <f t="shared" si="1002"/>
        <v>39779.372413793106</v>
      </c>
      <c r="S2190" s="92">
        <f t="shared" si="1003"/>
        <v>0</v>
      </c>
      <c r="T2190" s="92">
        <f t="shared" si="1004"/>
        <v>0</v>
      </c>
      <c r="U2190" s="92">
        <f t="shared" si="1005"/>
        <v>0</v>
      </c>
      <c r="V2190" s="92">
        <f t="shared" si="1006"/>
        <v>0</v>
      </c>
      <c r="W2190" s="92">
        <f t="shared" si="1007"/>
        <v>24606.939655172417</v>
      </c>
      <c r="X2190" s="92">
        <f t="shared" si="1008"/>
        <v>0</v>
      </c>
      <c r="Y2190" s="92">
        <f t="shared" si="1009"/>
        <v>0</v>
      </c>
      <c r="Z2190" s="92">
        <f t="shared" si="1010"/>
        <v>1460327.40862069</v>
      </c>
      <c r="AA2190" s="92">
        <f t="shared" si="1011"/>
        <v>994982.46724137943</v>
      </c>
      <c r="AB2190" s="92">
        <f t="shared" si="1012"/>
        <v>1344198.5034482761</v>
      </c>
      <c r="AC2190" s="92">
        <f t="shared" si="1013"/>
        <v>1112613.3379310346</v>
      </c>
      <c r="AD2190" s="92">
        <f t="shared" si="1014"/>
        <v>1672257.9689655171</v>
      </c>
      <c r="AE2190" s="92">
        <f t="shared" si="1015"/>
        <v>2070754.7086206898</v>
      </c>
      <c r="AF2190" s="92">
        <f t="shared" si="1016"/>
        <v>1693022.379310345</v>
      </c>
      <c r="AG2190" s="92">
        <f t="shared" si="1017"/>
        <v>1932512.3534482759</v>
      </c>
      <c r="AH2190" s="92">
        <f t="shared" si="1018"/>
        <v>2119982.5310344826</v>
      </c>
      <c r="AI2190" s="92">
        <f t="shared" si="1019"/>
        <v>1498648.6603448279</v>
      </c>
      <c r="AJ2190" s="92">
        <f t="shared" si="1020"/>
        <v>2563784.1948275864</v>
      </c>
      <c r="AK2190" s="92">
        <f t="shared" si="1021"/>
        <v>916944.91379310354</v>
      </c>
      <c r="AL2190" s="92">
        <f t="shared" si="1022"/>
        <v>2526822.7517241384</v>
      </c>
      <c r="AM2190" s="92">
        <f t="shared" si="1023"/>
        <v>3396006.7775862077</v>
      </c>
      <c r="AN2190" s="92">
        <f t="shared" si="1024"/>
        <v>2436866.1379310349</v>
      </c>
      <c r="AO2190" s="92">
        <f t="shared" si="1025"/>
        <v>1576058.8</v>
      </c>
      <c r="AP2190" s="92">
        <f t="shared" si="1026"/>
        <v>2952377.8258620696</v>
      </c>
      <c r="AQ2190" s="92">
        <f t="shared" si="1027"/>
        <v>2482828.7862068964</v>
      </c>
      <c r="AR2190" s="92">
        <f t="shared" si="1028"/>
        <v>1863058.6982758623</v>
      </c>
      <c r="AS2190" s="92">
        <f t="shared" si="1029"/>
        <v>2034880.8396551725</v>
      </c>
      <c r="AT2190" s="92">
        <f t="shared" si="1030"/>
        <v>2403001.522413793</v>
      </c>
      <c r="AU2190" s="92">
        <f t="shared" si="1031"/>
        <v>1963733.7724137933</v>
      </c>
      <c r="AV2190" s="92">
        <f t="shared" si="1032"/>
        <v>1921444.6379310349</v>
      </c>
      <c r="AW2190" s="92">
        <f t="shared" si="1033"/>
        <v>1027470.355172414</v>
      </c>
      <c r="AX2190" s="92">
        <f t="shared" si="1034"/>
        <v>2194115.5758620691</v>
      </c>
      <c r="AY2190" s="92">
        <f t="shared" si="1035"/>
        <v>1732666.8293103452</v>
      </c>
      <c r="AZ2190" s="92">
        <f t="shared" si="1036"/>
        <v>2674176.6034482759</v>
      </c>
      <c r="BA2190" s="92">
        <f t="shared" si="1037"/>
        <v>3217327.4862068971</v>
      </c>
      <c r="BB2190" s="92">
        <f t="shared" si="1038"/>
        <v>2563652.431034483</v>
      </c>
      <c r="BC2190" s="92">
        <f t="shared" si="1039"/>
        <v>2895997.5362068969</v>
      </c>
      <c r="BD2190" s="92">
        <f t="shared" si="1040"/>
        <v>2672491.1086206902</v>
      </c>
      <c r="BE2190" s="92">
        <f t="shared" si="1041"/>
        <v>1926650.0224137935</v>
      </c>
      <c r="BF2190" s="92">
        <f t="shared" si="1042"/>
        <v>2580896.9724137932</v>
      </c>
      <c r="BG2190" s="92">
        <f t="shared" si="1043"/>
        <v>2263348.898275862</v>
      </c>
      <c r="BH2190" s="92">
        <f t="shared" si="1044"/>
        <v>2282108.2103448277</v>
      </c>
      <c r="BI2190" s="92">
        <f t="shared" si="1045"/>
        <v>1970202.3400000003</v>
      </c>
      <c r="BJ2190" s="92">
        <f t="shared" si="1046"/>
        <v>2400945.3110344829</v>
      </c>
      <c r="BK2190" s="92">
        <f t="shared" si="1047"/>
        <v>2168398.708275862</v>
      </c>
      <c r="BL2190" s="92">
        <f t="shared" si="1048"/>
        <v>1786038.7572413795</v>
      </c>
      <c r="BM2190" s="92">
        <f t="shared" si="1049"/>
        <v>2385461.8296551723</v>
      </c>
      <c r="BN2190" s="92">
        <f t="shared" si="1050"/>
        <v>2332115.4558620695</v>
      </c>
      <c r="BO2190" s="92">
        <f t="shared" si="1051"/>
        <v>2181735.6262068967</v>
      </c>
      <c r="BP2190" s="92">
        <f t="shared" si="1052"/>
        <v>2509283.1075862069</v>
      </c>
      <c r="BQ2190" s="92">
        <f t="shared" si="1053"/>
        <v>1878593.502758621</v>
      </c>
      <c r="BR2190" s="92">
        <f t="shared" si="1054"/>
        <v>2240032.5662068971</v>
      </c>
      <c r="BS2190" s="92">
        <f t="shared" si="1055"/>
        <v>2009965.3868965518</v>
      </c>
      <c r="BT2190" s="92">
        <f t="shared" si="1056"/>
        <v>1782722.2489655174</v>
      </c>
      <c r="BU2190" s="92">
        <f t="shared" si="1057"/>
        <v>1631536.1193103448</v>
      </c>
      <c r="BV2190" s="92">
        <f t="shared" si="1058"/>
        <v>2735492.455862069</v>
      </c>
      <c r="BW2190" s="92">
        <f t="shared" si="1059"/>
        <v>2190314.8331034486</v>
      </c>
      <c r="BX2190" s="92">
        <f t="shared" si="1060"/>
        <v>2136221.9924137932</v>
      </c>
      <c r="BY2190" s="92">
        <f t="shared" si="1061"/>
        <v>2397088.6875862074</v>
      </c>
      <c r="BZ2190" s="92">
        <f t="shared" si="1062"/>
        <v>1941168.5317241382</v>
      </c>
      <c r="CA2190" s="92">
        <f>SUM(FLORESTA!$B2190:$BZ2190)</f>
        <v>124860936.97275864</v>
      </c>
      <c r="CB2190" s="133">
        <f>FLORESTA!$CA2190/77</f>
        <v>1621570.6100358265</v>
      </c>
    </row>
    <row r="2191" spans="1:80" x14ac:dyDescent="0.25">
      <c r="A2191" s="212" t="s">
        <v>29</v>
      </c>
      <c r="B2191" s="92">
        <v>99853.515517241394</v>
      </c>
      <c r="C2191" s="92">
        <f t="shared" si="987"/>
        <v>22417.275862068967</v>
      </c>
      <c r="D2191" s="92">
        <f t="shared" si="988"/>
        <v>17155.175862068969</v>
      </c>
      <c r="E2191" s="92">
        <f t="shared" si="989"/>
        <v>0</v>
      </c>
      <c r="F2191" s="92">
        <f t="shared" si="1063"/>
        <v>0</v>
      </c>
      <c r="G2191" s="92">
        <f t="shared" si="991"/>
        <v>0</v>
      </c>
      <c r="H2191" s="92">
        <f t="shared" si="992"/>
        <v>111000.15344827587</v>
      </c>
      <c r="I2191" s="92">
        <f t="shared" si="993"/>
        <v>119035.55000000002</v>
      </c>
      <c r="J2191" s="92">
        <f t="shared" si="994"/>
        <v>0</v>
      </c>
      <c r="K2191" s="92">
        <f t="shared" si="995"/>
        <v>82305.282758620699</v>
      </c>
      <c r="L2191" s="92">
        <f t="shared" si="996"/>
        <v>96982.89827586207</v>
      </c>
      <c r="M2191" s="92">
        <f t="shared" si="997"/>
        <v>0</v>
      </c>
      <c r="N2191" s="92">
        <f t="shared" si="998"/>
        <v>0</v>
      </c>
      <c r="O2191" s="92">
        <f t="shared" si="999"/>
        <v>73481.113793103461</v>
      </c>
      <c r="P2191" s="92">
        <f t="shared" si="1000"/>
        <v>0</v>
      </c>
      <c r="Q2191" s="92">
        <f t="shared" si="1001"/>
        <v>0</v>
      </c>
      <c r="R2191" s="92">
        <f t="shared" si="1002"/>
        <v>0</v>
      </c>
      <c r="S2191" s="92">
        <f t="shared" si="1003"/>
        <v>31656.955172413796</v>
      </c>
      <c r="T2191" s="92">
        <f t="shared" si="1004"/>
        <v>0</v>
      </c>
      <c r="U2191" s="92">
        <f t="shared" si="1005"/>
        <v>0</v>
      </c>
      <c r="V2191" s="92">
        <f t="shared" si="1006"/>
        <v>0</v>
      </c>
      <c r="W2191" s="92">
        <f t="shared" si="1007"/>
        <v>0</v>
      </c>
      <c r="X2191" s="92">
        <f t="shared" si="1008"/>
        <v>0</v>
      </c>
      <c r="Y2191" s="92">
        <f t="shared" si="1009"/>
        <v>0</v>
      </c>
      <c r="Z2191" s="92">
        <f t="shared" si="1010"/>
        <v>0</v>
      </c>
      <c r="AA2191" s="92">
        <f t="shared" si="1011"/>
        <v>0</v>
      </c>
      <c r="AB2191" s="92">
        <f t="shared" si="1012"/>
        <v>128233.03448275864</v>
      </c>
      <c r="AC2191" s="92">
        <f t="shared" si="1013"/>
        <v>0</v>
      </c>
      <c r="AD2191" s="92">
        <f t="shared" si="1014"/>
        <v>0</v>
      </c>
      <c r="AE2191" s="92">
        <f t="shared" si="1015"/>
        <v>0</v>
      </c>
      <c r="AF2191" s="92">
        <f t="shared" si="1016"/>
        <v>0</v>
      </c>
      <c r="AG2191" s="92">
        <f t="shared" si="1017"/>
        <v>0</v>
      </c>
      <c r="AH2191" s="92">
        <f t="shared" si="1018"/>
        <v>0</v>
      </c>
      <c r="AI2191" s="92">
        <f t="shared" si="1019"/>
        <v>0</v>
      </c>
      <c r="AJ2191" s="92">
        <f t="shared" si="1020"/>
        <v>79492.432758620693</v>
      </c>
      <c r="AK2191" s="92">
        <f t="shared" si="1021"/>
        <v>0</v>
      </c>
      <c r="AL2191" s="92">
        <f t="shared" si="1022"/>
        <v>0</v>
      </c>
      <c r="AM2191" s="92">
        <f t="shared" si="1023"/>
        <v>101676.90344827587</v>
      </c>
      <c r="AN2191" s="92">
        <f t="shared" si="1024"/>
        <v>21739.689655172417</v>
      </c>
      <c r="AO2191" s="92">
        <f t="shared" si="1025"/>
        <v>0</v>
      </c>
      <c r="AP2191" s="92">
        <f t="shared" si="1026"/>
        <v>37091.456896551725</v>
      </c>
      <c r="AQ2191" s="92">
        <f t="shared" si="1027"/>
        <v>0</v>
      </c>
      <c r="AR2191" s="92">
        <f t="shared" si="1028"/>
        <v>32234.541379310351</v>
      </c>
      <c r="AS2191" s="92">
        <f t="shared" si="1029"/>
        <v>0</v>
      </c>
      <c r="AT2191" s="92">
        <f t="shared" si="1030"/>
        <v>55737.187931034488</v>
      </c>
      <c r="AU2191" s="92">
        <f t="shared" si="1031"/>
        <v>0</v>
      </c>
      <c r="AV2191" s="92">
        <f t="shared" si="1032"/>
        <v>0</v>
      </c>
      <c r="AW2191" s="92">
        <f t="shared" si="1033"/>
        <v>0</v>
      </c>
      <c r="AX2191" s="92">
        <f t="shared" si="1034"/>
        <v>0</v>
      </c>
      <c r="AY2191" s="92">
        <f t="shared" si="1035"/>
        <v>19868.137931034486</v>
      </c>
      <c r="AZ2191" s="92">
        <f t="shared" si="1036"/>
        <v>0</v>
      </c>
      <c r="BA2191" s="92">
        <f t="shared" si="1037"/>
        <v>0</v>
      </c>
      <c r="BB2191" s="92">
        <f t="shared" si="1038"/>
        <v>0</v>
      </c>
      <c r="BC2191" s="92">
        <f t="shared" si="1039"/>
        <v>0</v>
      </c>
      <c r="BD2191" s="92">
        <f t="shared" si="1040"/>
        <v>0</v>
      </c>
      <c r="BE2191" s="92">
        <f t="shared" si="1041"/>
        <v>0</v>
      </c>
      <c r="BF2191" s="92">
        <f t="shared" si="1042"/>
        <v>24237.144827586209</v>
      </c>
      <c r="BG2191" s="92">
        <f t="shared" si="1043"/>
        <v>0</v>
      </c>
      <c r="BH2191" s="92">
        <f t="shared" si="1044"/>
        <v>0</v>
      </c>
      <c r="BI2191" s="92">
        <f t="shared" si="1045"/>
        <v>0</v>
      </c>
      <c r="BJ2191" s="92">
        <f t="shared" si="1046"/>
        <v>136172.0827586207</v>
      </c>
      <c r="BK2191" s="92">
        <f t="shared" si="1047"/>
        <v>0</v>
      </c>
      <c r="BL2191" s="92">
        <f t="shared" si="1048"/>
        <v>139401.49655172415</v>
      </c>
      <c r="BM2191" s="92">
        <f t="shared" si="1049"/>
        <v>0</v>
      </c>
      <c r="BN2191" s="92">
        <f t="shared" si="1050"/>
        <v>0</v>
      </c>
      <c r="BO2191" s="92">
        <f t="shared" si="1051"/>
        <v>0</v>
      </c>
      <c r="BP2191" s="92">
        <f t="shared" si="1052"/>
        <v>0</v>
      </c>
      <c r="BQ2191" s="92">
        <f t="shared" si="1053"/>
        <v>106396.28482758622</v>
      </c>
      <c r="BR2191" s="92">
        <f t="shared" si="1054"/>
        <v>71536.876551724141</v>
      </c>
      <c r="BS2191" s="92">
        <f t="shared" si="1055"/>
        <v>0</v>
      </c>
      <c r="BT2191" s="92">
        <f t="shared" si="1056"/>
        <v>50792.985517241388</v>
      </c>
      <c r="BU2191" s="92">
        <f t="shared" si="1057"/>
        <v>0</v>
      </c>
      <c r="BV2191" s="92">
        <f t="shared" si="1058"/>
        <v>0</v>
      </c>
      <c r="BW2191" s="92">
        <f t="shared" si="1059"/>
        <v>78318.812413793115</v>
      </c>
      <c r="BX2191" s="92">
        <f t="shared" si="1060"/>
        <v>0</v>
      </c>
      <c r="BY2191" s="92">
        <f t="shared" si="1061"/>
        <v>98022.215172413795</v>
      </c>
      <c r="BZ2191" s="92">
        <f t="shared" si="1062"/>
        <v>0</v>
      </c>
      <c r="CA2191" s="92">
        <f>SUM(FLORESTA!$B2191:$BZ2191)</f>
        <v>1834839.2037931033</v>
      </c>
      <c r="CB2191" s="133">
        <f>FLORESTA!$CA2191/77</f>
        <v>23829.080568741603</v>
      </c>
    </row>
    <row r="2192" spans="1:80" x14ac:dyDescent="0.25">
      <c r="A2192" s="216" t="s">
        <v>30</v>
      </c>
      <c r="B2192" s="91">
        <v>11596472.068965517</v>
      </c>
      <c r="C2192" s="91">
        <f t="shared" si="987"/>
        <v>18626225.517241381</v>
      </c>
      <c r="D2192" s="91">
        <f t="shared" si="988"/>
        <v>22413305</v>
      </c>
      <c r="E2192" s="91">
        <f t="shared" si="989"/>
        <v>27070725.689655177</v>
      </c>
      <c r="F2192" s="91">
        <f t="shared" si="1063"/>
        <v>25199976.034482758</v>
      </c>
      <c r="G2192" s="91">
        <f t="shared" si="991"/>
        <v>27560132.413793106</v>
      </c>
      <c r="H2192" s="91">
        <f t="shared" si="992"/>
        <v>25239351.034482762</v>
      </c>
      <c r="I2192" s="91">
        <f t="shared" si="993"/>
        <v>28717977.758620694</v>
      </c>
      <c r="J2192" s="91">
        <f t="shared" si="994"/>
        <v>29818668.965517242</v>
      </c>
      <c r="K2192" s="91">
        <f t="shared" si="995"/>
        <v>28234781.896551725</v>
      </c>
      <c r="L2192" s="91">
        <f t="shared" si="996"/>
        <v>25785297.068965521</v>
      </c>
      <c r="M2192" s="91">
        <f t="shared" si="997"/>
        <v>25691497.758620691</v>
      </c>
      <c r="N2192" s="91">
        <f t="shared" si="998"/>
        <v>28974435.344827589</v>
      </c>
      <c r="O2192" s="91">
        <f t="shared" si="999"/>
        <v>34190737.93103449</v>
      </c>
      <c r="P2192" s="91">
        <f t="shared" si="1000"/>
        <v>29616509.31034483</v>
      </c>
      <c r="Q2192" s="91">
        <f t="shared" si="1001"/>
        <v>29918157.586206898</v>
      </c>
      <c r="R2192" s="91">
        <f t="shared" si="1002"/>
        <v>28026858.448275864</v>
      </c>
      <c r="S2192" s="91">
        <f t="shared" si="1003"/>
        <v>27116605.172413796</v>
      </c>
      <c r="T2192" s="91">
        <f t="shared" si="1004"/>
        <v>28263249.137931038</v>
      </c>
      <c r="U2192" s="91">
        <f t="shared" si="1005"/>
        <v>29426789.482758626</v>
      </c>
      <c r="V2192" s="91">
        <f t="shared" si="1006"/>
        <v>29910057.931034483</v>
      </c>
      <c r="W2192" s="91">
        <f t="shared" si="1007"/>
        <v>30241009.31034483</v>
      </c>
      <c r="X2192" s="91">
        <f t="shared" si="1008"/>
        <v>29782220.172413796</v>
      </c>
      <c r="Y2192" s="91">
        <f t="shared" si="1009"/>
        <v>35102414.137931034</v>
      </c>
      <c r="Z2192" s="91">
        <f t="shared" si="1010"/>
        <v>31386106.206896555</v>
      </c>
      <c r="AA2192" s="91">
        <f t="shared" si="1011"/>
        <v>30452052.758620691</v>
      </c>
      <c r="AB2192" s="91">
        <f t="shared" si="1012"/>
        <v>32984035.344827589</v>
      </c>
      <c r="AC2192" s="91">
        <f t="shared" si="1013"/>
        <v>36604904.827586211</v>
      </c>
      <c r="AD2192" s="91">
        <f t="shared" si="1014"/>
        <v>34066628.448275864</v>
      </c>
      <c r="AE2192" s="91">
        <f t="shared" si="1015"/>
        <v>33881283.965517245</v>
      </c>
      <c r="AF2192" s="91">
        <f t="shared" si="1016"/>
        <v>33658620</v>
      </c>
      <c r="AG2192" s="91">
        <f t="shared" si="1017"/>
        <v>33660681.206896558</v>
      </c>
      <c r="AH2192" s="91">
        <f t="shared" si="1018"/>
        <v>34710170.344827592</v>
      </c>
      <c r="AI2192" s="91">
        <f t="shared" si="1019"/>
        <v>33756807.758620694</v>
      </c>
      <c r="AJ2192" s="91">
        <f t="shared" si="1020"/>
        <v>34688699.31034483</v>
      </c>
      <c r="AK2192" s="91">
        <f t="shared" si="1021"/>
        <v>36188603.103448279</v>
      </c>
      <c r="AL2192" s="91">
        <f t="shared" si="1022"/>
        <v>29881185.862068966</v>
      </c>
      <c r="AM2192" s="91">
        <f t="shared" si="1023"/>
        <v>35737830.517241381</v>
      </c>
      <c r="AN2192" s="91">
        <f t="shared" si="1024"/>
        <v>34632927.413793102</v>
      </c>
      <c r="AO2192" s="91">
        <f t="shared" si="1025"/>
        <v>30837572.413793106</v>
      </c>
      <c r="AP2192" s="91">
        <f t="shared" si="1026"/>
        <v>32965157.413793106</v>
      </c>
      <c r="AQ2192" s="91">
        <f t="shared" si="1027"/>
        <v>32123090.000000004</v>
      </c>
      <c r="AR2192" s="91">
        <f t="shared" si="1028"/>
        <v>29579729.827586211</v>
      </c>
      <c r="AS2192" s="91">
        <f t="shared" si="1029"/>
        <v>26729032.068965521</v>
      </c>
      <c r="AT2192" s="91">
        <f t="shared" si="1030"/>
        <v>28122741.379310347</v>
      </c>
      <c r="AU2192" s="91">
        <f t="shared" si="1031"/>
        <v>25680921.206896555</v>
      </c>
      <c r="AV2192" s="91">
        <f t="shared" si="1032"/>
        <v>27309972.241379313</v>
      </c>
      <c r="AW2192" s="91">
        <f t="shared" si="1033"/>
        <v>23300396.724137936</v>
      </c>
      <c r="AX2192" s="91">
        <f t="shared" si="1034"/>
        <v>26748847.586206902</v>
      </c>
      <c r="AY2192" s="91">
        <f t="shared" si="1035"/>
        <v>27245834.48275863</v>
      </c>
      <c r="AZ2192" s="91">
        <f t="shared" si="1036"/>
        <v>26987040.689655174</v>
      </c>
      <c r="BA2192" s="91">
        <f t="shared" si="1037"/>
        <v>26740747.068965517</v>
      </c>
      <c r="BB2192" s="91">
        <f t="shared" si="1038"/>
        <v>27010665.517241381</v>
      </c>
      <c r="BC2192" s="91">
        <f t="shared" si="1039"/>
        <v>26584628.275862072</v>
      </c>
      <c r="BD2192" s="91">
        <f t="shared" si="1040"/>
        <v>27580662.413793102</v>
      </c>
      <c r="BE2192" s="91">
        <f t="shared" si="1041"/>
        <v>25754886.034482762</v>
      </c>
      <c r="BF2192" s="91">
        <f t="shared" si="1042"/>
        <v>29099459.827586208</v>
      </c>
      <c r="BG2192" s="91">
        <f t="shared" si="1043"/>
        <v>29624549.137931038</v>
      </c>
      <c r="BH2192" s="91">
        <f t="shared" si="1044"/>
        <v>26546907.655172415</v>
      </c>
      <c r="BI2192" s="91">
        <f t="shared" si="1045"/>
        <v>28898540.827586208</v>
      </c>
      <c r="BJ2192" s="91">
        <f t="shared" si="1046"/>
        <v>31803375.86206897</v>
      </c>
      <c r="BK2192" s="91">
        <f t="shared" si="1047"/>
        <v>27517091.862068966</v>
      </c>
      <c r="BL2192" s="91">
        <f t="shared" si="1048"/>
        <v>26790807.241379313</v>
      </c>
      <c r="BM2192" s="91">
        <f t="shared" si="1049"/>
        <v>26508481.724137932</v>
      </c>
      <c r="BN2192" s="91">
        <f t="shared" si="1050"/>
        <v>26138139.172413796</v>
      </c>
      <c r="BO2192" s="91">
        <f t="shared" si="1051"/>
        <v>28836832.206896555</v>
      </c>
      <c r="BP2192" s="91">
        <f t="shared" si="1052"/>
        <v>28226401.793103449</v>
      </c>
      <c r="BQ2192" s="91">
        <f t="shared" si="1053"/>
        <v>24818644.827586208</v>
      </c>
      <c r="BR2192" s="91">
        <f t="shared" si="1054"/>
        <v>25951056.965517245</v>
      </c>
      <c r="BS2192" s="91">
        <f t="shared" si="1055"/>
        <v>23705370.206896551</v>
      </c>
      <c r="BT2192" s="91">
        <f t="shared" si="1056"/>
        <v>25535364</v>
      </c>
      <c r="BU2192" s="91">
        <f t="shared" si="1057"/>
        <v>21377713.931034487</v>
      </c>
      <c r="BV2192" s="91">
        <f t="shared" si="1058"/>
        <v>23937534.068965517</v>
      </c>
      <c r="BW2192" s="91">
        <f t="shared" si="1059"/>
        <v>25578044.689655174</v>
      </c>
      <c r="BX2192" s="91">
        <f t="shared" si="1060"/>
        <v>21301332.137931034</v>
      </c>
      <c r="BY2192" s="91">
        <f t="shared" si="1061"/>
        <v>25010634.206896555</v>
      </c>
      <c r="BZ2192" s="91">
        <f t="shared" si="1062"/>
        <v>22062877.034482762</v>
      </c>
      <c r="CA2192" s="91">
        <f>SUM(FLORESTA!$B2192:$BZ2192)</f>
        <v>2183385076.965517</v>
      </c>
      <c r="CB2192" s="136">
        <f>FLORESTA!$CA2192/77</f>
        <v>28355650.350201521</v>
      </c>
    </row>
    <row r="2193" spans="1:80" x14ac:dyDescent="0.25">
      <c r="A2193" s="212" t="s">
        <v>31</v>
      </c>
      <c r="B2193" s="92">
        <v>81890</v>
      </c>
      <c r="C2193" s="92">
        <f t="shared" si="987"/>
        <v>232740</v>
      </c>
      <c r="D2193" s="92">
        <f t="shared" si="988"/>
        <v>364195</v>
      </c>
      <c r="E2193" s="92">
        <f t="shared" si="989"/>
        <v>450395</v>
      </c>
      <c r="F2193" s="92">
        <f t="shared" si="1063"/>
        <v>777955</v>
      </c>
      <c r="G2193" s="92">
        <f t="shared" si="991"/>
        <v>577540</v>
      </c>
      <c r="H2193" s="92">
        <f t="shared" si="992"/>
        <v>508580</v>
      </c>
      <c r="I2193" s="92">
        <f t="shared" si="993"/>
        <v>584005</v>
      </c>
      <c r="J2193" s="92">
        <f t="shared" si="994"/>
        <v>603400</v>
      </c>
      <c r="K2193" s="92">
        <f t="shared" si="995"/>
        <v>506425</v>
      </c>
      <c r="L2193" s="92">
        <f t="shared" si="996"/>
        <v>480565</v>
      </c>
      <c r="M2193" s="92">
        <f t="shared" si="997"/>
        <v>402985</v>
      </c>
      <c r="N2193" s="92">
        <f t="shared" si="998"/>
        <v>484875</v>
      </c>
      <c r="O2193" s="92">
        <f t="shared" si="999"/>
        <v>603400</v>
      </c>
      <c r="P2193" s="92">
        <f t="shared" si="1000"/>
        <v>547370</v>
      </c>
      <c r="Q2193" s="92">
        <f t="shared" si="1001"/>
        <v>676670</v>
      </c>
      <c r="R2193" s="92">
        <f t="shared" si="1002"/>
        <v>601245</v>
      </c>
      <c r="S2193" s="92">
        <f t="shared" si="1003"/>
        <v>668050</v>
      </c>
      <c r="T2193" s="92">
        <f t="shared" si="1004"/>
        <v>743475</v>
      </c>
      <c r="U2193" s="92">
        <f t="shared" si="1005"/>
        <v>816745</v>
      </c>
      <c r="V2193" s="92">
        <f t="shared" si="1006"/>
        <v>724080</v>
      </c>
      <c r="W2193" s="92">
        <f t="shared" si="1007"/>
        <v>762870</v>
      </c>
      <c r="X2193" s="92">
        <f t="shared" si="1008"/>
        <v>812435</v>
      </c>
      <c r="Y2193" s="92">
        <f t="shared" si="1009"/>
        <v>1081810</v>
      </c>
      <c r="Z2193" s="92">
        <f t="shared" si="1010"/>
        <v>896480</v>
      </c>
      <c r="AA2193" s="92">
        <f t="shared" si="1011"/>
        <v>874930</v>
      </c>
      <c r="AB2193" s="92">
        <f t="shared" si="1012"/>
        <v>872775</v>
      </c>
      <c r="AC2193" s="92">
        <f t="shared" si="1013"/>
        <v>965440</v>
      </c>
      <c r="AD2193" s="92">
        <f t="shared" si="1014"/>
        <v>958975</v>
      </c>
      <c r="AE2193" s="92">
        <f t="shared" si="1015"/>
        <v>963285</v>
      </c>
      <c r="AF2193" s="92">
        <f t="shared" si="1016"/>
        <v>1068880</v>
      </c>
      <c r="AG2193" s="92">
        <f t="shared" si="1017"/>
        <v>971905</v>
      </c>
      <c r="AH2193" s="92">
        <f t="shared" si="1018"/>
        <v>1051640</v>
      </c>
      <c r="AI2193" s="92">
        <f t="shared" si="1019"/>
        <v>1045175</v>
      </c>
      <c r="AJ2193" s="92">
        <f t="shared" si="1020"/>
        <v>982680</v>
      </c>
      <c r="AK2193" s="92">
        <f t="shared" si="1021"/>
        <v>857690</v>
      </c>
      <c r="AL2193" s="92">
        <f t="shared" si="1022"/>
        <v>814590</v>
      </c>
      <c r="AM2193" s="92">
        <f t="shared" si="1023"/>
        <v>898635</v>
      </c>
      <c r="AN2193" s="92">
        <f t="shared" si="1024"/>
        <v>1032245</v>
      </c>
      <c r="AO2193" s="92">
        <f t="shared" si="1025"/>
        <v>905100</v>
      </c>
      <c r="AP2193" s="92">
        <f t="shared" si="1026"/>
        <v>890015</v>
      </c>
      <c r="AQ2193" s="92">
        <f t="shared" si="1027"/>
        <v>909410</v>
      </c>
      <c r="AR2193" s="92">
        <f t="shared" si="1028"/>
        <v>933115</v>
      </c>
      <c r="AS2193" s="92">
        <f t="shared" si="1029"/>
        <v>831830</v>
      </c>
      <c r="AT2193" s="92">
        <f t="shared" si="1030"/>
        <v>862000</v>
      </c>
      <c r="AU2193" s="92">
        <f t="shared" si="1031"/>
        <v>739165</v>
      </c>
      <c r="AV2193" s="92">
        <f t="shared" si="1032"/>
        <v>730545</v>
      </c>
      <c r="AW2193" s="92">
        <f t="shared" si="1033"/>
        <v>648655</v>
      </c>
      <c r="AX2193" s="92">
        <f t="shared" si="1034"/>
        <v>680980</v>
      </c>
      <c r="AY2193" s="92">
        <f t="shared" si="1035"/>
        <v>732700</v>
      </c>
      <c r="AZ2193" s="92">
        <f t="shared" si="1036"/>
        <v>724080</v>
      </c>
      <c r="BA2193" s="92">
        <f t="shared" si="1037"/>
        <v>717615</v>
      </c>
      <c r="BB2193" s="92">
        <f t="shared" si="1038"/>
        <v>775800</v>
      </c>
      <c r="BC2193" s="92">
        <f t="shared" si="1039"/>
        <v>741320</v>
      </c>
      <c r="BD2193" s="92">
        <f t="shared" si="1040"/>
        <v>737010</v>
      </c>
      <c r="BE2193" s="92">
        <f t="shared" si="1041"/>
        <v>730545</v>
      </c>
      <c r="BF2193" s="92">
        <f t="shared" si="1042"/>
        <v>790885</v>
      </c>
      <c r="BG2193" s="92">
        <f t="shared" si="1043"/>
        <v>829675</v>
      </c>
      <c r="BH2193" s="92">
        <f t="shared" si="1044"/>
        <v>876282</v>
      </c>
      <c r="BI2193" s="92">
        <f t="shared" si="1045"/>
        <v>931804</v>
      </c>
      <c r="BJ2193" s="92">
        <f t="shared" si="1046"/>
        <v>844900</v>
      </c>
      <c r="BK2193" s="92">
        <f t="shared" si="1047"/>
        <v>738684</v>
      </c>
      <c r="BL2193" s="92">
        <f t="shared" si="1048"/>
        <v>639710</v>
      </c>
      <c r="BM2193" s="92">
        <f t="shared" si="1049"/>
        <v>615570</v>
      </c>
      <c r="BN2193" s="92">
        <f t="shared" si="1050"/>
        <v>589016</v>
      </c>
      <c r="BO2193" s="92">
        <f t="shared" si="1051"/>
        <v>750754</v>
      </c>
      <c r="BP2193" s="92">
        <f t="shared" si="1052"/>
        <v>743512</v>
      </c>
      <c r="BQ2193" s="92">
        <f t="shared" si="1053"/>
        <v>724200</v>
      </c>
      <c r="BR2193" s="92">
        <f t="shared" si="1054"/>
        <v>743512</v>
      </c>
      <c r="BS2193" s="92">
        <f t="shared" si="1055"/>
        <v>709716</v>
      </c>
      <c r="BT2193" s="92">
        <f t="shared" si="1056"/>
        <v>782136</v>
      </c>
      <c r="BU2193" s="92">
        <f t="shared" si="1057"/>
        <v>521424</v>
      </c>
      <c r="BV2193" s="92">
        <f t="shared" si="1058"/>
        <v>608328</v>
      </c>
      <c r="BW2193" s="92">
        <f t="shared" si="1059"/>
        <v>685576</v>
      </c>
      <c r="BX2193" s="92">
        <f t="shared" si="1060"/>
        <v>550392</v>
      </c>
      <c r="BY2193" s="92">
        <f t="shared" si="1061"/>
        <v>646952</v>
      </c>
      <c r="BZ2193" s="92">
        <f t="shared" si="1062"/>
        <v>630054</v>
      </c>
      <c r="CA2193" s="92">
        <f>2155*CA2174</f>
        <v>55161535</v>
      </c>
      <c r="CB2193" s="133">
        <f>FLORESTA!$CA2193/77</f>
        <v>716383.57142857148</v>
      </c>
    </row>
    <row r="2194" spans="1:80" x14ac:dyDescent="0.25">
      <c r="A2194" s="218" t="s">
        <v>32</v>
      </c>
      <c r="B2194" s="199">
        <v>11678362.068965517</v>
      </c>
      <c r="C2194" s="199">
        <f t="shared" si="987"/>
        <v>18858965.517241381</v>
      </c>
      <c r="D2194" s="199">
        <f t="shared" si="988"/>
        <v>22777500</v>
      </c>
      <c r="E2194" s="199">
        <f t="shared" si="989"/>
        <v>27521120.689655177</v>
      </c>
      <c r="F2194" s="199">
        <f t="shared" si="1063"/>
        <v>25977931.034482758</v>
      </c>
      <c r="G2194" s="199">
        <f t="shared" si="991"/>
        <v>28137672.413793106</v>
      </c>
      <c r="H2194" s="199">
        <f t="shared" si="992"/>
        <v>25747931.034482762</v>
      </c>
      <c r="I2194" s="199">
        <f t="shared" si="993"/>
        <v>29301982.758620694</v>
      </c>
      <c r="J2194" s="199">
        <f t="shared" si="994"/>
        <v>30422068.965517242</v>
      </c>
      <c r="K2194" s="199">
        <f t="shared" si="995"/>
        <v>28741206.896551725</v>
      </c>
      <c r="L2194" s="199">
        <f t="shared" si="996"/>
        <v>26265862.068965521</v>
      </c>
      <c r="M2194" s="199">
        <f t="shared" si="997"/>
        <v>26094482.758620691</v>
      </c>
      <c r="N2194" s="199">
        <f t="shared" si="998"/>
        <v>29459310.344827589</v>
      </c>
      <c r="O2194" s="199">
        <f t="shared" si="999"/>
        <v>34794137.93103449</v>
      </c>
      <c r="P2194" s="199">
        <f t="shared" si="1000"/>
        <v>30163879.31034483</v>
      </c>
      <c r="Q2194" s="199">
        <f t="shared" si="1001"/>
        <v>30594827.586206898</v>
      </c>
      <c r="R2194" s="199">
        <f t="shared" si="1002"/>
        <v>28628103.448275864</v>
      </c>
      <c r="S2194" s="199">
        <f t="shared" si="1003"/>
        <v>27784655.172413796</v>
      </c>
      <c r="T2194" s="199">
        <f t="shared" si="1004"/>
        <v>29006724.137931038</v>
      </c>
      <c r="U2194" s="199">
        <f t="shared" si="1005"/>
        <v>30243534.482758626</v>
      </c>
      <c r="V2194" s="199">
        <f t="shared" si="1006"/>
        <v>30634137.931034483</v>
      </c>
      <c r="W2194" s="199">
        <f t="shared" si="1007"/>
        <v>31003879.31034483</v>
      </c>
      <c r="X2194" s="199">
        <f t="shared" si="1008"/>
        <v>30594655.172413796</v>
      </c>
      <c r="Y2194" s="199">
        <f t="shared" si="1009"/>
        <v>36184224.137931034</v>
      </c>
      <c r="Z2194" s="199">
        <f t="shared" si="1010"/>
        <v>32282586.206896555</v>
      </c>
      <c r="AA2194" s="199">
        <f t="shared" si="1011"/>
        <v>31326982.758620691</v>
      </c>
      <c r="AB2194" s="199">
        <f t="shared" si="1012"/>
        <v>33856810.344827592</v>
      </c>
      <c r="AC2194" s="199">
        <f t="shared" si="1013"/>
        <v>37570344.827586211</v>
      </c>
      <c r="AD2194" s="199">
        <f t="shared" si="1014"/>
        <v>35025603.448275864</v>
      </c>
      <c r="AE2194" s="199">
        <f t="shared" si="1015"/>
        <v>34844568.965517245</v>
      </c>
      <c r="AF2194" s="199">
        <f t="shared" si="1016"/>
        <v>34727500</v>
      </c>
      <c r="AG2194" s="199">
        <f t="shared" si="1017"/>
        <v>34632586.206896558</v>
      </c>
      <c r="AH2194" s="199">
        <f t="shared" si="1018"/>
        <v>35761810.344827592</v>
      </c>
      <c r="AI2194" s="199">
        <f t="shared" si="1019"/>
        <v>34801982.758620694</v>
      </c>
      <c r="AJ2194" s="199">
        <f t="shared" si="1020"/>
        <v>35671379.31034483</v>
      </c>
      <c r="AK2194" s="199">
        <f t="shared" si="1021"/>
        <v>37046293.103448279</v>
      </c>
      <c r="AL2194" s="199">
        <f t="shared" si="1022"/>
        <v>30695775.862068966</v>
      </c>
      <c r="AM2194" s="199">
        <f t="shared" si="1023"/>
        <v>36636465.517241381</v>
      </c>
      <c r="AN2194" s="199">
        <f t="shared" si="1024"/>
        <v>35665172.413793102</v>
      </c>
      <c r="AO2194" s="199">
        <f t="shared" si="1025"/>
        <v>31742672.413793106</v>
      </c>
      <c r="AP2194" s="199">
        <f t="shared" si="1026"/>
        <v>33855172.413793102</v>
      </c>
      <c r="AQ2194" s="199">
        <f t="shared" si="1027"/>
        <v>33032500.000000004</v>
      </c>
      <c r="AR2194" s="199">
        <f t="shared" si="1028"/>
        <v>30512844.827586211</v>
      </c>
      <c r="AS2194" s="199">
        <f t="shared" si="1029"/>
        <v>27560862.068965521</v>
      </c>
      <c r="AT2194" s="199">
        <f t="shared" si="1030"/>
        <v>28984741.379310347</v>
      </c>
      <c r="AU2194" s="199">
        <f t="shared" si="1031"/>
        <v>26420086.206896555</v>
      </c>
      <c r="AV2194" s="199">
        <f t="shared" si="1032"/>
        <v>28040517.241379313</v>
      </c>
      <c r="AW2194" s="199">
        <f t="shared" si="1033"/>
        <v>23949051.724137936</v>
      </c>
      <c r="AX2194" s="199">
        <f t="shared" si="1034"/>
        <v>27429827.586206902</v>
      </c>
      <c r="AY2194" s="199">
        <f t="shared" si="1035"/>
        <v>27978534.48275863</v>
      </c>
      <c r="AZ2194" s="199">
        <f t="shared" si="1036"/>
        <v>27711120.689655174</v>
      </c>
      <c r="BA2194" s="199">
        <f t="shared" si="1037"/>
        <v>27458362.068965517</v>
      </c>
      <c r="BB2194" s="199">
        <f t="shared" si="1038"/>
        <v>27786465.517241381</v>
      </c>
      <c r="BC2194" s="199">
        <f t="shared" si="1039"/>
        <v>27325948.275862072</v>
      </c>
      <c r="BD2194" s="199">
        <f t="shared" si="1040"/>
        <v>28317672.413793102</v>
      </c>
      <c r="BE2194" s="199">
        <f t="shared" si="1041"/>
        <v>26485431.034482762</v>
      </c>
      <c r="BF2194" s="199">
        <f t="shared" si="1042"/>
        <v>29890344.827586208</v>
      </c>
      <c r="BG2194" s="199">
        <f t="shared" si="1043"/>
        <v>30454224.137931038</v>
      </c>
      <c r="BH2194" s="199">
        <f t="shared" si="1044"/>
        <v>27423189.655172415</v>
      </c>
      <c r="BI2194" s="199">
        <f t="shared" si="1045"/>
        <v>29830344.827586208</v>
      </c>
      <c r="BJ2194" s="199">
        <f t="shared" si="1046"/>
        <v>32648275.86206897</v>
      </c>
      <c r="BK2194" s="199">
        <f t="shared" si="1047"/>
        <v>28255775.862068966</v>
      </c>
      <c r="BL2194" s="199">
        <f t="shared" si="1048"/>
        <v>27430517.241379313</v>
      </c>
      <c r="BM2194" s="199">
        <f t="shared" si="1049"/>
        <v>27124051.724137932</v>
      </c>
      <c r="BN2194" s="199">
        <f t="shared" si="1050"/>
        <v>26727155.172413796</v>
      </c>
      <c r="BO2194" s="199">
        <f t="shared" si="1051"/>
        <v>29587586.206896555</v>
      </c>
      <c r="BP2194" s="199">
        <f t="shared" si="1052"/>
        <v>28969913.793103449</v>
      </c>
      <c r="BQ2194" s="199">
        <f t="shared" si="1053"/>
        <v>25542844.827586208</v>
      </c>
      <c r="BR2194" s="199">
        <f t="shared" si="1054"/>
        <v>26694568.965517245</v>
      </c>
      <c r="BS2194" s="199">
        <f t="shared" si="1055"/>
        <v>24415086.206896551</v>
      </c>
      <c r="BT2194" s="199">
        <f t="shared" si="1056"/>
        <v>26317500</v>
      </c>
      <c r="BU2194" s="199">
        <f t="shared" si="1057"/>
        <v>21899137.931034487</v>
      </c>
      <c r="BV2194" s="199">
        <f t="shared" si="1058"/>
        <v>24545862.068965517</v>
      </c>
      <c r="BW2194" s="199">
        <f t="shared" si="1059"/>
        <v>26263620.689655174</v>
      </c>
      <c r="BX2194" s="199">
        <f t="shared" si="1060"/>
        <v>21851724.137931034</v>
      </c>
      <c r="BY2194" s="199">
        <f t="shared" si="1061"/>
        <v>25657586.206896555</v>
      </c>
      <c r="BZ2194" s="199">
        <f t="shared" si="1062"/>
        <v>22692931.034482762</v>
      </c>
      <c r="CA2194" s="199">
        <f>CA2192+CA2193</f>
        <v>2238546611.965517</v>
      </c>
      <c r="CB2194" s="284">
        <f>FLORESTA!$CA2194/77</f>
        <v>29072033.921630092</v>
      </c>
    </row>
    <row r="2195" spans="1:80" x14ac:dyDescent="0.25">
      <c r="A2195" s="212" t="s">
        <v>33</v>
      </c>
      <c r="B2195" s="94">
        <v>1868537.9310344828</v>
      </c>
      <c r="C2195" s="94">
        <f t="shared" si="987"/>
        <v>3017434.4827586212</v>
      </c>
      <c r="D2195" s="94">
        <f t="shared" si="988"/>
        <v>3644400</v>
      </c>
      <c r="E2195" s="94">
        <f t="shared" si="989"/>
        <v>4403379.3103448283</v>
      </c>
      <c r="F2195" s="94">
        <f t="shared" si="1063"/>
        <v>4156468.9655172415</v>
      </c>
      <c r="G2195" s="94">
        <f t="shared" si="991"/>
        <v>4502027.5862068972</v>
      </c>
      <c r="H2195" s="94">
        <f t="shared" si="992"/>
        <v>4119668.965517242</v>
      </c>
      <c r="I2195" s="94">
        <f t="shared" si="993"/>
        <v>4688317.2413793113</v>
      </c>
      <c r="J2195" s="94">
        <f t="shared" si="994"/>
        <v>4867531.0344827585</v>
      </c>
      <c r="K2195" s="94">
        <f t="shared" si="995"/>
        <v>4598593.1034482764</v>
      </c>
      <c r="L2195" s="94">
        <f t="shared" si="996"/>
        <v>4202537.931034483</v>
      </c>
      <c r="M2195" s="94">
        <f t="shared" si="997"/>
        <v>4175117.2413793104</v>
      </c>
      <c r="N2195" s="94">
        <f t="shared" si="998"/>
        <v>4713489.6551724141</v>
      </c>
      <c r="O2195" s="94">
        <f t="shared" si="999"/>
        <v>5567062.0689655188</v>
      </c>
      <c r="P2195" s="94">
        <f t="shared" si="1000"/>
        <v>4826220.6896551726</v>
      </c>
      <c r="Q2195" s="94">
        <f t="shared" si="1001"/>
        <v>4895172.4137931038</v>
      </c>
      <c r="R2195" s="94">
        <f t="shared" si="1002"/>
        <v>4580496.5517241387</v>
      </c>
      <c r="S2195" s="94">
        <f t="shared" si="1003"/>
        <v>4445544.8275862075</v>
      </c>
      <c r="T2195" s="94">
        <f t="shared" si="1004"/>
        <v>4641075.862068966</v>
      </c>
      <c r="U2195" s="94">
        <f t="shared" si="1005"/>
        <v>4838965.5172413802</v>
      </c>
      <c r="V2195" s="94">
        <f t="shared" si="1006"/>
        <v>4901462.068965517</v>
      </c>
      <c r="W2195" s="94">
        <f t="shared" si="1007"/>
        <v>4960620.6896551726</v>
      </c>
      <c r="X2195" s="94">
        <f t="shared" si="1008"/>
        <v>4895144.8275862075</v>
      </c>
      <c r="Y2195" s="94">
        <f t="shared" si="1009"/>
        <v>5789475.8620689651</v>
      </c>
      <c r="Z2195" s="94">
        <f t="shared" si="1010"/>
        <v>5165213.793103449</v>
      </c>
      <c r="AA2195" s="94">
        <f t="shared" si="1011"/>
        <v>5012317.2413793104</v>
      </c>
      <c r="AB2195" s="94">
        <f t="shared" si="1012"/>
        <v>5417089.6551724151</v>
      </c>
      <c r="AC2195" s="94">
        <f t="shared" si="1013"/>
        <v>6011255.1724137943</v>
      </c>
      <c r="AD2195" s="94">
        <f t="shared" si="1014"/>
        <v>5604096.5517241387</v>
      </c>
      <c r="AE2195" s="94">
        <f t="shared" si="1015"/>
        <v>5575131.0344827594</v>
      </c>
      <c r="AF2195" s="94">
        <f t="shared" si="1016"/>
        <v>5556400</v>
      </c>
      <c r="AG2195" s="94">
        <f t="shared" si="1017"/>
        <v>5541213.793103449</v>
      </c>
      <c r="AH2195" s="94">
        <f t="shared" si="1018"/>
        <v>5721889.6551724151</v>
      </c>
      <c r="AI2195" s="94">
        <f t="shared" si="1019"/>
        <v>5568317.2413793113</v>
      </c>
      <c r="AJ2195" s="94">
        <f t="shared" si="1020"/>
        <v>5707420.6896551726</v>
      </c>
      <c r="AK2195" s="94">
        <f t="shared" si="1021"/>
        <v>5927406.8965517245</v>
      </c>
      <c r="AL2195" s="94">
        <f t="shared" si="1022"/>
        <v>4911324.1379310349</v>
      </c>
      <c r="AM2195" s="94">
        <f t="shared" si="1023"/>
        <v>5861834.4827586208</v>
      </c>
      <c r="AN2195" s="94">
        <f t="shared" si="1024"/>
        <v>5706427.5862068962</v>
      </c>
      <c r="AO2195" s="94">
        <f t="shared" si="1025"/>
        <v>5078827.5862068972</v>
      </c>
      <c r="AP2195" s="94">
        <f t="shared" si="1026"/>
        <v>5416827.5862068962</v>
      </c>
      <c r="AQ2195" s="94">
        <f t="shared" si="1027"/>
        <v>5285200.0000000009</v>
      </c>
      <c r="AR2195" s="94">
        <f t="shared" si="1028"/>
        <v>4882055.1724137943</v>
      </c>
      <c r="AS2195" s="94">
        <f t="shared" si="1029"/>
        <v>4409737.931034483</v>
      </c>
      <c r="AT2195" s="94">
        <f t="shared" si="1030"/>
        <v>4637558.6206896557</v>
      </c>
      <c r="AU2195" s="94">
        <f t="shared" si="1031"/>
        <v>4227213.793103449</v>
      </c>
      <c r="AV2195" s="94">
        <f t="shared" si="1032"/>
        <v>4486482.7586206906</v>
      </c>
      <c r="AW2195" s="94">
        <f t="shared" si="1033"/>
        <v>3831848.2758620698</v>
      </c>
      <c r="AX2195" s="94">
        <f t="shared" si="1034"/>
        <v>4388772.4137931047</v>
      </c>
      <c r="AY2195" s="94">
        <f t="shared" si="1035"/>
        <v>4476565.5172413811</v>
      </c>
      <c r="AZ2195" s="94">
        <f t="shared" si="1036"/>
        <v>4433779.3103448283</v>
      </c>
      <c r="BA2195" s="94">
        <f t="shared" si="1037"/>
        <v>4393337.931034483</v>
      </c>
      <c r="BB2195" s="94">
        <f t="shared" si="1038"/>
        <v>4445834.4827586208</v>
      </c>
      <c r="BC2195" s="94">
        <f t="shared" si="1039"/>
        <v>4372151.7241379311</v>
      </c>
      <c r="BD2195" s="94">
        <f t="shared" si="1040"/>
        <v>4530827.5862068962</v>
      </c>
      <c r="BE2195" s="94">
        <f t="shared" si="1041"/>
        <v>4237668.9655172424</v>
      </c>
      <c r="BF2195" s="94">
        <f t="shared" si="1042"/>
        <v>4782455.1724137934</v>
      </c>
      <c r="BG2195" s="94">
        <f t="shared" si="1043"/>
        <v>4872675.862068966</v>
      </c>
      <c r="BH2195" s="94">
        <f t="shared" si="1044"/>
        <v>4387710.3448275868</v>
      </c>
      <c r="BI2195" s="94">
        <f t="shared" si="1045"/>
        <v>4772855.1724137934</v>
      </c>
      <c r="BJ2195" s="94">
        <f t="shared" si="1046"/>
        <v>5223724.1379310349</v>
      </c>
      <c r="BK2195" s="94">
        <f t="shared" si="1047"/>
        <v>4520924.1379310349</v>
      </c>
      <c r="BL2195" s="94">
        <f t="shared" si="1048"/>
        <v>4388882.7586206906</v>
      </c>
      <c r="BM2195" s="94">
        <f t="shared" si="1049"/>
        <v>4339848.2758620689</v>
      </c>
      <c r="BN2195" s="94">
        <f t="shared" si="1050"/>
        <v>4276344.8275862075</v>
      </c>
      <c r="BO2195" s="94">
        <f t="shared" si="1051"/>
        <v>4734013.793103449</v>
      </c>
      <c r="BP2195" s="94">
        <f t="shared" si="1052"/>
        <v>4635186.2068965519</v>
      </c>
      <c r="BQ2195" s="94">
        <f t="shared" si="1053"/>
        <v>4086855.1724137934</v>
      </c>
      <c r="BR2195" s="94">
        <f t="shared" si="1054"/>
        <v>4271131.0344827594</v>
      </c>
      <c r="BS2195" s="94">
        <f t="shared" si="1055"/>
        <v>3906413.7931034481</v>
      </c>
      <c r="BT2195" s="94">
        <f t="shared" si="1056"/>
        <v>4210800</v>
      </c>
      <c r="BU2195" s="94">
        <f t="shared" si="1057"/>
        <v>3503862.0689655179</v>
      </c>
      <c r="BV2195" s="94">
        <f t="shared" si="1058"/>
        <v>3927337.931034483</v>
      </c>
      <c r="BW2195" s="94">
        <f t="shared" si="1059"/>
        <v>4202179.3103448283</v>
      </c>
      <c r="BX2195" s="94">
        <f t="shared" si="1060"/>
        <v>3496275.8620689656</v>
      </c>
      <c r="BY2195" s="94">
        <f t="shared" si="1061"/>
        <v>4105213.793103449</v>
      </c>
      <c r="BZ2195" s="94">
        <f t="shared" si="1062"/>
        <v>3630868.965517242</v>
      </c>
      <c r="CA2195" s="94">
        <f>CA2194*16%</f>
        <v>358167457.91448271</v>
      </c>
      <c r="CB2195" s="139">
        <f>FLORESTA!$CA2195/77</f>
        <v>4651525.4274608148</v>
      </c>
    </row>
    <row r="2196" spans="1:80" x14ac:dyDescent="0.25">
      <c r="A2196" s="220" t="s">
        <v>34</v>
      </c>
      <c r="B2196" s="202">
        <v>13546900</v>
      </c>
      <c r="C2196" s="202">
        <f t="shared" si="987"/>
        <v>21876400</v>
      </c>
      <c r="D2196" s="202">
        <f t="shared" si="988"/>
        <v>26421900</v>
      </c>
      <c r="E2196" s="202">
        <f t="shared" si="989"/>
        <v>31924500.000000007</v>
      </c>
      <c r="F2196" s="202">
        <f t="shared" si="1063"/>
        <v>30134400</v>
      </c>
      <c r="G2196" s="202">
        <f t="shared" si="991"/>
        <v>32639700.000000004</v>
      </c>
      <c r="H2196" s="202">
        <f t="shared" si="992"/>
        <v>29867600.000000004</v>
      </c>
      <c r="I2196" s="202">
        <f t="shared" si="993"/>
        <v>33990300.000000007</v>
      </c>
      <c r="J2196" s="202">
        <f t="shared" si="994"/>
        <v>35289600</v>
      </c>
      <c r="K2196" s="202">
        <f t="shared" si="995"/>
        <v>33339800</v>
      </c>
      <c r="L2196" s="202">
        <f t="shared" si="996"/>
        <v>30468400.000000004</v>
      </c>
      <c r="M2196" s="202">
        <f t="shared" si="997"/>
        <v>30269600</v>
      </c>
      <c r="N2196" s="202">
        <f t="shared" si="998"/>
        <v>34172800</v>
      </c>
      <c r="O2196" s="202">
        <f t="shared" si="999"/>
        <v>40361200.000000007</v>
      </c>
      <c r="P2196" s="202">
        <f t="shared" si="1000"/>
        <v>34990100</v>
      </c>
      <c r="Q2196" s="202">
        <f t="shared" si="1001"/>
        <v>35490000</v>
      </c>
      <c r="R2196" s="202">
        <f t="shared" si="1002"/>
        <v>33208600.000000004</v>
      </c>
      <c r="S2196" s="202">
        <f t="shared" si="1003"/>
        <v>32230200.000000004</v>
      </c>
      <c r="T2196" s="202">
        <f t="shared" si="1004"/>
        <v>33647800</v>
      </c>
      <c r="U2196" s="202">
        <f t="shared" si="1005"/>
        <v>35082500.000000007</v>
      </c>
      <c r="V2196" s="202">
        <f t="shared" si="1006"/>
        <v>35535600</v>
      </c>
      <c r="W2196" s="202">
        <f t="shared" si="1007"/>
        <v>35964500</v>
      </c>
      <c r="X2196" s="202">
        <f t="shared" si="1008"/>
        <v>35489800</v>
      </c>
      <c r="Y2196" s="202">
        <f t="shared" si="1009"/>
        <v>41973700</v>
      </c>
      <c r="Z2196" s="202">
        <f t="shared" si="1010"/>
        <v>37447800</v>
      </c>
      <c r="AA2196" s="202">
        <f t="shared" si="1011"/>
        <v>36339300</v>
      </c>
      <c r="AB2196" s="202">
        <f t="shared" si="1012"/>
        <v>39273900.000000007</v>
      </c>
      <c r="AC2196" s="202">
        <f t="shared" si="1013"/>
        <v>43581600.000000007</v>
      </c>
      <c r="AD2196" s="202">
        <f t="shared" si="1014"/>
        <v>40629700</v>
      </c>
      <c r="AE2196" s="202">
        <f t="shared" si="1015"/>
        <v>40419700.000000007</v>
      </c>
      <c r="AF2196" s="202">
        <f t="shared" si="1016"/>
        <v>40283900</v>
      </c>
      <c r="AG2196" s="202">
        <f t="shared" si="1017"/>
        <v>40173800.000000007</v>
      </c>
      <c r="AH2196" s="202">
        <f t="shared" si="1018"/>
        <v>41483700.000000007</v>
      </c>
      <c r="AI2196" s="202">
        <f t="shared" si="1019"/>
        <v>40370300.000000007</v>
      </c>
      <c r="AJ2196" s="202">
        <f t="shared" si="1020"/>
        <v>41378800</v>
      </c>
      <c r="AK2196" s="202">
        <f t="shared" si="1021"/>
        <v>42973700</v>
      </c>
      <c r="AL2196" s="202">
        <f t="shared" si="1022"/>
        <v>35607100</v>
      </c>
      <c r="AM2196" s="202">
        <f t="shared" si="1023"/>
        <v>42498300</v>
      </c>
      <c r="AN2196" s="202">
        <f t="shared" si="1024"/>
        <v>41371600</v>
      </c>
      <c r="AO2196" s="202">
        <f t="shared" si="1025"/>
        <v>36821500</v>
      </c>
      <c r="AP2196" s="202">
        <f t="shared" si="1026"/>
        <v>39272000</v>
      </c>
      <c r="AQ2196" s="202">
        <f t="shared" si="1027"/>
        <v>38317700.000000007</v>
      </c>
      <c r="AR2196" s="202">
        <f t="shared" si="1028"/>
        <v>35394900.000000007</v>
      </c>
      <c r="AS2196" s="202">
        <f t="shared" si="1029"/>
        <v>31970600.000000004</v>
      </c>
      <c r="AT2196" s="202">
        <f t="shared" si="1030"/>
        <v>33622300</v>
      </c>
      <c r="AU2196" s="202">
        <f t="shared" si="1031"/>
        <v>30647300.000000004</v>
      </c>
      <c r="AV2196" s="202">
        <f t="shared" si="1032"/>
        <v>32527000.000000004</v>
      </c>
      <c r="AW2196" s="202">
        <f t="shared" si="1033"/>
        <v>27780900.000000007</v>
      </c>
      <c r="AX2196" s="202">
        <f t="shared" si="1034"/>
        <v>31818600.000000007</v>
      </c>
      <c r="AY2196" s="202">
        <f t="shared" si="1035"/>
        <v>32455100.000000011</v>
      </c>
      <c r="AZ2196" s="202">
        <f t="shared" si="1036"/>
        <v>32144900</v>
      </c>
      <c r="BA2196" s="202">
        <f t="shared" si="1037"/>
        <v>31851700</v>
      </c>
      <c r="BB2196" s="202">
        <f t="shared" si="1038"/>
        <v>32232300</v>
      </c>
      <c r="BC2196" s="202">
        <f t="shared" si="1039"/>
        <v>31698100.000000004</v>
      </c>
      <c r="BD2196" s="202">
        <f t="shared" si="1040"/>
        <v>32848500</v>
      </c>
      <c r="BE2196" s="202">
        <f t="shared" si="1041"/>
        <v>30723100.000000004</v>
      </c>
      <c r="BF2196" s="202">
        <f t="shared" si="1042"/>
        <v>34672800</v>
      </c>
      <c r="BG2196" s="202">
        <f t="shared" si="1043"/>
        <v>35326900</v>
      </c>
      <c r="BH2196" s="202">
        <f t="shared" si="1044"/>
        <v>31810900</v>
      </c>
      <c r="BI2196" s="202">
        <f t="shared" si="1045"/>
        <v>34603200</v>
      </c>
      <c r="BJ2196" s="202">
        <f t="shared" si="1046"/>
        <v>37872000.000000007</v>
      </c>
      <c r="BK2196" s="202">
        <f t="shared" si="1047"/>
        <v>32776700</v>
      </c>
      <c r="BL2196" s="202">
        <f t="shared" si="1048"/>
        <v>31819400.000000004</v>
      </c>
      <c r="BM2196" s="202">
        <f t="shared" si="1049"/>
        <v>31463900</v>
      </c>
      <c r="BN2196" s="202">
        <f t="shared" si="1050"/>
        <v>31003500.000000004</v>
      </c>
      <c r="BO2196" s="202">
        <f t="shared" si="1051"/>
        <v>34321600</v>
      </c>
      <c r="BP2196" s="202">
        <f t="shared" si="1052"/>
        <v>33605100</v>
      </c>
      <c r="BQ2196" s="202">
        <f t="shared" si="1053"/>
        <v>29629700</v>
      </c>
      <c r="BR2196" s="202">
        <f t="shared" si="1054"/>
        <v>30965700.000000004</v>
      </c>
      <c r="BS2196" s="202">
        <f t="shared" si="1055"/>
        <v>28321500</v>
      </c>
      <c r="BT2196" s="202">
        <f t="shared" si="1056"/>
        <v>30528300</v>
      </c>
      <c r="BU2196" s="202">
        <f t="shared" si="1057"/>
        <v>25403000.000000004</v>
      </c>
      <c r="BV2196" s="202">
        <f t="shared" si="1058"/>
        <v>28473200</v>
      </c>
      <c r="BW2196" s="202">
        <f t="shared" si="1059"/>
        <v>30465800</v>
      </c>
      <c r="BX2196" s="202">
        <f t="shared" si="1060"/>
        <v>25348000</v>
      </c>
      <c r="BY2196" s="202">
        <f t="shared" si="1061"/>
        <v>29762800.000000004</v>
      </c>
      <c r="BZ2196" s="202">
        <f t="shared" si="1062"/>
        <v>26323800.000000004</v>
      </c>
      <c r="CA2196" s="202">
        <f>CA2194+CA2195</f>
        <v>2596714069.8799996</v>
      </c>
      <c r="CB2196" s="285">
        <f>FLORESTA!$CA2196/77</f>
        <v>33723559.349090904</v>
      </c>
    </row>
    <row r="2198" spans="1:80" ht="15.75" thickBot="1" x14ac:dyDescent="0.3"/>
    <row r="2199" spans="1:80" ht="26.25" x14ac:dyDescent="0.25">
      <c r="B2199" s="1002" t="s">
        <v>401</v>
      </c>
      <c r="C2199" s="1002"/>
      <c r="D2199" s="1002"/>
      <c r="E2199" s="1002"/>
      <c r="F2199" s="1002"/>
      <c r="G2199" s="1002"/>
      <c r="H2199" s="1002"/>
    </row>
    <row r="2200" spans="1:80" ht="15.75" x14ac:dyDescent="0.25">
      <c r="A2200" s="187" t="s">
        <v>2</v>
      </c>
      <c r="B2200" s="50" t="s">
        <v>353</v>
      </c>
      <c r="C2200" s="50" t="s">
        <v>354</v>
      </c>
      <c r="D2200" s="50" t="s">
        <v>355</v>
      </c>
      <c r="E2200" s="50" t="s">
        <v>356</v>
      </c>
      <c r="F2200" s="50" t="s">
        <v>357</v>
      </c>
      <c r="G2200" s="50" t="s">
        <v>69</v>
      </c>
      <c r="H2200" s="50" t="s">
        <v>358</v>
      </c>
      <c r="I2200" s="50" t="s">
        <v>359</v>
      </c>
      <c r="J2200" s="50" t="s">
        <v>98</v>
      </c>
      <c r="K2200" s="50" t="s">
        <v>106</v>
      </c>
      <c r="L2200" s="50" t="s">
        <v>114</v>
      </c>
      <c r="M2200" s="50" t="s">
        <v>122</v>
      </c>
      <c r="N2200" s="50" t="s">
        <v>130</v>
      </c>
      <c r="O2200" s="52" t="s">
        <v>138</v>
      </c>
      <c r="P2200" s="228" t="s">
        <v>146</v>
      </c>
      <c r="Q2200" s="228" t="s">
        <v>154</v>
      </c>
      <c r="R2200" s="51" t="s">
        <v>162</v>
      </c>
      <c r="S2200" s="51" t="s">
        <v>166</v>
      </c>
      <c r="T2200" s="51" t="s">
        <v>169</v>
      </c>
      <c r="U2200" s="51" t="s">
        <v>360</v>
      </c>
      <c r="V2200" s="51" t="s">
        <v>361</v>
      </c>
      <c r="W2200" s="51" t="s">
        <v>362</v>
      </c>
      <c r="X2200" s="51" t="str">
        <f t="shared" ref="X2200:BZ2200" si="1064">+X2172</f>
        <v>SEMANA 23</v>
      </c>
      <c r="Y2200" s="51" t="str">
        <f t="shared" si="1064"/>
        <v>SEMANA 24</v>
      </c>
      <c r="Z2200" s="51" t="str">
        <f t="shared" si="1064"/>
        <v>SEMANA 25</v>
      </c>
      <c r="AA2200" s="51" t="str">
        <f t="shared" si="1064"/>
        <v>SEMANA 26</v>
      </c>
      <c r="AB2200" s="51" t="str">
        <f t="shared" si="1064"/>
        <v>SEMANA 27</v>
      </c>
      <c r="AC2200" s="51" t="str">
        <f t="shared" si="1064"/>
        <v>SEMANA 28</v>
      </c>
      <c r="AD2200" s="51" t="str">
        <f t="shared" si="1064"/>
        <v>SEMANA 29</v>
      </c>
      <c r="AE2200" s="51" t="str">
        <f t="shared" si="1064"/>
        <v>SEMANA 30</v>
      </c>
      <c r="AF2200" s="51" t="str">
        <f t="shared" si="1064"/>
        <v>SEMANA 31</v>
      </c>
      <c r="AG2200" s="51" t="str">
        <f t="shared" si="1064"/>
        <v>SEMANA 32</v>
      </c>
      <c r="AH2200" s="51" t="str">
        <f t="shared" si="1064"/>
        <v>SEMANA 33</v>
      </c>
      <c r="AI2200" s="51" t="str">
        <f t="shared" si="1064"/>
        <v>SEMANA 34</v>
      </c>
      <c r="AJ2200" s="51" t="str">
        <f t="shared" si="1064"/>
        <v>SEMANA 35</v>
      </c>
      <c r="AK2200" s="51" t="str">
        <f t="shared" si="1064"/>
        <v>SEMANA 36</v>
      </c>
      <c r="AL2200" s="51" t="str">
        <f t="shared" si="1064"/>
        <v>SEMANA 37</v>
      </c>
      <c r="AM2200" s="51" t="str">
        <f t="shared" si="1064"/>
        <v>SEMANA 38</v>
      </c>
      <c r="AN2200" s="51" t="str">
        <f t="shared" si="1064"/>
        <v>SEMANA 39</v>
      </c>
      <c r="AO2200" s="51" t="str">
        <f t="shared" si="1064"/>
        <v>SEMANA 40</v>
      </c>
      <c r="AP2200" s="51" t="str">
        <f t="shared" si="1064"/>
        <v>SEMANA 41</v>
      </c>
      <c r="AQ2200" s="51" t="str">
        <f t="shared" si="1064"/>
        <v>SEMANA 42</v>
      </c>
      <c r="AR2200" s="51" t="str">
        <f t="shared" si="1064"/>
        <v>SEMANA 43</v>
      </c>
      <c r="AS2200" s="51" t="str">
        <f t="shared" si="1064"/>
        <v>SEMANA 44</v>
      </c>
      <c r="AT2200" s="51" t="str">
        <f t="shared" si="1064"/>
        <v>SEMANA 45</v>
      </c>
      <c r="AU2200" s="51" t="str">
        <f t="shared" si="1064"/>
        <v>SEMANA 46</v>
      </c>
      <c r="AV2200" s="51" t="str">
        <f t="shared" si="1064"/>
        <v>SEMANA 47</v>
      </c>
      <c r="AW2200" s="51" t="str">
        <f t="shared" si="1064"/>
        <v>SEMANA 48</v>
      </c>
      <c r="AX2200" s="51" t="str">
        <f t="shared" si="1064"/>
        <v>SEMANA 49</v>
      </c>
      <c r="AY2200" s="51" t="str">
        <f t="shared" ref="AY2200:BY2200" si="1065">+AY2172</f>
        <v>SEMANA 50</v>
      </c>
      <c r="AZ2200" s="51" t="str">
        <f t="shared" si="1065"/>
        <v>SEMANA 51</v>
      </c>
      <c r="BA2200" s="51" t="str">
        <f t="shared" si="1065"/>
        <v>SEMANA 52</v>
      </c>
      <c r="BB2200" s="51" t="str">
        <f t="shared" si="1065"/>
        <v>SEMANA 53</v>
      </c>
      <c r="BC2200" s="51" t="str">
        <f t="shared" si="1065"/>
        <v>SEMANA 54</v>
      </c>
      <c r="BD2200" s="51" t="str">
        <f t="shared" si="1065"/>
        <v>SEMANA 55</v>
      </c>
      <c r="BE2200" s="51" t="str">
        <f t="shared" si="1065"/>
        <v>SEMANA 56</v>
      </c>
      <c r="BF2200" s="51" t="str">
        <f t="shared" si="1065"/>
        <v>SEMANA 57</v>
      </c>
      <c r="BG2200" s="51" t="str">
        <f t="shared" si="1065"/>
        <v>SEMANA 58</v>
      </c>
      <c r="BH2200" s="51" t="str">
        <f t="shared" si="1065"/>
        <v>SEMANA 59</v>
      </c>
      <c r="BI2200" s="51" t="str">
        <f t="shared" si="1065"/>
        <v>SEMANA 60</v>
      </c>
      <c r="BJ2200" s="51" t="str">
        <f t="shared" si="1065"/>
        <v>SEMANA 61</v>
      </c>
      <c r="BK2200" s="51" t="str">
        <f t="shared" si="1065"/>
        <v>SEMANA 62</v>
      </c>
      <c r="BL2200" s="51" t="str">
        <f t="shared" si="1065"/>
        <v>SEMANA 63</v>
      </c>
      <c r="BM2200" s="51" t="str">
        <f t="shared" si="1065"/>
        <v>SEMANA 64</v>
      </c>
      <c r="BN2200" s="51" t="str">
        <f t="shared" si="1065"/>
        <v>SEMANA 65</v>
      </c>
      <c r="BO2200" s="51" t="str">
        <f t="shared" si="1065"/>
        <v>SEMANA 66</v>
      </c>
      <c r="BP2200" s="51" t="str">
        <f t="shared" si="1065"/>
        <v>SEMANA 67</v>
      </c>
      <c r="BQ2200" s="51" t="str">
        <f t="shared" si="1065"/>
        <v>SEMANA 68</v>
      </c>
      <c r="BR2200" s="51" t="str">
        <f t="shared" si="1065"/>
        <v>SEMANA 69</v>
      </c>
      <c r="BS2200" s="51" t="str">
        <f t="shared" si="1065"/>
        <v>SEMANA 70</v>
      </c>
      <c r="BT2200" s="51" t="str">
        <f t="shared" si="1065"/>
        <v>SEMANA 71</v>
      </c>
      <c r="BU2200" s="51" t="str">
        <f t="shared" si="1065"/>
        <v>SEMANA 72</v>
      </c>
      <c r="BV2200" s="51" t="str">
        <f t="shared" si="1065"/>
        <v>SEMANA 73</v>
      </c>
      <c r="BW2200" s="51" t="str">
        <f t="shared" si="1065"/>
        <v>SEMANA 74</v>
      </c>
      <c r="BX2200" s="51" t="str">
        <f t="shared" si="1065"/>
        <v>SEMANA 75</v>
      </c>
      <c r="BY2200" s="51" t="str">
        <f t="shared" si="1065"/>
        <v>SEMANA 76</v>
      </c>
      <c r="BZ2200" s="51" t="str">
        <f t="shared" si="1064"/>
        <v>SEMANA 77</v>
      </c>
      <c r="CA2200" s="228" t="s">
        <v>96</v>
      </c>
      <c r="CB2200" s="51" t="s">
        <v>409</v>
      </c>
    </row>
    <row r="2201" spans="1:80" x14ac:dyDescent="0.25">
      <c r="A2201" s="336" t="s">
        <v>11</v>
      </c>
      <c r="B2201" s="333">
        <v>630</v>
      </c>
      <c r="C2201" s="56">
        <v>746</v>
      </c>
      <c r="D2201" s="333">
        <v>884</v>
      </c>
      <c r="E2201" s="333">
        <v>1089</v>
      </c>
      <c r="F2201" s="334">
        <f>+F2173</f>
        <v>970</v>
      </c>
      <c r="G2201" s="334">
        <f t="shared" ref="G2201:L2201" si="1066">G2173</f>
        <v>1079</v>
      </c>
      <c r="H2201" s="334">
        <f t="shared" si="1066"/>
        <v>1005</v>
      </c>
      <c r="I2201" s="317">
        <f t="shared" si="1066"/>
        <v>1142</v>
      </c>
      <c r="J2201" s="317">
        <f t="shared" si="1066"/>
        <v>1190</v>
      </c>
      <c r="K2201" s="335">
        <f t="shared" si="1066"/>
        <v>1141</v>
      </c>
      <c r="L2201" s="335">
        <f t="shared" si="1066"/>
        <v>1067</v>
      </c>
      <c r="M2201" s="335">
        <f t="shared" ref="M2201:R2201" si="1067">M2173</f>
        <v>1037</v>
      </c>
      <c r="N2201" s="335">
        <f t="shared" si="1067"/>
        <v>1128</v>
      </c>
      <c r="O2201" s="335">
        <f t="shared" si="1067"/>
        <v>1338</v>
      </c>
      <c r="P2201" s="337">
        <f t="shared" si="1067"/>
        <v>1175</v>
      </c>
      <c r="Q2201" s="337">
        <f t="shared" si="1067"/>
        <v>1185</v>
      </c>
      <c r="R2201" s="335">
        <f t="shared" si="1067"/>
        <v>1093</v>
      </c>
      <c r="S2201" s="335">
        <f t="shared" ref="S2201:BZ2201" si="1068">S2173</f>
        <v>1025</v>
      </c>
      <c r="T2201" s="335">
        <f t="shared" si="1068"/>
        <v>1103</v>
      </c>
      <c r="U2201" s="335">
        <f t="shared" si="1068"/>
        <v>1101</v>
      </c>
      <c r="V2201" s="335">
        <f t="shared" si="1068"/>
        <v>1155</v>
      </c>
      <c r="W2201" s="335">
        <f t="shared" si="1068"/>
        <v>1154</v>
      </c>
      <c r="X2201" s="335">
        <f t="shared" si="1068"/>
        <v>1133</v>
      </c>
      <c r="Y2201" s="335">
        <f t="shared" si="1068"/>
        <v>1380</v>
      </c>
      <c r="Z2201" s="335">
        <f t="shared" si="1068"/>
        <v>1290</v>
      </c>
      <c r="AA2201" s="335">
        <f t="shared" si="1068"/>
        <v>1279</v>
      </c>
      <c r="AB2201" s="335">
        <f t="shared" si="1068"/>
        <v>1379</v>
      </c>
      <c r="AC2201" s="335">
        <f t="shared" si="1068"/>
        <v>1512</v>
      </c>
      <c r="AD2201" s="335">
        <f t="shared" si="1068"/>
        <v>1426</v>
      </c>
      <c r="AE2201" s="335">
        <f t="shared" si="1068"/>
        <v>1408</v>
      </c>
      <c r="AF2201" s="335">
        <f t="shared" si="1068"/>
        <v>1437</v>
      </c>
      <c r="AG2201" s="335">
        <f t="shared" si="1068"/>
        <v>1415</v>
      </c>
      <c r="AH2201" s="335">
        <f t="shared" si="1068"/>
        <v>1443</v>
      </c>
      <c r="AI2201" s="335">
        <f t="shared" si="1068"/>
        <v>1431</v>
      </c>
      <c r="AJ2201" s="335">
        <f t="shared" si="1068"/>
        <v>1453</v>
      </c>
      <c r="AK2201" s="335">
        <f t="shared" si="1068"/>
        <v>1475</v>
      </c>
      <c r="AL2201" s="335">
        <f t="shared" si="1068"/>
        <v>1238</v>
      </c>
      <c r="AM2201" s="335">
        <f t="shared" si="1068"/>
        <v>1472</v>
      </c>
      <c r="AN2201" s="335">
        <f t="shared" si="1068"/>
        <v>1475</v>
      </c>
      <c r="AO2201" s="335">
        <f t="shared" si="1068"/>
        <v>1299</v>
      </c>
      <c r="AP2201" s="335">
        <f t="shared" si="1068"/>
        <v>1378</v>
      </c>
      <c r="AQ2201" s="335">
        <f t="shared" si="1068"/>
        <v>1313</v>
      </c>
      <c r="AR2201" s="335">
        <f t="shared" si="1068"/>
        <v>1251</v>
      </c>
      <c r="AS2201" s="335">
        <f t="shared" si="1068"/>
        <v>1119</v>
      </c>
      <c r="AT2201" s="335">
        <f t="shared" si="1068"/>
        <v>1209</v>
      </c>
      <c r="AU2201" s="335">
        <f t="shared" si="1068"/>
        <v>1080</v>
      </c>
      <c r="AV2201" s="335">
        <f t="shared" si="1068"/>
        <v>1150</v>
      </c>
      <c r="AW2201" s="335">
        <f t="shared" si="1068"/>
        <v>978</v>
      </c>
      <c r="AX2201" s="335">
        <f t="shared" si="1068"/>
        <v>1112</v>
      </c>
      <c r="AY2201" s="335">
        <f t="shared" ref="AY2201:BY2201" si="1069">AY2173</f>
        <v>1110</v>
      </c>
      <c r="AZ2201" s="335">
        <f t="shared" si="1069"/>
        <v>1143</v>
      </c>
      <c r="BA2201" s="335">
        <f t="shared" si="1069"/>
        <v>1114</v>
      </c>
      <c r="BB2201" s="335">
        <f t="shared" si="1069"/>
        <v>1123</v>
      </c>
      <c r="BC2201" s="335">
        <f t="shared" si="1069"/>
        <v>1066</v>
      </c>
      <c r="BD2201" s="335">
        <f t="shared" si="1069"/>
        <v>1132</v>
      </c>
      <c r="BE2201" s="335">
        <f t="shared" si="1069"/>
        <v>1067</v>
      </c>
      <c r="BF2201" s="335">
        <f t="shared" si="1069"/>
        <v>1219</v>
      </c>
      <c r="BG2201" s="335">
        <f t="shared" si="1069"/>
        <v>1201</v>
      </c>
      <c r="BH2201" s="335">
        <f t="shared" si="1069"/>
        <v>1122</v>
      </c>
      <c r="BI2201" s="335">
        <f t="shared" si="1069"/>
        <v>1205</v>
      </c>
      <c r="BJ2201" s="335">
        <f t="shared" si="1069"/>
        <v>1307</v>
      </c>
      <c r="BK2201" s="335">
        <f t="shared" si="1069"/>
        <v>1116</v>
      </c>
      <c r="BL2201" s="335">
        <f t="shared" si="1069"/>
        <v>1094</v>
      </c>
      <c r="BM2201" s="335">
        <f t="shared" si="1069"/>
        <v>1074</v>
      </c>
      <c r="BN2201" s="335">
        <f t="shared" si="1069"/>
        <v>1122</v>
      </c>
      <c r="BO2201" s="335">
        <f t="shared" si="1069"/>
        <v>1199</v>
      </c>
      <c r="BP2201" s="335">
        <f t="shared" si="1069"/>
        <v>1169</v>
      </c>
      <c r="BQ2201" s="335">
        <f t="shared" si="1069"/>
        <v>1016</v>
      </c>
      <c r="BR2201" s="335">
        <f t="shared" si="1069"/>
        <v>1066</v>
      </c>
      <c r="BS2201" s="335">
        <f t="shared" si="1069"/>
        <v>1000</v>
      </c>
      <c r="BT2201" s="335">
        <f t="shared" si="1069"/>
        <v>1073</v>
      </c>
      <c r="BU2201" s="335">
        <f t="shared" si="1069"/>
        <v>893</v>
      </c>
      <c r="BV2201" s="335">
        <f t="shared" si="1069"/>
        <v>960</v>
      </c>
      <c r="BW2201" s="335">
        <f t="shared" si="1069"/>
        <v>1058</v>
      </c>
      <c r="BX2201" s="335">
        <f t="shared" si="1069"/>
        <v>891</v>
      </c>
      <c r="BY2201" s="335">
        <f t="shared" si="1069"/>
        <v>1072</v>
      </c>
      <c r="BZ2201" s="335">
        <f t="shared" si="1068"/>
        <v>924</v>
      </c>
      <c r="CA2201" s="338">
        <f>SUM(B2201:BZ2201)</f>
        <v>89508</v>
      </c>
      <c r="CB2201" s="333">
        <f>CA2201/77</f>
        <v>1162.4415584415585</v>
      </c>
    </row>
    <row r="2202" spans="1:80" x14ac:dyDescent="0.25">
      <c r="A2202" s="103" t="s">
        <v>17</v>
      </c>
      <c r="B2202" s="193">
        <v>463</v>
      </c>
      <c r="C2202" s="193">
        <v>706</v>
      </c>
      <c r="D2202" s="193">
        <v>861</v>
      </c>
      <c r="E2202" s="193">
        <v>1031</v>
      </c>
      <c r="F2202" s="193">
        <f>+F2179</f>
        <v>1023</v>
      </c>
      <c r="G2202" s="193">
        <f t="shared" ref="G2202:L2202" si="1070">G2179</f>
        <v>1016</v>
      </c>
      <c r="H2202" s="193">
        <f t="shared" si="1070"/>
        <v>980</v>
      </c>
      <c r="I2202" s="193">
        <f t="shared" si="1070"/>
        <v>1098</v>
      </c>
      <c r="J2202" s="193">
        <f t="shared" si="1070"/>
        <v>1103</v>
      </c>
      <c r="K2202" s="193">
        <f t="shared" si="1070"/>
        <v>984</v>
      </c>
      <c r="L2202" s="193">
        <f t="shared" si="1070"/>
        <v>919</v>
      </c>
      <c r="M2202" s="193">
        <f t="shared" ref="M2202:R2202" si="1071">M2179</f>
        <v>929</v>
      </c>
      <c r="N2202" s="193">
        <f t="shared" si="1071"/>
        <v>1000</v>
      </c>
      <c r="O2202" s="214">
        <f t="shared" si="1071"/>
        <v>1197</v>
      </c>
      <c r="P2202" s="193">
        <f t="shared" si="1071"/>
        <v>1043</v>
      </c>
      <c r="Q2202" s="193">
        <f t="shared" si="1071"/>
        <v>1035</v>
      </c>
      <c r="R2202" s="339">
        <f t="shared" si="1071"/>
        <v>1006</v>
      </c>
      <c r="S2202" s="339">
        <f t="shared" ref="S2202:BZ2202" si="1072">S2179</f>
        <v>958</v>
      </c>
      <c r="T2202" s="339">
        <f t="shared" si="1072"/>
        <v>976</v>
      </c>
      <c r="U2202" s="339">
        <f t="shared" si="1072"/>
        <v>1037</v>
      </c>
      <c r="V2202" s="339">
        <f t="shared" si="1072"/>
        <v>1036</v>
      </c>
      <c r="W2202" s="339">
        <f t="shared" si="1072"/>
        <v>1052</v>
      </c>
      <c r="X2202" s="339">
        <f t="shared" si="1072"/>
        <v>1012</v>
      </c>
      <c r="Y2202" s="339">
        <f t="shared" si="1072"/>
        <v>1203</v>
      </c>
      <c r="Z2202" s="339">
        <f t="shared" si="1072"/>
        <v>1080</v>
      </c>
      <c r="AA2202" s="339">
        <f t="shared" si="1072"/>
        <v>1055</v>
      </c>
      <c r="AB2202" s="339">
        <f t="shared" si="1072"/>
        <v>1135</v>
      </c>
      <c r="AC2202" s="339">
        <f t="shared" si="1072"/>
        <v>1250</v>
      </c>
      <c r="AD2202" s="339">
        <f t="shared" si="1072"/>
        <v>1194</v>
      </c>
      <c r="AE2202" s="339">
        <f t="shared" si="1072"/>
        <v>1159</v>
      </c>
      <c r="AF2202" s="339">
        <f t="shared" si="1072"/>
        <v>1162</v>
      </c>
      <c r="AG2202" s="339">
        <f t="shared" si="1072"/>
        <v>1139</v>
      </c>
      <c r="AH2202" s="339">
        <f t="shared" si="1072"/>
        <v>1156</v>
      </c>
      <c r="AI2202" s="339">
        <f t="shared" si="1072"/>
        <v>1147</v>
      </c>
      <c r="AJ2202" s="339">
        <f t="shared" si="1072"/>
        <v>1173</v>
      </c>
      <c r="AK2202" s="339">
        <f t="shared" si="1072"/>
        <v>1209</v>
      </c>
      <c r="AL2202" s="339">
        <f t="shared" si="1072"/>
        <v>1037</v>
      </c>
      <c r="AM2202" s="339">
        <f t="shared" si="1072"/>
        <v>1201</v>
      </c>
      <c r="AN2202" s="339">
        <f t="shared" si="1072"/>
        <v>1191</v>
      </c>
      <c r="AO2202" s="339">
        <f t="shared" si="1072"/>
        <v>1063</v>
      </c>
      <c r="AP2202" s="339">
        <f t="shared" si="1072"/>
        <v>1117</v>
      </c>
      <c r="AQ2202" s="339">
        <f t="shared" si="1072"/>
        <v>1088</v>
      </c>
      <c r="AR2202" s="339">
        <f t="shared" si="1072"/>
        <v>1041</v>
      </c>
      <c r="AS2202" s="339">
        <f t="shared" si="1072"/>
        <v>914</v>
      </c>
      <c r="AT2202" s="339">
        <f t="shared" si="1072"/>
        <v>992</v>
      </c>
      <c r="AU2202" s="339">
        <f t="shared" si="1072"/>
        <v>899</v>
      </c>
      <c r="AV2202" s="339">
        <f t="shared" si="1072"/>
        <v>954</v>
      </c>
      <c r="AW2202" s="339">
        <f t="shared" si="1072"/>
        <v>824</v>
      </c>
      <c r="AX2202" s="339">
        <f t="shared" si="1072"/>
        <v>934</v>
      </c>
      <c r="AY2202" s="339">
        <f t="shared" ref="AY2202:BY2202" si="1073">AY2179</f>
        <v>912</v>
      </c>
      <c r="AZ2202" s="339">
        <f t="shared" si="1073"/>
        <v>953</v>
      </c>
      <c r="BA2202" s="339">
        <f t="shared" si="1073"/>
        <v>912</v>
      </c>
      <c r="BB2202" s="339">
        <f t="shared" si="1073"/>
        <v>937</v>
      </c>
      <c r="BC2202" s="339">
        <f t="shared" si="1073"/>
        <v>904</v>
      </c>
      <c r="BD2202" s="339">
        <f t="shared" si="1073"/>
        <v>947</v>
      </c>
      <c r="BE2202" s="339">
        <f t="shared" si="1073"/>
        <v>910</v>
      </c>
      <c r="BF2202" s="339">
        <f t="shared" si="1073"/>
        <v>1009</v>
      </c>
      <c r="BG2202" s="339">
        <f t="shared" si="1073"/>
        <v>1006</v>
      </c>
      <c r="BH2202" s="339">
        <f t="shared" si="1073"/>
        <v>908</v>
      </c>
      <c r="BI2202" s="339">
        <f t="shared" si="1073"/>
        <v>1036</v>
      </c>
      <c r="BJ2202" s="339">
        <f t="shared" si="1073"/>
        <v>1102</v>
      </c>
      <c r="BK2202" s="339">
        <f t="shared" si="1073"/>
        <v>957</v>
      </c>
      <c r="BL2202" s="339">
        <f t="shared" si="1073"/>
        <v>945</v>
      </c>
      <c r="BM2202" s="339">
        <f t="shared" si="1073"/>
        <v>919</v>
      </c>
      <c r="BN2202" s="339">
        <f t="shared" si="1073"/>
        <v>941</v>
      </c>
      <c r="BO2202" s="339">
        <f t="shared" si="1073"/>
        <v>1015</v>
      </c>
      <c r="BP2202" s="339">
        <f t="shared" si="1073"/>
        <v>965</v>
      </c>
      <c r="BQ2202" s="339">
        <f t="shared" si="1073"/>
        <v>867</v>
      </c>
      <c r="BR2202" s="339">
        <f t="shared" si="1073"/>
        <v>930</v>
      </c>
      <c r="BS2202" s="339">
        <f t="shared" si="1073"/>
        <v>848</v>
      </c>
      <c r="BT2202" s="339">
        <f t="shared" si="1073"/>
        <v>910</v>
      </c>
      <c r="BU2202" s="339">
        <f t="shared" si="1073"/>
        <v>774</v>
      </c>
      <c r="BV2202" s="339">
        <f t="shared" si="1073"/>
        <v>814</v>
      </c>
      <c r="BW2202" s="339">
        <f t="shared" si="1073"/>
        <v>872</v>
      </c>
      <c r="BX2202" s="339">
        <f t="shared" si="1073"/>
        <v>776</v>
      </c>
      <c r="BY2202" s="339">
        <f t="shared" si="1073"/>
        <v>872</v>
      </c>
      <c r="BZ2202" s="339">
        <f t="shared" si="1072"/>
        <v>752</v>
      </c>
      <c r="CA2202" s="193">
        <f>SUM(B2202:BZ2202)</f>
        <v>76475</v>
      </c>
      <c r="CB2202" s="340">
        <f>CA2202/77</f>
        <v>993.18181818181813</v>
      </c>
    </row>
    <row r="2203" spans="1:80" ht="15.75" x14ac:dyDescent="0.25">
      <c r="A2203" s="187" t="s">
        <v>2</v>
      </c>
      <c r="B2203" s="50" t="s">
        <v>353</v>
      </c>
      <c r="C2203" s="50" t="s">
        <v>354</v>
      </c>
      <c r="D2203" s="50" t="s">
        <v>355</v>
      </c>
      <c r="E2203" s="50" t="s">
        <v>356</v>
      </c>
      <c r="F2203" s="50" t="s">
        <v>357</v>
      </c>
      <c r="G2203" s="50" t="s">
        <v>69</v>
      </c>
      <c r="H2203" s="50" t="s">
        <v>358</v>
      </c>
      <c r="I2203" s="50" t="s">
        <v>359</v>
      </c>
      <c r="J2203" s="50" t="s">
        <v>98</v>
      </c>
      <c r="K2203" s="50" t="s">
        <v>106</v>
      </c>
      <c r="L2203" s="50" t="s">
        <v>114</v>
      </c>
      <c r="M2203" s="50" t="s">
        <v>122</v>
      </c>
      <c r="N2203" s="50" t="s">
        <v>130</v>
      </c>
      <c r="O2203" s="52" t="s">
        <v>138</v>
      </c>
      <c r="P2203" s="228" t="s">
        <v>146</v>
      </c>
      <c r="Q2203" s="228" t="s">
        <v>154</v>
      </c>
      <c r="R2203" s="51" t="s">
        <v>162</v>
      </c>
      <c r="S2203" s="51" t="s">
        <v>166</v>
      </c>
      <c r="T2203" s="51" t="s">
        <v>169</v>
      </c>
      <c r="U2203" s="51" t="s">
        <v>360</v>
      </c>
      <c r="V2203" s="51" t="s">
        <v>361</v>
      </c>
      <c r="W2203" s="51" t="s">
        <v>362</v>
      </c>
      <c r="X2203" s="51" t="str">
        <f t="shared" ref="X2203:AP2203" si="1074">+X2200</f>
        <v>SEMANA 23</v>
      </c>
      <c r="Y2203" s="51" t="str">
        <f t="shared" si="1074"/>
        <v>SEMANA 24</v>
      </c>
      <c r="Z2203" s="51" t="str">
        <f t="shared" si="1074"/>
        <v>SEMANA 25</v>
      </c>
      <c r="AA2203" s="51" t="str">
        <f t="shared" si="1074"/>
        <v>SEMANA 26</v>
      </c>
      <c r="AB2203" s="51" t="str">
        <f t="shared" si="1074"/>
        <v>SEMANA 27</v>
      </c>
      <c r="AC2203" s="51" t="str">
        <f t="shared" si="1074"/>
        <v>SEMANA 28</v>
      </c>
      <c r="AD2203" s="51" t="str">
        <f t="shared" si="1074"/>
        <v>SEMANA 29</v>
      </c>
      <c r="AE2203" s="51" t="str">
        <f t="shared" si="1074"/>
        <v>SEMANA 30</v>
      </c>
      <c r="AF2203" s="51" t="str">
        <f t="shared" si="1074"/>
        <v>SEMANA 31</v>
      </c>
      <c r="AG2203" s="51" t="str">
        <f t="shared" si="1074"/>
        <v>SEMANA 32</v>
      </c>
      <c r="AH2203" s="51" t="str">
        <f t="shared" si="1074"/>
        <v>SEMANA 33</v>
      </c>
      <c r="AI2203" s="51" t="str">
        <f t="shared" si="1074"/>
        <v>SEMANA 34</v>
      </c>
      <c r="AJ2203" s="51" t="str">
        <f t="shared" si="1074"/>
        <v>SEMANA 35</v>
      </c>
      <c r="AK2203" s="51" t="str">
        <f t="shared" si="1074"/>
        <v>SEMANA 36</v>
      </c>
      <c r="AL2203" s="51" t="str">
        <f t="shared" si="1074"/>
        <v>SEMANA 37</v>
      </c>
      <c r="AM2203" s="51" t="str">
        <f t="shared" si="1074"/>
        <v>SEMANA 38</v>
      </c>
      <c r="AN2203" s="51" t="str">
        <f t="shared" si="1074"/>
        <v>SEMANA 39</v>
      </c>
      <c r="AO2203" s="51" t="str">
        <f t="shared" si="1074"/>
        <v>SEMANA 40</v>
      </c>
      <c r="AP2203" s="51" t="str">
        <f t="shared" si="1074"/>
        <v>SEMANA 41</v>
      </c>
      <c r="AQ2203" s="51" t="str">
        <f t="shared" ref="AQ2203:AW2203" si="1075">+AQ2200</f>
        <v>SEMANA 42</v>
      </c>
      <c r="AR2203" s="51" t="str">
        <f t="shared" si="1075"/>
        <v>SEMANA 43</v>
      </c>
      <c r="AS2203" s="51" t="str">
        <f t="shared" si="1075"/>
        <v>SEMANA 44</v>
      </c>
      <c r="AT2203" s="51" t="str">
        <f t="shared" si="1075"/>
        <v>SEMANA 45</v>
      </c>
      <c r="AU2203" s="51" t="str">
        <f t="shared" si="1075"/>
        <v>SEMANA 46</v>
      </c>
      <c r="AV2203" s="51" t="str">
        <f t="shared" si="1075"/>
        <v>SEMANA 47</v>
      </c>
      <c r="AW2203" s="51" t="str">
        <f t="shared" si="1075"/>
        <v>SEMANA 48</v>
      </c>
      <c r="AX2203" s="51" t="str">
        <f t="shared" ref="AX2203:BZ2203" si="1076">+AX2200</f>
        <v>SEMANA 49</v>
      </c>
      <c r="AY2203" s="51" t="str">
        <f t="shared" si="1076"/>
        <v>SEMANA 50</v>
      </c>
      <c r="AZ2203" s="51" t="str">
        <f t="shared" si="1076"/>
        <v>SEMANA 51</v>
      </c>
      <c r="BA2203" s="51" t="str">
        <f t="shared" si="1076"/>
        <v>SEMANA 52</v>
      </c>
      <c r="BB2203" s="51" t="str">
        <f t="shared" si="1076"/>
        <v>SEMANA 53</v>
      </c>
      <c r="BC2203" s="51" t="str">
        <f t="shared" si="1076"/>
        <v>SEMANA 54</v>
      </c>
      <c r="BD2203" s="51" t="str">
        <f t="shared" si="1076"/>
        <v>SEMANA 55</v>
      </c>
      <c r="BE2203" s="51" t="str">
        <f t="shared" si="1076"/>
        <v>SEMANA 56</v>
      </c>
      <c r="BF2203" s="51" t="str">
        <f t="shared" si="1076"/>
        <v>SEMANA 57</v>
      </c>
      <c r="BG2203" s="51" t="str">
        <f t="shared" si="1076"/>
        <v>SEMANA 58</v>
      </c>
      <c r="BH2203" s="51" t="str">
        <f t="shared" si="1076"/>
        <v>SEMANA 59</v>
      </c>
      <c r="BI2203" s="51" t="str">
        <f t="shared" si="1076"/>
        <v>SEMANA 60</v>
      </c>
      <c r="BJ2203" s="51" t="str">
        <f t="shared" si="1076"/>
        <v>SEMANA 61</v>
      </c>
      <c r="BK2203" s="51" t="str">
        <f t="shared" si="1076"/>
        <v>SEMANA 62</v>
      </c>
      <c r="BL2203" s="51" t="str">
        <f t="shared" si="1076"/>
        <v>SEMANA 63</v>
      </c>
      <c r="BM2203" s="51" t="str">
        <f t="shared" si="1076"/>
        <v>SEMANA 64</v>
      </c>
      <c r="BN2203" s="51" t="str">
        <f t="shared" si="1076"/>
        <v>SEMANA 65</v>
      </c>
      <c r="BO2203" s="51" t="str">
        <f t="shared" si="1076"/>
        <v>SEMANA 66</v>
      </c>
      <c r="BP2203" s="51" t="str">
        <f t="shared" si="1076"/>
        <v>SEMANA 67</v>
      </c>
      <c r="BQ2203" s="51" t="str">
        <f t="shared" si="1076"/>
        <v>SEMANA 68</v>
      </c>
      <c r="BR2203" s="51" t="str">
        <f t="shared" si="1076"/>
        <v>SEMANA 69</v>
      </c>
      <c r="BS2203" s="51" t="str">
        <f t="shared" si="1076"/>
        <v>SEMANA 70</v>
      </c>
      <c r="BT2203" s="51" t="str">
        <f t="shared" si="1076"/>
        <v>SEMANA 71</v>
      </c>
      <c r="BU2203" s="51" t="str">
        <f t="shared" si="1076"/>
        <v>SEMANA 72</v>
      </c>
      <c r="BV2203" s="51" t="str">
        <f t="shared" si="1076"/>
        <v>SEMANA 73</v>
      </c>
      <c r="BW2203" s="51" t="str">
        <f t="shared" si="1076"/>
        <v>SEMANA 74</v>
      </c>
      <c r="BX2203" s="51" t="str">
        <f t="shared" si="1076"/>
        <v>SEMANA 75</v>
      </c>
      <c r="BY2203" s="51" t="str">
        <f t="shared" si="1076"/>
        <v>SEMANA 76</v>
      </c>
      <c r="BZ2203" s="51" t="str">
        <f t="shared" si="1076"/>
        <v>SEMANA 77</v>
      </c>
      <c r="CA2203" s="228" t="s">
        <v>10</v>
      </c>
      <c r="CB2203" s="51" t="s">
        <v>409</v>
      </c>
    </row>
    <row r="2204" spans="1:80" x14ac:dyDescent="0.25">
      <c r="A2204" s="146" t="s">
        <v>25</v>
      </c>
      <c r="B2204" s="92">
        <v>896262.59827586217</v>
      </c>
      <c r="C2204" s="92">
        <v>2825717.25</v>
      </c>
      <c r="D2204" s="92">
        <v>4540356.1775862072</v>
      </c>
      <c r="E2204" s="92">
        <v>6513896.6724137934</v>
      </c>
      <c r="F2204" s="92">
        <f>+F2187</f>
        <v>10975274.815517241</v>
      </c>
      <c r="G2204" s="92">
        <f t="shared" ref="G2204:I2208" si="1077">G2187</f>
        <v>7994795.5948275868</v>
      </c>
      <c r="H2204" s="92">
        <f t="shared" si="1077"/>
        <v>6898843.2844827585</v>
      </c>
      <c r="I2204" s="92">
        <f t="shared" ref="I2204:CA2204" si="1078">I2187</f>
        <v>7958619.3120689671</v>
      </c>
      <c r="J2204" s="92">
        <f t="shared" si="1078"/>
        <v>8672529.6741379313</v>
      </c>
      <c r="K2204" s="92">
        <f t="shared" si="1078"/>
        <v>7617768.863793103</v>
      </c>
      <c r="L2204" s="92">
        <f t="shared" si="1078"/>
        <v>7233738.7775862077</v>
      </c>
      <c r="M2204" s="92">
        <f t="shared" si="1078"/>
        <v>5635927.9896551725</v>
      </c>
      <c r="N2204" s="92">
        <f t="shared" si="1078"/>
        <v>7907111.4500000011</v>
      </c>
      <c r="O2204" s="133">
        <f t="shared" si="1078"/>
        <v>8654397.886206897</v>
      </c>
      <c r="P2204" s="92">
        <f t="shared" si="1078"/>
        <v>8156389.703448277</v>
      </c>
      <c r="Q2204" s="92">
        <f t="shared" si="1078"/>
        <v>10234122.893103449</v>
      </c>
      <c r="R2204" s="134">
        <f t="shared" si="1078"/>
        <v>9108062.4362068959</v>
      </c>
      <c r="S2204" s="134">
        <f t="shared" si="1078"/>
        <v>9721148.0500000007</v>
      </c>
      <c r="T2204" s="134">
        <f t="shared" si="1078"/>
        <v>10948876.168965518</v>
      </c>
      <c r="U2204" s="134">
        <f t="shared" si="1078"/>
        <v>11148149.918965518</v>
      </c>
      <c r="V2204" s="134">
        <f t="shared" si="1078"/>
        <v>11073351.806896552</v>
      </c>
      <c r="W2204" s="134">
        <f t="shared" si="1078"/>
        <v>11209981.674137931</v>
      </c>
      <c r="X2204" s="134">
        <f t="shared" si="1078"/>
        <v>12377691.27586207</v>
      </c>
      <c r="Y2204" s="134">
        <f t="shared" si="1078"/>
        <v>15651980.641379312</v>
      </c>
      <c r="Z2204" s="134">
        <f t="shared" si="1078"/>
        <v>11723553.78448276</v>
      </c>
      <c r="AA2204" s="134">
        <f t="shared" si="1078"/>
        <v>13960864.965517242</v>
      </c>
      <c r="AB2204" s="134">
        <f t="shared" si="1078"/>
        <v>13808757.844827589</v>
      </c>
      <c r="AC2204" s="134">
        <f t="shared" si="1078"/>
        <v>14376142.344827587</v>
      </c>
      <c r="AD2204" s="134">
        <f t="shared" si="1078"/>
        <v>14243616.953448279</v>
      </c>
      <c r="AE2204" s="134">
        <f t="shared" si="1078"/>
        <v>15008647.337931035</v>
      </c>
      <c r="AF2204" s="134">
        <f t="shared" si="1078"/>
        <v>15602656.924137931</v>
      </c>
      <c r="AG2204" s="134">
        <f t="shared" si="1078"/>
        <v>14885758.498275863</v>
      </c>
      <c r="AH2204" s="134">
        <f t="shared" si="1078"/>
        <v>16606135.029310346</v>
      </c>
      <c r="AI2204" s="134">
        <f t="shared" si="1078"/>
        <v>15667268.462068968</v>
      </c>
      <c r="AJ2204" s="134">
        <f t="shared" si="1078"/>
        <v>14629846.182758622</v>
      </c>
      <c r="AK2204" s="134">
        <f t="shared" si="1078"/>
        <v>14199745.20172414</v>
      </c>
      <c r="AL2204" s="134">
        <f t="shared" si="1078"/>
        <v>12236130.229310345</v>
      </c>
      <c r="AM2204" s="134">
        <f t="shared" si="1078"/>
        <v>13606184.584482759</v>
      </c>
      <c r="AN2204" s="134">
        <f t="shared" si="1078"/>
        <v>15631793.874137932</v>
      </c>
      <c r="AO2204" s="134">
        <f t="shared" si="1078"/>
        <v>13828367.200000001</v>
      </c>
      <c r="AP2204" s="134">
        <f t="shared" si="1078"/>
        <v>13773346.655172415</v>
      </c>
      <c r="AQ2204" s="134">
        <f t="shared" si="1078"/>
        <v>14196578.110344829</v>
      </c>
      <c r="AR2204" s="134">
        <f t="shared" si="1078"/>
        <v>14172937.725862069</v>
      </c>
      <c r="AS2204" s="134">
        <f t="shared" si="1078"/>
        <v>13306625.105172414</v>
      </c>
      <c r="AT2204" s="134">
        <f t="shared" si="1078"/>
        <v>12842739.606896551</v>
      </c>
      <c r="AU2204" s="134">
        <f t="shared" si="1078"/>
        <v>11021143.13448276</v>
      </c>
      <c r="AV2204" s="134">
        <f t="shared" si="1078"/>
        <v>11112319.66724138</v>
      </c>
      <c r="AW2204" s="134">
        <f t="shared" si="1078"/>
        <v>9529409.8310344834</v>
      </c>
      <c r="AX2204" s="134">
        <f t="shared" si="1078"/>
        <v>10082328.88448276</v>
      </c>
      <c r="AY2204" s="134">
        <f t="shared" ref="AY2204:BY2204" si="1079">AY2187</f>
        <v>11645375.317241382</v>
      </c>
      <c r="AZ2204" s="134">
        <f t="shared" si="1079"/>
        <v>11107386.732758621</v>
      </c>
      <c r="BA2204" s="134">
        <f t="shared" si="1079"/>
        <v>10799947.167241381</v>
      </c>
      <c r="BB2204" s="134">
        <f t="shared" si="1079"/>
        <v>11919082.25</v>
      </c>
      <c r="BC2204" s="134">
        <f t="shared" si="1079"/>
        <v>11423660.06724138</v>
      </c>
      <c r="BD2204" s="134">
        <f t="shared" si="1079"/>
        <v>11541613.837931035</v>
      </c>
      <c r="BE2204" s="134">
        <f t="shared" si="1079"/>
        <v>10845533.312068967</v>
      </c>
      <c r="BF2204" s="134">
        <f t="shared" si="1079"/>
        <v>11970314.732758619</v>
      </c>
      <c r="BG2204" s="134">
        <f t="shared" si="1079"/>
        <v>12803681.644827586</v>
      </c>
      <c r="BH2204" s="134">
        <f t="shared" si="1079"/>
        <v>11483201.495172415</v>
      </c>
      <c r="BI2204" s="134">
        <f t="shared" si="1079"/>
        <v>12238044.008275865</v>
      </c>
      <c r="BJ2204" s="134">
        <f t="shared" si="1079"/>
        <v>11563062.211034484</v>
      </c>
      <c r="BK2204" s="134">
        <f t="shared" si="1079"/>
        <v>10399546.64137931</v>
      </c>
      <c r="BL2204" s="134">
        <f t="shared" si="1079"/>
        <v>9346619.2075862065</v>
      </c>
      <c r="BM2204" s="134">
        <f t="shared" si="1079"/>
        <v>8452849.6675862074</v>
      </c>
      <c r="BN2204" s="134">
        <f t="shared" si="1079"/>
        <v>7930831.0800000001</v>
      </c>
      <c r="BO2204" s="134">
        <f t="shared" si="1079"/>
        <v>10121947.922758622</v>
      </c>
      <c r="BP2204" s="134">
        <f t="shared" si="1079"/>
        <v>10451420.230344828</v>
      </c>
      <c r="BQ2204" s="134">
        <f t="shared" si="1079"/>
        <v>9720890.0800000001</v>
      </c>
      <c r="BR2204" s="134">
        <f t="shared" si="1079"/>
        <v>10184579.46137931</v>
      </c>
      <c r="BS2204" s="134">
        <f t="shared" si="1079"/>
        <v>9612315.2220689654</v>
      </c>
      <c r="BT2204" s="134">
        <f t="shared" si="1079"/>
        <v>10468781.609655172</v>
      </c>
      <c r="BU2204" s="134">
        <f t="shared" si="1079"/>
        <v>6997584.9337931033</v>
      </c>
      <c r="BV2204" s="134">
        <f t="shared" si="1079"/>
        <v>8444253.6834482756</v>
      </c>
      <c r="BW2204" s="134">
        <f t="shared" si="1079"/>
        <v>9751065.9413793124</v>
      </c>
      <c r="BX2204" s="134">
        <f t="shared" si="1079"/>
        <v>6939484.4868965512</v>
      </c>
      <c r="BY2204" s="134">
        <f t="shared" si="1079"/>
        <v>8891868.1372413803</v>
      </c>
      <c r="BZ2204" s="134">
        <f t="shared" si="1078"/>
        <v>8139429.9103448289</v>
      </c>
      <c r="CA2204" s="92">
        <f t="shared" si="1078"/>
        <v>829202264.0458622</v>
      </c>
      <c r="CB2204" s="300">
        <f t="shared" ref="CB2204:CB2210" si="1080">CA2204/77</f>
        <v>10768860.572024185</v>
      </c>
    </row>
    <row r="2205" spans="1:80" x14ac:dyDescent="0.25">
      <c r="A2205" s="146" t="s">
        <v>26</v>
      </c>
      <c r="B2205" s="92">
        <v>58994.001724137939</v>
      </c>
      <c r="C2205" s="92">
        <v>0</v>
      </c>
      <c r="D2205" s="92">
        <v>51479.379310344833</v>
      </c>
      <c r="E2205" s="92">
        <v>52447.47068965518</v>
      </c>
      <c r="F2205" s="92">
        <f>+F2188</f>
        <v>256598.69482758624</v>
      </c>
      <c r="G2205" s="92">
        <f t="shared" si="1077"/>
        <v>196720.9827586207</v>
      </c>
      <c r="H2205" s="92">
        <f t="shared" si="1077"/>
        <v>72157.008620689652</v>
      </c>
      <c r="I2205" s="92">
        <f t="shared" si="1077"/>
        <v>174428.70862068966</v>
      </c>
      <c r="J2205" s="92">
        <f t="shared" ref="J2205:S2208" si="1081">J2188</f>
        <v>37353.512068965523</v>
      </c>
      <c r="K2205" s="92">
        <f t="shared" si="1081"/>
        <v>311823.73103448277</v>
      </c>
      <c r="L2205" s="92">
        <f t="shared" si="1081"/>
        <v>277163.35689655173</v>
      </c>
      <c r="M2205" s="92">
        <f t="shared" si="1081"/>
        <v>314363.27931034483</v>
      </c>
      <c r="N2205" s="92">
        <f t="shared" si="1081"/>
        <v>2874098.6551724141</v>
      </c>
      <c r="O2205" s="133">
        <f t="shared" si="1081"/>
        <v>830695.92586206901</v>
      </c>
      <c r="P2205" s="92">
        <f t="shared" si="1081"/>
        <v>264897.81379310344</v>
      </c>
      <c r="Q2205" s="92">
        <f t="shared" si="1081"/>
        <v>396760.20172413794</v>
      </c>
      <c r="R2205" s="134">
        <f t="shared" si="1081"/>
        <v>242345.26724137933</v>
      </c>
      <c r="S2205" s="134">
        <f t="shared" si="1081"/>
        <v>410742.27586206899</v>
      </c>
      <c r="T2205" s="134">
        <f t="shared" ref="T2205:CA2205" si="1082">T2188</f>
        <v>496401.83448275871</v>
      </c>
      <c r="U2205" s="134">
        <f t="shared" si="1082"/>
        <v>268719.56551724143</v>
      </c>
      <c r="V2205" s="134">
        <f t="shared" si="1082"/>
        <v>438325.82241379318</v>
      </c>
      <c r="W2205" s="134">
        <f t="shared" si="1082"/>
        <v>580316.65172413795</v>
      </c>
      <c r="X2205" s="134">
        <f t="shared" si="1082"/>
        <v>768503.33620689646</v>
      </c>
      <c r="Y2205" s="134">
        <f t="shared" si="1082"/>
        <v>648248.10517241387</v>
      </c>
      <c r="Z2205" s="134">
        <f t="shared" si="1082"/>
        <v>441494.09482758632</v>
      </c>
      <c r="AA2205" s="134">
        <f t="shared" si="1082"/>
        <v>587427.16206896561</v>
      </c>
      <c r="AB2205" s="134">
        <f t="shared" si="1082"/>
        <v>444237.12068965519</v>
      </c>
      <c r="AC2205" s="134">
        <f t="shared" si="1082"/>
        <v>616860.82586206892</v>
      </c>
      <c r="AD2205" s="134">
        <f t="shared" si="1082"/>
        <v>473400.20172413799</v>
      </c>
      <c r="AE2205" s="134">
        <f t="shared" si="1082"/>
        <v>340290.44137931033</v>
      </c>
      <c r="AF2205" s="134">
        <f t="shared" si="1082"/>
        <v>356986.24827586208</v>
      </c>
      <c r="AG2205" s="134">
        <f t="shared" si="1082"/>
        <v>557333.13448275859</v>
      </c>
      <c r="AH2205" s="134">
        <f t="shared" si="1082"/>
        <v>409485.48965517245</v>
      </c>
      <c r="AI2205" s="134">
        <f t="shared" si="1082"/>
        <v>364475.88793103455</v>
      </c>
      <c r="AJ2205" s="134">
        <f t="shared" si="1082"/>
        <v>406865.58965517243</v>
      </c>
      <c r="AK2205" s="134">
        <f t="shared" si="1082"/>
        <v>417143.02068965521</v>
      </c>
      <c r="AL2205" s="134">
        <f t="shared" si="1082"/>
        <v>595234.92931034486</v>
      </c>
      <c r="AM2205" s="134">
        <f t="shared" si="1082"/>
        <v>293158.29655172414</v>
      </c>
      <c r="AN2205" s="134">
        <f t="shared" si="1082"/>
        <v>670898.21034482762</v>
      </c>
      <c r="AO2205" s="134">
        <f t="shared" si="1082"/>
        <v>288042.93103448278</v>
      </c>
      <c r="AP2205" s="134">
        <f t="shared" si="1082"/>
        <v>441921.60344827588</v>
      </c>
      <c r="AQ2205" s="134">
        <f t="shared" si="1082"/>
        <v>719427.3844827587</v>
      </c>
      <c r="AR2205" s="134">
        <f t="shared" si="1082"/>
        <v>288158.41379310348</v>
      </c>
      <c r="AS2205" s="134">
        <f t="shared" si="1082"/>
        <v>449738.12931034487</v>
      </c>
      <c r="AT2205" s="134">
        <f t="shared" si="1082"/>
        <v>156902.10689655173</v>
      </c>
      <c r="AU2205" s="134">
        <f t="shared" si="1082"/>
        <v>391187.08103448275</v>
      </c>
      <c r="AV2205" s="134">
        <f t="shared" si="1082"/>
        <v>242483.27068965521</v>
      </c>
      <c r="AW2205" s="134">
        <f t="shared" si="1082"/>
        <v>299957.54137931037</v>
      </c>
      <c r="AX2205" s="134">
        <f t="shared" si="1082"/>
        <v>276545.36206896551</v>
      </c>
      <c r="AY2205" s="134">
        <f t="shared" si="1082"/>
        <v>519265.77931034489</v>
      </c>
      <c r="AZ2205" s="134">
        <f t="shared" si="1082"/>
        <v>364621.43103448272</v>
      </c>
      <c r="BA2205" s="134">
        <f t="shared" si="1082"/>
        <v>376276.6413793104</v>
      </c>
      <c r="BB2205" s="134">
        <f t="shared" si="1082"/>
        <v>656127.24655172415</v>
      </c>
      <c r="BC2205" s="134">
        <f t="shared" si="1082"/>
        <v>411887.95172413799</v>
      </c>
      <c r="BD2205" s="134">
        <f t="shared" si="1082"/>
        <v>471063.8379310345</v>
      </c>
      <c r="BE2205" s="134">
        <f t="shared" si="1082"/>
        <v>344636.1241379311</v>
      </c>
      <c r="BF2205" s="134">
        <f t="shared" si="1082"/>
        <v>409473.25172413798</v>
      </c>
      <c r="BG2205" s="134">
        <f t="shared" si="1082"/>
        <v>306948.08965517243</v>
      </c>
      <c r="BH2205" s="134">
        <f t="shared" si="1082"/>
        <v>168590.93862068967</v>
      </c>
      <c r="BI2205" s="134">
        <f t="shared" si="1082"/>
        <v>248092.32344827586</v>
      </c>
      <c r="BJ2205" s="134">
        <f t="shared" si="1082"/>
        <v>541232.43310344825</v>
      </c>
      <c r="BK2205" s="134">
        <f t="shared" si="1082"/>
        <v>177539.26</v>
      </c>
      <c r="BL2205" s="134">
        <f t="shared" si="1082"/>
        <v>297938.08551724139</v>
      </c>
      <c r="BM2205" s="134">
        <f t="shared" si="1082"/>
        <v>304651.12206896557</v>
      </c>
      <c r="BN2205" s="134">
        <f t="shared" si="1082"/>
        <v>230697.85379310348</v>
      </c>
      <c r="BO2205" s="134">
        <f t="shared" si="1082"/>
        <v>282323.52551724139</v>
      </c>
      <c r="BP2205" s="134">
        <f t="shared" si="1082"/>
        <v>368373.355862069</v>
      </c>
      <c r="BQ2205" s="134">
        <f t="shared" si="1082"/>
        <v>296370.82137931034</v>
      </c>
      <c r="BR2205" s="134">
        <f t="shared" si="1082"/>
        <v>356045.67862068966</v>
      </c>
      <c r="BS2205" s="134">
        <f t="shared" si="1082"/>
        <v>234907.98965517245</v>
      </c>
      <c r="BT2205" s="134">
        <f t="shared" si="1082"/>
        <v>409068.76206896553</v>
      </c>
      <c r="BU2205" s="134">
        <f t="shared" si="1082"/>
        <v>337260.55517241382</v>
      </c>
      <c r="BV2205" s="134">
        <f t="shared" si="1082"/>
        <v>187309.99724137931</v>
      </c>
      <c r="BW2205" s="134">
        <f t="shared" si="1082"/>
        <v>389572.39241379313</v>
      </c>
      <c r="BX2205" s="134">
        <f t="shared" si="1082"/>
        <v>215155.52344827587</v>
      </c>
      <c r="BY2205" s="134">
        <f t="shared" si="1082"/>
        <v>204112.49655172415</v>
      </c>
      <c r="BZ2205" s="134">
        <f t="shared" si="1082"/>
        <v>354036.32</v>
      </c>
      <c r="CA2205" s="92">
        <f t="shared" si="1082"/>
        <v>30016819.846551724</v>
      </c>
      <c r="CB2205" s="300">
        <f t="shared" si="1080"/>
        <v>389828.82917599642</v>
      </c>
    </row>
    <row r="2206" spans="1:80" x14ac:dyDescent="0.25">
      <c r="A2206" s="146" t="s">
        <v>27</v>
      </c>
      <c r="B2206" s="92">
        <v>8759403.1672413815</v>
      </c>
      <c r="C2206" s="92">
        <v>13725038.968965519</v>
      </c>
      <c r="D2206" s="92">
        <v>14921828.650000002</v>
      </c>
      <c r="E2206" s="92">
        <v>19331352.544827588</v>
      </c>
      <c r="F2206" s="92">
        <f>+F2189</f>
        <v>13463344.684482761</v>
      </c>
      <c r="G2206" s="92">
        <f t="shared" si="1077"/>
        <v>17872044.218965519</v>
      </c>
      <c r="H2206" s="92">
        <f t="shared" si="1077"/>
        <v>16770205.377586208</v>
      </c>
      <c r="I2206" s="92">
        <f t="shared" si="1077"/>
        <v>19740773.056896552</v>
      </c>
      <c r="J2206" s="92">
        <f t="shared" si="1081"/>
        <v>20289471.577586208</v>
      </c>
      <c r="K2206" s="92">
        <f t="shared" si="1081"/>
        <v>20131174.429310348</v>
      </c>
      <c r="L2206" s="92">
        <f t="shared" si="1081"/>
        <v>17971139.355172414</v>
      </c>
      <c r="M2206" s="92">
        <f t="shared" si="1081"/>
        <v>19741206.489655174</v>
      </c>
      <c r="N2206" s="92">
        <f t="shared" si="1081"/>
        <v>18193225.239655174</v>
      </c>
      <c r="O2206" s="133">
        <f t="shared" si="1081"/>
        <v>24632163.005172417</v>
      </c>
      <c r="P2206" s="92">
        <f t="shared" si="1081"/>
        <v>21165418.298275862</v>
      </c>
      <c r="Q2206" s="92">
        <f t="shared" si="1081"/>
        <v>19287274.491379313</v>
      </c>
      <c r="R2206" s="134">
        <f t="shared" si="1081"/>
        <v>18636671.372413795</v>
      </c>
      <c r="S2206" s="134">
        <f t="shared" si="1081"/>
        <v>16953057.891379312</v>
      </c>
      <c r="T2206" s="134">
        <f t="shared" ref="T2206:CA2206" si="1083">T2189</f>
        <v>16817971.13448276</v>
      </c>
      <c r="U2206" s="134">
        <f t="shared" si="1083"/>
        <v>18009919.998275865</v>
      </c>
      <c r="V2206" s="134">
        <f t="shared" si="1083"/>
        <v>18398380.30172414</v>
      </c>
      <c r="W2206" s="134">
        <f t="shared" si="1083"/>
        <v>18426104.044827588</v>
      </c>
      <c r="X2206" s="134">
        <f t="shared" si="1083"/>
        <v>16636025.560344828</v>
      </c>
      <c r="Y2206" s="134">
        <f t="shared" si="1083"/>
        <v>18802185.391379312</v>
      </c>
      <c r="Z2206" s="134">
        <f t="shared" si="1083"/>
        <v>17760730.918965518</v>
      </c>
      <c r="AA2206" s="134">
        <f t="shared" si="1083"/>
        <v>14908778.163793104</v>
      </c>
      <c r="AB2206" s="134">
        <f t="shared" si="1083"/>
        <v>17258608.841379311</v>
      </c>
      <c r="AC2206" s="134">
        <f t="shared" si="1083"/>
        <v>20499288.318965521</v>
      </c>
      <c r="AD2206" s="134">
        <f t="shared" si="1083"/>
        <v>17677353.324137934</v>
      </c>
      <c r="AE2206" s="134">
        <f t="shared" si="1083"/>
        <v>16461591.477586208</v>
      </c>
      <c r="AF2206" s="134">
        <f t="shared" si="1083"/>
        <v>16005954.448275864</v>
      </c>
      <c r="AG2206" s="134">
        <f t="shared" si="1083"/>
        <v>16285077.220689658</v>
      </c>
      <c r="AH2206" s="134">
        <f t="shared" si="1083"/>
        <v>15574567.294827588</v>
      </c>
      <c r="AI2206" s="134">
        <f t="shared" si="1083"/>
        <v>16226414.748275865</v>
      </c>
      <c r="AJ2206" s="134">
        <f t="shared" si="1083"/>
        <v>17008710.910344828</v>
      </c>
      <c r="AK2206" s="134">
        <f t="shared" si="1083"/>
        <v>20654769.967241384</v>
      </c>
      <c r="AL2206" s="134">
        <f t="shared" si="1083"/>
        <v>14522997.951724138</v>
      </c>
      <c r="AM2206" s="134">
        <f t="shared" si="1083"/>
        <v>18340803.955172416</v>
      </c>
      <c r="AN2206" s="134">
        <f t="shared" si="1083"/>
        <v>15871629.501724141</v>
      </c>
      <c r="AO2206" s="134">
        <f t="shared" si="1083"/>
        <v>15145103.482758621</v>
      </c>
      <c r="AP2206" s="134">
        <f t="shared" si="1083"/>
        <v>15760419.872413795</v>
      </c>
      <c r="AQ2206" s="134">
        <f t="shared" si="1083"/>
        <v>14724255.718965519</v>
      </c>
      <c r="AR2206" s="134">
        <f t="shared" si="1083"/>
        <v>13223340.448275864</v>
      </c>
      <c r="AS2206" s="134">
        <f t="shared" si="1083"/>
        <v>10937787.994827587</v>
      </c>
      <c r="AT2206" s="134">
        <f t="shared" si="1083"/>
        <v>12664360.955172414</v>
      </c>
      <c r="AU2206" s="134">
        <f t="shared" si="1083"/>
        <v>12304857.218965517</v>
      </c>
      <c r="AV2206" s="134">
        <f t="shared" si="1083"/>
        <v>14033724.665517244</v>
      </c>
      <c r="AW2206" s="134">
        <f t="shared" si="1083"/>
        <v>12443558.996551726</v>
      </c>
      <c r="AX2206" s="134">
        <f t="shared" si="1083"/>
        <v>14195857.763793105</v>
      </c>
      <c r="AY2206" s="134">
        <f t="shared" si="1083"/>
        <v>13328658.41896552</v>
      </c>
      <c r="AZ2206" s="134">
        <f t="shared" si="1083"/>
        <v>12840855.922413794</v>
      </c>
      <c r="BA2206" s="134">
        <f t="shared" si="1083"/>
        <v>12347195.774137931</v>
      </c>
      <c r="BB2206" s="134">
        <f t="shared" si="1083"/>
        <v>11871803.589655172</v>
      </c>
      <c r="BC2206" s="134">
        <f t="shared" si="1083"/>
        <v>11853082.720689654</v>
      </c>
      <c r="BD2206" s="134">
        <f t="shared" si="1083"/>
        <v>12895493.629310345</v>
      </c>
      <c r="BE2206" s="134">
        <f t="shared" si="1083"/>
        <v>12638066.575862071</v>
      </c>
      <c r="BF2206" s="134">
        <f t="shared" si="1083"/>
        <v>14114537.725862071</v>
      </c>
      <c r="BG2206" s="134">
        <f t="shared" si="1083"/>
        <v>14250570.505172415</v>
      </c>
      <c r="BH2206" s="134">
        <f t="shared" si="1083"/>
        <v>12613007.011034483</v>
      </c>
      <c r="BI2206" s="134">
        <f t="shared" si="1083"/>
        <v>14442202.155862069</v>
      </c>
      <c r="BJ2206" s="134">
        <f t="shared" si="1083"/>
        <v>17161963.824137934</v>
      </c>
      <c r="BK2206" s="134">
        <f t="shared" si="1083"/>
        <v>14771607.252413796</v>
      </c>
      <c r="BL2206" s="134">
        <f t="shared" si="1083"/>
        <v>15220809.694482761</v>
      </c>
      <c r="BM2206" s="134">
        <f t="shared" si="1083"/>
        <v>15365519.104827587</v>
      </c>
      <c r="BN2206" s="134">
        <f t="shared" si="1083"/>
        <v>15644494.782758623</v>
      </c>
      <c r="BO2206" s="134">
        <f t="shared" si="1083"/>
        <v>16250825.132413793</v>
      </c>
      <c r="BP2206" s="134">
        <f t="shared" si="1083"/>
        <v>14897325.099310348</v>
      </c>
      <c r="BQ2206" s="134">
        <f t="shared" si="1083"/>
        <v>12816394.13862069</v>
      </c>
      <c r="BR2206" s="134">
        <f t="shared" si="1083"/>
        <v>13098862.382758621</v>
      </c>
      <c r="BS2206" s="134">
        <f t="shared" si="1083"/>
        <v>11848181.608275862</v>
      </c>
      <c r="BT2206" s="134">
        <f t="shared" si="1083"/>
        <v>12823998.393793104</v>
      </c>
      <c r="BU2206" s="134">
        <f t="shared" si="1083"/>
        <v>12411332.322758622</v>
      </c>
      <c r="BV2206" s="134">
        <f t="shared" si="1083"/>
        <v>12570477.932413794</v>
      </c>
      <c r="BW2206" s="134">
        <f t="shared" si="1083"/>
        <v>13168772.710344829</v>
      </c>
      <c r="BX2206" s="134">
        <f t="shared" si="1083"/>
        <v>12010470.135172414</v>
      </c>
      <c r="BY2206" s="134">
        <f t="shared" si="1083"/>
        <v>13419542.67034483</v>
      </c>
      <c r="BZ2206" s="134">
        <f t="shared" si="1083"/>
        <v>11628242.272413794</v>
      </c>
      <c r="CA2206" s="92">
        <f t="shared" si="1083"/>
        <v>1197470216.8965518</v>
      </c>
      <c r="CB2206" s="300">
        <f t="shared" si="1080"/>
        <v>15551561.258396776</v>
      </c>
    </row>
    <row r="2207" spans="1:80" x14ac:dyDescent="0.25">
      <c r="A2207" s="146" t="s">
        <v>28</v>
      </c>
      <c r="B2207" s="92">
        <v>1781958.7862068969</v>
      </c>
      <c r="C2207" s="92">
        <v>2053052.0224137933</v>
      </c>
      <c r="D2207" s="92">
        <v>2882485.6172413798</v>
      </c>
      <c r="E2207" s="92">
        <v>1173029.0017241382</v>
      </c>
      <c r="F2207" s="92">
        <f>+F2190</f>
        <v>504757.83965517243</v>
      </c>
      <c r="G2207" s="92">
        <f t="shared" si="1077"/>
        <v>1496571.6172413796</v>
      </c>
      <c r="H2207" s="92">
        <f t="shared" si="1077"/>
        <v>1387145.2103448277</v>
      </c>
      <c r="I2207" s="92">
        <f t="shared" si="1077"/>
        <v>725121.13103448285</v>
      </c>
      <c r="J2207" s="92">
        <f t="shared" si="1081"/>
        <v>819314.20172413811</v>
      </c>
      <c r="K2207" s="92">
        <f t="shared" si="1081"/>
        <v>91709.589655172429</v>
      </c>
      <c r="L2207" s="92">
        <f t="shared" si="1081"/>
        <v>206272.68103448278</v>
      </c>
      <c r="M2207" s="92">
        <f t="shared" si="1081"/>
        <v>0</v>
      </c>
      <c r="N2207" s="92">
        <f t="shared" si="1081"/>
        <v>0</v>
      </c>
      <c r="O2207" s="133">
        <f t="shared" si="1081"/>
        <v>0</v>
      </c>
      <c r="P2207" s="92">
        <f t="shared" si="1081"/>
        <v>29803.494827586208</v>
      </c>
      <c r="Q2207" s="92">
        <f t="shared" si="1081"/>
        <v>0</v>
      </c>
      <c r="R2207" s="134">
        <f t="shared" si="1081"/>
        <v>39779.372413793106</v>
      </c>
      <c r="S2207" s="134">
        <f t="shared" si="1081"/>
        <v>0</v>
      </c>
      <c r="T2207" s="134">
        <f t="shared" ref="T2207:CA2207" si="1084">T2190</f>
        <v>0</v>
      </c>
      <c r="U2207" s="134">
        <f t="shared" si="1084"/>
        <v>0</v>
      </c>
      <c r="V2207" s="134">
        <f t="shared" si="1084"/>
        <v>0</v>
      </c>
      <c r="W2207" s="134">
        <f t="shared" si="1084"/>
        <v>24606.939655172417</v>
      </c>
      <c r="X2207" s="134">
        <f t="shared" si="1084"/>
        <v>0</v>
      </c>
      <c r="Y2207" s="134">
        <f t="shared" si="1084"/>
        <v>0</v>
      </c>
      <c r="Z2207" s="134">
        <f t="shared" si="1084"/>
        <v>1460327.40862069</v>
      </c>
      <c r="AA2207" s="134">
        <f t="shared" si="1084"/>
        <v>994982.46724137943</v>
      </c>
      <c r="AB2207" s="134">
        <f t="shared" si="1084"/>
        <v>1344198.5034482761</v>
      </c>
      <c r="AC2207" s="134">
        <f t="shared" si="1084"/>
        <v>1112613.3379310346</v>
      </c>
      <c r="AD2207" s="134">
        <f t="shared" si="1084"/>
        <v>1672257.9689655171</v>
      </c>
      <c r="AE2207" s="134">
        <f t="shared" si="1084"/>
        <v>2070754.7086206898</v>
      </c>
      <c r="AF2207" s="134">
        <f t="shared" si="1084"/>
        <v>1693022.379310345</v>
      </c>
      <c r="AG2207" s="134">
        <f t="shared" si="1084"/>
        <v>1932512.3534482759</v>
      </c>
      <c r="AH2207" s="134">
        <f t="shared" si="1084"/>
        <v>2119982.5310344826</v>
      </c>
      <c r="AI2207" s="134">
        <f t="shared" si="1084"/>
        <v>1498648.6603448279</v>
      </c>
      <c r="AJ2207" s="134">
        <f t="shared" si="1084"/>
        <v>2563784.1948275864</v>
      </c>
      <c r="AK2207" s="134">
        <f t="shared" si="1084"/>
        <v>916944.91379310354</v>
      </c>
      <c r="AL2207" s="134">
        <f t="shared" si="1084"/>
        <v>2526822.7517241384</v>
      </c>
      <c r="AM2207" s="134">
        <f t="shared" si="1084"/>
        <v>3396006.7775862077</v>
      </c>
      <c r="AN2207" s="134">
        <f t="shared" si="1084"/>
        <v>2436866.1379310349</v>
      </c>
      <c r="AO2207" s="134">
        <f t="shared" si="1084"/>
        <v>1576058.8</v>
      </c>
      <c r="AP2207" s="134">
        <f t="shared" si="1084"/>
        <v>2952377.8258620696</v>
      </c>
      <c r="AQ2207" s="134">
        <f t="shared" si="1084"/>
        <v>2482828.7862068964</v>
      </c>
      <c r="AR2207" s="134">
        <f t="shared" si="1084"/>
        <v>1863058.6982758623</v>
      </c>
      <c r="AS2207" s="134">
        <f t="shared" si="1084"/>
        <v>2034880.8396551725</v>
      </c>
      <c r="AT2207" s="134">
        <f t="shared" si="1084"/>
        <v>2403001.522413793</v>
      </c>
      <c r="AU2207" s="134">
        <f t="shared" si="1084"/>
        <v>1963733.7724137933</v>
      </c>
      <c r="AV2207" s="134">
        <f t="shared" si="1084"/>
        <v>1921444.6379310349</v>
      </c>
      <c r="AW2207" s="134">
        <f t="shared" si="1084"/>
        <v>1027470.355172414</v>
      </c>
      <c r="AX2207" s="134">
        <f t="shared" si="1084"/>
        <v>2194115.5758620691</v>
      </c>
      <c r="AY2207" s="134">
        <f t="shared" si="1084"/>
        <v>1732666.8293103452</v>
      </c>
      <c r="AZ2207" s="134">
        <f t="shared" si="1084"/>
        <v>2674176.6034482759</v>
      </c>
      <c r="BA2207" s="134">
        <f t="shared" si="1084"/>
        <v>3217327.4862068971</v>
      </c>
      <c r="BB2207" s="134">
        <f t="shared" si="1084"/>
        <v>2563652.431034483</v>
      </c>
      <c r="BC2207" s="134">
        <f t="shared" si="1084"/>
        <v>2895997.5362068969</v>
      </c>
      <c r="BD2207" s="134">
        <f t="shared" si="1084"/>
        <v>2672491.1086206902</v>
      </c>
      <c r="BE2207" s="134">
        <f t="shared" si="1084"/>
        <v>1926650.0224137935</v>
      </c>
      <c r="BF2207" s="134">
        <f t="shared" si="1084"/>
        <v>2580896.9724137932</v>
      </c>
      <c r="BG2207" s="134">
        <f t="shared" si="1084"/>
        <v>2263348.898275862</v>
      </c>
      <c r="BH2207" s="134">
        <f t="shared" si="1084"/>
        <v>2282108.2103448277</v>
      </c>
      <c r="BI2207" s="134">
        <f t="shared" si="1084"/>
        <v>1970202.3400000003</v>
      </c>
      <c r="BJ2207" s="134">
        <f t="shared" si="1084"/>
        <v>2400945.3110344829</v>
      </c>
      <c r="BK2207" s="134">
        <f t="shared" si="1084"/>
        <v>2168398.708275862</v>
      </c>
      <c r="BL2207" s="134">
        <f t="shared" si="1084"/>
        <v>1786038.7572413795</v>
      </c>
      <c r="BM2207" s="134">
        <f t="shared" si="1084"/>
        <v>2385461.8296551723</v>
      </c>
      <c r="BN2207" s="134">
        <f t="shared" si="1084"/>
        <v>2332115.4558620695</v>
      </c>
      <c r="BO2207" s="134">
        <f t="shared" si="1084"/>
        <v>2181735.6262068967</v>
      </c>
      <c r="BP2207" s="134">
        <f t="shared" si="1084"/>
        <v>2509283.1075862069</v>
      </c>
      <c r="BQ2207" s="134">
        <f t="shared" si="1084"/>
        <v>1878593.502758621</v>
      </c>
      <c r="BR2207" s="134">
        <f t="shared" si="1084"/>
        <v>2240032.5662068971</v>
      </c>
      <c r="BS2207" s="134">
        <f t="shared" si="1084"/>
        <v>2009965.3868965518</v>
      </c>
      <c r="BT2207" s="134">
        <f t="shared" si="1084"/>
        <v>1782722.2489655174</v>
      </c>
      <c r="BU2207" s="134">
        <f t="shared" si="1084"/>
        <v>1631536.1193103448</v>
      </c>
      <c r="BV2207" s="134">
        <f t="shared" si="1084"/>
        <v>2735492.455862069</v>
      </c>
      <c r="BW2207" s="134">
        <f t="shared" si="1084"/>
        <v>2190314.8331034486</v>
      </c>
      <c r="BX2207" s="134">
        <f t="shared" si="1084"/>
        <v>2136221.9924137932</v>
      </c>
      <c r="BY2207" s="134">
        <f t="shared" si="1084"/>
        <v>2397088.6875862074</v>
      </c>
      <c r="BZ2207" s="134">
        <f t="shared" si="1084"/>
        <v>1941168.5317241382</v>
      </c>
      <c r="CA2207" s="92">
        <f t="shared" si="1084"/>
        <v>124860936.97275864</v>
      </c>
      <c r="CB2207" s="300">
        <f t="shared" si="1080"/>
        <v>1621570.6100358265</v>
      </c>
    </row>
    <row r="2208" spans="1:80" x14ac:dyDescent="0.25">
      <c r="A2208" s="146" t="s">
        <v>29</v>
      </c>
      <c r="B2208" s="92">
        <v>99853.515517241394</v>
      </c>
      <c r="C2208" s="92">
        <v>22417.275862068967</v>
      </c>
      <c r="D2208" s="92">
        <v>17155.175862068969</v>
      </c>
      <c r="E2208" s="92">
        <v>0</v>
      </c>
      <c r="F2208" s="92">
        <v>0</v>
      </c>
      <c r="G2208" s="92">
        <f t="shared" si="1077"/>
        <v>0</v>
      </c>
      <c r="H2208" s="92">
        <f t="shared" si="1077"/>
        <v>111000.15344827587</v>
      </c>
      <c r="I2208" s="92">
        <f t="shared" si="1077"/>
        <v>119035.55000000002</v>
      </c>
      <c r="J2208" s="92">
        <f t="shared" si="1081"/>
        <v>0</v>
      </c>
      <c r="K2208" s="92">
        <f t="shared" si="1081"/>
        <v>82305.282758620699</v>
      </c>
      <c r="L2208" s="92">
        <f t="shared" si="1081"/>
        <v>96982.89827586207</v>
      </c>
      <c r="M2208" s="92">
        <f t="shared" si="1081"/>
        <v>0</v>
      </c>
      <c r="N2208" s="92">
        <f t="shared" si="1081"/>
        <v>0</v>
      </c>
      <c r="O2208" s="133">
        <f t="shared" si="1081"/>
        <v>73481.113793103461</v>
      </c>
      <c r="P2208" s="92">
        <f t="shared" si="1081"/>
        <v>0</v>
      </c>
      <c r="Q2208" s="92">
        <f t="shared" si="1081"/>
        <v>0</v>
      </c>
      <c r="R2208" s="134">
        <f t="shared" si="1081"/>
        <v>0</v>
      </c>
      <c r="S2208" s="134">
        <f t="shared" si="1081"/>
        <v>31656.955172413796</v>
      </c>
      <c r="T2208" s="134">
        <f t="shared" ref="T2208:CA2208" si="1085">T2191</f>
        <v>0</v>
      </c>
      <c r="U2208" s="134">
        <f t="shared" si="1085"/>
        <v>0</v>
      </c>
      <c r="V2208" s="134">
        <f t="shared" si="1085"/>
        <v>0</v>
      </c>
      <c r="W2208" s="134">
        <f t="shared" si="1085"/>
        <v>0</v>
      </c>
      <c r="X2208" s="134">
        <f t="shared" si="1085"/>
        <v>0</v>
      </c>
      <c r="Y2208" s="134">
        <f t="shared" si="1085"/>
        <v>0</v>
      </c>
      <c r="Z2208" s="134">
        <f t="shared" si="1085"/>
        <v>0</v>
      </c>
      <c r="AA2208" s="134">
        <f t="shared" si="1085"/>
        <v>0</v>
      </c>
      <c r="AB2208" s="134">
        <f t="shared" si="1085"/>
        <v>128233.03448275864</v>
      </c>
      <c r="AC2208" s="134">
        <f t="shared" si="1085"/>
        <v>0</v>
      </c>
      <c r="AD2208" s="134">
        <f t="shared" si="1085"/>
        <v>0</v>
      </c>
      <c r="AE2208" s="134">
        <f t="shared" si="1085"/>
        <v>0</v>
      </c>
      <c r="AF2208" s="134">
        <f t="shared" si="1085"/>
        <v>0</v>
      </c>
      <c r="AG2208" s="134">
        <f t="shared" si="1085"/>
        <v>0</v>
      </c>
      <c r="AH2208" s="134">
        <f t="shared" si="1085"/>
        <v>0</v>
      </c>
      <c r="AI2208" s="134">
        <f t="shared" si="1085"/>
        <v>0</v>
      </c>
      <c r="AJ2208" s="134">
        <f t="shared" si="1085"/>
        <v>79492.432758620693</v>
      </c>
      <c r="AK2208" s="134">
        <f t="shared" si="1085"/>
        <v>0</v>
      </c>
      <c r="AL2208" s="134">
        <f t="shared" si="1085"/>
        <v>0</v>
      </c>
      <c r="AM2208" s="134">
        <f t="shared" si="1085"/>
        <v>101676.90344827587</v>
      </c>
      <c r="AN2208" s="134">
        <f t="shared" si="1085"/>
        <v>21739.689655172417</v>
      </c>
      <c r="AO2208" s="134">
        <f t="shared" si="1085"/>
        <v>0</v>
      </c>
      <c r="AP2208" s="134">
        <f t="shared" si="1085"/>
        <v>37091.456896551725</v>
      </c>
      <c r="AQ2208" s="134">
        <f t="shared" si="1085"/>
        <v>0</v>
      </c>
      <c r="AR2208" s="134">
        <f t="shared" si="1085"/>
        <v>32234.541379310351</v>
      </c>
      <c r="AS2208" s="134">
        <f t="shared" si="1085"/>
        <v>0</v>
      </c>
      <c r="AT2208" s="134">
        <f t="shared" si="1085"/>
        <v>55737.187931034488</v>
      </c>
      <c r="AU2208" s="134">
        <f t="shared" si="1085"/>
        <v>0</v>
      </c>
      <c r="AV2208" s="134">
        <f t="shared" si="1085"/>
        <v>0</v>
      </c>
      <c r="AW2208" s="134">
        <f t="shared" si="1085"/>
        <v>0</v>
      </c>
      <c r="AX2208" s="134">
        <f t="shared" si="1085"/>
        <v>0</v>
      </c>
      <c r="AY2208" s="134">
        <f t="shared" si="1085"/>
        <v>19868.137931034486</v>
      </c>
      <c r="AZ2208" s="134">
        <f t="shared" si="1085"/>
        <v>0</v>
      </c>
      <c r="BA2208" s="134">
        <f t="shared" si="1085"/>
        <v>0</v>
      </c>
      <c r="BB2208" s="134">
        <f t="shared" si="1085"/>
        <v>0</v>
      </c>
      <c r="BC2208" s="134">
        <f t="shared" si="1085"/>
        <v>0</v>
      </c>
      <c r="BD2208" s="134">
        <f t="shared" si="1085"/>
        <v>0</v>
      </c>
      <c r="BE2208" s="134">
        <f t="shared" si="1085"/>
        <v>0</v>
      </c>
      <c r="BF2208" s="134">
        <f t="shared" si="1085"/>
        <v>24237.144827586209</v>
      </c>
      <c r="BG2208" s="134">
        <f t="shared" si="1085"/>
        <v>0</v>
      </c>
      <c r="BH2208" s="134">
        <f t="shared" si="1085"/>
        <v>0</v>
      </c>
      <c r="BI2208" s="134">
        <f t="shared" si="1085"/>
        <v>0</v>
      </c>
      <c r="BJ2208" s="134">
        <f t="shared" si="1085"/>
        <v>136172.0827586207</v>
      </c>
      <c r="BK2208" s="134">
        <f t="shared" si="1085"/>
        <v>0</v>
      </c>
      <c r="BL2208" s="134">
        <f t="shared" si="1085"/>
        <v>139401.49655172415</v>
      </c>
      <c r="BM2208" s="134">
        <f t="shared" si="1085"/>
        <v>0</v>
      </c>
      <c r="BN2208" s="134">
        <f t="shared" si="1085"/>
        <v>0</v>
      </c>
      <c r="BO2208" s="134">
        <f t="shared" si="1085"/>
        <v>0</v>
      </c>
      <c r="BP2208" s="134">
        <f t="shared" si="1085"/>
        <v>0</v>
      </c>
      <c r="BQ2208" s="134">
        <f t="shared" si="1085"/>
        <v>106396.28482758622</v>
      </c>
      <c r="BR2208" s="134">
        <f t="shared" si="1085"/>
        <v>71536.876551724141</v>
      </c>
      <c r="BS2208" s="134">
        <f t="shared" si="1085"/>
        <v>0</v>
      </c>
      <c r="BT2208" s="134">
        <f t="shared" si="1085"/>
        <v>50792.985517241388</v>
      </c>
      <c r="BU2208" s="134">
        <f t="shared" si="1085"/>
        <v>0</v>
      </c>
      <c r="BV2208" s="134">
        <f t="shared" si="1085"/>
        <v>0</v>
      </c>
      <c r="BW2208" s="134">
        <f t="shared" si="1085"/>
        <v>78318.812413793115</v>
      </c>
      <c r="BX2208" s="134">
        <f t="shared" si="1085"/>
        <v>0</v>
      </c>
      <c r="BY2208" s="134">
        <f t="shared" si="1085"/>
        <v>98022.215172413795</v>
      </c>
      <c r="BZ2208" s="134">
        <f t="shared" si="1085"/>
        <v>0</v>
      </c>
      <c r="CA2208" s="92">
        <f t="shared" si="1085"/>
        <v>1834839.2037931033</v>
      </c>
      <c r="CB2208" s="300">
        <f t="shared" si="1080"/>
        <v>23829.080568741603</v>
      </c>
    </row>
    <row r="2209" spans="1:80" x14ac:dyDescent="0.25">
      <c r="A2209" s="146" t="s">
        <v>31</v>
      </c>
      <c r="B2209" s="92">
        <v>81890</v>
      </c>
      <c r="C2209" s="92">
        <v>232740</v>
      </c>
      <c r="D2209" s="92">
        <v>364195</v>
      </c>
      <c r="E2209" s="92">
        <v>450395</v>
      </c>
      <c r="F2209" s="92">
        <f>+F2193</f>
        <v>777955</v>
      </c>
      <c r="G2209" s="92">
        <f t="shared" ref="G2209:CA2209" si="1086">G2193</f>
        <v>577540</v>
      </c>
      <c r="H2209" s="92">
        <f t="shared" si="1086"/>
        <v>508580</v>
      </c>
      <c r="I2209" s="92">
        <f t="shared" si="1086"/>
        <v>584005</v>
      </c>
      <c r="J2209" s="92">
        <f t="shared" si="1086"/>
        <v>603400</v>
      </c>
      <c r="K2209" s="92">
        <f t="shared" si="1086"/>
        <v>506425</v>
      </c>
      <c r="L2209" s="92">
        <f t="shared" si="1086"/>
        <v>480565</v>
      </c>
      <c r="M2209" s="92">
        <f t="shared" si="1086"/>
        <v>402985</v>
      </c>
      <c r="N2209" s="92">
        <f t="shared" si="1086"/>
        <v>484875</v>
      </c>
      <c r="O2209" s="133">
        <f t="shared" si="1086"/>
        <v>603400</v>
      </c>
      <c r="P2209" s="92">
        <f t="shared" si="1086"/>
        <v>547370</v>
      </c>
      <c r="Q2209" s="92">
        <f t="shared" si="1086"/>
        <v>676670</v>
      </c>
      <c r="R2209" s="134">
        <f t="shared" si="1086"/>
        <v>601245</v>
      </c>
      <c r="S2209" s="134">
        <f t="shared" si="1086"/>
        <v>668050</v>
      </c>
      <c r="T2209" s="134">
        <f t="shared" si="1086"/>
        <v>743475</v>
      </c>
      <c r="U2209" s="134">
        <f t="shared" si="1086"/>
        <v>816745</v>
      </c>
      <c r="V2209" s="134">
        <f t="shared" si="1086"/>
        <v>724080</v>
      </c>
      <c r="W2209" s="134">
        <f t="shared" si="1086"/>
        <v>762870</v>
      </c>
      <c r="X2209" s="134">
        <f t="shared" si="1086"/>
        <v>812435</v>
      </c>
      <c r="Y2209" s="134">
        <f t="shared" si="1086"/>
        <v>1081810</v>
      </c>
      <c r="Z2209" s="134">
        <f t="shared" si="1086"/>
        <v>896480</v>
      </c>
      <c r="AA2209" s="134">
        <f t="shared" si="1086"/>
        <v>874930</v>
      </c>
      <c r="AB2209" s="134">
        <f t="shared" si="1086"/>
        <v>872775</v>
      </c>
      <c r="AC2209" s="134">
        <f t="shared" si="1086"/>
        <v>965440</v>
      </c>
      <c r="AD2209" s="134">
        <f t="shared" si="1086"/>
        <v>958975</v>
      </c>
      <c r="AE2209" s="134">
        <f t="shared" si="1086"/>
        <v>963285</v>
      </c>
      <c r="AF2209" s="134">
        <f t="shared" si="1086"/>
        <v>1068880</v>
      </c>
      <c r="AG2209" s="134">
        <f t="shared" si="1086"/>
        <v>971905</v>
      </c>
      <c r="AH2209" s="134">
        <f t="shared" si="1086"/>
        <v>1051640</v>
      </c>
      <c r="AI2209" s="134">
        <f t="shared" si="1086"/>
        <v>1045175</v>
      </c>
      <c r="AJ2209" s="134">
        <f t="shared" si="1086"/>
        <v>982680</v>
      </c>
      <c r="AK2209" s="134">
        <f t="shared" si="1086"/>
        <v>857690</v>
      </c>
      <c r="AL2209" s="134">
        <f t="shared" si="1086"/>
        <v>814590</v>
      </c>
      <c r="AM2209" s="134">
        <f t="shared" si="1086"/>
        <v>898635</v>
      </c>
      <c r="AN2209" s="134">
        <f t="shared" si="1086"/>
        <v>1032245</v>
      </c>
      <c r="AO2209" s="134">
        <f t="shared" si="1086"/>
        <v>905100</v>
      </c>
      <c r="AP2209" s="134">
        <f t="shared" si="1086"/>
        <v>890015</v>
      </c>
      <c r="AQ2209" s="134">
        <f t="shared" si="1086"/>
        <v>909410</v>
      </c>
      <c r="AR2209" s="134">
        <f t="shared" si="1086"/>
        <v>933115</v>
      </c>
      <c r="AS2209" s="134">
        <f t="shared" si="1086"/>
        <v>831830</v>
      </c>
      <c r="AT2209" s="134">
        <f t="shared" si="1086"/>
        <v>862000</v>
      </c>
      <c r="AU2209" s="134">
        <f t="shared" si="1086"/>
        <v>739165</v>
      </c>
      <c r="AV2209" s="134">
        <f t="shared" si="1086"/>
        <v>730545</v>
      </c>
      <c r="AW2209" s="134">
        <f t="shared" si="1086"/>
        <v>648655</v>
      </c>
      <c r="AX2209" s="134">
        <f t="shared" si="1086"/>
        <v>680980</v>
      </c>
      <c r="AY2209" s="134">
        <f t="shared" ref="AY2209:BY2209" si="1087">AY2193</f>
        <v>732700</v>
      </c>
      <c r="AZ2209" s="134">
        <f t="shared" si="1087"/>
        <v>724080</v>
      </c>
      <c r="BA2209" s="134">
        <f t="shared" si="1087"/>
        <v>717615</v>
      </c>
      <c r="BB2209" s="134">
        <f t="shared" si="1087"/>
        <v>775800</v>
      </c>
      <c r="BC2209" s="134">
        <f t="shared" si="1087"/>
        <v>741320</v>
      </c>
      <c r="BD2209" s="134">
        <f t="shared" si="1087"/>
        <v>737010</v>
      </c>
      <c r="BE2209" s="134">
        <f t="shared" si="1087"/>
        <v>730545</v>
      </c>
      <c r="BF2209" s="134">
        <f t="shared" si="1087"/>
        <v>790885</v>
      </c>
      <c r="BG2209" s="134">
        <f t="shared" si="1087"/>
        <v>829675</v>
      </c>
      <c r="BH2209" s="134">
        <f t="shared" si="1087"/>
        <v>876282</v>
      </c>
      <c r="BI2209" s="134">
        <f t="shared" si="1087"/>
        <v>931804</v>
      </c>
      <c r="BJ2209" s="134">
        <f t="shared" si="1087"/>
        <v>844900</v>
      </c>
      <c r="BK2209" s="134">
        <f t="shared" si="1087"/>
        <v>738684</v>
      </c>
      <c r="BL2209" s="134">
        <f t="shared" si="1087"/>
        <v>639710</v>
      </c>
      <c r="BM2209" s="134">
        <f t="shared" si="1087"/>
        <v>615570</v>
      </c>
      <c r="BN2209" s="134">
        <f t="shared" si="1087"/>
        <v>589016</v>
      </c>
      <c r="BO2209" s="134">
        <f t="shared" si="1087"/>
        <v>750754</v>
      </c>
      <c r="BP2209" s="134">
        <f t="shared" si="1087"/>
        <v>743512</v>
      </c>
      <c r="BQ2209" s="134">
        <f t="shared" si="1087"/>
        <v>724200</v>
      </c>
      <c r="BR2209" s="134">
        <f t="shared" si="1087"/>
        <v>743512</v>
      </c>
      <c r="BS2209" s="134">
        <f t="shared" si="1087"/>
        <v>709716</v>
      </c>
      <c r="BT2209" s="134">
        <f t="shared" si="1087"/>
        <v>782136</v>
      </c>
      <c r="BU2209" s="134">
        <f t="shared" si="1087"/>
        <v>521424</v>
      </c>
      <c r="BV2209" s="134">
        <f t="shared" si="1087"/>
        <v>608328</v>
      </c>
      <c r="BW2209" s="134">
        <f t="shared" si="1087"/>
        <v>685576</v>
      </c>
      <c r="BX2209" s="134">
        <f t="shared" si="1087"/>
        <v>550392</v>
      </c>
      <c r="BY2209" s="134">
        <f t="shared" si="1087"/>
        <v>646952</v>
      </c>
      <c r="BZ2209" s="134">
        <f t="shared" si="1086"/>
        <v>630054</v>
      </c>
      <c r="CA2209" s="92">
        <f t="shared" si="1086"/>
        <v>55161535</v>
      </c>
      <c r="CB2209" s="300">
        <f t="shared" si="1080"/>
        <v>716383.57142857148</v>
      </c>
    </row>
    <row r="2210" spans="1:80" x14ac:dyDescent="0.25">
      <c r="A2210" s="198" t="s">
        <v>32</v>
      </c>
      <c r="B2210" s="199">
        <f t="shared" ref="B2210:G2210" si="1088">SUM(B2204:B2209)</f>
        <v>11678362.068965521</v>
      </c>
      <c r="C2210" s="199">
        <f t="shared" si="1088"/>
        <v>18858965.517241381</v>
      </c>
      <c r="D2210" s="199">
        <f t="shared" si="1088"/>
        <v>22777500.000000004</v>
      </c>
      <c r="E2210" s="199">
        <f t="shared" si="1088"/>
        <v>27521120.689655177</v>
      </c>
      <c r="F2210" s="199">
        <f t="shared" si="1088"/>
        <v>25977931.034482758</v>
      </c>
      <c r="G2210" s="199">
        <f t="shared" si="1088"/>
        <v>28137672.413793106</v>
      </c>
      <c r="H2210" s="199">
        <f t="shared" ref="H2210:M2210" si="1089">SUM(H2204:H2209)</f>
        <v>25747931.034482762</v>
      </c>
      <c r="I2210" s="199">
        <f t="shared" si="1089"/>
        <v>29301982.758620694</v>
      </c>
      <c r="J2210" s="199">
        <f t="shared" si="1089"/>
        <v>30422068.965517242</v>
      </c>
      <c r="K2210" s="199">
        <f t="shared" si="1089"/>
        <v>28741206.896551725</v>
      </c>
      <c r="L2210" s="199">
        <f t="shared" si="1089"/>
        <v>26265862.068965521</v>
      </c>
      <c r="M2210" s="199">
        <f t="shared" si="1089"/>
        <v>26094482.758620691</v>
      </c>
      <c r="N2210" s="199">
        <f t="shared" ref="N2210:S2210" si="1090">SUM(N2204:N2209)</f>
        <v>29459310.344827589</v>
      </c>
      <c r="O2210" s="199">
        <f t="shared" si="1090"/>
        <v>34794137.93103449</v>
      </c>
      <c r="P2210" s="199">
        <f t="shared" si="1090"/>
        <v>30163879.31034483</v>
      </c>
      <c r="Q2210" s="199">
        <f t="shared" si="1090"/>
        <v>30594827.586206898</v>
      </c>
      <c r="R2210" s="341">
        <f t="shared" si="1090"/>
        <v>28628103.448275864</v>
      </c>
      <c r="S2210" s="341">
        <f t="shared" si="1090"/>
        <v>27784655.172413796</v>
      </c>
      <c r="T2210" s="341">
        <f t="shared" ref="T2210:BZ2210" si="1091">SUM(T2204:T2209)</f>
        <v>29006724.137931038</v>
      </c>
      <c r="U2210" s="341">
        <f t="shared" si="1091"/>
        <v>30243534.482758626</v>
      </c>
      <c r="V2210" s="341">
        <f t="shared" si="1091"/>
        <v>30634137.931034483</v>
      </c>
      <c r="W2210" s="341">
        <f t="shared" si="1091"/>
        <v>31003879.31034483</v>
      </c>
      <c r="X2210" s="341">
        <f t="shared" si="1091"/>
        <v>30594655.172413796</v>
      </c>
      <c r="Y2210" s="341">
        <f t="shared" si="1091"/>
        <v>36184224.137931034</v>
      </c>
      <c r="Z2210" s="341">
        <f t="shared" si="1091"/>
        <v>32282586.206896555</v>
      </c>
      <c r="AA2210" s="341">
        <f t="shared" si="1091"/>
        <v>31326982.758620691</v>
      </c>
      <c r="AB2210" s="341">
        <f t="shared" si="1091"/>
        <v>33856810.344827592</v>
      </c>
      <c r="AC2210" s="341">
        <f t="shared" si="1091"/>
        <v>37570344.827586211</v>
      </c>
      <c r="AD2210" s="341">
        <f t="shared" si="1091"/>
        <v>35025603.448275864</v>
      </c>
      <c r="AE2210" s="341">
        <f t="shared" si="1091"/>
        <v>34844568.965517245</v>
      </c>
      <c r="AF2210" s="341">
        <f t="shared" si="1091"/>
        <v>34727500</v>
      </c>
      <c r="AG2210" s="341">
        <f t="shared" si="1091"/>
        <v>34632586.206896558</v>
      </c>
      <c r="AH2210" s="341">
        <f t="shared" si="1091"/>
        <v>35761810.344827592</v>
      </c>
      <c r="AI2210" s="341">
        <f t="shared" si="1091"/>
        <v>34801982.758620694</v>
      </c>
      <c r="AJ2210" s="341">
        <f t="shared" si="1091"/>
        <v>35671379.31034483</v>
      </c>
      <c r="AK2210" s="341">
        <f t="shared" si="1091"/>
        <v>37046293.103448279</v>
      </c>
      <c r="AL2210" s="341">
        <f t="shared" si="1091"/>
        <v>30695775.862068966</v>
      </c>
      <c r="AM2210" s="341">
        <f t="shared" si="1091"/>
        <v>36636465.517241381</v>
      </c>
      <c r="AN2210" s="341">
        <f t="shared" si="1091"/>
        <v>35665172.413793102</v>
      </c>
      <c r="AO2210" s="341">
        <f t="shared" si="1091"/>
        <v>31742672.413793106</v>
      </c>
      <c r="AP2210" s="341">
        <f t="shared" si="1091"/>
        <v>33855172.413793102</v>
      </c>
      <c r="AQ2210" s="341">
        <f t="shared" si="1091"/>
        <v>33032500.000000004</v>
      </c>
      <c r="AR2210" s="341">
        <f t="shared" si="1091"/>
        <v>30512844.827586211</v>
      </c>
      <c r="AS2210" s="341">
        <f t="shared" si="1091"/>
        <v>27560862.068965521</v>
      </c>
      <c r="AT2210" s="341">
        <f t="shared" si="1091"/>
        <v>28984741.379310347</v>
      </c>
      <c r="AU2210" s="341">
        <f t="shared" si="1091"/>
        <v>26420086.206896555</v>
      </c>
      <c r="AV2210" s="341">
        <f t="shared" si="1091"/>
        <v>28040517.241379313</v>
      </c>
      <c r="AW2210" s="341">
        <f t="shared" si="1091"/>
        <v>23949051.724137936</v>
      </c>
      <c r="AX2210" s="341">
        <f t="shared" si="1091"/>
        <v>27429827.586206902</v>
      </c>
      <c r="AY2210" s="341">
        <f t="shared" ref="AY2210:BY2210" si="1092">SUM(AY2204:AY2209)</f>
        <v>27978534.48275863</v>
      </c>
      <c r="AZ2210" s="341">
        <f t="shared" si="1092"/>
        <v>27711120.689655174</v>
      </c>
      <c r="BA2210" s="341">
        <f t="shared" si="1092"/>
        <v>27458362.068965517</v>
      </c>
      <c r="BB2210" s="341">
        <f t="shared" si="1092"/>
        <v>27786465.517241381</v>
      </c>
      <c r="BC2210" s="341">
        <f t="shared" si="1092"/>
        <v>27325948.275862072</v>
      </c>
      <c r="BD2210" s="341">
        <f t="shared" si="1092"/>
        <v>28317672.413793102</v>
      </c>
      <c r="BE2210" s="341">
        <f t="shared" si="1092"/>
        <v>26485431.034482762</v>
      </c>
      <c r="BF2210" s="341">
        <f t="shared" si="1092"/>
        <v>29890344.827586208</v>
      </c>
      <c r="BG2210" s="341">
        <f t="shared" si="1092"/>
        <v>30454224.137931038</v>
      </c>
      <c r="BH2210" s="341">
        <f t="shared" si="1092"/>
        <v>27423189.655172415</v>
      </c>
      <c r="BI2210" s="341">
        <f t="shared" si="1092"/>
        <v>29830344.827586208</v>
      </c>
      <c r="BJ2210" s="341">
        <f t="shared" si="1092"/>
        <v>32648275.86206897</v>
      </c>
      <c r="BK2210" s="341">
        <f t="shared" si="1092"/>
        <v>28255775.862068966</v>
      </c>
      <c r="BL2210" s="341">
        <f t="shared" si="1092"/>
        <v>27430517.241379313</v>
      </c>
      <c r="BM2210" s="341">
        <f t="shared" si="1092"/>
        <v>27124051.724137932</v>
      </c>
      <c r="BN2210" s="341">
        <f t="shared" si="1092"/>
        <v>26727155.172413796</v>
      </c>
      <c r="BO2210" s="341">
        <f t="shared" si="1092"/>
        <v>29587586.206896555</v>
      </c>
      <c r="BP2210" s="341">
        <f t="shared" si="1092"/>
        <v>28969913.793103449</v>
      </c>
      <c r="BQ2210" s="341">
        <f t="shared" si="1092"/>
        <v>25542844.827586208</v>
      </c>
      <c r="BR2210" s="341">
        <f t="shared" si="1092"/>
        <v>26694568.965517245</v>
      </c>
      <c r="BS2210" s="341">
        <f t="shared" si="1092"/>
        <v>24415086.206896551</v>
      </c>
      <c r="BT2210" s="341">
        <f t="shared" si="1092"/>
        <v>26317500</v>
      </c>
      <c r="BU2210" s="341">
        <f t="shared" si="1092"/>
        <v>21899137.931034487</v>
      </c>
      <c r="BV2210" s="341">
        <f t="shared" si="1092"/>
        <v>24545862.068965517</v>
      </c>
      <c r="BW2210" s="341">
        <f t="shared" si="1092"/>
        <v>26263620.689655174</v>
      </c>
      <c r="BX2210" s="341">
        <f t="shared" si="1092"/>
        <v>21851724.137931034</v>
      </c>
      <c r="BY2210" s="341">
        <f t="shared" si="1092"/>
        <v>25657586.206896555</v>
      </c>
      <c r="BZ2210" s="341">
        <f t="shared" si="1091"/>
        <v>22692931.034482762</v>
      </c>
      <c r="CA2210" s="199">
        <f>CA2194</f>
        <v>2238546611.965517</v>
      </c>
      <c r="CB2210" s="342">
        <f t="shared" si="1080"/>
        <v>29072033.921630092</v>
      </c>
    </row>
    <row r="2211" spans="1:80" x14ac:dyDescent="0.25">
      <c r="A2211" s="204"/>
      <c r="B2211" s="343"/>
      <c r="C2211" s="343"/>
      <c r="D2211" s="343"/>
      <c r="E2211" s="343"/>
      <c r="F2211" s="343"/>
      <c r="G2211" s="343"/>
      <c r="H2211" s="343"/>
      <c r="I2211" s="343"/>
      <c r="J2211" s="343"/>
    </row>
    <row r="2212" spans="1:80" x14ac:dyDescent="0.25">
      <c r="A2212" s="204"/>
      <c r="B2212" s="343"/>
      <c r="C2212" s="343"/>
      <c r="D2212" s="343"/>
      <c r="E2212" s="343"/>
      <c r="F2212" s="343"/>
      <c r="G2212" s="343"/>
      <c r="H2212" s="343"/>
      <c r="I2212" s="343"/>
      <c r="J2212" s="343"/>
    </row>
  </sheetData>
  <sheetProtection selectLockedCells="1" selectUnlockedCells="1"/>
  <mergeCells count="81">
    <mergeCell ref="B2031:I2032"/>
    <mergeCell ref="B1975:I1976"/>
    <mergeCell ref="B1947:I1948"/>
    <mergeCell ref="B2171:H2171"/>
    <mergeCell ref="B2199:H2199"/>
    <mergeCell ref="B2003:I2004"/>
    <mergeCell ref="B2059:I2060"/>
    <mergeCell ref="B2087:I2088"/>
    <mergeCell ref="B2115:I2116"/>
    <mergeCell ref="B2143:I2144"/>
    <mergeCell ref="B1415:I1416"/>
    <mergeCell ref="B1443:I1444"/>
    <mergeCell ref="B1471:I1472"/>
    <mergeCell ref="B1499:I1500"/>
    <mergeCell ref="B1527:I1528"/>
    <mergeCell ref="B1555:I1556"/>
    <mergeCell ref="B1583:I1584"/>
    <mergeCell ref="B1611:I1612"/>
    <mergeCell ref="B1639:I1640"/>
    <mergeCell ref="B1667:I1668"/>
    <mergeCell ref="B1695:I1696"/>
    <mergeCell ref="B1919:I1920"/>
    <mergeCell ref="B1863:I1864"/>
    <mergeCell ref="B1751:I1752"/>
    <mergeCell ref="B1079:I1080"/>
    <mergeCell ref="B1107:I1108"/>
    <mergeCell ref="B1135:I1136"/>
    <mergeCell ref="B1835:I1836"/>
    <mergeCell ref="B1807:I1808"/>
    <mergeCell ref="B1779:I1780"/>
    <mergeCell ref="B1163:I1164"/>
    <mergeCell ref="B1191:I1192"/>
    <mergeCell ref="B1723:I1724"/>
    <mergeCell ref="B1219:I1220"/>
    <mergeCell ref="B1247:I1248"/>
    <mergeCell ref="B1275:I1276"/>
    <mergeCell ref="B1331:I1332"/>
    <mergeCell ref="B911:I912"/>
    <mergeCell ref="B1359:I1360"/>
    <mergeCell ref="B1387:I1388"/>
    <mergeCell ref="B939:I940"/>
    <mergeCell ref="B967:I968"/>
    <mergeCell ref="B995:I996"/>
    <mergeCell ref="B1023:I1024"/>
    <mergeCell ref="B1051:I1052"/>
    <mergeCell ref="B799:I800"/>
    <mergeCell ref="B827:I828"/>
    <mergeCell ref="B855:I856"/>
    <mergeCell ref="B883:I884"/>
    <mergeCell ref="B1303:I1304"/>
    <mergeCell ref="B658:I659"/>
    <mergeCell ref="B687:I688"/>
    <mergeCell ref="B715:I716"/>
    <mergeCell ref="B743:I744"/>
    <mergeCell ref="B771:I772"/>
    <mergeCell ref="B1:J1"/>
    <mergeCell ref="B3:I3"/>
    <mergeCell ref="B29:I29"/>
    <mergeCell ref="B30:I30"/>
    <mergeCell ref="B58:I58"/>
    <mergeCell ref="B86:I86"/>
    <mergeCell ref="B114:I114"/>
    <mergeCell ref="B142:I143"/>
    <mergeCell ref="B171:I172"/>
    <mergeCell ref="B199:I200"/>
    <mergeCell ref="B1891:I1892"/>
    <mergeCell ref="B227:I228"/>
    <mergeCell ref="B257:I258"/>
    <mergeCell ref="B286:I287"/>
    <mergeCell ref="B315:I316"/>
    <mergeCell ref="B343:I344"/>
    <mergeCell ref="B371:I372"/>
    <mergeCell ref="B400:I401"/>
    <mergeCell ref="B429:I430"/>
    <mergeCell ref="B458:I459"/>
    <mergeCell ref="B487:I488"/>
    <mergeCell ref="B516:I517"/>
    <mergeCell ref="B544:I545"/>
    <mergeCell ref="B572:I573"/>
    <mergeCell ref="B600:I601"/>
    <mergeCell ref="B629:I630"/>
  </mergeCells>
  <pageMargins left="0.98402777777777772" right="0.11805555555555555" top="0.74791666666666667" bottom="0.74791666666666667" header="0.51180555555555551" footer="0.51180555555555551"/>
  <pageSetup scale="60" firstPageNumber="0"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CG2307"/>
  <sheetViews>
    <sheetView topLeftCell="A2238" zoomScale="70" zoomScaleNormal="70" zoomScalePageLayoutView="70" workbookViewId="0">
      <selection activeCell="I2263" sqref="I2263"/>
    </sheetView>
  </sheetViews>
  <sheetFormatPr baseColWidth="10" defaultRowHeight="15" x14ac:dyDescent="0.25"/>
  <cols>
    <col min="1" max="1" width="35.140625" customWidth="1"/>
    <col min="2" max="2" width="14.7109375" customWidth="1"/>
    <col min="3" max="3" width="16" customWidth="1"/>
    <col min="4" max="4" width="18.28515625" customWidth="1"/>
    <col min="5" max="5" width="15.28515625" customWidth="1"/>
    <col min="6" max="6" width="16.42578125" customWidth="1"/>
    <col min="7" max="7" width="16.7109375" customWidth="1"/>
    <col min="8" max="8" width="18.42578125" customWidth="1"/>
    <col min="9" max="9" width="16" customWidth="1"/>
    <col min="10" max="10" width="20" customWidth="1"/>
    <col min="11" max="83" width="18.42578125" customWidth="1"/>
    <col min="84" max="84" width="19.140625" customWidth="1"/>
    <col min="85" max="85" width="21.42578125" bestFit="1" customWidth="1"/>
  </cols>
  <sheetData>
    <row r="1" spans="1:12" ht="26.25" x14ac:dyDescent="0.4">
      <c r="B1" s="1003" t="s">
        <v>410</v>
      </c>
      <c r="C1" s="1003"/>
      <c r="D1" s="1003"/>
      <c r="E1" s="1003"/>
      <c r="F1" s="1003"/>
      <c r="G1" s="1003"/>
      <c r="H1" s="1003"/>
      <c r="I1" s="1003"/>
      <c r="J1" s="1003"/>
    </row>
    <row r="3" spans="1:12" ht="26.25" x14ac:dyDescent="0.25">
      <c r="B3" s="1002" t="s">
        <v>353</v>
      </c>
      <c r="C3" s="1002"/>
      <c r="D3" s="1002"/>
      <c r="E3" s="1002"/>
      <c r="F3" s="1002"/>
      <c r="G3" s="1002"/>
      <c r="H3" s="1002"/>
      <c r="I3" s="1002"/>
    </row>
    <row r="4" spans="1:12" ht="15.75" x14ac:dyDescent="0.25">
      <c r="A4" s="72" t="s">
        <v>2</v>
      </c>
      <c r="B4" s="51" t="s">
        <v>61</v>
      </c>
      <c r="C4" s="51" t="s">
        <v>62</v>
      </c>
      <c r="D4" s="50" t="s">
        <v>63</v>
      </c>
      <c r="E4" s="51" t="s">
        <v>64</v>
      </c>
      <c r="F4" s="51" t="s">
        <v>65</v>
      </c>
      <c r="G4" s="51" t="s">
        <v>66</v>
      </c>
      <c r="H4" s="50" t="s">
        <v>67</v>
      </c>
      <c r="I4" s="51" t="s">
        <v>10</v>
      </c>
      <c r="J4" s="51" t="s">
        <v>68</v>
      </c>
      <c r="L4" s="89"/>
    </row>
    <row r="5" spans="1:12" x14ac:dyDescent="0.25">
      <c r="A5" s="74" t="s">
        <v>11</v>
      </c>
      <c r="B5" s="75"/>
      <c r="C5" s="6">
        <v>54</v>
      </c>
      <c r="D5" s="6">
        <v>46</v>
      </c>
      <c r="E5" s="7">
        <v>62</v>
      </c>
      <c r="F5" s="290">
        <v>124</v>
      </c>
      <c r="G5" s="290">
        <v>183</v>
      </c>
      <c r="H5" s="290">
        <v>200</v>
      </c>
      <c r="I5" s="76">
        <f>SUM(B5:H5)</f>
        <v>669</v>
      </c>
      <c r="J5" s="123">
        <f>CEDRITOS!$I5/7</f>
        <v>95.571428571428569</v>
      </c>
    </row>
    <row r="6" spans="1:12" x14ac:dyDescent="0.25">
      <c r="A6" s="10" t="s">
        <v>12</v>
      </c>
      <c r="B6" s="78"/>
      <c r="C6" s="78">
        <v>14</v>
      </c>
      <c r="D6" s="78">
        <v>9</v>
      </c>
      <c r="E6" s="78">
        <v>19</v>
      </c>
      <c r="F6" s="78">
        <v>34</v>
      </c>
      <c r="G6" s="78">
        <v>45</v>
      </c>
      <c r="H6" s="78">
        <v>72</v>
      </c>
      <c r="I6" s="78">
        <f t="shared" ref="I6:I11" si="0">B6+C6+D6+E6+F6+G6+H6</f>
        <v>193</v>
      </c>
      <c r="J6" s="344">
        <f>CEDRITOS!$I6/7</f>
        <v>27.571428571428573</v>
      </c>
    </row>
    <row r="7" spans="1:12" x14ac:dyDescent="0.25">
      <c r="A7" s="10" t="s">
        <v>13</v>
      </c>
      <c r="B7" s="78"/>
      <c r="C7" s="78">
        <v>32</v>
      </c>
      <c r="D7" s="78">
        <v>23</v>
      </c>
      <c r="E7" s="78">
        <v>15</v>
      </c>
      <c r="F7" s="78">
        <v>28</v>
      </c>
      <c r="G7" s="78">
        <v>52</v>
      </c>
      <c r="H7" s="78">
        <v>47</v>
      </c>
      <c r="I7" s="78">
        <f t="shared" si="0"/>
        <v>197</v>
      </c>
      <c r="J7" s="344">
        <f>CEDRITOS!$I7/7</f>
        <v>28.142857142857142</v>
      </c>
      <c r="L7" s="14"/>
    </row>
    <row r="8" spans="1:12" x14ac:dyDescent="0.25">
      <c r="A8" s="10" t="s">
        <v>14</v>
      </c>
      <c r="B8" s="78"/>
      <c r="C8" s="78">
        <v>20</v>
      </c>
      <c r="D8" s="78">
        <v>17</v>
      </c>
      <c r="E8" s="78">
        <v>30</v>
      </c>
      <c r="F8" s="78">
        <v>49</v>
      </c>
      <c r="G8" s="78">
        <v>80</v>
      </c>
      <c r="H8" s="78">
        <v>46</v>
      </c>
      <c r="I8" s="78">
        <f t="shared" si="0"/>
        <v>242</v>
      </c>
      <c r="J8" s="344">
        <f>CEDRITOS!$I8/7</f>
        <v>34.571428571428569</v>
      </c>
    </row>
    <row r="9" spans="1:12" x14ac:dyDescent="0.25">
      <c r="A9" s="10" t="s">
        <v>15</v>
      </c>
      <c r="B9" s="78"/>
      <c r="C9" s="78">
        <v>0</v>
      </c>
      <c r="D9" s="78">
        <v>0</v>
      </c>
      <c r="E9" s="78">
        <v>0</v>
      </c>
      <c r="F9" s="78">
        <v>0</v>
      </c>
      <c r="G9" s="78">
        <v>0</v>
      </c>
      <c r="H9" s="78">
        <v>0</v>
      </c>
      <c r="I9" s="78">
        <f t="shared" si="0"/>
        <v>0</v>
      </c>
      <c r="J9" s="344">
        <v>0</v>
      </c>
    </row>
    <row r="10" spans="1:12" x14ac:dyDescent="0.25">
      <c r="A10" s="10" t="s">
        <v>16</v>
      </c>
      <c r="B10" s="78"/>
      <c r="C10" s="78">
        <v>0</v>
      </c>
      <c r="D10" s="78">
        <v>0</v>
      </c>
      <c r="E10" s="78">
        <v>0</v>
      </c>
      <c r="F10" s="78">
        <v>0</v>
      </c>
      <c r="G10" s="78">
        <v>0</v>
      </c>
      <c r="H10" s="78">
        <v>0</v>
      </c>
      <c r="I10" s="78">
        <f t="shared" si="0"/>
        <v>0</v>
      </c>
      <c r="J10" s="344">
        <v>0</v>
      </c>
      <c r="L10" s="89"/>
    </row>
    <row r="11" spans="1:12" x14ac:dyDescent="0.25">
      <c r="A11" s="15" t="s">
        <v>17</v>
      </c>
      <c r="B11" s="103"/>
      <c r="C11" s="103">
        <f>SUM(C6:C10)</f>
        <v>66</v>
      </c>
      <c r="D11" s="103">
        <f>SUM(D6:D10)</f>
        <v>49</v>
      </c>
      <c r="E11" s="103">
        <f t="shared" ref="E11:J11" si="1">SUM(E6:E10)</f>
        <v>64</v>
      </c>
      <c r="F11" s="103">
        <f t="shared" si="1"/>
        <v>111</v>
      </c>
      <c r="G11" s="103">
        <f t="shared" si="1"/>
        <v>177</v>
      </c>
      <c r="H11" s="103">
        <f t="shared" si="1"/>
        <v>165</v>
      </c>
      <c r="I11" s="103">
        <f t="shared" si="0"/>
        <v>632</v>
      </c>
      <c r="J11" s="319">
        <f t="shared" si="1"/>
        <v>90.285714285714278</v>
      </c>
      <c r="L11" s="14">
        <f>CEDRITOS!$I11+I38+I66+C94+D94+E94</f>
        <v>2759</v>
      </c>
    </row>
    <row r="12" spans="1:12" x14ac:dyDescent="0.25">
      <c r="A12" s="10" t="s">
        <v>18</v>
      </c>
      <c r="B12" s="18"/>
      <c r="C12" s="18">
        <v>0.26</v>
      </c>
      <c r="D12" s="18">
        <v>0.21</v>
      </c>
      <c r="E12" s="18">
        <v>0.41</v>
      </c>
      <c r="F12" s="18">
        <v>0.38</v>
      </c>
      <c r="G12" s="18">
        <v>0.32</v>
      </c>
      <c r="H12" s="18">
        <v>0.45</v>
      </c>
      <c r="I12" s="18">
        <f>I19/I24</f>
        <v>0.36843927541949001</v>
      </c>
      <c r="J12" s="19">
        <f>J19/J24</f>
        <v>0.36843927541949006</v>
      </c>
    </row>
    <row r="13" spans="1:12" x14ac:dyDescent="0.25">
      <c r="A13" s="10" t="s">
        <v>19</v>
      </c>
      <c r="B13" s="18"/>
      <c r="C13" s="18">
        <v>0.56000000000000005</v>
      </c>
      <c r="D13" s="18">
        <v>0.43</v>
      </c>
      <c r="E13" s="18">
        <v>0.21</v>
      </c>
      <c r="F13" s="18">
        <v>0.26</v>
      </c>
      <c r="G13" s="18">
        <v>0.33</v>
      </c>
      <c r="H13" s="18">
        <v>0.27</v>
      </c>
      <c r="I13" s="18">
        <f>I20/I24</f>
        <v>0.30940089989823338</v>
      </c>
      <c r="J13" s="19">
        <f>J20/J24</f>
        <v>0.30940089989823338</v>
      </c>
    </row>
    <row r="14" spans="1:12" x14ac:dyDescent="0.25">
      <c r="A14" s="10" t="s">
        <v>20</v>
      </c>
      <c r="B14" s="18"/>
      <c r="C14" s="18">
        <v>0.18</v>
      </c>
      <c r="D14" s="18">
        <v>0.36</v>
      </c>
      <c r="E14" s="18">
        <v>0.38</v>
      </c>
      <c r="F14" s="18">
        <v>0.36</v>
      </c>
      <c r="G14" s="18">
        <v>0.35</v>
      </c>
      <c r="H14" s="18">
        <v>0.28000000000000003</v>
      </c>
      <c r="I14" s="18">
        <f>I21/I24</f>
        <v>0.32215982468227666</v>
      </c>
      <c r="J14" s="19">
        <f>J21/J24</f>
        <v>0.32215982468227666</v>
      </c>
    </row>
    <row r="15" spans="1:12" x14ac:dyDescent="0.25">
      <c r="A15" s="10" t="s">
        <v>21</v>
      </c>
      <c r="B15" s="18"/>
      <c r="C15" s="18">
        <v>0</v>
      </c>
      <c r="D15" s="18">
        <v>0</v>
      </c>
      <c r="E15" s="18">
        <v>0</v>
      </c>
      <c r="F15" s="18">
        <v>0</v>
      </c>
      <c r="G15" s="18">
        <v>0</v>
      </c>
      <c r="H15" s="18">
        <v>0</v>
      </c>
      <c r="I15" s="18">
        <v>0</v>
      </c>
      <c r="J15" s="19">
        <v>0</v>
      </c>
    </row>
    <row r="16" spans="1:12" x14ac:dyDescent="0.25">
      <c r="A16" s="10" t="s">
        <v>22</v>
      </c>
      <c r="B16" s="18"/>
      <c r="C16" s="18">
        <v>0</v>
      </c>
      <c r="D16" s="18">
        <v>0</v>
      </c>
      <c r="E16" s="18">
        <v>0</v>
      </c>
      <c r="F16" s="18">
        <v>0</v>
      </c>
      <c r="G16" s="18">
        <v>0</v>
      </c>
      <c r="H16" s="18">
        <v>0</v>
      </c>
      <c r="I16" s="18">
        <v>0</v>
      </c>
      <c r="J16" s="19">
        <v>0</v>
      </c>
    </row>
    <row r="17" spans="1:10" x14ac:dyDescent="0.25">
      <c r="A17" s="24" t="s">
        <v>23</v>
      </c>
      <c r="B17" s="107" t="e">
        <f>B28/B11</f>
        <v>#DIV/0!</v>
      </c>
      <c r="C17" s="107">
        <f t="shared" ref="C17:I17" si="2">C28/C11</f>
        <v>20637.878787878792</v>
      </c>
      <c r="D17" s="107">
        <f t="shared" si="2"/>
        <v>23853.061224489797</v>
      </c>
      <c r="E17" s="107">
        <f t="shared" si="2"/>
        <v>27412.5</v>
      </c>
      <c r="F17" s="107">
        <f t="shared" si="2"/>
        <v>34430.630630630636</v>
      </c>
      <c r="G17" s="107">
        <f t="shared" si="2"/>
        <v>29728.813559322032</v>
      </c>
      <c r="H17" s="107">
        <f t="shared" si="2"/>
        <v>35333.939393939392</v>
      </c>
      <c r="I17" s="107">
        <f t="shared" si="2"/>
        <v>30378.481012658234</v>
      </c>
      <c r="J17" s="345">
        <f>J28/J11</f>
        <v>30378.481012658231</v>
      </c>
    </row>
    <row r="18" spans="1:10" x14ac:dyDescent="0.25">
      <c r="A18" s="24" t="s">
        <v>24</v>
      </c>
      <c r="B18" s="107" t="e">
        <f>B28/B5</f>
        <v>#DIV/0!</v>
      </c>
      <c r="C18" s="107">
        <f t="shared" ref="C18:I18" si="3">C28/C5</f>
        <v>25224.074074074077</v>
      </c>
      <c r="D18" s="107">
        <f t="shared" si="3"/>
        <v>25408.695652173912</v>
      </c>
      <c r="E18" s="107">
        <f t="shared" si="3"/>
        <v>28296.774193548386</v>
      </c>
      <c r="F18" s="107">
        <f t="shared" si="3"/>
        <v>30820.967741935488</v>
      </c>
      <c r="G18" s="107">
        <f t="shared" si="3"/>
        <v>28754.098360655738</v>
      </c>
      <c r="H18" s="107">
        <f t="shared" si="3"/>
        <v>29150.5</v>
      </c>
      <c r="I18" s="107">
        <f t="shared" si="3"/>
        <v>28698.355754858003</v>
      </c>
      <c r="J18" s="345">
        <f>J28/J5</f>
        <v>28698.355754857999</v>
      </c>
    </row>
    <row r="19" spans="1:10" x14ac:dyDescent="0.25">
      <c r="A19" s="10" t="s">
        <v>25</v>
      </c>
      <c r="B19" s="92"/>
      <c r="C19" s="92">
        <f t="shared" ref="C19:H19" si="4">C24*C12</f>
        <v>297454.07586206903</v>
      </c>
      <c r="D19" s="92">
        <f t="shared" si="4"/>
        <v>207520.15344827587</v>
      </c>
      <c r="E19" s="92">
        <f t="shared" si="4"/>
        <v>603302.20517241384</v>
      </c>
      <c r="F19" s="92">
        <f t="shared" si="4"/>
        <v>1224126.3655172414</v>
      </c>
      <c r="G19" s="92">
        <f t="shared" si="4"/>
        <v>1420554.2068965519</v>
      </c>
      <c r="H19" s="92">
        <f t="shared" si="4"/>
        <v>2191854.7241379311</v>
      </c>
      <c r="I19" s="92">
        <f>CEDRITOS!$B19+CEDRITOS!$C19+CEDRITOS!$D19+CEDRITOS!$E19+CEDRITOS!$F19+CEDRITOS!$G19+CEDRITOS!$H19</f>
        <v>5944811.7310344838</v>
      </c>
      <c r="J19" s="133">
        <f>CEDRITOS!$I19/7</f>
        <v>849258.81871921197</v>
      </c>
    </row>
    <row r="20" spans="1:10" x14ac:dyDescent="0.25">
      <c r="A20" s="10" t="s">
        <v>26</v>
      </c>
      <c r="B20" s="92"/>
      <c r="C20" s="92">
        <f t="shared" ref="C20:H20" si="5">C24*C13</f>
        <v>640670.31724137953</v>
      </c>
      <c r="D20" s="92">
        <f t="shared" si="5"/>
        <v>424922.21896551724</v>
      </c>
      <c r="E20" s="92">
        <f t="shared" si="5"/>
        <v>309008.44655172416</v>
      </c>
      <c r="F20" s="92">
        <f t="shared" si="5"/>
        <v>837560.14482758637</v>
      </c>
      <c r="G20" s="92">
        <f t="shared" si="5"/>
        <v>1464946.5258620691</v>
      </c>
      <c r="H20" s="92">
        <f t="shared" si="5"/>
        <v>1315112.8344827588</v>
      </c>
      <c r="I20" s="92">
        <f>CEDRITOS!$B20+CEDRITOS!$C20+CEDRITOS!$D20+CEDRITOS!$E20+CEDRITOS!$F20+CEDRITOS!$G20+CEDRITOS!$H20</f>
        <v>4992220.4879310355</v>
      </c>
      <c r="J20" s="133">
        <f>CEDRITOS!$I20/7</f>
        <v>713174.35541871935</v>
      </c>
    </row>
    <row r="21" spans="1:10" x14ac:dyDescent="0.25">
      <c r="A21" s="10" t="s">
        <v>27</v>
      </c>
      <c r="B21" s="92"/>
      <c r="C21" s="92">
        <f t="shared" ref="C21:H21" si="6">C24*C14</f>
        <v>205929.74482758623</v>
      </c>
      <c r="D21" s="92">
        <f t="shared" si="6"/>
        <v>355748.8344827586</v>
      </c>
      <c r="E21" s="92">
        <f t="shared" si="6"/>
        <v>559158.1413793104</v>
      </c>
      <c r="F21" s="92">
        <f t="shared" si="6"/>
        <v>1159698.6620689656</v>
      </c>
      <c r="G21" s="92">
        <f t="shared" si="6"/>
        <v>1553731.1637931035</v>
      </c>
      <c r="H21" s="92">
        <f t="shared" si="6"/>
        <v>1363820.7172413794</v>
      </c>
      <c r="I21" s="92">
        <f>CEDRITOS!$B21+CEDRITOS!$C21+CEDRITOS!$D21+CEDRITOS!$E21+CEDRITOS!$F21+CEDRITOS!$G21+CEDRITOS!$H21</f>
        <v>5198087.2637931043</v>
      </c>
      <c r="J21" s="133">
        <f>CEDRITOS!$I21/7</f>
        <v>742583.89482758637</v>
      </c>
    </row>
    <row r="22" spans="1:10" x14ac:dyDescent="0.25">
      <c r="A22" s="10" t="s">
        <v>28</v>
      </c>
      <c r="B22" s="92"/>
      <c r="C22" s="92">
        <f t="shared" ref="C22:I22" si="7">C24*C15</f>
        <v>0</v>
      </c>
      <c r="D22" s="92">
        <f t="shared" si="7"/>
        <v>0</v>
      </c>
      <c r="E22" s="92">
        <f t="shared" si="7"/>
        <v>0</v>
      </c>
      <c r="F22" s="92">
        <f t="shared" si="7"/>
        <v>0</v>
      </c>
      <c r="G22" s="92">
        <f t="shared" si="7"/>
        <v>0</v>
      </c>
      <c r="H22" s="92">
        <f t="shared" si="7"/>
        <v>0</v>
      </c>
      <c r="I22" s="92">
        <f t="shared" si="7"/>
        <v>0</v>
      </c>
      <c r="J22" s="133">
        <v>0</v>
      </c>
    </row>
    <row r="23" spans="1:10" x14ac:dyDescent="0.25">
      <c r="A23" s="10" t="s">
        <v>29</v>
      </c>
      <c r="B23" s="94"/>
      <c r="C23" s="94">
        <f t="shared" ref="C23:I23" si="8">C16*C24</f>
        <v>0</v>
      </c>
      <c r="D23" s="94">
        <f t="shared" si="8"/>
        <v>0</v>
      </c>
      <c r="E23" s="94">
        <f t="shared" si="8"/>
        <v>0</v>
      </c>
      <c r="F23" s="94">
        <f t="shared" si="8"/>
        <v>0</v>
      </c>
      <c r="G23" s="94">
        <f t="shared" si="8"/>
        <v>0</v>
      </c>
      <c r="H23" s="94">
        <f t="shared" si="8"/>
        <v>0</v>
      </c>
      <c r="I23" s="94">
        <f t="shared" si="8"/>
        <v>0</v>
      </c>
      <c r="J23" s="139">
        <v>0</v>
      </c>
    </row>
    <row r="24" spans="1:10" x14ac:dyDescent="0.25">
      <c r="A24" s="33" t="s">
        <v>30</v>
      </c>
      <c r="B24" s="91"/>
      <c r="C24" s="91">
        <f>(1362100/1.16)-C25</f>
        <v>1144054.1379310347</v>
      </c>
      <c r="D24" s="91">
        <f>(1168800/1.16)-D25</f>
        <v>988191.20689655177</v>
      </c>
      <c r="E24" s="91">
        <f>(1754400/1.16)-E25</f>
        <v>1471468.7931034483</v>
      </c>
      <c r="F24" s="91">
        <f>(3821800/1.16)-F25</f>
        <v>3221385.1724137934</v>
      </c>
      <c r="G24" s="91">
        <f>(5262000/1.16)-G25</f>
        <v>4439231.8965517245</v>
      </c>
      <c r="H24" s="91">
        <f>(5830100/1.16)-H25</f>
        <v>4870788.2758620689</v>
      </c>
      <c r="I24" s="91">
        <f>CEDRITOS!$B24+CEDRITOS!$C24+CEDRITOS!$D24+CEDRITOS!$E24+CEDRITOS!$F24+CEDRITOS!$G24+CEDRITOS!$H24</f>
        <v>16135119.482758623</v>
      </c>
      <c r="J24" s="136">
        <f>CEDRITOS!$I24/7</f>
        <v>2305017.0689655175</v>
      </c>
    </row>
    <row r="25" spans="1:10" x14ac:dyDescent="0.25">
      <c r="A25" s="10" t="s">
        <v>31</v>
      </c>
      <c r="B25" s="94"/>
      <c r="C25" s="112">
        <f t="shared" ref="C25:J25" si="9">2155*C6</f>
        <v>30170</v>
      </c>
      <c r="D25" s="113">
        <f t="shared" si="9"/>
        <v>19395</v>
      </c>
      <c r="E25" s="112">
        <f t="shared" si="9"/>
        <v>40945</v>
      </c>
      <c r="F25" s="113">
        <f t="shared" si="9"/>
        <v>73270</v>
      </c>
      <c r="G25" s="113">
        <f t="shared" si="9"/>
        <v>96975</v>
      </c>
      <c r="H25" s="113">
        <f t="shared" si="9"/>
        <v>155160</v>
      </c>
      <c r="I25" s="113">
        <f t="shared" si="9"/>
        <v>415915</v>
      </c>
      <c r="J25" s="346">
        <f t="shared" si="9"/>
        <v>59416.428571428572</v>
      </c>
    </row>
    <row r="26" spans="1:10" x14ac:dyDescent="0.25">
      <c r="A26" s="37" t="s">
        <v>32</v>
      </c>
      <c r="B26" s="115">
        <f t="shared" ref="B26:J26" si="10">B24+B25</f>
        <v>0</v>
      </c>
      <c r="C26" s="115">
        <f t="shared" si="10"/>
        <v>1174224.1379310347</v>
      </c>
      <c r="D26" s="115">
        <f t="shared" si="10"/>
        <v>1007586.2068965518</v>
      </c>
      <c r="E26" s="115">
        <f t="shared" si="10"/>
        <v>1512413.7931034483</v>
      </c>
      <c r="F26" s="115">
        <f t="shared" si="10"/>
        <v>3294655.1724137934</v>
      </c>
      <c r="G26" s="115">
        <f t="shared" si="10"/>
        <v>4536206.8965517245</v>
      </c>
      <c r="H26" s="115">
        <f t="shared" si="10"/>
        <v>5025948.2758620689</v>
      </c>
      <c r="I26" s="115">
        <f t="shared" si="10"/>
        <v>16551034.482758623</v>
      </c>
      <c r="J26" s="347">
        <f t="shared" si="10"/>
        <v>2364433.4975369461</v>
      </c>
    </row>
    <row r="27" spans="1:10" x14ac:dyDescent="0.25">
      <c r="A27" s="10" t="s">
        <v>33</v>
      </c>
      <c r="B27" s="21">
        <f t="shared" ref="B27:J27" si="11">B26*16%</f>
        <v>0</v>
      </c>
      <c r="C27" s="70">
        <f t="shared" si="11"/>
        <v>187875.86206896554</v>
      </c>
      <c r="D27" s="117">
        <f t="shared" si="11"/>
        <v>161213.79310344829</v>
      </c>
      <c r="E27" s="70">
        <f t="shared" si="11"/>
        <v>241986.20689655174</v>
      </c>
      <c r="F27" s="117">
        <f t="shared" si="11"/>
        <v>527144.82758620696</v>
      </c>
      <c r="G27" s="117">
        <f t="shared" si="11"/>
        <v>725793.10344827594</v>
      </c>
      <c r="H27" s="117">
        <f t="shared" si="11"/>
        <v>804151.72413793101</v>
      </c>
      <c r="I27" s="117">
        <f t="shared" si="11"/>
        <v>2648165.5172413797</v>
      </c>
      <c r="J27" s="348">
        <f t="shared" si="11"/>
        <v>378309.35960591136</v>
      </c>
    </row>
    <row r="28" spans="1:10" x14ac:dyDescent="0.25">
      <c r="A28" s="43" t="s">
        <v>34</v>
      </c>
      <c r="B28" s="46">
        <f t="shared" ref="B28:J28" si="12">B26+B27</f>
        <v>0</v>
      </c>
      <c r="C28" s="119">
        <f t="shared" si="12"/>
        <v>1362100.0000000002</v>
      </c>
      <c r="D28" s="119">
        <f t="shared" si="12"/>
        <v>1168800</v>
      </c>
      <c r="E28" s="119">
        <f t="shared" si="12"/>
        <v>1754400</v>
      </c>
      <c r="F28" s="119">
        <f t="shared" si="12"/>
        <v>3821800.0000000005</v>
      </c>
      <c r="G28" s="119">
        <f t="shared" si="12"/>
        <v>5262000</v>
      </c>
      <c r="H28" s="119">
        <f t="shared" si="12"/>
        <v>5830100</v>
      </c>
      <c r="I28" s="119">
        <f t="shared" si="12"/>
        <v>19199200.000000004</v>
      </c>
      <c r="J28" s="119">
        <f t="shared" si="12"/>
        <v>2742742.8571428573</v>
      </c>
    </row>
    <row r="29" spans="1:10" s="85" customFormat="1" ht="26.25" x14ac:dyDescent="0.25">
      <c r="B29" s="1005"/>
      <c r="C29" s="1005"/>
      <c r="D29" s="1005"/>
      <c r="E29" s="1005"/>
      <c r="F29" s="1005"/>
      <c r="G29" s="1005"/>
      <c r="H29" s="1005"/>
      <c r="I29" s="1005"/>
    </row>
    <row r="30" spans="1:10" s="85" customFormat="1" ht="26.25" x14ac:dyDescent="0.25">
      <c r="B30" s="1004" t="s">
        <v>354</v>
      </c>
      <c r="C30" s="1004"/>
      <c r="D30" s="1004"/>
      <c r="E30" s="1004"/>
      <c r="F30" s="1004"/>
      <c r="G30" s="1004"/>
      <c r="H30" s="1004"/>
      <c r="I30" s="1004"/>
    </row>
    <row r="31" spans="1:10" ht="15.75" x14ac:dyDescent="0.25">
      <c r="A31" s="72" t="s">
        <v>2</v>
      </c>
      <c r="B31" s="349" t="s">
        <v>70</v>
      </c>
      <c r="C31" s="51" t="s">
        <v>71</v>
      </c>
      <c r="D31" s="349" t="s">
        <v>72</v>
      </c>
      <c r="E31" s="51" t="s">
        <v>73</v>
      </c>
      <c r="F31" s="51" t="s">
        <v>74</v>
      </c>
      <c r="G31" s="349" t="s">
        <v>75</v>
      </c>
      <c r="H31" s="349" t="s">
        <v>76</v>
      </c>
      <c r="I31" s="51" t="s">
        <v>10</v>
      </c>
      <c r="J31" s="350" t="s">
        <v>77</v>
      </c>
    </row>
    <row r="32" spans="1:10" x14ac:dyDescent="0.25">
      <c r="A32" s="351" t="s">
        <v>11</v>
      </c>
      <c r="B32" s="352">
        <v>60</v>
      </c>
      <c r="C32" s="353">
        <v>64</v>
      </c>
      <c r="D32" s="352">
        <v>85</v>
      </c>
      <c r="E32" s="354">
        <v>81</v>
      </c>
      <c r="F32" s="355">
        <v>196</v>
      </c>
      <c r="G32" s="354">
        <v>234</v>
      </c>
      <c r="H32" s="355">
        <v>247</v>
      </c>
      <c r="I32" s="356">
        <f>SUM(B32:H32)</f>
        <v>967</v>
      </c>
      <c r="J32" s="357">
        <f>CEDRITOS!$I32/7</f>
        <v>138.14285714285714</v>
      </c>
    </row>
    <row r="33" spans="1:10" x14ac:dyDescent="0.25">
      <c r="A33" s="100" t="s">
        <v>12</v>
      </c>
      <c r="B33" s="11">
        <v>21</v>
      </c>
      <c r="C33" s="13">
        <v>17</v>
      </c>
      <c r="D33" s="11">
        <v>43</v>
      </c>
      <c r="E33" s="125">
        <v>36</v>
      </c>
      <c r="F33" s="125">
        <v>66</v>
      </c>
      <c r="G33" s="11">
        <v>73</v>
      </c>
      <c r="H33" s="11">
        <v>85</v>
      </c>
      <c r="I33" s="313">
        <f>B33+C33+D33+E33+F33+G33+H33</f>
        <v>341</v>
      </c>
      <c r="J33" s="358">
        <f>CEDRITOS!$I33/7</f>
        <v>48.714285714285715</v>
      </c>
    </row>
    <row r="34" spans="1:10" x14ac:dyDescent="0.25">
      <c r="A34" s="100" t="s">
        <v>13</v>
      </c>
      <c r="B34" s="11">
        <v>20</v>
      </c>
      <c r="C34" s="13">
        <v>16</v>
      </c>
      <c r="D34" s="11">
        <v>20</v>
      </c>
      <c r="E34" s="125">
        <v>24</v>
      </c>
      <c r="F34" s="125">
        <v>44</v>
      </c>
      <c r="G34" s="11">
        <v>62</v>
      </c>
      <c r="H34" s="11">
        <v>64</v>
      </c>
      <c r="I34" s="313">
        <f>B34+C34+D34+E34+F34+G34+H34</f>
        <v>250</v>
      </c>
      <c r="J34" s="358">
        <f>CEDRITOS!$I34/7</f>
        <v>35.714285714285715</v>
      </c>
    </row>
    <row r="35" spans="1:10" x14ac:dyDescent="0.25">
      <c r="A35" s="100" t="s">
        <v>14</v>
      </c>
      <c r="B35" s="11">
        <v>21</v>
      </c>
      <c r="C35" s="13">
        <v>35</v>
      </c>
      <c r="D35" s="11">
        <v>43</v>
      </c>
      <c r="E35" s="125">
        <v>35</v>
      </c>
      <c r="F35" s="125">
        <v>69</v>
      </c>
      <c r="G35" s="11">
        <v>73</v>
      </c>
      <c r="H35" s="11">
        <v>67</v>
      </c>
      <c r="I35" s="313">
        <f>B35+C35+D35+E35+F35+G35+H35</f>
        <v>343</v>
      </c>
      <c r="J35" s="358">
        <f>CEDRITOS!$I35/7</f>
        <v>49</v>
      </c>
    </row>
    <row r="36" spans="1:10" x14ac:dyDescent="0.25">
      <c r="A36" s="100" t="s">
        <v>15</v>
      </c>
      <c r="B36" s="11">
        <v>0</v>
      </c>
      <c r="C36" s="13">
        <v>0</v>
      </c>
      <c r="D36" s="11">
        <v>0</v>
      </c>
      <c r="E36" s="125">
        <v>0</v>
      </c>
      <c r="F36" s="125">
        <v>0</v>
      </c>
      <c r="G36" s="11">
        <v>0</v>
      </c>
      <c r="H36" s="11">
        <v>0</v>
      </c>
      <c r="I36" s="313">
        <f>B36+C36+D36+E36+F36+G36+H36</f>
        <v>0</v>
      </c>
      <c r="J36" s="358">
        <f>CEDRITOS!$I36/7</f>
        <v>0</v>
      </c>
    </row>
    <row r="37" spans="1:10" x14ac:dyDescent="0.25">
      <c r="A37" s="100" t="s">
        <v>16</v>
      </c>
      <c r="B37" s="11">
        <v>0</v>
      </c>
      <c r="C37" s="13">
        <v>0</v>
      </c>
      <c r="D37" s="11">
        <v>0</v>
      </c>
      <c r="E37" s="125">
        <v>0</v>
      </c>
      <c r="F37" s="125">
        <v>0</v>
      </c>
      <c r="G37" s="11">
        <v>0</v>
      </c>
      <c r="H37" s="11">
        <v>0</v>
      </c>
      <c r="I37" s="313">
        <f>B37+C37+D37+E37+F37+G37+H37</f>
        <v>0</v>
      </c>
      <c r="J37" s="358">
        <f>CEDRITOS!$I37/7</f>
        <v>0</v>
      </c>
    </row>
    <row r="38" spans="1:10" x14ac:dyDescent="0.25">
      <c r="A38" s="102" t="s">
        <v>17</v>
      </c>
      <c r="B38" s="79">
        <f>B33+B34+B35+B36+B37</f>
        <v>62</v>
      </c>
      <c r="C38" s="79">
        <f t="shared" ref="C38:I38" si="13">SUM(C33:C37)</f>
        <v>68</v>
      </c>
      <c r="D38" s="103">
        <f t="shared" si="13"/>
        <v>106</v>
      </c>
      <c r="E38" s="103">
        <f t="shared" si="13"/>
        <v>95</v>
      </c>
      <c r="F38" s="103">
        <f t="shared" si="13"/>
        <v>179</v>
      </c>
      <c r="G38" s="103">
        <f t="shared" si="13"/>
        <v>208</v>
      </c>
      <c r="H38" s="103">
        <f t="shared" si="13"/>
        <v>216</v>
      </c>
      <c r="I38" s="103">
        <f t="shared" si="13"/>
        <v>934</v>
      </c>
      <c r="J38" s="104">
        <f>CEDRITOS!$I38/7</f>
        <v>133.42857142857142</v>
      </c>
    </row>
    <row r="39" spans="1:10" x14ac:dyDescent="0.25">
      <c r="A39" s="100" t="s">
        <v>18</v>
      </c>
      <c r="B39" s="18">
        <v>0.32</v>
      </c>
      <c r="C39" s="19">
        <v>0.28000000000000003</v>
      </c>
      <c r="D39" s="18">
        <v>0.43</v>
      </c>
      <c r="E39" s="129">
        <v>0.35</v>
      </c>
      <c r="F39" s="129">
        <v>0.39</v>
      </c>
      <c r="G39" s="18">
        <v>0.38</v>
      </c>
      <c r="H39" s="18">
        <v>0.42</v>
      </c>
      <c r="I39" s="18">
        <f>I46/I51</f>
        <v>0.38464727672254412</v>
      </c>
      <c r="J39" s="105">
        <f>J46/J51</f>
        <v>0.38464727672254412</v>
      </c>
    </row>
    <row r="40" spans="1:10" x14ac:dyDescent="0.25">
      <c r="A40" s="100" t="s">
        <v>19</v>
      </c>
      <c r="B40" s="18">
        <v>0.43</v>
      </c>
      <c r="C40" s="19">
        <v>0.23</v>
      </c>
      <c r="D40" s="18">
        <v>0.25</v>
      </c>
      <c r="E40" s="129">
        <v>0.25</v>
      </c>
      <c r="F40" s="129">
        <v>0.27</v>
      </c>
      <c r="G40" s="18">
        <v>0.25</v>
      </c>
      <c r="H40" s="18">
        <v>0.31</v>
      </c>
      <c r="I40" s="18">
        <f>I47/I51</f>
        <v>0.27946142118089562</v>
      </c>
      <c r="J40" s="105">
        <f>J47/J51</f>
        <v>0.27946142118089556</v>
      </c>
    </row>
    <row r="41" spans="1:10" x14ac:dyDescent="0.25">
      <c r="A41" s="100" t="s">
        <v>20</v>
      </c>
      <c r="B41" s="18">
        <v>0.25</v>
      </c>
      <c r="C41" s="19">
        <v>0.49</v>
      </c>
      <c r="D41" s="18">
        <v>0.32</v>
      </c>
      <c r="E41" s="18">
        <v>0.4</v>
      </c>
      <c r="F41" s="18">
        <v>0.34</v>
      </c>
      <c r="G41" s="18">
        <v>0.37</v>
      </c>
      <c r="H41" s="18">
        <v>0.27</v>
      </c>
      <c r="I41" s="18">
        <f>I48/I51</f>
        <v>0.33589130209656026</v>
      </c>
      <c r="J41" s="105">
        <f>J48/J51</f>
        <v>0.33589130209656026</v>
      </c>
    </row>
    <row r="42" spans="1:10" x14ac:dyDescent="0.25">
      <c r="A42" s="100" t="s">
        <v>21</v>
      </c>
      <c r="B42" s="18">
        <v>0</v>
      </c>
      <c r="C42" s="19">
        <v>0</v>
      </c>
      <c r="D42" s="18">
        <v>0</v>
      </c>
      <c r="E42" s="18">
        <v>0</v>
      </c>
      <c r="F42" s="18">
        <v>0</v>
      </c>
      <c r="G42" s="18">
        <v>0</v>
      </c>
      <c r="H42" s="18">
        <v>0</v>
      </c>
      <c r="I42" s="18">
        <v>0</v>
      </c>
      <c r="J42" s="105">
        <v>0</v>
      </c>
    </row>
    <row r="43" spans="1:10" x14ac:dyDescent="0.25">
      <c r="A43" s="100" t="s">
        <v>22</v>
      </c>
      <c r="B43" s="18">
        <v>0</v>
      </c>
      <c r="C43" s="19">
        <v>0</v>
      </c>
      <c r="D43" s="18">
        <v>0</v>
      </c>
      <c r="E43" s="18">
        <v>0</v>
      </c>
      <c r="F43" s="18">
        <v>0</v>
      </c>
      <c r="G43" s="18">
        <v>0</v>
      </c>
      <c r="H43" s="18">
        <v>0</v>
      </c>
      <c r="I43" s="18">
        <v>0</v>
      </c>
      <c r="J43" s="105">
        <v>0</v>
      </c>
    </row>
    <row r="44" spans="1:10" x14ac:dyDescent="0.25">
      <c r="A44" s="106" t="s">
        <v>23</v>
      </c>
      <c r="B44" s="130">
        <f>B55/B38</f>
        <v>26422.580645161292</v>
      </c>
      <c r="C44" s="131">
        <f t="shared" ref="C44:I44" si="14">C55/C38</f>
        <v>23969.117647058825</v>
      </c>
      <c r="D44" s="130">
        <f>D55/D38</f>
        <v>20435.849056603773</v>
      </c>
      <c r="E44" s="132">
        <f>E55/E38</f>
        <v>22692.63157894737</v>
      </c>
      <c r="F44" s="132">
        <f t="shared" si="14"/>
        <v>32836.871508379889</v>
      </c>
      <c r="G44" s="130">
        <f t="shared" si="14"/>
        <v>33266.826923076922</v>
      </c>
      <c r="H44" s="130">
        <f t="shared" si="14"/>
        <v>33403.703703703701</v>
      </c>
      <c r="I44" s="314">
        <f t="shared" si="14"/>
        <v>29553.104925053532</v>
      </c>
      <c r="J44" s="359">
        <f>J55/J38</f>
        <v>29553.104925053536</v>
      </c>
    </row>
    <row r="45" spans="1:10" x14ac:dyDescent="0.25">
      <c r="A45" s="106" t="s">
        <v>24</v>
      </c>
      <c r="B45" s="130">
        <f>B55/B32</f>
        <v>27303.333333333332</v>
      </c>
      <c r="C45" s="131">
        <f t="shared" ref="C45:I45" si="15">C55/C32</f>
        <v>25467.187500000004</v>
      </c>
      <c r="D45" s="130">
        <f>D55/D32</f>
        <v>25484.705882352941</v>
      </c>
      <c r="E45" s="132">
        <f>E55/E32</f>
        <v>26614.814814814814</v>
      </c>
      <c r="F45" s="132">
        <f t="shared" si="15"/>
        <v>29988.775510204083</v>
      </c>
      <c r="G45" s="130">
        <f t="shared" si="15"/>
        <v>29570.51282051282</v>
      </c>
      <c r="H45" s="130">
        <f t="shared" si="15"/>
        <v>29211.336032388663</v>
      </c>
      <c r="I45" s="314">
        <f t="shared" si="15"/>
        <v>28544.570837642194</v>
      </c>
      <c r="J45" s="359">
        <f>J55/J32</f>
        <v>28544.570837642194</v>
      </c>
    </row>
    <row r="46" spans="1:10" x14ac:dyDescent="0.25">
      <c r="A46" s="100" t="s">
        <v>25</v>
      </c>
      <c r="B46" s="92">
        <f>B51*B39</f>
        <v>437435.64137931034</v>
      </c>
      <c r="C46" s="133">
        <f t="shared" ref="C46:H46" si="16">C51*C39</f>
        <v>383166.33793103456</v>
      </c>
      <c r="D46" s="92">
        <f>D51*D39</f>
        <v>763141.98103448283</v>
      </c>
      <c r="E46" s="134">
        <f>E51*E39</f>
        <v>623303.89655172417</v>
      </c>
      <c r="F46" s="134">
        <f t="shared" si="16"/>
        <v>1920687.1965517243</v>
      </c>
      <c r="G46" s="92">
        <f t="shared" si="16"/>
        <v>2206953.0586206899</v>
      </c>
      <c r="H46" s="92">
        <f t="shared" si="16"/>
        <v>2535466.5</v>
      </c>
      <c r="I46" s="300">
        <f>CEDRITOS!$B46+CEDRITOS!$C46+CEDRITOS!$D46+CEDRITOS!$E46+CEDRITOS!$F46+CEDRITOS!$G46+CEDRITOS!$H46</f>
        <v>8870154.612068966</v>
      </c>
      <c r="J46" s="360">
        <f>CEDRITOS!$I46/7</f>
        <v>1267164.9445812809</v>
      </c>
    </row>
    <row r="47" spans="1:10" x14ac:dyDescent="0.25">
      <c r="A47" s="100" t="s">
        <v>26</v>
      </c>
      <c r="B47" s="92">
        <f>B51*B40</f>
        <v>587804.14310344821</v>
      </c>
      <c r="C47" s="133">
        <f t="shared" ref="C47:H47" si="17">C51*C40</f>
        <v>314743.77758620697</v>
      </c>
      <c r="D47" s="92">
        <f>D51*D40</f>
        <v>443687.19827586209</v>
      </c>
      <c r="E47" s="134">
        <f>E51*E40</f>
        <v>445217.06896551728</v>
      </c>
      <c r="F47" s="134">
        <f t="shared" si="17"/>
        <v>1329706.5206896553</v>
      </c>
      <c r="G47" s="92">
        <f t="shared" si="17"/>
        <v>1451942.801724138</v>
      </c>
      <c r="H47" s="92">
        <f t="shared" si="17"/>
        <v>1871415.75</v>
      </c>
      <c r="I47" s="300">
        <f>CEDRITOS!$B47+CEDRITOS!$C47+CEDRITOS!$D47+CEDRITOS!$E47+CEDRITOS!$F47+CEDRITOS!$G47+CEDRITOS!$H47</f>
        <v>6444517.2603448275</v>
      </c>
      <c r="J47" s="360">
        <f>CEDRITOS!$I47/7</f>
        <v>920645.32290640392</v>
      </c>
    </row>
    <row r="48" spans="1:10" x14ac:dyDescent="0.25">
      <c r="A48" s="100" t="s">
        <v>27</v>
      </c>
      <c r="B48" s="92">
        <f>B51*B41</f>
        <v>341746.5948275862</v>
      </c>
      <c r="C48" s="133">
        <f t="shared" ref="C48:H48" si="18">C51*C41</f>
        <v>670541.09137931035</v>
      </c>
      <c r="D48" s="92">
        <f>D51*D41</f>
        <v>567919.61379310349</v>
      </c>
      <c r="E48" s="134">
        <f>E51*E41</f>
        <v>712347.31034482771</v>
      </c>
      <c r="F48" s="134">
        <f t="shared" si="18"/>
        <v>1674445.2482758623</v>
      </c>
      <c r="G48" s="92">
        <f t="shared" si="18"/>
        <v>2148875.3465517242</v>
      </c>
      <c r="H48" s="92">
        <f t="shared" si="18"/>
        <v>1629942.75</v>
      </c>
      <c r="I48" s="300">
        <f>CEDRITOS!$B48+CEDRITOS!$C48+CEDRITOS!$D48+CEDRITOS!$E48+CEDRITOS!$F48+CEDRITOS!$G48+CEDRITOS!$H48</f>
        <v>7745817.955172414</v>
      </c>
      <c r="J48" s="360">
        <f>CEDRITOS!$I48/7</f>
        <v>1106545.4221674877</v>
      </c>
    </row>
    <row r="49" spans="1:10" x14ac:dyDescent="0.25">
      <c r="A49" s="100" t="s">
        <v>28</v>
      </c>
      <c r="B49" s="92">
        <f>B51*B42</f>
        <v>0</v>
      </c>
      <c r="C49" s="133">
        <f t="shared" ref="C49:I49" si="19">C51*C42</f>
        <v>0</v>
      </c>
      <c r="D49" s="92">
        <f>D51*D42</f>
        <v>0</v>
      </c>
      <c r="E49" s="134">
        <f>E51*E42</f>
        <v>0</v>
      </c>
      <c r="F49" s="134">
        <f t="shared" si="19"/>
        <v>0</v>
      </c>
      <c r="G49" s="92">
        <f t="shared" si="19"/>
        <v>0</v>
      </c>
      <c r="H49" s="92">
        <f t="shared" si="19"/>
        <v>0</v>
      </c>
      <c r="I49" s="300">
        <f t="shared" si="19"/>
        <v>0</v>
      </c>
      <c r="J49" s="360">
        <f>CEDRITOS!$I49/7</f>
        <v>0</v>
      </c>
    </row>
    <row r="50" spans="1:10" x14ac:dyDescent="0.25">
      <c r="A50" s="100" t="s">
        <v>29</v>
      </c>
      <c r="B50" s="92">
        <f>B51*B43</f>
        <v>0</v>
      </c>
      <c r="C50" s="133">
        <f t="shared" ref="C50:I50" si="20">C51*C43</f>
        <v>0</v>
      </c>
      <c r="D50" s="92">
        <f>D51*D43</f>
        <v>0</v>
      </c>
      <c r="E50" s="134">
        <f>E51*E43</f>
        <v>0</v>
      </c>
      <c r="F50" s="134">
        <f t="shared" si="20"/>
        <v>0</v>
      </c>
      <c r="G50" s="92">
        <f t="shared" si="20"/>
        <v>0</v>
      </c>
      <c r="H50" s="92">
        <f t="shared" si="20"/>
        <v>0</v>
      </c>
      <c r="I50" s="300">
        <f t="shared" si="20"/>
        <v>0</v>
      </c>
      <c r="J50" s="360">
        <f>CEDRITOS!$I50/7</f>
        <v>0</v>
      </c>
    </row>
    <row r="51" spans="1:10" x14ac:dyDescent="0.25">
      <c r="A51" s="110" t="s">
        <v>30</v>
      </c>
      <c r="B51" s="91">
        <f>(1638200/1.16)-B52</f>
        <v>1366986.3793103448</v>
      </c>
      <c r="C51" s="136">
        <f>(1629900/1.16)-C52</f>
        <v>1368451.2068965519</v>
      </c>
      <c r="D51" s="91">
        <f>(2166200/1.16)-D52</f>
        <v>1774748.7931034483</v>
      </c>
      <c r="E51" s="136">
        <f>(2155800/1.16)-E52</f>
        <v>1780868.2758620691</v>
      </c>
      <c r="F51" s="136">
        <f>(5877800/1.16)-F52</f>
        <v>4924838.9655172415</v>
      </c>
      <c r="G51" s="91">
        <f>(6919500/1.16)-G52</f>
        <v>5807771.2068965519</v>
      </c>
      <c r="H51" s="91">
        <f>(7215200/1.16)-H52</f>
        <v>6036825</v>
      </c>
      <c r="I51" s="361">
        <f>I46+I47+I48</f>
        <v>23060489.827586208</v>
      </c>
      <c r="J51" s="362">
        <f>CEDRITOS!$I51/7</f>
        <v>3294355.6896551726</v>
      </c>
    </row>
    <row r="52" spans="1:10" x14ac:dyDescent="0.25">
      <c r="A52" s="100" t="s">
        <v>31</v>
      </c>
      <c r="B52" s="94">
        <f t="shared" ref="B52:H52" si="21">2155*B33</f>
        <v>45255</v>
      </c>
      <c r="C52" s="139">
        <f t="shared" si="21"/>
        <v>36635</v>
      </c>
      <c r="D52" s="94">
        <f>2155*D33</f>
        <v>92665</v>
      </c>
      <c r="E52" s="112">
        <f>2155*E33</f>
        <v>77580</v>
      </c>
      <c r="F52" s="112">
        <f t="shared" si="21"/>
        <v>142230</v>
      </c>
      <c r="G52" s="94">
        <f t="shared" si="21"/>
        <v>157315</v>
      </c>
      <c r="H52" s="94">
        <f t="shared" si="21"/>
        <v>183175</v>
      </c>
      <c r="I52" s="70">
        <f>2155*I33</f>
        <v>734855</v>
      </c>
      <c r="J52" s="363">
        <f>CEDRITOS!$I52/7</f>
        <v>104979.28571428571</v>
      </c>
    </row>
    <row r="53" spans="1:10" x14ac:dyDescent="0.25">
      <c r="A53" s="114" t="s">
        <v>32</v>
      </c>
      <c r="B53" s="39">
        <f t="shared" ref="B53:I53" si="22">B51+B52</f>
        <v>1412241.3793103448</v>
      </c>
      <c r="C53" s="40">
        <f t="shared" si="22"/>
        <v>1405086.2068965519</v>
      </c>
      <c r="D53" s="39">
        <f>D51+D52</f>
        <v>1867413.7931034483</v>
      </c>
      <c r="E53" s="40">
        <f>E51+E52</f>
        <v>1858448.2758620691</v>
      </c>
      <c r="F53" s="40">
        <f t="shared" si="22"/>
        <v>5067068.9655172415</v>
      </c>
      <c r="G53" s="39">
        <f t="shared" si="22"/>
        <v>5965086.2068965519</v>
      </c>
      <c r="H53" s="39">
        <f t="shared" si="22"/>
        <v>6220000</v>
      </c>
      <c r="I53" s="364">
        <f t="shared" si="22"/>
        <v>23795344.827586208</v>
      </c>
      <c r="J53" s="365">
        <f>CEDRITOS!$I53/7</f>
        <v>3399334.9753694581</v>
      </c>
    </row>
    <row r="54" spans="1:10" x14ac:dyDescent="0.25">
      <c r="A54" s="100" t="s">
        <v>33</v>
      </c>
      <c r="B54" s="41">
        <f t="shared" ref="B54:I54" si="23">B53*16%</f>
        <v>225958.62068965519</v>
      </c>
      <c r="C54" s="42">
        <f t="shared" si="23"/>
        <v>224813.79310344832</v>
      </c>
      <c r="D54" s="41">
        <f>D53*16%</f>
        <v>298786.20689655177</v>
      </c>
      <c r="E54" s="141">
        <f>E53*16%</f>
        <v>297351.72413793107</v>
      </c>
      <c r="F54" s="141">
        <f t="shared" si="23"/>
        <v>810731.03448275861</v>
      </c>
      <c r="G54" s="41">
        <f t="shared" si="23"/>
        <v>954413.79310344835</v>
      </c>
      <c r="H54" s="41">
        <f t="shared" si="23"/>
        <v>995200</v>
      </c>
      <c r="I54" s="141">
        <f t="shared" si="23"/>
        <v>3807255.1724137934</v>
      </c>
      <c r="J54" s="366">
        <f>CEDRITOS!$I54/7</f>
        <v>543893.59605911339</v>
      </c>
    </row>
    <row r="55" spans="1:10" x14ac:dyDescent="0.25">
      <c r="A55" s="118" t="s">
        <v>34</v>
      </c>
      <c r="B55" s="315">
        <f t="shared" ref="B55:I55" si="24">B53+B54</f>
        <v>1638200</v>
      </c>
      <c r="C55" s="315">
        <f t="shared" si="24"/>
        <v>1629900.0000000002</v>
      </c>
      <c r="D55" s="178">
        <f>D53+D54</f>
        <v>2166200</v>
      </c>
      <c r="E55" s="315">
        <f>E53+E54</f>
        <v>2155800</v>
      </c>
      <c r="F55" s="315">
        <f t="shared" si="24"/>
        <v>5877800</v>
      </c>
      <c r="G55" s="178">
        <f t="shared" si="24"/>
        <v>6919500</v>
      </c>
      <c r="H55" s="178">
        <f t="shared" si="24"/>
        <v>7215200</v>
      </c>
      <c r="I55" s="367">
        <f t="shared" si="24"/>
        <v>27602600</v>
      </c>
      <c r="J55" s="368">
        <f>CEDRITOS!$I55/7</f>
        <v>3943228.5714285714</v>
      </c>
    </row>
    <row r="56" spans="1:10" x14ac:dyDescent="0.25">
      <c r="A56" s="149"/>
      <c r="B56" s="150"/>
      <c r="C56" s="150"/>
      <c r="D56" s="150"/>
      <c r="E56" s="150"/>
      <c r="F56" s="150"/>
      <c r="G56" s="150"/>
      <c r="H56" s="150"/>
      <c r="I56" s="150"/>
    </row>
    <row r="57" spans="1:10" x14ac:dyDescent="0.25">
      <c r="A57" s="149"/>
      <c r="B57" s="150"/>
      <c r="C57" s="150"/>
      <c r="D57" s="150"/>
      <c r="E57" s="150"/>
      <c r="F57" s="150"/>
      <c r="G57" s="150"/>
      <c r="H57" s="150"/>
      <c r="I57" s="150"/>
    </row>
    <row r="58" spans="1:10" ht="26.25" x14ac:dyDescent="0.25">
      <c r="A58" s="151"/>
      <c r="B58" s="1004" t="s">
        <v>355</v>
      </c>
      <c r="C58" s="1004"/>
      <c r="D58" s="1004"/>
      <c r="E58" s="1004"/>
      <c r="F58" s="1004"/>
      <c r="G58" s="1004"/>
      <c r="H58" s="1004"/>
      <c r="I58" s="1004"/>
      <c r="J58" s="152"/>
    </row>
    <row r="59" spans="1:10" ht="15.75" x14ac:dyDescent="0.25">
      <c r="A59" s="72" t="s">
        <v>2</v>
      </c>
      <c r="B59" s="349" t="s">
        <v>81</v>
      </c>
      <c r="C59" s="153" t="s">
        <v>82</v>
      </c>
      <c r="D59" s="51" t="s">
        <v>83</v>
      </c>
      <c r="E59" s="52" t="s">
        <v>84</v>
      </c>
      <c r="F59" s="50" t="s">
        <v>85</v>
      </c>
      <c r="G59" s="153" t="s">
        <v>86</v>
      </c>
      <c r="H59" s="51" t="s">
        <v>87</v>
      </c>
      <c r="I59" s="349" t="s">
        <v>10</v>
      </c>
      <c r="J59" s="73" t="s">
        <v>77</v>
      </c>
    </row>
    <row r="60" spans="1:10" x14ac:dyDescent="0.25">
      <c r="A60" s="369" t="s">
        <v>11</v>
      </c>
      <c r="B60" s="370">
        <f>34+18+4</f>
        <v>56</v>
      </c>
      <c r="C60" s="371">
        <f>58+35+13</f>
        <v>106</v>
      </c>
      <c r="D60" s="370">
        <f>58+30+7</f>
        <v>95</v>
      </c>
      <c r="E60" s="372">
        <f>40+33+8</f>
        <v>81</v>
      </c>
      <c r="F60" s="373">
        <v>180</v>
      </c>
      <c r="G60" s="372">
        <v>250</v>
      </c>
      <c r="H60" s="373">
        <v>237</v>
      </c>
      <c r="I60" s="374">
        <f>SUM(B60:H60)</f>
        <v>1005</v>
      </c>
      <c r="J60" s="375">
        <f>CEDRITOS!$I60/7</f>
        <v>143.57142857142858</v>
      </c>
    </row>
    <row r="61" spans="1:10" x14ac:dyDescent="0.25">
      <c r="A61" s="100" t="s">
        <v>12</v>
      </c>
      <c r="B61" s="11">
        <v>19</v>
      </c>
      <c r="C61" s="13">
        <v>24</v>
      </c>
      <c r="D61" s="155">
        <v>33</v>
      </c>
      <c r="E61" s="156">
        <v>37</v>
      </c>
      <c r="F61" s="155">
        <v>62</v>
      </c>
      <c r="G61" s="155">
        <v>83</v>
      </c>
      <c r="H61" s="156">
        <v>91</v>
      </c>
      <c r="I61" s="127">
        <f>SUM(CEDRITOS!$B61:$H61)</f>
        <v>349</v>
      </c>
      <c r="J61" s="101">
        <f>CEDRITOS!$I61/7</f>
        <v>49.857142857142854</v>
      </c>
    </row>
    <row r="62" spans="1:10" x14ac:dyDescent="0.25">
      <c r="A62" s="100" t="s">
        <v>13</v>
      </c>
      <c r="B62" s="11">
        <v>13</v>
      </c>
      <c r="C62" s="13">
        <v>20</v>
      </c>
      <c r="D62" s="155">
        <v>18</v>
      </c>
      <c r="E62" s="156">
        <v>17</v>
      </c>
      <c r="F62" s="155">
        <v>40</v>
      </c>
      <c r="G62" s="155">
        <v>68</v>
      </c>
      <c r="H62" s="156">
        <v>65</v>
      </c>
      <c r="I62" s="127">
        <f>SUM(CEDRITOS!$B62:$H62)</f>
        <v>241</v>
      </c>
      <c r="J62" s="101">
        <f>CEDRITOS!$I62/7</f>
        <v>34.428571428571431</v>
      </c>
    </row>
    <row r="63" spans="1:10" x14ac:dyDescent="0.25">
      <c r="A63" s="100" t="s">
        <v>14</v>
      </c>
      <c r="B63" s="11">
        <v>25</v>
      </c>
      <c r="C63" s="13">
        <v>57</v>
      </c>
      <c r="D63" s="78">
        <v>41</v>
      </c>
      <c r="E63" s="60">
        <v>41</v>
      </c>
      <c r="F63" s="78">
        <v>72</v>
      </c>
      <c r="G63" s="78">
        <v>77</v>
      </c>
      <c r="H63" s="156">
        <v>61</v>
      </c>
      <c r="I63" s="127">
        <f>SUM(CEDRITOS!$B63:$H63)</f>
        <v>374</v>
      </c>
      <c r="J63" s="101">
        <f>CEDRITOS!$I63/7</f>
        <v>53.428571428571431</v>
      </c>
    </row>
    <row r="64" spans="1:10" x14ac:dyDescent="0.25">
      <c r="A64" s="100" t="s">
        <v>15</v>
      </c>
      <c r="B64" s="11">
        <v>0</v>
      </c>
      <c r="C64" s="13">
        <v>0</v>
      </c>
      <c r="D64" s="78">
        <v>1</v>
      </c>
      <c r="E64" s="60">
        <v>0</v>
      </c>
      <c r="F64" s="78">
        <v>0</v>
      </c>
      <c r="G64" s="78">
        <v>2</v>
      </c>
      <c r="H64" s="156">
        <v>1</v>
      </c>
      <c r="I64" s="127">
        <f>SUM(CEDRITOS!$B64:$H64)</f>
        <v>4</v>
      </c>
      <c r="J64" s="101">
        <f>CEDRITOS!$I64/7</f>
        <v>0.5714285714285714</v>
      </c>
    </row>
    <row r="65" spans="1:10" x14ac:dyDescent="0.25">
      <c r="A65" s="100" t="s">
        <v>16</v>
      </c>
      <c r="B65" s="11">
        <v>0</v>
      </c>
      <c r="C65" s="13">
        <v>0</v>
      </c>
      <c r="D65" s="78">
        <v>1</v>
      </c>
      <c r="E65" s="60">
        <v>0</v>
      </c>
      <c r="F65" s="78">
        <v>0</v>
      </c>
      <c r="G65" s="78">
        <v>0</v>
      </c>
      <c r="H65" s="156">
        <v>0</v>
      </c>
      <c r="I65" s="127">
        <f>SUM(CEDRITOS!$B65:$H65)</f>
        <v>1</v>
      </c>
      <c r="J65" s="101">
        <f>CEDRITOS!$I65/7</f>
        <v>0.14285714285714285</v>
      </c>
    </row>
    <row r="66" spans="1:10" x14ac:dyDescent="0.25">
      <c r="A66" s="102" t="s">
        <v>17</v>
      </c>
      <c r="B66" s="16">
        <f>SUM(B61:B65)</f>
        <v>57</v>
      </c>
      <c r="C66" s="17">
        <f t="shared" ref="C66:H66" si="25">SUM(C61:C65)</f>
        <v>101</v>
      </c>
      <c r="D66" s="80">
        <f t="shared" si="25"/>
        <v>94</v>
      </c>
      <c r="E66" s="61">
        <f t="shared" si="25"/>
        <v>95</v>
      </c>
      <c r="F66" s="80">
        <f t="shared" si="25"/>
        <v>174</v>
      </c>
      <c r="G66" s="80">
        <f t="shared" si="25"/>
        <v>230</v>
      </c>
      <c r="H66" s="61">
        <f t="shared" si="25"/>
        <v>218</v>
      </c>
      <c r="I66" s="80">
        <f>B66+C66+D66+E66+F66+G66+H66</f>
        <v>969</v>
      </c>
      <c r="J66" s="376">
        <f>CEDRITOS!$I66/7</f>
        <v>138.42857142857142</v>
      </c>
    </row>
    <row r="67" spans="1:10" x14ac:dyDescent="0.25">
      <c r="A67" s="100" t="s">
        <v>18</v>
      </c>
      <c r="B67" s="30">
        <v>0.52</v>
      </c>
      <c r="C67" s="159">
        <v>0.32</v>
      </c>
      <c r="D67" s="30">
        <v>0.52</v>
      </c>
      <c r="E67" s="160">
        <v>0.48</v>
      </c>
      <c r="F67" s="30">
        <v>0.38</v>
      </c>
      <c r="G67" s="30">
        <v>0.41</v>
      </c>
      <c r="H67" s="160">
        <v>0.44</v>
      </c>
      <c r="I67" s="30">
        <f>I74/I79</f>
        <v>0.42393335823980594</v>
      </c>
      <c r="J67" s="251">
        <f>J74/J79</f>
        <v>0.42393335823980594</v>
      </c>
    </row>
    <row r="68" spans="1:10" x14ac:dyDescent="0.25">
      <c r="A68" s="100" t="s">
        <v>19</v>
      </c>
      <c r="B68" s="30">
        <v>0.2</v>
      </c>
      <c r="C68" s="159">
        <v>0.18</v>
      </c>
      <c r="D68" s="30">
        <v>0.14000000000000001</v>
      </c>
      <c r="E68" s="160">
        <v>0.19</v>
      </c>
      <c r="F68" s="30">
        <v>0.3</v>
      </c>
      <c r="G68" s="30">
        <v>0.3</v>
      </c>
      <c r="H68" s="160">
        <v>0.28000000000000003</v>
      </c>
      <c r="I68" s="30">
        <f>I75/I79</f>
        <v>0.25567327484530145</v>
      </c>
      <c r="J68" s="251">
        <f>J75/J79</f>
        <v>0.25567327484530145</v>
      </c>
    </row>
    <row r="69" spans="1:10" x14ac:dyDescent="0.25">
      <c r="A69" s="100" t="s">
        <v>20</v>
      </c>
      <c r="B69" s="162">
        <v>0.28000000000000003</v>
      </c>
      <c r="C69" s="159">
        <v>0.5</v>
      </c>
      <c r="D69" s="30">
        <v>0.32</v>
      </c>
      <c r="E69" s="160">
        <v>0.33</v>
      </c>
      <c r="F69" s="30">
        <v>0.32</v>
      </c>
      <c r="G69" s="30">
        <v>0.28000000000000003</v>
      </c>
      <c r="H69" s="160">
        <v>0.27</v>
      </c>
      <c r="I69" s="30">
        <f>I76/I79</f>
        <v>0.31366821167645759</v>
      </c>
      <c r="J69" s="251">
        <f>J76/J79</f>
        <v>0.31366821167645759</v>
      </c>
    </row>
    <row r="70" spans="1:10" x14ac:dyDescent="0.25">
      <c r="A70" s="100" t="s">
        <v>21</v>
      </c>
      <c r="B70" s="30">
        <v>0</v>
      </c>
      <c r="C70" s="160">
        <v>0</v>
      </c>
      <c r="D70" s="30">
        <v>0.01</v>
      </c>
      <c r="E70" s="160">
        <v>0</v>
      </c>
      <c r="F70" s="30">
        <v>0</v>
      </c>
      <c r="G70" s="30">
        <v>0.01</v>
      </c>
      <c r="H70" s="160">
        <v>0.01</v>
      </c>
      <c r="I70" s="30">
        <f>I77/I79</f>
        <v>5.8265062057075555E-3</v>
      </c>
      <c r="J70" s="251">
        <f>J77/J79</f>
        <v>5.8265062057075555E-3</v>
      </c>
    </row>
    <row r="71" spans="1:10" x14ac:dyDescent="0.25">
      <c r="A71" s="100" t="s">
        <v>22</v>
      </c>
      <c r="B71" s="30">
        <v>0</v>
      </c>
      <c r="C71" s="160">
        <v>0</v>
      </c>
      <c r="D71" s="30">
        <v>0.01</v>
      </c>
      <c r="E71" s="160">
        <v>0</v>
      </c>
      <c r="F71" s="30">
        <v>0</v>
      </c>
      <c r="G71" s="30">
        <v>0</v>
      </c>
      <c r="H71" s="160">
        <v>0</v>
      </c>
      <c r="I71" s="30">
        <f>I78/I79</f>
        <v>8.9864903272744647E-4</v>
      </c>
      <c r="J71" s="251">
        <f>J78/J79</f>
        <v>8.9864903272744657E-4</v>
      </c>
    </row>
    <row r="72" spans="1:10" x14ac:dyDescent="0.25">
      <c r="A72" s="106" t="s">
        <v>23</v>
      </c>
      <c r="B72" s="66">
        <f>B83/B66</f>
        <v>27912.280701754386</v>
      </c>
      <c r="C72" s="163">
        <f t="shared" ref="C72:H72" si="26">C83/C66</f>
        <v>28612.871287128713</v>
      </c>
      <c r="D72" s="66">
        <f t="shared" si="26"/>
        <v>29209.574468085106</v>
      </c>
      <c r="E72" s="67">
        <f t="shared" si="26"/>
        <v>24564.21052631579</v>
      </c>
      <c r="F72" s="66">
        <f t="shared" si="26"/>
        <v>33959.195402298858</v>
      </c>
      <c r="G72" s="66">
        <f t="shared" si="26"/>
        <v>32424.34782608696</v>
      </c>
      <c r="H72" s="163">
        <f t="shared" si="26"/>
        <v>34777.064220183485</v>
      </c>
      <c r="I72" s="66">
        <f>I83/I66</f>
        <v>31484.107327141388</v>
      </c>
      <c r="J72" s="254">
        <f>J83/J66</f>
        <v>31484.107327141392</v>
      </c>
    </row>
    <row r="73" spans="1:10" x14ac:dyDescent="0.25">
      <c r="A73" s="106" t="s">
        <v>24</v>
      </c>
      <c r="B73" s="66">
        <f t="shared" ref="B73:I73" si="27">+B83/B60</f>
        <v>28410.714285714286</v>
      </c>
      <c r="C73" s="163">
        <f t="shared" si="27"/>
        <v>27263.207547169812</v>
      </c>
      <c r="D73" s="66">
        <f t="shared" si="27"/>
        <v>28902.105263157893</v>
      </c>
      <c r="E73" s="67">
        <f t="shared" si="27"/>
        <v>28809.876543209877</v>
      </c>
      <c r="F73" s="66">
        <f t="shared" si="27"/>
        <v>32827.222222222226</v>
      </c>
      <c r="G73" s="66">
        <f t="shared" si="27"/>
        <v>29830.400000000005</v>
      </c>
      <c r="H73" s="163">
        <f t="shared" si="27"/>
        <v>31989.029535864978</v>
      </c>
      <c r="I73" s="66">
        <f t="shared" si="27"/>
        <v>30356.318407960203</v>
      </c>
      <c r="J73" s="254">
        <f>J83/J60</f>
        <v>30356.318407960203</v>
      </c>
    </row>
    <row r="74" spans="1:10" x14ac:dyDescent="0.25">
      <c r="A74" s="100" t="s">
        <v>25</v>
      </c>
      <c r="B74" s="135">
        <f>B79*B67</f>
        <v>691915.49655172427</v>
      </c>
      <c r="C74" s="165">
        <f t="shared" ref="C74:H74" si="28">C79*C67</f>
        <v>780663.39310344832</v>
      </c>
      <c r="D74" s="135">
        <f t="shared" si="28"/>
        <v>1193851.2344827587</v>
      </c>
      <c r="E74" s="165">
        <f t="shared" si="28"/>
        <v>927354.78620689665</v>
      </c>
      <c r="F74" s="135">
        <f t="shared" si="28"/>
        <v>1884902.3379310349</v>
      </c>
      <c r="G74" s="135">
        <f t="shared" si="28"/>
        <v>2562541.2120689657</v>
      </c>
      <c r="H74" s="166">
        <f t="shared" si="28"/>
        <v>2789417.2482758621</v>
      </c>
      <c r="I74" s="135">
        <f>SUM(CEDRITOS!$B74:$H74)</f>
        <v>10830645.70862069</v>
      </c>
      <c r="J74" s="377">
        <f>CEDRITOS!$I74/7</f>
        <v>1547235.101231527</v>
      </c>
    </row>
    <row r="75" spans="1:10" x14ac:dyDescent="0.25">
      <c r="A75" s="100" t="s">
        <v>26</v>
      </c>
      <c r="B75" s="135">
        <f>B79*B68</f>
        <v>266121.34482758626</v>
      </c>
      <c r="C75" s="165">
        <f t="shared" ref="C75:H75" si="29">C79*C68</f>
        <v>439123.15862068965</v>
      </c>
      <c r="D75" s="135">
        <f t="shared" si="29"/>
        <v>321421.4862068966</v>
      </c>
      <c r="E75" s="165">
        <f t="shared" si="29"/>
        <v>367077.93620689661</v>
      </c>
      <c r="F75" s="135">
        <f t="shared" si="29"/>
        <v>1488080.7931034483</v>
      </c>
      <c r="G75" s="135">
        <f t="shared" si="29"/>
        <v>1875030.1551724139</v>
      </c>
      <c r="H75" s="166">
        <f t="shared" si="29"/>
        <v>1775083.703448276</v>
      </c>
      <c r="I75" s="135">
        <f>CEDRITOS!$B75+CEDRITOS!$C75+CEDRITOS!$D75+CEDRITOS!$E75+CEDRITOS!$F75+CEDRITOS!$G75+CEDRITOS!$H75</f>
        <v>6531938.5775862075</v>
      </c>
      <c r="J75" s="377">
        <f>CEDRITOS!$I75/7</f>
        <v>933134.08251231536</v>
      </c>
    </row>
    <row r="76" spans="1:10" x14ac:dyDescent="0.25">
      <c r="A76" s="100" t="s">
        <v>27</v>
      </c>
      <c r="B76" s="135">
        <f>B79*B69</f>
        <v>372569.88275862078</v>
      </c>
      <c r="C76" s="165">
        <f t="shared" ref="C76:H76" si="30">C79*C69</f>
        <v>1219786.551724138</v>
      </c>
      <c r="D76" s="135">
        <f t="shared" si="30"/>
        <v>734677.68275862071</v>
      </c>
      <c r="E76" s="165">
        <f t="shared" si="30"/>
        <v>637556.41551724146</v>
      </c>
      <c r="F76" s="135">
        <f t="shared" si="30"/>
        <v>1587286.1793103451</v>
      </c>
      <c r="G76" s="135">
        <f t="shared" si="30"/>
        <v>1750028.1448275866</v>
      </c>
      <c r="H76" s="166">
        <f t="shared" si="30"/>
        <v>1711687.856896552</v>
      </c>
      <c r="I76" s="135">
        <f>CEDRITOS!$B76+CEDRITOS!$C76+CEDRITOS!$D76+CEDRITOS!$E76+CEDRITOS!$F76+CEDRITOS!$G76+CEDRITOS!$H76</f>
        <v>8013592.7137931054</v>
      </c>
      <c r="J76" s="377">
        <f>CEDRITOS!$I76/7</f>
        <v>1144798.9591133008</v>
      </c>
    </row>
    <row r="77" spans="1:10" x14ac:dyDescent="0.25">
      <c r="A77" s="100" t="s">
        <v>28</v>
      </c>
      <c r="B77" s="135">
        <f>B79*B70</f>
        <v>0</v>
      </c>
      <c r="C77" s="166">
        <f t="shared" ref="C77:H77" si="31">C79*C70</f>
        <v>0</v>
      </c>
      <c r="D77" s="135">
        <f t="shared" si="31"/>
        <v>22958.677586206897</v>
      </c>
      <c r="E77" s="165">
        <f t="shared" si="31"/>
        <v>0</v>
      </c>
      <c r="F77" s="135">
        <f t="shared" si="31"/>
        <v>0</v>
      </c>
      <c r="G77" s="135">
        <f t="shared" si="31"/>
        <v>62501.005172413803</v>
      </c>
      <c r="H77" s="166">
        <f t="shared" si="31"/>
        <v>63395.846551724142</v>
      </c>
      <c r="I77" s="135">
        <f>CEDRITOS!$B77+CEDRITOS!$C77+CEDRITOS!$D77+CEDRITOS!$E77+CEDRITOS!$F77+CEDRITOS!$G77+CEDRITOS!$H77</f>
        <v>148855.52931034483</v>
      </c>
      <c r="J77" s="377">
        <f>CEDRITOS!$I77/7</f>
        <v>21265.075615763548</v>
      </c>
    </row>
    <row r="78" spans="1:10" x14ac:dyDescent="0.25">
      <c r="A78" s="100" t="s">
        <v>29</v>
      </c>
      <c r="B78" s="135">
        <f>B79*B71</f>
        <v>0</v>
      </c>
      <c r="C78" s="166">
        <f t="shared" ref="C78:H78" si="32">C79*C71</f>
        <v>0</v>
      </c>
      <c r="D78" s="135">
        <f t="shared" si="32"/>
        <v>22958.677586206897</v>
      </c>
      <c r="E78" s="165">
        <f t="shared" si="32"/>
        <v>0</v>
      </c>
      <c r="F78" s="135">
        <f t="shared" si="32"/>
        <v>0</v>
      </c>
      <c r="G78" s="135">
        <f t="shared" si="32"/>
        <v>0</v>
      </c>
      <c r="H78" s="166">
        <f t="shared" si="32"/>
        <v>0</v>
      </c>
      <c r="I78" s="135">
        <f>CEDRITOS!$B78+CEDRITOS!$C78+CEDRITOS!$D78+CEDRITOS!$E78+CEDRITOS!$F78+CEDRITOS!$G78+CEDRITOS!$H78</f>
        <v>22958.677586206897</v>
      </c>
      <c r="J78" s="377">
        <f>CEDRITOS!$I78/7</f>
        <v>3279.8110837438426</v>
      </c>
    </row>
    <row r="79" spans="1:10" x14ac:dyDescent="0.25">
      <c r="A79" s="110" t="s">
        <v>30</v>
      </c>
      <c r="B79" s="168">
        <f>(1591000/1.16)-B80</f>
        <v>1330606.7241379311</v>
      </c>
      <c r="C79" s="169">
        <f>(2889900/1.16)-C80</f>
        <v>2439573.1034482759</v>
      </c>
      <c r="D79" s="35">
        <f>(2745700/1.16)-D80</f>
        <v>2295867.7586206896</v>
      </c>
      <c r="E79" s="170">
        <f>(2333600/1.16)-E80</f>
        <v>1931989.1379310347</v>
      </c>
      <c r="F79" s="138">
        <f>(5908900/1.16)-F80</f>
        <v>4960269.3103448283</v>
      </c>
      <c r="G79" s="138">
        <f>(7457600/1.16)-G80</f>
        <v>6250100.5172413802</v>
      </c>
      <c r="H79" s="171">
        <f>(7581400/1.16)-H80</f>
        <v>6339584.6551724141</v>
      </c>
      <c r="I79" s="138">
        <f>CEDRITOS!$B79+CEDRITOS!$C79+CEDRITOS!$D79+CEDRITOS!$E79+CEDRITOS!$F79+CEDRITOS!$G79+CEDRITOS!$H79</f>
        <v>25547991.206896555</v>
      </c>
      <c r="J79" s="378">
        <f>CEDRITOS!$I79/7</f>
        <v>3649713.0295566507</v>
      </c>
    </row>
    <row r="80" spans="1:10" x14ac:dyDescent="0.25">
      <c r="A80" s="100" t="s">
        <v>31</v>
      </c>
      <c r="B80" s="135">
        <f t="shared" ref="B80:I80" si="33">2155*B61</f>
        <v>40945</v>
      </c>
      <c r="C80" s="174">
        <f t="shared" si="33"/>
        <v>51720</v>
      </c>
      <c r="D80" s="175">
        <f t="shared" si="33"/>
        <v>71115</v>
      </c>
      <c r="E80" s="165">
        <f t="shared" si="33"/>
        <v>79735</v>
      </c>
      <c r="F80" s="135">
        <f t="shared" si="33"/>
        <v>133610</v>
      </c>
      <c r="G80" s="135">
        <f t="shared" si="33"/>
        <v>178865</v>
      </c>
      <c r="H80" s="166">
        <f t="shared" si="33"/>
        <v>196105</v>
      </c>
      <c r="I80" s="135">
        <f t="shared" si="33"/>
        <v>752095</v>
      </c>
      <c r="J80" s="377">
        <f>CEDRITOS!$I80/7</f>
        <v>107442.14285714286</v>
      </c>
    </row>
    <row r="81" spans="1:12" x14ac:dyDescent="0.25">
      <c r="A81" s="114" t="s">
        <v>32</v>
      </c>
      <c r="B81" s="38">
        <f t="shared" ref="B81:H81" si="34">B79+B80</f>
        <v>1371551.7241379311</v>
      </c>
      <c r="C81" s="140">
        <f t="shared" si="34"/>
        <v>2491293.1034482759</v>
      </c>
      <c r="D81" s="39">
        <f t="shared" si="34"/>
        <v>2366982.7586206896</v>
      </c>
      <c r="E81" s="68">
        <f t="shared" si="34"/>
        <v>2011724.1379310347</v>
      </c>
      <c r="F81" s="38">
        <f t="shared" si="34"/>
        <v>5093879.3103448283</v>
      </c>
      <c r="G81" s="38">
        <f t="shared" si="34"/>
        <v>6428965.5172413802</v>
      </c>
      <c r="H81" s="176">
        <f t="shared" si="34"/>
        <v>6535689.6551724141</v>
      </c>
      <c r="I81" s="38">
        <f>I79+I80</f>
        <v>26300086.206896555</v>
      </c>
      <c r="J81" s="379">
        <f>CEDRITOS!$I81/7</f>
        <v>3757155.1724137934</v>
      </c>
    </row>
    <row r="82" spans="1:12" x14ac:dyDescent="0.25">
      <c r="A82" s="100" t="s">
        <v>33</v>
      </c>
      <c r="B82" s="135">
        <f t="shared" ref="B82:H82" si="35">B81*16%</f>
        <v>219448.27586206899</v>
      </c>
      <c r="C82" s="174">
        <f t="shared" si="35"/>
        <v>398606.89655172417</v>
      </c>
      <c r="D82" s="175">
        <f t="shared" si="35"/>
        <v>378717.24137931032</v>
      </c>
      <c r="E82" s="177">
        <f t="shared" si="35"/>
        <v>321875.86206896557</v>
      </c>
      <c r="F82" s="135">
        <f t="shared" si="35"/>
        <v>815020.68965517252</v>
      </c>
      <c r="G82" s="135">
        <f t="shared" si="35"/>
        <v>1028634.4827586209</v>
      </c>
      <c r="H82" s="166">
        <f t="shared" si="35"/>
        <v>1045710.3448275863</v>
      </c>
      <c r="I82" s="135">
        <f>I81*16%</f>
        <v>4208013.793103449</v>
      </c>
      <c r="J82" s="377">
        <f>CEDRITOS!$I82/7</f>
        <v>601144.82758620696</v>
      </c>
    </row>
    <row r="83" spans="1:12" x14ac:dyDescent="0.25">
      <c r="A83" s="118" t="s">
        <v>34</v>
      </c>
      <c r="B83" s="178">
        <f t="shared" ref="B83:H83" si="36">B81+B82</f>
        <v>1591000</v>
      </c>
      <c r="C83" s="179">
        <f t="shared" si="36"/>
        <v>2889900</v>
      </c>
      <c r="D83" s="180">
        <f t="shared" si="36"/>
        <v>2745700</v>
      </c>
      <c r="E83" s="181">
        <f t="shared" si="36"/>
        <v>2333600</v>
      </c>
      <c r="F83" s="178">
        <f t="shared" si="36"/>
        <v>5908900.0000000009</v>
      </c>
      <c r="G83" s="178">
        <f t="shared" si="36"/>
        <v>7457600.0000000009</v>
      </c>
      <c r="H83" s="182">
        <f t="shared" si="36"/>
        <v>7581400</v>
      </c>
      <c r="I83" s="178">
        <f>I81+I82</f>
        <v>30508100.000000004</v>
      </c>
      <c r="J83" s="380">
        <f>CEDRITOS!$I83/7</f>
        <v>4358300.0000000009</v>
      </c>
    </row>
    <row r="84" spans="1:12" x14ac:dyDescent="0.25">
      <c r="A84" s="149"/>
      <c r="B84" s="70"/>
      <c r="C84" s="70"/>
      <c r="D84" s="183"/>
      <c r="E84" s="183"/>
      <c r="F84" s="183"/>
      <c r="G84" s="183"/>
      <c r="H84" s="70"/>
      <c r="I84" s="70"/>
      <c r="J84" s="184"/>
    </row>
    <row r="85" spans="1:12" x14ac:dyDescent="0.25">
      <c r="A85" s="149"/>
      <c r="B85" s="185"/>
      <c r="C85" s="185"/>
      <c r="D85" s="150"/>
      <c r="E85" s="150"/>
      <c r="F85" s="150"/>
      <c r="G85" s="150"/>
      <c r="H85" s="185"/>
      <c r="I85" s="185"/>
    </row>
    <row r="86" spans="1:12" ht="26.25" x14ac:dyDescent="0.25">
      <c r="B86" s="1004" t="s">
        <v>356</v>
      </c>
      <c r="C86" s="1004"/>
      <c r="D86" s="1004"/>
      <c r="E86" s="1004"/>
      <c r="F86" s="1004"/>
      <c r="G86" s="1004"/>
      <c r="H86" s="1004"/>
    </row>
    <row r="87" spans="1:12" ht="15.75" x14ac:dyDescent="0.25">
      <c r="A87" s="187" t="s">
        <v>2</v>
      </c>
      <c r="B87" s="50" t="s">
        <v>89</v>
      </c>
      <c r="C87" s="50" t="s">
        <v>90</v>
      </c>
      <c r="D87" s="51" t="s">
        <v>91</v>
      </c>
      <c r="E87" s="52" t="s">
        <v>92</v>
      </c>
      <c r="F87" s="50" t="s">
        <v>93</v>
      </c>
      <c r="G87" s="51" t="s">
        <v>94</v>
      </c>
      <c r="H87" s="50" t="s">
        <v>95</v>
      </c>
      <c r="I87" s="50" t="s">
        <v>96</v>
      </c>
      <c r="J87" s="52" t="s">
        <v>97</v>
      </c>
    </row>
    <row r="88" spans="1:12" x14ac:dyDescent="0.25">
      <c r="A88" s="336" t="s">
        <v>11</v>
      </c>
      <c r="B88" s="55">
        <v>0</v>
      </c>
      <c r="C88" s="56">
        <v>51</v>
      </c>
      <c r="D88" s="55">
        <v>79</v>
      </c>
      <c r="E88" s="58">
        <v>71</v>
      </c>
      <c r="F88" s="57">
        <v>148</v>
      </c>
      <c r="G88" s="58">
        <v>271</v>
      </c>
      <c r="H88" s="57">
        <v>204</v>
      </c>
      <c r="I88" s="311">
        <f>SUM(B88:H88)</f>
        <v>824</v>
      </c>
      <c r="J88" s="381">
        <f>+I88/7</f>
        <v>117.71428571428571</v>
      </c>
      <c r="L88">
        <f>F94+G94+H94+I122+I150+I178+I206</f>
        <v>4553</v>
      </c>
    </row>
    <row r="89" spans="1:12" x14ac:dyDescent="0.25">
      <c r="A89" s="146" t="s">
        <v>12</v>
      </c>
      <c r="B89" s="11">
        <v>0</v>
      </c>
      <c r="C89" s="11">
        <v>26</v>
      </c>
      <c r="D89" s="11">
        <v>35</v>
      </c>
      <c r="E89" s="11">
        <v>45</v>
      </c>
      <c r="F89" s="11">
        <v>54</v>
      </c>
      <c r="G89" s="11">
        <v>78</v>
      </c>
      <c r="H89" s="11">
        <v>82</v>
      </c>
      <c r="I89" s="11">
        <f>SUM(CEDRITOS!$B89:$H89)</f>
        <v>320</v>
      </c>
      <c r="J89" s="78">
        <f t="shared" ref="J89:J94" si="37">I89/7</f>
        <v>45.714285714285715</v>
      </c>
      <c r="L89" s="89"/>
    </row>
    <row r="90" spans="1:12" x14ac:dyDescent="0.25">
      <c r="A90" s="146" t="s">
        <v>13</v>
      </c>
      <c r="B90" s="11">
        <v>0</v>
      </c>
      <c r="C90" s="11">
        <v>5</v>
      </c>
      <c r="D90" s="11">
        <v>13</v>
      </c>
      <c r="E90" s="11">
        <v>9</v>
      </c>
      <c r="F90" s="11">
        <v>39</v>
      </c>
      <c r="G90" s="11">
        <v>45</v>
      </c>
      <c r="H90" s="11">
        <v>67</v>
      </c>
      <c r="I90" s="11">
        <f>SUM(CEDRITOS!$B90:$H90)</f>
        <v>178</v>
      </c>
      <c r="J90" s="78">
        <f t="shared" si="37"/>
        <v>25.428571428571427</v>
      </c>
    </row>
    <row r="91" spans="1:12" x14ac:dyDescent="0.25">
      <c r="A91" s="146" t="s">
        <v>14</v>
      </c>
      <c r="B91" s="11">
        <v>0</v>
      </c>
      <c r="C91" s="11">
        <v>25</v>
      </c>
      <c r="D91" s="11">
        <v>35</v>
      </c>
      <c r="E91" s="11">
        <v>26</v>
      </c>
      <c r="F91" s="11">
        <v>56</v>
      </c>
      <c r="G91" s="11">
        <v>101</v>
      </c>
      <c r="H91" s="11">
        <v>60</v>
      </c>
      <c r="I91" s="11">
        <f>SUM(CEDRITOS!$B91:$H91)</f>
        <v>303</v>
      </c>
      <c r="J91" s="78">
        <f t="shared" si="37"/>
        <v>43.285714285714285</v>
      </c>
    </row>
    <row r="92" spans="1:12" x14ac:dyDescent="0.25">
      <c r="A92" s="146" t="s">
        <v>15</v>
      </c>
      <c r="B92" s="11">
        <v>0</v>
      </c>
      <c r="C92" s="11">
        <v>2</v>
      </c>
      <c r="D92" s="11">
        <v>1</v>
      </c>
      <c r="E92" s="11">
        <v>1</v>
      </c>
      <c r="F92" s="11">
        <v>1</v>
      </c>
      <c r="G92" s="11">
        <v>1</v>
      </c>
      <c r="H92" s="11">
        <v>0</v>
      </c>
      <c r="I92" s="11">
        <f>SUM(CEDRITOS!$B92:$H92)</f>
        <v>6</v>
      </c>
      <c r="J92" s="78">
        <f t="shared" si="37"/>
        <v>0.8571428571428571</v>
      </c>
    </row>
    <row r="93" spans="1:12" x14ac:dyDescent="0.25">
      <c r="A93" s="146" t="s">
        <v>16</v>
      </c>
      <c r="B93" s="11">
        <v>0</v>
      </c>
      <c r="C93" s="11"/>
      <c r="D93" s="11">
        <v>0</v>
      </c>
      <c r="E93" s="11">
        <v>1</v>
      </c>
      <c r="F93" s="11">
        <v>0</v>
      </c>
      <c r="G93" s="11">
        <v>0</v>
      </c>
      <c r="H93" s="11">
        <v>0</v>
      </c>
      <c r="I93" s="11">
        <f>SUM(CEDRITOS!$B93:$H93)</f>
        <v>1</v>
      </c>
      <c r="J93" s="78">
        <f t="shared" si="37"/>
        <v>0.14285714285714285</v>
      </c>
    </row>
    <row r="94" spans="1:12" x14ac:dyDescent="0.25">
      <c r="A94" s="103" t="s">
        <v>17</v>
      </c>
      <c r="B94" s="192">
        <f>SUM(B89:B93)</f>
        <v>0</v>
      </c>
      <c r="C94" s="192">
        <f t="shared" ref="C94:H94" si="38">SUM(C89:C93)</f>
        <v>58</v>
      </c>
      <c r="D94" s="192">
        <f t="shared" si="38"/>
        <v>84</v>
      </c>
      <c r="E94" s="192">
        <f t="shared" si="38"/>
        <v>82</v>
      </c>
      <c r="F94" s="192">
        <f t="shared" si="38"/>
        <v>150</v>
      </c>
      <c r="G94" s="192">
        <f t="shared" si="38"/>
        <v>225</v>
      </c>
      <c r="H94" s="192">
        <f t="shared" si="38"/>
        <v>209</v>
      </c>
      <c r="I94" s="192">
        <f>SUM(I89:I93)</f>
        <v>808</v>
      </c>
      <c r="J94" s="193">
        <f t="shared" si="37"/>
        <v>115.42857142857143</v>
      </c>
    </row>
    <row r="95" spans="1:12" x14ac:dyDescent="0.25">
      <c r="A95" s="146" t="s">
        <v>18</v>
      </c>
      <c r="B95" s="30">
        <v>0</v>
      </c>
      <c r="C95" s="30">
        <v>0.55000000000000004</v>
      </c>
      <c r="D95" s="30">
        <v>0.53</v>
      </c>
      <c r="E95" s="30">
        <v>0.63</v>
      </c>
      <c r="F95" s="30">
        <v>0.4</v>
      </c>
      <c r="G95" s="30">
        <v>0.43</v>
      </c>
      <c r="H95" s="30">
        <v>0.4</v>
      </c>
      <c r="I95" s="30">
        <f>I102/I107</f>
        <v>0.45111686293764175</v>
      </c>
      <c r="J95" s="30">
        <f>J102/J107</f>
        <v>0.45111686293764164</v>
      </c>
    </row>
    <row r="96" spans="1:12" x14ac:dyDescent="0.25">
      <c r="A96" s="146" t="s">
        <v>19</v>
      </c>
      <c r="B96" s="30">
        <v>0</v>
      </c>
      <c r="C96" s="30">
        <v>0.12</v>
      </c>
      <c r="D96" s="30">
        <v>0.15</v>
      </c>
      <c r="E96" s="30">
        <v>0.09</v>
      </c>
      <c r="F96" s="30">
        <v>0.26</v>
      </c>
      <c r="G96" s="30">
        <v>0.19</v>
      </c>
      <c r="H96" s="30">
        <v>0.34</v>
      </c>
      <c r="I96" s="30">
        <f>I103/I107</f>
        <v>0.22550580185267424</v>
      </c>
      <c r="J96" s="30">
        <f>J103/J107</f>
        <v>0.22550580185267421</v>
      </c>
    </row>
    <row r="97" spans="1:12" x14ac:dyDescent="0.25">
      <c r="A97" s="146" t="s">
        <v>20</v>
      </c>
      <c r="B97" s="30">
        <v>0</v>
      </c>
      <c r="C97" s="30">
        <v>0.27</v>
      </c>
      <c r="D97" s="30">
        <v>0.31</v>
      </c>
      <c r="E97" s="30">
        <v>0.27</v>
      </c>
      <c r="F97" s="30">
        <v>0.34</v>
      </c>
      <c r="G97" s="30">
        <v>0.37</v>
      </c>
      <c r="H97" s="30">
        <v>0.26</v>
      </c>
      <c r="I97" s="30">
        <f>I104/I107</f>
        <v>0.31477311450696155</v>
      </c>
      <c r="J97" s="30">
        <f>J104/J107</f>
        <v>0.31477311450696155</v>
      </c>
    </row>
    <row r="98" spans="1:12" x14ac:dyDescent="0.25">
      <c r="A98" s="146" t="s">
        <v>21</v>
      </c>
      <c r="B98" s="30">
        <v>0</v>
      </c>
      <c r="C98" s="30">
        <v>0.06</v>
      </c>
      <c r="D98" s="30">
        <v>0.01</v>
      </c>
      <c r="E98" s="30">
        <v>0</v>
      </c>
      <c r="F98" s="30">
        <v>0</v>
      </c>
      <c r="G98" s="30">
        <v>0.01</v>
      </c>
      <c r="H98" s="30">
        <v>0</v>
      </c>
      <c r="I98" s="30">
        <f>I105/I107</f>
        <v>7.6806130938532726E-3</v>
      </c>
      <c r="J98" s="30">
        <f>J105/J107</f>
        <v>7.6806130938532717E-3</v>
      </c>
    </row>
    <row r="99" spans="1:12" x14ac:dyDescent="0.25">
      <c r="A99" s="146" t="s">
        <v>22</v>
      </c>
      <c r="B99" s="30">
        <v>0</v>
      </c>
      <c r="C99" s="30">
        <v>0</v>
      </c>
      <c r="D99" s="30">
        <v>0</v>
      </c>
      <c r="E99" s="30">
        <v>0.01</v>
      </c>
      <c r="F99" s="30">
        <v>0</v>
      </c>
      <c r="G99" s="30">
        <v>0</v>
      </c>
      <c r="H99" s="30">
        <v>0</v>
      </c>
      <c r="I99" s="30">
        <f>I106/I107</f>
        <v>9.236076088694296E-4</v>
      </c>
      <c r="J99" s="30">
        <f>J106/J107</f>
        <v>9.236076088694296E-4</v>
      </c>
    </row>
    <row r="100" spans="1:12" x14ac:dyDescent="0.25">
      <c r="A100" s="195" t="s">
        <v>23</v>
      </c>
      <c r="B100" s="66" t="e">
        <f>B111/B94</f>
        <v>#DIV/0!</v>
      </c>
      <c r="C100" s="66">
        <f t="shared" ref="C100:H100" si="39">C111/C94</f>
        <v>26829.310344827591</v>
      </c>
      <c r="D100" s="66">
        <f t="shared" si="39"/>
        <v>26126.190476190477</v>
      </c>
      <c r="E100" s="66">
        <f t="shared" si="39"/>
        <v>28735.365853658535</v>
      </c>
      <c r="F100" s="66">
        <f t="shared" si="39"/>
        <v>30178.666666666668</v>
      </c>
      <c r="G100" s="66">
        <f t="shared" si="39"/>
        <v>34668.888888888891</v>
      </c>
      <c r="H100" s="66">
        <f t="shared" si="39"/>
        <v>31864.114832535884</v>
      </c>
      <c r="I100" s="66">
        <f>I111/I94</f>
        <v>31056.80693069307</v>
      </c>
      <c r="J100" s="66">
        <f>J111/J94</f>
        <v>31056.80693069307</v>
      </c>
    </row>
    <row r="101" spans="1:12" x14ac:dyDescent="0.25">
      <c r="A101" s="195" t="s">
        <v>24</v>
      </c>
      <c r="B101" s="66" t="e">
        <f t="shared" ref="B101:I101" si="40">+B111/B88</f>
        <v>#DIV/0!</v>
      </c>
      <c r="C101" s="66">
        <f t="shared" si="40"/>
        <v>30511.764705882357</v>
      </c>
      <c r="D101" s="66">
        <f t="shared" si="40"/>
        <v>27779.746835443038</v>
      </c>
      <c r="E101" s="66">
        <f t="shared" si="40"/>
        <v>33187.32394366197</v>
      </c>
      <c r="F101" s="66">
        <f t="shared" si="40"/>
        <v>30586.486486486487</v>
      </c>
      <c r="G101" s="66">
        <f t="shared" si="40"/>
        <v>28784.132841328414</v>
      </c>
      <c r="H101" s="66">
        <f t="shared" si="40"/>
        <v>32645.098039215685</v>
      </c>
      <c r="I101" s="66">
        <f t="shared" si="40"/>
        <v>30453.76213592233</v>
      </c>
      <c r="J101" s="66">
        <f>J111/J88</f>
        <v>30453.762135922334</v>
      </c>
    </row>
    <row r="102" spans="1:12" x14ac:dyDescent="0.25">
      <c r="A102" s="146" t="s">
        <v>25</v>
      </c>
      <c r="B102" s="92">
        <f t="shared" ref="B102:H102" si="41">B107*B95</f>
        <v>0</v>
      </c>
      <c r="C102" s="92">
        <f t="shared" si="41"/>
        <v>706989.53448275873</v>
      </c>
      <c r="D102" s="92">
        <f t="shared" si="41"/>
        <v>962729.92241379316</v>
      </c>
      <c r="E102" s="92">
        <f t="shared" si="41"/>
        <v>1218620.4051724139</v>
      </c>
      <c r="F102" s="92">
        <f t="shared" si="41"/>
        <v>1514417.5172413795</v>
      </c>
      <c r="G102" s="31">
        <f t="shared" si="41"/>
        <v>2819285.955172414</v>
      </c>
      <c r="H102" s="31">
        <f t="shared" si="41"/>
        <v>2225729.7931034486</v>
      </c>
      <c r="I102" s="31">
        <f t="shared" ref="I102:I107" si="42">SUM(B102:H102)</f>
        <v>9447773.1275862083</v>
      </c>
      <c r="J102" s="31">
        <f t="shared" ref="J102:J111" si="43">I102/7</f>
        <v>1349681.8753694582</v>
      </c>
    </row>
    <row r="103" spans="1:12" x14ac:dyDescent="0.25">
      <c r="A103" s="146" t="s">
        <v>26</v>
      </c>
      <c r="B103" s="92">
        <f t="shared" ref="B103:H103" si="44">B107*B96</f>
        <v>0</v>
      </c>
      <c r="C103" s="92">
        <f t="shared" si="44"/>
        <v>154252.26206896553</v>
      </c>
      <c r="D103" s="92">
        <f t="shared" si="44"/>
        <v>272470.7327586207</v>
      </c>
      <c r="E103" s="92">
        <f t="shared" si="44"/>
        <v>174088.62931034484</v>
      </c>
      <c r="F103" s="92">
        <f t="shared" si="44"/>
        <v>984371.38620689663</v>
      </c>
      <c r="G103" s="31">
        <f t="shared" si="44"/>
        <v>1245731.0034482758</v>
      </c>
      <c r="H103" s="31">
        <f t="shared" si="44"/>
        <v>1891870.3241379312</v>
      </c>
      <c r="I103" s="31">
        <f t="shared" si="42"/>
        <v>4722784.3379310351</v>
      </c>
      <c r="J103" s="31">
        <f t="shared" si="43"/>
        <v>674683.47684729076</v>
      </c>
    </row>
    <row r="104" spans="1:12" x14ac:dyDescent="0.25">
      <c r="A104" s="146" t="s">
        <v>27</v>
      </c>
      <c r="B104" s="92">
        <f t="shared" ref="B104:H104" si="45">B107*B97</f>
        <v>0</v>
      </c>
      <c r="C104" s="92">
        <f t="shared" si="45"/>
        <v>347067.58965517249</v>
      </c>
      <c r="D104" s="92">
        <f t="shared" si="45"/>
        <v>563106.18103448278</v>
      </c>
      <c r="E104" s="92">
        <f t="shared" si="45"/>
        <v>522265.88793103455</v>
      </c>
      <c r="F104" s="92">
        <f t="shared" si="45"/>
        <v>1287254.8896551726</v>
      </c>
      <c r="G104" s="31">
        <f t="shared" si="45"/>
        <v>2425897.2172413794</v>
      </c>
      <c r="H104" s="31">
        <f t="shared" si="45"/>
        <v>1446724.3655172414</v>
      </c>
      <c r="I104" s="31">
        <f t="shared" si="42"/>
        <v>6592316.1310344841</v>
      </c>
      <c r="J104" s="31">
        <f t="shared" si="43"/>
        <v>941759.44729064056</v>
      </c>
    </row>
    <row r="105" spans="1:12" x14ac:dyDescent="0.25">
      <c r="A105" s="146" t="s">
        <v>28</v>
      </c>
      <c r="B105" s="92">
        <f t="shared" ref="B105:H105" si="46">B107*B98</f>
        <v>0</v>
      </c>
      <c r="C105" s="92">
        <f t="shared" si="46"/>
        <v>77126.131034482765</v>
      </c>
      <c r="D105" s="92">
        <f t="shared" si="46"/>
        <v>18164.71551724138</v>
      </c>
      <c r="E105" s="92">
        <f t="shared" si="46"/>
        <v>0</v>
      </c>
      <c r="F105" s="92">
        <f t="shared" si="46"/>
        <v>0</v>
      </c>
      <c r="G105" s="31">
        <f t="shared" si="46"/>
        <v>65564.789655172412</v>
      </c>
      <c r="H105" s="31">
        <f t="shared" si="46"/>
        <v>0</v>
      </c>
      <c r="I105" s="31">
        <f t="shared" si="42"/>
        <v>160855.63620689657</v>
      </c>
      <c r="J105" s="31">
        <f t="shared" si="43"/>
        <v>22979.376600985222</v>
      </c>
    </row>
    <row r="106" spans="1:12" x14ac:dyDescent="0.25">
      <c r="A106" s="146" t="s">
        <v>29</v>
      </c>
      <c r="B106" s="92">
        <f>B110*B99</f>
        <v>0</v>
      </c>
      <c r="C106" s="92">
        <f t="shared" ref="C106:H106" si="47">C107*C99</f>
        <v>0</v>
      </c>
      <c r="D106" s="92">
        <f t="shared" si="47"/>
        <v>0</v>
      </c>
      <c r="E106" s="92">
        <f t="shared" si="47"/>
        <v>19343.181034482761</v>
      </c>
      <c r="F106" s="92">
        <f t="shared" si="47"/>
        <v>0</v>
      </c>
      <c r="G106" s="31">
        <f t="shared" si="47"/>
        <v>0</v>
      </c>
      <c r="H106" s="31">
        <f t="shared" si="47"/>
        <v>0</v>
      </c>
      <c r="I106" s="31">
        <f t="shared" si="42"/>
        <v>19343.181034482761</v>
      </c>
      <c r="J106" s="31">
        <f t="shared" si="43"/>
        <v>2763.3115763546803</v>
      </c>
    </row>
    <row r="107" spans="1:12" x14ac:dyDescent="0.25">
      <c r="A107" s="196" t="s">
        <v>30</v>
      </c>
      <c r="B107" s="91"/>
      <c r="C107" s="91">
        <f>(1556100/1.16)-C108</f>
        <v>1285435.5172413795</v>
      </c>
      <c r="D107" s="91">
        <f>(2194600/1.16)-D108</f>
        <v>1816471.551724138</v>
      </c>
      <c r="E107" s="91">
        <f>(2356300/1.16)-E108</f>
        <v>1934318.1034482759</v>
      </c>
      <c r="F107" s="91">
        <f>(4526800/1.16)-F108</f>
        <v>3786043.7931034486</v>
      </c>
      <c r="G107" s="197">
        <f>(7800500/1.16)-G108</f>
        <v>6556478.9655172415</v>
      </c>
      <c r="H107" s="197">
        <f>(6659600/1.16)-H108</f>
        <v>5564324.4827586208</v>
      </c>
      <c r="I107" s="197">
        <f t="shared" si="42"/>
        <v>20943072.413793102</v>
      </c>
      <c r="J107" s="197">
        <f t="shared" si="43"/>
        <v>2991867.487684729</v>
      </c>
    </row>
    <row r="108" spans="1:12" x14ac:dyDescent="0.25">
      <c r="A108" s="146" t="s">
        <v>31</v>
      </c>
      <c r="B108" s="92">
        <f>A112*B89</f>
        <v>0</v>
      </c>
      <c r="C108" s="92">
        <f t="shared" ref="C108:I108" si="48">2155*C89</f>
        <v>56030</v>
      </c>
      <c r="D108" s="92">
        <f t="shared" si="48"/>
        <v>75425</v>
      </c>
      <c r="E108" s="92">
        <f t="shared" si="48"/>
        <v>96975</v>
      </c>
      <c r="F108" s="92">
        <f t="shared" si="48"/>
        <v>116370</v>
      </c>
      <c r="G108" s="31">
        <f t="shared" si="48"/>
        <v>168090</v>
      </c>
      <c r="H108" s="31">
        <f t="shared" si="48"/>
        <v>176710</v>
      </c>
      <c r="I108" s="31">
        <f t="shared" si="48"/>
        <v>689600</v>
      </c>
      <c r="J108" s="31">
        <f t="shared" si="43"/>
        <v>98514.28571428571</v>
      </c>
    </row>
    <row r="109" spans="1:12" x14ac:dyDescent="0.25">
      <c r="A109" s="198" t="s">
        <v>32</v>
      </c>
      <c r="B109" s="199">
        <f>B108+B107</f>
        <v>0</v>
      </c>
      <c r="C109" s="199">
        <f t="shared" ref="C109:H109" si="49">C108+C107</f>
        <v>1341465.5172413795</v>
      </c>
      <c r="D109" s="199">
        <f t="shared" si="49"/>
        <v>1891896.551724138</v>
      </c>
      <c r="E109" s="199">
        <f t="shared" si="49"/>
        <v>2031293.1034482759</v>
      </c>
      <c r="F109" s="199">
        <f>F107+F108</f>
        <v>3902413.7931034486</v>
      </c>
      <c r="G109" s="199">
        <f t="shared" si="49"/>
        <v>6724568.9655172415</v>
      </c>
      <c r="H109" s="199">
        <f t="shared" si="49"/>
        <v>5741034.4827586208</v>
      </c>
      <c r="I109" s="199">
        <f>I107+I108</f>
        <v>21632672.413793102</v>
      </c>
      <c r="J109" s="200">
        <f t="shared" si="43"/>
        <v>3090381.7733990145</v>
      </c>
      <c r="L109" s="89"/>
    </row>
    <row r="110" spans="1:12" x14ac:dyDescent="0.25">
      <c r="A110" s="146" t="s">
        <v>33</v>
      </c>
      <c r="B110" s="94">
        <f>B109*16%</f>
        <v>0</v>
      </c>
      <c r="C110" s="94">
        <f t="shared" ref="C110:H110" si="50">C109*16%</f>
        <v>214634.48275862072</v>
      </c>
      <c r="D110" s="94">
        <f t="shared" si="50"/>
        <v>302703.44827586209</v>
      </c>
      <c r="E110" s="94">
        <f t="shared" si="50"/>
        <v>325006.89655172417</v>
      </c>
      <c r="F110" s="94">
        <f t="shared" si="50"/>
        <v>624386.20689655177</v>
      </c>
      <c r="G110" s="94">
        <f t="shared" si="50"/>
        <v>1075931.0344827587</v>
      </c>
      <c r="H110" s="94">
        <f t="shared" si="50"/>
        <v>918565.51724137936</v>
      </c>
      <c r="I110" s="94">
        <f>I109*16%</f>
        <v>3461227.5862068962</v>
      </c>
      <c r="J110" s="31">
        <f t="shared" si="43"/>
        <v>494461.08374384232</v>
      </c>
    </row>
    <row r="111" spans="1:12" x14ac:dyDescent="0.25">
      <c r="A111" s="201" t="s">
        <v>34</v>
      </c>
      <c r="B111" s="202">
        <v>5600</v>
      </c>
      <c r="C111" s="202">
        <f t="shared" ref="C111:H111" si="51">C109+C110</f>
        <v>1556100.0000000002</v>
      </c>
      <c r="D111" s="202">
        <f t="shared" si="51"/>
        <v>2194600</v>
      </c>
      <c r="E111" s="202">
        <f t="shared" si="51"/>
        <v>2356300</v>
      </c>
      <c r="F111" s="202">
        <f t="shared" si="51"/>
        <v>4526800</v>
      </c>
      <c r="G111" s="202">
        <f t="shared" si="51"/>
        <v>7800500</v>
      </c>
      <c r="H111" s="202">
        <f t="shared" si="51"/>
        <v>6659600</v>
      </c>
      <c r="I111" s="202">
        <f>I109+I110</f>
        <v>25093900</v>
      </c>
      <c r="J111" s="203">
        <f t="shared" si="43"/>
        <v>3584842.8571428573</v>
      </c>
      <c r="L111" s="89"/>
    </row>
    <row r="113" spans="1:10" ht="14.25" customHeight="1" x14ac:dyDescent="0.25"/>
    <row r="114" spans="1:10" ht="26.25" x14ac:dyDescent="0.25">
      <c r="B114" s="1007" t="s">
        <v>357</v>
      </c>
      <c r="C114" s="1007"/>
      <c r="D114" s="1007"/>
      <c r="E114" s="1007"/>
      <c r="F114" s="1007"/>
      <c r="G114" s="1007"/>
      <c r="H114" s="1007"/>
    </row>
    <row r="115" spans="1:10" ht="15.75" x14ac:dyDescent="0.25">
      <c r="A115" s="187" t="s">
        <v>2</v>
      </c>
      <c r="B115" s="50" t="s">
        <v>99</v>
      </c>
      <c r="C115" s="50" t="s">
        <v>100</v>
      </c>
      <c r="D115" s="51" t="s">
        <v>101</v>
      </c>
      <c r="E115" s="52" t="s">
        <v>102</v>
      </c>
      <c r="F115" s="50" t="s">
        <v>103</v>
      </c>
      <c r="G115" s="51" t="s">
        <v>104</v>
      </c>
      <c r="H115" s="50" t="s">
        <v>105</v>
      </c>
      <c r="I115" s="50" t="s">
        <v>96</v>
      </c>
      <c r="J115" s="52" t="s">
        <v>97</v>
      </c>
    </row>
    <row r="116" spans="1:10" x14ac:dyDescent="0.25">
      <c r="A116" s="336" t="s">
        <v>11</v>
      </c>
      <c r="B116" s="75">
        <v>70</v>
      </c>
      <c r="C116" s="75">
        <v>59</v>
      </c>
      <c r="D116" s="75">
        <v>84</v>
      </c>
      <c r="E116" s="316">
        <v>83</v>
      </c>
      <c r="F116" s="316">
        <v>130</v>
      </c>
      <c r="G116" s="316">
        <v>216</v>
      </c>
      <c r="H116" s="316">
        <v>192</v>
      </c>
      <c r="I116" s="316">
        <f>SUM(B116:H116)</f>
        <v>834</v>
      </c>
      <c r="J116" s="381">
        <f>+I116/7</f>
        <v>119.14285714285714</v>
      </c>
    </row>
    <row r="117" spans="1:10" x14ac:dyDescent="0.25">
      <c r="A117" s="146" t="s">
        <v>12</v>
      </c>
      <c r="B117" s="11">
        <v>46</v>
      </c>
      <c r="C117" s="11">
        <v>24</v>
      </c>
      <c r="D117" s="11">
        <v>43</v>
      </c>
      <c r="E117" s="11">
        <v>30</v>
      </c>
      <c r="F117" s="11">
        <v>37</v>
      </c>
      <c r="G117" s="11">
        <v>81</v>
      </c>
      <c r="H117" s="11">
        <v>79</v>
      </c>
      <c r="I117" s="11">
        <f>SUM(CEDRITOS!$B117:$H117)</f>
        <v>340</v>
      </c>
      <c r="J117" s="78">
        <f t="shared" ref="J117:J122" si="52">I117/7</f>
        <v>48.571428571428569</v>
      </c>
    </row>
    <row r="118" spans="1:10" x14ac:dyDescent="0.25">
      <c r="A118" s="146" t="s">
        <v>13</v>
      </c>
      <c r="B118" s="11">
        <v>2</v>
      </c>
      <c r="C118" s="11">
        <v>10</v>
      </c>
      <c r="D118" s="11">
        <v>8</v>
      </c>
      <c r="E118" s="11">
        <v>14</v>
      </c>
      <c r="F118" s="11">
        <v>3</v>
      </c>
      <c r="G118" s="11">
        <v>30</v>
      </c>
      <c r="H118" s="11">
        <v>20</v>
      </c>
      <c r="I118" s="11">
        <f>SUM(CEDRITOS!$B118:$H118)</f>
        <v>87</v>
      </c>
      <c r="J118" s="78">
        <f t="shared" si="52"/>
        <v>12.428571428571429</v>
      </c>
    </row>
    <row r="119" spans="1:10" x14ac:dyDescent="0.25">
      <c r="A119" s="146" t="s">
        <v>14</v>
      </c>
      <c r="B119" s="11">
        <v>47</v>
      </c>
      <c r="C119" s="11">
        <v>33</v>
      </c>
      <c r="D119" s="11">
        <v>31</v>
      </c>
      <c r="E119" s="11">
        <v>36</v>
      </c>
      <c r="F119" s="11">
        <v>102</v>
      </c>
      <c r="G119" s="11">
        <v>86</v>
      </c>
      <c r="H119" s="11">
        <v>74</v>
      </c>
      <c r="I119" s="11">
        <f>SUM(CEDRITOS!$B119:$H119)</f>
        <v>409</v>
      </c>
      <c r="J119" s="78">
        <f t="shared" si="52"/>
        <v>58.428571428571431</v>
      </c>
    </row>
    <row r="120" spans="1:10" x14ac:dyDescent="0.25">
      <c r="A120" s="146" t="s">
        <v>15</v>
      </c>
      <c r="B120" s="11">
        <v>1</v>
      </c>
      <c r="C120" s="11">
        <v>2</v>
      </c>
      <c r="D120" s="11">
        <v>3</v>
      </c>
      <c r="E120" s="11">
        <v>0</v>
      </c>
      <c r="F120" s="11">
        <v>3</v>
      </c>
      <c r="G120" s="11">
        <v>4</v>
      </c>
      <c r="H120" s="11">
        <v>2</v>
      </c>
      <c r="I120" s="11">
        <f>SUM(CEDRITOS!$B120:$H120)</f>
        <v>15</v>
      </c>
      <c r="J120" s="78">
        <f t="shared" si="52"/>
        <v>2.1428571428571428</v>
      </c>
    </row>
    <row r="121" spans="1:10" x14ac:dyDescent="0.25">
      <c r="A121" s="146" t="s">
        <v>16</v>
      </c>
      <c r="B121" s="11">
        <v>0</v>
      </c>
      <c r="C121" s="11">
        <v>0</v>
      </c>
      <c r="D121" s="11">
        <v>1</v>
      </c>
      <c r="E121" s="11">
        <v>0</v>
      </c>
      <c r="F121" s="11">
        <v>0</v>
      </c>
      <c r="G121" s="11">
        <v>2</v>
      </c>
      <c r="H121" s="86" t="s">
        <v>411</v>
      </c>
      <c r="I121" s="11">
        <f>SUM(CEDRITOS!$B121:$H121)</f>
        <v>3</v>
      </c>
      <c r="J121" s="78">
        <f t="shared" si="52"/>
        <v>0.42857142857142855</v>
      </c>
    </row>
    <row r="122" spans="1:10" x14ac:dyDescent="0.25">
      <c r="A122" s="103" t="s">
        <v>17</v>
      </c>
      <c r="B122" s="192">
        <f>SUM(B117:B121)</f>
        <v>96</v>
      </c>
      <c r="C122" s="192">
        <f t="shared" ref="C122:I122" si="53">SUM(C117:C121)</f>
        <v>69</v>
      </c>
      <c r="D122" s="192">
        <f t="shared" si="53"/>
        <v>86</v>
      </c>
      <c r="E122" s="192">
        <f t="shared" si="53"/>
        <v>80</v>
      </c>
      <c r="F122" s="192">
        <f t="shared" si="53"/>
        <v>145</v>
      </c>
      <c r="G122" s="192">
        <f t="shared" si="53"/>
        <v>203</v>
      </c>
      <c r="H122" s="192">
        <f t="shared" si="53"/>
        <v>175</v>
      </c>
      <c r="I122" s="192">
        <f t="shared" si="53"/>
        <v>854</v>
      </c>
      <c r="J122" s="193">
        <f t="shared" si="52"/>
        <v>122</v>
      </c>
    </row>
    <row r="123" spans="1:10" x14ac:dyDescent="0.25">
      <c r="A123" s="146" t="s">
        <v>18</v>
      </c>
      <c r="B123" s="30">
        <v>0.57999999999999996</v>
      </c>
      <c r="C123" s="30">
        <v>0.38</v>
      </c>
      <c r="D123" s="30">
        <v>0.56999999999999995</v>
      </c>
      <c r="E123" s="30">
        <v>0.43</v>
      </c>
      <c r="F123" s="30">
        <v>0.28000000000000003</v>
      </c>
      <c r="G123" s="30">
        <v>0.44</v>
      </c>
      <c r="H123" s="30">
        <v>0.53</v>
      </c>
      <c r="I123" s="30">
        <f>I130/I135</f>
        <v>0.45172539845815912</v>
      </c>
      <c r="J123" s="30">
        <f>J130/J135</f>
        <v>0.45172539845815918</v>
      </c>
    </row>
    <row r="124" spans="1:10" x14ac:dyDescent="0.25">
      <c r="A124" s="146" t="s">
        <v>19</v>
      </c>
      <c r="B124" s="30">
        <v>0.01</v>
      </c>
      <c r="C124" s="30">
        <v>0.12</v>
      </c>
      <c r="D124" s="30">
        <v>7.0000000000000007E-2</v>
      </c>
      <c r="E124" s="30">
        <v>0.16</v>
      </c>
      <c r="F124" s="30">
        <v>0.02</v>
      </c>
      <c r="G124" s="30">
        <v>0.15</v>
      </c>
      <c r="H124" s="30">
        <v>0.09</v>
      </c>
      <c r="I124" s="30">
        <f>I131/I135</f>
        <v>9.2152437065750895E-2</v>
      </c>
      <c r="J124" s="30">
        <f>J131/J135</f>
        <v>9.2152437065750881E-2</v>
      </c>
    </row>
    <row r="125" spans="1:10" x14ac:dyDescent="0.25">
      <c r="A125" s="146" t="s">
        <v>20</v>
      </c>
      <c r="B125" s="30">
        <v>0.4</v>
      </c>
      <c r="C125" s="30">
        <v>0.46</v>
      </c>
      <c r="D125" s="30">
        <v>0.32</v>
      </c>
      <c r="E125" s="30">
        <v>0.41</v>
      </c>
      <c r="F125" s="30">
        <v>0.68</v>
      </c>
      <c r="G125" s="30">
        <v>0.38</v>
      </c>
      <c r="H125" s="30">
        <v>0.37</v>
      </c>
      <c r="I125" s="30">
        <f>I132/I135</f>
        <v>0.43502040854244045</v>
      </c>
      <c r="J125" s="30">
        <f>J132/J135</f>
        <v>0.43502040854244051</v>
      </c>
    </row>
    <row r="126" spans="1:10" x14ac:dyDescent="0.25">
      <c r="A126" s="146" t="s">
        <v>21</v>
      </c>
      <c r="B126" s="30">
        <v>0.01</v>
      </c>
      <c r="C126" s="30">
        <v>0.04</v>
      </c>
      <c r="D126" s="30">
        <v>0.03</v>
      </c>
      <c r="E126" s="30">
        <v>0</v>
      </c>
      <c r="F126" s="30">
        <v>0.02</v>
      </c>
      <c r="G126" s="30">
        <v>0.02</v>
      </c>
      <c r="H126" s="30">
        <v>0.01</v>
      </c>
      <c r="I126" s="30">
        <f>I133/I135</f>
        <v>1.7570965136932289E-2</v>
      </c>
      <c r="J126" s="30">
        <f>J133/J135</f>
        <v>1.7570965136932289E-2</v>
      </c>
    </row>
    <row r="127" spans="1:10" x14ac:dyDescent="0.25">
      <c r="A127" s="146" t="s">
        <v>22</v>
      </c>
      <c r="B127" s="30">
        <v>0</v>
      </c>
      <c r="C127" s="30">
        <v>0</v>
      </c>
      <c r="D127" s="30">
        <v>0.01</v>
      </c>
      <c r="E127" s="30">
        <v>0</v>
      </c>
      <c r="F127" s="30">
        <v>0</v>
      </c>
      <c r="G127" s="30">
        <v>0.01</v>
      </c>
      <c r="H127" s="30">
        <v>0</v>
      </c>
      <c r="I127" s="30">
        <f>I134/I135</f>
        <v>3.5307907967173069E-3</v>
      </c>
      <c r="J127" s="30">
        <f>J134/J135</f>
        <v>3.5307907967173069E-3</v>
      </c>
    </row>
    <row r="128" spans="1:10" x14ac:dyDescent="0.25">
      <c r="A128" s="195" t="s">
        <v>23</v>
      </c>
      <c r="B128" s="66">
        <f>B139/B122</f>
        <v>28194.791666666668</v>
      </c>
      <c r="C128" s="66">
        <f t="shared" ref="C128:H128" si="54">C139/C122</f>
        <v>29246.376811594204</v>
      </c>
      <c r="D128" s="66">
        <f t="shared" si="54"/>
        <v>29896.511627906977</v>
      </c>
      <c r="E128" s="66">
        <f t="shared" si="54"/>
        <v>30875</v>
      </c>
      <c r="F128" s="66">
        <f t="shared" si="54"/>
        <v>31338.620689655174</v>
      </c>
      <c r="G128" s="66">
        <f t="shared" si="54"/>
        <v>33608.866995073891</v>
      </c>
      <c r="H128" s="66">
        <f t="shared" si="54"/>
        <v>31112</v>
      </c>
      <c r="I128" s="66">
        <f>I139/I122</f>
        <v>31120.725995316159</v>
      </c>
      <c r="J128" s="66">
        <f>J139/J122</f>
        <v>31120.725995316159</v>
      </c>
    </row>
    <row r="129" spans="1:10" x14ac:dyDescent="0.25">
      <c r="A129" s="195" t="s">
        <v>24</v>
      </c>
      <c r="B129" s="66">
        <f t="shared" ref="B129:I129" si="55">+B139/B116</f>
        <v>38667.142857142855</v>
      </c>
      <c r="C129" s="66">
        <f t="shared" si="55"/>
        <v>34203.389830508473</v>
      </c>
      <c r="D129" s="66">
        <f t="shared" si="55"/>
        <v>30608.333333333332</v>
      </c>
      <c r="E129" s="66">
        <f t="shared" si="55"/>
        <v>29759.036144578313</v>
      </c>
      <c r="F129" s="66">
        <f t="shared" si="55"/>
        <v>34954.615384615383</v>
      </c>
      <c r="G129" s="66">
        <f t="shared" si="55"/>
        <v>31586.111111111109</v>
      </c>
      <c r="H129" s="66">
        <f t="shared" si="55"/>
        <v>28357.291666666668</v>
      </c>
      <c r="I129" s="66">
        <f t="shared" si="55"/>
        <v>31867.026378896884</v>
      </c>
      <c r="J129" s="66">
        <f>J139/J116</f>
        <v>31867.026378896884</v>
      </c>
    </row>
    <row r="130" spans="1:10" x14ac:dyDescent="0.25">
      <c r="A130" s="146" t="s">
        <v>25</v>
      </c>
      <c r="B130" s="92">
        <f t="shared" ref="B130:H130" si="56">B135*B123</f>
        <v>1295854.6000000001</v>
      </c>
      <c r="C130" s="92">
        <f t="shared" si="56"/>
        <v>641415.36551724141</v>
      </c>
      <c r="D130" s="92">
        <f t="shared" si="56"/>
        <v>1210566.294827586</v>
      </c>
      <c r="E130" s="92">
        <f t="shared" si="56"/>
        <v>887803.94827586215</v>
      </c>
      <c r="F130" s="92">
        <f t="shared" si="56"/>
        <v>1074525.9241379311</v>
      </c>
      <c r="G130" s="31">
        <f t="shared" si="56"/>
        <v>2511078.5586206899</v>
      </c>
      <c r="H130" s="31">
        <f t="shared" si="56"/>
        <v>2397389.1155172414</v>
      </c>
      <c r="I130" s="31">
        <f t="shared" ref="I130:I136" si="57">SUM(B130:H130)</f>
        <v>10018633.806896552</v>
      </c>
      <c r="J130" s="31">
        <f t="shared" ref="J130:J139" si="58">I130/7</f>
        <v>1431233.4009852218</v>
      </c>
    </row>
    <row r="131" spans="1:10" x14ac:dyDescent="0.25">
      <c r="A131" s="146" t="s">
        <v>26</v>
      </c>
      <c r="B131" s="92">
        <f t="shared" ref="B131:H131" si="59">B135*B124</f>
        <v>22342.320689655175</v>
      </c>
      <c r="C131" s="92">
        <f t="shared" si="59"/>
        <v>202552.22068965517</v>
      </c>
      <c r="D131" s="92">
        <f t="shared" si="59"/>
        <v>148666.03620689656</v>
      </c>
      <c r="E131" s="92">
        <f t="shared" si="59"/>
        <v>330345.6551724138</v>
      </c>
      <c r="F131" s="92">
        <f t="shared" si="59"/>
        <v>76751.85172413793</v>
      </c>
      <c r="G131" s="31">
        <f t="shared" si="59"/>
        <v>856049.50862068962</v>
      </c>
      <c r="H131" s="31">
        <f t="shared" si="59"/>
        <v>407103.81206896552</v>
      </c>
      <c r="I131" s="31">
        <f t="shared" si="57"/>
        <v>2043811.4051724139</v>
      </c>
      <c r="J131" s="31">
        <f t="shared" si="58"/>
        <v>291973.05788177339</v>
      </c>
    </row>
    <row r="132" spans="1:10" x14ac:dyDescent="0.25">
      <c r="A132" s="146" t="s">
        <v>27</v>
      </c>
      <c r="B132" s="92">
        <f t="shared" ref="B132:H132" si="60">B135*B125</f>
        <v>893692.82758620707</v>
      </c>
      <c r="C132" s="92">
        <f t="shared" si="60"/>
        <v>776450.17931034486</v>
      </c>
      <c r="D132" s="92">
        <f t="shared" si="60"/>
        <v>679616.16551724134</v>
      </c>
      <c r="E132" s="92">
        <f t="shared" si="60"/>
        <v>846510.74137931038</v>
      </c>
      <c r="F132" s="92">
        <f t="shared" si="60"/>
        <v>2609562.9586206898</v>
      </c>
      <c r="G132" s="31">
        <f t="shared" si="60"/>
        <v>2168658.7551724138</v>
      </c>
      <c r="H132" s="31">
        <f t="shared" si="60"/>
        <v>1673649.0051724138</v>
      </c>
      <c r="I132" s="31">
        <f t="shared" si="57"/>
        <v>9648140.6327586211</v>
      </c>
      <c r="J132" s="31">
        <f t="shared" si="58"/>
        <v>1378305.8046798031</v>
      </c>
    </row>
    <row r="133" spans="1:10" x14ac:dyDescent="0.25">
      <c r="A133" s="146" t="s">
        <v>28</v>
      </c>
      <c r="B133" s="92">
        <f t="shared" ref="B133:H133" si="61">B135*B126</f>
        <v>22342.320689655175</v>
      </c>
      <c r="C133" s="92">
        <f t="shared" si="61"/>
        <v>67517.406896551722</v>
      </c>
      <c r="D133" s="92">
        <f t="shared" si="61"/>
        <v>63714.015517241372</v>
      </c>
      <c r="E133" s="92">
        <f t="shared" si="61"/>
        <v>0</v>
      </c>
      <c r="F133" s="92">
        <f t="shared" si="61"/>
        <v>76751.85172413793</v>
      </c>
      <c r="G133" s="31">
        <f t="shared" si="61"/>
        <v>114139.93448275863</v>
      </c>
      <c r="H133" s="31">
        <f t="shared" si="61"/>
        <v>45233.756896551728</v>
      </c>
      <c r="I133" s="31">
        <f t="shared" si="57"/>
        <v>389699.28620689653</v>
      </c>
      <c r="J133" s="31">
        <f t="shared" si="58"/>
        <v>55671.326600985216</v>
      </c>
    </row>
    <row r="134" spans="1:10" x14ac:dyDescent="0.25">
      <c r="A134" s="146" t="s">
        <v>29</v>
      </c>
      <c r="B134" s="92">
        <f>B135*B127</f>
        <v>0</v>
      </c>
      <c r="C134" s="92">
        <f t="shared" ref="C134:H134" si="62">C135*C127</f>
        <v>0</v>
      </c>
      <c r="D134" s="92">
        <f t="shared" si="62"/>
        <v>21238.005172413792</v>
      </c>
      <c r="E134" s="92">
        <f t="shared" si="62"/>
        <v>0</v>
      </c>
      <c r="F134" s="92">
        <f t="shared" si="62"/>
        <v>0</v>
      </c>
      <c r="G134" s="31">
        <f t="shared" si="62"/>
        <v>57069.967241379316</v>
      </c>
      <c r="H134" s="31">
        <f t="shared" si="62"/>
        <v>0</v>
      </c>
      <c r="I134" s="31">
        <f t="shared" si="57"/>
        <v>78307.972413793104</v>
      </c>
      <c r="J134" s="31">
        <f t="shared" si="58"/>
        <v>11186.853201970443</v>
      </c>
    </row>
    <row r="135" spans="1:10" x14ac:dyDescent="0.25">
      <c r="A135" s="196" t="s">
        <v>30</v>
      </c>
      <c r="B135" s="91">
        <f>(2706700/1.16)-B136</f>
        <v>2234232.0689655175</v>
      </c>
      <c r="C135" s="91">
        <f>(2018000/1.16)-C136</f>
        <v>1687935.1724137932</v>
      </c>
      <c r="D135" s="91">
        <f>(2571100/1.16)-D136</f>
        <v>2123800.5172413792</v>
      </c>
      <c r="E135" s="91">
        <f>(2470000/1.16)-E136</f>
        <v>2064660.3448275863</v>
      </c>
      <c r="F135" s="91">
        <f>(4544100/1.16)-F136</f>
        <v>3837592.5862068967</v>
      </c>
      <c r="G135" s="197">
        <f>(6822600/1.16)-G136</f>
        <v>5706996.7241379311</v>
      </c>
      <c r="H135" s="197">
        <f>(5444600/1.16)-H136</f>
        <v>4523375.6896551726</v>
      </c>
      <c r="I135" s="197">
        <f t="shared" si="57"/>
        <v>22178593.103448275</v>
      </c>
      <c r="J135" s="197">
        <f t="shared" si="58"/>
        <v>3168370.4433497535</v>
      </c>
    </row>
    <row r="136" spans="1:10" x14ac:dyDescent="0.25">
      <c r="A136" s="146" t="s">
        <v>31</v>
      </c>
      <c r="B136" s="92">
        <f t="shared" ref="B136:H136" si="63">2155*B117</f>
        <v>99130</v>
      </c>
      <c r="C136" s="92">
        <f t="shared" si="63"/>
        <v>51720</v>
      </c>
      <c r="D136" s="92">
        <f t="shared" si="63"/>
        <v>92665</v>
      </c>
      <c r="E136" s="92">
        <f t="shared" si="63"/>
        <v>64650</v>
      </c>
      <c r="F136" s="92">
        <f t="shared" si="63"/>
        <v>79735</v>
      </c>
      <c r="G136" s="31">
        <f t="shared" si="63"/>
        <v>174555</v>
      </c>
      <c r="H136" s="31">
        <f t="shared" si="63"/>
        <v>170245</v>
      </c>
      <c r="I136" s="31">
        <f t="shared" si="57"/>
        <v>732700</v>
      </c>
      <c r="J136" s="31">
        <f t="shared" si="58"/>
        <v>104671.42857142857</v>
      </c>
    </row>
    <row r="137" spans="1:10" x14ac:dyDescent="0.25">
      <c r="A137" s="198" t="s">
        <v>32</v>
      </c>
      <c r="B137" s="199">
        <f>B136+B135</f>
        <v>2333362.0689655175</v>
      </c>
      <c r="C137" s="199">
        <f>C136+C135</f>
        <v>1739655.1724137932</v>
      </c>
      <c r="D137" s="199">
        <f>D136+D135</f>
        <v>2216465.5172413792</v>
      </c>
      <c r="E137" s="199">
        <f>E136+E135</f>
        <v>2129310.3448275863</v>
      </c>
      <c r="F137" s="199">
        <f>F135+F136</f>
        <v>3917327.5862068967</v>
      </c>
      <c r="G137" s="199">
        <f>G136+G135</f>
        <v>5881551.7241379311</v>
      </c>
      <c r="H137" s="199">
        <f>H136+H135</f>
        <v>4693620.6896551726</v>
      </c>
      <c r="I137" s="199">
        <f>I136+I135</f>
        <v>22911293.103448275</v>
      </c>
      <c r="J137" s="200">
        <f t="shared" si="58"/>
        <v>3273041.8719211821</v>
      </c>
    </row>
    <row r="138" spans="1:10" x14ac:dyDescent="0.25">
      <c r="A138" s="146" t="s">
        <v>33</v>
      </c>
      <c r="B138" s="94">
        <f>B137*16%</f>
        <v>373337.93103448278</v>
      </c>
      <c r="C138" s="94">
        <f t="shared" ref="C138:H138" si="64">C137*16%</f>
        <v>278344.8275862069</v>
      </c>
      <c r="D138" s="94">
        <f t="shared" si="64"/>
        <v>354634.4827586207</v>
      </c>
      <c r="E138" s="94">
        <f t="shared" si="64"/>
        <v>340689.6551724138</v>
      </c>
      <c r="F138" s="94">
        <f t="shared" si="64"/>
        <v>626772.41379310354</v>
      </c>
      <c r="G138" s="94">
        <f t="shared" si="64"/>
        <v>941048.27586206899</v>
      </c>
      <c r="H138" s="94">
        <f t="shared" si="64"/>
        <v>750979.31034482759</v>
      </c>
      <c r="I138" s="94">
        <f>I137*16%</f>
        <v>3665806.8965517241</v>
      </c>
      <c r="J138" s="31">
        <f t="shared" si="58"/>
        <v>523686.69950738916</v>
      </c>
    </row>
    <row r="139" spans="1:10" x14ac:dyDescent="0.25">
      <c r="A139" s="201" t="s">
        <v>34</v>
      </c>
      <c r="B139" s="202">
        <f>B137+B138</f>
        <v>2706700</v>
      </c>
      <c r="C139" s="202">
        <f t="shared" ref="C139:H139" si="65">C137+C138</f>
        <v>2018000</v>
      </c>
      <c r="D139" s="202">
        <f t="shared" si="65"/>
        <v>2571100</v>
      </c>
      <c r="E139" s="202">
        <f t="shared" si="65"/>
        <v>2470000</v>
      </c>
      <c r="F139" s="202">
        <f t="shared" si="65"/>
        <v>4544100</v>
      </c>
      <c r="G139" s="202">
        <f t="shared" si="65"/>
        <v>6822600</v>
      </c>
      <c r="H139" s="202">
        <f t="shared" si="65"/>
        <v>5444600</v>
      </c>
      <c r="I139" s="202">
        <f>I137+I138</f>
        <v>26577100</v>
      </c>
      <c r="J139" s="203">
        <f t="shared" si="58"/>
        <v>3796728.5714285714</v>
      </c>
    </row>
    <row r="140" spans="1:10" x14ac:dyDescent="0.25">
      <c r="A140" s="204"/>
      <c r="B140" s="112"/>
      <c r="C140" s="112"/>
      <c r="D140" s="112"/>
      <c r="E140" s="112"/>
      <c r="F140" s="112"/>
      <c r="G140" s="112"/>
      <c r="H140" s="112"/>
      <c r="I140" s="112"/>
      <c r="J140" s="205"/>
    </row>
    <row r="142" spans="1:10" ht="26.25" x14ac:dyDescent="0.25">
      <c r="B142" s="1007" t="s">
        <v>69</v>
      </c>
      <c r="C142" s="1007"/>
      <c r="D142" s="1007"/>
      <c r="E142" s="1007"/>
      <c r="F142" s="1007"/>
      <c r="G142" s="1007"/>
      <c r="H142" s="1007"/>
    </row>
    <row r="143" spans="1:10" ht="15.75" x14ac:dyDescent="0.25">
      <c r="A143" s="187" t="s">
        <v>2</v>
      </c>
      <c r="B143" s="50" t="s">
        <v>107</v>
      </c>
      <c r="C143" s="50" t="s">
        <v>108</v>
      </c>
      <c r="D143" s="51" t="s">
        <v>109</v>
      </c>
      <c r="E143" s="52" t="s">
        <v>110</v>
      </c>
      <c r="F143" s="50" t="s">
        <v>111</v>
      </c>
      <c r="G143" s="51" t="s">
        <v>112</v>
      </c>
      <c r="H143" s="50" t="s">
        <v>113</v>
      </c>
      <c r="I143" s="50" t="s">
        <v>96</v>
      </c>
      <c r="J143" s="52" t="s">
        <v>97</v>
      </c>
    </row>
    <row r="144" spans="1:10" x14ac:dyDescent="0.25">
      <c r="A144" s="336" t="s">
        <v>11</v>
      </c>
      <c r="B144" s="75">
        <v>79</v>
      </c>
      <c r="C144" s="75">
        <v>84</v>
      </c>
      <c r="D144" s="75">
        <v>88</v>
      </c>
      <c r="E144" s="316">
        <v>122</v>
      </c>
      <c r="F144" s="316">
        <v>159</v>
      </c>
      <c r="G144" s="316">
        <v>209</v>
      </c>
      <c r="H144" s="316">
        <v>206</v>
      </c>
      <c r="I144" s="316">
        <f>SUM(B144:H144)</f>
        <v>947</v>
      </c>
      <c r="J144" s="381">
        <f>+I144/7</f>
        <v>135.28571428571428</v>
      </c>
    </row>
    <row r="145" spans="1:10" x14ac:dyDescent="0.25">
      <c r="A145" s="146" t="s">
        <v>12</v>
      </c>
      <c r="B145" s="11">
        <v>43</v>
      </c>
      <c r="C145" s="11">
        <v>32</v>
      </c>
      <c r="D145" s="11">
        <v>36</v>
      </c>
      <c r="E145" s="11">
        <v>54</v>
      </c>
      <c r="F145" s="11">
        <v>62</v>
      </c>
      <c r="G145" s="11">
        <v>73</v>
      </c>
      <c r="H145" s="11">
        <v>86</v>
      </c>
      <c r="I145" s="11">
        <f>SUM(CEDRITOS!$B145:$H145)</f>
        <v>386</v>
      </c>
      <c r="J145" s="78">
        <f t="shared" ref="J145:J150" si="66">I145/7</f>
        <v>55.142857142857146</v>
      </c>
    </row>
    <row r="146" spans="1:10" x14ac:dyDescent="0.25">
      <c r="A146" s="146" t="s">
        <v>13</v>
      </c>
      <c r="B146" s="11">
        <v>0</v>
      </c>
      <c r="C146" s="11">
        <v>12</v>
      </c>
      <c r="D146" s="11">
        <v>0</v>
      </c>
      <c r="E146" s="11">
        <v>0</v>
      </c>
      <c r="F146" s="11">
        <v>15</v>
      </c>
      <c r="G146" s="11">
        <v>1</v>
      </c>
      <c r="H146" s="11">
        <v>4</v>
      </c>
      <c r="I146" s="11">
        <f>SUM(CEDRITOS!$B146:$H146)</f>
        <v>32</v>
      </c>
      <c r="J146" s="78">
        <f t="shared" si="66"/>
        <v>4.5714285714285712</v>
      </c>
    </row>
    <row r="147" spans="1:10" x14ac:dyDescent="0.25">
      <c r="A147" s="146" t="s">
        <v>14</v>
      </c>
      <c r="B147" s="11">
        <v>41</v>
      </c>
      <c r="C147" s="11">
        <v>34</v>
      </c>
      <c r="D147" s="11">
        <v>47</v>
      </c>
      <c r="E147" s="11">
        <v>70</v>
      </c>
      <c r="F147" s="11">
        <v>69</v>
      </c>
      <c r="G147" s="11">
        <v>82</v>
      </c>
      <c r="H147" s="11">
        <v>60</v>
      </c>
      <c r="I147" s="11">
        <f>SUM(CEDRITOS!$B147:$H147)</f>
        <v>403</v>
      </c>
      <c r="J147" s="78">
        <f t="shared" si="66"/>
        <v>57.571428571428569</v>
      </c>
    </row>
    <row r="148" spans="1:10" x14ac:dyDescent="0.25">
      <c r="A148" s="146" t="s">
        <v>15</v>
      </c>
      <c r="B148" s="11">
        <v>1</v>
      </c>
      <c r="C148" s="11">
        <v>1</v>
      </c>
      <c r="D148" s="11">
        <v>22</v>
      </c>
      <c r="E148" s="11">
        <v>1</v>
      </c>
      <c r="F148" s="11">
        <v>12</v>
      </c>
      <c r="G148" s="11">
        <v>22</v>
      </c>
      <c r="H148" s="11">
        <v>36</v>
      </c>
      <c r="I148" s="11">
        <f>SUM(CEDRITOS!$B148:$H148)</f>
        <v>95</v>
      </c>
      <c r="J148" s="78">
        <f t="shared" si="66"/>
        <v>13.571428571428571</v>
      </c>
    </row>
    <row r="149" spans="1:10" x14ac:dyDescent="0.25">
      <c r="A149" s="146" t="s">
        <v>16</v>
      </c>
      <c r="B149" s="11">
        <v>0</v>
      </c>
      <c r="C149" s="11">
        <v>2</v>
      </c>
      <c r="D149" s="11">
        <v>1</v>
      </c>
      <c r="E149" s="11">
        <v>1</v>
      </c>
      <c r="F149" s="11">
        <v>3</v>
      </c>
      <c r="G149" s="11">
        <v>5</v>
      </c>
      <c r="H149" s="86">
        <v>0</v>
      </c>
      <c r="I149" s="11">
        <f>SUM(CEDRITOS!$B149:$H149)</f>
        <v>12</v>
      </c>
      <c r="J149" s="78">
        <f t="shared" si="66"/>
        <v>1.7142857142857142</v>
      </c>
    </row>
    <row r="150" spans="1:10" x14ac:dyDescent="0.25">
      <c r="A150" s="103" t="s">
        <v>17</v>
      </c>
      <c r="B150" s="192">
        <f>SUM(B145:B149)</f>
        <v>85</v>
      </c>
      <c r="C150" s="192">
        <f t="shared" ref="C150:I150" si="67">SUM(C145:C149)</f>
        <v>81</v>
      </c>
      <c r="D150" s="192">
        <f t="shared" si="67"/>
        <v>106</v>
      </c>
      <c r="E150" s="192">
        <f t="shared" si="67"/>
        <v>126</v>
      </c>
      <c r="F150" s="192">
        <f t="shared" si="67"/>
        <v>161</v>
      </c>
      <c r="G150" s="192">
        <f t="shared" si="67"/>
        <v>183</v>
      </c>
      <c r="H150" s="192">
        <f t="shared" si="67"/>
        <v>186</v>
      </c>
      <c r="I150" s="192">
        <f t="shared" si="67"/>
        <v>928</v>
      </c>
      <c r="J150" s="193">
        <f t="shared" si="66"/>
        <v>132.57142857142858</v>
      </c>
    </row>
    <row r="151" spans="1:10" x14ac:dyDescent="0.25">
      <c r="A151" s="146" t="s">
        <v>18</v>
      </c>
      <c r="B151" s="30">
        <v>0.54</v>
      </c>
      <c r="C151" s="30">
        <v>0.41</v>
      </c>
      <c r="D151" s="30">
        <v>0.32</v>
      </c>
      <c r="E151" s="30">
        <v>0.4</v>
      </c>
      <c r="F151" s="30">
        <v>0.42</v>
      </c>
      <c r="G151" s="30">
        <v>0.44</v>
      </c>
      <c r="H151" s="30">
        <v>0.45</v>
      </c>
      <c r="I151" s="30">
        <f>I158/I163</f>
        <v>0.42870147031896821</v>
      </c>
      <c r="J151" s="30">
        <f>J158/J163</f>
        <v>0.42870147031896827</v>
      </c>
    </row>
    <row r="152" spans="1:10" x14ac:dyDescent="0.25">
      <c r="A152" s="146" t="s">
        <v>19</v>
      </c>
      <c r="B152" s="30">
        <v>0</v>
      </c>
      <c r="C152" s="30">
        <v>0.16</v>
      </c>
      <c r="D152" s="30">
        <v>0</v>
      </c>
      <c r="E152" s="30">
        <v>0</v>
      </c>
      <c r="F152" s="30">
        <v>0.14000000000000001</v>
      </c>
      <c r="G152" s="30">
        <v>0</v>
      </c>
      <c r="H152" s="30">
        <v>0.08</v>
      </c>
      <c r="I152" s="30">
        <f>I159/I163</f>
        <v>5.6161368122251892E-2</v>
      </c>
      <c r="J152" s="30">
        <f>J159/J163</f>
        <v>5.6161368122251892E-2</v>
      </c>
    </row>
    <row r="153" spans="1:10" x14ac:dyDescent="0.25">
      <c r="A153" s="146" t="s">
        <v>20</v>
      </c>
      <c r="B153" s="30">
        <v>0.45</v>
      </c>
      <c r="C153" s="30">
        <v>0.39</v>
      </c>
      <c r="D153" s="30">
        <v>0.35</v>
      </c>
      <c r="E153" s="30">
        <v>0.57999999999999996</v>
      </c>
      <c r="F153" s="30">
        <v>0.37</v>
      </c>
      <c r="G153" s="30">
        <v>0.48</v>
      </c>
      <c r="H153" s="30">
        <v>0.28999999999999998</v>
      </c>
      <c r="I153" s="30">
        <f>I160/I163</f>
        <v>0.40991994520432146</v>
      </c>
      <c r="J153" s="30">
        <f>J160/J163</f>
        <v>0.40991994520432151</v>
      </c>
    </row>
    <row r="154" spans="1:10" x14ac:dyDescent="0.25">
      <c r="A154" s="146" t="s">
        <v>21</v>
      </c>
      <c r="B154" s="30">
        <v>0.01</v>
      </c>
      <c r="C154" s="30">
        <v>0.01</v>
      </c>
      <c r="D154" s="30">
        <v>0.32</v>
      </c>
      <c r="E154" s="30">
        <v>0.01</v>
      </c>
      <c r="F154" s="30">
        <v>0.05</v>
      </c>
      <c r="G154" s="30">
        <v>0.06</v>
      </c>
      <c r="H154" s="30">
        <v>0.18</v>
      </c>
      <c r="I154" s="30">
        <f>I161/I163</f>
        <v>9.2581260330773213E-2</v>
      </c>
      <c r="J154" s="30">
        <f>J161/J163</f>
        <v>9.2581260330773213E-2</v>
      </c>
    </row>
    <row r="155" spans="1:10" x14ac:dyDescent="0.25">
      <c r="A155" s="146" t="s">
        <v>22</v>
      </c>
      <c r="B155" s="30">
        <v>0</v>
      </c>
      <c r="C155" s="30">
        <v>0.03</v>
      </c>
      <c r="D155" s="30">
        <v>0.01</v>
      </c>
      <c r="E155" s="30">
        <v>0.01</v>
      </c>
      <c r="F155" s="30">
        <v>0.02</v>
      </c>
      <c r="G155" s="30">
        <v>0.02</v>
      </c>
      <c r="H155" s="30">
        <v>0</v>
      </c>
      <c r="I155" s="30">
        <f>I162/I163</f>
        <v>1.2635956023685046E-2</v>
      </c>
      <c r="J155" s="30">
        <f>J162/J163</f>
        <v>1.2635956023685044E-2</v>
      </c>
    </row>
    <row r="156" spans="1:10" x14ac:dyDescent="0.25">
      <c r="A156" s="195" t="s">
        <v>23</v>
      </c>
      <c r="B156" s="66">
        <f>B167/B150</f>
        <v>31298.823529411769</v>
      </c>
      <c r="C156" s="66">
        <f t="shared" ref="C156:H156" si="68">C167/C150</f>
        <v>32664.197530864196</v>
      </c>
      <c r="D156" s="66">
        <f t="shared" si="68"/>
        <v>25804.716981132075</v>
      </c>
      <c r="E156" s="66">
        <f t="shared" si="68"/>
        <v>30288.888888888891</v>
      </c>
      <c r="F156" s="66">
        <f t="shared" si="68"/>
        <v>32729.813664596273</v>
      </c>
      <c r="G156" s="66">
        <f t="shared" si="68"/>
        <v>34521.857923497271</v>
      </c>
      <c r="H156" s="66">
        <f t="shared" si="68"/>
        <v>34538.709677419356</v>
      </c>
      <c r="I156" s="66">
        <f>I167/I150</f>
        <v>32186.530172413797</v>
      </c>
      <c r="J156" s="66">
        <f>J167/J150</f>
        <v>32186.530172413793</v>
      </c>
    </row>
    <row r="157" spans="1:10" x14ac:dyDescent="0.25">
      <c r="A157" s="195" t="s">
        <v>24</v>
      </c>
      <c r="B157" s="66">
        <f t="shared" ref="B157:I157" si="69">+B167/B144</f>
        <v>33675.949367088615</v>
      </c>
      <c r="C157" s="66">
        <f t="shared" si="69"/>
        <v>31497.619047619046</v>
      </c>
      <c r="D157" s="66">
        <f t="shared" si="69"/>
        <v>31082.954545454544</v>
      </c>
      <c r="E157" s="66">
        <f t="shared" si="69"/>
        <v>31281.967213114753</v>
      </c>
      <c r="F157" s="66">
        <f t="shared" si="69"/>
        <v>33141.509433962266</v>
      </c>
      <c r="G157" s="66">
        <f t="shared" si="69"/>
        <v>30227.272727272728</v>
      </c>
      <c r="H157" s="66">
        <f t="shared" si="69"/>
        <v>31185.436893203885</v>
      </c>
      <c r="I157" s="66">
        <f t="shared" si="69"/>
        <v>31540.760295670541</v>
      </c>
      <c r="J157" s="66">
        <f>J167/J144</f>
        <v>31540.760295670545</v>
      </c>
    </row>
    <row r="158" spans="1:10" x14ac:dyDescent="0.25">
      <c r="A158" s="146" t="s">
        <v>25</v>
      </c>
      <c r="B158" s="92">
        <f t="shared" ref="B158:H158" si="70">B163*B151</f>
        <v>1188422.9689655176</v>
      </c>
      <c r="C158" s="92">
        <f t="shared" si="70"/>
        <v>906879.84827586205</v>
      </c>
      <c r="D158" s="92">
        <f t="shared" si="70"/>
        <v>729739.91724137939</v>
      </c>
      <c r="E158" s="92">
        <f t="shared" si="70"/>
        <v>1269452</v>
      </c>
      <c r="F158" s="92">
        <f t="shared" si="70"/>
        <v>1851806.2137931036</v>
      </c>
      <c r="G158" s="31">
        <f t="shared" si="70"/>
        <v>2327074.5034482758</v>
      </c>
      <c r="H158" s="31">
        <f t="shared" si="70"/>
        <v>2408748.0517241382</v>
      </c>
      <c r="I158" s="31">
        <f t="shared" ref="I158:I164" si="71">SUM(B158:H158)</f>
        <v>10682123.503448276</v>
      </c>
      <c r="J158" s="31">
        <f t="shared" ref="J158:J167" si="72">I158/7</f>
        <v>1526017.6433497537</v>
      </c>
    </row>
    <row r="159" spans="1:10" x14ac:dyDescent="0.25">
      <c r="A159" s="146" t="s">
        <v>26</v>
      </c>
      <c r="B159" s="92">
        <f t="shared" ref="B159:H159" si="73">B163*B152</f>
        <v>0</v>
      </c>
      <c r="C159" s="92">
        <f t="shared" si="73"/>
        <v>353904.33103448281</v>
      </c>
      <c r="D159" s="92">
        <f t="shared" si="73"/>
        <v>0</v>
      </c>
      <c r="E159" s="92">
        <f t="shared" si="73"/>
        <v>0</v>
      </c>
      <c r="F159" s="92">
        <f t="shared" si="73"/>
        <v>617268.73793103464</v>
      </c>
      <c r="G159" s="31">
        <f t="shared" si="73"/>
        <v>0</v>
      </c>
      <c r="H159" s="31">
        <f t="shared" si="73"/>
        <v>428221.87586206896</v>
      </c>
      <c r="I159" s="31">
        <f t="shared" si="71"/>
        <v>1399394.9448275864</v>
      </c>
      <c r="J159" s="31">
        <f t="shared" si="72"/>
        <v>199913.56354679805</v>
      </c>
    </row>
    <row r="160" spans="1:10" x14ac:dyDescent="0.25">
      <c r="A160" s="146" t="s">
        <v>27</v>
      </c>
      <c r="B160" s="92">
        <f t="shared" ref="B160:H160" si="74">B163*B153</f>
        <v>990352.47413793125</v>
      </c>
      <c r="C160" s="92">
        <f t="shared" si="74"/>
        <v>862641.80689655186</v>
      </c>
      <c r="D160" s="92">
        <f t="shared" si="74"/>
        <v>798153.03448275861</v>
      </c>
      <c r="E160" s="92">
        <f t="shared" si="74"/>
        <v>1840705.4</v>
      </c>
      <c r="F160" s="92">
        <f t="shared" si="74"/>
        <v>1631353.0931034484</v>
      </c>
      <c r="G160" s="31">
        <f t="shared" si="74"/>
        <v>2538626.7310344828</v>
      </c>
      <c r="H160" s="31">
        <f t="shared" si="74"/>
        <v>1552304.3</v>
      </c>
      <c r="I160" s="31">
        <f t="shared" si="71"/>
        <v>10214136.839655172</v>
      </c>
      <c r="J160" s="31">
        <f t="shared" si="72"/>
        <v>1459162.4056650246</v>
      </c>
    </row>
    <row r="161" spans="1:10" x14ac:dyDescent="0.25">
      <c r="A161" s="146" t="s">
        <v>28</v>
      </c>
      <c r="B161" s="92">
        <f t="shared" ref="B161:H161" si="75">B163*B154</f>
        <v>22007.832758620694</v>
      </c>
      <c r="C161" s="92">
        <f t="shared" si="75"/>
        <v>22119.020689655175</v>
      </c>
      <c r="D161" s="92">
        <f t="shared" si="75"/>
        <v>729739.91724137939</v>
      </c>
      <c r="E161" s="92">
        <f t="shared" si="75"/>
        <v>31736.3</v>
      </c>
      <c r="F161" s="92">
        <f t="shared" si="75"/>
        <v>220453.12068965519</v>
      </c>
      <c r="G161" s="31">
        <f t="shared" si="75"/>
        <v>317328.34137931035</v>
      </c>
      <c r="H161" s="31">
        <f t="shared" si="75"/>
        <v>963499.22068965517</v>
      </c>
      <c r="I161" s="31">
        <f t="shared" si="71"/>
        <v>2306883.7534482758</v>
      </c>
      <c r="J161" s="31">
        <f t="shared" si="72"/>
        <v>329554.82192118227</v>
      </c>
    </row>
    <row r="162" spans="1:10" x14ac:dyDescent="0.25">
      <c r="A162" s="146" t="s">
        <v>29</v>
      </c>
      <c r="B162" s="92">
        <f>B163*B155</f>
        <v>0</v>
      </c>
      <c r="C162" s="92">
        <f t="shared" ref="C162:H162" si="76">C163*C155</f>
        <v>66357.062068965519</v>
      </c>
      <c r="D162" s="92">
        <f t="shared" si="76"/>
        <v>22804.372413793106</v>
      </c>
      <c r="E162" s="92">
        <f t="shared" si="76"/>
        <v>31736.3</v>
      </c>
      <c r="F162" s="92">
        <f t="shared" si="76"/>
        <v>88181.248275862075</v>
      </c>
      <c r="G162" s="31">
        <f t="shared" si="76"/>
        <v>105776.11379310346</v>
      </c>
      <c r="H162" s="31">
        <f t="shared" si="76"/>
        <v>0</v>
      </c>
      <c r="I162" s="31">
        <f t="shared" si="71"/>
        <v>314855.09655172413</v>
      </c>
      <c r="J162" s="31">
        <f t="shared" si="72"/>
        <v>44979.299507389158</v>
      </c>
    </row>
    <row r="163" spans="1:10" x14ac:dyDescent="0.25">
      <c r="A163" s="196" t="s">
        <v>30</v>
      </c>
      <c r="B163" s="91">
        <f>(2660400/1.16)-B164</f>
        <v>2200783.2758620693</v>
      </c>
      <c r="C163" s="91">
        <f>(2645800/1.16)-C164</f>
        <v>2211902.0689655175</v>
      </c>
      <c r="D163" s="91">
        <f>(2735300/1.16)-D164</f>
        <v>2280437.2413793104</v>
      </c>
      <c r="E163" s="91">
        <f>(3816400/1.16)-E164</f>
        <v>3173630</v>
      </c>
      <c r="F163" s="91">
        <f>(5269500/1.16)-F164</f>
        <v>4409062.4137931038</v>
      </c>
      <c r="G163" s="197">
        <f>(6317500/1.16)-G164</f>
        <v>5288805.6896551726</v>
      </c>
      <c r="H163" s="197">
        <f>(6424200/1.16)-H164</f>
        <v>5352773.4482758623</v>
      </c>
      <c r="I163" s="197">
        <f>(29869100/1.16)-I164</f>
        <v>24917394.137931038</v>
      </c>
      <c r="J163" s="197">
        <f t="shared" si="72"/>
        <v>3559627.7339901482</v>
      </c>
    </row>
    <row r="164" spans="1:10" x14ac:dyDescent="0.25">
      <c r="A164" s="146" t="s">
        <v>31</v>
      </c>
      <c r="B164" s="92">
        <f t="shared" ref="B164:H164" si="77">2155*B145</f>
        <v>92665</v>
      </c>
      <c r="C164" s="92">
        <f t="shared" si="77"/>
        <v>68960</v>
      </c>
      <c r="D164" s="92">
        <f t="shared" si="77"/>
        <v>77580</v>
      </c>
      <c r="E164" s="92">
        <f t="shared" si="77"/>
        <v>116370</v>
      </c>
      <c r="F164" s="92">
        <f t="shared" si="77"/>
        <v>133610</v>
      </c>
      <c r="G164" s="31">
        <f t="shared" si="77"/>
        <v>157315</v>
      </c>
      <c r="H164" s="31">
        <f t="shared" si="77"/>
        <v>185330</v>
      </c>
      <c r="I164" s="31">
        <f t="shared" si="71"/>
        <v>831830</v>
      </c>
      <c r="J164" s="31">
        <f t="shared" si="72"/>
        <v>118832.85714285714</v>
      </c>
    </row>
    <row r="165" spans="1:10" x14ac:dyDescent="0.25">
      <c r="A165" s="198" t="s">
        <v>32</v>
      </c>
      <c r="B165" s="199">
        <f>B164+B163</f>
        <v>2293448.2758620693</v>
      </c>
      <c r="C165" s="199">
        <f>C164+C163</f>
        <v>2280862.0689655175</v>
      </c>
      <c r="D165" s="199">
        <f>D164+D163</f>
        <v>2358017.2413793104</v>
      </c>
      <c r="E165" s="199">
        <f>E164+E163</f>
        <v>3290000</v>
      </c>
      <c r="F165" s="199">
        <f>F163+F164</f>
        <v>4542672.4137931038</v>
      </c>
      <c r="G165" s="199">
        <f>G164+G163</f>
        <v>5446120.6896551726</v>
      </c>
      <c r="H165" s="199">
        <f>H164+H163</f>
        <v>5538103.4482758623</v>
      </c>
      <c r="I165" s="199">
        <f>I164+I163</f>
        <v>25749224.137931038</v>
      </c>
      <c r="J165" s="200">
        <f t="shared" si="72"/>
        <v>3678460.5911330055</v>
      </c>
    </row>
    <row r="166" spans="1:10" x14ac:dyDescent="0.25">
      <c r="A166" s="146" t="s">
        <v>33</v>
      </c>
      <c r="B166" s="94">
        <f>B165*16%</f>
        <v>366951.72413793107</v>
      </c>
      <c r="C166" s="94">
        <f t="shared" ref="C166:H166" si="78">C165*16%</f>
        <v>364937.93103448278</v>
      </c>
      <c r="D166" s="94">
        <f t="shared" si="78"/>
        <v>377282.75862068968</v>
      </c>
      <c r="E166" s="94">
        <f t="shared" si="78"/>
        <v>526400</v>
      </c>
      <c r="F166" s="94">
        <f t="shared" si="78"/>
        <v>726827.58620689658</v>
      </c>
      <c r="G166" s="94">
        <f t="shared" si="78"/>
        <v>871379.31034482759</v>
      </c>
      <c r="H166" s="94">
        <f t="shared" si="78"/>
        <v>886096.55172413797</v>
      </c>
      <c r="I166" s="94">
        <f>I165*16%</f>
        <v>4119875.862068966</v>
      </c>
      <c r="J166" s="31">
        <f t="shared" si="72"/>
        <v>588553.69458128081</v>
      </c>
    </row>
    <row r="167" spans="1:10" x14ac:dyDescent="0.25">
      <c r="A167" s="201" t="s">
        <v>34</v>
      </c>
      <c r="B167" s="202">
        <f>B165+B166</f>
        <v>2660400.0000000005</v>
      </c>
      <c r="C167" s="202">
        <f t="shared" ref="C167:H167" si="79">C165+C166</f>
        <v>2645800</v>
      </c>
      <c r="D167" s="202">
        <f t="shared" si="79"/>
        <v>2735300</v>
      </c>
      <c r="E167" s="202">
        <f t="shared" si="79"/>
        <v>3816400</v>
      </c>
      <c r="F167" s="202">
        <f t="shared" si="79"/>
        <v>5269500</v>
      </c>
      <c r="G167" s="202">
        <f t="shared" si="79"/>
        <v>6317500</v>
      </c>
      <c r="H167" s="202">
        <f t="shared" si="79"/>
        <v>6424200</v>
      </c>
      <c r="I167" s="202">
        <f>I165+I166</f>
        <v>29869100.000000004</v>
      </c>
      <c r="J167" s="203">
        <f t="shared" si="72"/>
        <v>4267014.2857142864</v>
      </c>
    </row>
    <row r="168" spans="1:10" ht="15.75" customHeight="1" x14ac:dyDescent="0.25">
      <c r="A168" s="204"/>
      <c r="B168" s="112"/>
      <c r="C168" s="112"/>
      <c r="D168" s="112"/>
      <c r="E168" s="112"/>
      <c r="F168" s="112"/>
      <c r="G168" s="112"/>
      <c r="H168" s="112"/>
      <c r="I168" s="112"/>
      <c r="J168" s="205"/>
    </row>
    <row r="169" spans="1:10" ht="15.75" customHeight="1" x14ac:dyDescent="0.25">
      <c r="A169" s="204"/>
      <c r="B169" s="112"/>
      <c r="C169" s="112"/>
      <c r="D169" s="112"/>
      <c r="E169" s="112"/>
      <c r="F169" s="112"/>
      <c r="G169" s="112"/>
      <c r="H169" s="112"/>
      <c r="I169" s="112"/>
      <c r="J169" s="205"/>
    </row>
    <row r="170" spans="1:10" ht="15.75" customHeight="1" x14ac:dyDescent="0.25">
      <c r="B170" s="1007" t="s">
        <v>358</v>
      </c>
      <c r="C170" s="1007"/>
      <c r="D170" s="1007"/>
      <c r="E170" s="1007"/>
      <c r="F170" s="1007"/>
      <c r="G170" s="1007"/>
      <c r="H170" s="1007"/>
    </row>
    <row r="171" spans="1:10" ht="15.75" customHeight="1" x14ac:dyDescent="0.25">
      <c r="A171" s="187" t="s">
        <v>2</v>
      </c>
      <c r="B171" s="50" t="s">
        <v>412</v>
      </c>
      <c r="C171" s="50" t="s">
        <v>116</v>
      </c>
      <c r="D171" s="51" t="s">
        <v>117</v>
      </c>
      <c r="E171" s="52" t="s">
        <v>118</v>
      </c>
      <c r="F171" s="50" t="s">
        <v>119</v>
      </c>
      <c r="G171" s="51" t="s">
        <v>120</v>
      </c>
      <c r="H171" s="50" t="s">
        <v>121</v>
      </c>
      <c r="I171" s="50" t="s">
        <v>96</v>
      </c>
      <c r="J171" s="52" t="s">
        <v>97</v>
      </c>
    </row>
    <row r="172" spans="1:10" ht="15.75" customHeight="1" x14ac:dyDescent="0.25">
      <c r="A172" s="336" t="s">
        <v>11</v>
      </c>
      <c r="B172" s="75">
        <v>217</v>
      </c>
      <c r="C172" s="75">
        <v>62</v>
      </c>
      <c r="D172" s="75">
        <v>64</v>
      </c>
      <c r="E172" s="316">
        <v>88</v>
      </c>
      <c r="F172" s="316">
        <v>181</v>
      </c>
      <c r="G172" s="316">
        <v>290</v>
      </c>
      <c r="H172" s="316">
        <v>207</v>
      </c>
      <c r="I172" s="316">
        <f>SUM(B172:H172)</f>
        <v>1109</v>
      </c>
      <c r="J172" s="381">
        <f>+I172/7</f>
        <v>158.42857142857142</v>
      </c>
    </row>
    <row r="173" spans="1:10" ht="15.75" customHeight="1" x14ac:dyDescent="0.25">
      <c r="A173" s="146" t="s">
        <v>12</v>
      </c>
      <c r="B173" s="11">
        <v>97</v>
      </c>
      <c r="C173" s="11">
        <v>18</v>
      </c>
      <c r="D173" s="11">
        <v>25</v>
      </c>
      <c r="E173" s="11">
        <v>40</v>
      </c>
      <c r="F173" s="11">
        <v>79</v>
      </c>
      <c r="G173" s="11">
        <v>131</v>
      </c>
      <c r="H173" s="11">
        <v>130</v>
      </c>
      <c r="I173" s="11">
        <f>SUM(CEDRITOS!$B173:$H173)</f>
        <v>520</v>
      </c>
      <c r="J173" s="78">
        <f t="shared" ref="J173:J178" si="80">I173/7</f>
        <v>74.285714285714292</v>
      </c>
    </row>
    <row r="174" spans="1:10" ht="15.75" customHeight="1" x14ac:dyDescent="0.25">
      <c r="A174" s="146" t="s">
        <v>13</v>
      </c>
      <c r="B174" s="11">
        <v>4</v>
      </c>
      <c r="C174" s="11">
        <v>0</v>
      </c>
      <c r="D174" s="11">
        <v>0</v>
      </c>
      <c r="E174" s="11">
        <v>0</v>
      </c>
      <c r="F174" s="11">
        <v>1</v>
      </c>
      <c r="G174" s="11">
        <v>1</v>
      </c>
      <c r="H174" s="11">
        <v>0</v>
      </c>
      <c r="I174" s="11">
        <f>SUM(CEDRITOS!$B174:$H174)</f>
        <v>6</v>
      </c>
      <c r="J174" s="78">
        <f t="shared" si="80"/>
        <v>0.8571428571428571</v>
      </c>
    </row>
    <row r="175" spans="1:10" ht="15.75" customHeight="1" x14ac:dyDescent="0.25">
      <c r="A175" s="146" t="s">
        <v>14</v>
      </c>
      <c r="B175" s="11">
        <v>44</v>
      </c>
      <c r="C175" s="11">
        <v>32</v>
      </c>
      <c r="D175" s="11">
        <v>31</v>
      </c>
      <c r="E175" s="11">
        <v>49</v>
      </c>
      <c r="F175" s="11">
        <v>85</v>
      </c>
      <c r="G175" s="11">
        <v>88</v>
      </c>
      <c r="H175" s="11">
        <v>72</v>
      </c>
      <c r="I175" s="11">
        <f>SUM(CEDRITOS!$B175:$H175)</f>
        <v>401</v>
      </c>
      <c r="J175" s="78">
        <f t="shared" si="80"/>
        <v>57.285714285714285</v>
      </c>
    </row>
    <row r="176" spans="1:10" ht="15.75" customHeight="1" x14ac:dyDescent="0.25">
      <c r="A176" s="146" t="s">
        <v>15</v>
      </c>
      <c r="B176" s="11">
        <v>32</v>
      </c>
      <c r="C176" s="11">
        <v>16</v>
      </c>
      <c r="D176" s="11">
        <v>10</v>
      </c>
      <c r="E176" s="11">
        <v>9</v>
      </c>
      <c r="F176" s="11">
        <v>25</v>
      </c>
      <c r="G176" s="11">
        <v>33</v>
      </c>
      <c r="H176" s="11">
        <v>28</v>
      </c>
      <c r="I176" s="11">
        <f>SUM(CEDRITOS!$B176:$H176)</f>
        <v>153</v>
      </c>
      <c r="J176" s="78">
        <f t="shared" si="80"/>
        <v>21.857142857142858</v>
      </c>
    </row>
    <row r="177" spans="1:10" ht="15.75" customHeight="1" x14ac:dyDescent="0.25">
      <c r="A177" s="146" t="s">
        <v>16</v>
      </c>
      <c r="B177" s="11">
        <v>2</v>
      </c>
      <c r="C177" s="11">
        <v>1</v>
      </c>
      <c r="D177" s="11">
        <v>3</v>
      </c>
      <c r="E177" s="11">
        <v>1</v>
      </c>
      <c r="F177" s="11">
        <v>5</v>
      </c>
      <c r="G177" s="11">
        <v>5</v>
      </c>
      <c r="H177" s="86">
        <v>4</v>
      </c>
      <c r="I177" s="11">
        <f>SUM(CEDRITOS!$B177:$H177)</f>
        <v>21</v>
      </c>
      <c r="J177" s="78">
        <f t="shared" si="80"/>
        <v>3</v>
      </c>
    </row>
    <row r="178" spans="1:10" ht="15.75" customHeight="1" x14ac:dyDescent="0.25">
      <c r="A178" s="103" t="s">
        <v>17</v>
      </c>
      <c r="B178" s="192">
        <f>SUM(B173:B177)</f>
        <v>179</v>
      </c>
      <c r="C178" s="192">
        <f t="shared" ref="C178:I178" si="81">SUM(C173:C177)</f>
        <v>67</v>
      </c>
      <c r="D178" s="192">
        <f t="shared" si="81"/>
        <v>69</v>
      </c>
      <c r="E178" s="192">
        <f t="shared" si="81"/>
        <v>99</v>
      </c>
      <c r="F178" s="192">
        <f t="shared" si="81"/>
        <v>195</v>
      </c>
      <c r="G178" s="192">
        <f t="shared" si="81"/>
        <v>258</v>
      </c>
      <c r="H178" s="192">
        <f t="shared" si="81"/>
        <v>234</v>
      </c>
      <c r="I178" s="192">
        <f t="shared" si="81"/>
        <v>1101</v>
      </c>
      <c r="J178" s="193">
        <f t="shared" si="80"/>
        <v>157.28571428571428</v>
      </c>
    </row>
    <row r="179" spans="1:10" ht="15.75" customHeight="1" x14ac:dyDescent="0.25">
      <c r="A179" s="146" t="s">
        <v>18</v>
      </c>
      <c r="B179" s="30">
        <v>0.46</v>
      </c>
      <c r="C179" s="30">
        <v>0.31</v>
      </c>
      <c r="D179" s="30">
        <v>0.39</v>
      </c>
      <c r="E179" s="30">
        <v>0.52</v>
      </c>
      <c r="F179" s="30">
        <v>0.41</v>
      </c>
      <c r="G179" s="30">
        <v>0.51</v>
      </c>
      <c r="H179" s="30">
        <v>0.56000000000000005</v>
      </c>
      <c r="I179" s="30">
        <f>I186/I191</f>
        <v>0.47723164790002809</v>
      </c>
      <c r="J179" s="30">
        <f>J186/J191</f>
        <v>0.47723164790002809</v>
      </c>
    </row>
    <row r="180" spans="1:10" ht="15.75" customHeight="1" x14ac:dyDescent="0.25">
      <c r="A180" s="146" t="s">
        <v>19</v>
      </c>
      <c r="B180" s="30">
        <v>0.08</v>
      </c>
      <c r="C180" s="30">
        <v>0</v>
      </c>
      <c r="D180" s="30">
        <v>0</v>
      </c>
      <c r="E180" s="30">
        <v>0</v>
      </c>
      <c r="F180" s="30">
        <v>0.01</v>
      </c>
      <c r="G180" s="30">
        <v>0</v>
      </c>
      <c r="H180" s="30">
        <v>0</v>
      </c>
      <c r="I180" s="30">
        <f>I187/I191</f>
        <v>1.5754061788490367E-2</v>
      </c>
      <c r="J180" s="30">
        <f>J187/J191</f>
        <v>1.5754061788490367E-2</v>
      </c>
    </row>
    <row r="181" spans="1:10" ht="15.75" customHeight="1" x14ac:dyDescent="0.25">
      <c r="A181" s="146" t="s">
        <v>20</v>
      </c>
      <c r="B181" s="30">
        <v>0.28000000000000003</v>
      </c>
      <c r="C181" s="30">
        <v>0.43</v>
      </c>
      <c r="D181" s="30">
        <v>0.41</v>
      </c>
      <c r="E181" s="30">
        <v>0.37</v>
      </c>
      <c r="F181" s="30">
        <v>0.44</v>
      </c>
      <c r="G181" s="30">
        <v>0.34</v>
      </c>
      <c r="H181" s="30">
        <v>0.31</v>
      </c>
      <c r="I181" s="30">
        <f>I188/I191</f>
        <v>0.35155157766718576</v>
      </c>
      <c r="J181" s="30">
        <f>J188/J191</f>
        <v>0.35155157766718576</v>
      </c>
    </row>
    <row r="182" spans="1:10" ht="15.75" customHeight="1" x14ac:dyDescent="0.25">
      <c r="A182" s="146" t="s">
        <v>21</v>
      </c>
      <c r="B182" s="30">
        <v>0.17</v>
      </c>
      <c r="C182" s="30">
        <v>0.25</v>
      </c>
      <c r="D182" s="30">
        <v>0.14000000000000001</v>
      </c>
      <c r="E182" s="30">
        <v>0.1</v>
      </c>
      <c r="F182" s="30">
        <v>0.13</v>
      </c>
      <c r="G182" s="30">
        <v>0.13</v>
      </c>
      <c r="H182" s="30">
        <v>0.12</v>
      </c>
      <c r="I182" s="30">
        <f>I189/I191</f>
        <v>0.14013466129705895</v>
      </c>
      <c r="J182" s="30">
        <f>J189/J191</f>
        <v>0.14013466129705895</v>
      </c>
    </row>
    <row r="183" spans="1:10" ht="15.75" customHeight="1" x14ac:dyDescent="0.25">
      <c r="A183" s="146" t="s">
        <v>22</v>
      </c>
      <c r="B183" s="30">
        <v>0.01</v>
      </c>
      <c r="C183" s="30">
        <v>0.01</v>
      </c>
      <c r="D183" s="30">
        <v>0.06</v>
      </c>
      <c r="E183" s="30">
        <v>0.01</v>
      </c>
      <c r="F183" s="30">
        <v>0.01</v>
      </c>
      <c r="G183" s="30">
        <v>0.02</v>
      </c>
      <c r="H183" s="30">
        <v>0.01</v>
      </c>
      <c r="I183" s="30">
        <f>I190/I191</f>
        <v>1.5328051347236851E-2</v>
      </c>
      <c r="J183" s="30">
        <f>J190/J191</f>
        <v>1.5328051347236851E-2</v>
      </c>
    </row>
    <row r="184" spans="1:10" ht="15.75" customHeight="1" x14ac:dyDescent="0.25">
      <c r="A184" s="195" t="s">
        <v>23</v>
      </c>
      <c r="B184" s="66">
        <f>B195/B178</f>
        <v>33761.452513966484</v>
      </c>
      <c r="C184" s="66">
        <f t="shared" ref="C184:H184" si="82">C195/C178</f>
        <v>28917.910447761195</v>
      </c>
      <c r="D184" s="66">
        <f t="shared" si="82"/>
        <v>27211.594202898556</v>
      </c>
      <c r="E184" s="66">
        <f t="shared" si="82"/>
        <v>25687.878787878788</v>
      </c>
      <c r="F184" s="66">
        <f t="shared" si="82"/>
        <v>30051.282051282051</v>
      </c>
      <c r="G184" s="66">
        <f t="shared" si="82"/>
        <v>34348.062015503885</v>
      </c>
      <c r="H184" s="66">
        <f t="shared" si="82"/>
        <v>30888.034188034191</v>
      </c>
      <c r="I184" s="66">
        <f>I195/I178</f>
        <v>31199.909173478656</v>
      </c>
      <c r="J184" s="66">
        <f>J195/J178</f>
        <v>31199.909173478656</v>
      </c>
    </row>
    <row r="185" spans="1:10" ht="15.75" customHeight="1" x14ac:dyDescent="0.25">
      <c r="A185" s="195" t="s">
        <v>24</v>
      </c>
      <c r="B185" s="66">
        <f t="shared" ref="B185:I185" si="83">+B195/B172</f>
        <v>27849.308755760372</v>
      </c>
      <c r="C185" s="66">
        <f t="shared" si="83"/>
        <v>31250</v>
      </c>
      <c r="D185" s="66">
        <f t="shared" si="83"/>
        <v>29337.500000000004</v>
      </c>
      <c r="E185" s="66">
        <f t="shared" si="83"/>
        <v>28898.863636363636</v>
      </c>
      <c r="F185" s="66">
        <f t="shared" si="83"/>
        <v>32375.690607734807</v>
      </c>
      <c r="G185" s="66">
        <f t="shared" si="83"/>
        <v>30557.931034482765</v>
      </c>
      <c r="H185" s="66">
        <f t="shared" si="83"/>
        <v>34916.908212560389</v>
      </c>
      <c r="I185" s="66">
        <f t="shared" si="83"/>
        <v>30974.842200180341</v>
      </c>
      <c r="J185" s="66">
        <f>J195/J172</f>
        <v>30974.842200180345</v>
      </c>
    </row>
    <row r="186" spans="1:10" ht="15.75" customHeight="1" x14ac:dyDescent="0.25">
      <c r="A186" s="146" t="s">
        <v>25</v>
      </c>
      <c r="B186" s="92">
        <f t="shared" ref="B186:H186" si="84">B191*B179</f>
        <v>2300324.9344827589</v>
      </c>
      <c r="C186" s="92">
        <f t="shared" si="84"/>
        <v>505755.27241379308</v>
      </c>
      <c r="D186" s="92">
        <f t="shared" si="84"/>
        <v>610250.81896551733</v>
      </c>
      <c r="E186" s="92">
        <f t="shared" si="84"/>
        <v>1095186.3448275863</v>
      </c>
      <c r="F186" s="92">
        <f t="shared" si="84"/>
        <v>2001406.4465517241</v>
      </c>
      <c r="G186" s="31">
        <f t="shared" si="84"/>
        <v>3752160.6568965521</v>
      </c>
      <c r="H186" s="31">
        <f t="shared" si="84"/>
        <v>3332398.7586206906</v>
      </c>
      <c r="I186" s="31">
        <f>SUM(B186:H186)</f>
        <v>13597483.232758623</v>
      </c>
      <c r="J186" s="31">
        <f t="shared" ref="J186:J195" si="85">I186/7</f>
        <v>1942497.6046798031</v>
      </c>
    </row>
    <row r="187" spans="1:10" ht="15.75" customHeight="1" x14ac:dyDescent="0.25">
      <c r="A187" s="146" t="s">
        <v>26</v>
      </c>
      <c r="B187" s="92">
        <f t="shared" ref="B187:H187" si="86">B191*B180</f>
        <v>400056.51034482761</v>
      </c>
      <c r="C187" s="92">
        <f t="shared" si="86"/>
        <v>0</v>
      </c>
      <c r="D187" s="92">
        <f t="shared" si="86"/>
        <v>0</v>
      </c>
      <c r="E187" s="92">
        <f t="shared" si="86"/>
        <v>0</v>
      </c>
      <c r="F187" s="92">
        <f t="shared" si="86"/>
        <v>48814.791379310351</v>
      </c>
      <c r="G187" s="31">
        <f t="shared" si="86"/>
        <v>0</v>
      </c>
      <c r="H187" s="31">
        <f t="shared" si="86"/>
        <v>0</v>
      </c>
      <c r="I187" s="31">
        <f>SUM(B187:H187)</f>
        <v>448871.30172413797</v>
      </c>
      <c r="J187" s="31">
        <f t="shared" si="85"/>
        <v>64124.471674876855</v>
      </c>
    </row>
    <row r="188" spans="1:10" ht="15.75" customHeight="1" x14ac:dyDescent="0.25">
      <c r="A188" s="146" t="s">
        <v>27</v>
      </c>
      <c r="B188" s="92">
        <f t="shared" ref="B188:H188" si="87">B191*B181</f>
        <v>1400197.7862068969</v>
      </c>
      <c r="C188" s="92">
        <f t="shared" si="87"/>
        <v>701531.5068965517</v>
      </c>
      <c r="D188" s="92">
        <f t="shared" si="87"/>
        <v>641545.73275862075</v>
      </c>
      <c r="E188" s="92">
        <f t="shared" si="87"/>
        <v>779267.20689655177</v>
      </c>
      <c r="F188" s="92">
        <f t="shared" si="87"/>
        <v>2147850.8206896554</v>
      </c>
      <c r="G188" s="31">
        <f t="shared" si="87"/>
        <v>2501440.4379310352</v>
      </c>
      <c r="H188" s="31">
        <f t="shared" si="87"/>
        <v>1844720.7413793106</v>
      </c>
      <c r="I188" s="31">
        <f>SUM(B188:H188)</f>
        <v>10016554.232758623</v>
      </c>
      <c r="J188" s="31">
        <f t="shared" si="85"/>
        <v>1430936.3189655175</v>
      </c>
    </row>
    <row r="189" spans="1:10" ht="15.75" customHeight="1" x14ac:dyDescent="0.25">
      <c r="A189" s="146" t="s">
        <v>28</v>
      </c>
      <c r="B189" s="92">
        <f t="shared" ref="B189:H189" si="88">B191*B182</f>
        <v>850120.08448275877</v>
      </c>
      <c r="C189" s="92">
        <f t="shared" si="88"/>
        <v>407867.1551724138</v>
      </c>
      <c r="D189" s="92">
        <f t="shared" si="88"/>
        <v>219064.3965517242</v>
      </c>
      <c r="E189" s="92">
        <f t="shared" si="88"/>
        <v>210612.75862068968</v>
      </c>
      <c r="F189" s="92">
        <f t="shared" si="88"/>
        <v>634592.28793103457</v>
      </c>
      <c r="G189" s="31">
        <f t="shared" si="88"/>
        <v>956433.10862068983</v>
      </c>
      <c r="H189" s="31">
        <f t="shared" si="88"/>
        <v>714085.44827586215</v>
      </c>
      <c r="I189" s="31">
        <f>SUM(B189:H189)</f>
        <v>3992775.2396551729</v>
      </c>
      <c r="J189" s="31">
        <f t="shared" si="85"/>
        <v>570396.46280788188</v>
      </c>
    </row>
    <row r="190" spans="1:10" ht="15.75" customHeight="1" x14ac:dyDescent="0.25">
      <c r="A190" s="146" t="s">
        <v>29</v>
      </c>
      <c r="B190" s="92">
        <f>B191*B183</f>
        <v>50007.063793103451</v>
      </c>
      <c r="C190" s="92">
        <f t="shared" ref="C190:H190" si="89">C191*C183</f>
        <v>16314.686206896553</v>
      </c>
      <c r="D190" s="92">
        <f t="shared" si="89"/>
        <v>93884.741379310348</v>
      </c>
      <c r="E190" s="92">
        <f t="shared" si="89"/>
        <v>21061.275862068967</v>
      </c>
      <c r="F190" s="92">
        <f t="shared" si="89"/>
        <v>48814.791379310351</v>
      </c>
      <c r="G190" s="31">
        <f t="shared" si="89"/>
        <v>147143.55517241382</v>
      </c>
      <c r="H190" s="31">
        <f t="shared" si="89"/>
        <v>59507.120689655181</v>
      </c>
      <c r="I190" s="31">
        <f>SUM(B190:H190)</f>
        <v>436733.23448275868</v>
      </c>
      <c r="J190" s="31">
        <f t="shared" si="85"/>
        <v>62390.462068965528</v>
      </c>
    </row>
    <row r="191" spans="1:10" ht="15.75" customHeight="1" x14ac:dyDescent="0.25">
      <c r="A191" s="196" t="s">
        <v>30</v>
      </c>
      <c r="B191" s="91">
        <f>(6043300/1.16)-B192</f>
        <v>5000706.3793103453</v>
      </c>
      <c r="C191" s="91">
        <f>(1937500/1.16)-C192</f>
        <v>1631468.6206896552</v>
      </c>
      <c r="D191" s="91">
        <f>(1877600/1.16)-D192</f>
        <v>1564745.6896551726</v>
      </c>
      <c r="E191" s="91">
        <f>(2543100/1.16)-E192</f>
        <v>2106127.5862068967</v>
      </c>
      <c r="F191" s="91">
        <f>(5860000/1.16)-F192</f>
        <v>4881479.1379310349</v>
      </c>
      <c r="G191" s="197">
        <f>(8861800/1.16)-G192</f>
        <v>7357177.7586206906</v>
      </c>
      <c r="H191" s="197">
        <f>(7227800/1.16)-H192</f>
        <v>5950712.0689655179</v>
      </c>
      <c r="I191" s="197">
        <f>SUM(I186:I190)</f>
        <v>28492417.241379313</v>
      </c>
      <c r="J191" s="197">
        <f t="shared" si="85"/>
        <v>4070345.3201970449</v>
      </c>
    </row>
    <row r="192" spans="1:10" ht="15.75" customHeight="1" x14ac:dyDescent="0.25">
      <c r="A192" s="146" t="s">
        <v>31</v>
      </c>
      <c r="B192" s="92">
        <f>2155*B173</f>
        <v>209035</v>
      </c>
      <c r="C192" s="92">
        <f t="shared" ref="C192:H192" si="90">2155*C173</f>
        <v>38790</v>
      </c>
      <c r="D192" s="92">
        <f t="shared" si="90"/>
        <v>53875</v>
      </c>
      <c r="E192" s="92">
        <f t="shared" si="90"/>
        <v>86200</v>
      </c>
      <c r="F192" s="92">
        <f t="shared" si="90"/>
        <v>170245</v>
      </c>
      <c r="G192" s="31">
        <f t="shared" si="90"/>
        <v>282305</v>
      </c>
      <c r="H192" s="31">
        <f t="shared" si="90"/>
        <v>280150</v>
      </c>
      <c r="I192" s="31">
        <f>2155*I173</f>
        <v>1120600</v>
      </c>
      <c r="J192" s="31">
        <f t="shared" si="85"/>
        <v>160085.71428571429</v>
      </c>
    </row>
    <row r="193" spans="1:10" ht="15.75" customHeight="1" x14ac:dyDescent="0.25">
      <c r="A193" s="198" t="s">
        <v>32</v>
      </c>
      <c r="B193" s="199">
        <f>B192+B191</f>
        <v>5209741.3793103453</v>
      </c>
      <c r="C193" s="199">
        <f>C192+C191</f>
        <v>1670258.6206896552</v>
      </c>
      <c r="D193" s="199">
        <f>D192+D191</f>
        <v>1618620.6896551726</v>
      </c>
      <c r="E193" s="199">
        <f>E192+E191</f>
        <v>2192327.5862068967</v>
      </c>
      <c r="F193" s="199">
        <f>F191+F192</f>
        <v>5051724.1379310349</v>
      </c>
      <c r="G193" s="199">
        <f>G192+G191</f>
        <v>7639482.7586206906</v>
      </c>
      <c r="H193" s="199">
        <f>H192+H191</f>
        <v>6230862.0689655179</v>
      </c>
      <c r="I193" s="199">
        <f>I191+I192</f>
        <v>29613017.241379313</v>
      </c>
      <c r="J193" s="200">
        <f t="shared" si="85"/>
        <v>4230431.0344827594</v>
      </c>
    </row>
    <row r="194" spans="1:10" ht="15.75" customHeight="1" x14ac:dyDescent="0.25">
      <c r="A194" s="146" t="s">
        <v>33</v>
      </c>
      <c r="B194" s="94">
        <f>B193*16%</f>
        <v>833558.6206896553</v>
      </c>
      <c r="C194" s="94">
        <f t="shared" ref="C194:H194" si="91">C193*16%</f>
        <v>267241.37931034481</v>
      </c>
      <c r="D194" s="94">
        <f t="shared" si="91"/>
        <v>258979.31034482762</v>
      </c>
      <c r="E194" s="94">
        <f t="shared" si="91"/>
        <v>350772.41379310348</v>
      </c>
      <c r="F194" s="94">
        <f t="shared" si="91"/>
        <v>808275.86206896557</v>
      </c>
      <c r="G194" s="94">
        <f t="shared" si="91"/>
        <v>1222317.2413793106</v>
      </c>
      <c r="H194" s="94">
        <f t="shared" si="91"/>
        <v>996937.9310344829</v>
      </c>
      <c r="I194" s="94">
        <f>I193*16%</f>
        <v>4738082.7586206906</v>
      </c>
      <c r="J194" s="31">
        <f t="shared" si="85"/>
        <v>676868.96551724151</v>
      </c>
    </row>
    <row r="195" spans="1:10" ht="15.75" customHeight="1" x14ac:dyDescent="0.25">
      <c r="A195" s="201" t="s">
        <v>34</v>
      </c>
      <c r="B195" s="202">
        <f>B193+B194</f>
        <v>6043300.0000000009</v>
      </c>
      <c r="C195" s="202">
        <f t="shared" ref="C195:H195" si="92">C193+C194</f>
        <v>1937500</v>
      </c>
      <c r="D195" s="202">
        <f t="shared" si="92"/>
        <v>1877600.0000000002</v>
      </c>
      <c r="E195" s="202">
        <f t="shared" si="92"/>
        <v>2543100</v>
      </c>
      <c r="F195" s="202">
        <f t="shared" si="92"/>
        <v>5860000</v>
      </c>
      <c r="G195" s="202">
        <f t="shared" si="92"/>
        <v>8861800.0000000019</v>
      </c>
      <c r="H195" s="202">
        <f t="shared" si="92"/>
        <v>7227800.0000000009</v>
      </c>
      <c r="I195" s="202">
        <f>I193+I194</f>
        <v>34351100</v>
      </c>
      <c r="J195" s="203">
        <f t="shared" si="85"/>
        <v>4907300</v>
      </c>
    </row>
    <row r="196" spans="1:10" ht="15.75" customHeight="1" x14ac:dyDescent="0.25">
      <c r="A196" s="204"/>
      <c r="B196" s="112"/>
      <c r="C196" s="112"/>
      <c r="D196" s="112"/>
      <c r="E196" s="112"/>
      <c r="F196" s="112"/>
      <c r="G196" s="112"/>
      <c r="H196" s="112"/>
      <c r="I196" s="112"/>
      <c r="J196" s="205"/>
    </row>
    <row r="197" spans="1:10" ht="15.75" customHeight="1" x14ac:dyDescent="0.25">
      <c r="A197" s="204"/>
      <c r="B197" s="112"/>
      <c r="C197" s="112"/>
      <c r="D197" s="112"/>
      <c r="E197" s="112"/>
      <c r="F197" s="112"/>
      <c r="G197" s="112"/>
      <c r="H197" s="112"/>
      <c r="I197" s="112"/>
      <c r="J197" s="205"/>
    </row>
    <row r="198" spans="1:10" ht="15.75" customHeight="1" x14ac:dyDescent="0.25">
      <c r="B198" s="1007" t="s">
        <v>359</v>
      </c>
      <c r="C198" s="1007"/>
      <c r="D198" s="1007"/>
      <c r="E198" s="1007"/>
      <c r="F198" s="1007"/>
      <c r="G198" s="1007"/>
      <c r="H198" s="1007"/>
    </row>
    <row r="199" spans="1:10" ht="15.75" customHeight="1" x14ac:dyDescent="0.25">
      <c r="A199" s="187" t="s">
        <v>2</v>
      </c>
      <c r="B199" s="50" t="s">
        <v>123</v>
      </c>
      <c r="C199" s="50" t="s">
        <v>124</v>
      </c>
      <c r="D199" s="51" t="s">
        <v>125</v>
      </c>
      <c r="E199" s="52" t="s">
        <v>126</v>
      </c>
      <c r="F199" s="50" t="s">
        <v>127</v>
      </c>
      <c r="G199" s="51" t="s">
        <v>128</v>
      </c>
      <c r="H199" s="50" t="s">
        <v>129</v>
      </c>
      <c r="I199" s="50" t="s">
        <v>96</v>
      </c>
      <c r="J199" s="52" t="s">
        <v>97</v>
      </c>
    </row>
    <row r="200" spans="1:10" ht="15.75" customHeight="1" x14ac:dyDescent="0.25">
      <c r="A200" s="336" t="s">
        <v>11</v>
      </c>
      <c r="B200" s="75">
        <v>53</v>
      </c>
      <c r="C200" s="75">
        <v>73</v>
      </c>
      <c r="D200" s="75">
        <v>83</v>
      </c>
      <c r="E200" s="316">
        <v>82</v>
      </c>
      <c r="F200" s="316">
        <v>246</v>
      </c>
      <c r="G200" s="316">
        <v>313</v>
      </c>
      <c r="H200" s="316">
        <v>318</v>
      </c>
      <c r="I200" s="316">
        <f>SUM(B200:H200)</f>
        <v>1168</v>
      </c>
      <c r="J200" s="381">
        <f>+I200/7</f>
        <v>166.85714285714286</v>
      </c>
    </row>
    <row r="201" spans="1:10" ht="15.75" customHeight="1" x14ac:dyDescent="0.25">
      <c r="A201" s="146" t="s">
        <v>12</v>
      </c>
      <c r="B201" s="11">
        <v>6</v>
      </c>
      <c r="C201" s="11">
        <v>42</v>
      </c>
      <c r="D201" s="11">
        <v>41</v>
      </c>
      <c r="E201" s="11">
        <v>32</v>
      </c>
      <c r="F201" s="11">
        <v>151</v>
      </c>
      <c r="G201" s="11">
        <v>196</v>
      </c>
      <c r="H201" s="11">
        <v>220</v>
      </c>
      <c r="I201" s="11">
        <f>SUM(CEDRITOS!$B201:$H201)</f>
        <v>688</v>
      </c>
      <c r="J201" s="78">
        <f t="shared" ref="J201:J206" si="93">I201/7</f>
        <v>98.285714285714292</v>
      </c>
    </row>
    <row r="202" spans="1:10" ht="15.75" customHeight="1" x14ac:dyDescent="0.25">
      <c r="A202" s="146" t="s">
        <v>13</v>
      </c>
      <c r="B202" s="11">
        <v>0</v>
      </c>
      <c r="C202" s="11">
        <v>0</v>
      </c>
      <c r="D202" s="11">
        <v>0</v>
      </c>
      <c r="E202" s="11">
        <v>1</v>
      </c>
      <c r="F202" s="11">
        <v>0</v>
      </c>
      <c r="G202" s="11">
        <v>0</v>
      </c>
      <c r="H202" s="11">
        <v>0</v>
      </c>
      <c r="I202" s="11">
        <f>SUM(CEDRITOS!$B202:$H202)</f>
        <v>1</v>
      </c>
      <c r="J202" s="78">
        <f t="shared" si="93"/>
        <v>0.14285714285714285</v>
      </c>
    </row>
    <row r="203" spans="1:10" ht="15.75" customHeight="1" x14ac:dyDescent="0.25">
      <c r="A203" s="146" t="s">
        <v>14</v>
      </c>
      <c r="B203" s="11">
        <v>22</v>
      </c>
      <c r="C203" s="11">
        <v>29</v>
      </c>
      <c r="D203" s="11">
        <v>39</v>
      </c>
      <c r="E203" s="11">
        <v>39</v>
      </c>
      <c r="F203" s="11">
        <v>42</v>
      </c>
      <c r="G203" s="11">
        <v>56</v>
      </c>
      <c r="H203" s="11">
        <v>43</v>
      </c>
      <c r="I203" s="11">
        <f>SUM(CEDRITOS!$B203:$H203)</f>
        <v>270</v>
      </c>
      <c r="J203" s="78">
        <f t="shared" si="93"/>
        <v>38.571428571428569</v>
      </c>
    </row>
    <row r="204" spans="1:10" ht="15.75" customHeight="1" x14ac:dyDescent="0.25">
      <c r="A204" s="146" t="s">
        <v>15</v>
      </c>
      <c r="B204" s="11">
        <v>10</v>
      </c>
      <c r="C204" s="11">
        <v>12</v>
      </c>
      <c r="D204" s="11">
        <v>6</v>
      </c>
      <c r="E204" s="11">
        <v>11</v>
      </c>
      <c r="F204" s="11">
        <v>10</v>
      </c>
      <c r="G204" s="11">
        <v>19</v>
      </c>
      <c r="H204" s="11">
        <v>23</v>
      </c>
      <c r="I204" s="11">
        <f>SUM(CEDRITOS!$B204:$H204)</f>
        <v>91</v>
      </c>
      <c r="J204" s="78">
        <f t="shared" si="93"/>
        <v>13</v>
      </c>
    </row>
    <row r="205" spans="1:10" ht="15.75" customHeight="1" x14ac:dyDescent="0.25">
      <c r="A205" s="146" t="s">
        <v>16</v>
      </c>
      <c r="B205" s="11">
        <v>26</v>
      </c>
      <c r="C205" s="11">
        <v>0</v>
      </c>
      <c r="D205" s="11">
        <v>0</v>
      </c>
      <c r="E205" s="11">
        <v>4</v>
      </c>
      <c r="F205" s="11">
        <v>1</v>
      </c>
      <c r="G205" s="11">
        <v>5</v>
      </c>
      <c r="H205" s="86">
        <v>0</v>
      </c>
      <c r="I205" s="11">
        <f>SUM(CEDRITOS!$B205:$H205)</f>
        <v>36</v>
      </c>
      <c r="J205" s="78">
        <f t="shared" si="93"/>
        <v>5.1428571428571432</v>
      </c>
    </row>
    <row r="206" spans="1:10" ht="15.75" customHeight="1" x14ac:dyDescent="0.25">
      <c r="A206" s="103" t="s">
        <v>17</v>
      </c>
      <c r="B206" s="192">
        <f>SUM(B201:B205)</f>
        <v>64</v>
      </c>
      <c r="C206" s="192">
        <f t="shared" ref="C206:I206" si="94">SUM(C201:C205)</f>
        <v>83</v>
      </c>
      <c r="D206" s="192">
        <f t="shared" si="94"/>
        <v>86</v>
      </c>
      <c r="E206" s="192">
        <f t="shared" si="94"/>
        <v>87</v>
      </c>
      <c r="F206" s="192">
        <f t="shared" si="94"/>
        <v>204</v>
      </c>
      <c r="G206" s="192">
        <f t="shared" si="94"/>
        <v>276</v>
      </c>
      <c r="H206" s="192">
        <f t="shared" si="94"/>
        <v>286</v>
      </c>
      <c r="I206" s="192">
        <f t="shared" si="94"/>
        <v>1086</v>
      </c>
      <c r="J206" s="193">
        <f t="shared" si="93"/>
        <v>155.14285714285714</v>
      </c>
    </row>
    <row r="207" spans="1:10" ht="15.75" customHeight="1" x14ac:dyDescent="0.25">
      <c r="A207" s="146" t="s">
        <v>18</v>
      </c>
      <c r="B207" s="30">
        <v>0.04</v>
      </c>
      <c r="C207" s="30">
        <v>0.49</v>
      </c>
      <c r="D207" s="30">
        <v>0.54</v>
      </c>
      <c r="E207" s="30">
        <v>0.67</v>
      </c>
      <c r="F207" s="30">
        <v>0.57999999999999996</v>
      </c>
      <c r="G207" s="30">
        <v>0.44</v>
      </c>
      <c r="H207" s="30">
        <v>0.59</v>
      </c>
      <c r="I207" s="30">
        <f>I214/I219</f>
        <v>0.52229498607644276</v>
      </c>
      <c r="J207" s="30">
        <f>J214/J219</f>
        <v>0.52229498607644276</v>
      </c>
    </row>
    <row r="208" spans="1:10" ht="15.75" customHeight="1" x14ac:dyDescent="0.25">
      <c r="A208" s="146" t="s">
        <v>19</v>
      </c>
      <c r="B208" s="30">
        <v>0</v>
      </c>
      <c r="C208" s="30">
        <v>0</v>
      </c>
      <c r="D208" s="30">
        <v>0</v>
      </c>
      <c r="E208" s="30">
        <v>0</v>
      </c>
      <c r="F208" s="30">
        <v>0</v>
      </c>
      <c r="G208" s="30">
        <v>0</v>
      </c>
      <c r="H208" s="30">
        <v>0</v>
      </c>
      <c r="I208" s="30">
        <f>I215/I219</f>
        <v>0</v>
      </c>
      <c r="J208" s="30">
        <f>J215/J219</f>
        <v>0</v>
      </c>
    </row>
    <row r="209" spans="1:10" ht="15.75" customHeight="1" x14ac:dyDescent="0.25">
      <c r="A209" s="146" t="s">
        <v>20</v>
      </c>
      <c r="B209" s="30">
        <v>0.35</v>
      </c>
      <c r="C209" s="30">
        <v>0.38</v>
      </c>
      <c r="D209" s="30">
        <v>0.4</v>
      </c>
      <c r="E209" s="30">
        <v>0.23</v>
      </c>
      <c r="F209" s="30">
        <v>0.28999999999999998</v>
      </c>
      <c r="G209" s="30">
        <v>0.37</v>
      </c>
      <c r="H209" s="30">
        <v>0.26</v>
      </c>
      <c r="I209" s="30">
        <f>I216/I219</f>
        <v>0.31410731111113033</v>
      </c>
      <c r="J209" s="30">
        <f>J216/J219</f>
        <v>0.31410731111113038</v>
      </c>
    </row>
    <row r="210" spans="1:10" ht="15.75" customHeight="1" x14ac:dyDescent="0.25">
      <c r="A210" s="146" t="s">
        <v>21</v>
      </c>
      <c r="B210" s="30">
        <v>0.23</v>
      </c>
      <c r="C210" s="30">
        <v>0.13</v>
      </c>
      <c r="D210" s="30">
        <v>0.06</v>
      </c>
      <c r="E210" s="30">
        <v>0.1</v>
      </c>
      <c r="F210" s="30">
        <v>0.12</v>
      </c>
      <c r="G210" s="30">
        <v>0.15</v>
      </c>
      <c r="H210" s="30">
        <v>0.14000000000000001</v>
      </c>
      <c r="I210" s="30">
        <f>I217/I219</f>
        <v>0.13282379266085301</v>
      </c>
      <c r="J210" s="30">
        <f>J217/J219</f>
        <v>0.13282379266085304</v>
      </c>
    </row>
    <row r="211" spans="1:10" ht="15.75" customHeight="1" x14ac:dyDescent="0.25">
      <c r="A211" s="146" t="s">
        <v>22</v>
      </c>
      <c r="B211" s="30">
        <v>0.38</v>
      </c>
      <c r="C211" s="30">
        <v>0</v>
      </c>
      <c r="D211" s="30">
        <v>0</v>
      </c>
      <c r="E211" s="30">
        <v>0</v>
      </c>
      <c r="F211" s="30">
        <v>0.01</v>
      </c>
      <c r="G211" s="30">
        <v>0.04</v>
      </c>
      <c r="H211" s="30">
        <v>0.01</v>
      </c>
      <c r="I211" s="30">
        <f>I218/I219</f>
        <v>3.0773910151573877E-2</v>
      </c>
      <c r="J211" s="30">
        <f>J218/J219</f>
        <v>3.077391015157388E-2</v>
      </c>
    </row>
    <row r="212" spans="1:10" ht="15.75" customHeight="1" x14ac:dyDescent="0.25">
      <c r="A212" s="195" t="s">
        <v>23</v>
      </c>
      <c r="B212" s="66">
        <f>B223/B206</f>
        <v>21873.437500000004</v>
      </c>
      <c r="C212" s="66">
        <f t="shared" ref="C212:H212" si="95">C223/C206</f>
        <v>26546.98795180723</v>
      </c>
      <c r="D212" s="66">
        <f t="shared" si="95"/>
        <v>30705.81395348837</v>
      </c>
      <c r="E212" s="66">
        <f t="shared" si="95"/>
        <v>29247.126436781607</v>
      </c>
      <c r="F212" s="66">
        <f t="shared" si="95"/>
        <v>35488.23529411765</v>
      </c>
      <c r="G212" s="66">
        <f t="shared" si="95"/>
        <v>34290.217391304344</v>
      </c>
      <c r="H212" s="66">
        <f t="shared" si="95"/>
        <v>36487.062937062939</v>
      </c>
      <c r="I212" s="66">
        <f>I223/I206</f>
        <v>33082.412523020255</v>
      </c>
      <c r="J212" s="66">
        <f>J223/J206</f>
        <v>33082.412523020255</v>
      </c>
    </row>
    <row r="213" spans="1:10" ht="15.75" customHeight="1" x14ac:dyDescent="0.25">
      <c r="A213" s="195" t="s">
        <v>24</v>
      </c>
      <c r="B213" s="66">
        <f t="shared" ref="B213:I213" si="96">+B223/B200</f>
        <v>26413.207547169815</v>
      </c>
      <c r="C213" s="66">
        <f t="shared" si="96"/>
        <v>30183.561643835616</v>
      </c>
      <c r="D213" s="66">
        <f t="shared" si="96"/>
        <v>31815.662650602411</v>
      </c>
      <c r="E213" s="66">
        <f t="shared" si="96"/>
        <v>31030.487804878048</v>
      </c>
      <c r="F213" s="66">
        <f t="shared" si="96"/>
        <v>29429.268292682926</v>
      </c>
      <c r="G213" s="66">
        <f t="shared" si="96"/>
        <v>30236.741214057507</v>
      </c>
      <c r="H213" s="66">
        <f t="shared" si="96"/>
        <v>32815.408805031446</v>
      </c>
      <c r="I213" s="66">
        <f t="shared" si="96"/>
        <v>30759.845890410958</v>
      </c>
      <c r="J213" s="66">
        <f>J223/J200</f>
        <v>30759.845890410958</v>
      </c>
    </row>
    <row r="214" spans="1:10" ht="15.75" customHeight="1" x14ac:dyDescent="0.25">
      <c r="A214" s="146" t="s">
        <v>25</v>
      </c>
      <c r="B214" s="92">
        <f t="shared" ref="B214:H214" si="97">B219*B207</f>
        <v>47755.213793103452</v>
      </c>
      <c r="C214" s="92">
        <f t="shared" si="97"/>
        <v>886396.65172413806</v>
      </c>
      <c r="D214" s="92">
        <f t="shared" si="97"/>
        <v>1181579.6793103449</v>
      </c>
      <c r="E214" s="92">
        <f t="shared" si="97"/>
        <v>1423464.903448276</v>
      </c>
      <c r="F214" s="92">
        <f t="shared" si="97"/>
        <v>3431065.0999999996</v>
      </c>
      <c r="G214" s="31">
        <f t="shared" si="97"/>
        <v>3403983.8344827588</v>
      </c>
      <c r="H214" s="31">
        <f t="shared" si="97"/>
        <v>5027890.4827586208</v>
      </c>
      <c r="I214" s="31">
        <f>SUM(B214:H214)</f>
        <v>15402135.865517242</v>
      </c>
      <c r="J214" s="31">
        <f t="shared" ref="J214:J223" si="98">I214/7</f>
        <v>2200305.1236453201</v>
      </c>
    </row>
    <row r="215" spans="1:10" ht="15.75" customHeight="1" x14ac:dyDescent="0.25">
      <c r="A215" s="146" t="s">
        <v>26</v>
      </c>
      <c r="B215" s="92">
        <f t="shared" ref="B215:H215" si="99">B219*B208</f>
        <v>0</v>
      </c>
      <c r="C215" s="92">
        <f t="shared" si="99"/>
        <v>0</v>
      </c>
      <c r="D215" s="92">
        <f t="shared" si="99"/>
        <v>0</v>
      </c>
      <c r="E215" s="92">
        <f t="shared" si="99"/>
        <v>0</v>
      </c>
      <c r="F215" s="92">
        <f t="shared" si="99"/>
        <v>0</v>
      </c>
      <c r="G215" s="31">
        <f t="shared" si="99"/>
        <v>0</v>
      </c>
      <c r="H215" s="31">
        <f t="shared" si="99"/>
        <v>0</v>
      </c>
      <c r="I215" s="31">
        <f>SUM(B215:H215)</f>
        <v>0</v>
      </c>
      <c r="J215" s="31">
        <f t="shared" si="98"/>
        <v>0</v>
      </c>
    </row>
    <row r="216" spans="1:10" ht="15.75" customHeight="1" x14ac:dyDescent="0.25">
      <c r="A216" s="146" t="s">
        <v>27</v>
      </c>
      <c r="B216" s="92">
        <f t="shared" ref="B216:H216" si="100">B219*B209</f>
        <v>417858.12068965519</v>
      </c>
      <c r="C216" s="92">
        <f t="shared" si="100"/>
        <v>687409.6482758621</v>
      </c>
      <c r="D216" s="92">
        <f t="shared" si="100"/>
        <v>875244.20689655177</v>
      </c>
      <c r="E216" s="92">
        <f t="shared" si="100"/>
        <v>488652.13103448279</v>
      </c>
      <c r="F216" s="92">
        <f t="shared" si="100"/>
        <v>1715532.5499999998</v>
      </c>
      <c r="G216" s="31">
        <f t="shared" si="100"/>
        <v>2862440.9517241381</v>
      </c>
      <c r="H216" s="31">
        <f t="shared" si="100"/>
        <v>2215680.5517241382</v>
      </c>
      <c r="I216" s="31">
        <f>SUM(B216:H216)</f>
        <v>9262818.1603448279</v>
      </c>
      <c r="J216" s="31">
        <f t="shared" si="98"/>
        <v>1323259.7371921183</v>
      </c>
    </row>
    <row r="217" spans="1:10" ht="15.75" customHeight="1" x14ac:dyDescent="0.25">
      <c r="A217" s="146" t="s">
        <v>28</v>
      </c>
      <c r="B217" s="92">
        <f t="shared" ref="B217:H217" si="101">B219*B210</f>
        <v>274592.47931034485</v>
      </c>
      <c r="C217" s="92">
        <f t="shared" si="101"/>
        <v>235166.45862068969</v>
      </c>
      <c r="D217" s="92">
        <f t="shared" si="101"/>
        <v>131286.63103448274</v>
      </c>
      <c r="E217" s="92">
        <f t="shared" si="101"/>
        <v>212457.44827586209</v>
      </c>
      <c r="F217" s="92">
        <f t="shared" si="101"/>
        <v>709875.53793103446</v>
      </c>
      <c r="G217" s="31">
        <f t="shared" si="101"/>
        <v>1160449.0344827587</v>
      </c>
      <c r="H217" s="31">
        <f t="shared" si="101"/>
        <v>1193058.7586206899</v>
      </c>
      <c r="I217" s="31">
        <f>SUM(B217:H217)</f>
        <v>3916886.3482758617</v>
      </c>
      <c r="J217" s="31">
        <f t="shared" si="98"/>
        <v>559555.1926108374</v>
      </c>
    </row>
    <row r="218" spans="1:10" ht="15.75" customHeight="1" x14ac:dyDescent="0.25">
      <c r="A218" s="146" t="s">
        <v>29</v>
      </c>
      <c r="B218" s="92">
        <f>B219*B211</f>
        <v>453674.53103448282</v>
      </c>
      <c r="C218" s="92">
        <f t="shared" ref="C218:H218" si="102">C219*C211</f>
        <v>0</v>
      </c>
      <c r="D218" s="92">
        <f t="shared" si="102"/>
        <v>0</v>
      </c>
      <c r="E218" s="92">
        <f t="shared" si="102"/>
        <v>0</v>
      </c>
      <c r="F218" s="92">
        <f t="shared" si="102"/>
        <v>59156.294827586207</v>
      </c>
      <c r="G218" s="31">
        <f t="shared" si="102"/>
        <v>309453.07586206897</v>
      </c>
      <c r="H218" s="31">
        <f t="shared" si="102"/>
        <v>85218.482758620696</v>
      </c>
      <c r="I218" s="31">
        <f>SUM(B218:H218)</f>
        <v>907502.38448275882</v>
      </c>
      <c r="J218" s="31">
        <f t="shared" si="98"/>
        <v>129643.19778325126</v>
      </c>
    </row>
    <row r="219" spans="1:10" ht="15.75" customHeight="1" x14ac:dyDescent="0.25">
      <c r="A219" s="196" t="s">
        <v>30</v>
      </c>
      <c r="B219" s="91">
        <f>(1399900/1.16)-B220</f>
        <v>1193880.3448275863</v>
      </c>
      <c r="C219" s="91">
        <f>(2203400/1.16)-C220</f>
        <v>1808972.7586206899</v>
      </c>
      <c r="D219" s="91">
        <f>(2640700/1.16)-D220</f>
        <v>2188110.5172413792</v>
      </c>
      <c r="E219" s="91">
        <f>(2544500/1.16)-E220</f>
        <v>2124574.4827586208</v>
      </c>
      <c r="F219" s="91">
        <f>(7239600/1.16)-F220</f>
        <v>5915629.4827586208</v>
      </c>
      <c r="G219" s="197">
        <f>(9464100/1.16)-G220</f>
        <v>7736326.8965517245</v>
      </c>
      <c r="H219" s="197">
        <f>(10435300/1.16)-H220</f>
        <v>8521848.2758620698</v>
      </c>
      <c r="I219" s="197">
        <f>SUM(I214:I218)</f>
        <v>29489342.758620691</v>
      </c>
      <c r="J219" s="197">
        <f t="shared" si="98"/>
        <v>4212763.251231527</v>
      </c>
    </row>
    <row r="220" spans="1:10" ht="15.75" customHeight="1" x14ac:dyDescent="0.25">
      <c r="A220" s="146" t="s">
        <v>31</v>
      </c>
      <c r="B220" s="92">
        <f>2155*B201</f>
        <v>12930</v>
      </c>
      <c r="C220" s="92">
        <f t="shared" ref="C220:H220" si="103">2155*C201</f>
        <v>90510</v>
      </c>
      <c r="D220" s="92">
        <f t="shared" si="103"/>
        <v>88355</v>
      </c>
      <c r="E220" s="92">
        <f t="shared" si="103"/>
        <v>68960</v>
      </c>
      <c r="F220" s="92">
        <f t="shared" si="103"/>
        <v>325405</v>
      </c>
      <c r="G220" s="31">
        <f t="shared" si="103"/>
        <v>422380</v>
      </c>
      <c r="H220" s="31">
        <f t="shared" si="103"/>
        <v>474100</v>
      </c>
      <c r="I220" s="31">
        <f>2155*I201</f>
        <v>1482640</v>
      </c>
      <c r="J220" s="31">
        <f t="shared" si="98"/>
        <v>211805.71428571429</v>
      </c>
    </row>
    <row r="221" spans="1:10" ht="15.75" customHeight="1" x14ac:dyDescent="0.25">
      <c r="A221" s="198" t="s">
        <v>32</v>
      </c>
      <c r="B221" s="199">
        <f>B220+B219</f>
        <v>1206810.3448275863</v>
      </c>
      <c r="C221" s="199">
        <f>C220+C219</f>
        <v>1899482.7586206899</v>
      </c>
      <c r="D221" s="199">
        <f>D220+D219</f>
        <v>2276465.5172413792</v>
      </c>
      <c r="E221" s="199">
        <f>E220+E219</f>
        <v>2193534.4827586208</v>
      </c>
      <c r="F221" s="199">
        <f>F219+F220</f>
        <v>6241034.4827586208</v>
      </c>
      <c r="G221" s="199">
        <f>G220+G219</f>
        <v>8158706.8965517245</v>
      </c>
      <c r="H221" s="199">
        <f>H220+H219</f>
        <v>8995948.2758620698</v>
      </c>
      <c r="I221" s="199">
        <f>I219+I220</f>
        <v>30971982.758620691</v>
      </c>
      <c r="J221" s="200">
        <f t="shared" si="98"/>
        <v>4424568.9655172415</v>
      </c>
    </row>
    <row r="222" spans="1:10" ht="15.75" customHeight="1" x14ac:dyDescent="0.25">
      <c r="A222" s="146" t="s">
        <v>33</v>
      </c>
      <c r="B222" s="94">
        <f>B221*16%</f>
        <v>193089.65517241383</v>
      </c>
      <c r="C222" s="94">
        <f t="shared" ref="C222:H222" si="104">C221*16%</f>
        <v>303917.24137931038</v>
      </c>
      <c r="D222" s="94">
        <f t="shared" si="104"/>
        <v>364234.4827586207</v>
      </c>
      <c r="E222" s="94">
        <f t="shared" si="104"/>
        <v>350965.5172413793</v>
      </c>
      <c r="F222" s="94">
        <f t="shared" si="104"/>
        <v>998565.51724137936</v>
      </c>
      <c r="G222" s="94">
        <f t="shared" si="104"/>
        <v>1305393.1034482759</v>
      </c>
      <c r="H222" s="94">
        <f t="shared" si="104"/>
        <v>1439351.7241379311</v>
      </c>
      <c r="I222" s="94">
        <f>I221*16%</f>
        <v>4955517.2413793104</v>
      </c>
      <c r="J222" s="31">
        <f t="shared" si="98"/>
        <v>707931.03448275861</v>
      </c>
    </row>
    <row r="223" spans="1:10" ht="15.75" customHeight="1" x14ac:dyDescent="0.25">
      <c r="A223" s="201" t="s">
        <v>34</v>
      </c>
      <c r="B223" s="202">
        <f>B221+B222</f>
        <v>1399900.0000000002</v>
      </c>
      <c r="C223" s="202">
        <f t="shared" ref="C223:H223" si="105">C221+C222</f>
        <v>2203400</v>
      </c>
      <c r="D223" s="202">
        <f t="shared" si="105"/>
        <v>2640700</v>
      </c>
      <c r="E223" s="202">
        <f t="shared" si="105"/>
        <v>2544500</v>
      </c>
      <c r="F223" s="202">
        <f t="shared" si="105"/>
        <v>7239600</v>
      </c>
      <c r="G223" s="202">
        <f t="shared" si="105"/>
        <v>9464100</v>
      </c>
      <c r="H223" s="202">
        <f t="shared" si="105"/>
        <v>10435300</v>
      </c>
      <c r="I223" s="202">
        <f>CEDRITOS!$B223+CEDRITOS!$C223+CEDRITOS!$D223+CEDRITOS!$E223+CEDRITOS!$F223+CEDRITOS!$G223+CEDRITOS!$H223</f>
        <v>35927500</v>
      </c>
      <c r="J223" s="203">
        <f t="shared" si="98"/>
        <v>5132500</v>
      </c>
    </row>
    <row r="224" spans="1:10" ht="15.75" customHeight="1" x14ac:dyDescent="0.25">
      <c r="A224" s="204"/>
      <c r="B224" s="112"/>
      <c r="C224" s="112"/>
      <c r="D224" s="112"/>
      <c r="E224" s="112"/>
      <c r="F224" s="112"/>
      <c r="G224" s="112"/>
      <c r="H224" s="112"/>
      <c r="I224" s="112"/>
      <c r="J224" s="205"/>
    </row>
    <row r="225" spans="1:12" ht="15.75" customHeight="1" x14ac:dyDescent="0.25">
      <c r="A225" s="204"/>
      <c r="B225" s="112"/>
      <c r="C225" s="112"/>
      <c r="D225" s="112"/>
      <c r="E225" s="112"/>
      <c r="F225" s="112"/>
      <c r="G225" s="112"/>
      <c r="H225" s="112"/>
      <c r="I225" s="112"/>
      <c r="J225" s="205"/>
    </row>
    <row r="226" spans="1:12" ht="15.75" customHeight="1" x14ac:dyDescent="0.25">
      <c r="B226" s="1007" t="s">
        <v>98</v>
      </c>
      <c r="C226" s="1007"/>
      <c r="D226" s="1007"/>
      <c r="E226" s="1007"/>
      <c r="F226" s="1007"/>
      <c r="G226" s="1007"/>
      <c r="H226" s="1007"/>
    </row>
    <row r="227" spans="1:12" ht="15.75" customHeight="1" x14ac:dyDescent="0.25">
      <c r="A227" s="187" t="s">
        <v>2</v>
      </c>
      <c r="B227" s="50" t="s">
        <v>403</v>
      </c>
      <c r="C227" s="50" t="s">
        <v>132</v>
      </c>
      <c r="D227" s="51" t="s">
        <v>133</v>
      </c>
      <c r="E227" s="52" t="s">
        <v>134</v>
      </c>
      <c r="F227" s="50" t="s">
        <v>135</v>
      </c>
      <c r="G227" s="51" t="s">
        <v>136</v>
      </c>
      <c r="H227" s="50" t="s">
        <v>137</v>
      </c>
      <c r="I227" s="50" t="s">
        <v>96</v>
      </c>
      <c r="J227" s="52" t="s">
        <v>97</v>
      </c>
    </row>
    <row r="228" spans="1:12" ht="15.75" customHeight="1" x14ac:dyDescent="0.25">
      <c r="A228" s="336" t="s">
        <v>11</v>
      </c>
      <c r="B228" s="75">
        <v>252</v>
      </c>
      <c r="C228" s="75">
        <v>76</v>
      </c>
      <c r="D228" s="75">
        <v>73</v>
      </c>
      <c r="E228" s="316">
        <v>60</v>
      </c>
      <c r="F228" s="316">
        <v>247</v>
      </c>
      <c r="G228" s="316">
        <v>340</v>
      </c>
      <c r="H228" s="316">
        <v>267</v>
      </c>
      <c r="I228" s="316">
        <f>SUM(B228:H228)</f>
        <v>1315</v>
      </c>
      <c r="J228" s="381">
        <f>+I228/7</f>
        <v>187.85714285714286</v>
      </c>
      <c r="L228" s="89">
        <f>I234+I263+I291+I319+B346+C346</f>
        <v>5488</v>
      </c>
    </row>
    <row r="229" spans="1:12" ht="15.75" customHeight="1" x14ac:dyDescent="0.25">
      <c r="A229" s="146" t="s">
        <v>12</v>
      </c>
      <c r="B229" s="11">
        <v>187</v>
      </c>
      <c r="C229" s="11">
        <v>62</v>
      </c>
      <c r="D229" s="11">
        <v>58</v>
      </c>
      <c r="E229" s="11">
        <v>64</v>
      </c>
      <c r="F229" s="11">
        <v>190</v>
      </c>
      <c r="G229" s="11">
        <v>232</v>
      </c>
      <c r="H229" s="11">
        <v>198</v>
      </c>
      <c r="I229" s="11">
        <f>SUM(CEDRITOS!$B229:$H229)</f>
        <v>991</v>
      </c>
      <c r="J229" s="78">
        <f t="shared" ref="J229:J234" si="106">I229/7</f>
        <v>141.57142857142858</v>
      </c>
    </row>
    <row r="230" spans="1:12" ht="15.75" customHeight="1" x14ac:dyDescent="0.25">
      <c r="A230" s="146" t="s">
        <v>13</v>
      </c>
      <c r="B230" s="11">
        <v>0</v>
      </c>
      <c r="C230" s="11">
        <v>1</v>
      </c>
      <c r="D230" s="11">
        <v>0</v>
      </c>
      <c r="E230" s="11">
        <v>0</v>
      </c>
      <c r="F230" s="11">
        <v>0</v>
      </c>
      <c r="G230" s="11">
        <v>0</v>
      </c>
      <c r="H230" s="11">
        <v>0</v>
      </c>
      <c r="I230" s="11">
        <f>SUM(CEDRITOS!$B230:$H230)</f>
        <v>1</v>
      </c>
      <c r="J230" s="78">
        <f t="shared" si="106"/>
        <v>0.14285714285714285</v>
      </c>
    </row>
    <row r="231" spans="1:12" ht="15.75" customHeight="1" x14ac:dyDescent="0.25">
      <c r="A231" s="146" t="s">
        <v>14</v>
      </c>
      <c r="B231" s="11">
        <v>30</v>
      </c>
      <c r="C231" s="11">
        <v>18</v>
      </c>
      <c r="D231" s="11">
        <v>18</v>
      </c>
      <c r="E231" s="11">
        <v>20</v>
      </c>
      <c r="F231" s="11">
        <v>48</v>
      </c>
      <c r="G231" s="11">
        <v>40</v>
      </c>
      <c r="H231" s="11">
        <v>35</v>
      </c>
      <c r="I231" s="11">
        <f>SUM(CEDRITOS!$B231:$H231)</f>
        <v>209</v>
      </c>
      <c r="J231" s="78">
        <f t="shared" si="106"/>
        <v>29.857142857142858</v>
      </c>
    </row>
    <row r="232" spans="1:12" ht="15.75" customHeight="1" x14ac:dyDescent="0.25">
      <c r="A232" s="146" t="s">
        <v>15</v>
      </c>
      <c r="B232" s="11">
        <v>22</v>
      </c>
      <c r="C232" s="11">
        <v>9</v>
      </c>
      <c r="D232" s="11">
        <v>6</v>
      </c>
      <c r="E232" s="11">
        <v>5</v>
      </c>
      <c r="F232" s="11">
        <v>12</v>
      </c>
      <c r="G232" s="11">
        <v>18</v>
      </c>
      <c r="H232" s="11">
        <v>20</v>
      </c>
      <c r="I232" s="11">
        <f>SUM(CEDRITOS!$B232:$H232)</f>
        <v>92</v>
      </c>
      <c r="J232" s="78">
        <f t="shared" si="106"/>
        <v>13.142857142857142</v>
      </c>
    </row>
    <row r="233" spans="1:12" ht="15.75" customHeight="1" x14ac:dyDescent="0.25">
      <c r="A233" s="146" t="s">
        <v>16</v>
      </c>
      <c r="B233" s="11">
        <v>9</v>
      </c>
      <c r="C233" s="11">
        <v>0</v>
      </c>
      <c r="D233" s="11">
        <v>1</v>
      </c>
      <c r="E233" s="11">
        <v>0</v>
      </c>
      <c r="F233" s="11">
        <v>0</v>
      </c>
      <c r="G233" s="11">
        <v>0</v>
      </c>
      <c r="H233" s="86">
        <v>0</v>
      </c>
      <c r="I233" s="11">
        <f>SUM(CEDRITOS!$B233:$H233)</f>
        <v>10</v>
      </c>
      <c r="J233" s="78">
        <f t="shared" si="106"/>
        <v>1.4285714285714286</v>
      </c>
    </row>
    <row r="234" spans="1:12" ht="15.75" customHeight="1" x14ac:dyDescent="0.25">
      <c r="A234" s="103" t="s">
        <v>17</v>
      </c>
      <c r="B234" s="192">
        <f>SUM(B229:B233)</f>
        <v>248</v>
      </c>
      <c r="C234" s="192">
        <f t="shared" ref="C234:I234" si="107">SUM(C229:C233)</f>
        <v>90</v>
      </c>
      <c r="D234" s="192">
        <f t="shared" si="107"/>
        <v>83</v>
      </c>
      <c r="E234" s="192">
        <f t="shared" si="107"/>
        <v>89</v>
      </c>
      <c r="F234" s="192">
        <f t="shared" si="107"/>
        <v>250</v>
      </c>
      <c r="G234" s="192">
        <f t="shared" si="107"/>
        <v>290</v>
      </c>
      <c r="H234" s="192">
        <f t="shared" si="107"/>
        <v>253</v>
      </c>
      <c r="I234" s="192">
        <f t="shared" si="107"/>
        <v>1303</v>
      </c>
      <c r="J234" s="193">
        <f t="shared" si="106"/>
        <v>186.14285714285714</v>
      </c>
      <c r="L234" s="89"/>
    </row>
    <row r="235" spans="1:12" ht="15.75" customHeight="1" x14ac:dyDescent="0.25">
      <c r="A235" s="146" t="s">
        <v>18</v>
      </c>
      <c r="B235" s="30">
        <v>0.62</v>
      </c>
      <c r="C235" s="30">
        <v>0.55000000000000004</v>
      </c>
      <c r="D235" s="30">
        <v>0.57999999999999996</v>
      </c>
      <c r="E235" s="30">
        <v>0.56000000000000005</v>
      </c>
      <c r="F235" s="30">
        <v>0.56999999999999995</v>
      </c>
      <c r="G235" s="30">
        <v>0.6</v>
      </c>
      <c r="H235" s="30">
        <v>0.56000000000000005</v>
      </c>
      <c r="I235" s="30">
        <f>I242/I247</f>
        <v>0.58412386825123508</v>
      </c>
      <c r="J235" s="30">
        <f>J242/J247</f>
        <v>0.58412386825123508</v>
      </c>
    </row>
    <row r="236" spans="1:12" ht="15.75" customHeight="1" x14ac:dyDescent="0.25">
      <c r="A236" s="146" t="s">
        <v>19</v>
      </c>
      <c r="B236" s="30">
        <v>0</v>
      </c>
      <c r="C236" s="30">
        <v>0.01</v>
      </c>
      <c r="D236" s="30">
        <v>0</v>
      </c>
      <c r="E236" s="30">
        <v>0</v>
      </c>
      <c r="F236" s="30">
        <v>0.01</v>
      </c>
      <c r="G236" s="30">
        <v>0</v>
      </c>
      <c r="H236" s="30">
        <v>0</v>
      </c>
      <c r="I236" s="30">
        <f>I243/I247</f>
        <v>2.5052805092133103E-3</v>
      </c>
      <c r="J236" s="30">
        <f>J243/J247</f>
        <v>2.5052805092133108E-3</v>
      </c>
    </row>
    <row r="237" spans="1:12" ht="15.75" customHeight="1" x14ac:dyDescent="0.25">
      <c r="A237" s="146" t="s">
        <v>20</v>
      </c>
      <c r="B237" s="30">
        <v>0.2</v>
      </c>
      <c r="C237" s="30">
        <v>0.27</v>
      </c>
      <c r="D237" s="30">
        <v>0.31</v>
      </c>
      <c r="E237" s="30">
        <v>0.32</v>
      </c>
      <c r="F237" s="30">
        <v>0.34</v>
      </c>
      <c r="G237" s="30">
        <v>0.26</v>
      </c>
      <c r="H237" s="30">
        <v>0.28000000000000003</v>
      </c>
      <c r="I237" s="30">
        <f>I244/I247</f>
        <v>0.27301805635622944</v>
      </c>
      <c r="J237" s="30">
        <f>J244/J247</f>
        <v>0.27301805635622944</v>
      </c>
    </row>
    <row r="238" spans="1:12" ht="15.75" customHeight="1" x14ac:dyDescent="0.25">
      <c r="A238" s="146" t="s">
        <v>21</v>
      </c>
      <c r="B238" s="30">
        <v>0.18</v>
      </c>
      <c r="C238" s="30">
        <v>0.17</v>
      </c>
      <c r="D238" s="30">
        <v>0.11</v>
      </c>
      <c r="E238" s="30">
        <v>0.12</v>
      </c>
      <c r="F238" s="30">
        <v>0.08</v>
      </c>
      <c r="G238" s="30">
        <v>0.12</v>
      </c>
      <c r="H238" s="30">
        <v>0.16</v>
      </c>
      <c r="I238" s="30">
        <f>I245/I247</f>
        <v>0.13613922785318824</v>
      </c>
      <c r="J238" s="30">
        <f>J245/J247</f>
        <v>0.13613922785318824</v>
      </c>
      <c r="L238" s="89"/>
    </row>
    <row r="239" spans="1:12" ht="15.75" customHeight="1" x14ac:dyDescent="0.25">
      <c r="A239" s="146" t="s">
        <v>22</v>
      </c>
      <c r="B239" s="30">
        <v>0</v>
      </c>
      <c r="C239" s="30">
        <v>0</v>
      </c>
      <c r="D239" s="30">
        <v>0</v>
      </c>
      <c r="E239" s="30">
        <v>0</v>
      </c>
      <c r="F239" s="30">
        <v>0</v>
      </c>
      <c r="G239" s="30">
        <v>0.02</v>
      </c>
      <c r="H239" s="30">
        <v>0</v>
      </c>
      <c r="I239" s="30">
        <f>I246/I247</f>
        <v>4.2135670301338924E-3</v>
      </c>
      <c r="J239" s="30">
        <f>J246/J247</f>
        <v>4.2135670301338924E-3</v>
      </c>
    </row>
    <row r="240" spans="1:12" ht="15.75" customHeight="1" x14ac:dyDescent="0.25">
      <c r="A240" s="195" t="s">
        <v>23</v>
      </c>
      <c r="B240" s="66">
        <f>B251/B234</f>
        <v>34678.629032258068</v>
      </c>
      <c r="C240" s="66">
        <f t="shared" ref="C240:H240" si="108">C251/C234</f>
        <v>26432.222222222223</v>
      </c>
      <c r="D240" s="66">
        <f t="shared" si="108"/>
        <v>29180.722891566264</v>
      </c>
      <c r="E240" s="66">
        <f t="shared" si="108"/>
        <v>23738.20224719101</v>
      </c>
      <c r="F240" s="66">
        <f t="shared" si="108"/>
        <v>30154.400000000005</v>
      </c>
      <c r="G240" s="66">
        <f t="shared" si="108"/>
        <v>28931.724137931036</v>
      </c>
      <c r="H240" s="66">
        <f t="shared" si="108"/>
        <v>32041.501976284588</v>
      </c>
      <c r="I240" s="66">
        <f>I251/I234</f>
        <v>30352.417498081355</v>
      </c>
      <c r="J240" s="66">
        <f>J251/J234</f>
        <v>30352.417498081359</v>
      </c>
    </row>
    <row r="241" spans="1:12" ht="15.75" customHeight="1" x14ac:dyDescent="0.25">
      <c r="A241" s="195" t="s">
        <v>24</v>
      </c>
      <c r="B241" s="66">
        <f t="shared" ref="B241:I241" si="109">+B251/B228</f>
        <v>34128.174603174601</v>
      </c>
      <c r="C241" s="66">
        <f t="shared" si="109"/>
        <v>31301.315789473683</v>
      </c>
      <c r="D241" s="66">
        <f t="shared" si="109"/>
        <v>33178.082191780821</v>
      </c>
      <c r="E241" s="66">
        <f t="shared" si="109"/>
        <v>35211.666666666664</v>
      </c>
      <c r="F241" s="66">
        <f t="shared" si="109"/>
        <v>30520.647773279357</v>
      </c>
      <c r="G241" s="66">
        <f t="shared" si="109"/>
        <v>24677.058823529413</v>
      </c>
      <c r="H241" s="66">
        <f t="shared" si="109"/>
        <v>30361.423220973786</v>
      </c>
      <c r="I241" s="66">
        <f t="shared" si="109"/>
        <v>30075.43726235742</v>
      </c>
      <c r="J241" s="66">
        <f>J251/J228</f>
        <v>30075.43726235742</v>
      </c>
    </row>
    <row r="242" spans="1:12" ht="15.75" customHeight="1" x14ac:dyDescent="0.25">
      <c r="A242" s="146" t="s">
        <v>25</v>
      </c>
      <c r="B242" s="92">
        <f t="shared" ref="B242:H242" si="110">B247*B235</f>
        <v>4346861.3689655177</v>
      </c>
      <c r="C242" s="92">
        <f t="shared" si="110"/>
        <v>1054441.2241379311</v>
      </c>
      <c r="D242" s="92">
        <f t="shared" si="110"/>
        <v>1138505.8</v>
      </c>
      <c r="E242" s="92">
        <f t="shared" si="110"/>
        <v>942688.9379310346</v>
      </c>
      <c r="F242" s="92">
        <f t="shared" si="110"/>
        <v>3470925.5689655175</v>
      </c>
      <c r="G242" s="31">
        <f t="shared" si="110"/>
        <v>4039782.6206896557</v>
      </c>
      <c r="H242" s="31">
        <f t="shared" si="110"/>
        <v>3674536.3586206902</v>
      </c>
      <c r="I242" s="31">
        <f>SUM(B242:H242)</f>
        <v>18667741.879310347</v>
      </c>
      <c r="J242" s="31">
        <f t="shared" ref="J242:J251" si="111">I242/7</f>
        <v>2666820.2684729067</v>
      </c>
    </row>
    <row r="243" spans="1:12" ht="15.75" customHeight="1" x14ac:dyDescent="0.25">
      <c r="A243" s="146" t="s">
        <v>26</v>
      </c>
      <c r="B243" s="92">
        <f t="shared" ref="B243:H243" si="112">B247*B236</f>
        <v>0</v>
      </c>
      <c r="C243" s="92">
        <f t="shared" si="112"/>
        <v>19171.658620689657</v>
      </c>
      <c r="D243" s="92">
        <f t="shared" si="112"/>
        <v>0</v>
      </c>
      <c r="E243" s="92">
        <f t="shared" si="112"/>
        <v>0</v>
      </c>
      <c r="F243" s="92">
        <f t="shared" si="112"/>
        <v>60893.431034482768</v>
      </c>
      <c r="G243" s="31">
        <f t="shared" si="112"/>
        <v>0</v>
      </c>
      <c r="H243" s="31">
        <f t="shared" si="112"/>
        <v>0</v>
      </c>
      <c r="I243" s="31">
        <f>SUM(B243:H243)</f>
        <v>80065.089655172429</v>
      </c>
      <c r="J243" s="31">
        <f t="shared" si="111"/>
        <v>11437.869950738919</v>
      </c>
    </row>
    <row r="244" spans="1:12" ht="15.75" customHeight="1" x14ac:dyDescent="0.25">
      <c r="A244" s="146" t="s">
        <v>27</v>
      </c>
      <c r="B244" s="92">
        <f t="shared" ref="B244:H244" si="113">B247*B237</f>
        <v>1402213.3448275863</v>
      </c>
      <c r="C244" s="92">
        <f t="shared" si="113"/>
        <v>517634.78275862074</v>
      </c>
      <c r="D244" s="92">
        <f t="shared" si="113"/>
        <v>608511.72068965517</v>
      </c>
      <c r="E244" s="92">
        <f t="shared" si="113"/>
        <v>538679.39310344832</v>
      </c>
      <c r="F244" s="92">
        <f t="shared" si="113"/>
        <v>2070376.6551724141</v>
      </c>
      <c r="G244" s="31">
        <f t="shared" si="113"/>
        <v>1750572.4689655176</v>
      </c>
      <c r="H244" s="31">
        <f t="shared" si="113"/>
        <v>1837268.1793103451</v>
      </c>
      <c r="I244" s="31">
        <f>SUM(B244:H244)</f>
        <v>8725256.5448275879</v>
      </c>
      <c r="J244" s="31">
        <f t="shared" si="111"/>
        <v>1246465.2206896555</v>
      </c>
    </row>
    <row r="245" spans="1:12" ht="15.75" customHeight="1" x14ac:dyDescent="0.25">
      <c r="A245" s="146" t="s">
        <v>28</v>
      </c>
      <c r="B245" s="92">
        <f t="shared" ref="B245:H245" si="114">B247*B238</f>
        <v>1261992.0103448275</v>
      </c>
      <c r="C245" s="92">
        <f t="shared" si="114"/>
        <v>325918.19655172416</v>
      </c>
      <c r="D245" s="92">
        <f t="shared" si="114"/>
        <v>215923.51379310346</v>
      </c>
      <c r="E245" s="92">
        <f t="shared" si="114"/>
        <v>202004.77241379311</v>
      </c>
      <c r="F245" s="92">
        <f t="shared" si="114"/>
        <v>487147.44827586215</v>
      </c>
      <c r="G245" s="31">
        <f t="shared" si="114"/>
        <v>807956.52413793106</v>
      </c>
      <c r="H245" s="31">
        <f t="shared" si="114"/>
        <v>1049867.5310344829</v>
      </c>
      <c r="I245" s="31">
        <f>SUM(B245:H245)</f>
        <v>4350809.9965517242</v>
      </c>
      <c r="J245" s="31">
        <f t="shared" si="111"/>
        <v>621544.28522167483</v>
      </c>
    </row>
    <row r="246" spans="1:12" ht="15.75" customHeight="1" x14ac:dyDescent="0.25">
      <c r="A246" s="146" t="s">
        <v>29</v>
      </c>
      <c r="B246" s="92">
        <f>B247*B239</f>
        <v>0</v>
      </c>
      <c r="C246" s="92">
        <f t="shared" ref="C246:H246" si="115">C247*C239</f>
        <v>0</v>
      </c>
      <c r="D246" s="92">
        <f t="shared" si="115"/>
        <v>0</v>
      </c>
      <c r="E246" s="92">
        <f t="shared" si="115"/>
        <v>0</v>
      </c>
      <c r="F246" s="92">
        <f t="shared" si="115"/>
        <v>0</v>
      </c>
      <c r="G246" s="31">
        <f t="shared" si="115"/>
        <v>134659.42068965518</v>
      </c>
      <c r="H246" s="31">
        <f t="shared" si="115"/>
        <v>0</v>
      </c>
      <c r="I246" s="31">
        <f>SUM(B246:H246)</f>
        <v>134659.42068965518</v>
      </c>
      <c r="J246" s="31">
        <f t="shared" si="111"/>
        <v>19237.060098522168</v>
      </c>
    </row>
    <row r="247" spans="1:12" ht="15.75" customHeight="1" x14ac:dyDescent="0.25">
      <c r="A247" s="196" t="s">
        <v>30</v>
      </c>
      <c r="B247" s="91">
        <f>(8600300/1.16)-B248</f>
        <v>7011066.7241379311</v>
      </c>
      <c r="C247" s="91">
        <f>(2378900/1.16)-C248</f>
        <v>1917165.8620689656</v>
      </c>
      <c r="D247" s="91">
        <f>(2422000/1.16)-D248</f>
        <v>1962941.0344827587</v>
      </c>
      <c r="E247" s="91">
        <f>(2112700/1.16)-E248</f>
        <v>1683373.1034482759</v>
      </c>
      <c r="F247" s="91">
        <f>(7538600/1.16)-F248</f>
        <v>6089343.1034482764</v>
      </c>
      <c r="G247" s="197">
        <f>(8390200/1.16)-G248</f>
        <v>6732971.0344827594</v>
      </c>
      <c r="H247" s="197">
        <f>(8106500/1.16)-H248</f>
        <v>6561672.0689655179</v>
      </c>
      <c r="I247" s="197">
        <f>SUM(I242:I246)</f>
        <v>31958532.931034487</v>
      </c>
      <c r="J247" s="197">
        <f t="shared" si="111"/>
        <v>4565504.704433498</v>
      </c>
    </row>
    <row r="248" spans="1:12" ht="15.75" customHeight="1" x14ac:dyDescent="0.25">
      <c r="A248" s="146" t="s">
        <v>31</v>
      </c>
      <c r="B248" s="92">
        <f>2155*B229</f>
        <v>402985</v>
      </c>
      <c r="C248" s="92">
        <f t="shared" ref="C248:H248" si="116">2155*C229</f>
        <v>133610</v>
      </c>
      <c r="D248" s="92">
        <f t="shared" si="116"/>
        <v>124990</v>
      </c>
      <c r="E248" s="92">
        <f t="shared" si="116"/>
        <v>137920</v>
      </c>
      <c r="F248" s="92">
        <f t="shared" si="116"/>
        <v>409450</v>
      </c>
      <c r="G248" s="31">
        <f t="shared" si="116"/>
        <v>499960</v>
      </c>
      <c r="H248" s="31">
        <f t="shared" si="116"/>
        <v>426690</v>
      </c>
      <c r="I248" s="31">
        <f>2155*I229</f>
        <v>2135605</v>
      </c>
      <c r="J248" s="31">
        <f t="shared" si="111"/>
        <v>305086.42857142858</v>
      </c>
    </row>
    <row r="249" spans="1:12" ht="15.75" customHeight="1" x14ac:dyDescent="0.25">
      <c r="A249" s="198" t="s">
        <v>32</v>
      </c>
      <c r="B249" s="199">
        <f>B248+B247</f>
        <v>7414051.7241379311</v>
      </c>
      <c r="C249" s="199">
        <f>C248+C247</f>
        <v>2050775.8620689656</v>
      </c>
      <c r="D249" s="199">
        <f>D248+D247</f>
        <v>2087931.0344827587</v>
      </c>
      <c r="E249" s="199">
        <f>E248+E247</f>
        <v>1821293.1034482759</v>
      </c>
      <c r="F249" s="199">
        <f>F247+F248</f>
        <v>6498793.1034482764</v>
      </c>
      <c r="G249" s="199">
        <f>G248+G247</f>
        <v>7232931.0344827594</v>
      </c>
      <c r="H249" s="199">
        <f>H248+H247</f>
        <v>6988362.0689655179</v>
      </c>
      <c r="I249" s="199">
        <f>I247+I248</f>
        <v>34094137.93103449</v>
      </c>
      <c r="J249" s="200">
        <f t="shared" si="111"/>
        <v>4870591.1330049271</v>
      </c>
    </row>
    <row r="250" spans="1:12" ht="15.75" customHeight="1" x14ac:dyDescent="0.25">
      <c r="A250" s="146" t="s">
        <v>33</v>
      </c>
      <c r="B250" s="94">
        <f>B249*16%</f>
        <v>1186248.2758620691</v>
      </c>
      <c r="C250" s="94">
        <f t="shared" ref="C250:H250" si="117">C249*16%</f>
        <v>328124.13793103449</v>
      </c>
      <c r="D250" s="94">
        <f t="shared" si="117"/>
        <v>334068.96551724139</v>
      </c>
      <c r="E250" s="94">
        <f t="shared" si="117"/>
        <v>291406.89655172417</v>
      </c>
      <c r="F250" s="94">
        <f t="shared" si="117"/>
        <v>1039806.8965517243</v>
      </c>
      <c r="G250" s="94">
        <f t="shared" si="117"/>
        <v>1157268.9655172415</v>
      </c>
      <c r="H250" s="94">
        <f t="shared" si="117"/>
        <v>1118137.9310344828</v>
      </c>
      <c r="I250" s="94">
        <f>I249*16%</f>
        <v>5455062.0689655188</v>
      </c>
      <c r="J250" s="31">
        <f t="shared" si="111"/>
        <v>779294.58128078841</v>
      </c>
    </row>
    <row r="251" spans="1:12" ht="15.75" customHeight="1" x14ac:dyDescent="0.25">
      <c r="A251" s="201" t="s">
        <v>34</v>
      </c>
      <c r="B251" s="202">
        <f>B249+B250</f>
        <v>8600300</v>
      </c>
      <c r="C251" s="202">
        <f t="shared" ref="C251:H251" si="118">C249+C250</f>
        <v>2378900</v>
      </c>
      <c r="D251" s="202">
        <f t="shared" si="118"/>
        <v>2422000</v>
      </c>
      <c r="E251" s="202">
        <f t="shared" si="118"/>
        <v>2112700</v>
      </c>
      <c r="F251" s="202">
        <f t="shared" si="118"/>
        <v>7538600.0000000009</v>
      </c>
      <c r="G251" s="202">
        <f t="shared" si="118"/>
        <v>8390200</v>
      </c>
      <c r="H251" s="202">
        <f t="shared" si="118"/>
        <v>8106500.0000000009</v>
      </c>
      <c r="I251" s="202">
        <f>I249+I250</f>
        <v>39549200.000000007</v>
      </c>
      <c r="J251" s="203">
        <f t="shared" si="111"/>
        <v>5649885.7142857155</v>
      </c>
      <c r="L251" s="89"/>
    </row>
    <row r="252" spans="1:12" ht="15.75" customHeight="1" x14ac:dyDescent="0.25">
      <c r="A252" s="204"/>
      <c r="B252" s="112"/>
      <c r="C252" s="112"/>
      <c r="D252" s="112"/>
      <c r="E252" s="112"/>
      <c r="F252" s="112"/>
      <c r="G252" s="112"/>
      <c r="H252" s="112"/>
      <c r="I252" s="112"/>
      <c r="J252" s="205"/>
    </row>
    <row r="253" spans="1:12" ht="15.75" customHeight="1" x14ac:dyDescent="0.25">
      <c r="A253" s="204"/>
      <c r="B253" s="112"/>
      <c r="C253" s="112"/>
      <c r="D253" s="112"/>
      <c r="E253" s="112"/>
      <c r="F253" s="112"/>
      <c r="G253" s="112"/>
      <c r="H253" s="112"/>
      <c r="I253" s="112"/>
      <c r="J253" s="205"/>
    </row>
    <row r="254" spans="1:12" ht="15.75" customHeight="1" x14ac:dyDescent="0.25">
      <c r="A254" s="204"/>
      <c r="B254" s="112"/>
      <c r="C254" s="112"/>
      <c r="D254" s="112"/>
      <c r="E254" s="112"/>
      <c r="F254" s="112"/>
      <c r="G254" s="112"/>
      <c r="H254" s="112"/>
      <c r="I254" s="112"/>
      <c r="J254" s="205"/>
    </row>
    <row r="255" spans="1:12" ht="15.75" customHeight="1" x14ac:dyDescent="0.25">
      <c r="B255" s="1002" t="s">
        <v>413</v>
      </c>
      <c r="C255" s="1002"/>
      <c r="D255" s="1002"/>
      <c r="E255" s="1002"/>
      <c r="F255" s="1002"/>
      <c r="G255" s="1002"/>
      <c r="H255" s="1002"/>
    </row>
    <row r="256" spans="1:12" ht="15.75" customHeight="1" x14ac:dyDescent="0.25">
      <c r="A256" s="187" t="s">
        <v>2</v>
      </c>
      <c r="B256" s="50" t="s">
        <v>139</v>
      </c>
      <c r="C256" s="50" t="s">
        <v>140</v>
      </c>
      <c r="D256" s="51" t="s">
        <v>141</v>
      </c>
      <c r="E256" s="52" t="s">
        <v>142</v>
      </c>
      <c r="F256" s="50" t="s">
        <v>143</v>
      </c>
      <c r="G256" s="51" t="s">
        <v>144</v>
      </c>
      <c r="H256" s="50" t="s">
        <v>145</v>
      </c>
      <c r="I256" s="50" t="s">
        <v>96</v>
      </c>
      <c r="J256" s="52" t="s">
        <v>97</v>
      </c>
    </row>
    <row r="257" spans="1:10" ht="15.75" customHeight="1" x14ac:dyDescent="0.25">
      <c r="A257" s="332" t="s">
        <v>11</v>
      </c>
      <c r="B257" s="75">
        <v>67</v>
      </c>
      <c r="C257" s="75">
        <v>83</v>
      </c>
      <c r="D257" s="75">
        <v>83</v>
      </c>
      <c r="E257" s="316">
        <v>115</v>
      </c>
      <c r="F257" s="316">
        <v>223</v>
      </c>
      <c r="G257" s="316">
        <v>286</v>
      </c>
      <c r="H257" s="316">
        <v>280</v>
      </c>
      <c r="I257" s="316">
        <f>SUM(B257:H257)</f>
        <v>1137</v>
      </c>
      <c r="J257" s="382">
        <f>+I257/9</f>
        <v>126.33333333333333</v>
      </c>
    </row>
    <row r="258" spans="1:10" ht="15.75" customHeight="1" x14ac:dyDescent="0.25">
      <c r="A258" s="212" t="s">
        <v>12</v>
      </c>
      <c r="B258" s="11">
        <v>92</v>
      </c>
      <c r="C258" s="11">
        <v>127</v>
      </c>
      <c r="D258" s="11">
        <v>116</v>
      </c>
      <c r="E258" s="11">
        <v>174</v>
      </c>
      <c r="F258" s="11">
        <v>105</v>
      </c>
      <c r="G258" s="11">
        <v>151</v>
      </c>
      <c r="H258" s="11">
        <v>150</v>
      </c>
      <c r="I258" s="11">
        <f>SUM(CEDRITOS!$B258:$H258)</f>
        <v>915</v>
      </c>
      <c r="J258" s="60">
        <f t="shared" ref="J258:J263" si="119">I258/9</f>
        <v>101.66666666666667</v>
      </c>
    </row>
    <row r="259" spans="1:10" ht="15.75" customHeight="1" x14ac:dyDescent="0.25">
      <c r="A259" s="212" t="s">
        <v>13</v>
      </c>
      <c r="B259" s="11">
        <v>0</v>
      </c>
      <c r="C259" s="11">
        <v>0</v>
      </c>
      <c r="D259" s="11">
        <v>0</v>
      </c>
      <c r="E259" s="11">
        <v>0</v>
      </c>
      <c r="F259" s="11">
        <v>1</v>
      </c>
      <c r="G259" s="11">
        <v>0</v>
      </c>
      <c r="H259" s="11">
        <v>0</v>
      </c>
      <c r="I259" s="11">
        <f>SUM(CEDRITOS!$B259:$H259)</f>
        <v>1</v>
      </c>
      <c r="J259" s="60">
        <f t="shared" si="119"/>
        <v>0.1111111111111111</v>
      </c>
    </row>
    <row r="260" spans="1:10" ht="15.75" customHeight="1" x14ac:dyDescent="0.25">
      <c r="A260" s="212" t="s">
        <v>14</v>
      </c>
      <c r="B260" s="11">
        <v>26</v>
      </c>
      <c r="C260" s="11">
        <v>18</v>
      </c>
      <c r="D260" s="11">
        <v>34</v>
      </c>
      <c r="E260" s="11">
        <v>34</v>
      </c>
      <c r="F260" s="11">
        <v>60</v>
      </c>
      <c r="G260" s="11">
        <v>125</v>
      </c>
      <c r="H260" s="11">
        <v>85</v>
      </c>
      <c r="I260" s="11">
        <f>SUM(CEDRITOS!$B260:$H260)</f>
        <v>382</v>
      </c>
      <c r="J260" s="60">
        <f t="shared" si="119"/>
        <v>42.444444444444443</v>
      </c>
    </row>
    <row r="261" spans="1:10" ht="15.75" customHeight="1" x14ac:dyDescent="0.25">
      <c r="A261" s="212" t="s">
        <v>15</v>
      </c>
      <c r="B261" s="11">
        <v>8</v>
      </c>
      <c r="C261" s="11">
        <v>18</v>
      </c>
      <c r="D261" s="11">
        <v>14</v>
      </c>
      <c r="E261" s="11">
        <v>6</v>
      </c>
      <c r="F261" s="11">
        <v>28</v>
      </c>
      <c r="G261" s="11">
        <v>6</v>
      </c>
      <c r="H261" s="11">
        <v>10</v>
      </c>
      <c r="I261" s="11">
        <f>SUM(CEDRITOS!$B261:$H261)</f>
        <v>90</v>
      </c>
      <c r="J261" s="60">
        <f t="shared" si="119"/>
        <v>10</v>
      </c>
    </row>
    <row r="262" spans="1:10" ht="15.75" customHeight="1" x14ac:dyDescent="0.25">
      <c r="A262" s="212" t="s">
        <v>16</v>
      </c>
      <c r="B262" s="11">
        <v>0</v>
      </c>
      <c r="C262" s="11">
        <v>0</v>
      </c>
      <c r="D262" s="11">
        <v>2</v>
      </c>
      <c r="E262" s="11">
        <v>4</v>
      </c>
      <c r="F262" s="11">
        <v>1</v>
      </c>
      <c r="G262" s="11">
        <v>0</v>
      </c>
      <c r="H262" s="86">
        <v>4</v>
      </c>
      <c r="I262" s="11">
        <f>SUM(CEDRITOS!$B262:$H262)</f>
        <v>11</v>
      </c>
      <c r="J262" s="60">
        <f t="shared" si="119"/>
        <v>1.2222222222222223</v>
      </c>
    </row>
    <row r="263" spans="1:10" ht="15.75" customHeight="1" x14ac:dyDescent="0.25">
      <c r="A263" s="213" t="s">
        <v>17</v>
      </c>
      <c r="B263" s="192">
        <f>SUM(B258:B262)</f>
        <v>126</v>
      </c>
      <c r="C263" s="192">
        <f t="shared" ref="C263:I263" si="120">SUM(C258:C262)</f>
        <v>163</v>
      </c>
      <c r="D263" s="192">
        <f t="shared" si="120"/>
        <v>166</v>
      </c>
      <c r="E263" s="192">
        <f t="shared" si="120"/>
        <v>218</v>
      </c>
      <c r="F263" s="192">
        <f t="shared" si="120"/>
        <v>195</v>
      </c>
      <c r="G263" s="192">
        <f t="shared" si="120"/>
        <v>282</v>
      </c>
      <c r="H263" s="192">
        <f t="shared" si="120"/>
        <v>249</v>
      </c>
      <c r="I263" s="192">
        <f t="shared" si="120"/>
        <v>1399</v>
      </c>
      <c r="J263" s="214">
        <f t="shared" si="119"/>
        <v>155.44444444444446</v>
      </c>
    </row>
    <row r="264" spans="1:10" ht="15.75" customHeight="1" x14ac:dyDescent="0.25">
      <c r="A264" s="212" t="s">
        <v>18</v>
      </c>
      <c r="B264" s="30">
        <v>0.5</v>
      </c>
      <c r="C264" s="30">
        <v>0.64</v>
      </c>
      <c r="D264" s="30">
        <v>0.45</v>
      </c>
      <c r="E264" s="30">
        <v>0.79</v>
      </c>
      <c r="F264" s="30">
        <v>0.61</v>
      </c>
      <c r="G264" s="30">
        <v>0.59</v>
      </c>
      <c r="H264" s="30">
        <v>0.62</v>
      </c>
      <c r="I264" s="30">
        <f>I271/I276</f>
        <v>0.60804309397056078</v>
      </c>
      <c r="J264" s="160">
        <f>J271/J276</f>
        <v>0.60804309397056067</v>
      </c>
    </row>
    <row r="265" spans="1:10" ht="15.75" customHeight="1" x14ac:dyDescent="0.25">
      <c r="A265" s="212" t="s">
        <v>19</v>
      </c>
      <c r="B265" s="30">
        <v>0</v>
      </c>
      <c r="C265" s="30">
        <v>0</v>
      </c>
      <c r="D265" s="30">
        <v>0</v>
      </c>
      <c r="E265" s="30">
        <v>0</v>
      </c>
      <c r="F265" s="30">
        <v>0.01</v>
      </c>
      <c r="G265" s="30">
        <v>0</v>
      </c>
      <c r="H265" s="30">
        <v>0</v>
      </c>
      <c r="I265" s="30">
        <f>I272/I276</f>
        <v>2.0046570124243367E-3</v>
      </c>
      <c r="J265" s="160">
        <f>J272/J276</f>
        <v>2.0046570124243367E-3</v>
      </c>
    </row>
    <row r="266" spans="1:10" ht="15.75" customHeight="1" x14ac:dyDescent="0.25">
      <c r="A266" s="212" t="s">
        <v>20</v>
      </c>
      <c r="B266" s="30">
        <v>0.39</v>
      </c>
      <c r="C266" s="30">
        <v>0.18</v>
      </c>
      <c r="D266" s="30">
        <v>0.38</v>
      </c>
      <c r="E266" s="30">
        <v>0.16</v>
      </c>
      <c r="F266" s="30">
        <v>0.26</v>
      </c>
      <c r="G266" s="30">
        <v>0.4</v>
      </c>
      <c r="H266" s="30">
        <v>0.34</v>
      </c>
      <c r="I266" s="30">
        <f>I273/I276</f>
        <v>0.31974327723888679</v>
      </c>
      <c r="J266" s="160">
        <f>J273/J276</f>
        <v>0.31974327723888679</v>
      </c>
    </row>
    <row r="267" spans="1:10" ht="15.75" customHeight="1" x14ac:dyDescent="0.25">
      <c r="A267" s="212" t="s">
        <v>21</v>
      </c>
      <c r="B267" s="30">
        <v>0.11</v>
      </c>
      <c r="C267" s="30">
        <v>0.18</v>
      </c>
      <c r="D267" s="30">
        <v>0.14000000000000001</v>
      </c>
      <c r="E267" s="30">
        <v>0.03</v>
      </c>
      <c r="F267" s="30">
        <v>0.12</v>
      </c>
      <c r="G267" s="30">
        <v>0.01</v>
      </c>
      <c r="H267" s="30">
        <v>0.03</v>
      </c>
      <c r="I267" s="30">
        <f>I274/I276</f>
        <v>6.3783300964531484E-2</v>
      </c>
      <c r="J267" s="160">
        <f>J274/J276</f>
        <v>6.3783300964531484E-2</v>
      </c>
    </row>
    <row r="268" spans="1:10" ht="15.75" customHeight="1" x14ac:dyDescent="0.25">
      <c r="A268" s="212" t="s">
        <v>22</v>
      </c>
      <c r="B268" s="30">
        <v>0</v>
      </c>
      <c r="C268" s="30">
        <v>0</v>
      </c>
      <c r="D268" s="30">
        <v>0.03</v>
      </c>
      <c r="E268" s="30">
        <v>0.02</v>
      </c>
      <c r="F268" s="30">
        <v>0</v>
      </c>
      <c r="G268" s="30">
        <v>0</v>
      </c>
      <c r="H268" s="30">
        <v>0.01</v>
      </c>
      <c r="I268" s="30">
        <f>I275/I276</f>
        <v>6.425670813596622E-3</v>
      </c>
      <c r="J268" s="160">
        <f>J275/J276</f>
        <v>6.425670813596622E-3</v>
      </c>
    </row>
    <row r="269" spans="1:10" ht="15.75" customHeight="1" x14ac:dyDescent="0.25">
      <c r="A269" s="215" t="s">
        <v>23</v>
      </c>
      <c r="B269" s="66">
        <f>B280/B263</f>
        <v>15213.492063492064</v>
      </c>
      <c r="C269" s="66">
        <f t="shared" ref="C269:H269" si="121">C280/C263</f>
        <v>14564.417177914111</v>
      </c>
      <c r="D269" s="66">
        <f t="shared" si="121"/>
        <v>15335.542168674699</v>
      </c>
      <c r="E269" s="66">
        <f t="shared" si="121"/>
        <v>14961.467889908259</v>
      </c>
      <c r="F269" s="66">
        <f t="shared" si="121"/>
        <v>35086.153846153844</v>
      </c>
      <c r="G269" s="66">
        <f t="shared" si="121"/>
        <v>32353.900709219859</v>
      </c>
      <c r="H269" s="66">
        <f t="shared" si="121"/>
        <v>36320.080321285139</v>
      </c>
      <c r="I269" s="66">
        <f>I280/I263</f>
        <v>25094.710507505362</v>
      </c>
      <c r="J269" s="67">
        <f>J280/J263</f>
        <v>32264.627795364031</v>
      </c>
    </row>
    <row r="270" spans="1:10" ht="15.75" customHeight="1" x14ac:dyDescent="0.25">
      <c r="A270" s="215" t="s">
        <v>24</v>
      </c>
      <c r="B270" s="66">
        <f t="shared" ref="B270:I270" si="122">+B280/B257</f>
        <v>28610.447761194031</v>
      </c>
      <c r="C270" s="66">
        <f t="shared" si="122"/>
        <v>28602.409638554218</v>
      </c>
      <c r="D270" s="66">
        <f t="shared" si="122"/>
        <v>30671.084337349399</v>
      </c>
      <c r="E270" s="66">
        <f t="shared" si="122"/>
        <v>28361.739130434788</v>
      </c>
      <c r="F270" s="66">
        <f t="shared" si="122"/>
        <v>30680.717488789236</v>
      </c>
      <c r="G270" s="66">
        <f t="shared" si="122"/>
        <v>31901.398601398603</v>
      </c>
      <c r="H270" s="66">
        <f t="shared" si="122"/>
        <v>32298.928571428572</v>
      </c>
      <c r="I270" s="66">
        <f t="shared" si="122"/>
        <v>30877.308707124012</v>
      </c>
      <c r="J270" s="67">
        <f>J280/J257</f>
        <v>39699.396909159441</v>
      </c>
    </row>
    <row r="271" spans="1:10" ht="15.75" customHeight="1" x14ac:dyDescent="0.25">
      <c r="A271" s="212" t="s">
        <v>25</v>
      </c>
      <c r="B271" s="92">
        <f t="shared" ref="B271:H271" si="123">B276*B264</f>
        <v>727120</v>
      </c>
      <c r="C271" s="92">
        <f t="shared" si="123"/>
        <v>1134634.703448276</v>
      </c>
      <c r="D271" s="92">
        <f t="shared" si="123"/>
        <v>875065.03448275873</v>
      </c>
      <c r="E271" s="92">
        <f t="shared" si="123"/>
        <v>1925035.7689655176</v>
      </c>
      <c r="F271" s="92">
        <f t="shared" si="123"/>
        <v>3459815.3534482759</v>
      </c>
      <c r="G271" s="31">
        <f t="shared" si="123"/>
        <v>4448564.4982758621</v>
      </c>
      <c r="H271" s="31">
        <f t="shared" si="123"/>
        <v>4633286.7241379311</v>
      </c>
      <c r="I271" s="31">
        <f>SUM(B271:H271)</f>
        <v>17203522.08275862</v>
      </c>
      <c r="J271" s="32">
        <f t="shared" ref="J271:J280" si="124">I271/7</f>
        <v>2457646.01182266</v>
      </c>
    </row>
    <row r="272" spans="1:10" ht="15.75" customHeight="1" x14ac:dyDescent="0.25">
      <c r="A272" s="212" t="s">
        <v>26</v>
      </c>
      <c r="B272" s="92">
        <f t="shared" ref="B272:H272" si="125">B276*B265</f>
        <v>0</v>
      </c>
      <c r="C272" s="92">
        <f t="shared" si="125"/>
        <v>0</v>
      </c>
      <c r="D272" s="92">
        <f t="shared" si="125"/>
        <v>0</v>
      </c>
      <c r="E272" s="92">
        <f t="shared" si="125"/>
        <v>0</v>
      </c>
      <c r="F272" s="92">
        <f t="shared" si="125"/>
        <v>56718.284482758623</v>
      </c>
      <c r="G272" s="31">
        <f t="shared" si="125"/>
        <v>0</v>
      </c>
      <c r="H272" s="31">
        <f t="shared" si="125"/>
        <v>0</v>
      </c>
      <c r="I272" s="31">
        <f>SUM(B272:H272)</f>
        <v>56718.284482758623</v>
      </c>
      <c r="J272" s="32">
        <f t="shared" si="124"/>
        <v>8102.6120689655172</v>
      </c>
    </row>
    <row r="273" spans="1:10" ht="15.75" customHeight="1" x14ac:dyDescent="0.25">
      <c r="A273" s="212" t="s">
        <v>27</v>
      </c>
      <c r="B273" s="92">
        <f t="shared" ref="B273:H273" si="126">B276*B266</f>
        <v>567153.6</v>
      </c>
      <c r="C273" s="92">
        <f t="shared" si="126"/>
        <v>319116.01034482761</v>
      </c>
      <c r="D273" s="92">
        <f t="shared" si="126"/>
        <v>738943.80689655175</v>
      </c>
      <c r="E273" s="92">
        <f t="shared" si="126"/>
        <v>389880.66206896561</v>
      </c>
      <c r="F273" s="92">
        <f t="shared" si="126"/>
        <v>1474675.3965517243</v>
      </c>
      <c r="G273" s="31">
        <f t="shared" si="126"/>
        <v>3015975.931034483</v>
      </c>
      <c r="H273" s="31">
        <f t="shared" si="126"/>
        <v>2540834.6551724141</v>
      </c>
      <c r="I273" s="31">
        <f>SUM(B273:H273)</f>
        <v>9046580.0620689653</v>
      </c>
      <c r="J273" s="32">
        <f t="shared" si="124"/>
        <v>1292368.5802955665</v>
      </c>
    </row>
    <row r="274" spans="1:10" ht="15.75" customHeight="1" x14ac:dyDescent="0.25">
      <c r="A274" s="212" t="s">
        <v>28</v>
      </c>
      <c r="B274" s="92">
        <f t="shared" ref="B274:H274" si="127">B276*B267</f>
        <v>159966.39999999999</v>
      </c>
      <c r="C274" s="92">
        <f t="shared" si="127"/>
        <v>319116.01034482761</v>
      </c>
      <c r="D274" s="92">
        <f t="shared" si="127"/>
        <v>272242.45517241384</v>
      </c>
      <c r="E274" s="92">
        <f t="shared" si="127"/>
        <v>73102.624137931038</v>
      </c>
      <c r="F274" s="92">
        <f t="shared" si="127"/>
        <v>680619.41379310342</v>
      </c>
      <c r="G274" s="31">
        <f t="shared" si="127"/>
        <v>75399.398275862084</v>
      </c>
      <c r="H274" s="31">
        <f t="shared" si="127"/>
        <v>224191.29310344829</v>
      </c>
      <c r="I274" s="31">
        <f>SUM(B274:H274)</f>
        <v>1804637.5948275861</v>
      </c>
      <c r="J274" s="32">
        <f t="shared" si="124"/>
        <v>257805.37068965516</v>
      </c>
    </row>
    <row r="275" spans="1:10" ht="15.75" customHeight="1" x14ac:dyDescent="0.25">
      <c r="A275" s="212" t="s">
        <v>29</v>
      </c>
      <c r="B275" s="92">
        <f>B276*B268</f>
        <v>0</v>
      </c>
      <c r="C275" s="92">
        <f t="shared" ref="C275:H275" si="128">C276*C268</f>
        <v>0</v>
      </c>
      <c r="D275" s="92">
        <f t="shared" si="128"/>
        <v>58337.668965517245</v>
      </c>
      <c r="E275" s="92">
        <f t="shared" si="128"/>
        <v>48735.082758620701</v>
      </c>
      <c r="F275" s="92">
        <f t="shared" si="128"/>
        <v>0</v>
      </c>
      <c r="G275" s="31">
        <f t="shared" si="128"/>
        <v>0</v>
      </c>
      <c r="H275" s="31">
        <f t="shared" si="128"/>
        <v>74730.431034482768</v>
      </c>
      <c r="I275" s="31">
        <f>SUM(B275:H275)</f>
        <v>181803.18275862071</v>
      </c>
      <c r="J275" s="32">
        <f t="shared" si="124"/>
        <v>25971.883251231531</v>
      </c>
    </row>
    <row r="276" spans="1:10" ht="15.75" customHeight="1" x14ac:dyDescent="0.25">
      <c r="A276" s="216" t="s">
        <v>30</v>
      </c>
      <c r="B276" s="91">
        <f>(1916900/1.16)-B277</f>
        <v>1454240</v>
      </c>
      <c r="C276" s="91">
        <f>(2374000/1.16)-C277</f>
        <v>1772866.7241379311</v>
      </c>
      <c r="D276" s="91">
        <f>(2545700/1.16)-D277</f>
        <v>1944588.9655172415</v>
      </c>
      <c r="E276" s="91">
        <f>(3261600/1.16)-E277</f>
        <v>2436754.1379310349</v>
      </c>
      <c r="F276" s="91">
        <f>(6841800/1.16)-F277</f>
        <v>5671828.4482758623</v>
      </c>
      <c r="G276" s="197">
        <f>(9123800/1.16)-G277</f>
        <v>7539939.8275862075</v>
      </c>
      <c r="H276" s="197">
        <f>(9043700/1.16)-H277</f>
        <v>7473043.1034482764</v>
      </c>
      <c r="I276" s="197">
        <f>SUM(I271:I275)</f>
        <v>28293261.206896551</v>
      </c>
      <c r="J276" s="217">
        <f t="shared" si="124"/>
        <v>4041894.4581280788</v>
      </c>
    </row>
    <row r="277" spans="1:10" ht="15.75" customHeight="1" x14ac:dyDescent="0.25">
      <c r="A277" s="212" t="s">
        <v>31</v>
      </c>
      <c r="B277" s="92">
        <f>2155*B258</f>
        <v>198260</v>
      </c>
      <c r="C277" s="92">
        <f t="shared" ref="C277:H277" si="129">2155*C258</f>
        <v>273685</v>
      </c>
      <c r="D277" s="92">
        <f t="shared" si="129"/>
        <v>249980</v>
      </c>
      <c r="E277" s="92">
        <f t="shared" si="129"/>
        <v>374970</v>
      </c>
      <c r="F277" s="92">
        <f t="shared" si="129"/>
        <v>226275</v>
      </c>
      <c r="G277" s="31">
        <f t="shared" si="129"/>
        <v>325405</v>
      </c>
      <c r="H277" s="31">
        <f t="shared" si="129"/>
        <v>323250</v>
      </c>
      <c r="I277" s="31">
        <f>2155*I258</f>
        <v>1971825</v>
      </c>
      <c r="J277" s="32">
        <f t="shared" si="124"/>
        <v>281689.28571428574</v>
      </c>
    </row>
    <row r="278" spans="1:10" ht="15.75" customHeight="1" x14ac:dyDescent="0.25">
      <c r="A278" s="218" t="s">
        <v>32</v>
      </c>
      <c r="B278" s="199">
        <f>B277+B276</f>
        <v>1652500</v>
      </c>
      <c r="C278" s="199">
        <f>C277+C276</f>
        <v>2046551.7241379311</v>
      </c>
      <c r="D278" s="199">
        <f>D277+D276</f>
        <v>2194568.9655172415</v>
      </c>
      <c r="E278" s="199">
        <f>E277+E276</f>
        <v>2811724.1379310349</v>
      </c>
      <c r="F278" s="199">
        <f>F276+F277</f>
        <v>5898103.4482758623</v>
      </c>
      <c r="G278" s="199">
        <f>G277+G276</f>
        <v>7865344.8275862075</v>
      </c>
      <c r="H278" s="199">
        <f>H277+H276</f>
        <v>7796293.1034482764</v>
      </c>
      <c r="I278" s="199">
        <f>I276+I277</f>
        <v>30265086.206896551</v>
      </c>
      <c r="J278" s="219">
        <f t="shared" si="124"/>
        <v>4323583.7438423643</v>
      </c>
    </row>
    <row r="279" spans="1:10" ht="15.75" customHeight="1" x14ac:dyDescent="0.25">
      <c r="A279" s="212" t="s">
        <v>33</v>
      </c>
      <c r="B279" s="94">
        <f>B278*16%</f>
        <v>264400</v>
      </c>
      <c r="C279" s="94">
        <f t="shared" ref="C279:H279" si="130">C278*16%</f>
        <v>327448.27586206899</v>
      </c>
      <c r="D279" s="94">
        <f t="shared" si="130"/>
        <v>351131.03448275867</v>
      </c>
      <c r="E279" s="94">
        <f t="shared" si="130"/>
        <v>449875.86206896557</v>
      </c>
      <c r="F279" s="94">
        <f t="shared" si="130"/>
        <v>943696.55172413797</v>
      </c>
      <c r="G279" s="94">
        <f t="shared" si="130"/>
        <v>1258455.1724137932</v>
      </c>
      <c r="H279" s="94">
        <f t="shared" si="130"/>
        <v>1247406.8965517243</v>
      </c>
      <c r="I279" s="94">
        <f>I278*16%</f>
        <v>4842413.7931034481</v>
      </c>
      <c r="J279" s="32">
        <f t="shared" si="124"/>
        <v>691773.39901477832</v>
      </c>
    </row>
    <row r="280" spans="1:10" ht="15.75" customHeight="1" x14ac:dyDescent="0.25">
      <c r="A280" s="220" t="s">
        <v>34</v>
      </c>
      <c r="B280" s="202">
        <f>B278+B279</f>
        <v>1916900</v>
      </c>
      <c r="C280" s="202">
        <f t="shared" ref="C280:H280" si="131">C278+C279</f>
        <v>2374000</v>
      </c>
      <c r="D280" s="202">
        <f t="shared" si="131"/>
        <v>2545700</v>
      </c>
      <c r="E280" s="202">
        <f t="shared" si="131"/>
        <v>3261600.0000000005</v>
      </c>
      <c r="F280" s="202">
        <f t="shared" si="131"/>
        <v>6841800</v>
      </c>
      <c r="G280" s="202">
        <f t="shared" si="131"/>
        <v>9123800</v>
      </c>
      <c r="H280" s="202">
        <f t="shared" si="131"/>
        <v>9043700</v>
      </c>
      <c r="I280" s="202">
        <f>I278+I279</f>
        <v>35107500</v>
      </c>
      <c r="J280" s="221">
        <f t="shared" si="124"/>
        <v>5015357.1428571427</v>
      </c>
    </row>
    <row r="281" spans="1:10" ht="15.75" customHeight="1" x14ac:dyDescent="0.25"/>
    <row r="282" spans="1:10" ht="15.75" customHeight="1" x14ac:dyDescent="0.25">
      <c r="A282" s="204"/>
      <c r="B282" s="112"/>
      <c r="C282" s="112"/>
      <c r="D282" s="112"/>
      <c r="E282" s="112"/>
      <c r="F282" s="112"/>
      <c r="G282" s="112"/>
      <c r="H282" s="112"/>
      <c r="I282" s="112"/>
      <c r="J282" s="205"/>
    </row>
    <row r="283" spans="1:10" ht="15.75" customHeight="1" x14ac:dyDescent="0.25">
      <c r="B283" s="1007" t="s">
        <v>114</v>
      </c>
      <c r="C283" s="1007"/>
      <c r="D283" s="1007"/>
      <c r="E283" s="1007"/>
      <c r="F283" s="1007"/>
      <c r="G283" s="1007"/>
      <c r="H283" s="1007"/>
    </row>
    <row r="284" spans="1:10" ht="15.75" customHeight="1" x14ac:dyDescent="0.25">
      <c r="A284" s="187" t="s">
        <v>2</v>
      </c>
      <c r="B284" s="50" t="s">
        <v>147</v>
      </c>
      <c r="C284" s="50" t="s">
        <v>148</v>
      </c>
      <c r="D284" s="51" t="s">
        <v>149</v>
      </c>
      <c r="E284" s="52" t="s">
        <v>150</v>
      </c>
      <c r="F284" s="50" t="s">
        <v>151</v>
      </c>
      <c r="G284" s="51" t="s">
        <v>152</v>
      </c>
      <c r="H284" s="50" t="s">
        <v>153</v>
      </c>
      <c r="I284" s="50" t="s">
        <v>96</v>
      </c>
      <c r="J284" s="52" t="s">
        <v>97</v>
      </c>
    </row>
    <row r="285" spans="1:10" ht="15.75" customHeight="1" x14ac:dyDescent="0.25">
      <c r="A285" s="332" t="s">
        <v>11</v>
      </c>
      <c r="B285" s="75">
        <v>247</v>
      </c>
      <c r="C285" s="75">
        <v>56</v>
      </c>
      <c r="D285" s="75">
        <v>68</v>
      </c>
      <c r="E285" s="316">
        <v>72</v>
      </c>
      <c r="F285" s="316">
        <v>194</v>
      </c>
      <c r="G285" s="316">
        <v>257</v>
      </c>
      <c r="H285" s="316">
        <v>228</v>
      </c>
      <c r="I285" s="316">
        <f>SUM(B285:H285)</f>
        <v>1122</v>
      </c>
      <c r="J285" s="382">
        <f>+I285/9</f>
        <v>124.66666666666667</v>
      </c>
    </row>
    <row r="286" spans="1:10" ht="15.75" customHeight="1" x14ac:dyDescent="0.25">
      <c r="A286" s="212" t="s">
        <v>12</v>
      </c>
      <c r="B286" s="11">
        <v>171</v>
      </c>
      <c r="C286" s="11">
        <v>36</v>
      </c>
      <c r="D286" s="11">
        <v>44</v>
      </c>
      <c r="E286" s="11">
        <v>120</v>
      </c>
      <c r="F286" s="11">
        <v>130</v>
      </c>
      <c r="G286" s="11">
        <v>181</v>
      </c>
      <c r="H286" s="11">
        <v>146</v>
      </c>
      <c r="I286" s="11">
        <f>SUM(CEDRITOS!$B286:$H286)</f>
        <v>828</v>
      </c>
      <c r="J286" s="60">
        <f t="shared" ref="J286:J291" si="132">I286/9</f>
        <v>92</v>
      </c>
    </row>
    <row r="287" spans="1:10" ht="15.75" customHeight="1" x14ac:dyDescent="0.25">
      <c r="A287" s="212" t="s">
        <v>13</v>
      </c>
      <c r="B287" s="11">
        <v>0</v>
      </c>
      <c r="C287" s="11">
        <v>0</v>
      </c>
      <c r="D287" s="11">
        <v>0</v>
      </c>
      <c r="E287" s="11">
        <v>1</v>
      </c>
      <c r="F287" s="11">
        <v>1</v>
      </c>
      <c r="G287" s="11">
        <v>1</v>
      </c>
      <c r="H287" s="11">
        <v>1</v>
      </c>
      <c r="I287" s="11">
        <f>SUM(CEDRITOS!$B287:$H287)</f>
        <v>4</v>
      </c>
      <c r="J287" s="60">
        <f t="shared" si="132"/>
        <v>0.44444444444444442</v>
      </c>
    </row>
    <row r="288" spans="1:10" ht="15.75" customHeight="1" x14ac:dyDescent="0.25">
      <c r="A288" s="212" t="s">
        <v>14</v>
      </c>
      <c r="B288" s="11">
        <v>51</v>
      </c>
      <c r="C288" s="11">
        <v>26</v>
      </c>
      <c r="D288" s="11">
        <v>24</v>
      </c>
      <c r="E288" s="11">
        <v>26</v>
      </c>
      <c r="F288" s="11">
        <v>64</v>
      </c>
      <c r="G288" s="11">
        <v>156</v>
      </c>
      <c r="H288" s="11">
        <v>64</v>
      </c>
      <c r="I288" s="11">
        <f>SUM(CEDRITOS!$B288:$H288)</f>
        <v>411</v>
      </c>
      <c r="J288" s="60">
        <f t="shared" si="132"/>
        <v>45.666666666666664</v>
      </c>
    </row>
    <row r="289" spans="1:10" ht="15.75" customHeight="1" x14ac:dyDescent="0.25">
      <c r="A289" s="212" t="s">
        <v>15</v>
      </c>
      <c r="B289" s="11">
        <v>32</v>
      </c>
      <c r="C289" s="11">
        <v>6</v>
      </c>
      <c r="D289" s="11">
        <v>9</v>
      </c>
      <c r="E289" s="11">
        <v>13</v>
      </c>
      <c r="F289" s="11">
        <v>50</v>
      </c>
      <c r="G289" s="11">
        <v>7</v>
      </c>
      <c r="H289" s="11">
        <v>38</v>
      </c>
      <c r="I289" s="11">
        <f>SUM(CEDRITOS!$B289:$H289)</f>
        <v>155</v>
      </c>
      <c r="J289" s="60">
        <f t="shared" si="132"/>
        <v>17.222222222222221</v>
      </c>
    </row>
    <row r="290" spans="1:10" ht="15.75" customHeight="1" x14ac:dyDescent="0.25">
      <c r="A290" s="212" t="s">
        <v>16</v>
      </c>
      <c r="B290" s="11">
        <v>3</v>
      </c>
      <c r="C290" s="11">
        <v>2</v>
      </c>
      <c r="D290" s="11">
        <v>1</v>
      </c>
      <c r="E290" s="11">
        <v>0</v>
      </c>
      <c r="F290" s="11">
        <v>0</v>
      </c>
      <c r="G290" s="86">
        <v>0</v>
      </c>
      <c r="H290" s="86">
        <v>0</v>
      </c>
      <c r="I290" s="11">
        <f>SUM(CEDRITOS!$B290:$H290)</f>
        <v>6</v>
      </c>
      <c r="J290" s="60">
        <f t="shared" si="132"/>
        <v>0.66666666666666663</v>
      </c>
    </row>
    <row r="291" spans="1:10" ht="15.75" customHeight="1" x14ac:dyDescent="0.25">
      <c r="A291" s="213" t="s">
        <v>17</v>
      </c>
      <c r="B291" s="192">
        <f>SUM(B286:B290)</f>
        <v>257</v>
      </c>
      <c r="C291" s="192">
        <f t="shared" ref="C291:I291" si="133">SUM(C286:C290)</f>
        <v>70</v>
      </c>
      <c r="D291" s="192">
        <f t="shared" si="133"/>
        <v>78</v>
      </c>
      <c r="E291" s="192">
        <f t="shared" si="133"/>
        <v>160</v>
      </c>
      <c r="F291" s="192">
        <f t="shared" si="133"/>
        <v>245</v>
      </c>
      <c r="G291" s="192">
        <f t="shared" si="133"/>
        <v>345</v>
      </c>
      <c r="H291" s="192">
        <f t="shared" si="133"/>
        <v>249</v>
      </c>
      <c r="I291" s="192">
        <f t="shared" si="133"/>
        <v>1404</v>
      </c>
      <c r="J291" s="214">
        <f t="shared" si="132"/>
        <v>156</v>
      </c>
    </row>
    <row r="292" spans="1:10" ht="15.75" customHeight="1" x14ac:dyDescent="0.25">
      <c r="A292" s="212" t="s">
        <v>18</v>
      </c>
      <c r="B292" s="30">
        <v>0.67</v>
      </c>
      <c r="C292" s="30">
        <v>0.59</v>
      </c>
      <c r="D292" s="30">
        <v>0.63</v>
      </c>
      <c r="E292" s="30">
        <v>0.85</v>
      </c>
      <c r="F292" s="30">
        <v>0.56999999999999995</v>
      </c>
      <c r="G292" s="30">
        <v>0.54</v>
      </c>
      <c r="H292" s="30">
        <v>0.56999999999999995</v>
      </c>
      <c r="I292" s="30">
        <f>I299/I304</f>
        <v>0.59995377612983791</v>
      </c>
      <c r="J292" s="160">
        <f>J299/J304</f>
        <v>0.59995377612983791</v>
      </c>
    </row>
    <row r="293" spans="1:10" ht="15.75" customHeight="1" x14ac:dyDescent="0.25">
      <c r="A293" s="212" t="s">
        <v>19</v>
      </c>
      <c r="B293" s="30">
        <v>0</v>
      </c>
      <c r="C293" s="30">
        <v>0</v>
      </c>
      <c r="D293" s="30">
        <v>0</v>
      </c>
      <c r="E293" s="30">
        <v>0</v>
      </c>
      <c r="F293" s="30">
        <v>0</v>
      </c>
      <c r="G293" s="30">
        <v>0</v>
      </c>
      <c r="H293" s="30">
        <v>0</v>
      </c>
      <c r="I293" s="30">
        <f>I300/I304</f>
        <v>0</v>
      </c>
      <c r="J293" s="160">
        <f>J300/J304</f>
        <v>0</v>
      </c>
    </row>
    <row r="294" spans="1:10" ht="15.75" customHeight="1" x14ac:dyDescent="0.25">
      <c r="A294" s="212" t="s">
        <v>20</v>
      </c>
      <c r="B294" s="30">
        <v>0.19</v>
      </c>
      <c r="C294" s="30">
        <v>0.34</v>
      </c>
      <c r="D294" s="30">
        <v>0.22</v>
      </c>
      <c r="E294" s="30">
        <v>0.15</v>
      </c>
      <c r="F294" s="30">
        <v>0.25</v>
      </c>
      <c r="G294" s="30">
        <v>0.46</v>
      </c>
      <c r="H294" s="30">
        <v>0.28999999999999998</v>
      </c>
      <c r="I294" s="30">
        <f>I301/I304</f>
        <v>0.29806269243956651</v>
      </c>
      <c r="J294" s="160">
        <f>J301/J304</f>
        <v>0.29806269243956651</v>
      </c>
    </row>
    <row r="295" spans="1:10" ht="15.75" customHeight="1" x14ac:dyDescent="0.25">
      <c r="A295" s="212" t="s">
        <v>21</v>
      </c>
      <c r="B295" s="30">
        <v>0.14000000000000001</v>
      </c>
      <c r="C295" s="30">
        <v>0.04</v>
      </c>
      <c r="D295" s="30">
        <v>0.14000000000000001</v>
      </c>
      <c r="E295" s="30">
        <v>0</v>
      </c>
      <c r="F295" s="30">
        <v>0.18</v>
      </c>
      <c r="G295" s="30">
        <v>0</v>
      </c>
      <c r="H295" s="30">
        <v>0.14000000000000001</v>
      </c>
      <c r="I295" s="30">
        <f>I302/I304</f>
        <v>0.10009660710483637</v>
      </c>
      <c r="J295" s="160">
        <f>J302/J304</f>
        <v>0.10009660710483638</v>
      </c>
    </row>
    <row r="296" spans="1:10" ht="15.75" customHeight="1" x14ac:dyDescent="0.25">
      <c r="A296" s="212" t="s">
        <v>22</v>
      </c>
      <c r="B296" s="30">
        <v>0</v>
      </c>
      <c r="C296" s="30">
        <v>0.03</v>
      </c>
      <c r="D296" s="30">
        <v>0.01</v>
      </c>
      <c r="E296" s="30">
        <v>0</v>
      </c>
      <c r="F296" s="30">
        <v>0</v>
      </c>
      <c r="G296" s="30">
        <v>0</v>
      </c>
      <c r="H296" s="30">
        <v>0</v>
      </c>
      <c r="I296" s="30">
        <f>I303/I304</f>
        <v>1.8869243257593061E-3</v>
      </c>
      <c r="J296" s="160">
        <f>J303/J304</f>
        <v>1.8869243257593064E-3</v>
      </c>
    </row>
    <row r="297" spans="1:10" ht="15.75" customHeight="1" x14ac:dyDescent="0.25">
      <c r="A297" s="215" t="s">
        <v>23</v>
      </c>
      <c r="B297" s="66">
        <f>B308/B291</f>
        <v>29809.338521400783</v>
      </c>
      <c r="C297" s="66">
        <f t="shared" ref="C297:H297" si="134">C308/C291</f>
        <v>26152.857142857145</v>
      </c>
      <c r="D297" s="66">
        <f t="shared" si="134"/>
        <v>26373.076923076926</v>
      </c>
      <c r="E297" s="66">
        <f t="shared" si="134"/>
        <v>14208.125</v>
      </c>
      <c r="F297" s="66">
        <f t="shared" si="134"/>
        <v>30409.795918367352</v>
      </c>
      <c r="G297" s="66">
        <f t="shared" si="134"/>
        <v>29277.971014492752</v>
      </c>
      <c r="H297" s="66">
        <f t="shared" si="134"/>
        <v>34902.409638554222</v>
      </c>
      <c r="I297" s="66">
        <f>I308/I291</f>
        <v>28535.683760683762</v>
      </c>
      <c r="J297" s="67">
        <f>J308/J291</f>
        <v>36688.736263736268</v>
      </c>
    </row>
    <row r="298" spans="1:10" ht="15.75" customHeight="1" x14ac:dyDescent="0.25">
      <c r="A298" s="215" t="s">
        <v>24</v>
      </c>
      <c r="B298" s="66">
        <f t="shared" ref="B298:I298" si="135">+B308/B285</f>
        <v>31016.19433198381</v>
      </c>
      <c r="C298" s="66">
        <f t="shared" si="135"/>
        <v>32691.071428571431</v>
      </c>
      <c r="D298" s="66">
        <f t="shared" si="135"/>
        <v>30251.470588235297</v>
      </c>
      <c r="E298" s="66">
        <f t="shared" si="135"/>
        <v>31573.611111111109</v>
      </c>
      <c r="F298" s="66">
        <f t="shared" si="135"/>
        <v>38404.123711340209</v>
      </c>
      <c r="G298" s="66">
        <f t="shared" si="135"/>
        <v>39303.112840466929</v>
      </c>
      <c r="H298" s="66">
        <f t="shared" si="135"/>
        <v>38117.1052631579</v>
      </c>
      <c r="I298" s="66">
        <f t="shared" si="135"/>
        <v>35707.754010695186</v>
      </c>
      <c r="J298" s="67">
        <f>J308/J285</f>
        <v>45909.969442322385</v>
      </c>
    </row>
    <row r="299" spans="1:10" ht="15.75" customHeight="1" x14ac:dyDescent="0.25">
      <c r="A299" s="212" t="s">
        <v>25</v>
      </c>
      <c r="B299" s="92">
        <f t="shared" ref="B299:H299" si="136">B304*B292</f>
        <v>4177989.5810344834</v>
      </c>
      <c r="C299" s="92">
        <f t="shared" si="136"/>
        <v>885359.6965517241</v>
      </c>
      <c r="D299" s="92">
        <f t="shared" si="136"/>
        <v>1057481.5034482761</v>
      </c>
      <c r="E299" s="92">
        <f t="shared" si="136"/>
        <v>1445970.1724137932</v>
      </c>
      <c r="F299" s="92">
        <f t="shared" si="136"/>
        <v>3501286.9137931033</v>
      </c>
      <c r="G299" s="31">
        <f t="shared" si="136"/>
        <v>4491513.4034482762</v>
      </c>
      <c r="H299" s="31">
        <f t="shared" si="136"/>
        <v>4091091.0724137933</v>
      </c>
      <c r="I299" s="31">
        <f>SUM(B299:H299)</f>
        <v>19650692.34310345</v>
      </c>
      <c r="J299" s="32">
        <f t="shared" ref="J299:J308" si="137">I299/7</f>
        <v>2807241.7633004929</v>
      </c>
    </row>
    <row r="300" spans="1:10" ht="15.75" customHeight="1" x14ac:dyDescent="0.25">
      <c r="A300" s="212" t="s">
        <v>26</v>
      </c>
      <c r="B300" s="92">
        <f t="shared" ref="B300:H300" si="138">B304*B293</f>
        <v>0</v>
      </c>
      <c r="C300" s="92">
        <f t="shared" si="138"/>
        <v>0</v>
      </c>
      <c r="D300" s="92">
        <f t="shared" si="138"/>
        <v>0</v>
      </c>
      <c r="E300" s="92">
        <f t="shared" si="138"/>
        <v>0</v>
      </c>
      <c r="F300" s="92">
        <f t="shared" si="138"/>
        <v>0</v>
      </c>
      <c r="G300" s="31">
        <f t="shared" si="138"/>
        <v>0</v>
      </c>
      <c r="H300" s="31">
        <f t="shared" si="138"/>
        <v>0</v>
      </c>
      <c r="I300" s="31">
        <f>SUM(B300:H300)</f>
        <v>0</v>
      </c>
      <c r="J300" s="32">
        <f t="shared" si="137"/>
        <v>0</v>
      </c>
    </row>
    <row r="301" spans="1:10" ht="15.75" customHeight="1" x14ac:dyDescent="0.25">
      <c r="A301" s="212" t="s">
        <v>27</v>
      </c>
      <c r="B301" s="92">
        <f t="shared" ref="B301:H301" si="139">B304*B294</f>
        <v>1184803.0155172416</v>
      </c>
      <c r="C301" s="92">
        <f t="shared" si="139"/>
        <v>510207.28275862074</v>
      </c>
      <c r="D301" s="92">
        <f t="shared" si="139"/>
        <v>369279.25517241383</v>
      </c>
      <c r="E301" s="92">
        <f t="shared" si="139"/>
        <v>255171.20689655174</v>
      </c>
      <c r="F301" s="92">
        <f t="shared" si="139"/>
        <v>1535652.1551724139</v>
      </c>
      <c r="G301" s="31">
        <f t="shared" si="139"/>
        <v>3826104.010344828</v>
      </c>
      <c r="H301" s="31">
        <f t="shared" si="139"/>
        <v>2081432.3</v>
      </c>
      <c r="I301" s="31">
        <f>SUM(B301:H301)</f>
        <v>9762649.2258620709</v>
      </c>
      <c r="J301" s="32">
        <f t="shared" si="137"/>
        <v>1394664.175123153</v>
      </c>
    </row>
    <row r="302" spans="1:10" ht="15.75" customHeight="1" x14ac:dyDescent="0.25">
      <c r="A302" s="212" t="s">
        <v>28</v>
      </c>
      <c r="B302" s="92">
        <f t="shared" ref="B302:H302" si="140">B304*B295</f>
        <v>873012.74827586219</v>
      </c>
      <c r="C302" s="92">
        <f t="shared" si="140"/>
        <v>60024.386206896561</v>
      </c>
      <c r="D302" s="92">
        <f t="shared" si="140"/>
        <v>234995.88965517248</v>
      </c>
      <c r="E302" s="92">
        <f t="shared" si="140"/>
        <v>0</v>
      </c>
      <c r="F302" s="92">
        <f t="shared" si="140"/>
        <v>1105669.551724138</v>
      </c>
      <c r="G302" s="31">
        <f t="shared" si="140"/>
        <v>0</v>
      </c>
      <c r="H302" s="31">
        <f t="shared" si="140"/>
        <v>1004829.3862068967</v>
      </c>
      <c r="I302" s="31">
        <f>SUM(B302:H302)</f>
        <v>3278531.9620689657</v>
      </c>
      <c r="J302" s="32">
        <f t="shared" si="137"/>
        <v>468361.70886699512</v>
      </c>
    </row>
    <row r="303" spans="1:10" ht="15.75" customHeight="1" x14ac:dyDescent="0.25">
      <c r="A303" s="212" t="s">
        <v>29</v>
      </c>
      <c r="B303" s="92">
        <f>B304*B296</f>
        <v>0</v>
      </c>
      <c r="C303" s="92">
        <f t="shared" ref="C303:H303" si="141">C304*C296</f>
        <v>45018.289655172419</v>
      </c>
      <c r="D303" s="92">
        <f t="shared" si="141"/>
        <v>16785.420689655173</v>
      </c>
      <c r="E303" s="92">
        <f t="shared" si="141"/>
        <v>0</v>
      </c>
      <c r="F303" s="92">
        <f t="shared" si="141"/>
        <v>0</v>
      </c>
      <c r="G303" s="31">
        <f t="shared" si="141"/>
        <v>0</v>
      </c>
      <c r="H303" s="31">
        <f t="shared" si="141"/>
        <v>0</v>
      </c>
      <c r="I303" s="31">
        <f>SUM(B303:H303)</f>
        <v>61803.710344827588</v>
      </c>
      <c r="J303" s="32">
        <f t="shared" si="137"/>
        <v>8829.1014778325134</v>
      </c>
    </row>
    <row r="304" spans="1:10" ht="15.75" customHeight="1" x14ac:dyDescent="0.25">
      <c r="A304" s="216" t="s">
        <v>30</v>
      </c>
      <c r="B304" s="91">
        <f>(7661000/1.16)-B305</f>
        <v>6235805.3448275868</v>
      </c>
      <c r="C304" s="91">
        <f>(1830700/1.16)-C305</f>
        <v>1500609.6551724139</v>
      </c>
      <c r="D304" s="91">
        <f>(2057100/1.16)-D305</f>
        <v>1678542.0689655175</v>
      </c>
      <c r="E304" s="91">
        <f>(2273300/1.16)-E305</f>
        <v>1701141.379310345</v>
      </c>
      <c r="F304" s="91">
        <f>(7450400/1.16)-F305</f>
        <v>6142608.6206896557</v>
      </c>
      <c r="G304" s="197">
        <f>(10100900/1.16)-G305</f>
        <v>8317617.4137931038</v>
      </c>
      <c r="H304" s="197">
        <f>(8690700/1.16)-H305</f>
        <v>7177352.7586206906</v>
      </c>
      <c r="I304" s="197">
        <f>SUM(I299:I303)</f>
        <v>32753677.241379313</v>
      </c>
      <c r="J304" s="217">
        <f t="shared" si="137"/>
        <v>4679096.748768473</v>
      </c>
    </row>
    <row r="305" spans="1:10" ht="15.75" customHeight="1" x14ac:dyDescent="0.25">
      <c r="A305" s="212" t="s">
        <v>31</v>
      </c>
      <c r="B305" s="92">
        <f>2155*B286</f>
        <v>368505</v>
      </c>
      <c r="C305" s="92">
        <f t="shared" ref="C305:H305" si="142">2155*C286</f>
        <v>77580</v>
      </c>
      <c r="D305" s="92">
        <f t="shared" si="142"/>
        <v>94820</v>
      </c>
      <c r="E305" s="92">
        <f t="shared" si="142"/>
        <v>258600</v>
      </c>
      <c r="F305" s="92">
        <f t="shared" si="142"/>
        <v>280150</v>
      </c>
      <c r="G305" s="31">
        <f t="shared" si="142"/>
        <v>390055</v>
      </c>
      <c r="H305" s="31">
        <f t="shared" si="142"/>
        <v>314630</v>
      </c>
      <c r="I305" s="31">
        <f>2155*I286</f>
        <v>1784340</v>
      </c>
      <c r="J305" s="32">
        <f t="shared" si="137"/>
        <v>254905.71428571429</v>
      </c>
    </row>
    <row r="306" spans="1:10" ht="15.75" customHeight="1" x14ac:dyDescent="0.25">
      <c r="A306" s="218" t="s">
        <v>32</v>
      </c>
      <c r="B306" s="199">
        <f>B305+B304</f>
        <v>6604310.3448275868</v>
      </c>
      <c r="C306" s="199">
        <f>C305+C304</f>
        <v>1578189.6551724139</v>
      </c>
      <c r="D306" s="199">
        <f>D305+D304</f>
        <v>1773362.0689655175</v>
      </c>
      <c r="E306" s="199">
        <f>E305+E304</f>
        <v>1959741.379310345</v>
      </c>
      <c r="F306" s="199">
        <f>F304+F305</f>
        <v>6422758.6206896557</v>
      </c>
      <c r="G306" s="199">
        <f>G305+G304</f>
        <v>8707672.4137931038</v>
      </c>
      <c r="H306" s="199">
        <f>H305+H304</f>
        <v>7491982.7586206906</v>
      </c>
      <c r="I306" s="199">
        <f>I304+I305</f>
        <v>34538017.241379313</v>
      </c>
      <c r="J306" s="219">
        <f t="shared" si="137"/>
        <v>4934002.4630541876</v>
      </c>
    </row>
    <row r="307" spans="1:10" ht="15.75" customHeight="1" x14ac:dyDescent="0.25">
      <c r="A307" s="212" t="s">
        <v>33</v>
      </c>
      <c r="B307" s="94">
        <f>B306*16%</f>
        <v>1056689.6551724139</v>
      </c>
      <c r="C307" s="94">
        <f t="shared" ref="C307:H307" si="143">C306*16%</f>
        <v>252510.34482758623</v>
      </c>
      <c r="D307" s="94">
        <f t="shared" si="143"/>
        <v>283737.93103448278</v>
      </c>
      <c r="E307" s="94">
        <f t="shared" si="143"/>
        <v>313558.62068965519</v>
      </c>
      <c r="F307" s="94">
        <f t="shared" si="143"/>
        <v>1027641.3793103449</v>
      </c>
      <c r="G307" s="94">
        <f t="shared" si="143"/>
        <v>1393227.5862068967</v>
      </c>
      <c r="H307" s="94">
        <f t="shared" si="143"/>
        <v>1198717.2413793106</v>
      </c>
      <c r="I307" s="94">
        <f>I306*16%</f>
        <v>5526082.7586206906</v>
      </c>
      <c r="J307" s="32">
        <f t="shared" si="137"/>
        <v>789440.39408867003</v>
      </c>
    </row>
    <row r="308" spans="1:10" ht="15.75" customHeight="1" x14ac:dyDescent="0.25">
      <c r="A308" s="220" t="s">
        <v>34</v>
      </c>
      <c r="B308" s="202">
        <f>B306+B307</f>
        <v>7661000.0000000009</v>
      </c>
      <c r="C308" s="202">
        <f t="shared" ref="C308:H308" si="144">C306+C307</f>
        <v>1830700.0000000002</v>
      </c>
      <c r="D308" s="202">
        <f t="shared" si="144"/>
        <v>2057100.0000000002</v>
      </c>
      <c r="E308" s="202">
        <f t="shared" si="144"/>
        <v>2273300</v>
      </c>
      <c r="F308" s="202">
        <f t="shared" si="144"/>
        <v>7450400.0000000009</v>
      </c>
      <c r="G308" s="202">
        <f t="shared" si="144"/>
        <v>10100900</v>
      </c>
      <c r="H308" s="202">
        <f t="shared" si="144"/>
        <v>8690700.0000000019</v>
      </c>
      <c r="I308" s="202">
        <f>I306+I307</f>
        <v>40064100</v>
      </c>
      <c r="J308" s="221">
        <f t="shared" si="137"/>
        <v>5723442.8571428573</v>
      </c>
    </row>
    <row r="311" spans="1:10" ht="26.25" x14ac:dyDescent="0.25">
      <c r="B311" s="1007" t="s">
        <v>122</v>
      </c>
      <c r="C311" s="1007"/>
      <c r="D311" s="1007"/>
      <c r="E311" s="1007"/>
      <c r="F311" s="1007"/>
      <c r="G311" s="1007"/>
      <c r="H311" s="1007"/>
    </row>
    <row r="312" spans="1:10" ht="15.75" x14ac:dyDescent="0.25">
      <c r="A312" s="207" t="s">
        <v>2</v>
      </c>
      <c r="B312" s="121" t="s">
        <v>155</v>
      </c>
      <c r="C312" s="121" t="s">
        <v>156</v>
      </c>
      <c r="D312" s="121" t="s">
        <v>157</v>
      </c>
      <c r="E312" s="121" t="s">
        <v>158</v>
      </c>
      <c r="F312" s="121" t="s">
        <v>159</v>
      </c>
      <c r="G312" s="121" t="s">
        <v>160</v>
      </c>
      <c r="H312" s="121" t="s">
        <v>161</v>
      </c>
      <c r="I312" s="121" t="s">
        <v>96</v>
      </c>
      <c r="J312" s="209" t="s">
        <v>97</v>
      </c>
    </row>
    <row r="313" spans="1:10" x14ac:dyDescent="0.25">
      <c r="A313" s="332" t="s">
        <v>11</v>
      </c>
      <c r="B313" s="75">
        <v>35</v>
      </c>
      <c r="C313" s="75">
        <v>81</v>
      </c>
      <c r="D313" s="75">
        <v>79</v>
      </c>
      <c r="E313" s="316">
        <v>88</v>
      </c>
      <c r="F313" s="316">
        <v>186</v>
      </c>
      <c r="G313" s="316">
        <v>241</v>
      </c>
      <c r="H313" s="316">
        <v>230</v>
      </c>
      <c r="I313" s="316">
        <f>SUM(B313:H313)</f>
        <v>940</v>
      </c>
      <c r="J313" s="382">
        <f>+I313/9</f>
        <v>104.44444444444444</v>
      </c>
    </row>
    <row r="314" spans="1:10" x14ac:dyDescent="0.25">
      <c r="A314" s="212" t="s">
        <v>12</v>
      </c>
      <c r="B314" s="11">
        <v>23</v>
      </c>
      <c r="C314" s="11">
        <v>40</v>
      </c>
      <c r="D314" s="11">
        <v>42</v>
      </c>
      <c r="E314" s="11">
        <v>75</v>
      </c>
      <c r="F314" s="11">
        <v>137</v>
      </c>
      <c r="G314" s="11">
        <v>182</v>
      </c>
      <c r="H314" s="11">
        <v>172</v>
      </c>
      <c r="I314" s="11">
        <f>SUM(CEDRITOS!$B314:$H314)</f>
        <v>671</v>
      </c>
      <c r="J314" s="60">
        <f t="shared" ref="J314:J319" si="145">I314/9</f>
        <v>74.555555555555557</v>
      </c>
    </row>
    <row r="315" spans="1:10" x14ac:dyDescent="0.25">
      <c r="A315" s="212" t="s">
        <v>13</v>
      </c>
      <c r="B315" s="11">
        <v>0</v>
      </c>
      <c r="C315" s="11">
        <v>0</v>
      </c>
      <c r="D315" s="11">
        <v>0</v>
      </c>
      <c r="E315" s="11">
        <v>1</v>
      </c>
      <c r="F315" s="11">
        <v>0</v>
      </c>
      <c r="G315" s="11">
        <v>0</v>
      </c>
      <c r="H315" s="11">
        <v>1</v>
      </c>
      <c r="I315" s="11">
        <f>SUM(CEDRITOS!$B315:$H315)</f>
        <v>2</v>
      </c>
      <c r="J315" s="60">
        <f t="shared" si="145"/>
        <v>0.22222222222222221</v>
      </c>
    </row>
    <row r="316" spans="1:10" x14ac:dyDescent="0.25">
      <c r="A316" s="212" t="s">
        <v>14</v>
      </c>
      <c r="B316" s="11">
        <v>34</v>
      </c>
      <c r="C316" s="11">
        <v>28</v>
      </c>
      <c r="D316" s="11">
        <v>37</v>
      </c>
      <c r="E316" s="11">
        <v>42</v>
      </c>
      <c r="F316" s="11">
        <v>67</v>
      </c>
      <c r="G316" s="11">
        <v>92</v>
      </c>
      <c r="H316" s="11">
        <v>64</v>
      </c>
      <c r="I316" s="11">
        <f>SUM(CEDRITOS!$B316:$H316)</f>
        <v>364</v>
      </c>
      <c r="J316" s="60">
        <f t="shared" si="145"/>
        <v>40.444444444444443</v>
      </c>
    </row>
    <row r="317" spans="1:10" x14ac:dyDescent="0.25">
      <c r="A317" s="212" t="s">
        <v>15</v>
      </c>
      <c r="B317" s="11">
        <v>7</v>
      </c>
      <c r="C317" s="11">
        <v>22</v>
      </c>
      <c r="D317" s="11">
        <v>9</v>
      </c>
      <c r="E317" s="11">
        <v>8</v>
      </c>
      <c r="F317" s="11">
        <v>43</v>
      </c>
      <c r="G317" s="11">
        <v>39</v>
      </c>
      <c r="H317" s="11">
        <v>25</v>
      </c>
      <c r="I317" s="11">
        <f>SUM(CEDRITOS!$B317:$H317)</f>
        <v>153</v>
      </c>
      <c r="J317" s="60">
        <f t="shared" si="145"/>
        <v>17</v>
      </c>
    </row>
    <row r="318" spans="1:10" x14ac:dyDescent="0.25">
      <c r="A318" s="212" t="s">
        <v>16</v>
      </c>
      <c r="B318" s="11">
        <v>1</v>
      </c>
      <c r="C318" s="11">
        <v>1</v>
      </c>
      <c r="D318" s="11">
        <v>1</v>
      </c>
      <c r="E318" s="11">
        <v>1</v>
      </c>
      <c r="F318" s="11">
        <v>0</v>
      </c>
      <c r="G318" s="86">
        <v>3</v>
      </c>
      <c r="H318" s="86">
        <v>5</v>
      </c>
      <c r="I318" s="11">
        <f>SUM(CEDRITOS!$B318:$H318)</f>
        <v>12</v>
      </c>
      <c r="J318" s="60">
        <f t="shared" si="145"/>
        <v>1.3333333333333333</v>
      </c>
    </row>
    <row r="319" spans="1:10" x14ac:dyDescent="0.25">
      <c r="A319" s="213" t="s">
        <v>17</v>
      </c>
      <c r="B319" s="192">
        <f>SUM(B314:B318)</f>
        <v>65</v>
      </c>
      <c r="C319" s="192">
        <f t="shared" ref="C319:I319" si="146">SUM(C314:C318)</f>
        <v>91</v>
      </c>
      <c r="D319" s="192">
        <f t="shared" si="146"/>
        <v>89</v>
      </c>
      <c r="E319" s="192">
        <f t="shared" si="146"/>
        <v>127</v>
      </c>
      <c r="F319" s="192">
        <f t="shared" si="146"/>
        <v>247</v>
      </c>
      <c r="G319" s="192">
        <f t="shared" si="146"/>
        <v>316</v>
      </c>
      <c r="H319" s="192">
        <f t="shared" si="146"/>
        <v>267</v>
      </c>
      <c r="I319" s="192">
        <f t="shared" si="146"/>
        <v>1202</v>
      </c>
      <c r="J319" s="214">
        <f t="shared" si="145"/>
        <v>133.55555555555554</v>
      </c>
    </row>
    <row r="320" spans="1:10" x14ac:dyDescent="0.25">
      <c r="A320" s="212" t="s">
        <v>18</v>
      </c>
      <c r="B320" s="30">
        <v>0.3</v>
      </c>
      <c r="C320" s="30">
        <v>0.53</v>
      </c>
      <c r="D320" s="30">
        <v>0.49</v>
      </c>
      <c r="E320" s="30">
        <v>0.59</v>
      </c>
      <c r="F320" s="30">
        <v>0.59</v>
      </c>
      <c r="G320" s="30">
        <v>0.59</v>
      </c>
      <c r="H320" s="30">
        <v>0.67</v>
      </c>
      <c r="I320" s="30">
        <f>I327/I332</f>
        <v>0.58710132581283636</v>
      </c>
      <c r="J320" s="160">
        <f>J327/J332</f>
        <v>0.58710132581283636</v>
      </c>
    </row>
    <row r="321" spans="1:10" x14ac:dyDescent="0.25">
      <c r="A321" s="212" t="s">
        <v>19</v>
      </c>
      <c r="B321" s="30">
        <v>0</v>
      </c>
      <c r="C321" s="30">
        <v>0</v>
      </c>
      <c r="D321" s="30">
        <v>0</v>
      </c>
      <c r="E321" s="30">
        <v>0</v>
      </c>
      <c r="F321" s="30">
        <v>0</v>
      </c>
      <c r="G321" s="30">
        <v>0</v>
      </c>
      <c r="H321" s="30">
        <v>0</v>
      </c>
      <c r="I321" s="30">
        <f>I328/I332</f>
        <v>0</v>
      </c>
      <c r="J321" s="160">
        <f>J328/J332</f>
        <v>0</v>
      </c>
    </row>
    <row r="322" spans="1:10" x14ac:dyDescent="0.25">
      <c r="A322" s="212" t="s">
        <v>20</v>
      </c>
      <c r="B322" s="30">
        <v>0.57999999999999996</v>
      </c>
      <c r="C322" s="30">
        <v>0.26</v>
      </c>
      <c r="D322" s="30">
        <v>0.37</v>
      </c>
      <c r="E322" s="30">
        <v>0.33</v>
      </c>
      <c r="F322" s="30">
        <v>0.23</v>
      </c>
      <c r="G322" s="30">
        <v>0.28000000000000003</v>
      </c>
      <c r="H322" s="30">
        <v>0.22</v>
      </c>
      <c r="I322" s="30">
        <f>I329/I332</f>
        <v>0.2761663648910388</v>
      </c>
      <c r="J322" s="160">
        <f>J329/J332</f>
        <v>0.27616636489103874</v>
      </c>
    </row>
    <row r="323" spans="1:10" x14ac:dyDescent="0.25">
      <c r="A323" s="212" t="s">
        <v>21</v>
      </c>
      <c r="B323" s="30">
        <v>0.12</v>
      </c>
      <c r="C323" s="30">
        <v>0.2</v>
      </c>
      <c r="D323" s="30">
        <v>0.13</v>
      </c>
      <c r="E323" s="30">
        <v>7.0000000000000007E-2</v>
      </c>
      <c r="F323" s="30">
        <v>0.18</v>
      </c>
      <c r="G323" s="30">
        <v>0.12</v>
      </c>
      <c r="H323" s="30">
        <v>0.08</v>
      </c>
      <c r="I323" s="30">
        <f>I330/I332</f>
        <v>0.12429191301778342</v>
      </c>
      <c r="J323" s="160">
        <f>J330/J332</f>
        <v>0.1242919130177834</v>
      </c>
    </row>
    <row r="324" spans="1:10" x14ac:dyDescent="0.25">
      <c r="A324" s="212" t="s">
        <v>22</v>
      </c>
      <c r="B324" s="30">
        <v>0</v>
      </c>
      <c r="C324" s="30">
        <v>0.01</v>
      </c>
      <c r="D324" s="30">
        <v>0.01</v>
      </c>
      <c r="E324" s="30">
        <v>0.01</v>
      </c>
      <c r="F324" s="30">
        <v>0</v>
      </c>
      <c r="G324" s="30">
        <v>0.01</v>
      </c>
      <c r="H324" s="30">
        <v>0.03</v>
      </c>
      <c r="I324" s="30">
        <f>I331/I332</f>
        <v>1.2440396278341492E-2</v>
      </c>
      <c r="J324" s="160">
        <f>J331/J332</f>
        <v>1.2440396278341492E-2</v>
      </c>
    </row>
    <row r="325" spans="1:10" x14ac:dyDescent="0.25">
      <c r="A325" s="215" t="s">
        <v>23</v>
      </c>
      <c r="B325" s="66">
        <f>B336/B319</f>
        <v>22320.000000000004</v>
      </c>
      <c r="C325" s="66">
        <f t="shared" ref="C325:H325" si="147">C336/C319</f>
        <v>33368.131868131873</v>
      </c>
      <c r="D325" s="66">
        <f t="shared" si="147"/>
        <v>28114.606741573032</v>
      </c>
      <c r="E325" s="66">
        <f t="shared" si="147"/>
        <v>30107.874015748032</v>
      </c>
      <c r="F325" s="66">
        <f t="shared" si="147"/>
        <v>30995.951417004049</v>
      </c>
      <c r="G325" s="66">
        <f t="shared" si="147"/>
        <v>35242.405063291146</v>
      </c>
      <c r="H325" s="66">
        <f t="shared" si="147"/>
        <v>34942.322097378274</v>
      </c>
      <c r="I325" s="66">
        <f>I336/I319</f>
        <v>32392.179700499168</v>
      </c>
      <c r="J325" s="67">
        <f>J336/J319</f>
        <v>41647.088186356079</v>
      </c>
    </row>
    <row r="326" spans="1:10" x14ac:dyDescent="0.25">
      <c r="A326" s="215" t="s">
        <v>24</v>
      </c>
      <c r="B326" s="66">
        <f t="shared" ref="B326:I326" si="148">+B336/B313</f>
        <v>41451.42857142858</v>
      </c>
      <c r="C326" s="66">
        <f t="shared" si="148"/>
        <v>37487.654320987662</v>
      </c>
      <c r="D326" s="66">
        <f t="shared" si="148"/>
        <v>31673.417721518988</v>
      </c>
      <c r="E326" s="66">
        <f t="shared" si="148"/>
        <v>43451.13636363636</v>
      </c>
      <c r="F326" s="66">
        <f t="shared" si="148"/>
        <v>41161.290322580644</v>
      </c>
      <c r="G326" s="66">
        <f t="shared" si="148"/>
        <v>46209.958506224073</v>
      </c>
      <c r="H326" s="66">
        <f t="shared" si="148"/>
        <v>40563.478260869568</v>
      </c>
      <c r="I326" s="66">
        <f t="shared" si="148"/>
        <v>41420.638297872341</v>
      </c>
      <c r="J326" s="67">
        <f>J336/J313</f>
        <v>53255.106382978724</v>
      </c>
    </row>
    <row r="327" spans="1:10" x14ac:dyDescent="0.25">
      <c r="A327" s="212" t="s">
        <v>25</v>
      </c>
      <c r="B327" s="92">
        <f t="shared" ref="B327:H327" si="149">B332*B320</f>
        <v>360337.39655172417</v>
      </c>
      <c r="C327" s="92">
        <f t="shared" si="149"/>
        <v>1341680.379310345</v>
      </c>
      <c r="D327" s="92">
        <f t="shared" si="149"/>
        <v>1012613.8931034483</v>
      </c>
      <c r="E327" s="92">
        <f t="shared" si="149"/>
        <v>1849454.1810344828</v>
      </c>
      <c r="F327" s="92">
        <f t="shared" si="149"/>
        <v>3719811.3499999996</v>
      </c>
      <c r="G327" s="31">
        <f t="shared" si="149"/>
        <v>5432901.272413793</v>
      </c>
      <c r="H327" s="31">
        <f t="shared" si="149"/>
        <v>5140306.0758620696</v>
      </c>
      <c r="I327" s="31">
        <f>SUM(B327:H327)</f>
        <v>18857104.548275862</v>
      </c>
      <c r="J327" s="32">
        <f t="shared" ref="J327:J336" si="150">I327/7</f>
        <v>2693872.0783251231</v>
      </c>
    </row>
    <row r="328" spans="1:10" x14ac:dyDescent="0.25">
      <c r="A328" s="212" t="s">
        <v>26</v>
      </c>
      <c r="B328" s="92">
        <f t="shared" ref="B328:H328" si="151">B332*B321</f>
        <v>0</v>
      </c>
      <c r="C328" s="92">
        <f t="shared" si="151"/>
        <v>0</v>
      </c>
      <c r="D328" s="92">
        <f t="shared" si="151"/>
        <v>0</v>
      </c>
      <c r="E328" s="92">
        <f t="shared" si="151"/>
        <v>0</v>
      </c>
      <c r="F328" s="92">
        <f t="shared" si="151"/>
        <v>0</v>
      </c>
      <c r="G328" s="31">
        <f t="shared" si="151"/>
        <v>0</v>
      </c>
      <c r="H328" s="31">
        <f t="shared" si="151"/>
        <v>0</v>
      </c>
      <c r="I328" s="31">
        <f>SUM(B328:H328)</f>
        <v>0</v>
      </c>
      <c r="J328" s="32">
        <f t="shared" si="150"/>
        <v>0</v>
      </c>
    </row>
    <row r="329" spans="1:10" x14ac:dyDescent="0.25">
      <c r="A329" s="212" t="s">
        <v>27</v>
      </c>
      <c r="B329" s="92">
        <f t="shared" ref="B329:H329" si="152">B332*B322</f>
        <v>696652.3</v>
      </c>
      <c r="C329" s="92">
        <f t="shared" si="152"/>
        <v>658182.82758620696</v>
      </c>
      <c r="D329" s="92">
        <f t="shared" si="152"/>
        <v>764626.81724137929</v>
      </c>
      <c r="E329" s="92">
        <f t="shared" si="152"/>
        <v>1034440.4741379311</v>
      </c>
      <c r="F329" s="92">
        <f t="shared" si="152"/>
        <v>1450095.95</v>
      </c>
      <c r="G329" s="31">
        <f t="shared" si="152"/>
        <v>2578326.0275862073</v>
      </c>
      <c r="H329" s="31">
        <f t="shared" si="152"/>
        <v>1687861.6965517243</v>
      </c>
      <c r="I329" s="31">
        <f>SUM(B329:H329)</f>
        <v>8870186.0931034498</v>
      </c>
      <c r="J329" s="32">
        <f t="shared" si="150"/>
        <v>1267169.4418719213</v>
      </c>
    </row>
    <row r="330" spans="1:10" x14ac:dyDescent="0.25">
      <c r="A330" s="212" t="s">
        <v>28</v>
      </c>
      <c r="B330" s="92">
        <f t="shared" ref="B330:H330" si="153">B332*B323</f>
        <v>144134.95862068966</v>
      </c>
      <c r="C330" s="92">
        <f t="shared" si="153"/>
        <v>506294.48275862075</v>
      </c>
      <c r="D330" s="92">
        <f t="shared" si="153"/>
        <v>268652.6655172414</v>
      </c>
      <c r="E330" s="92">
        <f t="shared" si="153"/>
        <v>219426.76724137933</v>
      </c>
      <c r="F330" s="92">
        <f t="shared" si="153"/>
        <v>1134857.7</v>
      </c>
      <c r="G330" s="31">
        <f t="shared" si="153"/>
        <v>1104996.8689655173</v>
      </c>
      <c r="H330" s="31">
        <f t="shared" si="153"/>
        <v>613767.88965517248</v>
      </c>
      <c r="I330" s="31">
        <f>SUM(B330:H330)</f>
        <v>3992131.3327586204</v>
      </c>
      <c r="J330" s="32">
        <f t="shared" si="150"/>
        <v>570304.47610837431</v>
      </c>
    </row>
    <row r="331" spans="1:10" x14ac:dyDescent="0.25">
      <c r="A331" s="212" t="s">
        <v>29</v>
      </c>
      <c r="B331" s="92">
        <f>B332*B324</f>
        <v>0</v>
      </c>
      <c r="C331" s="92">
        <f t="shared" ref="C331:H331" si="154">C332*C324</f>
        <v>25314.72413793104</v>
      </c>
      <c r="D331" s="92">
        <f t="shared" si="154"/>
        <v>20665.589655172414</v>
      </c>
      <c r="E331" s="92">
        <f t="shared" si="154"/>
        <v>31346.681034482761</v>
      </c>
      <c r="F331" s="92">
        <f t="shared" si="154"/>
        <v>0</v>
      </c>
      <c r="G331" s="31">
        <f t="shared" si="154"/>
        <v>92083.07241379311</v>
      </c>
      <c r="H331" s="31">
        <f t="shared" si="154"/>
        <v>230162.95862068966</v>
      </c>
      <c r="I331" s="31">
        <f>SUM(B331:H331)</f>
        <v>399573.02586206899</v>
      </c>
      <c r="J331" s="32">
        <f t="shared" si="150"/>
        <v>57081.860837438428</v>
      </c>
    </row>
    <row r="332" spans="1:10" x14ac:dyDescent="0.25">
      <c r="A332" s="216" t="s">
        <v>30</v>
      </c>
      <c r="B332" s="91">
        <f>(1450800/1.16)-B333</f>
        <v>1201124.6551724139</v>
      </c>
      <c r="C332" s="91">
        <f>(3036500/1.16)-C333</f>
        <v>2531472.4137931038</v>
      </c>
      <c r="D332" s="91">
        <f>(2502200/1.16)-D333</f>
        <v>2066558.9655172415</v>
      </c>
      <c r="E332" s="91">
        <f>(3823700/1.16)-E333</f>
        <v>3134668.1034482759</v>
      </c>
      <c r="F332" s="91">
        <f>(7656000/1.16)-F333</f>
        <v>6304765</v>
      </c>
      <c r="G332" s="197">
        <f>(11136600/1.16)-G333</f>
        <v>9208307.2413793113</v>
      </c>
      <c r="H332" s="197">
        <f>(9329600/1.16)-H333</f>
        <v>7672098.6206896557</v>
      </c>
      <c r="I332" s="197">
        <f>SUM(I327:I331)</f>
        <v>32118995</v>
      </c>
      <c r="J332" s="217">
        <f t="shared" si="150"/>
        <v>4588427.8571428573</v>
      </c>
    </row>
    <row r="333" spans="1:10" x14ac:dyDescent="0.25">
      <c r="A333" s="212" t="s">
        <v>31</v>
      </c>
      <c r="B333" s="92">
        <f>2155*B314</f>
        <v>49565</v>
      </c>
      <c r="C333" s="92">
        <f t="shared" ref="C333:H333" si="155">2155*C314</f>
        <v>86200</v>
      </c>
      <c r="D333" s="92">
        <f t="shared" si="155"/>
        <v>90510</v>
      </c>
      <c r="E333" s="92">
        <f t="shared" si="155"/>
        <v>161625</v>
      </c>
      <c r="F333" s="92">
        <f t="shared" si="155"/>
        <v>295235</v>
      </c>
      <c r="G333" s="31">
        <f t="shared" si="155"/>
        <v>392210</v>
      </c>
      <c r="H333" s="31">
        <f t="shared" si="155"/>
        <v>370660</v>
      </c>
      <c r="I333" s="31">
        <f>2155*I314</f>
        <v>1446005</v>
      </c>
      <c r="J333" s="32">
        <f t="shared" si="150"/>
        <v>206572.14285714287</v>
      </c>
    </row>
    <row r="334" spans="1:10" x14ac:dyDescent="0.25">
      <c r="A334" s="218" t="s">
        <v>32</v>
      </c>
      <c r="B334" s="199">
        <f>B333+B332</f>
        <v>1250689.6551724139</v>
      </c>
      <c r="C334" s="199">
        <f>C333+C332</f>
        <v>2617672.4137931038</v>
      </c>
      <c r="D334" s="199">
        <f>D333+D332</f>
        <v>2157068.9655172415</v>
      </c>
      <c r="E334" s="199">
        <f>E333+E332</f>
        <v>3296293.1034482759</v>
      </c>
      <c r="F334" s="199">
        <f>F332+F333</f>
        <v>6600000</v>
      </c>
      <c r="G334" s="199">
        <f>G333+G332</f>
        <v>9600517.2413793113</v>
      </c>
      <c r="H334" s="199">
        <f>H333+H332</f>
        <v>8042758.6206896557</v>
      </c>
      <c r="I334" s="199">
        <f>I332+I333</f>
        <v>33565000</v>
      </c>
      <c r="J334" s="219">
        <f t="shared" si="150"/>
        <v>4795000</v>
      </c>
    </row>
    <row r="335" spans="1:10" x14ac:dyDescent="0.25">
      <c r="A335" s="212" t="s">
        <v>33</v>
      </c>
      <c r="B335" s="94">
        <f>B334*16%</f>
        <v>200110.34482758623</v>
      </c>
      <c r="C335" s="94">
        <f t="shared" ref="C335:H335" si="156">C334*16%</f>
        <v>418827.58620689664</v>
      </c>
      <c r="D335" s="94">
        <f t="shared" si="156"/>
        <v>345131.03448275867</v>
      </c>
      <c r="E335" s="94">
        <f t="shared" si="156"/>
        <v>527406.89655172417</v>
      </c>
      <c r="F335" s="94">
        <f t="shared" si="156"/>
        <v>1056000</v>
      </c>
      <c r="G335" s="94">
        <f t="shared" si="156"/>
        <v>1536082.7586206899</v>
      </c>
      <c r="H335" s="94">
        <f t="shared" si="156"/>
        <v>1286841.379310345</v>
      </c>
      <c r="I335" s="94">
        <f>I334*16%</f>
        <v>5370400</v>
      </c>
      <c r="J335" s="32">
        <f t="shared" si="150"/>
        <v>767200</v>
      </c>
    </row>
    <row r="336" spans="1:10" x14ac:dyDescent="0.25">
      <c r="A336" s="220" t="s">
        <v>34</v>
      </c>
      <c r="B336" s="202">
        <f>B334+B335</f>
        <v>1450800.0000000002</v>
      </c>
      <c r="C336" s="202">
        <f t="shared" ref="C336:H336" si="157">C334+C335</f>
        <v>3036500.0000000005</v>
      </c>
      <c r="D336" s="202">
        <f t="shared" si="157"/>
        <v>2502200</v>
      </c>
      <c r="E336" s="202">
        <f t="shared" si="157"/>
        <v>3823700</v>
      </c>
      <c r="F336" s="202">
        <f t="shared" si="157"/>
        <v>7656000</v>
      </c>
      <c r="G336" s="202">
        <f t="shared" si="157"/>
        <v>11136600.000000002</v>
      </c>
      <c r="H336" s="202">
        <f t="shared" si="157"/>
        <v>9329600</v>
      </c>
      <c r="I336" s="202">
        <f>I334+I335</f>
        <v>38935400</v>
      </c>
      <c r="J336" s="221">
        <f t="shared" si="150"/>
        <v>5562200</v>
      </c>
    </row>
    <row r="338" spans="1:12" ht="26.25" x14ac:dyDescent="0.25">
      <c r="B338" s="1007" t="s">
        <v>130</v>
      </c>
      <c r="C338" s="1007"/>
      <c r="D338" s="1007"/>
      <c r="E338" s="1007"/>
      <c r="F338" s="1007"/>
      <c r="G338" s="1007"/>
      <c r="H338" s="1007"/>
    </row>
    <row r="339" spans="1:12" ht="15.75" x14ac:dyDescent="0.25">
      <c r="A339" s="207" t="s">
        <v>2</v>
      </c>
      <c r="B339" s="121" t="s">
        <v>163</v>
      </c>
      <c r="C339" s="121" t="s">
        <v>164</v>
      </c>
      <c r="D339" s="121" t="s">
        <v>55</v>
      </c>
      <c r="E339" s="121" t="s">
        <v>56</v>
      </c>
      <c r="F339" s="121" t="s">
        <v>165</v>
      </c>
      <c r="G339" s="121" t="s">
        <v>58</v>
      </c>
      <c r="H339" s="121" t="s">
        <v>59</v>
      </c>
      <c r="I339" s="121" t="s">
        <v>96</v>
      </c>
      <c r="J339" s="209" t="s">
        <v>97</v>
      </c>
    </row>
    <row r="340" spans="1:12" x14ac:dyDescent="0.25">
      <c r="A340" s="332" t="s">
        <v>11</v>
      </c>
      <c r="B340" s="75">
        <v>77</v>
      </c>
      <c r="C340" s="75">
        <v>70</v>
      </c>
      <c r="D340" s="75">
        <v>103</v>
      </c>
      <c r="E340" s="316">
        <v>133</v>
      </c>
      <c r="F340" s="316">
        <v>233</v>
      </c>
      <c r="G340" s="316">
        <v>356</v>
      </c>
      <c r="H340" s="316"/>
      <c r="I340" s="316">
        <f>SUM(B340:H340)</f>
        <v>972</v>
      </c>
      <c r="J340" s="382">
        <f>+I340/9</f>
        <v>108</v>
      </c>
    </row>
    <row r="341" spans="1:12" x14ac:dyDescent="0.25">
      <c r="A341" s="212" t="s">
        <v>12</v>
      </c>
      <c r="B341" s="11">
        <v>49</v>
      </c>
      <c r="C341" s="11">
        <v>40</v>
      </c>
      <c r="D341" s="11">
        <v>49</v>
      </c>
      <c r="E341" s="11">
        <v>69</v>
      </c>
      <c r="F341" s="11">
        <v>127</v>
      </c>
      <c r="G341" s="11">
        <v>213</v>
      </c>
      <c r="H341" s="11">
        <v>171</v>
      </c>
      <c r="I341" s="11">
        <f>SUM(CEDRITOS!$B341:$H341)</f>
        <v>718</v>
      </c>
      <c r="J341" s="60">
        <f t="shared" ref="J341:J346" si="158">I341/9</f>
        <v>79.777777777777771</v>
      </c>
      <c r="L341">
        <f>D346+E346+F346+G346+H346+I373+I400</f>
        <v>3565</v>
      </c>
    </row>
    <row r="342" spans="1:12" x14ac:dyDescent="0.25">
      <c r="A342" s="212" t="s">
        <v>13</v>
      </c>
      <c r="B342" s="11">
        <v>0</v>
      </c>
      <c r="C342" s="11">
        <v>0</v>
      </c>
      <c r="D342" s="11">
        <v>0</v>
      </c>
      <c r="E342" s="11">
        <v>0</v>
      </c>
      <c r="F342" s="11">
        <v>0</v>
      </c>
      <c r="G342" s="11">
        <v>0</v>
      </c>
      <c r="H342" s="11">
        <v>0</v>
      </c>
      <c r="I342" s="11">
        <f>SUM(CEDRITOS!$B342:$H342)</f>
        <v>0</v>
      </c>
      <c r="J342" s="60">
        <f t="shared" si="158"/>
        <v>0</v>
      </c>
    </row>
    <row r="343" spans="1:12" x14ac:dyDescent="0.25">
      <c r="A343" s="212" t="s">
        <v>14</v>
      </c>
      <c r="B343" s="11">
        <v>36</v>
      </c>
      <c r="C343" s="11">
        <v>40</v>
      </c>
      <c r="D343" s="11">
        <v>32</v>
      </c>
      <c r="E343" s="11">
        <v>44</v>
      </c>
      <c r="F343" s="11">
        <v>68</v>
      </c>
      <c r="G343" s="11">
        <v>76</v>
      </c>
      <c r="H343" s="11">
        <v>75</v>
      </c>
      <c r="I343" s="11">
        <f>SUM(CEDRITOS!$B343:$H343)</f>
        <v>371</v>
      </c>
      <c r="J343" s="60">
        <f t="shared" si="158"/>
        <v>41.222222222222221</v>
      </c>
    </row>
    <row r="344" spans="1:12" x14ac:dyDescent="0.25">
      <c r="A344" s="212" t="s">
        <v>15</v>
      </c>
      <c r="B344" s="11">
        <v>10</v>
      </c>
      <c r="C344" s="11">
        <v>4</v>
      </c>
      <c r="D344" s="11">
        <v>20</v>
      </c>
      <c r="E344" s="11">
        <v>16</v>
      </c>
      <c r="F344" s="11">
        <v>18</v>
      </c>
      <c r="G344" s="11">
        <v>45</v>
      </c>
      <c r="H344" s="11">
        <v>39</v>
      </c>
      <c r="I344" s="11">
        <f>SUM(CEDRITOS!$B344:$H344)</f>
        <v>152</v>
      </c>
      <c r="J344" s="60">
        <f t="shared" si="158"/>
        <v>16.888888888888889</v>
      </c>
    </row>
    <row r="345" spans="1:12" x14ac:dyDescent="0.25">
      <c r="A345" s="212" t="s">
        <v>16</v>
      </c>
      <c r="B345" s="11">
        <v>0</v>
      </c>
      <c r="C345" s="11">
        <v>1</v>
      </c>
      <c r="D345" s="11">
        <v>3</v>
      </c>
      <c r="E345" s="11">
        <v>0</v>
      </c>
      <c r="F345" s="11">
        <v>0</v>
      </c>
      <c r="G345" s="86">
        <v>1</v>
      </c>
      <c r="H345" s="86">
        <v>0</v>
      </c>
      <c r="I345" s="11">
        <f>SUM(CEDRITOS!$B345:$H345)</f>
        <v>5</v>
      </c>
      <c r="J345" s="60">
        <f t="shared" si="158"/>
        <v>0.55555555555555558</v>
      </c>
    </row>
    <row r="346" spans="1:12" x14ac:dyDescent="0.25">
      <c r="A346" s="213" t="s">
        <v>17</v>
      </c>
      <c r="B346" s="192">
        <f>SUM(B341:B345)</f>
        <v>95</v>
      </c>
      <c r="C346" s="192">
        <f t="shared" ref="C346:I346" si="159">SUM(C341:C345)</f>
        <v>85</v>
      </c>
      <c r="D346" s="192">
        <f>SUM(D341:D345)</f>
        <v>104</v>
      </c>
      <c r="E346" s="192">
        <f t="shared" si="159"/>
        <v>129</v>
      </c>
      <c r="F346" s="192">
        <f t="shared" si="159"/>
        <v>213</v>
      </c>
      <c r="G346" s="192">
        <f t="shared" si="159"/>
        <v>335</v>
      </c>
      <c r="H346" s="192">
        <f t="shared" si="159"/>
        <v>285</v>
      </c>
      <c r="I346" s="192">
        <f t="shared" si="159"/>
        <v>1246</v>
      </c>
      <c r="J346" s="214">
        <f t="shared" si="158"/>
        <v>138.44444444444446</v>
      </c>
    </row>
    <row r="347" spans="1:12" x14ac:dyDescent="0.25">
      <c r="A347" s="212" t="s">
        <v>18</v>
      </c>
      <c r="B347" s="30">
        <v>0.55000000000000004</v>
      </c>
      <c r="C347" s="30">
        <v>0.48</v>
      </c>
      <c r="D347" s="30">
        <v>0.57999999999999996</v>
      </c>
      <c r="E347" s="30">
        <v>0.53</v>
      </c>
      <c r="F347" s="30">
        <v>0.6</v>
      </c>
      <c r="G347" s="30">
        <v>0.64</v>
      </c>
      <c r="H347" s="30">
        <v>0.63</v>
      </c>
      <c r="I347" s="30">
        <f>I354/I359</f>
        <v>0.59901308901328343</v>
      </c>
      <c r="J347" s="160">
        <f>J354/J359</f>
        <v>0.59901308901328332</v>
      </c>
    </row>
    <row r="348" spans="1:12" x14ac:dyDescent="0.25">
      <c r="A348" s="212" t="s">
        <v>19</v>
      </c>
      <c r="B348" s="30">
        <v>0</v>
      </c>
      <c r="C348" s="30">
        <v>0</v>
      </c>
      <c r="D348" s="30">
        <v>0</v>
      </c>
      <c r="E348" s="30">
        <v>0</v>
      </c>
      <c r="F348" s="30">
        <v>0</v>
      </c>
      <c r="G348" s="30">
        <v>0</v>
      </c>
      <c r="H348" s="30">
        <v>0</v>
      </c>
      <c r="I348" s="30">
        <f>I355/I359</f>
        <v>0</v>
      </c>
      <c r="J348" s="160">
        <f>J355/J359</f>
        <v>0</v>
      </c>
    </row>
    <row r="349" spans="1:12" x14ac:dyDescent="0.25">
      <c r="A349" s="212" t="s">
        <v>20</v>
      </c>
      <c r="B349" s="30">
        <v>0.33</v>
      </c>
      <c r="C349" s="30">
        <v>0.48</v>
      </c>
      <c r="D349" s="30">
        <v>0.26</v>
      </c>
      <c r="E349" s="30">
        <v>0.33</v>
      </c>
      <c r="F349" s="30">
        <v>0.32</v>
      </c>
      <c r="G349" s="30">
        <v>0.21</v>
      </c>
      <c r="H349" s="30">
        <v>0.24</v>
      </c>
      <c r="I349" s="30">
        <f>I356/I359</f>
        <v>0.27737865515239984</v>
      </c>
      <c r="J349" s="160">
        <f>J356/J359</f>
        <v>0.27737865515239979</v>
      </c>
    </row>
    <row r="350" spans="1:12" x14ac:dyDescent="0.25">
      <c r="A350" s="212" t="s">
        <v>21</v>
      </c>
      <c r="B350" s="30">
        <v>0.12</v>
      </c>
      <c r="C350" s="30">
        <v>0.04</v>
      </c>
      <c r="D350" s="30">
        <v>0.13</v>
      </c>
      <c r="E350" s="30">
        <v>0.14000000000000001</v>
      </c>
      <c r="F350" s="30">
        <v>0.08</v>
      </c>
      <c r="G350" s="30">
        <v>0.15</v>
      </c>
      <c r="H350" s="30">
        <v>0.13</v>
      </c>
      <c r="I350" s="30">
        <f>I357/I359</f>
        <v>0.12125138595722024</v>
      </c>
      <c r="J350" s="160">
        <f>J357/J359</f>
        <v>0.12125138595722024</v>
      </c>
    </row>
    <row r="351" spans="1:12" x14ac:dyDescent="0.25">
      <c r="A351" s="212" t="s">
        <v>22</v>
      </c>
      <c r="B351" s="30">
        <v>0</v>
      </c>
      <c r="C351" s="30">
        <v>0</v>
      </c>
      <c r="D351" s="30">
        <v>0.03</v>
      </c>
      <c r="E351" s="30">
        <v>0</v>
      </c>
      <c r="F351" s="30">
        <v>0</v>
      </c>
      <c r="G351" s="30">
        <v>0</v>
      </c>
      <c r="H351" s="30">
        <v>0</v>
      </c>
      <c r="I351" s="30">
        <f>I358/I359</f>
        <v>2.3568698770965396E-3</v>
      </c>
      <c r="J351" s="160">
        <f>J358/J359</f>
        <v>2.3568698770965392E-3</v>
      </c>
    </row>
    <row r="352" spans="1:12" x14ac:dyDescent="0.25">
      <c r="A352" s="215" t="s">
        <v>23</v>
      </c>
      <c r="B352" s="66">
        <f>B363/B346</f>
        <v>26908.42105263158</v>
      </c>
      <c r="C352" s="66">
        <f t="shared" ref="C352:H352" si="160">C363/C346</f>
        <v>28097.647058823535</v>
      </c>
      <c r="D352" s="66">
        <f>D363/D346</f>
        <v>28993.269230769234</v>
      </c>
      <c r="E352" s="66">
        <f>E363/E346</f>
        <v>29334.108527131786</v>
      </c>
      <c r="F352" s="66">
        <f t="shared" si="160"/>
        <v>32717.840375586853</v>
      </c>
      <c r="G352" s="66">
        <f t="shared" si="160"/>
        <v>32126.865671641797</v>
      </c>
      <c r="H352" s="66">
        <f t="shared" si="160"/>
        <v>32074.736842105263</v>
      </c>
      <c r="I352" s="66">
        <f>I363/I346</f>
        <v>30992.536115569823</v>
      </c>
      <c r="J352" s="67">
        <f>J363/J346</f>
        <v>39847.546434304051</v>
      </c>
    </row>
    <row r="353" spans="1:12" x14ac:dyDescent="0.25">
      <c r="A353" s="215" t="s">
        <v>24</v>
      </c>
      <c r="B353" s="66">
        <f t="shared" ref="B353:I353" si="161">+B363/B340</f>
        <v>33198.7012987013</v>
      </c>
      <c r="C353" s="66">
        <f t="shared" si="161"/>
        <v>34118.571428571435</v>
      </c>
      <c r="D353" s="66">
        <f>+D363/D340</f>
        <v>29274.757281553404</v>
      </c>
      <c r="E353" s="66">
        <f>+E363/E340</f>
        <v>28451.879699248122</v>
      </c>
      <c r="F353" s="66">
        <f t="shared" si="161"/>
        <v>29909.442060085836</v>
      </c>
      <c r="G353" s="66">
        <f t="shared" si="161"/>
        <v>30231.741573033712</v>
      </c>
      <c r="H353" s="66" t="e">
        <f t="shared" si="161"/>
        <v>#DIV/0!</v>
      </c>
      <c r="I353" s="66">
        <f t="shared" si="161"/>
        <v>39729.115226337446</v>
      </c>
      <c r="J353" s="67">
        <f>J363/J340</f>
        <v>51080.291005291001</v>
      </c>
    </row>
    <row r="354" spans="1:12" x14ac:dyDescent="0.25">
      <c r="A354" s="212" t="s">
        <v>25</v>
      </c>
      <c r="B354" s="92">
        <f t="shared" ref="B354:H354" si="162">B359*B347</f>
        <v>1153961.5431034483</v>
      </c>
      <c r="C354" s="92">
        <f t="shared" si="162"/>
        <v>946886.06896551733</v>
      </c>
      <c r="D354" s="92">
        <f>D359*D347</f>
        <v>1446404.9000000001</v>
      </c>
      <c r="E354" s="92">
        <f>E359*E347</f>
        <v>1650133.8913793105</v>
      </c>
      <c r="F354" s="92">
        <f t="shared" si="162"/>
        <v>3440392.4482758623</v>
      </c>
      <c r="G354" s="31">
        <f t="shared" si="162"/>
        <v>5644161.4344827598</v>
      </c>
      <c r="H354" s="31">
        <f t="shared" si="162"/>
        <v>4732513.4017241383</v>
      </c>
      <c r="I354" s="31">
        <f>SUM(B354:H354)</f>
        <v>19014453.687931035</v>
      </c>
      <c r="J354" s="32">
        <f t="shared" ref="J354:J363" si="163">I354/7</f>
        <v>2716350.5268472908</v>
      </c>
    </row>
    <row r="355" spans="1:12" x14ac:dyDescent="0.25">
      <c r="A355" s="212" t="s">
        <v>26</v>
      </c>
      <c r="B355" s="92">
        <f t="shared" ref="B355:H355" si="164">B359*B348</f>
        <v>0</v>
      </c>
      <c r="C355" s="92">
        <f t="shared" si="164"/>
        <v>0</v>
      </c>
      <c r="D355" s="92">
        <f>D359*D348</f>
        <v>0</v>
      </c>
      <c r="E355" s="92">
        <f>E359*E348</f>
        <v>0</v>
      </c>
      <c r="F355" s="92">
        <f t="shared" si="164"/>
        <v>0</v>
      </c>
      <c r="G355" s="31">
        <f t="shared" si="164"/>
        <v>0</v>
      </c>
      <c r="H355" s="31">
        <f t="shared" si="164"/>
        <v>0</v>
      </c>
      <c r="I355" s="31">
        <f>SUM(B355:H355)</f>
        <v>0</v>
      </c>
      <c r="J355" s="32">
        <f t="shared" si="163"/>
        <v>0</v>
      </c>
    </row>
    <row r="356" spans="1:12" x14ac:dyDescent="0.25">
      <c r="A356" s="212" t="s">
        <v>27</v>
      </c>
      <c r="B356" s="92">
        <f t="shared" ref="B356:H356" si="165">B359*B349</f>
        <v>692376.92586206901</v>
      </c>
      <c r="C356" s="92">
        <f t="shared" si="165"/>
        <v>946886.06896551733</v>
      </c>
      <c r="D356" s="92">
        <f>D359*D349</f>
        <v>648388.40344827599</v>
      </c>
      <c r="E356" s="92">
        <f>E359*E349</f>
        <v>1027441.8568965519</v>
      </c>
      <c r="F356" s="92">
        <f t="shared" si="165"/>
        <v>1834875.9724137932</v>
      </c>
      <c r="G356" s="31">
        <f t="shared" si="165"/>
        <v>1851990.4706896553</v>
      </c>
      <c r="H356" s="31">
        <f t="shared" si="165"/>
        <v>1802862.2482758623</v>
      </c>
      <c r="I356" s="31">
        <f>SUM(B356:H356)</f>
        <v>8804821.9465517253</v>
      </c>
      <c r="J356" s="32">
        <f t="shared" si="163"/>
        <v>1257831.7066502464</v>
      </c>
    </row>
    <row r="357" spans="1:12" x14ac:dyDescent="0.25">
      <c r="A357" s="212" t="s">
        <v>28</v>
      </c>
      <c r="B357" s="92">
        <f t="shared" ref="B357:H357" si="166">B359*B350</f>
        <v>251773.42758620688</v>
      </c>
      <c r="C357" s="92">
        <f t="shared" si="166"/>
        <v>78907.172413793116</v>
      </c>
      <c r="D357" s="92">
        <f>D359*D350</f>
        <v>324194.20172413799</v>
      </c>
      <c r="E357" s="92">
        <f>E359*E350</f>
        <v>435884.42413793114</v>
      </c>
      <c r="F357" s="92">
        <f t="shared" si="166"/>
        <v>458718.9931034483</v>
      </c>
      <c r="G357" s="31">
        <f t="shared" si="166"/>
        <v>1322850.3362068967</v>
      </c>
      <c r="H357" s="31">
        <f t="shared" si="166"/>
        <v>976550.3844827587</v>
      </c>
      <c r="I357" s="31">
        <f>SUM(B357:H357)</f>
        <v>3848878.9396551726</v>
      </c>
      <c r="J357" s="32">
        <f t="shared" si="163"/>
        <v>549839.84852216754</v>
      </c>
      <c r="L357" s="89"/>
    </row>
    <row r="358" spans="1:12" x14ac:dyDescent="0.25">
      <c r="A358" s="212" t="s">
        <v>29</v>
      </c>
      <c r="B358" s="92">
        <f>B359*B351</f>
        <v>0</v>
      </c>
      <c r="C358" s="92">
        <f t="shared" ref="C358:H358" si="167">C359*C351</f>
        <v>0</v>
      </c>
      <c r="D358" s="92">
        <f>D359*D351</f>
        <v>74814.046551724139</v>
      </c>
      <c r="E358" s="92">
        <f>E359*E351</f>
        <v>0</v>
      </c>
      <c r="F358" s="92">
        <f t="shared" si="167"/>
        <v>0</v>
      </c>
      <c r="G358" s="31">
        <f t="shared" si="167"/>
        <v>0</v>
      </c>
      <c r="H358" s="31">
        <f t="shared" si="167"/>
        <v>0</v>
      </c>
      <c r="I358" s="31">
        <f>SUM(B358:H358)</f>
        <v>74814.046551724139</v>
      </c>
      <c r="J358" s="32">
        <f t="shared" si="163"/>
        <v>10687.720935960591</v>
      </c>
    </row>
    <row r="359" spans="1:12" x14ac:dyDescent="0.25">
      <c r="A359" s="216" t="s">
        <v>30</v>
      </c>
      <c r="B359" s="91">
        <f>(2556300/1.16)-B360</f>
        <v>2098111.8965517241</v>
      </c>
      <c r="C359" s="91">
        <f>(2388300/1.16)-C360</f>
        <v>1972679.3103448278</v>
      </c>
      <c r="D359" s="91">
        <f>(3015300/1.16)-D360</f>
        <v>2493801.5517241382</v>
      </c>
      <c r="E359" s="91">
        <f>(3784100/1.16)-E360</f>
        <v>3113460.1724137934</v>
      </c>
      <c r="F359" s="91">
        <f>(6968900/1.16)-F360</f>
        <v>5733987.4137931038</v>
      </c>
      <c r="G359" s="197">
        <f>(10762500/1.16)-G360</f>
        <v>8819002.2413793113</v>
      </c>
      <c r="H359" s="197">
        <f>(9141300/1.16)-H360</f>
        <v>7511926.0344827594</v>
      </c>
      <c r="I359" s="197">
        <f>SUM(I354:I358)</f>
        <v>31742968.620689657</v>
      </c>
      <c r="J359" s="217">
        <f t="shared" si="163"/>
        <v>4534709.8029556656</v>
      </c>
    </row>
    <row r="360" spans="1:12" x14ac:dyDescent="0.25">
      <c r="A360" s="212" t="s">
        <v>31</v>
      </c>
      <c r="B360" s="92">
        <f>2155*B341</f>
        <v>105595</v>
      </c>
      <c r="C360" s="92">
        <f t="shared" ref="C360:H360" si="168">2155*C341</f>
        <v>86200</v>
      </c>
      <c r="D360" s="92">
        <f>2155*D341</f>
        <v>105595</v>
      </c>
      <c r="E360" s="92">
        <f>2155*E341</f>
        <v>148695</v>
      </c>
      <c r="F360" s="92">
        <f t="shared" si="168"/>
        <v>273685</v>
      </c>
      <c r="G360" s="31">
        <f t="shared" si="168"/>
        <v>459015</v>
      </c>
      <c r="H360" s="31">
        <f t="shared" si="168"/>
        <v>368505</v>
      </c>
      <c r="I360" s="31">
        <f>2155*I341</f>
        <v>1547290</v>
      </c>
      <c r="J360" s="32">
        <f t="shared" si="163"/>
        <v>221041.42857142858</v>
      </c>
      <c r="L360" s="89"/>
    </row>
    <row r="361" spans="1:12" x14ac:dyDescent="0.25">
      <c r="A361" s="218" t="s">
        <v>32</v>
      </c>
      <c r="B361" s="199">
        <f>B360+B359</f>
        <v>2203706.8965517241</v>
      </c>
      <c r="C361" s="199">
        <f>C360+C359</f>
        <v>2058879.3103448278</v>
      </c>
      <c r="D361" s="199">
        <f>D360+D359</f>
        <v>2599396.5517241382</v>
      </c>
      <c r="E361" s="199">
        <f>E360+E359</f>
        <v>3262155.1724137934</v>
      </c>
      <c r="F361" s="199">
        <f>F359+F360</f>
        <v>6007672.4137931038</v>
      </c>
      <c r="G361" s="199">
        <f>G360+G359</f>
        <v>9278017.2413793113</v>
      </c>
      <c r="H361" s="199">
        <f>H360+H359</f>
        <v>7880431.0344827594</v>
      </c>
      <c r="I361" s="199">
        <f>I359+I360</f>
        <v>33290258.620689657</v>
      </c>
      <c r="J361" s="219">
        <f t="shared" si="163"/>
        <v>4755751.2315270938</v>
      </c>
    </row>
    <row r="362" spans="1:12" x14ac:dyDescent="0.25">
      <c r="A362" s="212" t="s">
        <v>33</v>
      </c>
      <c r="B362" s="94">
        <f>B361*16%</f>
        <v>352593.10344827588</v>
      </c>
      <c r="C362" s="94">
        <f t="shared" ref="C362:H362" si="169">C361*16%</f>
        <v>329420.68965517246</v>
      </c>
      <c r="D362" s="94">
        <f t="shared" si="169"/>
        <v>415903.44827586215</v>
      </c>
      <c r="E362" s="94">
        <f t="shared" si="169"/>
        <v>521944.82758620696</v>
      </c>
      <c r="F362" s="94">
        <f t="shared" si="169"/>
        <v>961227.58620689658</v>
      </c>
      <c r="G362" s="94">
        <f t="shared" si="169"/>
        <v>1484482.7586206899</v>
      </c>
      <c r="H362" s="94">
        <f t="shared" si="169"/>
        <v>1260868.9655172415</v>
      </c>
      <c r="I362" s="94">
        <f>I361*16%</f>
        <v>5326441.3793103453</v>
      </c>
      <c r="J362" s="32">
        <f t="shared" si="163"/>
        <v>760920.19704433507</v>
      </c>
    </row>
    <row r="363" spans="1:12" x14ac:dyDescent="0.25">
      <c r="A363" s="220" t="s">
        <v>34</v>
      </c>
      <c r="B363" s="202">
        <f>B361+B362</f>
        <v>2556300</v>
      </c>
      <c r="C363" s="202">
        <f t="shared" ref="C363:H363" si="170">C361+C362</f>
        <v>2388300.0000000005</v>
      </c>
      <c r="D363" s="202">
        <f t="shared" si="170"/>
        <v>3015300.0000000005</v>
      </c>
      <c r="E363" s="202">
        <f t="shared" si="170"/>
        <v>3784100.0000000005</v>
      </c>
      <c r="F363" s="202">
        <f t="shared" si="170"/>
        <v>6968900</v>
      </c>
      <c r="G363" s="202">
        <f t="shared" si="170"/>
        <v>10762500.000000002</v>
      </c>
      <c r="H363" s="202">
        <f t="shared" si="170"/>
        <v>9141300</v>
      </c>
      <c r="I363" s="202">
        <f>I361+I362</f>
        <v>38616700</v>
      </c>
      <c r="J363" s="221">
        <f t="shared" si="163"/>
        <v>5516671.4285714282</v>
      </c>
    </row>
    <row r="365" spans="1:12" ht="26.25" x14ac:dyDescent="0.25">
      <c r="B365" s="1007" t="s">
        <v>138</v>
      </c>
      <c r="C365" s="1007"/>
      <c r="D365" s="1007"/>
      <c r="E365" s="1007"/>
      <c r="F365" s="1007"/>
      <c r="G365" s="1007"/>
      <c r="H365" s="1007"/>
    </row>
    <row r="366" spans="1:12" ht="15.75" x14ac:dyDescent="0.25">
      <c r="A366" s="207" t="s">
        <v>2</v>
      </c>
      <c r="B366" s="121" t="s">
        <v>167</v>
      </c>
      <c r="C366" s="121" t="s">
        <v>62</v>
      </c>
      <c r="D366" s="121" t="s">
        <v>63</v>
      </c>
      <c r="E366" s="121" t="s">
        <v>168</v>
      </c>
      <c r="F366" s="121" t="s">
        <v>65</v>
      </c>
      <c r="G366" s="121" t="s">
        <v>66</v>
      </c>
      <c r="H366" s="121" t="s">
        <v>67</v>
      </c>
      <c r="I366" s="121" t="s">
        <v>96</v>
      </c>
      <c r="J366" s="209" t="s">
        <v>97</v>
      </c>
    </row>
    <row r="367" spans="1:12" x14ac:dyDescent="0.25">
      <c r="A367" s="332" t="s">
        <v>11</v>
      </c>
      <c r="B367" s="75">
        <v>93</v>
      </c>
      <c r="C367" s="75">
        <v>226</v>
      </c>
      <c r="D367" s="75">
        <v>268</v>
      </c>
      <c r="E367" s="316">
        <v>99</v>
      </c>
      <c r="F367" s="316">
        <v>218</v>
      </c>
      <c r="G367" s="316">
        <v>255</v>
      </c>
      <c r="H367" s="316">
        <v>264</v>
      </c>
      <c r="I367" s="316">
        <f>SUM(B367:H367)</f>
        <v>1423</v>
      </c>
      <c r="J367" s="382">
        <f>+I367/9</f>
        <v>158.11111111111111</v>
      </c>
    </row>
    <row r="368" spans="1:12" x14ac:dyDescent="0.25">
      <c r="A368" s="212" t="s">
        <v>12</v>
      </c>
      <c r="B368" s="11">
        <v>42</v>
      </c>
      <c r="C368" s="11">
        <v>98</v>
      </c>
      <c r="D368" s="11">
        <v>164</v>
      </c>
      <c r="E368" s="11">
        <v>47</v>
      </c>
      <c r="F368" s="11">
        <v>117</v>
      </c>
      <c r="G368" s="11">
        <v>147</v>
      </c>
      <c r="H368" s="11">
        <v>135</v>
      </c>
      <c r="I368" s="11">
        <f>SUM(CEDRITOS!$B368:$H368)</f>
        <v>750</v>
      </c>
      <c r="J368" s="60">
        <f t="shared" ref="J368:J373" si="171">I368/9</f>
        <v>83.333333333333329</v>
      </c>
    </row>
    <row r="369" spans="1:10" x14ac:dyDescent="0.25">
      <c r="A369" s="212" t="s">
        <v>13</v>
      </c>
      <c r="B369" s="11">
        <v>0</v>
      </c>
      <c r="C369" s="11">
        <v>0</v>
      </c>
      <c r="D369" s="11">
        <v>3</v>
      </c>
      <c r="E369" s="11">
        <v>1</v>
      </c>
      <c r="F369" s="11">
        <v>0</v>
      </c>
      <c r="G369" s="11">
        <v>0</v>
      </c>
      <c r="H369" s="11">
        <v>0</v>
      </c>
      <c r="I369" s="11">
        <f>SUM(CEDRITOS!$B369:$H369)</f>
        <v>4</v>
      </c>
      <c r="J369" s="60">
        <f t="shared" si="171"/>
        <v>0.44444444444444442</v>
      </c>
    </row>
    <row r="370" spans="1:10" x14ac:dyDescent="0.25">
      <c r="A370" s="212" t="s">
        <v>14</v>
      </c>
      <c r="B370" s="11">
        <v>31</v>
      </c>
      <c r="C370" s="11">
        <v>52</v>
      </c>
      <c r="D370" s="11">
        <v>77</v>
      </c>
      <c r="E370" s="11">
        <v>54</v>
      </c>
      <c r="F370" s="11">
        <v>62</v>
      </c>
      <c r="G370" s="11">
        <v>100</v>
      </c>
      <c r="H370" s="11">
        <v>80</v>
      </c>
      <c r="I370" s="11">
        <f>SUM(CEDRITOS!$B370:$H370)</f>
        <v>456</v>
      </c>
      <c r="J370" s="60">
        <f t="shared" si="171"/>
        <v>50.666666666666664</v>
      </c>
    </row>
    <row r="371" spans="1:10" x14ac:dyDescent="0.25">
      <c r="A371" s="212" t="s">
        <v>15</v>
      </c>
      <c r="B371" s="11">
        <v>16</v>
      </c>
      <c r="C371" s="11">
        <v>28</v>
      </c>
      <c r="D371" s="11">
        <v>28</v>
      </c>
      <c r="E371" s="11">
        <v>0</v>
      </c>
      <c r="F371" s="11">
        <v>21</v>
      </c>
      <c r="G371" s="11">
        <v>8</v>
      </c>
      <c r="H371" s="11">
        <v>5</v>
      </c>
      <c r="I371" s="11">
        <f>SUM(CEDRITOS!$B371:$H371)</f>
        <v>106</v>
      </c>
      <c r="J371" s="60">
        <f t="shared" si="171"/>
        <v>11.777777777777779</v>
      </c>
    </row>
    <row r="372" spans="1:10" x14ac:dyDescent="0.25">
      <c r="A372" s="212" t="s">
        <v>16</v>
      </c>
      <c r="B372" s="11">
        <v>1</v>
      </c>
      <c r="C372" s="11">
        <v>0</v>
      </c>
      <c r="D372" s="11">
        <v>1</v>
      </c>
      <c r="E372" s="11">
        <v>0</v>
      </c>
      <c r="F372" s="11">
        <v>2</v>
      </c>
      <c r="G372" s="86">
        <v>0</v>
      </c>
      <c r="H372" s="86">
        <v>0</v>
      </c>
      <c r="I372" s="11">
        <f>SUM(CEDRITOS!$B372:$H372)</f>
        <v>4</v>
      </c>
      <c r="J372" s="60">
        <f t="shared" si="171"/>
        <v>0.44444444444444442</v>
      </c>
    </row>
    <row r="373" spans="1:10" x14ac:dyDescent="0.25">
      <c r="A373" s="213" t="s">
        <v>17</v>
      </c>
      <c r="B373" s="192">
        <f t="shared" ref="B373:I373" si="172">SUM(B368:B372)</f>
        <v>90</v>
      </c>
      <c r="C373" s="192">
        <f t="shared" si="172"/>
        <v>178</v>
      </c>
      <c r="D373" s="192">
        <f t="shared" si="172"/>
        <v>273</v>
      </c>
      <c r="E373" s="192">
        <f t="shared" si="172"/>
        <v>102</v>
      </c>
      <c r="F373" s="192">
        <f t="shared" si="172"/>
        <v>202</v>
      </c>
      <c r="G373" s="192">
        <f t="shared" si="172"/>
        <v>255</v>
      </c>
      <c r="H373" s="192">
        <f t="shared" si="172"/>
        <v>220</v>
      </c>
      <c r="I373" s="192">
        <f t="shared" si="172"/>
        <v>1320</v>
      </c>
      <c r="J373" s="214">
        <f t="shared" si="171"/>
        <v>146.66666666666666</v>
      </c>
    </row>
    <row r="374" spans="1:10" x14ac:dyDescent="0.25">
      <c r="A374" s="212" t="s">
        <v>18</v>
      </c>
      <c r="B374" s="30">
        <v>0.52</v>
      </c>
      <c r="C374" s="30">
        <v>0.64</v>
      </c>
      <c r="D374" s="30">
        <v>0.62</v>
      </c>
      <c r="E374" s="30">
        <v>0.48</v>
      </c>
      <c r="F374" s="30">
        <v>0.56000000000000005</v>
      </c>
      <c r="G374" s="30">
        <v>0.6</v>
      </c>
      <c r="H374" s="30">
        <v>0.62</v>
      </c>
      <c r="I374" s="30">
        <f>I381/I386</f>
        <v>0.59499966738978383</v>
      </c>
      <c r="J374" s="160">
        <f>J381/J386</f>
        <v>0.59499966738978383</v>
      </c>
    </row>
    <row r="375" spans="1:10" x14ac:dyDescent="0.25">
      <c r="A375" s="212" t="s">
        <v>19</v>
      </c>
      <c r="B375" s="30">
        <v>0</v>
      </c>
      <c r="C375" s="30">
        <v>0</v>
      </c>
      <c r="D375" s="30">
        <v>0</v>
      </c>
      <c r="E375" s="30">
        <v>0.02</v>
      </c>
      <c r="F375" s="30">
        <v>0</v>
      </c>
      <c r="G375" s="30">
        <v>0</v>
      </c>
      <c r="H375" s="30">
        <v>0</v>
      </c>
      <c r="I375" s="30">
        <f>I382/I386</f>
        <v>1.3716713271518083E-3</v>
      </c>
      <c r="J375" s="160">
        <f>J382/J386</f>
        <v>1.3716713271518083E-3</v>
      </c>
    </row>
    <row r="376" spans="1:10" x14ac:dyDescent="0.25">
      <c r="A376" s="212" t="s">
        <v>20</v>
      </c>
      <c r="B376" s="30">
        <v>0.3</v>
      </c>
      <c r="C376" s="30">
        <v>0.23</v>
      </c>
      <c r="D376" s="30">
        <v>0.28000000000000003</v>
      </c>
      <c r="E376" s="30">
        <v>0.5</v>
      </c>
      <c r="F376" s="30">
        <v>0.33</v>
      </c>
      <c r="G376" s="30">
        <v>0.37</v>
      </c>
      <c r="H376" s="30">
        <v>0.37</v>
      </c>
      <c r="I376" s="30">
        <f>I383/I386</f>
        <v>0.3272193349458018</v>
      </c>
      <c r="J376" s="160">
        <f>J383/J386</f>
        <v>0.3272193349458018</v>
      </c>
    </row>
    <row r="377" spans="1:10" x14ac:dyDescent="0.25">
      <c r="A377" s="212" t="s">
        <v>21</v>
      </c>
      <c r="B377" s="30">
        <v>0.17</v>
      </c>
      <c r="C377" s="30">
        <v>0.13</v>
      </c>
      <c r="D377" s="30">
        <v>0.1</v>
      </c>
      <c r="E377" s="30">
        <v>0</v>
      </c>
      <c r="F377" s="30">
        <v>0.1</v>
      </c>
      <c r="G377" s="30">
        <v>0.03</v>
      </c>
      <c r="H377" s="30">
        <v>0.01</v>
      </c>
      <c r="I377" s="30">
        <f>I384/I386</f>
        <v>7.4334078963460587E-2</v>
      </c>
      <c r="J377" s="160">
        <f>J384/J386</f>
        <v>7.4334078963460587E-2</v>
      </c>
    </row>
    <row r="378" spans="1:10" x14ac:dyDescent="0.25">
      <c r="A378" s="212" t="s">
        <v>22</v>
      </c>
      <c r="B378" s="30">
        <v>0.01</v>
      </c>
      <c r="C378" s="30">
        <v>0</v>
      </c>
      <c r="D378" s="30">
        <v>0</v>
      </c>
      <c r="E378" s="30">
        <v>0</v>
      </c>
      <c r="F378" s="30">
        <v>0.01</v>
      </c>
      <c r="G378" s="30">
        <v>0</v>
      </c>
      <c r="H378" s="30">
        <v>0</v>
      </c>
      <c r="I378" s="30">
        <f>I385/I386</f>
        <v>2.0752473738017804E-3</v>
      </c>
      <c r="J378" s="160">
        <f>J385/J386</f>
        <v>2.0752473738017804E-3</v>
      </c>
    </row>
    <row r="379" spans="1:10" x14ac:dyDescent="0.25">
      <c r="A379" s="215" t="s">
        <v>23</v>
      </c>
      <c r="B379" s="66">
        <f t="shared" ref="B379:J379" si="173">B390/B373</f>
        <v>30886.666666666672</v>
      </c>
      <c r="C379" s="66">
        <f t="shared" si="173"/>
        <v>40006.741573033716</v>
      </c>
      <c r="D379" s="66">
        <f t="shared" si="173"/>
        <v>33428.571428571428</v>
      </c>
      <c r="E379" s="66">
        <f t="shared" si="173"/>
        <v>29465.686274509808</v>
      </c>
      <c r="F379" s="66">
        <f t="shared" si="173"/>
        <v>31467.326732673268</v>
      </c>
      <c r="G379" s="66">
        <f t="shared" si="173"/>
        <v>31761.568627450979</v>
      </c>
      <c r="H379" s="66">
        <f t="shared" si="173"/>
        <v>34073.181818181816</v>
      </c>
      <c r="I379" s="66">
        <f t="shared" si="173"/>
        <v>33321.36363636364</v>
      </c>
      <c r="J379" s="67">
        <f t="shared" si="173"/>
        <v>42841.753246753258</v>
      </c>
    </row>
    <row r="380" spans="1:10" x14ac:dyDescent="0.25">
      <c r="A380" s="215" t="s">
        <v>24</v>
      </c>
      <c r="B380" s="66">
        <f t="shared" ref="B380:I380" si="174">+B390/B367</f>
        <v>29890.322580645166</v>
      </c>
      <c r="C380" s="66">
        <f t="shared" si="174"/>
        <v>31509.734513274339</v>
      </c>
      <c r="D380" s="66">
        <f t="shared" si="174"/>
        <v>34052.238805970148</v>
      </c>
      <c r="E380" s="66">
        <f t="shared" si="174"/>
        <v>30358.585858585862</v>
      </c>
      <c r="F380" s="66">
        <f t="shared" si="174"/>
        <v>29157.798165137614</v>
      </c>
      <c r="G380" s="66">
        <f t="shared" si="174"/>
        <v>31761.568627450979</v>
      </c>
      <c r="H380" s="66">
        <f t="shared" si="174"/>
        <v>28394.31818181818</v>
      </c>
      <c r="I380" s="66">
        <f t="shared" si="174"/>
        <v>30909.486999297264</v>
      </c>
      <c r="J380" s="67">
        <f>J390/J367</f>
        <v>39740.768999096479</v>
      </c>
    </row>
    <row r="381" spans="1:10" x14ac:dyDescent="0.25">
      <c r="A381" s="212" t="s">
        <v>25</v>
      </c>
      <c r="B381" s="92">
        <f t="shared" ref="B381:H381" si="175">B386*B374</f>
        <v>1199052.0413793104</v>
      </c>
      <c r="C381" s="92">
        <f t="shared" si="175"/>
        <v>3793776.3310344834</v>
      </c>
      <c r="D381" s="92">
        <f t="shared" si="175"/>
        <v>4658569.2551724138</v>
      </c>
      <c r="E381" s="92">
        <f t="shared" si="175"/>
        <v>1195038.3724137933</v>
      </c>
      <c r="F381" s="92">
        <f t="shared" si="175"/>
        <v>2927411.2965517244</v>
      </c>
      <c r="G381" s="31">
        <f t="shared" si="175"/>
        <v>3999170.3793103448</v>
      </c>
      <c r="H381" s="31">
        <f t="shared" si="175"/>
        <v>3826162.7068965519</v>
      </c>
      <c r="I381" s="31">
        <f>SUM(B381:H381)</f>
        <v>21599180.382758621</v>
      </c>
      <c r="J381" s="32">
        <f t="shared" ref="J381:J390" si="176">I381/7</f>
        <v>3085597.1975369458</v>
      </c>
    </row>
    <row r="382" spans="1:10" x14ac:dyDescent="0.25">
      <c r="A382" s="212" t="s">
        <v>26</v>
      </c>
      <c r="B382" s="92">
        <f t="shared" ref="B382:H382" si="177">B386*B375</f>
        <v>0</v>
      </c>
      <c r="C382" s="92">
        <f t="shared" si="177"/>
        <v>0</v>
      </c>
      <c r="D382" s="92">
        <f t="shared" si="177"/>
        <v>0</v>
      </c>
      <c r="E382" s="92">
        <f t="shared" si="177"/>
        <v>49793.265517241387</v>
      </c>
      <c r="F382" s="92">
        <f t="shared" si="177"/>
        <v>0</v>
      </c>
      <c r="G382" s="31">
        <f t="shared" si="177"/>
        <v>0</v>
      </c>
      <c r="H382" s="31">
        <f t="shared" si="177"/>
        <v>0</v>
      </c>
      <c r="I382" s="31">
        <f>SUM(B382:H382)</f>
        <v>49793.265517241387</v>
      </c>
      <c r="J382" s="32">
        <f t="shared" si="176"/>
        <v>7113.323645320198</v>
      </c>
    </row>
    <row r="383" spans="1:10" x14ac:dyDescent="0.25">
      <c r="A383" s="212" t="s">
        <v>27</v>
      </c>
      <c r="B383" s="92">
        <f t="shared" ref="B383:H383" si="178">B386*B376</f>
        <v>691760.79310344835</v>
      </c>
      <c r="C383" s="92">
        <f t="shared" si="178"/>
        <v>1363388.3689655175</v>
      </c>
      <c r="D383" s="92">
        <f t="shared" si="178"/>
        <v>2103869.9862068971</v>
      </c>
      <c r="E383" s="92">
        <f t="shared" si="178"/>
        <v>1244831.6379310347</v>
      </c>
      <c r="F383" s="92">
        <f t="shared" si="178"/>
        <v>1725081.6568965518</v>
      </c>
      <c r="G383" s="31">
        <f t="shared" si="178"/>
        <v>2466155.0672413795</v>
      </c>
      <c r="H383" s="31">
        <f t="shared" si="178"/>
        <v>2283355.1637931033</v>
      </c>
      <c r="I383" s="31">
        <f>SUM(B383:H383)</f>
        <v>11878442.674137933</v>
      </c>
      <c r="J383" s="32">
        <f t="shared" si="176"/>
        <v>1696920.3820197047</v>
      </c>
    </row>
    <row r="384" spans="1:10" x14ac:dyDescent="0.25">
      <c r="A384" s="212" t="s">
        <v>28</v>
      </c>
      <c r="B384" s="92">
        <f t="shared" ref="B384:H384" si="179">B386*B377</f>
        <v>391997.78275862074</v>
      </c>
      <c r="C384" s="92">
        <f t="shared" si="179"/>
        <v>770610.81724137941</v>
      </c>
      <c r="D384" s="92">
        <f t="shared" si="179"/>
        <v>751382.13793103455</v>
      </c>
      <c r="E384" s="92">
        <f t="shared" si="179"/>
        <v>0</v>
      </c>
      <c r="F384" s="92">
        <f t="shared" si="179"/>
        <v>522752.01724137936</v>
      </c>
      <c r="G384" s="31">
        <f t="shared" si="179"/>
        <v>199958.51896551723</v>
      </c>
      <c r="H384" s="31">
        <f t="shared" si="179"/>
        <v>61712.301724137935</v>
      </c>
      <c r="I384" s="31">
        <f>SUM(B384:H384)</f>
        <v>2698413.5758620687</v>
      </c>
      <c r="J384" s="32">
        <f t="shared" si="176"/>
        <v>385487.65369458124</v>
      </c>
    </row>
    <row r="385" spans="1:10" x14ac:dyDescent="0.25">
      <c r="A385" s="212" t="s">
        <v>29</v>
      </c>
      <c r="B385" s="92">
        <f t="shared" ref="B385:H385" si="180">B386*B378</f>
        <v>23058.69310344828</v>
      </c>
      <c r="C385" s="92">
        <f t="shared" si="180"/>
        <v>0</v>
      </c>
      <c r="D385" s="92">
        <f t="shared" si="180"/>
        <v>0</v>
      </c>
      <c r="E385" s="92">
        <f t="shared" si="180"/>
        <v>0</v>
      </c>
      <c r="F385" s="92">
        <f t="shared" si="180"/>
        <v>52275.201724137936</v>
      </c>
      <c r="G385" s="31">
        <f t="shared" si="180"/>
        <v>0</v>
      </c>
      <c r="H385" s="31">
        <f t="shared" si="180"/>
        <v>0</v>
      </c>
      <c r="I385" s="31">
        <f>SUM(B385:H385)</f>
        <v>75333.89482758622</v>
      </c>
      <c r="J385" s="32">
        <f t="shared" si="176"/>
        <v>10761.98497536946</v>
      </c>
    </row>
    <row r="386" spans="1:10" x14ac:dyDescent="0.25">
      <c r="A386" s="216" t="s">
        <v>30</v>
      </c>
      <c r="B386" s="91">
        <f>(2779800/1.16)-B387</f>
        <v>2305869.3103448278</v>
      </c>
      <c r="C386" s="91">
        <f>(7121200/1.16)-C387</f>
        <v>5927775.5172413802</v>
      </c>
      <c r="D386" s="91">
        <f>(9126000/1.16)-D387</f>
        <v>7513821.3793103453</v>
      </c>
      <c r="E386" s="91">
        <f>(3005500/1.16)-E387</f>
        <v>2489663.2758620693</v>
      </c>
      <c r="F386" s="91">
        <f>(6356400/1.16)-F387</f>
        <v>5227520.1724137934</v>
      </c>
      <c r="G386" s="197">
        <f>(8099200/1.16)-G387</f>
        <v>6665283.9655172415</v>
      </c>
      <c r="H386" s="197">
        <f>(7496100/1.16)-H387</f>
        <v>6171230.1724137934</v>
      </c>
      <c r="I386" s="197">
        <f>SUM(I381:I385)</f>
        <v>36301163.793103456</v>
      </c>
      <c r="J386" s="217">
        <f t="shared" si="176"/>
        <v>5185880.5418719221</v>
      </c>
    </row>
    <row r="387" spans="1:10" x14ac:dyDescent="0.25">
      <c r="A387" s="212" t="s">
        <v>31</v>
      </c>
      <c r="B387" s="92">
        <f t="shared" ref="B387:I387" si="181">2155*B368</f>
        <v>90510</v>
      </c>
      <c r="C387" s="92">
        <f t="shared" si="181"/>
        <v>211190</v>
      </c>
      <c r="D387" s="92">
        <f t="shared" si="181"/>
        <v>353420</v>
      </c>
      <c r="E387" s="92">
        <f t="shared" si="181"/>
        <v>101285</v>
      </c>
      <c r="F387" s="92">
        <f t="shared" si="181"/>
        <v>252135</v>
      </c>
      <c r="G387" s="31">
        <f t="shared" si="181"/>
        <v>316785</v>
      </c>
      <c r="H387" s="31">
        <f t="shared" si="181"/>
        <v>290925</v>
      </c>
      <c r="I387" s="31">
        <f t="shared" si="181"/>
        <v>1616250</v>
      </c>
      <c r="J387" s="32">
        <f t="shared" si="176"/>
        <v>230892.85714285713</v>
      </c>
    </row>
    <row r="388" spans="1:10" x14ac:dyDescent="0.25">
      <c r="A388" s="218" t="s">
        <v>32</v>
      </c>
      <c r="B388" s="199">
        <f>B387+B386</f>
        <v>2396379.3103448278</v>
      </c>
      <c r="C388" s="199">
        <f>C387+C386</f>
        <v>6138965.5172413802</v>
      </c>
      <c r="D388" s="199">
        <f>D387+D386</f>
        <v>7867241.3793103453</v>
      </c>
      <c r="E388" s="199">
        <f>E387+E386</f>
        <v>2590948.2758620693</v>
      </c>
      <c r="F388" s="199">
        <f>F386+F387</f>
        <v>5479655.1724137934</v>
      </c>
      <c r="G388" s="199">
        <f>G387+G386</f>
        <v>6982068.9655172415</v>
      </c>
      <c r="H388" s="199">
        <f>H387+H386</f>
        <v>6462155.1724137934</v>
      </c>
      <c r="I388" s="199">
        <f>I386+I387</f>
        <v>37917413.793103456</v>
      </c>
      <c r="J388" s="219">
        <f t="shared" si="176"/>
        <v>5416773.3990147794</v>
      </c>
    </row>
    <row r="389" spans="1:10" x14ac:dyDescent="0.25">
      <c r="A389" s="212" t="s">
        <v>33</v>
      </c>
      <c r="B389" s="94">
        <f>B388*16%</f>
        <v>383420.68965517246</v>
      </c>
      <c r="C389" s="94">
        <f t="shared" ref="C389:H389" si="182">C388*16%</f>
        <v>982234.48275862087</v>
      </c>
      <c r="D389" s="94">
        <f t="shared" si="182"/>
        <v>1258758.6206896552</v>
      </c>
      <c r="E389" s="94">
        <f t="shared" si="182"/>
        <v>414551.72413793113</v>
      </c>
      <c r="F389" s="94">
        <f t="shared" si="182"/>
        <v>876744.82758620696</v>
      </c>
      <c r="G389" s="94">
        <f t="shared" si="182"/>
        <v>1117131.0344827587</v>
      </c>
      <c r="H389" s="94">
        <f t="shared" si="182"/>
        <v>1033944.827586207</v>
      </c>
      <c r="I389" s="94">
        <f>I388*16%</f>
        <v>6066786.2068965528</v>
      </c>
      <c r="J389" s="32">
        <f t="shared" si="176"/>
        <v>866683.74384236464</v>
      </c>
    </row>
    <row r="390" spans="1:10" x14ac:dyDescent="0.25">
      <c r="A390" s="220" t="s">
        <v>34</v>
      </c>
      <c r="B390" s="202">
        <f>B388+B389</f>
        <v>2779800.0000000005</v>
      </c>
      <c r="C390" s="202">
        <f t="shared" ref="C390:H390" si="183">C388+C389</f>
        <v>7121200.0000000009</v>
      </c>
      <c r="D390" s="202">
        <f t="shared" si="183"/>
        <v>9126000</v>
      </c>
      <c r="E390" s="202">
        <f t="shared" si="183"/>
        <v>3005500.0000000005</v>
      </c>
      <c r="F390" s="202">
        <f t="shared" si="183"/>
        <v>6356400</v>
      </c>
      <c r="G390" s="202">
        <f t="shared" si="183"/>
        <v>8099200</v>
      </c>
      <c r="H390" s="202">
        <f t="shared" si="183"/>
        <v>7496100</v>
      </c>
      <c r="I390" s="202">
        <f>I388+I389</f>
        <v>43984200.000000007</v>
      </c>
      <c r="J390" s="221">
        <f t="shared" si="176"/>
        <v>6283457.1428571437</v>
      </c>
    </row>
    <row r="392" spans="1:10" ht="26.25" x14ac:dyDescent="0.25">
      <c r="B392" s="1007" t="s">
        <v>146</v>
      </c>
      <c r="C392" s="1007"/>
      <c r="D392" s="1007"/>
      <c r="E392" s="1007"/>
      <c r="F392" s="1007"/>
      <c r="G392" s="1007"/>
      <c r="H392" s="1007"/>
    </row>
    <row r="393" spans="1:10" ht="15.75" x14ac:dyDescent="0.25">
      <c r="A393" s="207" t="s">
        <v>2</v>
      </c>
      <c r="B393" s="121" t="s">
        <v>70</v>
      </c>
      <c r="C393" s="121" t="s">
        <v>71</v>
      </c>
      <c r="D393" s="121" t="s">
        <v>72</v>
      </c>
      <c r="E393" s="121" t="s">
        <v>73</v>
      </c>
      <c r="F393" s="121" t="s">
        <v>74</v>
      </c>
      <c r="G393" s="121" t="s">
        <v>75</v>
      </c>
      <c r="H393" s="121" t="s">
        <v>76</v>
      </c>
      <c r="I393" s="121" t="s">
        <v>96</v>
      </c>
      <c r="J393" s="209" t="s">
        <v>97</v>
      </c>
    </row>
    <row r="394" spans="1:10" x14ac:dyDescent="0.25">
      <c r="A394" s="332" t="s">
        <v>11</v>
      </c>
      <c r="B394" s="75">
        <v>87</v>
      </c>
      <c r="C394" s="75">
        <v>105</v>
      </c>
      <c r="D394" s="75">
        <v>154</v>
      </c>
      <c r="E394" s="316">
        <v>138</v>
      </c>
      <c r="F394" s="316">
        <v>224</v>
      </c>
      <c r="G394" s="316">
        <v>315</v>
      </c>
      <c r="H394" s="316">
        <v>289</v>
      </c>
      <c r="I394" s="316">
        <f>SUM(B394:H394)</f>
        <v>1312</v>
      </c>
      <c r="J394" s="382">
        <f>+I394/9</f>
        <v>145.77777777777777</v>
      </c>
    </row>
    <row r="395" spans="1:10" x14ac:dyDescent="0.25">
      <c r="A395" s="212" t="s">
        <v>12</v>
      </c>
      <c r="B395" s="11">
        <v>48</v>
      </c>
      <c r="C395" s="11">
        <v>69</v>
      </c>
      <c r="D395" s="11">
        <v>80</v>
      </c>
      <c r="E395" s="11">
        <v>66</v>
      </c>
      <c r="F395" s="11">
        <v>130</v>
      </c>
      <c r="G395" s="11">
        <v>152</v>
      </c>
      <c r="H395" s="11">
        <v>157</v>
      </c>
      <c r="I395" s="11">
        <f>SUM(CEDRITOS!$B395:$H395)</f>
        <v>702</v>
      </c>
      <c r="J395" s="60">
        <f t="shared" ref="J395:J400" si="184">I395/9</f>
        <v>78</v>
      </c>
    </row>
    <row r="396" spans="1:10" x14ac:dyDescent="0.25">
      <c r="A396" s="212" t="s">
        <v>13</v>
      </c>
      <c r="B396" s="11">
        <v>0</v>
      </c>
      <c r="C396" s="11">
        <v>0</v>
      </c>
      <c r="D396" s="11">
        <v>0</v>
      </c>
      <c r="E396" s="11">
        <v>0</v>
      </c>
      <c r="F396" s="11">
        <v>0</v>
      </c>
      <c r="G396" s="11">
        <v>0</v>
      </c>
      <c r="H396" s="11">
        <v>0</v>
      </c>
      <c r="I396" s="11">
        <f>SUM(CEDRITOS!$B396:$H396)</f>
        <v>0</v>
      </c>
      <c r="J396" s="60">
        <f t="shared" si="184"/>
        <v>0</v>
      </c>
    </row>
    <row r="397" spans="1:10" x14ac:dyDescent="0.25">
      <c r="A397" s="212" t="s">
        <v>14</v>
      </c>
      <c r="B397" s="11">
        <v>34</v>
      </c>
      <c r="C397" s="11">
        <v>34</v>
      </c>
      <c r="D397" s="11">
        <v>42</v>
      </c>
      <c r="E397" s="11">
        <v>44</v>
      </c>
      <c r="F397" s="11">
        <v>61</v>
      </c>
      <c r="G397" s="11">
        <v>90</v>
      </c>
      <c r="H397" s="11">
        <v>70</v>
      </c>
      <c r="I397" s="11">
        <f>SUM(CEDRITOS!$B397:$H397)</f>
        <v>375</v>
      </c>
      <c r="J397" s="60">
        <f t="shared" si="184"/>
        <v>41.666666666666664</v>
      </c>
    </row>
    <row r="398" spans="1:10" x14ac:dyDescent="0.25">
      <c r="A398" s="212" t="s">
        <v>15</v>
      </c>
      <c r="B398" s="11">
        <v>6</v>
      </c>
      <c r="C398" s="11">
        <v>3</v>
      </c>
      <c r="D398" s="11">
        <v>12</v>
      </c>
      <c r="E398" s="11">
        <v>19</v>
      </c>
      <c r="F398" s="11">
        <v>10</v>
      </c>
      <c r="G398" s="11">
        <v>21</v>
      </c>
      <c r="H398" s="11">
        <v>27</v>
      </c>
      <c r="I398" s="11">
        <f>SUM(CEDRITOS!$B398:$H398)</f>
        <v>98</v>
      </c>
      <c r="J398" s="60">
        <f t="shared" si="184"/>
        <v>10.888888888888889</v>
      </c>
    </row>
    <row r="399" spans="1:10" x14ac:dyDescent="0.25">
      <c r="A399" s="212" t="s">
        <v>16</v>
      </c>
      <c r="B399" s="11">
        <v>1</v>
      </c>
      <c r="C399" s="11">
        <v>0</v>
      </c>
      <c r="D399" s="11">
        <v>1</v>
      </c>
      <c r="E399" s="11">
        <v>0</v>
      </c>
      <c r="F399" s="11">
        <v>1</v>
      </c>
      <c r="G399" s="86">
        <v>0</v>
      </c>
      <c r="H399" s="86">
        <v>1</v>
      </c>
      <c r="I399" s="11">
        <f>SUM(CEDRITOS!$B399:$H399)</f>
        <v>4</v>
      </c>
      <c r="J399" s="60">
        <f t="shared" si="184"/>
        <v>0.44444444444444442</v>
      </c>
    </row>
    <row r="400" spans="1:10" x14ac:dyDescent="0.25">
      <c r="A400" s="213" t="s">
        <v>17</v>
      </c>
      <c r="B400" s="192">
        <f t="shared" ref="B400:I400" si="185">SUM(B395:B399)</f>
        <v>89</v>
      </c>
      <c r="C400" s="192">
        <f t="shared" si="185"/>
        <v>106</v>
      </c>
      <c r="D400" s="192">
        <f t="shared" si="185"/>
        <v>135</v>
      </c>
      <c r="E400" s="192">
        <f t="shared" si="185"/>
        <v>129</v>
      </c>
      <c r="F400" s="192">
        <f t="shared" si="185"/>
        <v>202</v>
      </c>
      <c r="G400" s="192">
        <f t="shared" si="185"/>
        <v>263</v>
      </c>
      <c r="H400" s="192">
        <f t="shared" si="185"/>
        <v>255</v>
      </c>
      <c r="I400" s="192">
        <f t="shared" si="185"/>
        <v>1179</v>
      </c>
      <c r="J400" s="214">
        <f t="shared" si="184"/>
        <v>131</v>
      </c>
    </row>
    <row r="401" spans="1:10" x14ac:dyDescent="0.25">
      <c r="A401" s="212" t="s">
        <v>18</v>
      </c>
      <c r="B401" s="30">
        <v>0.55000000000000004</v>
      </c>
      <c r="C401" s="30">
        <v>0.68</v>
      </c>
      <c r="D401" s="30">
        <v>0.62</v>
      </c>
      <c r="E401" s="30">
        <v>0.59</v>
      </c>
      <c r="F401" s="30">
        <v>0.69</v>
      </c>
      <c r="G401" s="30">
        <v>0.6</v>
      </c>
      <c r="H401" s="30">
        <v>0.61</v>
      </c>
      <c r="I401" s="30">
        <f>I408/I413</f>
        <v>0.62268323565191019</v>
      </c>
      <c r="J401" s="160">
        <f>J408/J413</f>
        <v>0.62268323565191019</v>
      </c>
    </row>
    <row r="402" spans="1:10" x14ac:dyDescent="0.25">
      <c r="A402" s="212" t="s">
        <v>19</v>
      </c>
      <c r="B402" s="30">
        <v>0</v>
      </c>
      <c r="C402" s="30">
        <v>0</v>
      </c>
      <c r="D402" s="30">
        <v>0</v>
      </c>
      <c r="E402" s="30">
        <v>0</v>
      </c>
      <c r="F402" s="30">
        <v>0</v>
      </c>
      <c r="G402" s="30">
        <v>0</v>
      </c>
      <c r="H402" s="30">
        <v>0</v>
      </c>
      <c r="I402" s="30">
        <f>I409/I413</f>
        <v>0</v>
      </c>
      <c r="J402" s="160">
        <f>J409/J413</f>
        <v>0</v>
      </c>
    </row>
    <row r="403" spans="1:10" x14ac:dyDescent="0.25">
      <c r="A403" s="212" t="s">
        <v>20</v>
      </c>
      <c r="B403" s="30">
        <v>0.4</v>
      </c>
      <c r="C403" s="30">
        <v>0.28000000000000003</v>
      </c>
      <c r="D403" s="30">
        <v>0.3</v>
      </c>
      <c r="E403" s="30">
        <v>0.28000000000000003</v>
      </c>
      <c r="F403" s="30">
        <v>0.26</v>
      </c>
      <c r="G403" s="30">
        <v>0.32</v>
      </c>
      <c r="H403" s="30">
        <v>0.28000000000000003</v>
      </c>
      <c r="I403" s="30">
        <f>I410/I413</f>
        <v>0.29582636089770553</v>
      </c>
      <c r="J403" s="160">
        <f>J410/J413</f>
        <v>0.29582636089770548</v>
      </c>
    </row>
    <row r="404" spans="1:10" x14ac:dyDescent="0.25">
      <c r="A404" s="212" t="s">
        <v>21</v>
      </c>
      <c r="B404" s="30">
        <v>0.05</v>
      </c>
      <c r="C404" s="30">
        <v>0.04</v>
      </c>
      <c r="D404" s="30">
        <v>7.0000000000000007E-2</v>
      </c>
      <c r="E404" s="30">
        <v>0.13</v>
      </c>
      <c r="F404" s="30">
        <v>0.05</v>
      </c>
      <c r="G404" s="30">
        <v>0.08</v>
      </c>
      <c r="H404" s="30">
        <v>0.11</v>
      </c>
      <c r="I404" s="30">
        <f>I411/I413</f>
        <v>8.0133635428508751E-2</v>
      </c>
      <c r="J404" s="160">
        <f>J411/J413</f>
        <v>8.0133635428508751E-2</v>
      </c>
    </row>
    <row r="405" spans="1:10" x14ac:dyDescent="0.25">
      <c r="A405" s="212" t="s">
        <v>22</v>
      </c>
      <c r="B405" s="30">
        <v>0</v>
      </c>
      <c r="C405" s="30">
        <v>0</v>
      </c>
      <c r="D405" s="30">
        <v>0.01</v>
      </c>
      <c r="E405" s="30">
        <v>0</v>
      </c>
      <c r="F405" s="30">
        <v>0</v>
      </c>
      <c r="G405" s="30">
        <v>0</v>
      </c>
      <c r="H405" s="30">
        <v>0</v>
      </c>
      <c r="I405" s="30">
        <f>I412/I413</f>
        <v>1.3567680218755976E-3</v>
      </c>
      <c r="J405" s="160">
        <f>J412/J413</f>
        <v>1.3567680218755974E-3</v>
      </c>
    </row>
    <row r="406" spans="1:10" x14ac:dyDescent="0.25">
      <c r="A406" s="215" t="s">
        <v>23</v>
      </c>
      <c r="B406" s="66">
        <f t="shared" ref="B406:J406" si="186">B417/B400</f>
        <v>26843.8202247191</v>
      </c>
      <c r="C406" s="66">
        <f t="shared" si="186"/>
        <v>30927.358490566043</v>
      </c>
      <c r="D406" s="66">
        <f t="shared" si="186"/>
        <v>38353.333333333336</v>
      </c>
      <c r="E406" s="66">
        <f t="shared" si="186"/>
        <v>29587.596899224805</v>
      </c>
      <c r="F406" s="66">
        <f t="shared" si="186"/>
        <v>31940.09900990099</v>
      </c>
      <c r="G406" s="66">
        <f t="shared" si="186"/>
        <v>32939.923954372622</v>
      </c>
      <c r="H406" s="66">
        <f t="shared" si="186"/>
        <v>33983.921568627447</v>
      </c>
      <c r="I406" s="66">
        <f t="shared" si="186"/>
        <v>32606.361323155212</v>
      </c>
      <c r="J406" s="67">
        <f t="shared" si="186"/>
        <v>41922.464558342414</v>
      </c>
    </row>
    <row r="407" spans="1:10" x14ac:dyDescent="0.25">
      <c r="A407" s="215" t="s">
        <v>24</v>
      </c>
      <c r="B407" s="66">
        <f t="shared" ref="B407:I407" si="187">+B417/B394</f>
        <v>27460.919540229886</v>
      </c>
      <c r="C407" s="66">
        <f t="shared" si="187"/>
        <v>31221.904761904767</v>
      </c>
      <c r="D407" s="66">
        <f t="shared" si="187"/>
        <v>33621.428571428572</v>
      </c>
      <c r="E407" s="66">
        <f t="shared" si="187"/>
        <v>27657.971014492752</v>
      </c>
      <c r="F407" s="66">
        <f t="shared" si="187"/>
        <v>28803.125</v>
      </c>
      <c r="G407" s="66">
        <f t="shared" si="187"/>
        <v>27502.222222222223</v>
      </c>
      <c r="H407" s="66">
        <f t="shared" si="187"/>
        <v>29985.813148788926</v>
      </c>
      <c r="I407" s="66">
        <f t="shared" si="187"/>
        <v>29300.990853658532</v>
      </c>
      <c r="J407" s="67">
        <f>J417/J394</f>
        <v>37672.702526132402</v>
      </c>
    </row>
    <row r="408" spans="1:10" x14ac:dyDescent="0.25">
      <c r="A408" s="212" t="s">
        <v>25</v>
      </c>
      <c r="B408" s="92">
        <f t="shared" ref="B408:H408" si="188">B413*B401</f>
        <v>1075870.931034483</v>
      </c>
      <c r="C408" s="92">
        <f t="shared" si="188"/>
        <v>1820649.4689655176</v>
      </c>
      <c r="D408" s="92">
        <f t="shared" si="188"/>
        <v>2660503.3793103448</v>
      </c>
      <c r="E408" s="92">
        <f t="shared" si="188"/>
        <v>1857387.7482758621</v>
      </c>
      <c r="F408" s="92">
        <f t="shared" si="188"/>
        <v>3644464.6034482755</v>
      </c>
      <c r="G408" s="31">
        <f t="shared" si="188"/>
        <v>4284429.5172413792</v>
      </c>
      <c r="H408" s="31">
        <f t="shared" si="188"/>
        <v>4350683.7534482758</v>
      </c>
      <c r="I408" s="31">
        <f>SUM(B408:H408)</f>
        <v>19693989.401724137</v>
      </c>
      <c r="J408" s="32">
        <f t="shared" ref="J408:J417" si="189">I408/7</f>
        <v>2813427.0573891625</v>
      </c>
    </row>
    <row r="409" spans="1:10" x14ac:dyDescent="0.25">
      <c r="A409" s="212" t="s">
        <v>26</v>
      </c>
      <c r="B409" s="92">
        <f t="shared" ref="B409:H409" si="190">B413*B402</f>
        <v>0</v>
      </c>
      <c r="C409" s="92">
        <f t="shared" si="190"/>
        <v>0</v>
      </c>
      <c r="D409" s="92">
        <f t="shared" si="190"/>
        <v>0</v>
      </c>
      <c r="E409" s="92">
        <f t="shared" si="190"/>
        <v>0</v>
      </c>
      <c r="F409" s="92">
        <f t="shared" si="190"/>
        <v>0</v>
      </c>
      <c r="G409" s="31">
        <f t="shared" si="190"/>
        <v>0</v>
      </c>
      <c r="H409" s="31">
        <f t="shared" si="190"/>
        <v>0</v>
      </c>
      <c r="I409" s="31">
        <f>SUM(B409:H409)</f>
        <v>0</v>
      </c>
      <c r="J409" s="32">
        <f t="shared" si="189"/>
        <v>0</v>
      </c>
    </row>
    <row r="410" spans="1:10" x14ac:dyDescent="0.25">
      <c r="A410" s="212" t="s">
        <v>27</v>
      </c>
      <c r="B410" s="92">
        <f t="shared" ref="B410:H410" si="191">B413*B403</f>
        <v>782451.5862068967</v>
      </c>
      <c r="C410" s="92">
        <f t="shared" si="191"/>
        <v>749679.19310344837</v>
      </c>
      <c r="D410" s="92">
        <f t="shared" si="191"/>
        <v>1287340.3448275861</v>
      </c>
      <c r="E410" s="92">
        <f t="shared" si="191"/>
        <v>881472.15172413806</v>
      </c>
      <c r="F410" s="92">
        <f t="shared" si="191"/>
        <v>1373276.5172413792</v>
      </c>
      <c r="G410" s="31">
        <f t="shared" si="191"/>
        <v>2285029.0758620691</v>
      </c>
      <c r="H410" s="31">
        <f t="shared" si="191"/>
        <v>1997035.1655172417</v>
      </c>
      <c r="I410" s="31">
        <f>SUM(B410:H410)</f>
        <v>9356284.0344827585</v>
      </c>
      <c r="J410" s="32">
        <f t="shared" si="189"/>
        <v>1336612.0049261083</v>
      </c>
    </row>
    <row r="411" spans="1:10" x14ac:dyDescent="0.25">
      <c r="A411" s="212" t="s">
        <v>28</v>
      </c>
      <c r="B411" s="92">
        <f t="shared" ref="B411:H411" si="192">B413*B404</f>
        <v>97806.448275862087</v>
      </c>
      <c r="C411" s="92">
        <f t="shared" si="192"/>
        <v>107097.02758620691</v>
      </c>
      <c r="D411" s="92">
        <f t="shared" si="192"/>
        <v>300379.41379310348</v>
      </c>
      <c r="E411" s="92">
        <f t="shared" si="192"/>
        <v>409254.92758620693</v>
      </c>
      <c r="F411" s="92">
        <f t="shared" si="192"/>
        <v>264091.63793103449</v>
      </c>
      <c r="G411" s="31">
        <f t="shared" si="192"/>
        <v>571257.26896551729</v>
      </c>
      <c r="H411" s="31">
        <f t="shared" si="192"/>
        <v>784549.52931034483</v>
      </c>
      <c r="I411" s="31">
        <f>SUM(B411:H411)</f>
        <v>2534436.2534482758</v>
      </c>
      <c r="J411" s="32">
        <f t="shared" si="189"/>
        <v>362062.32192118227</v>
      </c>
    </row>
    <row r="412" spans="1:10" x14ac:dyDescent="0.25">
      <c r="A412" s="212" t="s">
        <v>29</v>
      </c>
      <c r="B412" s="92">
        <f t="shared" ref="B412:H412" si="193">B413*B405</f>
        <v>0</v>
      </c>
      <c r="C412" s="92">
        <f t="shared" si="193"/>
        <v>0</v>
      </c>
      <c r="D412" s="92">
        <f t="shared" si="193"/>
        <v>42911.34482758621</v>
      </c>
      <c r="E412" s="92">
        <f t="shared" si="193"/>
        <v>0</v>
      </c>
      <c r="F412" s="92">
        <f t="shared" si="193"/>
        <v>0</v>
      </c>
      <c r="G412" s="31">
        <f t="shared" si="193"/>
        <v>0</v>
      </c>
      <c r="H412" s="31">
        <f t="shared" si="193"/>
        <v>0</v>
      </c>
      <c r="I412" s="31">
        <f>SUM(B412:H412)</f>
        <v>42911.34482758621</v>
      </c>
      <c r="J412" s="32">
        <f t="shared" si="189"/>
        <v>6130.1921182266015</v>
      </c>
    </row>
    <row r="413" spans="1:10" x14ac:dyDescent="0.25">
      <c r="A413" s="216" t="s">
        <v>30</v>
      </c>
      <c r="B413" s="91">
        <f>(2389100/1.16)-B414</f>
        <v>1956128.9655172415</v>
      </c>
      <c r="C413" s="91">
        <f>(3278300/1.16)-C414</f>
        <v>2677425.6896551726</v>
      </c>
      <c r="D413" s="91">
        <f>(5177700/1.16)-D414</f>
        <v>4291134.4827586208</v>
      </c>
      <c r="E413" s="91">
        <f>(3816800/1.16)-E414</f>
        <v>3148114.8275862071</v>
      </c>
      <c r="F413" s="91">
        <f>(6451900/1.16)-F414</f>
        <v>5281832.7586206896</v>
      </c>
      <c r="G413" s="197">
        <f>(8663200/1.16)-G414</f>
        <v>7140715.862068966</v>
      </c>
      <c r="H413" s="197">
        <f>(8665900/1.16)-H414</f>
        <v>7132268.4482758623</v>
      </c>
      <c r="I413" s="197">
        <f>SUM(I408:I412)</f>
        <v>31627621.034482755</v>
      </c>
      <c r="J413" s="217">
        <f t="shared" si="189"/>
        <v>4518231.5763546797</v>
      </c>
    </row>
    <row r="414" spans="1:10" x14ac:dyDescent="0.25">
      <c r="A414" s="212" t="s">
        <v>31</v>
      </c>
      <c r="B414" s="92">
        <f t="shared" ref="B414:I414" si="194">2155*B395</f>
        <v>103440</v>
      </c>
      <c r="C414" s="92">
        <f t="shared" si="194"/>
        <v>148695</v>
      </c>
      <c r="D414" s="92">
        <f t="shared" si="194"/>
        <v>172400</v>
      </c>
      <c r="E414" s="92">
        <f t="shared" si="194"/>
        <v>142230</v>
      </c>
      <c r="F414" s="92">
        <f t="shared" si="194"/>
        <v>280150</v>
      </c>
      <c r="G414" s="31">
        <f t="shared" si="194"/>
        <v>327560</v>
      </c>
      <c r="H414" s="31">
        <f t="shared" si="194"/>
        <v>338335</v>
      </c>
      <c r="I414" s="31">
        <f t="shared" si="194"/>
        <v>1512810</v>
      </c>
      <c r="J414" s="32">
        <f t="shared" si="189"/>
        <v>216115.71428571429</v>
      </c>
    </row>
    <row r="415" spans="1:10" x14ac:dyDescent="0.25">
      <c r="A415" s="218" t="s">
        <v>32</v>
      </c>
      <c r="B415" s="199">
        <f>B414+B413</f>
        <v>2059568.9655172415</v>
      </c>
      <c r="C415" s="199">
        <f>C414+C413</f>
        <v>2826120.6896551726</v>
      </c>
      <c r="D415" s="199">
        <f>D414+D413</f>
        <v>4463534.4827586208</v>
      </c>
      <c r="E415" s="199">
        <f>E414+E413</f>
        <v>3290344.8275862071</v>
      </c>
      <c r="F415" s="199">
        <f>F413+F414</f>
        <v>5561982.7586206896</v>
      </c>
      <c r="G415" s="199">
        <f>G414+G413</f>
        <v>7468275.862068966</v>
      </c>
      <c r="H415" s="199">
        <f>H414+H413</f>
        <v>7470603.4482758623</v>
      </c>
      <c r="I415" s="199">
        <f>I413+I414</f>
        <v>33140431.034482755</v>
      </c>
      <c r="J415" s="219">
        <f t="shared" si="189"/>
        <v>4734347.2906403933</v>
      </c>
    </row>
    <row r="416" spans="1:10" x14ac:dyDescent="0.25">
      <c r="A416" s="212" t="s">
        <v>33</v>
      </c>
      <c r="B416" s="94">
        <f>B415*16%</f>
        <v>329531.03448275867</v>
      </c>
      <c r="C416" s="94">
        <f t="shared" ref="C416:H416" si="195">C415*16%</f>
        <v>452179.31034482765</v>
      </c>
      <c r="D416" s="94">
        <f t="shared" si="195"/>
        <v>714165.51724137936</v>
      </c>
      <c r="E416" s="94">
        <f t="shared" si="195"/>
        <v>526455.17241379316</v>
      </c>
      <c r="F416" s="94">
        <f t="shared" si="195"/>
        <v>889917.24137931038</v>
      </c>
      <c r="G416" s="94">
        <f t="shared" si="195"/>
        <v>1194924.1379310347</v>
      </c>
      <c r="H416" s="94">
        <f t="shared" si="195"/>
        <v>1195296.551724138</v>
      </c>
      <c r="I416" s="94">
        <f>I415*16%</f>
        <v>5302468.9655172406</v>
      </c>
      <c r="J416" s="32">
        <f t="shared" si="189"/>
        <v>757495.56650246296</v>
      </c>
    </row>
    <row r="417" spans="1:12" x14ac:dyDescent="0.25">
      <c r="A417" s="220" t="s">
        <v>34</v>
      </c>
      <c r="B417" s="202">
        <f>B415+B416</f>
        <v>2389100</v>
      </c>
      <c r="C417" s="202">
        <f t="shared" ref="C417:H417" si="196">C415+C416</f>
        <v>3278300.0000000005</v>
      </c>
      <c r="D417" s="202">
        <f t="shared" si="196"/>
        <v>5177700</v>
      </c>
      <c r="E417" s="202">
        <f t="shared" si="196"/>
        <v>3816800</v>
      </c>
      <c r="F417" s="202">
        <f t="shared" si="196"/>
        <v>6451900</v>
      </c>
      <c r="G417" s="202">
        <f t="shared" si="196"/>
        <v>8663200</v>
      </c>
      <c r="H417" s="202">
        <f t="shared" si="196"/>
        <v>8665900</v>
      </c>
      <c r="I417" s="202">
        <f>I415+I416</f>
        <v>38442899.999999993</v>
      </c>
      <c r="J417" s="221">
        <f t="shared" si="189"/>
        <v>5491842.8571428563</v>
      </c>
    </row>
    <row r="419" spans="1:12" ht="26.25" x14ac:dyDescent="0.25">
      <c r="B419" s="1007" t="s">
        <v>154</v>
      </c>
      <c r="C419" s="1007"/>
      <c r="D419" s="1007"/>
      <c r="E419" s="1007"/>
      <c r="F419" s="1007"/>
      <c r="G419" s="1007"/>
      <c r="H419" s="1007"/>
    </row>
    <row r="420" spans="1:12" ht="15.75" x14ac:dyDescent="0.25">
      <c r="A420" s="207" t="s">
        <v>2</v>
      </c>
      <c r="B420" s="121" t="s">
        <v>81</v>
      </c>
      <c r="C420" s="121" t="s">
        <v>82</v>
      </c>
      <c r="D420" s="121" t="s">
        <v>83</v>
      </c>
      <c r="E420" s="121" t="s">
        <v>84</v>
      </c>
      <c r="F420" s="121" t="s">
        <v>85</v>
      </c>
      <c r="G420" s="121" t="s">
        <v>86</v>
      </c>
      <c r="H420" s="121" t="s">
        <v>87</v>
      </c>
      <c r="I420" s="121" t="s">
        <v>96</v>
      </c>
      <c r="J420" s="209" t="s">
        <v>97</v>
      </c>
    </row>
    <row r="421" spans="1:12" x14ac:dyDescent="0.25">
      <c r="A421" s="332" t="s">
        <v>11</v>
      </c>
      <c r="B421" s="75">
        <v>112</v>
      </c>
      <c r="C421" s="75">
        <v>141</v>
      </c>
      <c r="D421" s="75">
        <v>150</v>
      </c>
      <c r="E421" s="316">
        <v>191</v>
      </c>
      <c r="F421" s="316">
        <v>126</v>
      </c>
      <c r="G421" s="316">
        <v>268</v>
      </c>
      <c r="H421" s="316">
        <v>268</v>
      </c>
      <c r="I421" s="316">
        <f>SUM(B421:H421)</f>
        <v>1256</v>
      </c>
      <c r="J421" s="382">
        <f>+I421/9</f>
        <v>139.55555555555554</v>
      </c>
      <c r="L421">
        <v>124</v>
      </c>
    </row>
    <row r="422" spans="1:12" x14ac:dyDescent="0.25">
      <c r="A422" s="212" t="s">
        <v>12</v>
      </c>
      <c r="B422" s="11">
        <v>52</v>
      </c>
      <c r="C422" s="11">
        <v>68</v>
      </c>
      <c r="D422" s="11">
        <v>58</v>
      </c>
      <c r="E422" s="11">
        <v>73</v>
      </c>
      <c r="F422" s="11">
        <v>55</v>
      </c>
      <c r="G422" s="11">
        <v>146</v>
      </c>
      <c r="H422" s="11">
        <v>124</v>
      </c>
      <c r="I422" s="11">
        <f>SUM(CEDRITOS!$B422:$H422)</f>
        <v>576</v>
      </c>
      <c r="J422" s="60">
        <f t="shared" ref="J422:J427" si="197">I422/9</f>
        <v>64</v>
      </c>
      <c r="L422">
        <v>125</v>
      </c>
    </row>
    <row r="423" spans="1:12" x14ac:dyDescent="0.25">
      <c r="A423" s="212" t="s">
        <v>13</v>
      </c>
      <c r="B423" s="11">
        <v>0</v>
      </c>
      <c r="C423" s="11">
        <v>1</v>
      </c>
      <c r="D423" s="11">
        <v>6</v>
      </c>
      <c r="E423" s="11">
        <v>1</v>
      </c>
      <c r="F423" s="11">
        <v>2</v>
      </c>
      <c r="G423" s="11">
        <v>4</v>
      </c>
      <c r="H423" s="11">
        <v>4</v>
      </c>
      <c r="I423" s="11">
        <f>SUM(CEDRITOS!$B423:$H423)</f>
        <v>18</v>
      </c>
      <c r="J423" s="60">
        <f t="shared" si="197"/>
        <v>2</v>
      </c>
      <c r="L423">
        <v>19</v>
      </c>
    </row>
    <row r="424" spans="1:12" x14ac:dyDescent="0.25">
      <c r="A424" s="212" t="s">
        <v>14</v>
      </c>
      <c r="B424" s="11">
        <v>33</v>
      </c>
      <c r="C424" s="11">
        <v>36</v>
      </c>
      <c r="D424" s="11">
        <v>58</v>
      </c>
      <c r="E424" s="11">
        <v>45</v>
      </c>
      <c r="F424" s="11">
        <v>29</v>
      </c>
      <c r="G424" s="11">
        <v>42</v>
      </c>
      <c r="H424" s="11">
        <v>50</v>
      </c>
      <c r="I424" s="11">
        <f>SUM(CEDRITOS!$B424:$H424)</f>
        <v>293</v>
      </c>
      <c r="J424" s="60">
        <f t="shared" si="197"/>
        <v>32.555555555555557</v>
      </c>
      <c r="L424">
        <f>SUM(L421:L423)</f>
        <v>268</v>
      </c>
    </row>
    <row r="425" spans="1:12" x14ac:dyDescent="0.25">
      <c r="A425" s="212" t="s">
        <v>15</v>
      </c>
      <c r="B425" s="11">
        <v>17</v>
      </c>
      <c r="C425" s="11">
        <v>25</v>
      </c>
      <c r="D425" s="11">
        <v>8</v>
      </c>
      <c r="E425" s="11">
        <v>28</v>
      </c>
      <c r="F425" s="11">
        <v>12</v>
      </c>
      <c r="G425" s="11">
        <v>44</v>
      </c>
      <c r="H425" s="11">
        <v>34</v>
      </c>
      <c r="I425" s="11">
        <f>SUM(CEDRITOS!$B425:$H425)</f>
        <v>168</v>
      </c>
      <c r="J425" s="60">
        <f t="shared" si="197"/>
        <v>18.666666666666668</v>
      </c>
    </row>
    <row r="426" spans="1:12" x14ac:dyDescent="0.25">
      <c r="A426" s="212" t="s">
        <v>16</v>
      </c>
      <c r="B426" s="11">
        <v>0</v>
      </c>
      <c r="C426" s="11">
        <v>0</v>
      </c>
      <c r="D426" s="11">
        <v>0</v>
      </c>
      <c r="E426" s="11">
        <v>0</v>
      </c>
      <c r="F426" s="11">
        <v>0</v>
      </c>
      <c r="G426" s="86">
        <v>0</v>
      </c>
      <c r="H426" s="86">
        <v>0</v>
      </c>
      <c r="I426" s="11">
        <f>SUM(CEDRITOS!$B426:$H426)</f>
        <v>0</v>
      </c>
      <c r="J426" s="60">
        <f t="shared" si="197"/>
        <v>0</v>
      </c>
    </row>
    <row r="427" spans="1:12" x14ac:dyDescent="0.25">
      <c r="A427" s="213" t="s">
        <v>17</v>
      </c>
      <c r="B427" s="192">
        <f t="shared" ref="B427:I427" si="198">SUM(B422:B426)</f>
        <v>102</v>
      </c>
      <c r="C427" s="192">
        <f t="shared" si="198"/>
        <v>130</v>
      </c>
      <c r="D427" s="192">
        <f t="shared" si="198"/>
        <v>130</v>
      </c>
      <c r="E427" s="192">
        <f t="shared" si="198"/>
        <v>147</v>
      </c>
      <c r="F427" s="192">
        <f t="shared" si="198"/>
        <v>98</v>
      </c>
      <c r="G427" s="192">
        <f t="shared" si="198"/>
        <v>236</v>
      </c>
      <c r="H427" s="192">
        <f t="shared" si="198"/>
        <v>212</v>
      </c>
      <c r="I427" s="192">
        <f t="shared" si="198"/>
        <v>1055</v>
      </c>
      <c r="J427" s="214">
        <f t="shared" si="197"/>
        <v>117.22222222222223</v>
      </c>
    </row>
    <row r="428" spans="1:12" x14ac:dyDescent="0.25">
      <c r="A428" s="212" t="s">
        <v>18</v>
      </c>
      <c r="B428" s="30">
        <v>0.61</v>
      </c>
      <c r="C428" s="30">
        <v>0.62</v>
      </c>
      <c r="D428" s="30">
        <v>0.5</v>
      </c>
      <c r="E428" s="30">
        <v>0.53</v>
      </c>
      <c r="F428" s="30">
        <v>0.57999999999999996</v>
      </c>
      <c r="G428" s="30">
        <v>0.65</v>
      </c>
      <c r="H428" s="30">
        <v>0.61</v>
      </c>
      <c r="I428" s="30">
        <f>I435/I440</f>
        <v>0.59338649508285979</v>
      </c>
      <c r="J428" s="160">
        <f>J435/J440</f>
        <v>0.59338649508285979</v>
      </c>
    </row>
    <row r="429" spans="1:12" x14ac:dyDescent="0.25">
      <c r="A429" s="212" t="s">
        <v>19</v>
      </c>
      <c r="B429" s="30">
        <v>0.01</v>
      </c>
      <c r="C429" s="30">
        <v>0</v>
      </c>
      <c r="D429" s="30">
        <v>0.06</v>
      </c>
      <c r="E429" s="30">
        <v>0.01</v>
      </c>
      <c r="F429" s="30">
        <v>0.04</v>
      </c>
      <c r="G429" s="30">
        <v>0.02</v>
      </c>
      <c r="H429" s="30">
        <v>0.02</v>
      </c>
      <c r="I429" s="30">
        <f>I436/I440</f>
        <v>2.1788890681936814E-2</v>
      </c>
      <c r="J429" s="160">
        <f>J436/J440</f>
        <v>2.1788890681936814E-2</v>
      </c>
    </row>
    <row r="430" spans="1:12" x14ac:dyDescent="0.25">
      <c r="A430" s="212" t="s">
        <v>20</v>
      </c>
      <c r="B430" s="30">
        <v>0.23</v>
      </c>
      <c r="C430" s="30">
        <v>0.22</v>
      </c>
      <c r="D430" s="30">
        <v>0.39</v>
      </c>
      <c r="E430" s="30">
        <v>0.28000000000000003</v>
      </c>
      <c r="F430" s="30">
        <v>0.23</v>
      </c>
      <c r="G430" s="30">
        <v>0.16</v>
      </c>
      <c r="H430" s="30">
        <v>0.25</v>
      </c>
      <c r="I430" s="30">
        <f>I437/I440</f>
        <v>0.24254371674986822</v>
      </c>
      <c r="J430" s="160">
        <f>J437/J440</f>
        <v>0.24254371674986822</v>
      </c>
    </row>
    <row r="431" spans="1:12" x14ac:dyDescent="0.25">
      <c r="A431" s="212" t="s">
        <v>21</v>
      </c>
      <c r="B431" s="30">
        <v>0.15</v>
      </c>
      <c r="C431" s="30">
        <v>0.16</v>
      </c>
      <c r="D431" s="30">
        <v>0.05</v>
      </c>
      <c r="E431" s="30">
        <v>0.18</v>
      </c>
      <c r="F431" s="30">
        <v>0.15</v>
      </c>
      <c r="G431" s="30">
        <v>0.17</v>
      </c>
      <c r="H431" s="30">
        <v>0.12</v>
      </c>
      <c r="I431" s="30">
        <f>I438/I440</f>
        <v>0.14228089748533512</v>
      </c>
      <c r="J431" s="160">
        <f>J438/J440</f>
        <v>0.14228089748533512</v>
      </c>
    </row>
    <row r="432" spans="1:12" x14ac:dyDescent="0.25">
      <c r="A432" s="212" t="s">
        <v>22</v>
      </c>
      <c r="B432" s="30">
        <v>0</v>
      </c>
      <c r="C432" s="30">
        <v>0</v>
      </c>
      <c r="D432" s="30">
        <v>0</v>
      </c>
      <c r="E432" s="30">
        <v>0</v>
      </c>
      <c r="F432" s="30">
        <v>0</v>
      </c>
      <c r="G432" s="30">
        <v>0</v>
      </c>
      <c r="H432" s="30">
        <v>0</v>
      </c>
      <c r="I432" s="30">
        <f>I439/I440</f>
        <v>0</v>
      </c>
      <c r="J432" s="160">
        <f>J439/J440</f>
        <v>0</v>
      </c>
    </row>
    <row r="433" spans="1:10" x14ac:dyDescent="0.25">
      <c r="A433" s="215" t="s">
        <v>23</v>
      </c>
      <c r="B433" s="66">
        <f t="shared" ref="B433:J433" si="199">B444/B427</f>
        <v>36518.627450980399</v>
      </c>
      <c r="C433" s="66">
        <f t="shared" si="199"/>
        <v>34192.307692307695</v>
      </c>
      <c r="D433" s="66">
        <f t="shared" si="199"/>
        <v>32690.76923076923</v>
      </c>
      <c r="E433" s="66">
        <f t="shared" si="199"/>
        <v>36437.414965986398</v>
      </c>
      <c r="F433" s="66">
        <f t="shared" si="199"/>
        <v>39546.938775510207</v>
      </c>
      <c r="G433" s="66">
        <f t="shared" si="199"/>
        <v>35873.305084745763</v>
      </c>
      <c r="H433" s="66">
        <f t="shared" si="199"/>
        <v>38143.396226415098</v>
      </c>
      <c r="I433" s="66">
        <f t="shared" si="199"/>
        <v>36212.417061611384</v>
      </c>
      <c r="J433" s="67">
        <f t="shared" si="199"/>
        <v>46558.82193635749</v>
      </c>
    </row>
    <row r="434" spans="1:10" x14ac:dyDescent="0.25">
      <c r="A434" s="215" t="s">
        <v>24</v>
      </c>
      <c r="B434" s="66">
        <f t="shared" ref="B434:I434" si="200">+B444/B421</f>
        <v>33258.035714285717</v>
      </c>
      <c r="C434" s="66">
        <f t="shared" si="200"/>
        <v>31524.822695035462</v>
      </c>
      <c r="D434" s="66">
        <f t="shared" si="200"/>
        <v>28332</v>
      </c>
      <c r="E434" s="66">
        <f t="shared" si="200"/>
        <v>28043.455497382198</v>
      </c>
      <c r="F434" s="66">
        <f t="shared" si="200"/>
        <v>30758.730158730159</v>
      </c>
      <c r="G434" s="66">
        <f t="shared" si="200"/>
        <v>31589.925373134327</v>
      </c>
      <c r="H434" s="66">
        <f t="shared" si="200"/>
        <v>30173.13432835821</v>
      </c>
      <c r="I434" s="66">
        <f t="shared" si="200"/>
        <v>30417.277070063701</v>
      </c>
      <c r="J434" s="67">
        <f>J444/J421</f>
        <v>39107.927661510475</v>
      </c>
    </row>
    <row r="435" spans="1:10" x14ac:dyDescent="0.25">
      <c r="A435" s="212" t="s">
        <v>25</v>
      </c>
      <c r="B435" s="92">
        <f t="shared" ref="B435:H435" si="201">B440*B428</f>
        <v>1890427.0206896553</v>
      </c>
      <c r="C435" s="92">
        <f t="shared" si="201"/>
        <v>2284921.0620689658</v>
      </c>
      <c r="D435" s="92">
        <f t="shared" si="201"/>
        <v>1769315.3448275863</v>
      </c>
      <c r="E435" s="92">
        <f t="shared" si="201"/>
        <v>2363898.0500000003</v>
      </c>
      <c r="F435" s="92">
        <f t="shared" si="201"/>
        <v>1869055.5</v>
      </c>
      <c r="G435" s="31">
        <f t="shared" si="201"/>
        <v>4539425.8448275868</v>
      </c>
      <c r="H435" s="31">
        <f t="shared" si="201"/>
        <v>4089326.8344827588</v>
      </c>
      <c r="I435" s="31">
        <f>SUM(B435:H435)</f>
        <v>18806369.656896554</v>
      </c>
      <c r="J435" s="32">
        <f t="shared" ref="J435:J444" si="202">I435/7</f>
        <v>2686624.2366995076</v>
      </c>
    </row>
    <row r="436" spans="1:10" x14ac:dyDescent="0.25">
      <c r="A436" s="212" t="s">
        <v>26</v>
      </c>
      <c r="B436" s="92">
        <f t="shared" ref="B436:H436" si="203">B440*B429</f>
        <v>30990.606896551726</v>
      </c>
      <c r="C436" s="92">
        <f t="shared" si="203"/>
        <v>0</v>
      </c>
      <c r="D436" s="92">
        <f t="shared" si="203"/>
        <v>212317.84137931035</v>
      </c>
      <c r="E436" s="92">
        <f t="shared" si="203"/>
        <v>44601.85</v>
      </c>
      <c r="F436" s="92">
        <f t="shared" si="203"/>
        <v>128900.37931034483</v>
      </c>
      <c r="G436" s="31">
        <f t="shared" si="203"/>
        <v>139674.64137931037</v>
      </c>
      <c r="H436" s="31">
        <f t="shared" si="203"/>
        <v>134076.28965517241</v>
      </c>
      <c r="I436" s="31">
        <f>SUM(B436:H436)</f>
        <v>690561.6086206896</v>
      </c>
      <c r="J436" s="32">
        <f t="shared" si="202"/>
        <v>98651.658374384235</v>
      </c>
    </row>
    <row r="437" spans="1:10" x14ac:dyDescent="0.25">
      <c r="A437" s="212" t="s">
        <v>27</v>
      </c>
      <c r="B437" s="92">
        <f t="shared" ref="B437:H437" si="204">B440*B430</f>
        <v>712783.95862068969</v>
      </c>
      <c r="C437" s="92">
        <f t="shared" si="204"/>
        <v>810778.44137931045</v>
      </c>
      <c r="D437" s="92">
        <f t="shared" si="204"/>
        <v>1380065.9689655174</v>
      </c>
      <c r="E437" s="92">
        <f t="shared" si="204"/>
        <v>1248851.8</v>
      </c>
      <c r="F437" s="92">
        <f t="shared" si="204"/>
        <v>741177.18103448278</v>
      </c>
      <c r="G437" s="31">
        <f t="shared" si="204"/>
        <v>1117397.131034483</v>
      </c>
      <c r="H437" s="31">
        <f t="shared" si="204"/>
        <v>1675953.6206896552</v>
      </c>
      <c r="I437" s="31">
        <f>SUM(B437:H437)</f>
        <v>7687008.1017241385</v>
      </c>
      <c r="J437" s="32">
        <f t="shared" si="202"/>
        <v>1098144.0145320198</v>
      </c>
    </row>
    <row r="438" spans="1:10" x14ac:dyDescent="0.25">
      <c r="A438" s="212" t="s">
        <v>28</v>
      </c>
      <c r="B438" s="92">
        <f t="shared" ref="B438:H438" si="205">B440*B431</f>
        <v>464859.10344827588</v>
      </c>
      <c r="C438" s="92">
        <f t="shared" si="205"/>
        <v>589657.04827586212</v>
      </c>
      <c r="D438" s="92">
        <f t="shared" si="205"/>
        <v>176931.53448275864</v>
      </c>
      <c r="E438" s="92">
        <f t="shared" si="205"/>
        <v>802833.29999999993</v>
      </c>
      <c r="F438" s="92">
        <f t="shared" si="205"/>
        <v>483376.4224137931</v>
      </c>
      <c r="G438" s="31">
        <f t="shared" si="205"/>
        <v>1187234.4517241381</v>
      </c>
      <c r="H438" s="31">
        <f t="shared" si="205"/>
        <v>804457.73793103441</v>
      </c>
      <c r="I438" s="31">
        <f>SUM(B438:H438)</f>
        <v>4509349.5982758617</v>
      </c>
      <c r="J438" s="32">
        <f t="shared" si="202"/>
        <v>644192.79975369456</v>
      </c>
    </row>
    <row r="439" spans="1:10" x14ac:dyDescent="0.25">
      <c r="A439" s="212" t="s">
        <v>29</v>
      </c>
      <c r="B439" s="92">
        <f t="shared" ref="B439:H439" si="206">B440*B432</f>
        <v>0</v>
      </c>
      <c r="C439" s="92">
        <f t="shared" si="206"/>
        <v>0</v>
      </c>
      <c r="D439" s="92">
        <f t="shared" si="206"/>
        <v>0</v>
      </c>
      <c r="E439" s="92">
        <f t="shared" si="206"/>
        <v>0</v>
      </c>
      <c r="F439" s="92">
        <f t="shared" si="206"/>
        <v>0</v>
      </c>
      <c r="G439" s="31">
        <f t="shared" si="206"/>
        <v>0</v>
      </c>
      <c r="H439" s="31">
        <f t="shared" si="206"/>
        <v>0</v>
      </c>
      <c r="I439" s="31">
        <f>SUM(B439:H439)</f>
        <v>0</v>
      </c>
      <c r="J439" s="32">
        <f t="shared" si="202"/>
        <v>0</v>
      </c>
    </row>
    <row r="440" spans="1:10" x14ac:dyDescent="0.25">
      <c r="A440" s="216" t="s">
        <v>30</v>
      </c>
      <c r="B440" s="91">
        <f>(3724900/1.16)-B441</f>
        <v>3099060.6896551726</v>
      </c>
      <c r="C440" s="91">
        <f>(4445000/1.16)-C441</f>
        <v>3685356.5517241382</v>
      </c>
      <c r="D440" s="91">
        <f>(4249800/1.16)-D441</f>
        <v>3538630.6896551726</v>
      </c>
      <c r="E440" s="91">
        <f>(5356300/1.16)-E441</f>
        <v>4460185</v>
      </c>
      <c r="F440" s="91">
        <f>(3875600/1.16)-F441</f>
        <v>3222509.4827586208</v>
      </c>
      <c r="G440" s="197">
        <f>(8466100/1.16)-G441</f>
        <v>6983732.0689655179</v>
      </c>
      <c r="H440" s="197">
        <f>(8086400/1.16)-H441</f>
        <v>6703814.4827586208</v>
      </c>
      <c r="I440" s="197">
        <f>SUM(I435:I439)</f>
        <v>31693288.965517245</v>
      </c>
      <c r="J440" s="217">
        <f t="shared" si="202"/>
        <v>4527612.7093596067</v>
      </c>
    </row>
    <row r="441" spans="1:10" x14ac:dyDescent="0.25">
      <c r="A441" s="212" t="s">
        <v>31</v>
      </c>
      <c r="B441" s="92">
        <f t="shared" ref="B441:I441" si="207">2155*B422</f>
        <v>112060</v>
      </c>
      <c r="C441" s="92">
        <f t="shared" si="207"/>
        <v>146540</v>
      </c>
      <c r="D441" s="92">
        <f t="shared" si="207"/>
        <v>124990</v>
      </c>
      <c r="E441" s="92">
        <f t="shared" si="207"/>
        <v>157315</v>
      </c>
      <c r="F441" s="92">
        <f t="shared" si="207"/>
        <v>118525</v>
      </c>
      <c r="G441" s="31">
        <f t="shared" si="207"/>
        <v>314630</v>
      </c>
      <c r="H441" s="31">
        <f t="shared" si="207"/>
        <v>267220</v>
      </c>
      <c r="I441" s="31">
        <f t="shared" si="207"/>
        <v>1241280</v>
      </c>
      <c r="J441" s="32">
        <f t="shared" si="202"/>
        <v>177325.71428571429</v>
      </c>
    </row>
    <row r="442" spans="1:10" x14ac:dyDescent="0.25">
      <c r="A442" s="218" t="s">
        <v>32</v>
      </c>
      <c r="B442" s="199">
        <f>B441+B440</f>
        <v>3211120.6896551726</v>
      </c>
      <c r="C442" s="199">
        <f>C441+C440</f>
        <v>3831896.5517241382</v>
      </c>
      <c r="D442" s="199">
        <f>D441+D440</f>
        <v>3663620.6896551726</v>
      </c>
      <c r="E442" s="199">
        <f>E441+E440</f>
        <v>4617500</v>
      </c>
      <c r="F442" s="199">
        <f>F440+F441</f>
        <v>3341034.4827586208</v>
      </c>
      <c r="G442" s="199">
        <f>G441+G440</f>
        <v>7298362.0689655179</v>
      </c>
      <c r="H442" s="199">
        <f>H441+H440</f>
        <v>6971034.4827586208</v>
      </c>
      <c r="I442" s="199">
        <f>I440+I441</f>
        <v>32934568.965517245</v>
      </c>
      <c r="J442" s="219">
        <f t="shared" si="202"/>
        <v>4704938.4236453203</v>
      </c>
    </row>
    <row r="443" spans="1:10" x14ac:dyDescent="0.25">
      <c r="A443" s="212" t="s">
        <v>33</v>
      </c>
      <c r="B443" s="94">
        <f>B442*16%</f>
        <v>513779.31034482765</v>
      </c>
      <c r="C443" s="94">
        <f t="shared" ref="C443:H443" si="208">C442*16%</f>
        <v>613103.44827586215</v>
      </c>
      <c r="D443" s="94">
        <f t="shared" si="208"/>
        <v>586179.31034482759</v>
      </c>
      <c r="E443" s="94">
        <f t="shared" si="208"/>
        <v>738800</v>
      </c>
      <c r="F443" s="94">
        <f t="shared" si="208"/>
        <v>534565.51724137936</v>
      </c>
      <c r="G443" s="94">
        <f t="shared" si="208"/>
        <v>1167737.9310344828</v>
      </c>
      <c r="H443" s="94">
        <f t="shared" si="208"/>
        <v>1115365.5172413792</v>
      </c>
      <c r="I443" s="94">
        <f>I442*16%</f>
        <v>5269531.0344827594</v>
      </c>
      <c r="J443" s="32">
        <f t="shared" si="202"/>
        <v>752790.14778325136</v>
      </c>
    </row>
    <row r="444" spans="1:10" x14ac:dyDescent="0.25">
      <c r="A444" s="220" t="s">
        <v>34</v>
      </c>
      <c r="B444" s="202">
        <f>B442+B443</f>
        <v>3724900.0000000005</v>
      </c>
      <c r="C444" s="202">
        <f t="shared" ref="C444:H444" si="209">C442+C443</f>
        <v>4445000</v>
      </c>
      <c r="D444" s="202">
        <f t="shared" si="209"/>
        <v>4249800</v>
      </c>
      <c r="E444" s="202">
        <f t="shared" si="209"/>
        <v>5356300</v>
      </c>
      <c r="F444" s="202">
        <f t="shared" si="209"/>
        <v>3875600</v>
      </c>
      <c r="G444" s="202">
        <f t="shared" si="209"/>
        <v>8466100</v>
      </c>
      <c r="H444" s="202">
        <f t="shared" si="209"/>
        <v>8086400</v>
      </c>
      <c r="I444" s="202">
        <f>I442+I443</f>
        <v>38204100.000000007</v>
      </c>
      <c r="J444" s="221">
        <f t="shared" si="202"/>
        <v>5457728.5714285728</v>
      </c>
    </row>
    <row r="446" spans="1:10" ht="26.25" x14ac:dyDescent="0.25">
      <c r="B446" s="1007" t="s">
        <v>162</v>
      </c>
      <c r="C446" s="1007"/>
      <c r="D446" s="1007"/>
      <c r="E446" s="1007"/>
      <c r="F446" s="1007"/>
      <c r="G446" s="1007"/>
      <c r="H446" s="1007"/>
    </row>
    <row r="447" spans="1:10" ht="15.75" x14ac:dyDescent="0.25">
      <c r="A447" s="207" t="s">
        <v>2</v>
      </c>
      <c r="B447" s="121" t="s">
        <v>89</v>
      </c>
      <c r="C447" s="121" t="s">
        <v>90</v>
      </c>
      <c r="D447" s="121" t="s">
        <v>172</v>
      </c>
      <c r="E447" s="121" t="s">
        <v>92</v>
      </c>
      <c r="F447" s="121" t="s">
        <v>173</v>
      </c>
      <c r="G447" s="121" t="s">
        <v>174</v>
      </c>
      <c r="H447" s="121" t="s">
        <v>175</v>
      </c>
      <c r="I447" s="121" t="s">
        <v>96</v>
      </c>
      <c r="J447" s="209" t="s">
        <v>97</v>
      </c>
    </row>
    <row r="448" spans="1:10" x14ac:dyDescent="0.25">
      <c r="A448" s="332" t="s">
        <v>11</v>
      </c>
      <c r="B448" s="75">
        <v>180</v>
      </c>
      <c r="C448" s="75">
        <v>144</v>
      </c>
      <c r="D448" s="75">
        <v>181</v>
      </c>
      <c r="E448" s="316">
        <v>149</v>
      </c>
      <c r="F448" s="316">
        <v>66</v>
      </c>
      <c r="G448" s="316">
        <v>187</v>
      </c>
      <c r="H448" s="316">
        <v>196</v>
      </c>
      <c r="I448" s="316">
        <f>SUM(B448:H448)</f>
        <v>1103</v>
      </c>
      <c r="J448" s="382">
        <f>+I448/9</f>
        <v>122.55555555555556</v>
      </c>
    </row>
    <row r="449" spans="1:10" x14ac:dyDescent="0.25">
      <c r="A449" s="212" t="s">
        <v>12</v>
      </c>
      <c r="B449" s="11">
        <v>79</v>
      </c>
      <c r="C449" s="11">
        <v>67</v>
      </c>
      <c r="D449" s="11">
        <v>75</v>
      </c>
      <c r="E449" s="11">
        <v>70</v>
      </c>
      <c r="F449" s="11">
        <v>23</v>
      </c>
      <c r="G449" s="11">
        <v>90</v>
      </c>
      <c r="H449" s="11">
        <v>90</v>
      </c>
      <c r="I449" s="11">
        <f>SUM(CEDRITOS!$B449:$H449)</f>
        <v>494</v>
      </c>
      <c r="J449" s="60">
        <f t="shared" ref="J449:J454" si="210">I449/9</f>
        <v>54.888888888888886</v>
      </c>
    </row>
    <row r="450" spans="1:10" x14ac:dyDescent="0.25">
      <c r="A450" s="212" t="s">
        <v>13</v>
      </c>
      <c r="B450" s="11">
        <v>2</v>
      </c>
      <c r="C450" s="11">
        <v>2</v>
      </c>
      <c r="D450" s="11">
        <v>1</v>
      </c>
      <c r="E450" s="11">
        <v>2</v>
      </c>
      <c r="F450" s="11">
        <v>0</v>
      </c>
      <c r="G450" s="11">
        <v>4</v>
      </c>
      <c r="H450" s="11">
        <v>3</v>
      </c>
      <c r="I450" s="11">
        <f>SUM(CEDRITOS!$B450:$H450)</f>
        <v>14</v>
      </c>
      <c r="J450" s="60">
        <f t="shared" si="210"/>
        <v>1.5555555555555556</v>
      </c>
    </row>
    <row r="451" spans="1:10" x14ac:dyDescent="0.25">
      <c r="A451" s="212" t="s">
        <v>14</v>
      </c>
      <c r="B451" s="11">
        <v>46</v>
      </c>
      <c r="C451" s="11">
        <v>31</v>
      </c>
      <c r="D451" s="11">
        <v>50</v>
      </c>
      <c r="E451" s="11">
        <v>41</v>
      </c>
      <c r="F451" s="11">
        <v>19</v>
      </c>
      <c r="G451" s="11">
        <v>38</v>
      </c>
      <c r="H451" s="11">
        <v>35</v>
      </c>
      <c r="I451" s="11">
        <f>SUM(CEDRITOS!$B451:$H451)</f>
        <v>260</v>
      </c>
      <c r="J451" s="60">
        <f t="shared" si="210"/>
        <v>28.888888888888889</v>
      </c>
    </row>
    <row r="452" spans="1:10" x14ac:dyDescent="0.25">
      <c r="A452" s="212" t="s">
        <v>15</v>
      </c>
      <c r="B452" s="11">
        <v>21</v>
      </c>
      <c r="C452" s="11">
        <v>29</v>
      </c>
      <c r="D452" s="11">
        <v>25</v>
      </c>
      <c r="E452" s="11">
        <v>15</v>
      </c>
      <c r="F452" s="11">
        <v>16</v>
      </c>
      <c r="G452" s="11">
        <v>24</v>
      </c>
      <c r="H452" s="11">
        <v>36</v>
      </c>
      <c r="I452" s="11">
        <f>SUM(CEDRITOS!$B452:$H452)</f>
        <v>166</v>
      </c>
      <c r="J452" s="60">
        <f t="shared" si="210"/>
        <v>18.444444444444443</v>
      </c>
    </row>
    <row r="453" spans="1:10" x14ac:dyDescent="0.25">
      <c r="A453" s="212" t="s">
        <v>16</v>
      </c>
      <c r="B453" s="11">
        <v>1</v>
      </c>
      <c r="C453" s="11">
        <v>1</v>
      </c>
      <c r="D453" s="11">
        <v>2</v>
      </c>
      <c r="E453" s="11">
        <v>0</v>
      </c>
      <c r="F453" s="11">
        <v>0</v>
      </c>
      <c r="G453" s="86">
        <v>0</v>
      </c>
      <c r="H453" s="86">
        <v>0</v>
      </c>
      <c r="I453" s="11">
        <f>SUM(CEDRITOS!$B453:$H453)</f>
        <v>4</v>
      </c>
      <c r="J453" s="60">
        <f t="shared" si="210"/>
        <v>0.44444444444444442</v>
      </c>
    </row>
    <row r="454" spans="1:10" x14ac:dyDescent="0.25">
      <c r="A454" s="213" t="s">
        <v>17</v>
      </c>
      <c r="B454" s="192">
        <f t="shared" ref="B454:I454" si="211">SUM(B449:B453)</f>
        <v>149</v>
      </c>
      <c r="C454" s="192">
        <f t="shared" si="211"/>
        <v>130</v>
      </c>
      <c r="D454" s="192">
        <f t="shared" si="211"/>
        <v>153</v>
      </c>
      <c r="E454" s="192">
        <f t="shared" si="211"/>
        <v>128</v>
      </c>
      <c r="F454" s="192">
        <f t="shared" si="211"/>
        <v>58</v>
      </c>
      <c r="G454" s="192">
        <f t="shared" si="211"/>
        <v>156</v>
      </c>
      <c r="H454" s="192">
        <f t="shared" si="211"/>
        <v>164</v>
      </c>
      <c r="I454" s="192">
        <f t="shared" si="211"/>
        <v>938</v>
      </c>
      <c r="J454" s="214">
        <f t="shared" si="210"/>
        <v>104.22222222222223</v>
      </c>
    </row>
    <row r="455" spans="1:10" x14ac:dyDescent="0.25">
      <c r="A455" s="212" t="s">
        <v>18</v>
      </c>
      <c r="B455" s="30">
        <v>0.61</v>
      </c>
      <c r="C455" s="30">
        <v>0.6</v>
      </c>
      <c r="D455" s="30">
        <v>0.52</v>
      </c>
      <c r="E455" s="30">
        <v>0.57999999999999996</v>
      </c>
      <c r="F455" s="30">
        <v>0.41</v>
      </c>
      <c r="G455" s="30">
        <v>0.57999999999999996</v>
      </c>
      <c r="H455" s="30">
        <v>0.55000000000000004</v>
      </c>
      <c r="I455" s="30">
        <f>I462/I467</f>
        <v>0.56106357882825586</v>
      </c>
      <c r="J455" s="160">
        <f>J462/J467</f>
        <v>0.56106357882825586</v>
      </c>
    </row>
    <row r="456" spans="1:10" x14ac:dyDescent="0.25">
      <c r="A456" s="212" t="s">
        <v>19</v>
      </c>
      <c r="B456" s="30">
        <v>0.01</v>
      </c>
      <c r="C456" s="30">
        <v>0.01</v>
      </c>
      <c r="D456" s="30">
        <v>0</v>
      </c>
      <c r="E456" s="30">
        <v>0.02</v>
      </c>
      <c r="F456" s="30">
        <v>0</v>
      </c>
      <c r="G456" s="30">
        <v>0.02</v>
      </c>
      <c r="H456" s="30">
        <v>0.01</v>
      </c>
      <c r="I456" s="30">
        <f>I463/I467</f>
        <v>1.0748209424445732E-2</v>
      </c>
      <c r="J456" s="160">
        <f>J463/J467</f>
        <v>1.0748209424445732E-2</v>
      </c>
    </row>
    <row r="457" spans="1:10" x14ac:dyDescent="0.25">
      <c r="A457" s="212" t="s">
        <v>20</v>
      </c>
      <c r="B457" s="30">
        <v>0.23</v>
      </c>
      <c r="C457" s="30">
        <v>0.21</v>
      </c>
      <c r="D457" s="30">
        <v>0.28999999999999998</v>
      </c>
      <c r="E457" s="30">
        <v>0.28000000000000003</v>
      </c>
      <c r="F457" s="30">
        <v>0.37</v>
      </c>
      <c r="G457" s="30">
        <v>0.26</v>
      </c>
      <c r="H457" s="30">
        <v>0.2</v>
      </c>
      <c r="I457" s="30">
        <f>I464/I467</f>
        <v>0.25322897900756919</v>
      </c>
      <c r="J457" s="160">
        <f>J464/J467</f>
        <v>0.25322897900756919</v>
      </c>
    </row>
    <row r="458" spans="1:10" x14ac:dyDescent="0.25">
      <c r="A458" s="212" t="s">
        <v>21</v>
      </c>
      <c r="B458" s="30">
        <v>0.15</v>
      </c>
      <c r="C458" s="30">
        <v>0.17</v>
      </c>
      <c r="D458" s="30">
        <v>0.17</v>
      </c>
      <c r="E458" s="30">
        <v>0.12</v>
      </c>
      <c r="F458" s="30">
        <v>0.22</v>
      </c>
      <c r="G458" s="30">
        <v>0.14000000000000001</v>
      </c>
      <c r="H458" s="30">
        <v>0.24</v>
      </c>
      <c r="I458" s="30">
        <f>I465/I467</f>
        <v>0.17025717011974206</v>
      </c>
      <c r="J458" s="160">
        <f>J465/J467</f>
        <v>0.17025717011974206</v>
      </c>
    </row>
    <row r="459" spans="1:10" x14ac:dyDescent="0.25">
      <c r="A459" s="212" t="s">
        <v>22</v>
      </c>
      <c r="B459" s="30">
        <v>0</v>
      </c>
      <c r="C459" s="30">
        <v>0.01</v>
      </c>
      <c r="D459" s="30">
        <v>0.02</v>
      </c>
      <c r="E459" s="30">
        <v>0</v>
      </c>
      <c r="F459" s="30">
        <v>0</v>
      </c>
      <c r="G459" s="30">
        <v>0</v>
      </c>
      <c r="H459" s="30">
        <v>0</v>
      </c>
      <c r="I459" s="30">
        <f>I466/I467</f>
        <v>4.7020626199872325E-3</v>
      </c>
      <c r="J459" s="160">
        <f>J466/J467</f>
        <v>4.7020626199872325E-3</v>
      </c>
    </row>
    <row r="460" spans="1:10" x14ac:dyDescent="0.25">
      <c r="A460" s="215" t="s">
        <v>23</v>
      </c>
      <c r="B460" s="66">
        <f t="shared" ref="B460:J460" si="212">B471/B454</f>
        <v>35536.241610738252</v>
      </c>
      <c r="C460" s="66">
        <f t="shared" si="212"/>
        <v>34910</v>
      </c>
      <c r="D460" s="66">
        <f t="shared" si="212"/>
        <v>37831.372549019616</v>
      </c>
      <c r="E460" s="66">
        <f t="shared" si="212"/>
        <v>37171.09375</v>
      </c>
      <c r="F460" s="66">
        <f t="shared" si="212"/>
        <v>37405.172413793101</v>
      </c>
      <c r="G460" s="66">
        <f t="shared" si="212"/>
        <v>37389.102564102563</v>
      </c>
      <c r="H460" s="66">
        <f t="shared" si="212"/>
        <v>36410.365853658535</v>
      </c>
      <c r="I460" s="66">
        <f t="shared" si="212"/>
        <v>36623.454157782515</v>
      </c>
      <c r="J460" s="67">
        <f t="shared" si="212"/>
        <v>47087.298202863232</v>
      </c>
    </row>
    <row r="461" spans="1:10" x14ac:dyDescent="0.25">
      <c r="A461" s="215" t="s">
        <v>24</v>
      </c>
      <c r="B461" s="66">
        <f t="shared" ref="B461:I461" si="213">+B471/B448</f>
        <v>29416.111111111109</v>
      </c>
      <c r="C461" s="66">
        <f t="shared" si="213"/>
        <v>31515.972222222223</v>
      </c>
      <c r="D461" s="66">
        <f t="shared" si="213"/>
        <v>31979.005524861885</v>
      </c>
      <c r="E461" s="66">
        <f t="shared" si="213"/>
        <v>31932.214765100671</v>
      </c>
      <c r="F461" s="66">
        <f t="shared" si="213"/>
        <v>32871.21212121212</v>
      </c>
      <c r="G461" s="66">
        <f t="shared" si="213"/>
        <v>31190.909090909092</v>
      </c>
      <c r="H461" s="66">
        <f t="shared" si="213"/>
        <v>30465.816326530614</v>
      </c>
      <c r="I461" s="66">
        <f t="shared" si="213"/>
        <v>31144.877606527651</v>
      </c>
      <c r="J461" s="67">
        <f>J471/J448</f>
        <v>40043.414065535551</v>
      </c>
    </row>
    <row r="462" spans="1:10" x14ac:dyDescent="0.25">
      <c r="A462" s="212" t="s">
        <v>25</v>
      </c>
      <c r="B462" s="92">
        <f t="shared" ref="B462:H462" si="214">B467*B455</f>
        <v>2680537.6189655173</v>
      </c>
      <c r="C462" s="92">
        <f t="shared" si="214"/>
        <v>2260765.5517241377</v>
      </c>
      <c r="D462" s="92">
        <f t="shared" si="214"/>
        <v>2510665.3448275868</v>
      </c>
      <c r="E462" s="92">
        <f t="shared" si="214"/>
        <v>2291457</v>
      </c>
      <c r="F462" s="92">
        <f t="shared" si="214"/>
        <v>746484.38448275859</v>
      </c>
      <c r="G462" s="31">
        <f t="shared" si="214"/>
        <v>2803859</v>
      </c>
      <c r="H462" s="31">
        <f t="shared" si="214"/>
        <v>2724547.3275862071</v>
      </c>
      <c r="I462" s="31">
        <f>SUM(B462:H462)</f>
        <v>16018316.227586208</v>
      </c>
      <c r="J462" s="32">
        <f t="shared" ref="J462:J471" si="215">I462/7</f>
        <v>2288330.8896551724</v>
      </c>
    </row>
    <row r="463" spans="1:10" x14ac:dyDescent="0.25">
      <c r="A463" s="212" t="s">
        <v>26</v>
      </c>
      <c r="B463" s="92">
        <f t="shared" ref="B463:H463" si="216">B467*B456</f>
        <v>43943.239655172416</v>
      </c>
      <c r="C463" s="92">
        <f t="shared" si="216"/>
        <v>37679.425862068965</v>
      </c>
      <c r="D463" s="92">
        <f t="shared" si="216"/>
        <v>0</v>
      </c>
      <c r="E463" s="92">
        <f t="shared" si="216"/>
        <v>79015.758620689667</v>
      </c>
      <c r="F463" s="92">
        <f t="shared" si="216"/>
        <v>0</v>
      </c>
      <c r="G463" s="31">
        <f t="shared" si="216"/>
        <v>96684.79310344829</v>
      </c>
      <c r="H463" s="31">
        <f t="shared" si="216"/>
        <v>49537.224137931036</v>
      </c>
      <c r="I463" s="31">
        <f>SUM(B463:H463)</f>
        <v>306860.44137931033</v>
      </c>
      <c r="J463" s="32">
        <f t="shared" si="215"/>
        <v>43837.205911330049</v>
      </c>
    </row>
    <row r="464" spans="1:10" x14ac:dyDescent="0.25">
      <c r="A464" s="212" t="s">
        <v>27</v>
      </c>
      <c r="B464" s="92">
        <f t="shared" ref="B464:H464" si="217">B467*B457</f>
        <v>1010694.5120689656</v>
      </c>
      <c r="C464" s="92">
        <f t="shared" si="217"/>
        <v>791267.94310344825</v>
      </c>
      <c r="D464" s="92">
        <f t="shared" si="217"/>
        <v>1400178.75</v>
      </c>
      <c r="E464" s="92">
        <f t="shared" si="217"/>
        <v>1106220.6206896554</v>
      </c>
      <c r="F464" s="92">
        <f t="shared" si="217"/>
        <v>673656.63965517236</v>
      </c>
      <c r="G464" s="31">
        <f t="shared" si="217"/>
        <v>1256902.3103448278</v>
      </c>
      <c r="H464" s="31">
        <f t="shared" si="217"/>
        <v>990744.48275862075</v>
      </c>
      <c r="I464" s="31">
        <f>SUM(B464:H464)</f>
        <v>7229665.2586206906</v>
      </c>
      <c r="J464" s="32">
        <f t="shared" si="215"/>
        <v>1032809.3226600987</v>
      </c>
    </row>
    <row r="465" spans="1:12" x14ac:dyDescent="0.25">
      <c r="A465" s="212" t="s">
        <v>28</v>
      </c>
      <c r="B465" s="92">
        <f t="shared" ref="B465:H465" si="218">B467*B458</f>
        <v>659148.5948275862</v>
      </c>
      <c r="C465" s="92">
        <f t="shared" si="218"/>
        <v>640550.23965517245</v>
      </c>
      <c r="D465" s="92">
        <f t="shared" si="218"/>
        <v>820794.43965517252</v>
      </c>
      <c r="E465" s="92">
        <f t="shared" si="218"/>
        <v>474094.55172413797</v>
      </c>
      <c r="F465" s="92">
        <f t="shared" si="218"/>
        <v>400552.59655172413</v>
      </c>
      <c r="G465" s="31">
        <f t="shared" si="218"/>
        <v>676793.55172413809</v>
      </c>
      <c r="H465" s="31">
        <f t="shared" si="218"/>
        <v>1188893.3793103448</v>
      </c>
      <c r="I465" s="31">
        <f>SUM(B465:H465)</f>
        <v>4860827.3534482773</v>
      </c>
      <c r="J465" s="32">
        <f t="shared" si="215"/>
        <v>694403.90763546817</v>
      </c>
    </row>
    <row r="466" spans="1:12" x14ac:dyDescent="0.25">
      <c r="A466" s="212" t="s">
        <v>29</v>
      </c>
      <c r="B466" s="92">
        <f t="shared" ref="B466:H466" si="219">B467*B459</f>
        <v>0</v>
      </c>
      <c r="C466" s="92">
        <f t="shared" si="219"/>
        <v>37679.425862068965</v>
      </c>
      <c r="D466" s="92">
        <f t="shared" si="219"/>
        <v>96564.051724137942</v>
      </c>
      <c r="E466" s="92">
        <f t="shared" si="219"/>
        <v>0</v>
      </c>
      <c r="F466" s="92">
        <f t="shared" si="219"/>
        <v>0</v>
      </c>
      <c r="G466" s="31">
        <f t="shared" si="219"/>
        <v>0</v>
      </c>
      <c r="H466" s="31">
        <f t="shared" si="219"/>
        <v>0</v>
      </c>
      <c r="I466" s="31">
        <f>SUM(B466:H466)</f>
        <v>134243.47758620692</v>
      </c>
      <c r="J466" s="32">
        <f t="shared" si="215"/>
        <v>19177.639655172417</v>
      </c>
    </row>
    <row r="467" spans="1:12" x14ac:dyDescent="0.25">
      <c r="A467" s="216" t="s">
        <v>30</v>
      </c>
      <c r="B467" s="91">
        <f>(5294900/1.16)-B468</f>
        <v>4394323.9655172415</v>
      </c>
      <c r="C467" s="91">
        <f>(4538300/1.16)-C468</f>
        <v>3767942.5862068967</v>
      </c>
      <c r="D467" s="91">
        <f>(5788200/1.16)-D468</f>
        <v>4828202.5862068972</v>
      </c>
      <c r="E467" s="91">
        <f>(4757900/1.16)-E468</f>
        <v>3950787.931034483</v>
      </c>
      <c r="F467" s="91">
        <f>(2169500/1.16)-F468</f>
        <v>1820693.6206896552</v>
      </c>
      <c r="G467" s="197">
        <f>(5832700/1.16)-G468</f>
        <v>4834239.6551724141</v>
      </c>
      <c r="H467" s="197">
        <f>(5971300/1.16)-H468</f>
        <v>4953722.4137931038</v>
      </c>
      <c r="I467" s="197">
        <f>SUM(I462:I466)</f>
        <v>28549912.758620691</v>
      </c>
      <c r="J467" s="217">
        <f t="shared" si="215"/>
        <v>4078558.9655172415</v>
      </c>
    </row>
    <row r="468" spans="1:12" x14ac:dyDescent="0.25">
      <c r="A468" s="212" t="s">
        <v>31</v>
      </c>
      <c r="B468" s="92">
        <f t="shared" ref="B468:I468" si="220">2155*B449</f>
        <v>170245</v>
      </c>
      <c r="C468" s="92">
        <f t="shared" si="220"/>
        <v>144385</v>
      </c>
      <c r="D468" s="92">
        <f t="shared" si="220"/>
        <v>161625</v>
      </c>
      <c r="E468" s="92">
        <f t="shared" si="220"/>
        <v>150850</v>
      </c>
      <c r="F468" s="92">
        <f t="shared" si="220"/>
        <v>49565</v>
      </c>
      <c r="G468" s="31">
        <f t="shared" si="220"/>
        <v>193950</v>
      </c>
      <c r="H468" s="31">
        <f t="shared" si="220"/>
        <v>193950</v>
      </c>
      <c r="I468" s="31">
        <f t="shared" si="220"/>
        <v>1064570</v>
      </c>
      <c r="J468" s="32">
        <f t="shared" si="215"/>
        <v>152081.42857142858</v>
      </c>
    </row>
    <row r="469" spans="1:12" x14ac:dyDescent="0.25">
      <c r="A469" s="218" t="s">
        <v>32</v>
      </c>
      <c r="B469" s="199">
        <f>B468+B467</f>
        <v>4564568.9655172415</v>
      </c>
      <c r="C469" s="199">
        <f>C468+C467</f>
        <v>3912327.5862068967</v>
      </c>
      <c r="D469" s="199">
        <f>D468+D467</f>
        <v>4989827.5862068972</v>
      </c>
      <c r="E469" s="199">
        <f>E468+E467</f>
        <v>4101637.931034483</v>
      </c>
      <c r="F469" s="199">
        <f>F467+F468</f>
        <v>1870258.6206896552</v>
      </c>
      <c r="G469" s="199">
        <f>G468+G467</f>
        <v>5028189.6551724141</v>
      </c>
      <c r="H469" s="199">
        <f>H468+H467</f>
        <v>5147672.4137931038</v>
      </c>
      <c r="I469" s="199">
        <f>I467+I468</f>
        <v>29614482.758620691</v>
      </c>
      <c r="J469" s="219">
        <f t="shared" si="215"/>
        <v>4230640.3940886697</v>
      </c>
    </row>
    <row r="470" spans="1:12" x14ac:dyDescent="0.25">
      <c r="A470" s="212" t="s">
        <v>33</v>
      </c>
      <c r="B470" s="94">
        <f>B469*16%</f>
        <v>730331.03448275861</v>
      </c>
      <c r="C470" s="94">
        <f t="shared" ref="C470:H470" si="221">C469*16%</f>
        <v>625972.41379310354</v>
      </c>
      <c r="D470" s="94">
        <f t="shared" si="221"/>
        <v>798372.41379310354</v>
      </c>
      <c r="E470" s="94">
        <f t="shared" si="221"/>
        <v>656262.06896551733</v>
      </c>
      <c r="F470" s="94">
        <f t="shared" si="221"/>
        <v>299241.37931034481</v>
      </c>
      <c r="G470" s="94">
        <f t="shared" si="221"/>
        <v>804510.34482758632</v>
      </c>
      <c r="H470" s="94">
        <f t="shared" si="221"/>
        <v>823627.58620689658</v>
      </c>
      <c r="I470" s="94">
        <f>I469*16%</f>
        <v>4738317.2413793104</v>
      </c>
      <c r="J470" s="32">
        <f t="shared" si="215"/>
        <v>676902.46305418725</v>
      </c>
    </row>
    <row r="471" spans="1:12" x14ac:dyDescent="0.25">
      <c r="A471" s="220" t="s">
        <v>34</v>
      </c>
      <c r="B471" s="202">
        <f>B469+B470</f>
        <v>5294900</v>
      </c>
      <c r="C471" s="202">
        <f t="shared" ref="C471:H471" si="222">C469+C470</f>
        <v>4538300</v>
      </c>
      <c r="D471" s="202">
        <f t="shared" si="222"/>
        <v>5788200.0000000009</v>
      </c>
      <c r="E471" s="202">
        <f t="shared" si="222"/>
        <v>4757900</v>
      </c>
      <c r="F471" s="202">
        <f t="shared" si="222"/>
        <v>2169500</v>
      </c>
      <c r="G471" s="202">
        <f t="shared" si="222"/>
        <v>5832700</v>
      </c>
      <c r="H471" s="202">
        <f t="shared" si="222"/>
        <v>5971300</v>
      </c>
      <c r="I471" s="202">
        <f>I469+I470</f>
        <v>34352800</v>
      </c>
      <c r="J471" s="221">
        <f t="shared" si="215"/>
        <v>4907542.8571428573</v>
      </c>
    </row>
    <row r="473" spans="1:12" ht="26.25" x14ac:dyDescent="0.25">
      <c r="B473" s="1007" t="s">
        <v>166</v>
      </c>
      <c r="C473" s="1007"/>
      <c r="D473" s="1007"/>
      <c r="E473" s="1007"/>
      <c r="F473" s="1007"/>
      <c r="G473" s="1007"/>
      <c r="H473" s="1007"/>
    </row>
    <row r="474" spans="1:12" ht="15.75" x14ac:dyDescent="0.25">
      <c r="A474" s="207" t="s">
        <v>2</v>
      </c>
      <c r="B474" s="121" t="s">
        <v>177</v>
      </c>
      <c r="C474" s="121" t="s">
        <v>178</v>
      </c>
      <c r="D474" s="121" t="s">
        <v>179</v>
      </c>
      <c r="E474" s="121" t="s">
        <v>180</v>
      </c>
      <c r="F474" s="121" t="s">
        <v>181</v>
      </c>
      <c r="G474" s="121" t="s">
        <v>182</v>
      </c>
      <c r="H474" s="121" t="s">
        <v>183</v>
      </c>
      <c r="I474" s="121" t="s">
        <v>96</v>
      </c>
      <c r="J474" s="209" t="s">
        <v>97</v>
      </c>
    </row>
    <row r="475" spans="1:12" x14ac:dyDescent="0.25">
      <c r="A475" s="332" t="s">
        <v>11</v>
      </c>
      <c r="B475" s="75">
        <v>151</v>
      </c>
      <c r="C475" s="75">
        <v>126</v>
      </c>
      <c r="D475" s="75">
        <v>95</v>
      </c>
      <c r="E475" s="316">
        <v>132</v>
      </c>
      <c r="F475" s="316">
        <v>200</v>
      </c>
      <c r="G475" s="316">
        <v>208</v>
      </c>
      <c r="H475" s="316">
        <v>294</v>
      </c>
      <c r="I475" s="316">
        <f>SUM(B475:H475)</f>
        <v>1206</v>
      </c>
      <c r="J475" s="382">
        <f>+I475/9</f>
        <v>134</v>
      </c>
      <c r="L475">
        <v>78</v>
      </c>
    </row>
    <row r="476" spans="1:12" x14ac:dyDescent="0.25">
      <c r="A476" s="212" t="s">
        <v>12</v>
      </c>
      <c r="B476" s="11">
        <v>64</v>
      </c>
      <c r="C476" s="11">
        <v>56</v>
      </c>
      <c r="D476" s="11">
        <v>4</v>
      </c>
      <c r="E476" s="11">
        <v>68</v>
      </c>
      <c r="F476" s="11">
        <v>77</v>
      </c>
      <c r="G476" s="11">
        <v>113</v>
      </c>
      <c r="H476" s="11">
        <v>152</v>
      </c>
      <c r="I476" s="11">
        <f>SUM(CEDRITOS!$B476:$H476)</f>
        <v>534</v>
      </c>
      <c r="J476" s="60">
        <f t="shared" ref="J476:J481" si="223">I476/9</f>
        <v>59.333333333333336</v>
      </c>
      <c r="L476">
        <v>45</v>
      </c>
    </row>
    <row r="477" spans="1:12" x14ac:dyDescent="0.25">
      <c r="A477" s="212" t="s">
        <v>13</v>
      </c>
      <c r="B477" s="11">
        <v>1</v>
      </c>
      <c r="C477" s="11">
        <v>1</v>
      </c>
      <c r="D477" s="11">
        <v>1</v>
      </c>
      <c r="E477" s="11">
        <v>1</v>
      </c>
      <c r="F477" s="11">
        <v>4</v>
      </c>
      <c r="G477" s="11">
        <v>6</v>
      </c>
      <c r="H477" s="11">
        <v>6</v>
      </c>
      <c r="I477" s="11">
        <f>SUM(CEDRITOS!$B477:$H477)</f>
        <v>20</v>
      </c>
      <c r="J477" s="60">
        <f t="shared" si="223"/>
        <v>2.2222222222222223</v>
      </c>
      <c r="L477">
        <v>9</v>
      </c>
    </row>
    <row r="478" spans="1:12" x14ac:dyDescent="0.25">
      <c r="A478" s="212" t="s">
        <v>14</v>
      </c>
      <c r="B478" s="11">
        <v>45</v>
      </c>
      <c r="C478" s="11">
        <v>41</v>
      </c>
      <c r="D478" s="11">
        <v>36</v>
      </c>
      <c r="E478" s="11">
        <v>37</v>
      </c>
      <c r="F478" s="11">
        <v>50</v>
      </c>
      <c r="G478" s="11">
        <v>44</v>
      </c>
      <c r="H478" s="11">
        <v>50</v>
      </c>
      <c r="I478" s="11">
        <f>SUM(CEDRITOS!$B478:$H478)</f>
        <v>303</v>
      </c>
      <c r="J478" s="60">
        <f t="shared" si="223"/>
        <v>33.666666666666664</v>
      </c>
      <c r="L478">
        <f>SUM(L475:L477)</f>
        <v>132</v>
      </c>
    </row>
    <row r="479" spans="1:12" x14ac:dyDescent="0.25">
      <c r="A479" s="212" t="s">
        <v>15</v>
      </c>
      <c r="B479" s="11">
        <v>18</v>
      </c>
      <c r="C479" s="11">
        <v>24</v>
      </c>
      <c r="D479" s="11">
        <v>34</v>
      </c>
      <c r="E479" s="11">
        <v>15</v>
      </c>
      <c r="F479" s="11">
        <v>41</v>
      </c>
      <c r="G479" s="11">
        <v>17</v>
      </c>
      <c r="H479" s="11">
        <v>30</v>
      </c>
      <c r="I479" s="11">
        <f>SUM(CEDRITOS!$B479:$H479)</f>
        <v>179</v>
      </c>
      <c r="J479" s="60">
        <f t="shared" si="223"/>
        <v>19.888888888888889</v>
      </c>
    </row>
    <row r="480" spans="1:12" x14ac:dyDescent="0.25">
      <c r="A480" s="212" t="s">
        <v>16</v>
      </c>
      <c r="B480" s="11">
        <v>0</v>
      </c>
      <c r="C480" s="11">
        <v>1</v>
      </c>
      <c r="D480" s="11">
        <v>0</v>
      </c>
      <c r="E480" s="11">
        <v>0</v>
      </c>
      <c r="F480" s="11">
        <v>1</v>
      </c>
      <c r="G480" s="86">
        <v>0</v>
      </c>
      <c r="H480" s="86">
        <v>0</v>
      </c>
      <c r="I480" s="11">
        <f>SUM(CEDRITOS!$B480:$H480)</f>
        <v>2</v>
      </c>
      <c r="J480" s="60">
        <f t="shared" si="223"/>
        <v>0.22222222222222221</v>
      </c>
    </row>
    <row r="481" spans="1:10" x14ac:dyDescent="0.25">
      <c r="A481" s="213" t="s">
        <v>17</v>
      </c>
      <c r="B481" s="192">
        <f t="shared" ref="B481:I481" si="224">SUM(B476:B480)</f>
        <v>128</v>
      </c>
      <c r="C481" s="192">
        <f t="shared" si="224"/>
        <v>123</v>
      </c>
      <c r="D481" s="192">
        <f t="shared" si="224"/>
        <v>75</v>
      </c>
      <c r="E481" s="192">
        <f t="shared" si="224"/>
        <v>121</v>
      </c>
      <c r="F481" s="192">
        <f t="shared" si="224"/>
        <v>173</v>
      </c>
      <c r="G481" s="192">
        <f t="shared" si="224"/>
        <v>180</v>
      </c>
      <c r="H481" s="192">
        <f t="shared" si="224"/>
        <v>238</v>
      </c>
      <c r="I481" s="192">
        <f t="shared" si="224"/>
        <v>1038</v>
      </c>
      <c r="J481" s="214">
        <f t="shared" si="223"/>
        <v>115.33333333333333</v>
      </c>
    </row>
    <row r="482" spans="1:10" x14ac:dyDescent="0.25">
      <c r="A482" s="212" t="s">
        <v>18</v>
      </c>
      <c r="B482" s="30">
        <v>0.52</v>
      </c>
      <c r="C482" s="30">
        <v>0.49</v>
      </c>
      <c r="D482" s="30">
        <v>0.06</v>
      </c>
      <c r="E482" s="30">
        <v>0.59</v>
      </c>
      <c r="F482" s="30">
        <v>0.47</v>
      </c>
      <c r="G482" s="30">
        <v>0.63</v>
      </c>
      <c r="H482" s="30">
        <v>0.65</v>
      </c>
      <c r="I482" s="30">
        <f>I489/I494</f>
        <v>0.52890841461794169</v>
      </c>
      <c r="J482" s="160">
        <f>J489/J494</f>
        <v>0.52890841461794169</v>
      </c>
    </row>
    <row r="483" spans="1:10" x14ac:dyDescent="0.25">
      <c r="A483" s="212" t="s">
        <v>19</v>
      </c>
      <c r="B483" s="30">
        <v>0.01</v>
      </c>
      <c r="C483" s="30">
        <v>0.01</v>
      </c>
      <c r="D483" s="30">
        <v>0.01</v>
      </c>
      <c r="E483" s="30">
        <v>0.01</v>
      </c>
      <c r="F483" s="30">
        <v>0.02</v>
      </c>
      <c r="G483" s="30">
        <v>0.04</v>
      </c>
      <c r="H483" s="30">
        <v>0.02</v>
      </c>
      <c r="I483" s="30">
        <f>I490/I494</f>
        <v>1.9515846676443051E-2</v>
      </c>
      <c r="J483" s="160">
        <f>J490/J494</f>
        <v>1.9515846676443051E-2</v>
      </c>
    </row>
    <row r="484" spans="1:10" x14ac:dyDescent="0.25">
      <c r="A484" s="212" t="s">
        <v>20</v>
      </c>
      <c r="B484" s="30">
        <v>0.36</v>
      </c>
      <c r="C484" s="30">
        <v>0.32</v>
      </c>
      <c r="D484" s="30">
        <v>0.5</v>
      </c>
      <c r="E484" s="30">
        <v>0.3</v>
      </c>
      <c r="F484" s="30">
        <v>0.28999999999999998</v>
      </c>
      <c r="G484" s="30">
        <v>0.24</v>
      </c>
      <c r="H484" s="30">
        <v>0.2</v>
      </c>
      <c r="I484" s="30">
        <f>I491/I494</f>
        <v>0.28924273669174716</v>
      </c>
      <c r="J484" s="160">
        <f>J491/J494</f>
        <v>0.28924273669174716</v>
      </c>
    </row>
    <row r="485" spans="1:10" x14ac:dyDescent="0.25">
      <c r="A485" s="212" t="s">
        <v>21</v>
      </c>
      <c r="B485" s="30">
        <v>0.11</v>
      </c>
      <c r="C485" s="30">
        <v>0.17</v>
      </c>
      <c r="D485" s="30">
        <v>0.43</v>
      </c>
      <c r="E485" s="30">
        <v>0.1</v>
      </c>
      <c r="F485" s="30">
        <v>0.21</v>
      </c>
      <c r="G485" s="30">
        <v>0.09</v>
      </c>
      <c r="H485" s="30">
        <v>0.13</v>
      </c>
      <c r="I485" s="30">
        <f>I492/I494</f>
        <v>0.15963426286009894</v>
      </c>
      <c r="J485" s="160">
        <f>J492/J494</f>
        <v>0.15963426286009894</v>
      </c>
    </row>
    <row r="486" spans="1:10" x14ac:dyDescent="0.25">
      <c r="A486" s="212" t="s">
        <v>22</v>
      </c>
      <c r="B486" s="30">
        <v>0</v>
      </c>
      <c r="C486" s="30">
        <v>0.01</v>
      </c>
      <c r="D486" s="30">
        <v>0</v>
      </c>
      <c r="E486" s="30">
        <v>0</v>
      </c>
      <c r="F486" s="30">
        <v>0.01</v>
      </c>
      <c r="G486" s="30">
        <v>0</v>
      </c>
      <c r="H486" s="30">
        <v>0</v>
      </c>
      <c r="I486" s="30">
        <f>I493/I494</f>
        <v>2.6987391537689701E-3</v>
      </c>
      <c r="J486" s="160">
        <f>J493/J494</f>
        <v>2.6987391537689701E-3</v>
      </c>
    </row>
    <row r="487" spans="1:10" x14ac:dyDescent="0.25">
      <c r="A487" s="215" t="s">
        <v>23</v>
      </c>
      <c r="B487" s="66">
        <f t="shared" ref="B487:J487" si="225">B498/B481</f>
        <v>33575</v>
      </c>
      <c r="C487" s="66">
        <f t="shared" si="225"/>
        <v>32146.341463414636</v>
      </c>
      <c r="D487" s="66">
        <f t="shared" si="225"/>
        <v>39973.333333333336</v>
      </c>
      <c r="E487" s="66">
        <f t="shared" si="225"/>
        <v>32849.586776859505</v>
      </c>
      <c r="F487" s="66">
        <f t="shared" si="225"/>
        <v>34633.526011560694</v>
      </c>
      <c r="G487" s="66">
        <f t="shared" si="225"/>
        <v>37735.555555555555</v>
      </c>
      <c r="H487" s="66">
        <f t="shared" si="225"/>
        <v>37593.697478991598</v>
      </c>
      <c r="I487" s="66">
        <f t="shared" si="225"/>
        <v>35602.793834296732</v>
      </c>
      <c r="J487" s="67">
        <f t="shared" si="225"/>
        <v>45775.020644095799</v>
      </c>
    </row>
    <row r="488" spans="1:10" x14ac:dyDescent="0.25">
      <c r="A488" s="215" t="s">
        <v>24</v>
      </c>
      <c r="B488" s="66">
        <f t="shared" ref="B488:I488" si="226">+B498/B475</f>
        <v>28460.92715231788</v>
      </c>
      <c r="C488" s="66">
        <f t="shared" si="226"/>
        <v>31380.952380952382</v>
      </c>
      <c r="D488" s="66">
        <f t="shared" si="226"/>
        <v>31557.894736842107</v>
      </c>
      <c r="E488" s="66">
        <f t="shared" si="226"/>
        <v>30112.121212121212</v>
      </c>
      <c r="F488" s="66">
        <f t="shared" si="226"/>
        <v>29958</v>
      </c>
      <c r="G488" s="66">
        <f t="shared" si="226"/>
        <v>32655.76923076923</v>
      </c>
      <c r="H488" s="66">
        <f t="shared" si="226"/>
        <v>30432.993197278913</v>
      </c>
      <c r="I488" s="66">
        <f t="shared" si="226"/>
        <v>30643.200663349922</v>
      </c>
      <c r="J488" s="67">
        <f>J498/J475</f>
        <v>39398.400852878476</v>
      </c>
    </row>
    <row r="489" spans="1:10" x14ac:dyDescent="0.25">
      <c r="A489" s="212" t="s">
        <v>25</v>
      </c>
      <c r="B489" s="92">
        <f t="shared" ref="B489:H489" si="227">B494*B482</f>
        <v>1854791.9448275864</v>
      </c>
      <c r="C489" s="92">
        <f t="shared" si="227"/>
        <v>1611090.9379310345</v>
      </c>
      <c r="D489" s="92">
        <f t="shared" si="227"/>
        <v>154551.76551724138</v>
      </c>
      <c r="E489" s="92">
        <f t="shared" si="227"/>
        <v>1935206.9172413792</v>
      </c>
      <c r="F489" s="92">
        <f t="shared" si="227"/>
        <v>2349641.5844827588</v>
      </c>
      <c r="G489" s="31">
        <f t="shared" si="227"/>
        <v>3535561.4120689654</v>
      </c>
      <c r="H489" s="31">
        <f t="shared" si="227"/>
        <v>4800659.2758620698</v>
      </c>
      <c r="I489" s="31">
        <f>SUM(B489:H489)</f>
        <v>16241503.837931035</v>
      </c>
      <c r="J489" s="32">
        <f t="shared" ref="J489:J498" si="228">I489/7</f>
        <v>2320214.8339901478</v>
      </c>
    </row>
    <row r="490" spans="1:10" x14ac:dyDescent="0.25">
      <c r="A490" s="212" t="s">
        <v>26</v>
      </c>
      <c r="B490" s="92">
        <f t="shared" ref="B490:H490" si="229">B494*B483</f>
        <v>35669.075862068967</v>
      </c>
      <c r="C490" s="92">
        <f t="shared" si="229"/>
        <v>32879.406896551729</v>
      </c>
      <c r="D490" s="92">
        <f t="shared" si="229"/>
        <v>25758.627586206898</v>
      </c>
      <c r="E490" s="92">
        <f t="shared" si="229"/>
        <v>32800.11724137931</v>
      </c>
      <c r="F490" s="92">
        <f t="shared" si="229"/>
        <v>99984.748275862075</v>
      </c>
      <c r="G490" s="31">
        <f t="shared" si="229"/>
        <v>224480.08965517243</v>
      </c>
      <c r="H490" s="31">
        <f t="shared" si="229"/>
        <v>147712.59310344828</v>
      </c>
      <c r="I490" s="31">
        <f>SUM(B490:H490)</f>
        <v>599284.65862068976</v>
      </c>
      <c r="J490" s="32">
        <f t="shared" si="228"/>
        <v>85612.094088669968</v>
      </c>
    </row>
    <row r="491" spans="1:10" x14ac:dyDescent="0.25">
      <c r="A491" s="212" t="s">
        <v>27</v>
      </c>
      <c r="B491" s="92">
        <f t="shared" ref="B491:H491" si="230">B494*B484</f>
        <v>1284086.7310344828</v>
      </c>
      <c r="C491" s="92">
        <f t="shared" si="230"/>
        <v>1052141.0206896553</v>
      </c>
      <c r="D491" s="92">
        <f t="shared" si="230"/>
        <v>1287931.3793103448</v>
      </c>
      <c r="E491" s="92">
        <f t="shared" si="230"/>
        <v>984003.51724137925</v>
      </c>
      <c r="F491" s="92">
        <f t="shared" si="230"/>
        <v>1449778.85</v>
      </c>
      <c r="G491" s="31">
        <f t="shared" si="230"/>
        <v>1346880.5379310343</v>
      </c>
      <c r="H491" s="31">
        <f t="shared" si="230"/>
        <v>1477125.931034483</v>
      </c>
      <c r="I491" s="31">
        <f>SUM(B491:H491)</f>
        <v>8881947.9672413785</v>
      </c>
      <c r="J491" s="32">
        <f t="shared" si="228"/>
        <v>1268849.7096059113</v>
      </c>
    </row>
    <row r="492" spans="1:10" x14ac:dyDescent="0.25">
      <c r="A492" s="212" t="s">
        <v>28</v>
      </c>
      <c r="B492" s="92">
        <f t="shared" ref="B492:H492" si="231">B494*B485</f>
        <v>392359.83448275866</v>
      </c>
      <c r="C492" s="92">
        <f t="shared" si="231"/>
        <v>558949.91724137939</v>
      </c>
      <c r="D492" s="92">
        <f t="shared" si="231"/>
        <v>1107620.9862068966</v>
      </c>
      <c r="E492" s="92">
        <f t="shared" si="231"/>
        <v>328001.17241379316</v>
      </c>
      <c r="F492" s="92">
        <f t="shared" si="231"/>
        <v>1049839.8568965518</v>
      </c>
      <c r="G492" s="31">
        <f t="shared" si="231"/>
        <v>505080.20172413794</v>
      </c>
      <c r="H492" s="31">
        <f t="shared" si="231"/>
        <v>960131.85517241387</v>
      </c>
      <c r="I492" s="31">
        <f>SUM(B492:H492)</f>
        <v>4901983.8241379317</v>
      </c>
      <c r="J492" s="32">
        <f t="shared" si="228"/>
        <v>700283.40344827599</v>
      </c>
    </row>
    <row r="493" spans="1:10" x14ac:dyDescent="0.25">
      <c r="A493" s="212" t="s">
        <v>29</v>
      </c>
      <c r="B493" s="92">
        <f t="shared" ref="B493:H493" si="232">B494*B486</f>
        <v>0</v>
      </c>
      <c r="C493" s="92">
        <f t="shared" si="232"/>
        <v>32879.406896551729</v>
      </c>
      <c r="D493" s="92">
        <f t="shared" si="232"/>
        <v>0</v>
      </c>
      <c r="E493" s="92">
        <f t="shared" si="232"/>
        <v>0</v>
      </c>
      <c r="F493" s="92">
        <f t="shared" si="232"/>
        <v>49992.374137931038</v>
      </c>
      <c r="G493" s="31">
        <f t="shared" si="232"/>
        <v>0</v>
      </c>
      <c r="H493" s="31">
        <f t="shared" si="232"/>
        <v>0</v>
      </c>
      <c r="I493" s="31">
        <f>SUM(B493:H493)</f>
        <v>82871.781034482759</v>
      </c>
      <c r="J493" s="32">
        <f t="shared" si="228"/>
        <v>11838.825862068965</v>
      </c>
    </row>
    <row r="494" spans="1:10" x14ac:dyDescent="0.25">
      <c r="A494" s="216" t="s">
        <v>30</v>
      </c>
      <c r="B494" s="91">
        <f>(4297600/1.16)-B495</f>
        <v>3566907.5862068967</v>
      </c>
      <c r="C494" s="91">
        <f>(3954000/1.16)-C495</f>
        <v>3287940.6896551726</v>
      </c>
      <c r="D494" s="91">
        <f>(2998000/1.16)-D495</f>
        <v>2575862.7586206896</v>
      </c>
      <c r="E494" s="91">
        <f>(3974800/1.16)-E495</f>
        <v>3280011.7241379311</v>
      </c>
      <c r="F494" s="91">
        <f>(5991600/1.16)-F495</f>
        <v>4999237.4137931038</v>
      </c>
      <c r="G494" s="197">
        <f>(6792400/1.16)-G495</f>
        <v>5612002.2413793104</v>
      </c>
      <c r="H494" s="197">
        <f>(8947300/1.16)-H495</f>
        <v>7385629.6551724141</v>
      </c>
      <c r="I494" s="197">
        <f>SUM(I489:I493)</f>
        <v>30707592.068965524</v>
      </c>
      <c r="J494" s="217">
        <f t="shared" si="228"/>
        <v>4386798.8669950748</v>
      </c>
    </row>
    <row r="495" spans="1:10" x14ac:dyDescent="0.25">
      <c r="A495" s="212" t="s">
        <v>31</v>
      </c>
      <c r="B495" s="92">
        <f t="shared" ref="B495:I495" si="233">2155*B476</f>
        <v>137920</v>
      </c>
      <c r="C495" s="92">
        <f t="shared" si="233"/>
        <v>120680</v>
      </c>
      <c r="D495" s="92">
        <f t="shared" si="233"/>
        <v>8620</v>
      </c>
      <c r="E495" s="92">
        <f t="shared" si="233"/>
        <v>146540</v>
      </c>
      <c r="F495" s="92">
        <f t="shared" si="233"/>
        <v>165935</v>
      </c>
      <c r="G495" s="31">
        <f t="shared" si="233"/>
        <v>243515</v>
      </c>
      <c r="H495" s="31">
        <f t="shared" si="233"/>
        <v>327560</v>
      </c>
      <c r="I495" s="31">
        <f t="shared" si="233"/>
        <v>1150770</v>
      </c>
      <c r="J495" s="32">
        <f t="shared" si="228"/>
        <v>164395.71428571429</v>
      </c>
    </row>
    <row r="496" spans="1:10" x14ac:dyDescent="0.25">
      <c r="A496" s="218" t="s">
        <v>32</v>
      </c>
      <c r="B496" s="199">
        <f>B495+B494</f>
        <v>3704827.5862068967</v>
      </c>
      <c r="C496" s="199">
        <f>C495+C494</f>
        <v>3408620.6896551726</v>
      </c>
      <c r="D496" s="199">
        <f>D495+D494</f>
        <v>2584482.7586206896</v>
      </c>
      <c r="E496" s="199">
        <f>E495+E494</f>
        <v>3426551.7241379311</v>
      </c>
      <c r="F496" s="199">
        <f>F494+F495</f>
        <v>5165172.4137931038</v>
      </c>
      <c r="G496" s="199">
        <f>G495+G494</f>
        <v>5855517.2413793104</v>
      </c>
      <c r="H496" s="199">
        <f>H495+H494</f>
        <v>7713189.6551724141</v>
      </c>
      <c r="I496" s="199">
        <f>I494+I495</f>
        <v>31858362.068965524</v>
      </c>
      <c r="J496" s="219">
        <f t="shared" si="228"/>
        <v>4551194.5812807893</v>
      </c>
    </row>
    <row r="497" spans="1:12" x14ac:dyDescent="0.25">
      <c r="A497" s="212" t="s">
        <v>33</v>
      </c>
      <c r="B497" s="94">
        <f>B496*16%</f>
        <v>592772.41379310354</v>
      </c>
      <c r="C497" s="94">
        <f t="shared" ref="C497:H497" si="234">C496*16%</f>
        <v>545379.31034482759</v>
      </c>
      <c r="D497" s="94">
        <f t="shared" si="234"/>
        <v>413517.24137931038</v>
      </c>
      <c r="E497" s="94">
        <f t="shared" si="234"/>
        <v>548248.27586206899</v>
      </c>
      <c r="F497" s="94">
        <f t="shared" si="234"/>
        <v>826427.58620689658</v>
      </c>
      <c r="G497" s="94">
        <f t="shared" si="234"/>
        <v>936882.75862068962</v>
      </c>
      <c r="H497" s="94">
        <f t="shared" si="234"/>
        <v>1234110.3448275863</v>
      </c>
      <c r="I497" s="94">
        <f>I496*16%</f>
        <v>5097337.9310344839</v>
      </c>
      <c r="J497" s="32">
        <f t="shared" si="228"/>
        <v>728191.13300492626</v>
      </c>
    </row>
    <row r="498" spans="1:12" x14ac:dyDescent="0.25">
      <c r="A498" s="220" t="s">
        <v>34</v>
      </c>
      <c r="B498" s="202">
        <f>B496+B497</f>
        <v>4297600</v>
      </c>
      <c r="C498" s="202">
        <f t="shared" ref="C498:H498" si="235">C496+C497</f>
        <v>3954000</v>
      </c>
      <c r="D498" s="202">
        <f t="shared" si="235"/>
        <v>2998000</v>
      </c>
      <c r="E498" s="202">
        <f t="shared" si="235"/>
        <v>3974800</v>
      </c>
      <c r="F498" s="202">
        <f t="shared" si="235"/>
        <v>5991600</v>
      </c>
      <c r="G498" s="202">
        <f t="shared" si="235"/>
        <v>6792400</v>
      </c>
      <c r="H498" s="202">
        <f t="shared" si="235"/>
        <v>8947300</v>
      </c>
      <c r="I498" s="202">
        <f>I496+I497</f>
        <v>36955700.000000007</v>
      </c>
      <c r="J498" s="221">
        <f t="shared" si="228"/>
        <v>5279385.7142857155</v>
      </c>
    </row>
    <row r="500" spans="1:12" ht="26.25" x14ac:dyDescent="0.25">
      <c r="B500" s="1007" t="s">
        <v>169</v>
      </c>
      <c r="C500" s="1007"/>
      <c r="D500" s="1007"/>
      <c r="E500" s="1007"/>
      <c r="F500" s="1007"/>
      <c r="G500" s="1007"/>
      <c r="H500" s="1007"/>
    </row>
    <row r="501" spans="1:12" ht="15.75" x14ac:dyDescent="0.25">
      <c r="A501" s="207" t="s">
        <v>2</v>
      </c>
      <c r="B501" s="121" t="s">
        <v>185</v>
      </c>
      <c r="C501" s="121" t="s">
        <v>186</v>
      </c>
      <c r="D501" s="121" t="s">
        <v>187</v>
      </c>
      <c r="E501" s="121" t="s">
        <v>188</v>
      </c>
      <c r="F501" s="121" t="s">
        <v>189</v>
      </c>
      <c r="G501" s="121" t="s">
        <v>190</v>
      </c>
      <c r="H501" s="121" t="s">
        <v>191</v>
      </c>
      <c r="I501" s="121" t="s">
        <v>96</v>
      </c>
      <c r="J501" s="209" t="s">
        <v>97</v>
      </c>
    </row>
    <row r="502" spans="1:12" x14ac:dyDescent="0.25">
      <c r="A502" s="332" t="s">
        <v>11</v>
      </c>
      <c r="B502" s="75">
        <v>273</v>
      </c>
      <c r="C502" s="75">
        <v>116</v>
      </c>
      <c r="D502" s="75">
        <v>132</v>
      </c>
      <c r="E502" s="316">
        <v>137</v>
      </c>
      <c r="F502" s="316">
        <v>236</v>
      </c>
      <c r="G502" s="316">
        <v>344</v>
      </c>
      <c r="H502" s="316">
        <v>302</v>
      </c>
      <c r="I502" s="316">
        <f>SUM(B502:H502)</f>
        <v>1540</v>
      </c>
      <c r="J502" s="382">
        <f>+I502/9</f>
        <v>171.11111111111111</v>
      </c>
      <c r="L502">
        <v>129</v>
      </c>
    </row>
    <row r="503" spans="1:12" x14ac:dyDescent="0.25">
      <c r="A503" s="212" t="s">
        <v>12</v>
      </c>
      <c r="B503" s="11">
        <v>143</v>
      </c>
      <c r="C503" s="11">
        <v>57</v>
      </c>
      <c r="D503" s="11">
        <v>51</v>
      </c>
      <c r="E503" s="11">
        <v>68</v>
      </c>
      <c r="F503" s="11">
        <v>128</v>
      </c>
      <c r="G503" s="11">
        <v>158</v>
      </c>
      <c r="H503" s="11">
        <v>148</v>
      </c>
      <c r="I503" s="11">
        <f>SUM(CEDRITOS!$B503:$H503)</f>
        <v>753</v>
      </c>
      <c r="J503" s="60">
        <f t="shared" ref="J503:J508" si="236">I503/9</f>
        <v>83.666666666666671</v>
      </c>
      <c r="L503">
        <v>135</v>
      </c>
    </row>
    <row r="504" spans="1:12" x14ac:dyDescent="0.25">
      <c r="A504" s="212" t="s">
        <v>13</v>
      </c>
      <c r="B504" s="11">
        <v>5</v>
      </c>
      <c r="C504" s="11">
        <v>2</v>
      </c>
      <c r="D504" s="11">
        <v>2</v>
      </c>
      <c r="E504" s="11">
        <v>2</v>
      </c>
      <c r="F504" s="11">
        <v>2</v>
      </c>
      <c r="G504" s="11">
        <v>3</v>
      </c>
      <c r="H504" s="11">
        <v>5</v>
      </c>
      <c r="I504" s="11">
        <f>SUM(CEDRITOS!$B504:$H504)</f>
        <v>21</v>
      </c>
      <c r="J504" s="60">
        <f t="shared" si="236"/>
        <v>2.3333333333333335</v>
      </c>
      <c r="L504">
        <v>38</v>
      </c>
    </row>
    <row r="505" spans="1:12" x14ac:dyDescent="0.25">
      <c r="A505" s="212" t="s">
        <v>14</v>
      </c>
      <c r="B505" s="11">
        <v>60</v>
      </c>
      <c r="C505" s="11">
        <v>38</v>
      </c>
      <c r="D505" s="11">
        <v>41</v>
      </c>
      <c r="E505" s="11">
        <v>33</v>
      </c>
      <c r="F505" s="11">
        <v>54</v>
      </c>
      <c r="G505" s="11">
        <v>98</v>
      </c>
      <c r="H505" s="11">
        <v>58</v>
      </c>
      <c r="I505" s="11">
        <f>SUM(CEDRITOS!$B505:$H505)</f>
        <v>382</v>
      </c>
      <c r="J505" s="60">
        <f t="shared" si="236"/>
        <v>42.444444444444443</v>
      </c>
      <c r="L505">
        <f>SUM(L502:L504)</f>
        <v>302</v>
      </c>
    </row>
    <row r="506" spans="1:12" x14ac:dyDescent="0.25">
      <c r="A506" s="212" t="s">
        <v>15</v>
      </c>
      <c r="B506" s="11">
        <v>33</v>
      </c>
      <c r="C506" s="11">
        <v>17</v>
      </c>
      <c r="D506" s="11">
        <v>12</v>
      </c>
      <c r="E506" s="11">
        <v>14</v>
      </c>
      <c r="F506" s="11">
        <v>30</v>
      </c>
      <c r="G506" s="11">
        <v>48</v>
      </c>
      <c r="H506" s="11">
        <v>38</v>
      </c>
      <c r="I506" s="11">
        <f>SUM(CEDRITOS!$B506:$H506)</f>
        <v>192</v>
      </c>
      <c r="J506" s="60">
        <f t="shared" si="236"/>
        <v>21.333333333333332</v>
      </c>
    </row>
    <row r="507" spans="1:12" x14ac:dyDescent="0.25">
      <c r="A507" s="212" t="s">
        <v>16</v>
      </c>
      <c r="B507" s="11">
        <v>2</v>
      </c>
      <c r="C507" s="11">
        <v>2</v>
      </c>
      <c r="D507" s="11">
        <v>1</v>
      </c>
      <c r="E507" s="11">
        <v>1</v>
      </c>
      <c r="F507" s="11">
        <v>1</v>
      </c>
      <c r="G507" s="86">
        <v>1</v>
      </c>
      <c r="H507" s="86">
        <v>0</v>
      </c>
      <c r="I507" s="11">
        <f>SUM(CEDRITOS!$B507:$H507)</f>
        <v>8</v>
      </c>
      <c r="J507" s="60">
        <f t="shared" si="236"/>
        <v>0.88888888888888884</v>
      </c>
    </row>
    <row r="508" spans="1:12" x14ac:dyDescent="0.25">
      <c r="A508" s="213" t="s">
        <v>17</v>
      </c>
      <c r="B508" s="192">
        <f t="shared" ref="B508:I508" si="237">SUM(B503:B507)</f>
        <v>243</v>
      </c>
      <c r="C508" s="192">
        <f t="shared" si="237"/>
        <v>116</v>
      </c>
      <c r="D508" s="192">
        <f t="shared" si="237"/>
        <v>107</v>
      </c>
      <c r="E508" s="192">
        <f t="shared" si="237"/>
        <v>118</v>
      </c>
      <c r="F508" s="192">
        <f t="shared" si="237"/>
        <v>215</v>
      </c>
      <c r="G508" s="192">
        <f t="shared" si="237"/>
        <v>308</v>
      </c>
      <c r="H508" s="192">
        <f t="shared" si="237"/>
        <v>249</v>
      </c>
      <c r="I508" s="192">
        <f t="shared" si="237"/>
        <v>1356</v>
      </c>
      <c r="J508" s="214">
        <f t="shared" si="236"/>
        <v>150.66666666666666</v>
      </c>
    </row>
    <row r="509" spans="1:12" x14ac:dyDescent="0.25">
      <c r="A509" s="212" t="s">
        <v>18</v>
      </c>
      <c r="B509" s="30">
        <v>0.59</v>
      </c>
      <c r="C509" s="30">
        <v>0.52</v>
      </c>
      <c r="D509" s="30">
        <v>0.64</v>
      </c>
      <c r="E509" s="30">
        <v>0.62</v>
      </c>
      <c r="F509" s="30">
        <v>0.61</v>
      </c>
      <c r="G509" s="30">
        <v>0.5</v>
      </c>
      <c r="H509" s="30">
        <v>0.62</v>
      </c>
      <c r="I509" s="30">
        <f>I516/I521</f>
        <v>0.58047087536361541</v>
      </c>
      <c r="J509" s="160">
        <f>J516/J521</f>
        <v>0.58047087536361552</v>
      </c>
    </row>
    <row r="510" spans="1:12" x14ac:dyDescent="0.25">
      <c r="A510" s="212" t="s">
        <v>19</v>
      </c>
      <c r="B510" s="30">
        <v>0.03</v>
      </c>
      <c r="C510" s="30">
        <v>0.01</v>
      </c>
      <c r="D510" s="30">
        <v>0.04</v>
      </c>
      <c r="E510" s="30">
        <v>0.02</v>
      </c>
      <c r="F510" s="30">
        <v>0.01</v>
      </c>
      <c r="G510" s="30">
        <v>0.01</v>
      </c>
      <c r="H510" s="30">
        <v>0.03</v>
      </c>
      <c r="I510" s="30">
        <f>I517/I521</f>
        <v>2.0825492913331252E-2</v>
      </c>
      <c r="J510" s="160">
        <f>J517/J521</f>
        <v>2.0825492913331252E-2</v>
      </c>
    </row>
    <row r="511" spans="1:12" x14ac:dyDescent="0.25">
      <c r="A511" s="212" t="s">
        <v>20</v>
      </c>
      <c r="B511" s="30">
        <v>0.25</v>
      </c>
      <c r="C511" s="30">
        <v>0.28000000000000003</v>
      </c>
      <c r="D511" s="30">
        <v>0.3</v>
      </c>
      <c r="E511" s="30">
        <v>0.26</v>
      </c>
      <c r="F511" s="30">
        <v>0.25</v>
      </c>
      <c r="G511" s="30">
        <v>0.28000000000000003</v>
      </c>
      <c r="H511" s="30">
        <v>0.23</v>
      </c>
      <c r="I511" s="30">
        <f>I518/I521</f>
        <v>0.259738928036299</v>
      </c>
      <c r="J511" s="160">
        <f>J518/J521</f>
        <v>0.259738928036299</v>
      </c>
    </row>
    <row r="512" spans="1:12" x14ac:dyDescent="0.25">
      <c r="A512" s="212" t="s">
        <v>21</v>
      </c>
      <c r="B512" s="30">
        <v>0.12</v>
      </c>
      <c r="C512" s="30">
        <v>0.15</v>
      </c>
      <c r="D512" s="30">
        <v>0.02</v>
      </c>
      <c r="E512" s="30">
        <v>0.09</v>
      </c>
      <c r="F512" s="30">
        <v>0.12</v>
      </c>
      <c r="G512" s="30">
        <v>0.19</v>
      </c>
      <c r="H512" s="30">
        <v>0.12</v>
      </c>
      <c r="I512" s="30">
        <f>I519/I521</f>
        <v>0.12724355310423988</v>
      </c>
      <c r="J512" s="160">
        <f>J519/J521</f>
        <v>0.12724355310423988</v>
      </c>
    </row>
    <row r="513" spans="1:10" x14ac:dyDescent="0.25">
      <c r="A513" s="212" t="s">
        <v>22</v>
      </c>
      <c r="B513" s="30">
        <v>0.01</v>
      </c>
      <c r="C513" s="30">
        <v>0.04</v>
      </c>
      <c r="D513" s="30">
        <v>0</v>
      </c>
      <c r="E513" s="30">
        <v>0.01</v>
      </c>
      <c r="F513" s="30">
        <v>0.01</v>
      </c>
      <c r="G513" s="30">
        <v>0.02</v>
      </c>
      <c r="H513" s="30">
        <v>0</v>
      </c>
      <c r="I513" s="30">
        <f>I520/I521</f>
        <v>1.1721150582514351E-2</v>
      </c>
      <c r="J513" s="160">
        <f>J520/J521</f>
        <v>1.1721150582514351E-2</v>
      </c>
    </row>
    <row r="514" spans="1:10" x14ac:dyDescent="0.25">
      <c r="A514" s="215" t="s">
        <v>23</v>
      </c>
      <c r="B514" s="66">
        <f t="shared" ref="B514:J514" si="238">B525/B508</f>
        <v>35398.765432098764</v>
      </c>
      <c r="C514" s="66">
        <f t="shared" si="238"/>
        <v>29328.448275862069</v>
      </c>
      <c r="D514" s="66">
        <f t="shared" si="238"/>
        <v>33298.1308411215</v>
      </c>
      <c r="E514" s="66">
        <f t="shared" si="238"/>
        <v>32233.898305084749</v>
      </c>
      <c r="F514" s="66">
        <f t="shared" si="238"/>
        <v>34426.046511627908</v>
      </c>
      <c r="G514" s="66">
        <f t="shared" si="238"/>
        <v>32403.89610389611</v>
      </c>
      <c r="H514" s="66">
        <f t="shared" si="238"/>
        <v>35281.526104417673</v>
      </c>
      <c r="I514" s="66">
        <f t="shared" si="238"/>
        <v>33582.300884955759</v>
      </c>
      <c r="J514" s="67">
        <f t="shared" si="238"/>
        <v>43177.243994943121</v>
      </c>
    </row>
    <row r="515" spans="1:10" x14ac:dyDescent="0.25">
      <c r="A515" s="215" t="s">
        <v>24</v>
      </c>
      <c r="B515" s="66">
        <f t="shared" ref="B515:I515" si="239">+B525/B502</f>
        <v>31508.791208791208</v>
      </c>
      <c r="C515" s="66">
        <f t="shared" si="239"/>
        <v>29328.448275862069</v>
      </c>
      <c r="D515" s="66">
        <f t="shared" si="239"/>
        <v>26991.666666666672</v>
      </c>
      <c r="E515" s="66">
        <f t="shared" si="239"/>
        <v>27763.50364963504</v>
      </c>
      <c r="F515" s="66">
        <f t="shared" si="239"/>
        <v>31362.711864406781</v>
      </c>
      <c r="G515" s="66">
        <f t="shared" si="239"/>
        <v>29012.790697674423</v>
      </c>
      <c r="H515" s="66">
        <f t="shared" si="239"/>
        <v>29089.735099337748</v>
      </c>
      <c r="I515" s="66">
        <f t="shared" si="239"/>
        <v>29569.870129870134</v>
      </c>
      <c r="J515" s="67">
        <f>J525/J502</f>
        <v>38018.404452690178</v>
      </c>
    </row>
    <row r="516" spans="1:10" x14ac:dyDescent="0.25">
      <c r="A516" s="212" t="s">
        <v>25</v>
      </c>
      <c r="B516" s="92">
        <f t="shared" ref="B516:H516" si="240">B521*B509</f>
        <v>4193286.9603448277</v>
      </c>
      <c r="C516" s="92">
        <f t="shared" si="240"/>
        <v>1461205.1103448276</v>
      </c>
      <c r="D516" s="92">
        <f t="shared" si="240"/>
        <v>1895398.7310344831</v>
      </c>
      <c r="E516" s="92">
        <f t="shared" si="240"/>
        <v>1942103.8206896554</v>
      </c>
      <c r="F516" s="92">
        <f t="shared" si="240"/>
        <v>3723958.2896551727</v>
      </c>
      <c r="G516" s="31">
        <f t="shared" si="240"/>
        <v>4131651.5517241387</v>
      </c>
      <c r="H516" s="31">
        <f t="shared" si="240"/>
        <v>4497741.6827586209</v>
      </c>
      <c r="I516" s="31">
        <f>SUM(B516:H516)</f>
        <v>21845346.146551728</v>
      </c>
      <c r="J516" s="32">
        <f t="shared" ref="J516:J525" si="241">I516/7</f>
        <v>3120763.7352216756</v>
      </c>
    </row>
    <row r="517" spans="1:10" x14ac:dyDescent="0.25">
      <c r="A517" s="212" t="s">
        <v>26</v>
      </c>
      <c r="B517" s="92">
        <f t="shared" ref="B517:H517" si="242">B521*B510</f>
        <v>213217.98103448277</v>
      </c>
      <c r="C517" s="92">
        <f t="shared" si="242"/>
        <v>28100.09827586207</v>
      </c>
      <c r="D517" s="92">
        <f t="shared" si="242"/>
        <v>118462.42068965519</v>
      </c>
      <c r="E517" s="92">
        <f t="shared" si="242"/>
        <v>62648.510344827599</v>
      </c>
      <c r="F517" s="92">
        <f t="shared" si="242"/>
        <v>61048.496551724144</v>
      </c>
      <c r="G517" s="31">
        <f t="shared" si="242"/>
        <v>82633.031034482774</v>
      </c>
      <c r="H517" s="31">
        <f t="shared" si="242"/>
        <v>217632.66206896552</v>
      </c>
      <c r="I517" s="31">
        <f>SUM(B517:H517)</f>
        <v>783743.20000000007</v>
      </c>
      <c r="J517" s="32">
        <f t="shared" si="241"/>
        <v>111963.3142857143</v>
      </c>
    </row>
    <row r="518" spans="1:10" x14ac:dyDescent="0.25">
      <c r="A518" s="212" t="s">
        <v>27</v>
      </c>
      <c r="B518" s="92">
        <f t="shared" ref="B518:H518" si="243">B521*B511</f>
        <v>1776816.5086206899</v>
      </c>
      <c r="C518" s="92">
        <f t="shared" si="243"/>
        <v>786802.75172413804</v>
      </c>
      <c r="D518" s="92">
        <f t="shared" si="243"/>
        <v>888468.15517241391</v>
      </c>
      <c r="E518" s="92">
        <f t="shared" si="243"/>
        <v>814430.6344827587</v>
      </c>
      <c r="F518" s="92">
        <f t="shared" si="243"/>
        <v>1526212.4137931035</v>
      </c>
      <c r="G518" s="31">
        <f t="shared" si="243"/>
        <v>2313724.8689655177</v>
      </c>
      <c r="H518" s="31">
        <f t="shared" si="243"/>
        <v>1668517.0758620691</v>
      </c>
      <c r="I518" s="31">
        <f>SUM(B518:H518)</f>
        <v>9774972.4086206909</v>
      </c>
      <c r="J518" s="32">
        <f t="shared" si="241"/>
        <v>1396424.6298029558</v>
      </c>
    </row>
    <row r="519" spans="1:10" x14ac:dyDescent="0.25">
      <c r="A519" s="212" t="s">
        <v>28</v>
      </c>
      <c r="B519" s="92">
        <f t="shared" ref="B519:H519" si="244">B521*B512</f>
        <v>852871.92413793108</v>
      </c>
      <c r="C519" s="92">
        <f t="shared" si="244"/>
        <v>421501.47413793107</v>
      </c>
      <c r="D519" s="92">
        <f t="shared" si="244"/>
        <v>59231.210344827596</v>
      </c>
      <c r="E519" s="92">
        <f t="shared" si="244"/>
        <v>281918.29655172414</v>
      </c>
      <c r="F519" s="92">
        <f t="shared" si="244"/>
        <v>732581.95862068969</v>
      </c>
      <c r="G519" s="31">
        <f t="shared" si="244"/>
        <v>1570027.5896551728</v>
      </c>
      <c r="H519" s="31">
        <f t="shared" si="244"/>
        <v>870530.6482758621</v>
      </c>
      <c r="I519" s="31">
        <f>SUM(B519:H519)</f>
        <v>4788663.1017241385</v>
      </c>
      <c r="J519" s="32">
        <f t="shared" si="241"/>
        <v>684094.72881773405</v>
      </c>
    </row>
    <row r="520" spans="1:10" x14ac:dyDescent="0.25">
      <c r="A520" s="212" t="s">
        <v>29</v>
      </c>
      <c r="B520" s="92">
        <f t="shared" ref="B520:H520" si="245">B521*B513</f>
        <v>71072.6603448276</v>
      </c>
      <c r="C520" s="92">
        <f t="shared" si="245"/>
        <v>112400.39310344828</v>
      </c>
      <c r="D520" s="92">
        <f t="shared" si="245"/>
        <v>0</v>
      </c>
      <c r="E520" s="92">
        <f t="shared" si="245"/>
        <v>31324.255172413799</v>
      </c>
      <c r="F520" s="92">
        <f t="shared" si="245"/>
        <v>61048.496551724144</v>
      </c>
      <c r="G520" s="31">
        <f t="shared" si="245"/>
        <v>165266.06206896555</v>
      </c>
      <c r="H520" s="31">
        <f t="shared" si="245"/>
        <v>0</v>
      </c>
      <c r="I520" s="31">
        <f>SUM(B520:H520)</f>
        <v>441111.86724137934</v>
      </c>
      <c r="J520" s="32">
        <f t="shared" si="241"/>
        <v>63015.981034482764</v>
      </c>
    </row>
    <row r="521" spans="1:10" x14ac:dyDescent="0.25">
      <c r="A521" s="216" t="s">
        <v>30</v>
      </c>
      <c r="B521" s="91">
        <f>(8601900/1.16)-B522</f>
        <v>7107266.0344827594</v>
      </c>
      <c r="C521" s="91">
        <f>(3402100/1.16)-C522</f>
        <v>2810009.8275862071</v>
      </c>
      <c r="D521" s="91">
        <f>(3562900/1.16)-D522</f>
        <v>2961560.5172413797</v>
      </c>
      <c r="E521" s="91">
        <f>(3803600/1.16)-E522</f>
        <v>3132425.5172413797</v>
      </c>
      <c r="F521" s="91">
        <f>(7401600/1.16)-F522</f>
        <v>6104849.6551724141</v>
      </c>
      <c r="G521" s="197">
        <f>(9980400/1.16)-G522</f>
        <v>8263303.1034482773</v>
      </c>
      <c r="H521" s="197">
        <f>(8785100/1.16)-H522</f>
        <v>7254422.0689655179</v>
      </c>
      <c r="I521" s="197">
        <f>SUM(I516:I520)</f>
        <v>37633836.72413794</v>
      </c>
      <c r="J521" s="217">
        <f t="shared" si="241"/>
        <v>5376262.3891625628</v>
      </c>
    </row>
    <row r="522" spans="1:10" x14ac:dyDescent="0.25">
      <c r="A522" s="212" t="s">
        <v>31</v>
      </c>
      <c r="B522" s="92">
        <f t="shared" ref="B522:I522" si="246">2155*B503</f>
        <v>308165</v>
      </c>
      <c r="C522" s="92">
        <f t="shared" si="246"/>
        <v>122835</v>
      </c>
      <c r="D522" s="92">
        <f t="shared" si="246"/>
        <v>109905</v>
      </c>
      <c r="E522" s="92">
        <f t="shared" si="246"/>
        <v>146540</v>
      </c>
      <c r="F522" s="92">
        <f t="shared" si="246"/>
        <v>275840</v>
      </c>
      <c r="G522" s="31">
        <f t="shared" si="246"/>
        <v>340490</v>
      </c>
      <c r="H522" s="31">
        <f t="shared" si="246"/>
        <v>318940</v>
      </c>
      <c r="I522" s="31">
        <f t="shared" si="246"/>
        <v>1622715</v>
      </c>
      <c r="J522" s="32">
        <f t="shared" si="241"/>
        <v>231816.42857142858</v>
      </c>
    </row>
    <row r="523" spans="1:10" x14ac:dyDescent="0.25">
      <c r="A523" s="218" t="s">
        <v>32</v>
      </c>
      <c r="B523" s="199">
        <f>B522+B521</f>
        <v>7415431.0344827594</v>
      </c>
      <c r="C523" s="199">
        <f>C522+C521</f>
        <v>2932844.8275862071</v>
      </c>
      <c r="D523" s="199">
        <f>D522+D521</f>
        <v>3071465.5172413797</v>
      </c>
      <c r="E523" s="199">
        <f>E522+E521</f>
        <v>3278965.5172413797</v>
      </c>
      <c r="F523" s="199">
        <f>F521+F522</f>
        <v>6380689.6551724141</v>
      </c>
      <c r="G523" s="199">
        <f>G522+G521</f>
        <v>8603793.1034482773</v>
      </c>
      <c r="H523" s="199">
        <f>H522+H521</f>
        <v>7573362.0689655179</v>
      </c>
      <c r="I523" s="199">
        <f>I521+I522</f>
        <v>39256551.72413794</v>
      </c>
      <c r="J523" s="219">
        <f t="shared" si="241"/>
        <v>5608078.817733991</v>
      </c>
    </row>
    <row r="524" spans="1:10" x14ac:dyDescent="0.25">
      <c r="A524" s="212" t="s">
        <v>33</v>
      </c>
      <c r="B524" s="94">
        <f>B523*16%</f>
        <v>1186468.9655172415</v>
      </c>
      <c r="C524" s="94">
        <f t="shared" ref="C524:H524" si="247">C523*16%</f>
        <v>469255.17241379316</v>
      </c>
      <c r="D524" s="94">
        <f t="shared" si="247"/>
        <v>491434.48275862075</v>
      </c>
      <c r="E524" s="94">
        <f t="shared" si="247"/>
        <v>524634.48275862075</v>
      </c>
      <c r="F524" s="94">
        <f t="shared" si="247"/>
        <v>1020910.3448275863</v>
      </c>
      <c r="G524" s="94">
        <f t="shared" si="247"/>
        <v>1376606.8965517243</v>
      </c>
      <c r="H524" s="94">
        <f t="shared" si="247"/>
        <v>1211737.9310344828</v>
      </c>
      <c r="I524" s="94">
        <f>I523*16%</f>
        <v>6281048.2758620707</v>
      </c>
      <c r="J524" s="32">
        <f t="shared" si="241"/>
        <v>897292.61083743873</v>
      </c>
    </row>
    <row r="525" spans="1:10" x14ac:dyDescent="0.25">
      <c r="A525" s="220" t="s">
        <v>34</v>
      </c>
      <c r="B525" s="202">
        <f>B523+B524</f>
        <v>8601900</v>
      </c>
      <c r="C525" s="202">
        <f t="shared" ref="C525:H525" si="248">C523+C524</f>
        <v>3402100</v>
      </c>
      <c r="D525" s="202">
        <f t="shared" si="248"/>
        <v>3562900.0000000005</v>
      </c>
      <c r="E525" s="202">
        <f t="shared" si="248"/>
        <v>3803600.0000000005</v>
      </c>
      <c r="F525" s="202">
        <f t="shared" si="248"/>
        <v>7401600</v>
      </c>
      <c r="G525" s="202">
        <f t="shared" si="248"/>
        <v>9980400.0000000019</v>
      </c>
      <c r="H525" s="202">
        <f t="shared" si="248"/>
        <v>8785100</v>
      </c>
      <c r="I525" s="202">
        <f>I523+I524</f>
        <v>45537600.000000007</v>
      </c>
      <c r="J525" s="221">
        <f t="shared" si="241"/>
        <v>6505371.42857143</v>
      </c>
    </row>
    <row r="528" spans="1:10" ht="26.25" x14ac:dyDescent="0.25">
      <c r="B528" s="1007" t="s">
        <v>360</v>
      </c>
      <c r="C528" s="1007"/>
      <c r="D528" s="1007"/>
      <c r="E528" s="1007"/>
      <c r="F528" s="1007"/>
      <c r="G528" s="1007"/>
      <c r="H528" s="1007"/>
    </row>
    <row r="529" spans="1:12" ht="15.75" x14ac:dyDescent="0.25">
      <c r="A529" s="207" t="s">
        <v>2</v>
      </c>
      <c r="B529" s="121" t="s">
        <v>193</v>
      </c>
      <c r="C529" s="121" t="s">
        <v>194</v>
      </c>
      <c r="D529" s="121" t="s">
        <v>195</v>
      </c>
      <c r="E529" s="121" t="s">
        <v>196</v>
      </c>
      <c r="F529" s="121" t="s">
        <v>197</v>
      </c>
      <c r="G529" s="121" t="s">
        <v>198</v>
      </c>
      <c r="H529" s="121" t="s">
        <v>199</v>
      </c>
      <c r="I529" s="121" t="s">
        <v>96</v>
      </c>
      <c r="J529" s="209" t="s">
        <v>97</v>
      </c>
    </row>
    <row r="530" spans="1:12" x14ac:dyDescent="0.25">
      <c r="A530" s="332" t="s">
        <v>11</v>
      </c>
      <c r="B530" s="75">
        <v>110</v>
      </c>
      <c r="C530" s="75">
        <v>116</v>
      </c>
      <c r="D530" s="75">
        <v>118</v>
      </c>
      <c r="E530" s="316">
        <v>141</v>
      </c>
      <c r="F530" s="316">
        <v>279</v>
      </c>
      <c r="G530" s="316">
        <v>376</v>
      </c>
      <c r="H530" s="316">
        <v>274</v>
      </c>
      <c r="I530" s="316">
        <f>SUM(B530:H530)</f>
        <v>1414</v>
      </c>
      <c r="J530" s="382">
        <f>+I530/9</f>
        <v>157.11111111111111</v>
      </c>
      <c r="L530">
        <v>130</v>
      </c>
    </row>
    <row r="531" spans="1:12" x14ac:dyDescent="0.25">
      <c r="A531" s="212" t="s">
        <v>12</v>
      </c>
      <c r="B531" s="11">
        <v>51</v>
      </c>
      <c r="C531" s="11">
        <v>53</v>
      </c>
      <c r="D531" s="11">
        <v>51</v>
      </c>
      <c r="E531" s="11">
        <v>75</v>
      </c>
      <c r="F531" s="11">
        <v>139</v>
      </c>
      <c r="G531" s="11">
        <v>160</v>
      </c>
      <c r="H531" s="11">
        <v>153</v>
      </c>
      <c r="I531" s="11">
        <f>SUM(CEDRITOS!$B531:$H531)</f>
        <v>682</v>
      </c>
      <c r="J531" s="60">
        <f t="shared" ref="J531:J536" si="249">I531/9</f>
        <v>75.777777777777771</v>
      </c>
      <c r="L531">
        <v>121</v>
      </c>
    </row>
    <row r="532" spans="1:12" x14ac:dyDescent="0.25">
      <c r="A532" s="212" t="s">
        <v>13</v>
      </c>
      <c r="B532" s="11">
        <v>0</v>
      </c>
      <c r="C532" s="11">
        <v>1</v>
      </c>
      <c r="D532" s="11">
        <v>3</v>
      </c>
      <c r="E532" s="11">
        <v>1</v>
      </c>
      <c r="F532" s="11">
        <v>9</v>
      </c>
      <c r="G532" s="11">
        <v>13</v>
      </c>
      <c r="H532" s="11">
        <v>13</v>
      </c>
      <c r="I532" s="11">
        <f>SUM(CEDRITOS!$B532:$H532)</f>
        <v>40</v>
      </c>
      <c r="J532" s="60">
        <f t="shared" si="249"/>
        <v>4.4444444444444446</v>
      </c>
      <c r="L532">
        <v>23</v>
      </c>
    </row>
    <row r="533" spans="1:12" x14ac:dyDescent="0.25">
      <c r="A533" s="212" t="s">
        <v>14</v>
      </c>
      <c r="B533" s="11">
        <v>37</v>
      </c>
      <c r="C533" s="11">
        <v>30</v>
      </c>
      <c r="D533" s="11">
        <v>44</v>
      </c>
      <c r="E533" s="11">
        <v>38</v>
      </c>
      <c r="F533" s="11">
        <v>47</v>
      </c>
      <c r="G533" s="11">
        <v>92</v>
      </c>
      <c r="H533" s="11">
        <v>50</v>
      </c>
      <c r="I533" s="11">
        <f>SUM(CEDRITOS!$B533:$H533)</f>
        <v>338</v>
      </c>
      <c r="J533" s="60">
        <f t="shared" si="249"/>
        <v>37.555555555555557</v>
      </c>
      <c r="L533">
        <f>SUM(L530:L532)</f>
        <v>274</v>
      </c>
    </row>
    <row r="534" spans="1:12" x14ac:dyDescent="0.25">
      <c r="A534" s="212" t="s">
        <v>15</v>
      </c>
      <c r="B534" s="11">
        <v>18</v>
      </c>
      <c r="C534" s="11">
        <v>10</v>
      </c>
      <c r="D534" s="11">
        <v>14</v>
      </c>
      <c r="E534" s="11">
        <v>10</v>
      </c>
      <c r="F534" s="11">
        <v>24</v>
      </c>
      <c r="G534" s="11">
        <v>34</v>
      </c>
      <c r="H534" s="11">
        <v>29</v>
      </c>
      <c r="I534" s="11">
        <f>SUM(CEDRITOS!$B534:$H534)</f>
        <v>139</v>
      </c>
      <c r="J534" s="60">
        <f t="shared" si="249"/>
        <v>15.444444444444445</v>
      </c>
    </row>
    <row r="535" spans="1:12" x14ac:dyDescent="0.25">
      <c r="A535" s="212" t="s">
        <v>16</v>
      </c>
      <c r="B535" s="11">
        <v>0</v>
      </c>
      <c r="C535" s="11">
        <v>0</v>
      </c>
      <c r="D535" s="11">
        <v>0</v>
      </c>
      <c r="E535" s="11">
        <v>0</v>
      </c>
      <c r="F535" s="11">
        <v>2</v>
      </c>
      <c r="G535" s="86">
        <v>0</v>
      </c>
      <c r="H535" s="86">
        <v>0</v>
      </c>
      <c r="I535" s="11">
        <f>SUM(CEDRITOS!$B535:$H535)</f>
        <v>2</v>
      </c>
      <c r="J535" s="60">
        <f t="shared" si="249"/>
        <v>0.22222222222222221</v>
      </c>
    </row>
    <row r="536" spans="1:12" x14ac:dyDescent="0.25">
      <c r="A536" s="213" t="s">
        <v>17</v>
      </c>
      <c r="B536" s="192">
        <f t="shared" ref="B536:I536" si="250">SUM(B531:B535)</f>
        <v>106</v>
      </c>
      <c r="C536" s="192">
        <f t="shared" si="250"/>
        <v>94</v>
      </c>
      <c r="D536" s="192">
        <f t="shared" si="250"/>
        <v>112</v>
      </c>
      <c r="E536" s="192">
        <f t="shared" si="250"/>
        <v>124</v>
      </c>
      <c r="F536" s="192">
        <f t="shared" si="250"/>
        <v>221</v>
      </c>
      <c r="G536" s="192">
        <f t="shared" si="250"/>
        <v>299</v>
      </c>
      <c r="H536" s="192">
        <f t="shared" si="250"/>
        <v>245</v>
      </c>
      <c r="I536" s="192">
        <f t="shared" si="250"/>
        <v>1201</v>
      </c>
      <c r="J536" s="214">
        <f t="shared" si="249"/>
        <v>133.44444444444446</v>
      </c>
    </row>
    <row r="537" spans="1:12" x14ac:dyDescent="0.25">
      <c r="A537" s="212" t="s">
        <v>18</v>
      </c>
      <c r="B537" s="30">
        <v>0.55000000000000004</v>
      </c>
      <c r="C537" s="30">
        <v>0.6</v>
      </c>
      <c r="D537" s="30">
        <v>0.49</v>
      </c>
      <c r="E537" s="30">
        <v>0.64</v>
      </c>
      <c r="F537" s="30">
        <v>0.66</v>
      </c>
      <c r="G537" s="30">
        <v>0.56999999999999995</v>
      </c>
      <c r="H537" s="30">
        <v>0.65</v>
      </c>
      <c r="I537" s="30">
        <f>I544/I549</f>
        <v>0.60359384339557454</v>
      </c>
      <c r="J537" s="160">
        <f>J544/J549</f>
        <v>0.60359384339557443</v>
      </c>
    </row>
    <row r="538" spans="1:12" x14ac:dyDescent="0.25">
      <c r="A538" s="212" t="s">
        <v>19</v>
      </c>
      <c r="B538" s="30">
        <v>0</v>
      </c>
      <c r="C538" s="30">
        <v>0.01</v>
      </c>
      <c r="D538" s="30">
        <v>0.03</v>
      </c>
      <c r="E538" s="30">
        <v>0.01</v>
      </c>
      <c r="F538" s="30">
        <v>0.05</v>
      </c>
      <c r="G538" s="30">
        <v>0.05</v>
      </c>
      <c r="H538" s="30">
        <v>0.06</v>
      </c>
      <c r="I538" s="30">
        <f>I545/I549</f>
        <v>3.9596754039035315E-2</v>
      </c>
      <c r="J538" s="160">
        <f>J545/J549</f>
        <v>3.9596754039035315E-2</v>
      </c>
    </row>
    <row r="539" spans="1:12" x14ac:dyDescent="0.25">
      <c r="A539" s="212" t="s">
        <v>20</v>
      </c>
      <c r="B539" s="30">
        <v>0.27</v>
      </c>
      <c r="C539" s="30">
        <v>0.31</v>
      </c>
      <c r="D539" s="30">
        <v>0.36</v>
      </c>
      <c r="E539" s="30">
        <v>0.27</v>
      </c>
      <c r="F539" s="30">
        <v>0.19</v>
      </c>
      <c r="G539" s="30">
        <v>0.27</v>
      </c>
      <c r="H539" s="30">
        <v>0.19</v>
      </c>
      <c r="I539" s="30">
        <f>I546/I549</f>
        <v>0.24973056096326182</v>
      </c>
      <c r="J539" s="160">
        <f>J546/J549</f>
        <v>0.24973056096326182</v>
      </c>
    </row>
    <row r="540" spans="1:12" x14ac:dyDescent="0.25">
      <c r="A540" s="212" t="s">
        <v>21</v>
      </c>
      <c r="B540" s="30">
        <v>0.18</v>
      </c>
      <c r="C540" s="30">
        <v>0.08</v>
      </c>
      <c r="D540" s="30">
        <v>0.12</v>
      </c>
      <c r="E540" s="30">
        <v>0.08</v>
      </c>
      <c r="F540" s="30">
        <v>0.09</v>
      </c>
      <c r="G540" s="30">
        <v>0.11</v>
      </c>
      <c r="H540" s="30">
        <v>0.1</v>
      </c>
      <c r="I540" s="30">
        <f>I547/I549</f>
        <v>0.10516107263703291</v>
      </c>
      <c r="J540" s="160">
        <f>J547/J549</f>
        <v>0.10516107263703291</v>
      </c>
    </row>
    <row r="541" spans="1:12" x14ac:dyDescent="0.25">
      <c r="A541" s="212" t="s">
        <v>22</v>
      </c>
      <c r="B541" s="30">
        <v>0</v>
      </c>
      <c r="C541" s="30">
        <v>0</v>
      </c>
      <c r="D541" s="30">
        <v>0</v>
      </c>
      <c r="E541" s="30">
        <v>0</v>
      </c>
      <c r="F541" s="30">
        <v>0.01</v>
      </c>
      <c r="G541" s="30">
        <v>0</v>
      </c>
      <c r="H541" s="30">
        <v>0</v>
      </c>
      <c r="I541" s="30">
        <f>I548/I549</f>
        <v>1.917768965095618E-3</v>
      </c>
      <c r="J541" s="160">
        <f>J548/J549</f>
        <v>1.9177689650956178E-3</v>
      </c>
    </row>
    <row r="542" spans="1:12" x14ac:dyDescent="0.25">
      <c r="A542" s="215" t="s">
        <v>23</v>
      </c>
      <c r="B542" s="66">
        <f t="shared" ref="B542:J542" si="251">B553/B536</f>
        <v>30715.094339622647</v>
      </c>
      <c r="C542" s="66">
        <f t="shared" si="251"/>
        <v>35800</v>
      </c>
      <c r="D542" s="66">
        <f t="shared" si="251"/>
        <v>32329.46428571429</v>
      </c>
      <c r="E542" s="66">
        <f t="shared" si="251"/>
        <v>33107.258064516129</v>
      </c>
      <c r="F542" s="66">
        <f t="shared" si="251"/>
        <v>37548.868778280543</v>
      </c>
      <c r="G542" s="66">
        <f t="shared" si="251"/>
        <v>40253.177257525087</v>
      </c>
      <c r="H542" s="66">
        <f t="shared" si="251"/>
        <v>34622.040816326531</v>
      </c>
      <c r="I542" s="66">
        <f t="shared" si="251"/>
        <v>35939.716902581175</v>
      </c>
      <c r="J542" s="67">
        <f t="shared" si="251"/>
        <v>46208.207446175787</v>
      </c>
    </row>
    <row r="543" spans="1:12" x14ac:dyDescent="0.25">
      <c r="A543" s="215" t="s">
        <v>24</v>
      </c>
      <c r="B543" s="66">
        <f t="shared" ref="B543:I543" si="252">+B553/B530</f>
        <v>29598.181818181823</v>
      </c>
      <c r="C543" s="66">
        <f t="shared" si="252"/>
        <v>29010.344827586207</v>
      </c>
      <c r="D543" s="66">
        <f t="shared" si="252"/>
        <v>30685.593220338986</v>
      </c>
      <c r="E543" s="66">
        <f t="shared" si="252"/>
        <v>29115.602836879432</v>
      </c>
      <c r="F543" s="66">
        <f t="shared" si="252"/>
        <v>29743.010752688173</v>
      </c>
      <c r="G543" s="66">
        <f t="shared" si="252"/>
        <v>32009.840425531915</v>
      </c>
      <c r="H543" s="66">
        <f t="shared" si="252"/>
        <v>30957.664233576641</v>
      </c>
      <c r="I543" s="66">
        <f t="shared" si="252"/>
        <v>30525.884016973119</v>
      </c>
      <c r="J543" s="67">
        <f>J553/J530</f>
        <v>39247.56516467972</v>
      </c>
    </row>
    <row r="544" spans="1:12" x14ac:dyDescent="0.25">
      <c r="A544" s="212" t="s">
        <v>25</v>
      </c>
      <c r="B544" s="92">
        <f t="shared" ref="B544:H544" si="253">B549*B537</f>
        <v>1483250.5258620693</v>
      </c>
      <c r="C544" s="92">
        <f t="shared" si="253"/>
        <v>1672091.6896551724</v>
      </c>
      <c r="D544" s="92">
        <f t="shared" si="253"/>
        <v>1475664.653448276</v>
      </c>
      <c r="E544" s="92">
        <f t="shared" si="253"/>
        <v>2161553.1034482759</v>
      </c>
      <c r="F544" s="92">
        <f t="shared" si="253"/>
        <v>4523746.8517241385</v>
      </c>
      <c r="G544" s="31">
        <f t="shared" si="253"/>
        <v>5717557.9655172406</v>
      </c>
      <c r="H544" s="31">
        <f t="shared" si="253"/>
        <v>4538754.2155172424</v>
      </c>
      <c r="I544" s="31">
        <f>SUM(B544:H544)</f>
        <v>21572619.005172413</v>
      </c>
      <c r="J544" s="32">
        <f t="shared" ref="J544:J553" si="254">I544/7</f>
        <v>3081802.7150246305</v>
      </c>
    </row>
    <row r="545" spans="1:12" x14ac:dyDescent="0.25">
      <c r="A545" s="212" t="s">
        <v>26</v>
      </c>
      <c r="B545" s="92">
        <f t="shared" ref="B545:H545" si="255">B549*B538</f>
        <v>0</v>
      </c>
      <c r="C545" s="92">
        <f t="shared" si="255"/>
        <v>27868.194827586209</v>
      </c>
      <c r="D545" s="92">
        <f t="shared" si="255"/>
        <v>90346.815517241383</v>
      </c>
      <c r="E545" s="92">
        <f t="shared" si="255"/>
        <v>33774.267241379312</v>
      </c>
      <c r="F545" s="92">
        <f t="shared" si="255"/>
        <v>342708.09482758626</v>
      </c>
      <c r="G545" s="31">
        <f t="shared" si="255"/>
        <v>501540.17241379316</v>
      </c>
      <c r="H545" s="31">
        <f t="shared" si="255"/>
        <v>418961.92758620693</v>
      </c>
      <c r="I545" s="31">
        <f>SUM(B545:H545)</f>
        <v>1415199.4724137932</v>
      </c>
      <c r="J545" s="32">
        <f t="shared" si="254"/>
        <v>202171.35320197046</v>
      </c>
    </row>
    <row r="546" spans="1:12" x14ac:dyDescent="0.25">
      <c r="A546" s="212" t="s">
        <v>27</v>
      </c>
      <c r="B546" s="92">
        <f t="shared" ref="B546:H546" si="256">B549*B539</f>
        <v>728141.1672413795</v>
      </c>
      <c r="C546" s="92">
        <f t="shared" si="256"/>
        <v>863914.03965517238</v>
      </c>
      <c r="D546" s="92">
        <f t="shared" si="256"/>
        <v>1084161.7862068966</v>
      </c>
      <c r="E546" s="92">
        <f t="shared" si="256"/>
        <v>911905.21551724151</v>
      </c>
      <c r="F546" s="92">
        <f t="shared" si="256"/>
        <v>1302290.7603448278</v>
      </c>
      <c r="G546" s="31">
        <f t="shared" si="256"/>
        <v>2708316.931034483</v>
      </c>
      <c r="H546" s="31">
        <f t="shared" si="256"/>
        <v>1326712.7706896553</v>
      </c>
      <c r="I546" s="31">
        <f>SUM(B546:H546)</f>
        <v>8925442.6706896555</v>
      </c>
      <c r="J546" s="32">
        <f t="shared" si="254"/>
        <v>1275063.2386699507</v>
      </c>
    </row>
    <row r="547" spans="1:12" x14ac:dyDescent="0.25">
      <c r="A547" s="212" t="s">
        <v>28</v>
      </c>
      <c r="B547" s="92">
        <f t="shared" ref="B547:H547" si="257">B549*B540</f>
        <v>485427.44482758624</v>
      </c>
      <c r="C547" s="92">
        <f t="shared" si="257"/>
        <v>222945.55862068967</v>
      </c>
      <c r="D547" s="92">
        <f t="shared" si="257"/>
        <v>361387.26206896553</v>
      </c>
      <c r="E547" s="92">
        <f t="shared" si="257"/>
        <v>270194.13793103449</v>
      </c>
      <c r="F547" s="92">
        <f t="shared" si="257"/>
        <v>616874.57068965514</v>
      </c>
      <c r="G547" s="31">
        <f t="shared" si="257"/>
        <v>1103388.3793103448</v>
      </c>
      <c r="H547" s="31">
        <f t="shared" si="257"/>
        <v>698269.87931034493</v>
      </c>
      <c r="I547" s="31">
        <f>SUM(B547:H547)</f>
        <v>3758487.2327586203</v>
      </c>
      <c r="J547" s="32">
        <f t="shared" si="254"/>
        <v>536926.74753694574</v>
      </c>
    </row>
    <row r="548" spans="1:12" x14ac:dyDescent="0.25">
      <c r="A548" s="212" t="s">
        <v>29</v>
      </c>
      <c r="B548" s="92">
        <f t="shared" ref="B548:H548" si="258">B549*B541</f>
        <v>0</v>
      </c>
      <c r="C548" s="92">
        <f t="shared" si="258"/>
        <v>0</v>
      </c>
      <c r="D548" s="92">
        <f t="shared" si="258"/>
        <v>0</v>
      </c>
      <c r="E548" s="92">
        <f t="shared" si="258"/>
        <v>0</v>
      </c>
      <c r="F548" s="92">
        <f t="shared" si="258"/>
        <v>68541.618965517249</v>
      </c>
      <c r="G548" s="31">
        <f t="shared" si="258"/>
        <v>0</v>
      </c>
      <c r="H548" s="31">
        <f t="shared" si="258"/>
        <v>0</v>
      </c>
      <c r="I548" s="31">
        <f>SUM(B548:H548)</f>
        <v>68541.618965517249</v>
      </c>
      <c r="J548" s="32">
        <f t="shared" si="254"/>
        <v>9791.6598522167496</v>
      </c>
    </row>
    <row r="549" spans="1:12" x14ac:dyDescent="0.25">
      <c r="A549" s="216" t="s">
        <v>30</v>
      </c>
      <c r="B549" s="91">
        <f>(3255800/1.16)-B550</f>
        <v>2696819.1379310349</v>
      </c>
      <c r="C549" s="91">
        <f>(3365200/1.16)-C550</f>
        <v>2786819.4827586208</v>
      </c>
      <c r="D549" s="91">
        <f>(3620900/1.16)-D550</f>
        <v>3011560.5172413797</v>
      </c>
      <c r="E549" s="91">
        <f>(4105300/1.16)-E550</f>
        <v>3377426.7241379311</v>
      </c>
      <c r="F549" s="91">
        <f>(8298300/1.16)-F550</f>
        <v>6854161.8965517245</v>
      </c>
      <c r="G549" s="197">
        <f>(12035700/1.16)-G550</f>
        <v>10030803.448275862</v>
      </c>
      <c r="H549" s="197">
        <f>(8482400/1.16)-H550</f>
        <v>6982698.793103449</v>
      </c>
      <c r="I549" s="197">
        <f>SUM(I544:I548)</f>
        <v>35740289.999999993</v>
      </c>
      <c r="J549" s="217">
        <f t="shared" si="254"/>
        <v>5105755.7142857136</v>
      </c>
    </row>
    <row r="550" spans="1:12" x14ac:dyDescent="0.25">
      <c r="A550" s="212" t="s">
        <v>31</v>
      </c>
      <c r="B550" s="92">
        <f t="shared" ref="B550:I550" si="259">2155*B531</f>
        <v>109905</v>
      </c>
      <c r="C550" s="92">
        <f t="shared" si="259"/>
        <v>114215</v>
      </c>
      <c r="D550" s="92">
        <f t="shared" si="259"/>
        <v>109905</v>
      </c>
      <c r="E550" s="92">
        <f t="shared" si="259"/>
        <v>161625</v>
      </c>
      <c r="F550" s="92">
        <f t="shared" si="259"/>
        <v>299545</v>
      </c>
      <c r="G550" s="31">
        <f t="shared" si="259"/>
        <v>344800</v>
      </c>
      <c r="H550" s="31">
        <f t="shared" si="259"/>
        <v>329715</v>
      </c>
      <c r="I550" s="31">
        <f t="shared" si="259"/>
        <v>1469710</v>
      </c>
      <c r="J550" s="32">
        <f t="shared" si="254"/>
        <v>209958.57142857142</v>
      </c>
    </row>
    <row r="551" spans="1:12" x14ac:dyDescent="0.25">
      <c r="A551" s="218" t="s">
        <v>32</v>
      </c>
      <c r="B551" s="199">
        <f>B550+B549</f>
        <v>2806724.1379310349</v>
      </c>
      <c r="C551" s="199">
        <f>C550+C549</f>
        <v>2901034.4827586208</v>
      </c>
      <c r="D551" s="199">
        <f>D550+D549</f>
        <v>3121465.5172413797</v>
      </c>
      <c r="E551" s="199">
        <f>E550+E549</f>
        <v>3539051.7241379311</v>
      </c>
      <c r="F551" s="199">
        <f>F549+F550</f>
        <v>7153706.8965517245</v>
      </c>
      <c r="G551" s="199">
        <f>G550+G549</f>
        <v>10375603.448275862</v>
      </c>
      <c r="H551" s="199">
        <f>H550+H549</f>
        <v>7312413.793103449</v>
      </c>
      <c r="I551" s="199">
        <f>I549+I550</f>
        <v>37209999.999999993</v>
      </c>
      <c r="J551" s="219">
        <f t="shared" si="254"/>
        <v>5315714.2857142845</v>
      </c>
    </row>
    <row r="552" spans="1:12" x14ac:dyDescent="0.25">
      <c r="A552" s="212" t="s">
        <v>33</v>
      </c>
      <c r="B552" s="94">
        <f>B551*16%</f>
        <v>449075.86206896557</v>
      </c>
      <c r="C552" s="94">
        <f t="shared" ref="C552:H552" si="260">C551*16%</f>
        <v>464165.5172413793</v>
      </c>
      <c r="D552" s="94">
        <f t="shared" si="260"/>
        <v>499434.48275862075</v>
      </c>
      <c r="E552" s="94">
        <f t="shared" si="260"/>
        <v>566248.27586206899</v>
      </c>
      <c r="F552" s="94">
        <f t="shared" si="260"/>
        <v>1144593.1034482759</v>
      </c>
      <c r="G552" s="94">
        <f t="shared" si="260"/>
        <v>1660096.551724138</v>
      </c>
      <c r="H552" s="94">
        <f t="shared" si="260"/>
        <v>1169986.2068965519</v>
      </c>
      <c r="I552" s="94">
        <f>I551*16%</f>
        <v>5953599.9999999991</v>
      </c>
      <c r="J552" s="32">
        <f t="shared" si="254"/>
        <v>850514.28571428556</v>
      </c>
    </row>
    <row r="553" spans="1:12" x14ac:dyDescent="0.25">
      <c r="A553" s="220" t="s">
        <v>34</v>
      </c>
      <c r="B553" s="202">
        <f>B551+B552</f>
        <v>3255800.0000000005</v>
      </c>
      <c r="C553" s="202">
        <f t="shared" ref="C553:H553" si="261">C551+C552</f>
        <v>3365200</v>
      </c>
      <c r="D553" s="202">
        <f t="shared" si="261"/>
        <v>3620900.0000000005</v>
      </c>
      <c r="E553" s="202">
        <f t="shared" si="261"/>
        <v>4105300</v>
      </c>
      <c r="F553" s="202">
        <f t="shared" si="261"/>
        <v>8298300</v>
      </c>
      <c r="G553" s="202">
        <f t="shared" si="261"/>
        <v>12035700</v>
      </c>
      <c r="H553" s="202">
        <f t="shared" si="261"/>
        <v>8482400</v>
      </c>
      <c r="I553" s="202">
        <f>I551+I552</f>
        <v>43163599.999999993</v>
      </c>
      <c r="J553" s="221">
        <f t="shared" si="254"/>
        <v>6166228.57142857</v>
      </c>
    </row>
    <row r="556" spans="1:12" ht="26.25" x14ac:dyDescent="0.25">
      <c r="B556" s="1007" t="s">
        <v>361</v>
      </c>
      <c r="C556" s="1007"/>
      <c r="D556" s="1007"/>
      <c r="E556" s="1007"/>
      <c r="F556" s="1007"/>
      <c r="G556" s="1007"/>
      <c r="H556" s="1007"/>
    </row>
    <row r="557" spans="1:12" ht="15.75" x14ac:dyDescent="0.25">
      <c r="A557" s="207" t="s">
        <v>2</v>
      </c>
      <c r="B557" s="121" t="s">
        <v>201</v>
      </c>
      <c r="C557" s="121" t="s">
        <v>202</v>
      </c>
      <c r="D557" s="121" t="s">
        <v>203</v>
      </c>
      <c r="E557" s="121" t="s">
        <v>204</v>
      </c>
      <c r="F557" s="121" t="s">
        <v>205</v>
      </c>
      <c r="G557" s="121" t="s">
        <v>206</v>
      </c>
      <c r="H557" s="121" t="s">
        <v>207</v>
      </c>
      <c r="I557" s="121" t="s">
        <v>96</v>
      </c>
      <c r="J557" s="209" t="s">
        <v>97</v>
      </c>
    </row>
    <row r="558" spans="1:12" x14ac:dyDescent="0.25">
      <c r="A558" s="332" t="s">
        <v>11</v>
      </c>
      <c r="B558" s="75">
        <v>99</v>
      </c>
      <c r="C558" s="75">
        <v>108</v>
      </c>
      <c r="D558" s="75">
        <v>118</v>
      </c>
      <c r="E558" s="316">
        <v>123</v>
      </c>
      <c r="F558" s="316">
        <v>261</v>
      </c>
      <c r="G558" s="316">
        <v>451</v>
      </c>
      <c r="H558" s="316">
        <v>298</v>
      </c>
      <c r="I558" s="316">
        <f>SUM(B558:H558)</f>
        <v>1458</v>
      </c>
      <c r="J558" s="382">
        <f>+I558/9</f>
        <v>162</v>
      </c>
      <c r="L558">
        <v>53</v>
      </c>
    </row>
    <row r="559" spans="1:12" x14ac:dyDescent="0.25">
      <c r="A559" s="212" t="s">
        <v>12</v>
      </c>
      <c r="B559" s="11">
        <v>37</v>
      </c>
      <c r="C559" s="11">
        <v>48</v>
      </c>
      <c r="D559" s="11">
        <v>58</v>
      </c>
      <c r="E559" s="11">
        <v>62</v>
      </c>
      <c r="F559" s="11">
        <v>133</v>
      </c>
      <c r="G559" s="11">
        <v>209</v>
      </c>
      <c r="H559" s="11">
        <v>155</v>
      </c>
      <c r="I559" s="11">
        <f>SUM(CEDRITOS!$B559:$H559)</f>
        <v>702</v>
      </c>
      <c r="J559" s="60">
        <f t="shared" ref="J559:J564" si="262">I559/9</f>
        <v>78</v>
      </c>
      <c r="L559">
        <v>60</v>
      </c>
    </row>
    <row r="560" spans="1:12" x14ac:dyDescent="0.25">
      <c r="A560" s="212" t="s">
        <v>13</v>
      </c>
      <c r="B560" s="11">
        <v>0</v>
      </c>
      <c r="C560" s="11">
        <v>2</v>
      </c>
      <c r="D560" s="11">
        <v>1</v>
      </c>
      <c r="E560" s="11">
        <v>2</v>
      </c>
      <c r="F560" s="11">
        <v>7</v>
      </c>
      <c r="G560" s="11">
        <v>9</v>
      </c>
      <c r="H560" s="11">
        <v>3</v>
      </c>
      <c r="I560" s="11">
        <f>SUM(CEDRITOS!$B560:$H560)</f>
        <v>24</v>
      </c>
      <c r="J560" s="60">
        <f t="shared" si="262"/>
        <v>2.6666666666666665</v>
      </c>
      <c r="L560">
        <v>10</v>
      </c>
    </row>
    <row r="561" spans="1:12" x14ac:dyDescent="0.25">
      <c r="A561" s="212" t="s">
        <v>14</v>
      </c>
      <c r="B561" s="11">
        <v>39</v>
      </c>
      <c r="C561" s="11">
        <v>60</v>
      </c>
      <c r="D561" s="11">
        <v>35</v>
      </c>
      <c r="E561" s="11">
        <v>43</v>
      </c>
      <c r="F561" s="11">
        <v>68</v>
      </c>
      <c r="G561" s="11">
        <v>81</v>
      </c>
      <c r="H561" s="11">
        <v>71</v>
      </c>
      <c r="I561" s="11">
        <f>SUM(CEDRITOS!$B561:$H561)</f>
        <v>397</v>
      </c>
      <c r="J561" s="60">
        <f t="shared" si="262"/>
        <v>44.111111111111114</v>
      </c>
      <c r="L561">
        <f>SUM(L558:L560)</f>
        <v>123</v>
      </c>
    </row>
    <row r="562" spans="1:12" x14ac:dyDescent="0.25">
      <c r="A562" s="212" t="s">
        <v>15</v>
      </c>
      <c r="B562" s="11">
        <v>13</v>
      </c>
      <c r="C562" s="11">
        <v>9</v>
      </c>
      <c r="D562" s="11">
        <v>9</v>
      </c>
      <c r="E562" s="11">
        <v>9</v>
      </c>
      <c r="F562" s="11">
        <v>40</v>
      </c>
      <c r="G562" s="11">
        <v>47</v>
      </c>
      <c r="H562" s="11">
        <v>35</v>
      </c>
      <c r="I562" s="11">
        <f>SUM(CEDRITOS!$B562:$H562)</f>
        <v>162</v>
      </c>
      <c r="J562" s="60">
        <f t="shared" si="262"/>
        <v>18</v>
      </c>
    </row>
    <row r="563" spans="1:12" x14ac:dyDescent="0.25">
      <c r="A563" s="212" t="s">
        <v>16</v>
      </c>
      <c r="B563" s="11">
        <v>0</v>
      </c>
      <c r="C563" s="11">
        <v>0</v>
      </c>
      <c r="D563" s="11">
        <v>2</v>
      </c>
      <c r="E563" s="11">
        <v>0</v>
      </c>
      <c r="F563" s="11">
        <v>2</v>
      </c>
      <c r="G563" s="86">
        <v>1</v>
      </c>
      <c r="H563" s="86">
        <v>1</v>
      </c>
      <c r="I563" s="11">
        <f>SUM(CEDRITOS!$B563:$H563)</f>
        <v>6</v>
      </c>
      <c r="J563" s="60">
        <f t="shared" si="262"/>
        <v>0.66666666666666663</v>
      </c>
    </row>
    <row r="564" spans="1:12" x14ac:dyDescent="0.25">
      <c r="A564" s="213" t="s">
        <v>17</v>
      </c>
      <c r="B564" s="192">
        <f t="shared" ref="B564:I564" si="263">SUM(B559:B563)</f>
        <v>89</v>
      </c>
      <c r="C564" s="192">
        <f t="shared" si="263"/>
        <v>119</v>
      </c>
      <c r="D564" s="192">
        <f t="shared" si="263"/>
        <v>105</v>
      </c>
      <c r="E564" s="192">
        <f t="shared" si="263"/>
        <v>116</v>
      </c>
      <c r="F564" s="192">
        <f t="shared" si="263"/>
        <v>250</v>
      </c>
      <c r="G564" s="192">
        <f t="shared" si="263"/>
        <v>347</v>
      </c>
      <c r="H564" s="192">
        <f t="shared" si="263"/>
        <v>265</v>
      </c>
      <c r="I564" s="192">
        <f t="shared" si="263"/>
        <v>1291</v>
      </c>
      <c r="J564" s="214">
        <f t="shared" si="262"/>
        <v>143.44444444444446</v>
      </c>
    </row>
    <row r="565" spans="1:12" x14ac:dyDescent="0.25">
      <c r="A565" s="212" t="s">
        <v>18</v>
      </c>
      <c r="B565" s="30">
        <v>0.45</v>
      </c>
      <c r="C565" s="30">
        <v>0.34</v>
      </c>
      <c r="D565" s="30">
        <v>0.57999999999999996</v>
      </c>
      <c r="E565" s="30">
        <v>0.53</v>
      </c>
      <c r="F565" s="30">
        <v>0.56999999999999995</v>
      </c>
      <c r="G565" s="30">
        <v>0.6</v>
      </c>
      <c r="H565" s="30">
        <v>0.64</v>
      </c>
      <c r="I565" s="30">
        <f>I572/I577</f>
        <v>0.56668158427709958</v>
      </c>
      <c r="J565" s="160">
        <f>J572/J577</f>
        <v>0.56668158427709958</v>
      </c>
    </row>
    <row r="566" spans="1:12" x14ac:dyDescent="0.25">
      <c r="A566" s="212" t="s">
        <v>19</v>
      </c>
      <c r="B566" s="30">
        <v>0</v>
      </c>
      <c r="C566" s="30">
        <v>0.03</v>
      </c>
      <c r="D566" s="30">
        <v>0</v>
      </c>
      <c r="E566" s="30">
        <v>0.02</v>
      </c>
      <c r="F566" s="30">
        <v>0.05</v>
      </c>
      <c r="G566" s="30">
        <v>0.03</v>
      </c>
      <c r="H566" s="30">
        <v>0.01</v>
      </c>
      <c r="I566" s="30">
        <f>I573/I577</f>
        <v>2.4562316969324854E-2</v>
      </c>
      <c r="J566" s="160">
        <f>J573/J577</f>
        <v>2.4562316969324854E-2</v>
      </c>
    </row>
    <row r="567" spans="1:12" x14ac:dyDescent="0.25">
      <c r="A567" s="212" t="s">
        <v>20</v>
      </c>
      <c r="B567" s="30">
        <v>0.41</v>
      </c>
      <c r="C567" s="30">
        <v>0.53</v>
      </c>
      <c r="D567" s="30">
        <v>0.28999999999999998</v>
      </c>
      <c r="E567" s="30">
        <v>0.38</v>
      </c>
      <c r="F567" s="30">
        <v>0.23</v>
      </c>
      <c r="G567" s="30">
        <v>0.23</v>
      </c>
      <c r="H567" s="30">
        <v>0.23</v>
      </c>
      <c r="I567" s="30">
        <f>I574/I577</f>
        <v>0.28066322322089526</v>
      </c>
      <c r="J567" s="160">
        <f>J574/J577</f>
        <v>0.28066322322089521</v>
      </c>
    </row>
    <row r="568" spans="1:12" x14ac:dyDescent="0.25">
      <c r="A568" s="212" t="s">
        <v>21</v>
      </c>
      <c r="B568" s="30">
        <v>0.14000000000000001</v>
      </c>
      <c r="C568" s="30">
        <v>0.1</v>
      </c>
      <c r="D568" s="30">
        <v>0.11</v>
      </c>
      <c r="E568" s="30">
        <v>7.0000000000000007E-2</v>
      </c>
      <c r="F568" s="30">
        <v>0.14000000000000001</v>
      </c>
      <c r="G568" s="30">
        <v>0.13</v>
      </c>
      <c r="H568" s="30">
        <v>0.12</v>
      </c>
      <c r="I568" s="30">
        <f>I575/I577</f>
        <v>0.12151459621931243</v>
      </c>
      <c r="J568" s="160">
        <f>J575/J577</f>
        <v>0.12151459621931243</v>
      </c>
    </row>
    <row r="569" spans="1:12" x14ac:dyDescent="0.25">
      <c r="A569" s="212" t="s">
        <v>22</v>
      </c>
      <c r="B569" s="30">
        <v>0</v>
      </c>
      <c r="C569" s="30">
        <v>0</v>
      </c>
      <c r="D569" s="30">
        <v>0.02</v>
      </c>
      <c r="E569" s="30">
        <v>0</v>
      </c>
      <c r="F569" s="30">
        <v>0.01</v>
      </c>
      <c r="G569" s="30">
        <v>0.01</v>
      </c>
      <c r="H569" s="30">
        <v>0</v>
      </c>
      <c r="I569" s="30">
        <f>I576/I577</f>
        <v>6.5782793133678848E-3</v>
      </c>
      <c r="J569" s="160">
        <f>J576/J577</f>
        <v>6.578279313367884E-3</v>
      </c>
    </row>
    <row r="570" spans="1:12" x14ac:dyDescent="0.25">
      <c r="A570" s="215" t="s">
        <v>23</v>
      </c>
      <c r="B570" s="66">
        <f t="shared" ref="B570:J570" si="264">B581/B564</f>
        <v>30812.3595505618</v>
      </c>
      <c r="C570" s="66">
        <f t="shared" si="264"/>
        <v>27150.420168067227</v>
      </c>
      <c r="D570" s="66">
        <f t="shared" si="264"/>
        <v>33671.428571428572</v>
      </c>
      <c r="E570" s="66">
        <f t="shared" si="264"/>
        <v>33075</v>
      </c>
      <c r="F570" s="66">
        <f t="shared" si="264"/>
        <v>32747.200000000001</v>
      </c>
      <c r="G570" s="66">
        <f t="shared" si="264"/>
        <v>40375.216138328535</v>
      </c>
      <c r="H570" s="66">
        <f t="shared" si="264"/>
        <v>33826.037735849066</v>
      </c>
      <c r="I570" s="66">
        <f t="shared" si="264"/>
        <v>34474.283501161888</v>
      </c>
      <c r="J570" s="67">
        <f t="shared" si="264"/>
        <v>44324.078787208142</v>
      </c>
    </row>
    <row r="571" spans="1:12" x14ac:dyDescent="0.25">
      <c r="A571" s="215" t="s">
        <v>24</v>
      </c>
      <c r="B571" s="66">
        <f t="shared" ref="B571:I571" si="265">+B581/B558</f>
        <v>27700</v>
      </c>
      <c r="C571" s="66">
        <f t="shared" si="265"/>
        <v>29915.740740740741</v>
      </c>
      <c r="D571" s="66">
        <f t="shared" si="265"/>
        <v>29961.864406779659</v>
      </c>
      <c r="E571" s="66">
        <f t="shared" si="265"/>
        <v>31192.682926829268</v>
      </c>
      <c r="F571" s="66">
        <f t="shared" si="265"/>
        <v>31367.049808429118</v>
      </c>
      <c r="G571" s="66">
        <f t="shared" si="265"/>
        <v>31064.745011086477</v>
      </c>
      <c r="H571" s="66">
        <f t="shared" si="265"/>
        <v>30080.201342281885</v>
      </c>
      <c r="I571" s="66">
        <f t="shared" si="265"/>
        <v>30525.582990397805</v>
      </c>
      <c r="J571" s="67">
        <f>J581/J558</f>
        <v>39247.178130511464</v>
      </c>
    </row>
    <row r="572" spans="1:12" x14ac:dyDescent="0.25">
      <c r="A572" s="212" t="s">
        <v>25</v>
      </c>
      <c r="B572" s="92">
        <f t="shared" ref="B572:H572" si="266">B577*B565</f>
        <v>1027942.525862069</v>
      </c>
      <c r="C572" s="92">
        <f t="shared" si="266"/>
        <v>911818.33103448281</v>
      </c>
      <c r="D572" s="92">
        <f t="shared" si="266"/>
        <v>1695255.8</v>
      </c>
      <c r="E572" s="92">
        <f t="shared" si="266"/>
        <v>1682161.7000000002</v>
      </c>
      <c r="F572" s="92">
        <f t="shared" si="266"/>
        <v>3859453.5879310342</v>
      </c>
      <c r="G572" s="31">
        <f t="shared" si="266"/>
        <v>6976418.1724137934</v>
      </c>
      <c r="H572" s="31">
        <f t="shared" si="266"/>
        <v>4731824.0000000009</v>
      </c>
      <c r="I572" s="31">
        <f>SUM(B572:H572)</f>
        <v>20884874.117241379</v>
      </c>
      <c r="J572" s="32">
        <f t="shared" ref="J572:J581" si="267">I572/7</f>
        <v>2983553.4453201969</v>
      </c>
    </row>
    <row r="573" spans="1:12" x14ac:dyDescent="0.25">
      <c r="A573" s="212" t="s">
        <v>26</v>
      </c>
      <c r="B573" s="92">
        <f t="shared" ref="B573:H573" si="268">B577*B566</f>
        <v>0</v>
      </c>
      <c r="C573" s="92">
        <f t="shared" si="268"/>
        <v>80454.558620689655</v>
      </c>
      <c r="D573" s="92">
        <f t="shared" si="268"/>
        <v>0</v>
      </c>
      <c r="E573" s="92">
        <f t="shared" si="268"/>
        <v>63477.8</v>
      </c>
      <c r="F573" s="92">
        <f t="shared" si="268"/>
        <v>338548.56034482759</v>
      </c>
      <c r="G573" s="31">
        <f t="shared" si="268"/>
        <v>348820.9086206897</v>
      </c>
      <c r="H573" s="31">
        <f t="shared" si="268"/>
        <v>73934.750000000015</v>
      </c>
      <c r="I573" s="31">
        <f>SUM(B573:H573)</f>
        <v>905236.57758620696</v>
      </c>
      <c r="J573" s="32">
        <f t="shared" si="267"/>
        <v>129319.51108374386</v>
      </c>
    </row>
    <row r="574" spans="1:12" x14ac:dyDescent="0.25">
      <c r="A574" s="212" t="s">
        <v>27</v>
      </c>
      <c r="B574" s="92">
        <f t="shared" ref="B574:H574" si="269">B577*B567</f>
        <v>936569.85689655168</v>
      </c>
      <c r="C574" s="92">
        <f t="shared" si="269"/>
        <v>1421363.8689655173</v>
      </c>
      <c r="D574" s="92">
        <f t="shared" si="269"/>
        <v>847627.9</v>
      </c>
      <c r="E574" s="92">
        <f t="shared" si="269"/>
        <v>1206078.2</v>
      </c>
      <c r="F574" s="92">
        <f t="shared" si="269"/>
        <v>1557323.3775862069</v>
      </c>
      <c r="G574" s="31">
        <f t="shared" si="269"/>
        <v>2674293.6327586211</v>
      </c>
      <c r="H574" s="31">
        <f t="shared" si="269"/>
        <v>1700499.2500000002</v>
      </c>
      <c r="I574" s="31">
        <f>SUM(B574:H574)</f>
        <v>10343756.086206896</v>
      </c>
      <c r="J574" s="32">
        <f t="shared" si="267"/>
        <v>1477679.4408866994</v>
      </c>
    </row>
    <row r="575" spans="1:12" x14ac:dyDescent="0.25">
      <c r="A575" s="212" t="s">
        <v>28</v>
      </c>
      <c r="B575" s="92">
        <f t="shared" ref="B575:H575" si="270">B577*B568</f>
        <v>319804.34137931041</v>
      </c>
      <c r="C575" s="92">
        <f t="shared" si="270"/>
        <v>268181.86206896551</v>
      </c>
      <c r="D575" s="92">
        <f t="shared" si="270"/>
        <v>321514.03103448276</v>
      </c>
      <c r="E575" s="92">
        <f t="shared" si="270"/>
        <v>222172.30000000002</v>
      </c>
      <c r="F575" s="92">
        <f t="shared" si="270"/>
        <v>947935.96896551736</v>
      </c>
      <c r="G575" s="31">
        <f t="shared" si="270"/>
        <v>1511557.2706896553</v>
      </c>
      <c r="H575" s="31">
        <f t="shared" si="270"/>
        <v>887217.00000000012</v>
      </c>
      <c r="I575" s="31">
        <f>SUM(B575:H575)</f>
        <v>4478382.7741379319</v>
      </c>
      <c r="J575" s="32">
        <f t="shared" si="267"/>
        <v>639768.96773399028</v>
      </c>
    </row>
    <row r="576" spans="1:12" x14ac:dyDescent="0.25">
      <c r="A576" s="212" t="s">
        <v>29</v>
      </c>
      <c r="B576" s="92">
        <f t="shared" ref="B576:H576" si="271">B577*B569</f>
        <v>0</v>
      </c>
      <c r="C576" s="92">
        <f t="shared" si="271"/>
        <v>0</v>
      </c>
      <c r="D576" s="92">
        <f t="shared" si="271"/>
        <v>58457.096551724142</v>
      </c>
      <c r="E576" s="92">
        <f t="shared" si="271"/>
        <v>0</v>
      </c>
      <c r="F576" s="92">
        <f t="shared" si="271"/>
        <v>67709.712068965513</v>
      </c>
      <c r="G576" s="31">
        <f t="shared" si="271"/>
        <v>116273.63620689657</v>
      </c>
      <c r="H576" s="31">
        <f t="shared" si="271"/>
        <v>0</v>
      </c>
      <c r="I576" s="31">
        <f>SUM(B576:H576)</f>
        <v>242440.44482758624</v>
      </c>
      <c r="J576" s="32">
        <f t="shared" si="267"/>
        <v>34634.349261083749</v>
      </c>
    </row>
    <row r="577" spans="1:10" x14ac:dyDescent="0.25">
      <c r="A577" s="216" t="s">
        <v>30</v>
      </c>
      <c r="B577" s="91">
        <f>(2742300/1.16)-B578</f>
        <v>2284316.7241379311</v>
      </c>
      <c r="C577" s="91">
        <f>(3230900/1.16)-C578</f>
        <v>2681818.6206896552</v>
      </c>
      <c r="D577" s="91">
        <f>(3535500/1.16)-D578</f>
        <v>2922854.8275862071</v>
      </c>
      <c r="E577" s="91">
        <f>(3836700/1.16)-E578</f>
        <v>3173890</v>
      </c>
      <c r="F577" s="91">
        <f>(8186800/1.16)-F578</f>
        <v>6770971.2068965519</v>
      </c>
      <c r="G577" s="197">
        <f>(14010200/1.16)-G578</f>
        <v>11627363.620689657</v>
      </c>
      <c r="H577" s="197">
        <f>(8963900/1.16)-H578</f>
        <v>7393475.0000000009</v>
      </c>
      <c r="I577" s="197">
        <f>SUM(I572:I576)</f>
        <v>36854690</v>
      </c>
      <c r="J577" s="217">
        <f t="shared" si="267"/>
        <v>5264955.7142857146</v>
      </c>
    </row>
    <row r="578" spans="1:10" x14ac:dyDescent="0.25">
      <c r="A578" s="212" t="s">
        <v>31</v>
      </c>
      <c r="B578" s="92">
        <f t="shared" ref="B578:I578" si="272">2155*B559</f>
        <v>79735</v>
      </c>
      <c r="C578" s="92">
        <f t="shared" si="272"/>
        <v>103440</v>
      </c>
      <c r="D578" s="92">
        <f t="shared" si="272"/>
        <v>124990</v>
      </c>
      <c r="E578" s="92">
        <f t="shared" si="272"/>
        <v>133610</v>
      </c>
      <c r="F578" s="92">
        <f t="shared" si="272"/>
        <v>286615</v>
      </c>
      <c r="G578" s="31">
        <f t="shared" si="272"/>
        <v>450395</v>
      </c>
      <c r="H578" s="31">
        <f t="shared" si="272"/>
        <v>334025</v>
      </c>
      <c r="I578" s="31">
        <f t="shared" si="272"/>
        <v>1512810</v>
      </c>
      <c r="J578" s="32">
        <f t="shared" si="267"/>
        <v>216115.71428571429</v>
      </c>
    </row>
    <row r="579" spans="1:10" x14ac:dyDescent="0.25">
      <c r="A579" s="218" t="s">
        <v>32</v>
      </c>
      <c r="B579" s="199">
        <f>B578+B577</f>
        <v>2364051.7241379311</v>
      </c>
      <c r="C579" s="199">
        <f>C578+C577</f>
        <v>2785258.6206896552</v>
      </c>
      <c r="D579" s="199">
        <f>D578+D577</f>
        <v>3047844.8275862071</v>
      </c>
      <c r="E579" s="199">
        <f>E578+E577</f>
        <v>3307500</v>
      </c>
      <c r="F579" s="199">
        <f>F577+F578</f>
        <v>7057586.2068965519</v>
      </c>
      <c r="G579" s="199">
        <f>G578+G577</f>
        <v>12077758.620689657</v>
      </c>
      <c r="H579" s="199">
        <f>H578+H577</f>
        <v>7727500.0000000009</v>
      </c>
      <c r="I579" s="199">
        <f>I577+I578</f>
        <v>38367500</v>
      </c>
      <c r="J579" s="219">
        <f t="shared" si="267"/>
        <v>5481071.4285714282</v>
      </c>
    </row>
    <row r="580" spans="1:10" x14ac:dyDescent="0.25">
      <c r="A580" s="212" t="s">
        <v>33</v>
      </c>
      <c r="B580" s="94">
        <f>B579*16%</f>
        <v>378248.27586206899</v>
      </c>
      <c r="C580" s="94">
        <f t="shared" ref="C580:H580" si="273">C579*16%</f>
        <v>445641.37931034481</v>
      </c>
      <c r="D580" s="94">
        <f t="shared" si="273"/>
        <v>487655.17241379316</v>
      </c>
      <c r="E580" s="94">
        <f t="shared" si="273"/>
        <v>529200</v>
      </c>
      <c r="F580" s="94">
        <f t="shared" si="273"/>
        <v>1129213.7931034483</v>
      </c>
      <c r="G580" s="94">
        <f t="shared" si="273"/>
        <v>1932441.379310345</v>
      </c>
      <c r="H580" s="94">
        <f t="shared" si="273"/>
        <v>1236400.0000000002</v>
      </c>
      <c r="I580" s="94">
        <f>I579*16%</f>
        <v>6138800</v>
      </c>
      <c r="J580" s="32">
        <f t="shared" si="267"/>
        <v>876971.42857142852</v>
      </c>
    </row>
    <row r="581" spans="1:10" x14ac:dyDescent="0.25">
      <c r="A581" s="220" t="s">
        <v>34</v>
      </c>
      <c r="B581" s="202">
        <f>B579+B580</f>
        <v>2742300</v>
      </c>
      <c r="C581" s="202">
        <f t="shared" ref="C581:H581" si="274">C579+C580</f>
        <v>3230900</v>
      </c>
      <c r="D581" s="202">
        <f t="shared" si="274"/>
        <v>3535500</v>
      </c>
      <c r="E581" s="202">
        <f t="shared" si="274"/>
        <v>3836700</v>
      </c>
      <c r="F581" s="202">
        <f t="shared" si="274"/>
        <v>8186800</v>
      </c>
      <c r="G581" s="202">
        <f t="shared" si="274"/>
        <v>14010200.000000002</v>
      </c>
      <c r="H581" s="202">
        <f t="shared" si="274"/>
        <v>8963900.0000000019</v>
      </c>
      <c r="I581" s="202">
        <f>I579+I580</f>
        <v>44506300</v>
      </c>
      <c r="J581" s="221">
        <f t="shared" si="267"/>
        <v>6358042.8571428573</v>
      </c>
    </row>
    <row r="584" spans="1:10" ht="26.25" x14ac:dyDescent="0.25">
      <c r="B584" s="1007" t="s">
        <v>361</v>
      </c>
      <c r="C584" s="1007"/>
      <c r="D584" s="1007"/>
      <c r="E584" s="1007"/>
      <c r="F584" s="1007"/>
      <c r="G584" s="1007"/>
      <c r="H584" s="1007"/>
    </row>
    <row r="585" spans="1:10" ht="15.75" x14ac:dyDescent="0.25">
      <c r="A585" s="207" t="s">
        <v>2</v>
      </c>
      <c r="B585" s="121" t="s">
        <v>201</v>
      </c>
      <c r="C585" s="121" t="s">
        <v>202</v>
      </c>
      <c r="D585" s="121" t="s">
        <v>203</v>
      </c>
      <c r="E585" s="121" t="s">
        <v>204</v>
      </c>
      <c r="F585" s="121" t="s">
        <v>205</v>
      </c>
      <c r="G585" s="121" t="s">
        <v>206</v>
      </c>
      <c r="H585" s="121" t="s">
        <v>207</v>
      </c>
      <c r="I585" s="121" t="s">
        <v>96</v>
      </c>
      <c r="J585" s="209" t="s">
        <v>97</v>
      </c>
    </row>
    <row r="586" spans="1:10" x14ac:dyDescent="0.25">
      <c r="A586" s="332" t="s">
        <v>11</v>
      </c>
      <c r="B586" s="75">
        <v>99</v>
      </c>
      <c r="C586" s="75">
        <v>108</v>
      </c>
      <c r="D586" s="75">
        <v>118</v>
      </c>
      <c r="E586" s="316">
        <v>123</v>
      </c>
      <c r="F586" s="316">
        <v>261</v>
      </c>
      <c r="G586" s="316">
        <v>451</v>
      </c>
      <c r="H586" s="316">
        <v>298</v>
      </c>
      <c r="I586" s="316">
        <f>SUM(B586:H586)</f>
        <v>1458</v>
      </c>
      <c r="J586" s="382">
        <f>+I586/9</f>
        <v>162</v>
      </c>
    </row>
    <row r="587" spans="1:10" x14ac:dyDescent="0.25">
      <c r="A587" s="212" t="s">
        <v>12</v>
      </c>
      <c r="B587" s="11">
        <v>37</v>
      </c>
      <c r="C587" s="11">
        <v>48</v>
      </c>
      <c r="D587" s="11">
        <v>58</v>
      </c>
      <c r="E587" s="11">
        <v>62</v>
      </c>
      <c r="F587" s="11">
        <v>133</v>
      </c>
      <c r="G587" s="11">
        <v>209</v>
      </c>
      <c r="H587" s="11">
        <v>155</v>
      </c>
      <c r="I587" s="11">
        <f>SUM(CEDRITOS!$B587:$H587)</f>
        <v>702</v>
      </c>
      <c r="J587" s="60">
        <f t="shared" ref="J587:J592" si="275">I587/9</f>
        <v>78</v>
      </c>
    </row>
    <row r="588" spans="1:10" x14ac:dyDescent="0.25">
      <c r="A588" s="212" t="s">
        <v>13</v>
      </c>
      <c r="B588" s="11">
        <v>0</v>
      </c>
      <c r="C588" s="11">
        <v>2</v>
      </c>
      <c r="D588" s="11">
        <v>1</v>
      </c>
      <c r="E588" s="11">
        <v>2</v>
      </c>
      <c r="F588" s="11">
        <v>7</v>
      </c>
      <c r="G588" s="11">
        <v>9</v>
      </c>
      <c r="H588" s="11">
        <v>3</v>
      </c>
      <c r="I588" s="11">
        <f>SUM(CEDRITOS!$B588:$H588)</f>
        <v>24</v>
      </c>
      <c r="J588" s="60">
        <f t="shared" si="275"/>
        <v>2.6666666666666665</v>
      </c>
    </row>
    <row r="589" spans="1:10" x14ac:dyDescent="0.25">
      <c r="A589" s="212" t="s">
        <v>14</v>
      </c>
      <c r="B589" s="11">
        <v>39</v>
      </c>
      <c r="C589" s="11">
        <v>60</v>
      </c>
      <c r="D589" s="11">
        <v>35</v>
      </c>
      <c r="E589" s="11">
        <v>43</v>
      </c>
      <c r="F589" s="11">
        <v>68</v>
      </c>
      <c r="G589" s="11">
        <v>81</v>
      </c>
      <c r="H589" s="11">
        <v>71</v>
      </c>
      <c r="I589" s="11">
        <f>SUM(CEDRITOS!$B589:$H589)</f>
        <v>397</v>
      </c>
      <c r="J589" s="60">
        <f t="shared" si="275"/>
        <v>44.111111111111114</v>
      </c>
    </row>
    <row r="590" spans="1:10" x14ac:dyDescent="0.25">
      <c r="A590" s="212" t="s">
        <v>15</v>
      </c>
      <c r="B590" s="11">
        <v>13</v>
      </c>
      <c r="C590" s="11">
        <v>9</v>
      </c>
      <c r="D590" s="11">
        <v>9</v>
      </c>
      <c r="E590" s="11">
        <v>9</v>
      </c>
      <c r="F590" s="11">
        <v>40</v>
      </c>
      <c r="G590" s="11">
        <v>47</v>
      </c>
      <c r="H590" s="11">
        <v>35</v>
      </c>
      <c r="I590" s="11">
        <f>SUM(CEDRITOS!$B590:$H590)</f>
        <v>162</v>
      </c>
      <c r="J590" s="60">
        <f t="shared" si="275"/>
        <v>18</v>
      </c>
    </row>
    <row r="591" spans="1:10" x14ac:dyDescent="0.25">
      <c r="A591" s="212" t="s">
        <v>16</v>
      </c>
      <c r="B591" s="11">
        <v>0</v>
      </c>
      <c r="C591" s="11">
        <v>0</v>
      </c>
      <c r="D591" s="11">
        <v>2</v>
      </c>
      <c r="E591" s="11">
        <v>0</v>
      </c>
      <c r="F591" s="11">
        <v>2</v>
      </c>
      <c r="G591" s="86">
        <v>1</v>
      </c>
      <c r="H591" s="86">
        <v>1</v>
      </c>
      <c r="I591" s="11">
        <f>SUM(CEDRITOS!$B591:$H591)</f>
        <v>6</v>
      </c>
      <c r="J591" s="60">
        <f t="shared" si="275"/>
        <v>0.66666666666666663</v>
      </c>
    </row>
    <row r="592" spans="1:10" x14ac:dyDescent="0.25">
      <c r="A592" s="213" t="s">
        <v>17</v>
      </c>
      <c r="B592" s="192">
        <f t="shared" ref="B592:I592" si="276">SUM(B587:B591)</f>
        <v>89</v>
      </c>
      <c r="C592" s="192">
        <f t="shared" si="276"/>
        <v>119</v>
      </c>
      <c r="D592" s="192">
        <f t="shared" si="276"/>
        <v>105</v>
      </c>
      <c r="E592" s="192">
        <f t="shared" si="276"/>
        <v>116</v>
      </c>
      <c r="F592" s="192">
        <f t="shared" si="276"/>
        <v>250</v>
      </c>
      <c r="G592" s="192">
        <f t="shared" si="276"/>
        <v>347</v>
      </c>
      <c r="H592" s="192">
        <f t="shared" si="276"/>
        <v>265</v>
      </c>
      <c r="I592" s="192">
        <f t="shared" si="276"/>
        <v>1291</v>
      </c>
      <c r="J592" s="214">
        <f t="shared" si="275"/>
        <v>143.44444444444446</v>
      </c>
    </row>
    <row r="593" spans="1:10" x14ac:dyDescent="0.25">
      <c r="A593" s="212" t="s">
        <v>18</v>
      </c>
      <c r="B593" s="30">
        <v>0.45</v>
      </c>
      <c r="C593" s="30">
        <v>0.34</v>
      </c>
      <c r="D593" s="30">
        <v>0.57999999999999996</v>
      </c>
      <c r="E593" s="30">
        <v>0.53</v>
      </c>
      <c r="F593" s="30">
        <v>0.56999999999999995</v>
      </c>
      <c r="G593" s="30">
        <v>0.6</v>
      </c>
      <c r="H593" s="30">
        <v>0.64</v>
      </c>
      <c r="I593" s="30">
        <f>I600/I605</f>
        <v>0.56668158427709958</v>
      </c>
      <c r="J593" s="160">
        <f>J600/J605</f>
        <v>0.56668158427709958</v>
      </c>
    </row>
    <row r="594" spans="1:10" x14ac:dyDescent="0.25">
      <c r="A594" s="212" t="s">
        <v>19</v>
      </c>
      <c r="B594" s="30">
        <v>0</v>
      </c>
      <c r="C594" s="30">
        <v>0.03</v>
      </c>
      <c r="D594" s="30">
        <v>0</v>
      </c>
      <c r="E594" s="30">
        <v>0.02</v>
      </c>
      <c r="F594" s="30">
        <v>0.05</v>
      </c>
      <c r="G594" s="30">
        <v>0.03</v>
      </c>
      <c r="H594" s="30">
        <v>0.01</v>
      </c>
      <c r="I594" s="30">
        <f>I601/I605</f>
        <v>2.4562316969324854E-2</v>
      </c>
      <c r="J594" s="160">
        <f>J601/J605</f>
        <v>2.4562316969324854E-2</v>
      </c>
    </row>
    <row r="595" spans="1:10" x14ac:dyDescent="0.25">
      <c r="A595" s="212" t="s">
        <v>20</v>
      </c>
      <c r="B595" s="30">
        <v>0.41</v>
      </c>
      <c r="C595" s="30">
        <v>0.53</v>
      </c>
      <c r="D595" s="30">
        <v>0.28999999999999998</v>
      </c>
      <c r="E595" s="30">
        <v>0.38</v>
      </c>
      <c r="F595" s="30">
        <v>0.23</v>
      </c>
      <c r="G595" s="30">
        <v>0.23</v>
      </c>
      <c r="H595" s="30">
        <v>0.23</v>
      </c>
      <c r="I595" s="30">
        <f>I602/I605</f>
        <v>0.28066322322089526</v>
      </c>
      <c r="J595" s="160">
        <f>J602/J605</f>
        <v>0.28066322322089521</v>
      </c>
    </row>
    <row r="596" spans="1:10" x14ac:dyDescent="0.25">
      <c r="A596" s="212" t="s">
        <v>21</v>
      </c>
      <c r="B596" s="30">
        <v>0.14000000000000001</v>
      </c>
      <c r="C596" s="30">
        <v>0.1</v>
      </c>
      <c r="D596" s="30">
        <v>0.11</v>
      </c>
      <c r="E596" s="30">
        <v>7.0000000000000007E-2</v>
      </c>
      <c r="F596" s="30">
        <v>0.14000000000000001</v>
      </c>
      <c r="G596" s="30">
        <v>0.13</v>
      </c>
      <c r="H596" s="30">
        <v>0.12</v>
      </c>
      <c r="I596" s="30">
        <f>I603/I605</f>
        <v>0.12151459621931243</v>
      </c>
      <c r="J596" s="160">
        <f>J603/J605</f>
        <v>0.12151459621931243</v>
      </c>
    </row>
    <row r="597" spans="1:10" x14ac:dyDescent="0.25">
      <c r="A597" s="212" t="s">
        <v>22</v>
      </c>
      <c r="B597" s="30">
        <v>0</v>
      </c>
      <c r="C597" s="30">
        <v>0</v>
      </c>
      <c r="D597" s="30">
        <v>0.02</v>
      </c>
      <c r="E597" s="30">
        <v>0</v>
      </c>
      <c r="F597" s="30">
        <v>0.01</v>
      </c>
      <c r="G597" s="30">
        <v>0.01</v>
      </c>
      <c r="H597" s="30">
        <v>0</v>
      </c>
      <c r="I597" s="30">
        <f>I604/I605</f>
        <v>6.5782793133678848E-3</v>
      </c>
      <c r="J597" s="160">
        <f>J604/J605</f>
        <v>6.578279313367884E-3</v>
      </c>
    </row>
    <row r="598" spans="1:10" x14ac:dyDescent="0.25">
      <c r="A598" s="215" t="s">
        <v>23</v>
      </c>
      <c r="B598" s="66">
        <f t="shared" ref="B598:J598" si="277">B609/B592</f>
        <v>30812.3595505618</v>
      </c>
      <c r="C598" s="66">
        <f t="shared" si="277"/>
        <v>27150.420168067227</v>
      </c>
      <c r="D598" s="66">
        <f t="shared" si="277"/>
        <v>33671.428571428572</v>
      </c>
      <c r="E598" s="66">
        <f t="shared" si="277"/>
        <v>33075</v>
      </c>
      <c r="F598" s="66">
        <f t="shared" si="277"/>
        <v>32747.200000000001</v>
      </c>
      <c r="G598" s="66">
        <f t="shared" si="277"/>
        <v>40375.216138328535</v>
      </c>
      <c r="H598" s="66">
        <f t="shared" si="277"/>
        <v>33826.037735849066</v>
      </c>
      <c r="I598" s="66">
        <f t="shared" si="277"/>
        <v>34474.283501161888</v>
      </c>
      <c r="J598" s="67">
        <f t="shared" si="277"/>
        <v>44324.078787208142</v>
      </c>
    </row>
    <row r="599" spans="1:10" x14ac:dyDescent="0.25">
      <c r="A599" s="215" t="s">
        <v>24</v>
      </c>
      <c r="B599" s="66">
        <f t="shared" ref="B599:I599" si="278">+B609/B586</f>
        <v>27700</v>
      </c>
      <c r="C599" s="66">
        <f t="shared" si="278"/>
        <v>29915.740740740741</v>
      </c>
      <c r="D599" s="66">
        <f t="shared" si="278"/>
        <v>29961.864406779659</v>
      </c>
      <c r="E599" s="66">
        <f t="shared" si="278"/>
        <v>31192.682926829268</v>
      </c>
      <c r="F599" s="66">
        <f t="shared" si="278"/>
        <v>31367.049808429118</v>
      </c>
      <c r="G599" s="66">
        <f t="shared" si="278"/>
        <v>31064.745011086477</v>
      </c>
      <c r="H599" s="66">
        <f t="shared" si="278"/>
        <v>30080.201342281885</v>
      </c>
      <c r="I599" s="66">
        <f t="shared" si="278"/>
        <v>30525.582990397805</v>
      </c>
      <c r="J599" s="67">
        <f>J609/J586</f>
        <v>39247.178130511464</v>
      </c>
    </row>
    <row r="600" spans="1:10" x14ac:dyDescent="0.25">
      <c r="A600" s="212" t="s">
        <v>25</v>
      </c>
      <c r="B600" s="92">
        <f t="shared" ref="B600:H600" si="279">B605*B593</f>
        <v>1027942.525862069</v>
      </c>
      <c r="C600" s="92">
        <f t="shared" si="279"/>
        <v>911818.33103448281</v>
      </c>
      <c r="D600" s="92">
        <f t="shared" si="279"/>
        <v>1695255.8</v>
      </c>
      <c r="E600" s="92">
        <f t="shared" si="279"/>
        <v>1682161.7000000002</v>
      </c>
      <c r="F600" s="92">
        <f t="shared" si="279"/>
        <v>3859453.5879310342</v>
      </c>
      <c r="G600" s="31">
        <f t="shared" si="279"/>
        <v>6976418.1724137934</v>
      </c>
      <c r="H600" s="31">
        <f t="shared" si="279"/>
        <v>4731824.0000000009</v>
      </c>
      <c r="I600" s="31">
        <f>SUM(B600:H600)</f>
        <v>20884874.117241379</v>
      </c>
      <c r="J600" s="32">
        <f t="shared" ref="J600:J609" si="280">I600/7</f>
        <v>2983553.4453201969</v>
      </c>
    </row>
    <row r="601" spans="1:10" x14ac:dyDescent="0.25">
      <c r="A601" s="212" t="s">
        <v>26</v>
      </c>
      <c r="B601" s="92">
        <f t="shared" ref="B601:H601" si="281">B605*B594</f>
        <v>0</v>
      </c>
      <c r="C601" s="92">
        <f t="shared" si="281"/>
        <v>80454.558620689655</v>
      </c>
      <c r="D601" s="92">
        <f t="shared" si="281"/>
        <v>0</v>
      </c>
      <c r="E601" s="92">
        <f t="shared" si="281"/>
        <v>63477.8</v>
      </c>
      <c r="F601" s="92">
        <f t="shared" si="281"/>
        <v>338548.56034482759</v>
      </c>
      <c r="G601" s="31">
        <f t="shared" si="281"/>
        <v>348820.9086206897</v>
      </c>
      <c r="H601" s="31">
        <f t="shared" si="281"/>
        <v>73934.750000000015</v>
      </c>
      <c r="I601" s="31">
        <f>SUM(B601:H601)</f>
        <v>905236.57758620696</v>
      </c>
      <c r="J601" s="32">
        <f t="shared" si="280"/>
        <v>129319.51108374386</v>
      </c>
    </row>
    <row r="602" spans="1:10" x14ac:dyDescent="0.25">
      <c r="A602" s="212" t="s">
        <v>27</v>
      </c>
      <c r="B602" s="92">
        <f t="shared" ref="B602:H602" si="282">B605*B595</f>
        <v>936569.85689655168</v>
      </c>
      <c r="C602" s="92">
        <f t="shared" si="282"/>
        <v>1421363.8689655173</v>
      </c>
      <c r="D602" s="92">
        <f t="shared" si="282"/>
        <v>847627.9</v>
      </c>
      <c r="E602" s="92">
        <f t="shared" si="282"/>
        <v>1206078.2</v>
      </c>
      <c r="F602" s="92">
        <f t="shared" si="282"/>
        <v>1557323.3775862069</v>
      </c>
      <c r="G602" s="31">
        <f t="shared" si="282"/>
        <v>2674293.6327586211</v>
      </c>
      <c r="H602" s="31">
        <f t="shared" si="282"/>
        <v>1700499.2500000002</v>
      </c>
      <c r="I602" s="31">
        <f>SUM(B602:H602)</f>
        <v>10343756.086206896</v>
      </c>
      <c r="J602" s="32">
        <f t="shared" si="280"/>
        <v>1477679.4408866994</v>
      </c>
    </row>
    <row r="603" spans="1:10" x14ac:dyDescent="0.25">
      <c r="A603" s="212" t="s">
        <v>28</v>
      </c>
      <c r="B603" s="92">
        <f t="shared" ref="B603:H603" si="283">B605*B596</f>
        <v>319804.34137931041</v>
      </c>
      <c r="C603" s="92">
        <f t="shared" si="283"/>
        <v>268181.86206896551</v>
      </c>
      <c r="D603" s="92">
        <f t="shared" si="283"/>
        <v>321514.03103448276</v>
      </c>
      <c r="E603" s="92">
        <f t="shared" si="283"/>
        <v>222172.30000000002</v>
      </c>
      <c r="F603" s="92">
        <f t="shared" si="283"/>
        <v>947935.96896551736</v>
      </c>
      <c r="G603" s="31">
        <f t="shared" si="283"/>
        <v>1511557.2706896553</v>
      </c>
      <c r="H603" s="31">
        <f t="shared" si="283"/>
        <v>887217.00000000012</v>
      </c>
      <c r="I603" s="31">
        <f>SUM(B603:H603)</f>
        <v>4478382.7741379319</v>
      </c>
      <c r="J603" s="32">
        <f t="shared" si="280"/>
        <v>639768.96773399028</v>
      </c>
    </row>
    <row r="604" spans="1:10" x14ac:dyDescent="0.25">
      <c r="A604" s="212" t="s">
        <v>29</v>
      </c>
      <c r="B604" s="92">
        <f t="shared" ref="B604:H604" si="284">B605*B597</f>
        <v>0</v>
      </c>
      <c r="C604" s="92">
        <f t="shared" si="284"/>
        <v>0</v>
      </c>
      <c r="D604" s="92">
        <f t="shared" si="284"/>
        <v>58457.096551724142</v>
      </c>
      <c r="E604" s="92">
        <f t="shared" si="284"/>
        <v>0</v>
      </c>
      <c r="F604" s="92">
        <f t="shared" si="284"/>
        <v>67709.712068965513</v>
      </c>
      <c r="G604" s="31">
        <f t="shared" si="284"/>
        <v>116273.63620689657</v>
      </c>
      <c r="H604" s="31">
        <f t="shared" si="284"/>
        <v>0</v>
      </c>
      <c r="I604" s="31">
        <f>SUM(B604:H604)</f>
        <v>242440.44482758624</v>
      </c>
      <c r="J604" s="32">
        <f t="shared" si="280"/>
        <v>34634.349261083749</v>
      </c>
    </row>
    <row r="605" spans="1:10" x14ac:dyDescent="0.25">
      <c r="A605" s="216" t="s">
        <v>30</v>
      </c>
      <c r="B605" s="91">
        <f>(2742300/1.16)-B606</f>
        <v>2284316.7241379311</v>
      </c>
      <c r="C605" s="91">
        <f>(3230900/1.16)-C606</f>
        <v>2681818.6206896552</v>
      </c>
      <c r="D605" s="91">
        <f>(3535500/1.16)-D606</f>
        <v>2922854.8275862071</v>
      </c>
      <c r="E605" s="91">
        <f>(3836700/1.16)-E606</f>
        <v>3173890</v>
      </c>
      <c r="F605" s="91">
        <f>(8186800/1.16)-F606</f>
        <v>6770971.2068965519</v>
      </c>
      <c r="G605" s="197">
        <f>(14010200/1.16)-G606</f>
        <v>11627363.620689657</v>
      </c>
      <c r="H605" s="197">
        <f>(8963900/1.16)-H606</f>
        <v>7393475.0000000009</v>
      </c>
      <c r="I605" s="197">
        <f>SUM(I600:I604)</f>
        <v>36854690</v>
      </c>
      <c r="J605" s="217">
        <f t="shared" si="280"/>
        <v>5264955.7142857146</v>
      </c>
    </row>
    <row r="606" spans="1:10" x14ac:dyDescent="0.25">
      <c r="A606" s="212" t="s">
        <v>31</v>
      </c>
      <c r="B606" s="92">
        <f t="shared" ref="B606:I606" si="285">2155*B587</f>
        <v>79735</v>
      </c>
      <c r="C606" s="92">
        <f t="shared" si="285"/>
        <v>103440</v>
      </c>
      <c r="D606" s="92">
        <f t="shared" si="285"/>
        <v>124990</v>
      </c>
      <c r="E606" s="92">
        <f t="shared" si="285"/>
        <v>133610</v>
      </c>
      <c r="F606" s="92">
        <f t="shared" si="285"/>
        <v>286615</v>
      </c>
      <c r="G606" s="31">
        <f t="shared" si="285"/>
        <v>450395</v>
      </c>
      <c r="H606" s="31">
        <f t="shared" si="285"/>
        <v>334025</v>
      </c>
      <c r="I606" s="31">
        <f t="shared" si="285"/>
        <v>1512810</v>
      </c>
      <c r="J606" s="32">
        <f t="shared" si="280"/>
        <v>216115.71428571429</v>
      </c>
    </row>
    <row r="607" spans="1:10" x14ac:dyDescent="0.25">
      <c r="A607" s="218" t="s">
        <v>32</v>
      </c>
      <c r="B607" s="199">
        <f>B606+B605</f>
        <v>2364051.7241379311</v>
      </c>
      <c r="C607" s="199">
        <f>C606+C605</f>
        <v>2785258.6206896552</v>
      </c>
      <c r="D607" s="199">
        <f>D606+D605</f>
        <v>3047844.8275862071</v>
      </c>
      <c r="E607" s="199">
        <f>E606+E605</f>
        <v>3307500</v>
      </c>
      <c r="F607" s="199">
        <f>F605+F606</f>
        <v>7057586.2068965519</v>
      </c>
      <c r="G607" s="199">
        <f>G606+G605</f>
        <v>12077758.620689657</v>
      </c>
      <c r="H607" s="199">
        <f>H606+H605</f>
        <v>7727500.0000000009</v>
      </c>
      <c r="I607" s="199">
        <f>I605+I606</f>
        <v>38367500</v>
      </c>
      <c r="J607" s="219">
        <f t="shared" si="280"/>
        <v>5481071.4285714282</v>
      </c>
    </row>
    <row r="608" spans="1:10" x14ac:dyDescent="0.25">
      <c r="A608" s="212" t="s">
        <v>33</v>
      </c>
      <c r="B608" s="94">
        <f>B607*16%</f>
        <v>378248.27586206899</v>
      </c>
      <c r="C608" s="94">
        <f t="shared" ref="C608:H608" si="286">C607*16%</f>
        <v>445641.37931034481</v>
      </c>
      <c r="D608" s="94">
        <f t="shared" si="286"/>
        <v>487655.17241379316</v>
      </c>
      <c r="E608" s="94">
        <f t="shared" si="286"/>
        <v>529200</v>
      </c>
      <c r="F608" s="94">
        <f t="shared" si="286"/>
        <v>1129213.7931034483</v>
      </c>
      <c r="G608" s="94">
        <f t="shared" si="286"/>
        <v>1932441.379310345</v>
      </c>
      <c r="H608" s="94">
        <f t="shared" si="286"/>
        <v>1236400.0000000002</v>
      </c>
      <c r="I608" s="94">
        <f>I607*16%</f>
        <v>6138800</v>
      </c>
      <c r="J608" s="32">
        <f t="shared" si="280"/>
        <v>876971.42857142852</v>
      </c>
    </row>
    <row r="609" spans="1:12" x14ac:dyDescent="0.25">
      <c r="A609" s="220" t="s">
        <v>34</v>
      </c>
      <c r="B609" s="202">
        <f>B607+B608</f>
        <v>2742300</v>
      </c>
      <c r="C609" s="202">
        <f t="shared" ref="C609:H609" si="287">C607+C608</f>
        <v>3230900</v>
      </c>
      <c r="D609" s="202">
        <f t="shared" si="287"/>
        <v>3535500</v>
      </c>
      <c r="E609" s="202">
        <f t="shared" si="287"/>
        <v>3836700</v>
      </c>
      <c r="F609" s="202">
        <f t="shared" si="287"/>
        <v>8186800</v>
      </c>
      <c r="G609" s="202">
        <f t="shared" si="287"/>
        <v>14010200.000000002</v>
      </c>
      <c r="H609" s="202">
        <f t="shared" si="287"/>
        <v>8963900.0000000019</v>
      </c>
      <c r="I609" s="202">
        <f>I607+I608</f>
        <v>44506300</v>
      </c>
      <c r="J609" s="221">
        <f t="shared" si="280"/>
        <v>6358042.8571428573</v>
      </c>
    </row>
    <row r="613" spans="1:12" ht="26.25" x14ac:dyDescent="0.25">
      <c r="B613" s="1007" t="s">
        <v>362</v>
      </c>
      <c r="C613" s="1007"/>
      <c r="D613" s="1007"/>
      <c r="E613" s="1007"/>
      <c r="F613" s="1007"/>
      <c r="G613" s="1007"/>
      <c r="H613" s="1007"/>
    </row>
    <row r="614" spans="1:12" ht="15.75" x14ac:dyDescent="0.25">
      <c r="A614" s="207" t="s">
        <v>2</v>
      </c>
      <c r="B614" s="121" t="s">
        <v>209</v>
      </c>
      <c r="C614" s="121" t="s">
        <v>210</v>
      </c>
      <c r="D614" s="121" t="s">
        <v>211</v>
      </c>
      <c r="E614" s="121" t="s">
        <v>212</v>
      </c>
      <c r="F614" s="121" t="s">
        <v>213</v>
      </c>
      <c r="G614" s="121" t="s">
        <v>214</v>
      </c>
      <c r="H614" s="121" t="s">
        <v>215</v>
      </c>
      <c r="I614" s="121" t="s">
        <v>96</v>
      </c>
      <c r="J614" s="209" t="s">
        <v>97</v>
      </c>
    </row>
    <row r="615" spans="1:12" x14ac:dyDescent="0.25">
      <c r="A615" s="332" t="s">
        <v>11</v>
      </c>
      <c r="B615" s="75">
        <v>87</v>
      </c>
      <c r="C615" s="75">
        <v>126</v>
      </c>
      <c r="D615" s="75">
        <v>90</v>
      </c>
      <c r="E615" s="316">
        <v>119</v>
      </c>
      <c r="F615" s="316">
        <v>293</v>
      </c>
      <c r="G615" s="316">
        <v>406</v>
      </c>
      <c r="H615" s="316">
        <v>373</v>
      </c>
      <c r="I615" s="316">
        <f>SUM(B615:H615)</f>
        <v>1494</v>
      </c>
      <c r="J615" s="382">
        <f>+I615/9</f>
        <v>166</v>
      </c>
      <c r="L615">
        <v>190</v>
      </c>
    </row>
    <row r="616" spans="1:12" x14ac:dyDescent="0.25">
      <c r="A616" s="212" t="s">
        <v>12</v>
      </c>
      <c r="B616" s="11">
        <v>40</v>
      </c>
      <c r="C616" s="11">
        <v>57</v>
      </c>
      <c r="D616" s="11">
        <v>43</v>
      </c>
      <c r="E616" s="11">
        <v>74</v>
      </c>
      <c r="F616" s="11">
        <v>176</v>
      </c>
      <c r="G616" s="11">
        <v>200</v>
      </c>
      <c r="H616" s="11">
        <v>183</v>
      </c>
      <c r="I616" s="11">
        <f>SUM(CEDRITOS!$B616:$H616)</f>
        <v>773</v>
      </c>
      <c r="J616" s="60">
        <f t="shared" ref="J616:J621" si="288">I616/9</f>
        <v>85.888888888888886</v>
      </c>
      <c r="L616">
        <v>133</v>
      </c>
    </row>
    <row r="617" spans="1:12" x14ac:dyDescent="0.25">
      <c r="A617" s="212" t="s">
        <v>13</v>
      </c>
      <c r="B617" s="11">
        <v>0</v>
      </c>
      <c r="C617" s="11">
        <v>1</v>
      </c>
      <c r="D617" s="11">
        <v>2</v>
      </c>
      <c r="E617" s="11">
        <v>3</v>
      </c>
      <c r="F617" s="11">
        <v>10</v>
      </c>
      <c r="G617" s="11">
        <v>9</v>
      </c>
      <c r="H617" s="11">
        <v>9</v>
      </c>
      <c r="I617" s="11">
        <f>SUM(CEDRITOS!$B617:$H617)</f>
        <v>34</v>
      </c>
      <c r="J617" s="60">
        <f t="shared" si="288"/>
        <v>3.7777777777777777</v>
      </c>
      <c r="L617">
        <v>50</v>
      </c>
    </row>
    <row r="618" spans="1:12" x14ac:dyDescent="0.25">
      <c r="A618" s="212" t="s">
        <v>14</v>
      </c>
      <c r="B618" s="11">
        <v>37</v>
      </c>
      <c r="C618" s="11">
        <v>41</v>
      </c>
      <c r="D618" s="11">
        <v>26</v>
      </c>
      <c r="E618" s="11">
        <v>34</v>
      </c>
      <c r="F618" s="11">
        <v>58</v>
      </c>
      <c r="G618" s="11">
        <v>92</v>
      </c>
      <c r="H618" s="11">
        <v>82</v>
      </c>
      <c r="I618" s="11">
        <f>SUM(CEDRITOS!$B618:$H618)</f>
        <v>370</v>
      </c>
      <c r="J618" s="60">
        <f t="shared" si="288"/>
        <v>41.111111111111114</v>
      </c>
      <c r="L618">
        <f>SUM(L615:L617)</f>
        <v>373</v>
      </c>
    </row>
    <row r="619" spans="1:12" x14ac:dyDescent="0.25">
      <c r="A619" s="212" t="s">
        <v>15</v>
      </c>
      <c r="B619" s="11">
        <v>7</v>
      </c>
      <c r="C619" s="11">
        <v>10</v>
      </c>
      <c r="D619" s="11">
        <v>16</v>
      </c>
      <c r="E619" s="11">
        <v>0</v>
      </c>
      <c r="F619" s="11">
        <v>26</v>
      </c>
      <c r="G619" s="11">
        <v>45</v>
      </c>
      <c r="H619" s="11">
        <v>39</v>
      </c>
      <c r="I619" s="11">
        <f>SUM(CEDRITOS!$B619:$H619)</f>
        <v>143</v>
      </c>
      <c r="J619" s="60">
        <f t="shared" si="288"/>
        <v>15.888888888888889</v>
      </c>
    </row>
    <row r="620" spans="1:12" x14ac:dyDescent="0.25">
      <c r="A620" s="212" t="s">
        <v>16</v>
      </c>
      <c r="B620" s="11">
        <v>1</v>
      </c>
      <c r="C620" s="11">
        <v>0</v>
      </c>
      <c r="D620" s="11">
        <v>0</v>
      </c>
      <c r="E620" s="11">
        <v>0</v>
      </c>
      <c r="F620" s="11">
        <v>0</v>
      </c>
      <c r="G620" s="86">
        <v>1</v>
      </c>
      <c r="H620" s="86">
        <v>0</v>
      </c>
      <c r="I620" s="11">
        <f>SUM(CEDRITOS!$B620:$H620)</f>
        <v>2</v>
      </c>
      <c r="J620" s="60">
        <f t="shared" si="288"/>
        <v>0.22222222222222221</v>
      </c>
    </row>
    <row r="621" spans="1:12" x14ac:dyDescent="0.25">
      <c r="A621" s="213" t="s">
        <v>17</v>
      </c>
      <c r="B621" s="192">
        <f t="shared" ref="B621:I621" si="289">SUM(B616:B620)</f>
        <v>85</v>
      </c>
      <c r="C621" s="192">
        <f t="shared" si="289"/>
        <v>109</v>
      </c>
      <c r="D621" s="192">
        <f t="shared" si="289"/>
        <v>87</v>
      </c>
      <c r="E621" s="192">
        <f t="shared" si="289"/>
        <v>111</v>
      </c>
      <c r="F621" s="192">
        <f t="shared" si="289"/>
        <v>270</v>
      </c>
      <c r="G621" s="192">
        <f t="shared" si="289"/>
        <v>347</v>
      </c>
      <c r="H621" s="192">
        <f t="shared" si="289"/>
        <v>313</v>
      </c>
      <c r="I621" s="192">
        <f t="shared" si="289"/>
        <v>1322</v>
      </c>
      <c r="J621" s="214">
        <f t="shared" si="288"/>
        <v>146.88888888888889</v>
      </c>
    </row>
    <row r="622" spans="1:12" x14ac:dyDescent="0.25">
      <c r="A622" s="212" t="s">
        <v>18</v>
      </c>
      <c r="B622" s="30">
        <v>0.51</v>
      </c>
      <c r="C622" s="30">
        <v>0.56999999999999995</v>
      </c>
      <c r="D622" s="30">
        <v>0.52</v>
      </c>
      <c r="E622" s="30">
        <v>0.74</v>
      </c>
      <c r="F622" s="30">
        <v>0.63</v>
      </c>
      <c r="G622" s="30">
        <v>0.62</v>
      </c>
      <c r="H622" s="30">
        <v>0.6</v>
      </c>
      <c r="I622" s="30">
        <f>I629/I634</f>
        <v>0.60884459637853505</v>
      </c>
      <c r="J622" s="160">
        <f>J629/J634</f>
        <v>0.60884459637853505</v>
      </c>
    </row>
    <row r="623" spans="1:12" x14ac:dyDescent="0.25">
      <c r="A623" s="212" t="s">
        <v>19</v>
      </c>
      <c r="B623" s="30">
        <v>0</v>
      </c>
      <c r="C623" s="30">
        <v>0</v>
      </c>
      <c r="D623" s="30">
        <v>0.03</v>
      </c>
      <c r="E623" s="30">
        <v>0.03</v>
      </c>
      <c r="F623" s="30">
        <v>0.05</v>
      </c>
      <c r="G623" s="30">
        <v>0.02</v>
      </c>
      <c r="H623" s="30">
        <v>0.04</v>
      </c>
      <c r="I623" s="30">
        <f>I630/I634</f>
        <v>2.9384010239918618E-2</v>
      </c>
      <c r="J623" s="160">
        <f>J630/J634</f>
        <v>2.9384010239918618E-2</v>
      </c>
    </row>
    <row r="624" spans="1:12" x14ac:dyDescent="0.25">
      <c r="A624" s="212" t="s">
        <v>20</v>
      </c>
      <c r="B624" s="30">
        <v>0.4</v>
      </c>
      <c r="C624" s="30">
        <v>0.35</v>
      </c>
      <c r="D624" s="30">
        <v>0.28000000000000003</v>
      </c>
      <c r="E624" s="30">
        <v>0.23</v>
      </c>
      <c r="F624" s="30">
        <v>0.22</v>
      </c>
      <c r="G624" s="30">
        <v>0.23</v>
      </c>
      <c r="H624" s="30">
        <v>0.23</v>
      </c>
      <c r="I624" s="30">
        <f>I631/I634</f>
        <v>0.25141040929262731</v>
      </c>
      <c r="J624" s="160">
        <f>J631/J634</f>
        <v>0.25141040929262731</v>
      </c>
    </row>
    <row r="625" spans="1:10" x14ac:dyDescent="0.25">
      <c r="A625" s="212" t="s">
        <v>21</v>
      </c>
      <c r="B625" s="30">
        <v>0.08</v>
      </c>
      <c r="C625" s="30">
        <v>0.08</v>
      </c>
      <c r="D625" s="30">
        <v>0.17</v>
      </c>
      <c r="E625" s="30">
        <v>0</v>
      </c>
      <c r="F625" s="30">
        <v>0.1</v>
      </c>
      <c r="G625" s="30">
        <v>0.13</v>
      </c>
      <c r="H625" s="30">
        <v>0.13</v>
      </c>
      <c r="I625" s="30">
        <f>I632/I634</f>
        <v>0.10973082268534146</v>
      </c>
      <c r="J625" s="160">
        <f>J632/J634</f>
        <v>0.10973082268534146</v>
      </c>
    </row>
    <row r="626" spans="1:10" x14ac:dyDescent="0.25">
      <c r="A626" s="212" t="s">
        <v>22</v>
      </c>
      <c r="B626" s="30">
        <v>0.01</v>
      </c>
      <c r="C626" s="30">
        <v>0</v>
      </c>
      <c r="D626" s="30">
        <v>0</v>
      </c>
      <c r="E626" s="30">
        <v>0</v>
      </c>
      <c r="F626" s="30">
        <v>0</v>
      </c>
      <c r="G626" s="30">
        <v>0</v>
      </c>
      <c r="H626" s="30">
        <v>0</v>
      </c>
      <c r="I626" s="30">
        <f>I633/I634</f>
        <v>6.3016140357748758E-4</v>
      </c>
      <c r="J626" s="160">
        <f>J633/J634</f>
        <v>6.3016140357748758E-4</v>
      </c>
    </row>
    <row r="627" spans="1:10" x14ac:dyDescent="0.25">
      <c r="A627" s="215" t="s">
        <v>23</v>
      </c>
      <c r="B627" s="66">
        <f t="shared" ref="B627:J627" si="290">B638/B621</f>
        <v>33671.76470588235</v>
      </c>
      <c r="C627" s="66">
        <f t="shared" si="290"/>
        <v>34178.899082568809</v>
      </c>
      <c r="D627" s="66">
        <f t="shared" si="290"/>
        <v>30666.666666666668</v>
      </c>
      <c r="E627" s="66">
        <f t="shared" si="290"/>
        <v>29825.225225225229</v>
      </c>
      <c r="F627" s="66">
        <f t="shared" si="290"/>
        <v>34625.555555555555</v>
      </c>
      <c r="G627" s="66">
        <f t="shared" si="290"/>
        <v>36561.959654178674</v>
      </c>
      <c r="H627" s="66">
        <f t="shared" si="290"/>
        <v>35661.341853035141</v>
      </c>
      <c r="I627" s="66">
        <f t="shared" si="290"/>
        <v>34617.322239031775</v>
      </c>
      <c r="J627" s="67">
        <f t="shared" si="290"/>
        <v>44507.985735898001</v>
      </c>
    </row>
    <row r="628" spans="1:10" x14ac:dyDescent="0.25">
      <c r="A628" s="215" t="s">
        <v>24</v>
      </c>
      <c r="B628" s="66">
        <f t="shared" ref="B628:I628" si="291">+B638/B615</f>
        <v>32897.701149425287</v>
      </c>
      <c r="C628" s="66">
        <f t="shared" si="291"/>
        <v>29567.460317460322</v>
      </c>
      <c r="D628" s="66">
        <f t="shared" si="291"/>
        <v>29644.444444444445</v>
      </c>
      <c r="E628" s="66">
        <f t="shared" si="291"/>
        <v>27820.168067226896</v>
      </c>
      <c r="F628" s="66">
        <f t="shared" si="291"/>
        <v>31907.50853242321</v>
      </c>
      <c r="G628" s="66">
        <f t="shared" si="291"/>
        <v>31248.768472906402</v>
      </c>
      <c r="H628" s="66">
        <f t="shared" si="291"/>
        <v>29924.932975871314</v>
      </c>
      <c r="I628" s="66">
        <f t="shared" si="291"/>
        <v>30631.927710843378</v>
      </c>
      <c r="J628" s="67">
        <f>J638/J615</f>
        <v>39383.907056798635</v>
      </c>
    </row>
    <row r="629" spans="1:10" x14ac:dyDescent="0.25">
      <c r="A629" s="212" t="s">
        <v>25</v>
      </c>
      <c r="B629" s="92">
        <f t="shared" ref="B629:H629" si="292">B634*B622</f>
        <v>1214375.0689655175</v>
      </c>
      <c r="C629" s="92">
        <f t="shared" si="292"/>
        <v>1760617.6706896552</v>
      </c>
      <c r="D629" s="92">
        <f t="shared" si="292"/>
        <v>1147814.2</v>
      </c>
      <c r="E629" s="92">
        <f t="shared" si="292"/>
        <v>1993926.6827586209</v>
      </c>
      <c r="F629" s="92">
        <f t="shared" si="292"/>
        <v>4838473.4275862072</v>
      </c>
      <c r="G629" s="31">
        <f t="shared" si="292"/>
        <v>6513762.7586206896</v>
      </c>
      <c r="H629" s="31">
        <f t="shared" si="292"/>
        <v>5536829.2758620689</v>
      </c>
      <c r="I629" s="31">
        <f>SUM(B629:H629)</f>
        <v>23005799.084482759</v>
      </c>
      <c r="J629" s="32">
        <f t="shared" ref="J629:J638" si="293">I629/7</f>
        <v>3286542.72635468</v>
      </c>
    </row>
    <row r="630" spans="1:10" x14ac:dyDescent="0.25">
      <c r="A630" s="212" t="s">
        <v>26</v>
      </c>
      <c r="B630" s="92">
        <f t="shared" ref="B630:H630" si="294">B634*B623</f>
        <v>0</v>
      </c>
      <c r="C630" s="92">
        <f t="shared" si="294"/>
        <v>0</v>
      </c>
      <c r="D630" s="92">
        <f t="shared" si="294"/>
        <v>66220.05</v>
      </c>
      <c r="E630" s="92">
        <f t="shared" si="294"/>
        <v>80834.865517241386</v>
      </c>
      <c r="F630" s="92">
        <f t="shared" si="294"/>
        <v>384005.82758620696</v>
      </c>
      <c r="G630" s="31">
        <f t="shared" si="294"/>
        <v>210121.37931034484</v>
      </c>
      <c r="H630" s="31">
        <f t="shared" si="294"/>
        <v>369121.95172413799</v>
      </c>
      <c r="I630" s="31">
        <f>SUM(B630:H630)</f>
        <v>1110304.0741379312</v>
      </c>
      <c r="J630" s="32">
        <f t="shared" si="293"/>
        <v>158614.86773399016</v>
      </c>
    </row>
    <row r="631" spans="1:10" x14ac:dyDescent="0.25">
      <c r="A631" s="212" t="s">
        <v>27</v>
      </c>
      <c r="B631" s="92">
        <f t="shared" ref="B631:H631" si="295">B634*B624</f>
        <v>952451.03448275873</v>
      </c>
      <c r="C631" s="92">
        <f t="shared" si="295"/>
        <v>1081081.0258620691</v>
      </c>
      <c r="D631" s="92">
        <f t="shared" si="295"/>
        <v>618053.80000000005</v>
      </c>
      <c r="E631" s="92">
        <f t="shared" si="295"/>
        <v>619733.96896551736</v>
      </c>
      <c r="F631" s="92">
        <f t="shared" si="295"/>
        <v>1689625.6413793105</v>
      </c>
      <c r="G631" s="31">
        <f t="shared" si="295"/>
        <v>2416395.8620689656</v>
      </c>
      <c r="H631" s="31">
        <f t="shared" si="295"/>
        <v>2122451.2224137932</v>
      </c>
      <c r="I631" s="31">
        <f>SUM(B631:H631)</f>
        <v>9499792.5551724155</v>
      </c>
      <c r="J631" s="32">
        <f t="shared" si="293"/>
        <v>1357113.222167488</v>
      </c>
    </row>
    <row r="632" spans="1:10" x14ac:dyDescent="0.25">
      <c r="A632" s="212" t="s">
        <v>28</v>
      </c>
      <c r="B632" s="92">
        <f t="shared" ref="B632:H632" si="296">B634*B625</f>
        <v>190490.20689655174</v>
      </c>
      <c r="C632" s="92">
        <f t="shared" si="296"/>
        <v>247104.23448275865</v>
      </c>
      <c r="D632" s="92">
        <f t="shared" si="296"/>
        <v>375246.95</v>
      </c>
      <c r="E632" s="92">
        <f t="shared" si="296"/>
        <v>0</v>
      </c>
      <c r="F632" s="92">
        <f t="shared" si="296"/>
        <v>768011.65517241391</v>
      </c>
      <c r="G632" s="31">
        <f t="shared" si="296"/>
        <v>1365788.9655172415</v>
      </c>
      <c r="H632" s="31">
        <f t="shared" si="296"/>
        <v>1199646.3431034484</v>
      </c>
      <c r="I632" s="31">
        <f>SUM(B632:H632)</f>
        <v>4146288.3551724143</v>
      </c>
      <c r="J632" s="32">
        <f t="shared" si="293"/>
        <v>592326.90788177343</v>
      </c>
    </row>
    <row r="633" spans="1:10" x14ac:dyDescent="0.25">
      <c r="A633" s="212" t="s">
        <v>29</v>
      </c>
      <c r="B633" s="92">
        <f t="shared" ref="B633:H633" si="297">B634*B626</f>
        <v>23811.275862068967</v>
      </c>
      <c r="C633" s="92">
        <f t="shared" si="297"/>
        <v>0</v>
      </c>
      <c r="D633" s="92">
        <f t="shared" si="297"/>
        <v>0</v>
      </c>
      <c r="E633" s="92">
        <f t="shared" si="297"/>
        <v>0</v>
      </c>
      <c r="F633" s="92">
        <f t="shared" si="297"/>
        <v>0</v>
      </c>
      <c r="G633" s="31">
        <f t="shared" si="297"/>
        <v>0</v>
      </c>
      <c r="H633" s="31">
        <f t="shared" si="297"/>
        <v>0</v>
      </c>
      <c r="I633" s="31">
        <f>SUM(B633:H633)</f>
        <v>23811.275862068967</v>
      </c>
      <c r="J633" s="32">
        <f t="shared" si="293"/>
        <v>3401.6108374384239</v>
      </c>
    </row>
    <row r="634" spans="1:10" x14ac:dyDescent="0.25">
      <c r="A634" s="216" t="s">
        <v>30</v>
      </c>
      <c r="B634" s="91">
        <f>(2862100/1.16)-B635</f>
        <v>2381127.5862068967</v>
      </c>
      <c r="C634" s="91">
        <f>(3725500/1.16)-C635</f>
        <v>3088802.931034483</v>
      </c>
      <c r="D634" s="91">
        <f>(2668000/1.16)-D635</f>
        <v>2207335</v>
      </c>
      <c r="E634" s="91">
        <f>(3310600/1.16)-E635</f>
        <v>2694495.5172413797</v>
      </c>
      <c r="F634" s="91">
        <f>(9348900/1.16)-F635</f>
        <v>7680116.5517241387</v>
      </c>
      <c r="G634" s="197">
        <f>(12687000/1.16)-G635</f>
        <v>10506068.965517242</v>
      </c>
      <c r="H634" s="197">
        <f>(11162000/1.16)-H635</f>
        <v>9228048.793103449</v>
      </c>
      <c r="I634" s="197">
        <f>SUM(I629:I633)</f>
        <v>37785995.344827592</v>
      </c>
      <c r="J634" s="217">
        <f t="shared" si="293"/>
        <v>5397999.3349753702</v>
      </c>
    </row>
    <row r="635" spans="1:10" x14ac:dyDescent="0.25">
      <c r="A635" s="212" t="s">
        <v>31</v>
      </c>
      <c r="B635" s="92">
        <f t="shared" ref="B635:I635" si="298">2155*B616</f>
        <v>86200</v>
      </c>
      <c r="C635" s="92">
        <f t="shared" si="298"/>
        <v>122835</v>
      </c>
      <c r="D635" s="92">
        <f t="shared" si="298"/>
        <v>92665</v>
      </c>
      <c r="E635" s="92">
        <f t="shared" si="298"/>
        <v>159470</v>
      </c>
      <c r="F635" s="92">
        <f t="shared" si="298"/>
        <v>379280</v>
      </c>
      <c r="G635" s="31">
        <f t="shared" si="298"/>
        <v>431000</v>
      </c>
      <c r="H635" s="31">
        <f t="shared" si="298"/>
        <v>394365</v>
      </c>
      <c r="I635" s="31">
        <f t="shared" si="298"/>
        <v>1665815</v>
      </c>
      <c r="J635" s="32">
        <f t="shared" si="293"/>
        <v>237973.57142857142</v>
      </c>
    </row>
    <row r="636" spans="1:10" x14ac:dyDescent="0.25">
      <c r="A636" s="218" t="s">
        <v>32</v>
      </c>
      <c r="B636" s="199">
        <f>B635+B634</f>
        <v>2467327.5862068967</v>
      </c>
      <c r="C636" s="199">
        <f>C635+C634</f>
        <v>3211637.931034483</v>
      </c>
      <c r="D636" s="199">
        <f>D635+D634</f>
        <v>2300000</v>
      </c>
      <c r="E636" s="199">
        <f>E635+E634</f>
        <v>2853965.5172413797</v>
      </c>
      <c r="F636" s="199">
        <f>F634+F635</f>
        <v>8059396.5517241387</v>
      </c>
      <c r="G636" s="199">
        <f>G635+G634</f>
        <v>10937068.965517242</v>
      </c>
      <c r="H636" s="199">
        <f>H635+H634</f>
        <v>9622413.793103449</v>
      </c>
      <c r="I636" s="199">
        <f>I634+I635</f>
        <v>39451810.344827592</v>
      </c>
      <c r="J636" s="219">
        <f t="shared" si="293"/>
        <v>5635972.906403942</v>
      </c>
    </row>
    <row r="637" spans="1:10" x14ac:dyDescent="0.25">
      <c r="A637" s="212" t="s">
        <v>33</v>
      </c>
      <c r="B637" s="94">
        <f>B636*16%</f>
        <v>394772.41379310348</v>
      </c>
      <c r="C637" s="94">
        <f t="shared" ref="C637:H637" si="299">C636*16%</f>
        <v>513862.06896551728</v>
      </c>
      <c r="D637" s="94">
        <f t="shared" si="299"/>
        <v>368000</v>
      </c>
      <c r="E637" s="94">
        <f t="shared" si="299"/>
        <v>456634.48275862075</v>
      </c>
      <c r="F637" s="94">
        <f t="shared" si="299"/>
        <v>1289503.4482758623</v>
      </c>
      <c r="G637" s="94">
        <f t="shared" si="299"/>
        <v>1749931.0344827587</v>
      </c>
      <c r="H637" s="94">
        <f t="shared" si="299"/>
        <v>1539586.2068965519</v>
      </c>
      <c r="I637" s="94">
        <f>I636*16%</f>
        <v>6312289.6551724151</v>
      </c>
      <c r="J637" s="32">
        <f t="shared" si="293"/>
        <v>901755.66502463073</v>
      </c>
    </row>
    <row r="638" spans="1:10" x14ac:dyDescent="0.25">
      <c r="A638" s="220" t="s">
        <v>34</v>
      </c>
      <c r="B638" s="202">
        <f>B636+B637</f>
        <v>2862100</v>
      </c>
      <c r="C638" s="202">
        <f t="shared" ref="C638:H638" si="300">C636+C637</f>
        <v>3725500.0000000005</v>
      </c>
      <c r="D638" s="202">
        <f t="shared" si="300"/>
        <v>2668000</v>
      </c>
      <c r="E638" s="202">
        <f t="shared" si="300"/>
        <v>3310600.0000000005</v>
      </c>
      <c r="F638" s="202">
        <f t="shared" si="300"/>
        <v>9348900</v>
      </c>
      <c r="G638" s="202">
        <f t="shared" si="300"/>
        <v>12687000</v>
      </c>
      <c r="H638" s="202">
        <f t="shared" si="300"/>
        <v>11162000</v>
      </c>
      <c r="I638" s="202">
        <f>I636+I637</f>
        <v>45764100.000000007</v>
      </c>
      <c r="J638" s="221">
        <f t="shared" si="293"/>
        <v>6537728.5714285728</v>
      </c>
    </row>
    <row r="641" spans="1:12" ht="26.25" x14ac:dyDescent="0.25">
      <c r="B641" s="1007" t="s">
        <v>363</v>
      </c>
      <c r="C641" s="1007"/>
      <c r="D641" s="1007"/>
      <c r="E641" s="1007"/>
      <c r="F641" s="1007"/>
      <c r="G641" s="1007"/>
      <c r="H641" s="1007"/>
    </row>
    <row r="642" spans="1:12" ht="15.75" x14ac:dyDescent="0.25">
      <c r="A642" s="207" t="s">
        <v>2</v>
      </c>
      <c r="B642" s="121" t="s">
        <v>217</v>
      </c>
      <c r="C642" s="121" t="s">
        <v>218</v>
      </c>
      <c r="D642" s="121" t="s">
        <v>219</v>
      </c>
      <c r="E642" s="121" t="s">
        <v>220</v>
      </c>
      <c r="F642" s="121" t="s">
        <v>221</v>
      </c>
      <c r="G642" s="121" t="s">
        <v>222</v>
      </c>
      <c r="H642" s="121" t="s">
        <v>223</v>
      </c>
      <c r="I642" s="121" t="s">
        <v>96</v>
      </c>
      <c r="J642" s="209" t="s">
        <v>97</v>
      </c>
    </row>
    <row r="643" spans="1:12" x14ac:dyDescent="0.25">
      <c r="A643" s="332" t="s">
        <v>11</v>
      </c>
      <c r="B643" s="75">
        <v>76</v>
      </c>
      <c r="C643" s="75">
        <v>79</v>
      </c>
      <c r="D643" s="75">
        <v>85</v>
      </c>
      <c r="E643" s="316">
        <v>133</v>
      </c>
      <c r="F643" s="316">
        <v>318</v>
      </c>
      <c r="G643" s="316">
        <v>463</v>
      </c>
      <c r="H643" s="316">
        <v>362</v>
      </c>
      <c r="I643" s="316">
        <f>SUM(B643:H643)</f>
        <v>1516</v>
      </c>
      <c r="J643" s="382">
        <f>+I643/9</f>
        <v>168.44444444444446</v>
      </c>
      <c r="L643">
        <v>173</v>
      </c>
    </row>
    <row r="644" spans="1:12" x14ac:dyDescent="0.25">
      <c r="A644" s="212" t="s">
        <v>12</v>
      </c>
      <c r="B644" s="11">
        <v>38</v>
      </c>
      <c r="C644" s="11">
        <v>40</v>
      </c>
      <c r="D644" s="11">
        <v>51</v>
      </c>
      <c r="E644" s="11">
        <v>69</v>
      </c>
      <c r="F644" s="11">
        <v>183</v>
      </c>
      <c r="G644" s="11">
        <v>248</v>
      </c>
      <c r="H644" s="11">
        <v>208</v>
      </c>
      <c r="I644" s="11">
        <f>SUM(CEDRITOS!$B644:$H644)</f>
        <v>837</v>
      </c>
      <c r="J644" s="60">
        <f t="shared" ref="J644:J649" si="301">I644/9</f>
        <v>93</v>
      </c>
      <c r="L644">
        <v>141</v>
      </c>
    </row>
    <row r="645" spans="1:12" x14ac:dyDescent="0.25">
      <c r="A645" s="212" t="s">
        <v>13</v>
      </c>
      <c r="B645" s="11">
        <v>3</v>
      </c>
      <c r="C645" s="11">
        <v>0</v>
      </c>
      <c r="D645" s="11">
        <v>1</v>
      </c>
      <c r="E645" s="11">
        <v>1</v>
      </c>
      <c r="F645" s="11">
        <v>7</v>
      </c>
      <c r="G645" s="11">
        <v>8</v>
      </c>
      <c r="H645" s="11">
        <v>10</v>
      </c>
      <c r="I645" s="11">
        <f>SUM(CEDRITOS!$B645:$H645)</f>
        <v>30</v>
      </c>
      <c r="J645" s="60">
        <f t="shared" si="301"/>
        <v>3.3333333333333335</v>
      </c>
      <c r="L645">
        <v>48</v>
      </c>
    </row>
    <row r="646" spans="1:12" x14ac:dyDescent="0.25">
      <c r="A646" s="212" t="s">
        <v>14</v>
      </c>
      <c r="B646" s="11">
        <v>22</v>
      </c>
      <c r="C646" s="11">
        <v>26</v>
      </c>
      <c r="D646" s="11">
        <v>18</v>
      </c>
      <c r="E646" s="11">
        <v>32</v>
      </c>
      <c r="F646" s="11">
        <v>64</v>
      </c>
      <c r="G646" s="11">
        <v>66</v>
      </c>
      <c r="H646" s="11">
        <v>74</v>
      </c>
      <c r="I646" s="11">
        <f>SUM(CEDRITOS!$B646:$H646)</f>
        <v>302</v>
      </c>
      <c r="J646" s="60">
        <f t="shared" si="301"/>
        <v>33.555555555555557</v>
      </c>
      <c r="L646">
        <f>SUM(L643:L645)</f>
        <v>362</v>
      </c>
    </row>
    <row r="647" spans="1:12" x14ac:dyDescent="0.25">
      <c r="A647" s="212" t="s">
        <v>15</v>
      </c>
      <c r="B647" s="11">
        <v>5</v>
      </c>
      <c r="C647" s="11">
        <v>7</v>
      </c>
      <c r="D647" s="11">
        <v>12</v>
      </c>
      <c r="E647" s="11">
        <v>19</v>
      </c>
      <c r="F647" s="11">
        <v>37</v>
      </c>
      <c r="G647" s="11">
        <v>50</v>
      </c>
      <c r="H647" s="11">
        <v>36</v>
      </c>
      <c r="I647" s="11">
        <f>SUM(CEDRITOS!$B647:$H647)</f>
        <v>166</v>
      </c>
      <c r="J647" s="60">
        <f t="shared" si="301"/>
        <v>18.444444444444443</v>
      </c>
    </row>
    <row r="648" spans="1:12" x14ac:dyDescent="0.25">
      <c r="A648" s="212" t="s">
        <v>16</v>
      </c>
      <c r="B648" s="11">
        <v>1</v>
      </c>
      <c r="C648" s="11">
        <v>0</v>
      </c>
      <c r="D648" s="11">
        <v>0</v>
      </c>
      <c r="E648" s="11">
        <v>0</v>
      </c>
      <c r="F648" s="11">
        <v>0</v>
      </c>
      <c r="G648" s="86">
        <v>0</v>
      </c>
      <c r="H648" s="86">
        <v>0</v>
      </c>
      <c r="I648" s="11">
        <f>SUM(CEDRITOS!$B648:$H648)</f>
        <v>1</v>
      </c>
      <c r="J648" s="60">
        <f t="shared" si="301"/>
        <v>0.1111111111111111</v>
      </c>
    </row>
    <row r="649" spans="1:12" x14ac:dyDescent="0.25">
      <c r="A649" s="213" t="s">
        <v>17</v>
      </c>
      <c r="B649" s="192">
        <f t="shared" ref="B649:I649" si="302">SUM(B644:B648)</f>
        <v>69</v>
      </c>
      <c r="C649" s="192">
        <f t="shared" si="302"/>
        <v>73</v>
      </c>
      <c r="D649" s="192">
        <f t="shared" si="302"/>
        <v>82</v>
      </c>
      <c r="E649" s="192">
        <f t="shared" si="302"/>
        <v>121</v>
      </c>
      <c r="F649" s="192">
        <f t="shared" si="302"/>
        <v>291</v>
      </c>
      <c r="G649" s="192">
        <f t="shared" si="302"/>
        <v>372</v>
      </c>
      <c r="H649" s="192">
        <f t="shared" si="302"/>
        <v>328</v>
      </c>
      <c r="I649" s="192">
        <f t="shared" si="302"/>
        <v>1336</v>
      </c>
      <c r="J649" s="214">
        <f t="shared" si="301"/>
        <v>148.44444444444446</v>
      </c>
    </row>
    <row r="650" spans="1:12" x14ac:dyDescent="0.25">
      <c r="A650" s="212" t="s">
        <v>18</v>
      </c>
      <c r="B650" s="30">
        <v>0.62</v>
      </c>
      <c r="C650" s="30">
        <v>0.56000000000000005</v>
      </c>
      <c r="D650" s="30">
        <v>0.65</v>
      </c>
      <c r="E650" s="30">
        <v>0.63</v>
      </c>
      <c r="F650" s="30">
        <v>0.65</v>
      </c>
      <c r="G650" s="30">
        <v>0.69</v>
      </c>
      <c r="H650" s="30">
        <v>0.61</v>
      </c>
      <c r="I650" s="30">
        <f>I657/I662</f>
        <v>0.64511979624059856</v>
      </c>
      <c r="J650" s="160">
        <f>J657/J662</f>
        <v>0.64511979624059845</v>
      </c>
    </row>
    <row r="651" spans="1:12" x14ac:dyDescent="0.25">
      <c r="A651" s="212" t="s">
        <v>19</v>
      </c>
      <c r="B651" s="30">
        <v>0.04</v>
      </c>
      <c r="C651" s="30">
        <v>0</v>
      </c>
      <c r="D651" s="30">
        <v>0.01</v>
      </c>
      <c r="E651" s="30">
        <v>0.01</v>
      </c>
      <c r="F651" s="30">
        <v>0.03</v>
      </c>
      <c r="G651" s="30">
        <v>0.02</v>
      </c>
      <c r="H651" s="30">
        <v>0.04</v>
      </c>
      <c r="I651" s="30">
        <f>I658/I662</f>
        <v>2.5387401906939229E-2</v>
      </c>
      <c r="J651" s="160">
        <f>J658/J662</f>
        <v>2.5387401906939229E-2</v>
      </c>
    </row>
    <row r="652" spans="1:12" x14ac:dyDescent="0.25">
      <c r="A652" s="212" t="s">
        <v>20</v>
      </c>
      <c r="B652" s="30">
        <v>0.23</v>
      </c>
      <c r="C652" s="30">
        <v>0.35</v>
      </c>
      <c r="D652" s="30">
        <v>0.33</v>
      </c>
      <c r="E652" s="30">
        <v>0.22</v>
      </c>
      <c r="F652" s="30">
        <v>0.19</v>
      </c>
      <c r="G652" s="30">
        <v>0.18</v>
      </c>
      <c r="H652" s="30">
        <v>0.26</v>
      </c>
      <c r="I652" s="30">
        <f>I659/I662</f>
        <v>0.22421328982592784</v>
      </c>
      <c r="J652" s="160">
        <f>J659/J662</f>
        <v>0.22421328982592784</v>
      </c>
    </row>
    <row r="653" spans="1:12" x14ac:dyDescent="0.25">
      <c r="A653" s="212" t="s">
        <v>21</v>
      </c>
      <c r="B653" s="30">
        <v>0.08</v>
      </c>
      <c r="C653" s="30">
        <v>0.09</v>
      </c>
      <c r="D653" s="30">
        <v>0.01</v>
      </c>
      <c r="E653" s="30">
        <v>0.14000000000000001</v>
      </c>
      <c r="F653" s="30">
        <v>0.13</v>
      </c>
      <c r="G653" s="30">
        <v>0.11</v>
      </c>
      <c r="H653" s="30">
        <v>0.09</v>
      </c>
      <c r="I653" s="30">
        <f>I660/I662</f>
        <v>0.10375324397073801</v>
      </c>
      <c r="J653" s="160">
        <f>J660/J662</f>
        <v>0.10375324397073801</v>
      </c>
    </row>
    <row r="654" spans="1:12" x14ac:dyDescent="0.25">
      <c r="A654" s="212" t="s">
        <v>22</v>
      </c>
      <c r="B654" s="30">
        <v>0.03</v>
      </c>
      <c r="C654" s="30">
        <v>0</v>
      </c>
      <c r="D654" s="30">
        <v>0</v>
      </c>
      <c r="E654" s="30">
        <v>0</v>
      </c>
      <c r="F654" s="30">
        <v>0</v>
      </c>
      <c r="G654" s="30">
        <v>0</v>
      </c>
      <c r="H654" s="30">
        <v>0</v>
      </c>
      <c r="I654" s="30">
        <f>I661/I662</f>
        <v>1.5262680557964849E-3</v>
      </c>
      <c r="J654" s="160">
        <f>J661/J662</f>
        <v>1.5262680557964849E-3</v>
      </c>
    </row>
    <row r="655" spans="1:12" x14ac:dyDescent="0.25">
      <c r="A655" s="215" t="s">
        <v>23</v>
      </c>
      <c r="B655" s="66">
        <f t="shared" ref="B655:J655" si="303">B666/B649</f>
        <v>33101.44927536232</v>
      </c>
      <c r="C655" s="66">
        <f t="shared" si="303"/>
        <v>32756.164383561649</v>
      </c>
      <c r="D655" s="66">
        <f t="shared" si="303"/>
        <v>30663.414634146342</v>
      </c>
      <c r="E655" s="66">
        <f t="shared" si="303"/>
        <v>30650.413223140498</v>
      </c>
      <c r="F655" s="66">
        <f t="shared" si="303"/>
        <v>32316.49484536083</v>
      </c>
      <c r="G655" s="66">
        <f t="shared" si="303"/>
        <v>37946.505376344088</v>
      </c>
      <c r="H655" s="66">
        <f t="shared" si="303"/>
        <v>32623.475609756097</v>
      </c>
      <c r="I655" s="66">
        <f t="shared" si="303"/>
        <v>33771.706586826345</v>
      </c>
      <c r="J655" s="67">
        <f t="shared" si="303"/>
        <v>43420.765611633869</v>
      </c>
    </row>
    <row r="656" spans="1:12" x14ac:dyDescent="0.25">
      <c r="A656" s="215" t="s">
        <v>24</v>
      </c>
      <c r="B656" s="66">
        <f t="shared" ref="B656:I656" si="304">+B666/B643</f>
        <v>30052.63157894737</v>
      </c>
      <c r="C656" s="66">
        <f t="shared" si="304"/>
        <v>30268.354430379753</v>
      </c>
      <c r="D656" s="66">
        <f t="shared" si="304"/>
        <v>29581.176470588234</v>
      </c>
      <c r="E656" s="66">
        <f t="shared" si="304"/>
        <v>27884.962406015042</v>
      </c>
      <c r="F656" s="66">
        <f t="shared" si="304"/>
        <v>29572.641509433968</v>
      </c>
      <c r="G656" s="66">
        <f t="shared" si="304"/>
        <v>30488.336933045361</v>
      </c>
      <c r="H656" s="66">
        <f t="shared" si="304"/>
        <v>29559.392265193372</v>
      </c>
      <c r="I656" s="66">
        <f t="shared" si="304"/>
        <v>29761.873350923484</v>
      </c>
      <c r="J656" s="67">
        <f>J666/J643</f>
        <v>38265.265736901616</v>
      </c>
    </row>
    <row r="657" spans="1:12" x14ac:dyDescent="0.25">
      <c r="A657" s="212" t="s">
        <v>25</v>
      </c>
      <c r="B657" s="92">
        <f t="shared" ref="B657:H657" si="305">B662*B650</f>
        <v>1169986.8206896554</v>
      </c>
      <c r="C657" s="92">
        <f t="shared" si="305"/>
        <v>1106100.4137931038</v>
      </c>
      <c r="D657" s="92">
        <f t="shared" si="305"/>
        <v>1337492.7844827587</v>
      </c>
      <c r="E657" s="92">
        <f t="shared" si="305"/>
        <v>1920529.9086206898</v>
      </c>
      <c r="F657" s="92">
        <f t="shared" si="305"/>
        <v>5013201.543103449</v>
      </c>
      <c r="G657" s="31">
        <f t="shared" si="305"/>
        <v>8027882.0896551721</v>
      </c>
      <c r="H657" s="31">
        <f t="shared" si="305"/>
        <v>5353560.6689655175</v>
      </c>
      <c r="I657" s="31">
        <f>SUM(B657:H657)</f>
        <v>23928754.229310349</v>
      </c>
      <c r="J657" s="32">
        <f t="shared" ref="J657:J666" si="306">I657/7</f>
        <v>3418393.4613300497</v>
      </c>
    </row>
    <row r="658" spans="1:12" x14ac:dyDescent="0.25">
      <c r="A658" s="212" t="s">
        <v>26</v>
      </c>
      <c r="B658" s="92">
        <f t="shared" ref="B658:H658" si="307">B662*B651</f>
        <v>75483.020689655183</v>
      </c>
      <c r="C658" s="92">
        <f t="shared" si="307"/>
        <v>0</v>
      </c>
      <c r="D658" s="92">
        <f t="shared" si="307"/>
        <v>20576.812068965519</v>
      </c>
      <c r="E658" s="92">
        <f t="shared" si="307"/>
        <v>30484.601724137934</v>
      </c>
      <c r="F658" s="92">
        <f t="shared" si="307"/>
        <v>231378.53275862071</v>
      </c>
      <c r="G658" s="31">
        <f t="shared" si="307"/>
        <v>232692.23448275865</v>
      </c>
      <c r="H658" s="31">
        <f t="shared" si="307"/>
        <v>351053.15862068965</v>
      </c>
      <c r="I658" s="31">
        <f>SUM(B658:H658)</f>
        <v>941668.36034482764</v>
      </c>
      <c r="J658" s="32">
        <f t="shared" si="306"/>
        <v>134524.05147783252</v>
      </c>
    </row>
    <row r="659" spans="1:12" x14ac:dyDescent="0.25">
      <c r="A659" s="212" t="s">
        <v>27</v>
      </c>
      <c r="B659" s="92">
        <f t="shared" ref="B659:H659" si="308">B662*B652</f>
        <v>434027.36896551732</v>
      </c>
      <c r="C659" s="92">
        <f t="shared" si="308"/>
        <v>691312.75862068974</v>
      </c>
      <c r="D659" s="92">
        <f t="shared" si="308"/>
        <v>679034.79827586212</v>
      </c>
      <c r="E659" s="92">
        <f t="shared" si="308"/>
        <v>670661.23793103453</v>
      </c>
      <c r="F659" s="92">
        <f t="shared" si="308"/>
        <v>1465397.3741379313</v>
      </c>
      <c r="G659" s="31">
        <f t="shared" si="308"/>
        <v>2094230.1103448276</v>
      </c>
      <c r="H659" s="31">
        <f t="shared" si="308"/>
        <v>2281845.5310344826</v>
      </c>
      <c r="I659" s="31">
        <f>SUM(B659:H659)</f>
        <v>8316509.179310346</v>
      </c>
      <c r="J659" s="32">
        <f t="shared" si="306"/>
        <v>1188072.7399014779</v>
      </c>
    </row>
    <row r="660" spans="1:12" x14ac:dyDescent="0.25">
      <c r="A660" s="212" t="s">
        <v>28</v>
      </c>
      <c r="B660" s="92">
        <f t="shared" ref="B660:H660" si="309">B662*B653</f>
        <v>150966.04137931037</v>
      </c>
      <c r="C660" s="92">
        <f t="shared" si="309"/>
        <v>177766.13793103449</v>
      </c>
      <c r="D660" s="92">
        <f t="shared" si="309"/>
        <v>20576.812068965519</v>
      </c>
      <c r="E660" s="92">
        <f t="shared" si="309"/>
        <v>426784.42413793114</v>
      </c>
      <c r="F660" s="92">
        <f t="shared" si="309"/>
        <v>1002640.3086206898</v>
      </c>
      <c r="G660" s="31">
        <f t="shared" si="309"/>
        <v>1279807.2896551725</v>
      </c>
      <c r="H660" s="31">
        <f t="shared" si="309"/>
        <v>789869.60689655168</v>
      </c>
      <c r="I660" s="31">
        <f>SUM(B660:H660)</f>
        <v>3848410.6206896552</v>
      </c>
      <c r="J660" s="32">
        <f t="shared" si="306"/>
        <v>549772.94581280788</v>
      </c>
    </row>
    <row r="661" spans="1:12" x14ac:dyDescent="0.25">
      <c r="A661" s="212" t="s">
        <v>29</v>
      </c>
      <c r="B661" s="92">
        <f t="shared" ref="B661:H661" si="310">B662*B654</f>
        <v>56612.26551724138</v>
      </c>
      <c r="C661" s="92">
        <f t="shared" si="310"/>
        <v>0</v>
      </c>
      <c r="D661" s="92">
        <f t="shared" si="310"/>
        <v>0</v>
      </c>
      <c r="E661" s="92">
        <f t="shared" si="310"/>
        <v>0</v>
      </c>
      <c r="F661" s="92">
        <f t="shared" si="310"/>
        <v>0</v>
      </c>
      <c r="G661" s="31">
        <f t="shared" si="310"/>
        <v>0</v>
      </c>
      <c r="H661" s="31">
        <f t="shared" si="310"/>
        <v>0</v>
      </c>
      <c r="I661" s="31">
        <f>SUM(B661:H661)</f>
        <v>56612.26551724138</v>
      </c>
      <c r="J661" s="32">
        <f t="shared" si="306"/>
        <v>8087.466502463054</v>
      </c>
    </row>
    <row r="662" spans="1:12" x14ac:dyDescent="0.25">
      <c r="A662" s="216" t="s">
        <v>30</v>
      </c>
      <c r="B662" s="91">
        <f>(2284000/1.16)-B663</f>
        <v>1887075.5172413795</v>
      </c>
      <c r="C662" s="91">
        <f>(2391200/1.16)-C663</f>
        <v>1975179.3103448278</v>
      </c>
      <c r="D662" s="91">
        <f>(2514400/1.16)-D663</f>
        <v>2057681.2068965519</v>
      </c>
      <c r="E662" s="91">
        <f>(3708700/1.16)-E663</f>
        <v>3048460.1724137934</v>
      </c>
      <c r="F662" s="91">
        <f>(9404100/1.16)-F663</f>
        <v>7712617.7586206906</v>
      </c>
      <c r="G662" s="197">
        <f>(14116100/1.16)-G663</f>
        <v>11634611.724137932</v>
      </c>
      <c r="H662" s="197">
        <f>(10700500/1.16)-H663</f>
        <v>8776328.9655172415</v>
      </c>
      <c r="I662" s="197">
        <f>SUM(I657:I661)</f>
        <v>37091954.655172415</v>
      </c>
      <c r="J662" s="217">
        <f t="shared" si="306"/>
        <v>5298850.6650246307</v>
      </c>
    </row>
    <row r="663" spans="1:12" x14ac:dyDescent="0.25">
      <c r="A663" s="212" t="s">
        <v>31</v>
      </c>
      <c r="B663" s="92">
        <f t="shared" ref="B663:I663" si="311">2155*B644</f>
        <v>81890</v>
      </c>
      <c r="C663" s="92">
        <f t="shared" si="311"/>
        <v>86200</v>
      </c>
      <c r="D663" s="92">
        <f t="shared" si="311"/>
        <v>109905</v>
      </c>
      <c r="E663" s="92">
        <f t="shared" si="311"/>
        <v>148695</v>
      </c>
      <c r="F663" s="92">
        <f t="shared" si="311"/>
        <v>394365</v>
      </c>
      <c r="G663" s="31">
        <f t="shared" si="311"/>
        <v>534440</v>
      </c>
      <c r="H663" s="31">
        <f t="shared" si="311"/>
        <v>448240</v>
      </c>
      <c r="I663" s="31">
        <f t="shared" si="311"/>
        <v>1803735</v>
      </c>
      <c r="J663" s="32">
        <f t="shared" si="306"/>
        <v>257676.42857142858</v>
      </c>
    </row>
    <row r="664" spans="1:12" x14ac:dyDescent="0.25">
      <c r="A664" s="218" t="s">
        <v>32</v>
      </c>
      <c r="B664" s="199">
        <f>B663+B662</f>
        <v>1968965.5172413795</v>
      </c>
      <c r="C664" s="199">
        <f>C663+C662</f>
        <v>2061379.3103448278</v>
      </c>
      <c r="D664" s="199">
        <f>D663+D662</f>
        <v>2167586.2068965519</v>
      </c>
      <c r="E664" s="199">
        <f>E663+E662</f>
        <v>3197155.1724137934</v>
      </c>
      <c r="F664" s="199">
        <f>F662+F663</f>
        <v>8106982.7586206906</v>
      </c>
      <c r="G664" s="199">
        <f>G663+G662</f>
        <v>12169051.724137932</v>
      </c>
      <c r="H664" s="199">
        <f>H663+H662</f>
        <v>9224568.9655172415</v>
      </c>
      <c r="I664" s="199">
        <f>I662+I663</f>
        <v>38895689.655172415</v>
      </c>
      <c r="J664" s="219">
        <f t="shared" si="306"/>
        <v>5556527.0935960589</v>
      </c>
    </row>
    <row r="665" spans="1:12" x14ac:dyDescent="0.25">
      <c r="A665" s="212" t="s">
        <v>33</v>
      </c>
      <c r="B665" s="94">
        <f>B664*16%</f>
        <v>315034.4827586207</v>
      </c>
      <c r="C665" s="94">
        <f t="shared" ref="C665:H665" si="312">C664*16%</f>
        <v>329820.68965517246</v>
      </c>
      <c r="D665" s="94">
        <f t="shared" si="312"/>
        <v>346813.79310344829</v>
      </c>
      <c r="E665" s="94">
        <f t="shared" si="312"/>
        <v>511544.82758620696</v>
      </c>
      <c r="F665" s="94">
        <f t="shared" si="312"/>
        <v>1297117.2413793106</v>
      </c>
      <c r="G665" s="94">
        <f t="shared" si="312"/>
        <v>1947048.2758620691</v>
      </c>
      <c r="H665" s="94">
        <f t="shared" si="312"/>
        <v>1475931.0344827587</v>
      </c>
      <c r="I665" s="94">
        <f>I664*16%</f>
        <v>6223310.3448275868</v>
      </c>
      <c r="J665" s="32">
        <f t="shared" si="306"/>
        <v>889044.33497536951</v>
      </c>
    </row>
    <row r="666" spans="1:12" x14ac:dyDescent="0.25">
      <c r="A666" s="220" t="s">
        <v>34</v>
      </c>
      <c r="B666" s="202">
        <f>B664+B665</f>
        <v>2284000</v>
      </c>
      <c r="C666" s="202">
        <f t="shared" ref="C666:H666" si="313">C664+C665</f>
        <v>2391200.0000000005</v>
      </c>
      <c r="D666" s="202">
        <f t="shared" si="313"/>
        <v>2514400</v>
      </c>
      <c r="E666" s="202">
        <f t="shared" si="313"/>
        <v>3708700.0000000005</v>
      </c>
      <c r="F666" s="202">
        <f t="shared" si="313"/>
        <v>9404100.0000000019</v>
      </c>
      <c r="G666" s="202">
        <f t="shared" si="313"/>
        <v>14116100.000000002</v>
      </c>
      <c r="H666" s="202">
        <f t="shared" si="313"/>
        <v>10700500</v>
      </c>
      <c r="I666" s="202">
        <f>I664+I665</f>
        <v>45119000</v>
      </c>
      <c r="J666" s="221">
        <f t="shared" si="306"/>
        <v>6445571.4285714282</v>
      </c>
    </row>
    <row r="669" spans="1:12" ht="26.25" x14ac:dyDescent="0.25">
      <c r="B669" s="1007" t="s">
        <v>364</v>
      </c>
      <c r="C669" s="1007"/>
      <c r="D669" s="1007"/>
      <c r="E669" s="1007"/>
      <c r="F669" s="1007"/>
      <c r="G669" s="1007"/>
      <c r="H669" s="1007"/>
    </row>
    <row r="670" spans="1:12" ht="15.75" x14ac:dyDescent="0.25">
      <c r="A670" s="207" t="s">
        <v>2</v>
      </c>
      <c r="B670" s="121" t="s">
        <v>225</v>
      </c>
      <c r="C670" s="121" t="s">
        <v>226</v>
      </c>
      <c r="D670" s="121" t="s">
        <v>227</v>
      </c>
      <c r="E670" s="121" t="s">
        <v>228</v>
      </c>
      <c r="F670" s="121" t="s">
        <v>229</v>
      </c>
      <c r="G670" s="121" t="s">
        <v>230</v>
      </c>
      <c r="H670" s="121" t="s">
        <v>231</v>
      </c>
      <c r="I670" s="121" t="s">
        <v>96</v>
      </c>
      <c r="J670" s="209" t="s">
        <v>97</v>
      </c>
    </row>
    <row r="671" spans="1:12" x14ac:dyDescent="0.25">
      <c r="A671" s="332" t="s">
        <v>11</v>
      </c>
      <c r="B671" s="75">
        <v>72</v>
      </c>
      <c r="C671" s="75">
        <v>130</v>
      </c>
      <c r="D671" s="75">
        <v>131</v>
      </c>
      <c r="E671" s="316">
        <v>125</v>
      </c>
      <c r="F671" s="316">
        <v>299</v>
      </c>
      <c r="G671" s="316">
        <v>385</v>
      </c>
      <c r="H671" s="316">
        <v>387</v>
      </c>
      <c r="I671" s="316">
        <f>SUM(B671:H671)</f>
        <v>1529</v>
      </c>
      <c r="J671" s="382">
        <f>+I671/7</f>
        <v>218.42857142857142</v>
      </c>
      <c r="L671">
        <v>168</v>
      </c>
    </row>
    <row r="672" spans="1:12" x14ac:dyDescent="0.25">
      <c r="A672" s="212" t="s">
        <v>12</v>
      </c>
      <c r="B672" s="11">
        <v>33</v>
      </c>
      <c r="C672" s="11">
        <v>86</v>
      </c>
      <c r="D672" s="11">
        <v>72</v>
      </c>
      <c r="E672" s="11">
        <v>68</v>
      </c>
      <c r="F672" s="11">
        <v>159</v>
      </c>
      <c r="G672" s="11">
        <v>183</v>
      </c>
      <c r="H672" s="11">
        <v>177</v>
      </c>
      <c r="I672" s="11">
        <f>SUM(CEDRITOS!$B672:$H672)</f>
        <v>778</v>
      </c>
      <c r="J672" s="60">
        <f t="shared" ref="J672:J677" si="314">I672/7</f>
        <v>111.14285714285714</v>
      </c>
      <c r="L672">
        <v>111</v>
      </c>
    </row>
    <row r="673" spans="1:12" x14ac:dyDescent="0.25">
      <c r="A673" s="212" t="s">
        <v>13</v>
      </c>
      <c r="B673" s="11">
        <v>1</v>
      </c>
      <c r="C673" s="11">
        <v>1</v>
      </c>
      <c r="D673" s="11">
        <v>2</v>
      </c>
      <c r="E673" s="11">
        <v>1</v>
      </c>
      <c r="F673" s="11">
        <v>8</v>
      </c>
      <c r="G673" s="11">
        <v>6</v>
      </c>
      <c r="H673" s="11">
        <v>9</v>
      </c>
      <c r="I673" s="11">
        <f>SUM(CEDRITOS!$B673:$H673)</f>
        <v>28</v>
      </c>
      <c r="J673" s="60">
        <f t="shared" si="314"/>
        <v>4</v>
      </c>
      <c r="L673">
        <v>20</v>
      </c>
    </row>
    <row r="674" spans="1:12" x14ac:dyDescent="0.25">
      <c r="A674" s="212" t="s">
        <v>14</v>
      </c>
      <c r="B674" s="11">
        <v>33</v>
      </c>
      <c r="C674" s="11">
        <v>21</v>
      </c>
      <c r="D674" s="11">
        <v>36</v>
      </c>
      <c r="E674" s="11">
        <v>41</v>
      </c>
      <c r="F674" s="11">
        <v>66</v>
      </c>
      <c r="G674" s="11">
        <v>85</v>
      </c>
      <c r="H674" s="11">
        <v>81</v>
      </c>
      <c r="I674" s="11">
        <f>SUM(CEDRITOS!$B674:$H674)</f>
        <v>363</v>
      </c>
      <c r="J674" s="60">
        <f t="shared" si="314"/>
        <v>51.857142857142854</v>
      </c>
      <c r="L674">
        <f>SUM(L671:L673)</f>
        <v>299</v>
      </c>
    </row>
    <row r="675" spans="1:12" x14ac:dyDescent="0.25">
      <c r="A675" s="212" t="s">
        <v>15</v>
      </c>
      <c r="B675" s="11">
        <v>6</v>
      </c>
      <c r="C675" s="11">
        <v>11</v>
      </c>
      <c r="D675" s="11">
        <v>14</v>
      </c>
      <c r="E675" s="11">
        <v>13</v>
      </c>
      <c r="F675" s="11">
        <v>43</v>
      </c>
      <c r="G675" s="11">
        <v>45</v>
      </c>
      <c r="H675" s="11">
        <v>57</v>
      </c>
      <c r="I675" s="11">
        <f>SUM(CEDRITOS!$B675:$H675)</f>
        <v>189</v>
      </c>
      <c r="J675" s="60">
        <f t="shared" si="314"/>
        <v>27</v>
      </c>
    </row>
    <row r="676" spans="1:12" x14ac:dyDescent="0.25">
      <c r="A676" s="212" t="s">
        <v>16</v>
      </c>
      <c r="B676" s="11">
        <v>1</v>
      </c>
      <c r="C676" s="11">
        <v>0</v>
      </c>
      <c r="D676" s="11">
        <v>0</v>
      </c>
      <c r="E676" s="11">
        <v>1</v>
      </c>
      <c r="F676" s="11">
        <v>0</v>
      </c>
      <c r="G676" s="86">
        <v>0</v>
      </c>
      <c r="H676" s="86">
        <v>2</v>
      </c>
      <c r="I676" s="11">
        <f>SUM(CEDRITOS!$B676:$H676)</f>
        <v>4</v>
      </c>
      <c r="J676" s="60">
        <f t="shared" si="314"/>
        <v>0.5714285714285714</v>
      </c>
    </row>
    <row r="677" spans="1:12" x14ac:dyDescent="0.25">
      <c r="A677" s="213" t="s">
        <v>17</v>
      </c>
      <c r="B677" s="192">
        <f>SUM(B672:B676)</f>
        <v>74</v>
      </c>
      <c r="C677" s="192">
        <f>SUM(C672:C676)</f>
        <v>119</v>
      </c>
      <c r="D677" s="192">
        <f>SUM(D672:D676)</f>
        <v>124</v>
      </c>
      <c r="E677" s="192">
        <f>SUM(E672:E676)</f>
        <v>124</v>
      </c>
      <c r="F677" s="192">
        <v>276</v>
      </c>
      <c r="G677" s="192">
        <f>SUM(G672:G676)</f>
        <v>319</v>
      </c>
      <c r="H677" s="192">
        <f>SUM(H672:H676)</f>
        <v>326</v>
      </c>
      <c r="I677" s="192">
        <f>SUM(I672:I676)</f>
        <v>1362</v>
      </c>
      <c r="J677" s="214">
        <f t="shared" si="314"/>
        <v>194.57142857142858</v>
      </c>
    </row>
    <row r="678" spans="1:12" x14ac:dyDescent="0.25">
      <c r="A678" s="212" t="s">
        <v>18</v>
      </c>
      <c r="B678" s="30">
        <v>0.5</v>
      </c>
      <c r="C678" s="30">
        <v>0.74</v>
      </c>
      <c r="D678" s="30">
        <v>0.62</v>
      </c>
      <c r="E678" s="30">
        <v>0.52</v>
      </c>
      <c r="F678" s="30">
        <v>0.57999999999999996</v>
      </c>
      <c r="G678" s="383">
        <v>0.64</v>
      </c>
      <c r="H678" s="383">
        <v>0.57999999999999996</v>
      </c>
      <c r="I678" s="30">
        <f>I685/I690</f>
        <v>0.60409975255729331</v>
      </c>
      <c r="J678" s="160">
        <f>J685/J690</f>
        <v>0.6040997525572932</v>
      </c>
    </row>
    <row r="679" spans="1:12" x14ac:dyDescent="0.25">
      <c r="A679" s="212" t="s">
        <v>19</v>
      </c>
      <c r="B679" s="30">
        <v>0.01</v>
      </c>
      <c r="C679" s="30">
        <v>0.01</v>
      </c>
      <c r="D679" s="30">
        <v>0.02</v>
      </c>
      <c r="E679" s="30">
        <v>0.01</v>
      </c>
      <c r="F679" s="30">
        <v>0.04</v>
      </c>
      <c r="G679" s="383">
        <v>0.03</v>
      </c>
      <c r="H679" s="383">
        <v>0.03</v>
      </c>
      <c r="I679" s="30">
        <f>I686/I690</f>
        <v>2.6916645125204978E-2</v>
      </c>
      <c r="J679" s="160">
        <f>J686/J690</f>
        <v>2.6916645125204978E-2</v>
      </c>
    </row>
    <row r="680" spans="1:12" x14ac:dyDescent="0.25">
      <c r="A680" s="212" t="s">
        <v>20</v>
      </c>
      <c r="B680" s="30">
        <v>0.39</v>
      </c>
      <c r="C680" s="30">
        <v>0.17</v>
      </c>
      <c r="D680" s="30">
        <v>0.26</v>
      </c>
      <c r="E680" s="30">
        <v>0.33</v>
      </c>
      <c r="F680" s="30">
        <v>0.25</v>
      </c>
      <c r="G680" s="383">
        <v>0.21</v>
      </c>
      <c r="H680" s="383">
        <v>0.24</v>
      </c>
      <c r="I680" s="30">
        <f>I687/I690</f>
        <v>0.24437321831163772</v>
      </c>
      <c r="J680" s="160">
        <f>J687/J690</f>
        <v>0.24437321831163766</v>
      </c>
    </row>
    <row r="681" spans="1:12" x14ac:dyDescent="0.25">
      <c r="A681" s="212" t="s">
        <v>21</v>
      </c>
      <c r="B681" s="30">
        <v>0.08</v>
      </c>
      <c r="C681" s="30">
        <v>0.08</v>
      </c>
      <c r="D681" s="30">
        <v>0.1</v>
      </c>
      <c r="E681" s="30">
        <v>0.13</v>
      </c>
      <c r="F681" s="30">
        <v>0.13</v>
      </c>
      <c r="G681" s="383">
        <v>0.12</v>
      </c>
      <c r="H681" s="383">
        <v>0.15</v>
      </c>
      <c r="I681" s="30">
        <f>I688/I690</f>
        <v>0.12291437222228872</v>
      </c>
      <c r="J681" s="160">
        <f>J688/J690</f>
        <v>0.12291437222228871</v>
      </c>
    </row>
    <row r="682" spans="1:12" x14ac:dyDescent="0.25">
      <c r="A682" s="212" t="s">
        <v>22</v>
      </c>
      <c r="B682" s="30">
        <v>0.02</v>
      </c>
      <c r="C682" s="30">
        <v>0</v>
      </c>
      <c r="D682" s="30">
        <v>0</v>
      </c>
      <c r="E682" s="30">
        <v>0.01</v>
      </c>
      <c r="F682" s="30">
        <v>0</v>
      </c>
      <c r="G682" s="383">
        <v>0</v>
      </c>
      <c r="H682" s="383">
        <v>0</v>
      </c>
      <c r="I682" s="30">
        <f>I689/I690</f>
        <v>1.696011783575128E-3</v>
      </c>
      <c r="J682" s="160">
        <f>J689/J690</f>
        <v>1.6960117835751276E-3</v>
      </c>
    </row>
    <row r="683" spans="1:12" x14ac:dyDescent="0.25">
      <c r="A683" s="215" t="s">
        <v>23</v>
      </c>
      <c r="B683" s="66">
        <f t="shared" ref="B683:J683" si="315">B694/B677</f>
        <v>28112.162162162167</v>
      </c>
      <c r="C683" s="66">
        <f t="shared" si="315"/>
        <v>32821.008403361346</v>
      </c>
      <c r="D683" s="66">
        <f t="shared" si="315"/>
        <v>35873.387096774204</v>
      </c>
      <c r="E683" s="66">
        <f t="shared" si="315"/>
        <v>30000.725806451617</v>
      </c>
      <c r="F683" s="66">
        <f t="shared" si="315"/>
        <v>34148.188405797104</v>
      </c>
      <c r="G683" s="66">
        <f t="shared" si="315"/>
        <v>37160.501567398118</v>
      </c>
      <c r="H683" s="66">
        <f t="shared" si="315"/>
        <v>33749.386503067486</v>
      </c>
      <c r="I683" s="66">
        <f t="shared" si="315"/>
        <v>34093.825256975048</v>
      </c>
      <c r="J683" s="67">
        <f t="shared" si="315"/>
        <v>34093.825256975048</v>
      </c>
    </row>
    <row r="684" spans="1:12" x14ac:dyDescent="0.25">
      <c r="A684" s="215" t="s">
        <v>24</v>
      </c>
      <c r="B684" s="66">
        <f t="shared" ref="B684:I684" si="316">+B694/B671</f>
        <v>28893.055555555558</v>
      </c>
      <c r="C684" s="66">
        <f t="shared" si="316"/>
        <v>30043.846153846156</v>
      </c>
      <c r="D684" s="66">
        <f t="shared" si="316"/>
        <v>33956.488549618327</v>
      </c>
      <c r="E684" s="66">
        <f t="shared" si="316"/>
        <v>29760.720000000005</v>
      </c>
      <c r="F684" s="66">
        <f t="shared" si="316"/>
        <v>31521.404682274246</v>
      </c>
      <c r="G684" s="66">
        <f t="shared" si="316"/>
        <v>30790.129870129869</v>
      </c>
      <c r="H684" s="66">
        <f t="shared" si="316"/>
        <v>28429.715762273903</v>
      </c>
      <c r="I684" s="66">
        <f t="shared" si="316"/>
        <v>30370.039241334216</v>
      </c>
      <c r="J684" s="67">
        <f>J694/J671</f>
        <v>30370.03924133422</v>
      </c>
    </row>
    <row r="685" spans="1:12" x14ac:dyDescent="0.25">
      <c r="A685" s="212" t="s">
        <v>25</v>
      </c>
      <c r="B685" s="92">
        <f t="shared" ref="B685:H685" si="317">B690*B678</f>
        <v>861123.53448275873</v>
      </c>
      <c r="C685" s="92">
        <f t="shared" si="317"/>
        <v>2354423.0413793107</v>
      </c>
      <c r="D685" s="92">
        <f t="shared" si="317"/>
        <v>2281340.455172414</v>
      </c>
      <c r="E685" s="92">
        <f t="shared" si="317"/>
        <v>1591425.7517241382</v>
      </c>
      <c r="F685" s="92">
        <f t="shared" si="317"/>
        <v>4513715.9000000004</v>
      </c>
      <c r="G685" s="31">
        <f t="shared" si="317"/>
        <v>6287854.6758620692</v>
      </c>
      <c r="H685" s="31">
        <f t="shared" si="317"/>
        <v>5279917.7</v>
      </c>
      <c r="I685" s="31">
        <f>SUM(B685:H685)</f>
        <v>23169801.058620691</v>
      </c>
      <c r="J685" s="32">
        <f t="shared" ref="J685:J694" si="318">I685/7</f>
        <v>3309971.579802956</v>
      </c>
    </row>
    <row r="686" spans="1:12" x14ac:dyDescent="0.25">
      <c r="A686" s="212" t="s">
        <v>26</v>
      </c>
      <c r="B686" s="92">
        <f t="shared" ref="B686:H686" si="319">B690*B679</f>
        <v>17222.470689655176</v>
      </c>
      <c r="C686" s="92">
        <f t="shared" si="319"/>
        <v>31816.527586206903</v>
      </c>
      <c r="D686" s="92">
        <f t="shared" si="319"/>
        <v>73591.627586206901</v>
      </c>
      <c r="E686" s="92">
        <f t="shared" si="319"/>
        <v>30604.34137931035</v>
      </c>
      <c r="F686" s="92">
        <f t="shared" si="319"/>
        <v>311290.75172413798</v>
      </c>
      <c r="G686" s="31">
        <f t="shared" si="319"/>
        <v>294743.18793103448</v>
      </c>
      <c r="H686" s="31">
        <f t="shared" si="319"/>
        <v>273099.19137931033</v>
      </c>
      <c r="I686" s="31">
        <f>SUM(B686:H686)</f>
        <v>1032368.0982758622</v>
      </c>
      <c r="J686" s="32">
        <f t="shared" si="318"/>
        <v>147481.15689655175</v>
      </c>
    </row>
    <row r="687" spans="1:12" x14ac:dyDescent="0.25">
      <c r="A687" s="212" t="s">
        <v>27</v>
      </c>
      <c r="B687" s="92">
        <f t="shared" ref="B687:H687" si="320">B690*B680</f>
        <v>671676.35689655179</v>
      </c>
      <c r="C687" s="92">
        <f t="shared" si="320"/>
        <v>540880.96896551736</v>
      </c>
      <c r="D687" s="92">
        <f t="shared" si="320"/>
        <v>956691.15862068976</v>
      </c>
      <c r="E687" s="92">
        <f t="shared" si="320"/>
        <v>1009943.2655172416</v>
      </c>
      <c r="F687" s="92">
        <f t="shared" si="320"/>
        <v>1945567.1982758623</v>
      </c>
      <c r="G687" s="31">
        <f t="shared" si="320"/>
        <v>2063202.3155172414</v>
      </c>
      <c r="H687" s="31">
        <f t="shared" si="320"/>
        <v>2184793.5310344826</v>
      </c>
      <c r="I687" s="31">
        <f>SUM(B687:H687)</f>
        <v>9372754.794827586</v>
      </c>
      <c r="J687" s="32">
        <f t="shared" si="318"/>
        <v>1338964.970689655</v>
      </c>
    </row>
    <row r="688" spans="1:12" x14ac:dyDescent="0.25">
      <c r="A688" s="212" t="s">
        <v>28</v>
      </c>
      <c r="B688" s="92">
        <f t="shared" ref="B688:H688" si="321">B690*B681</f>
        <v>137779.76551724141</v>
      </c>
      <c r="C688" s="92">
        <f t="shared" si="321"/>
        <v>254532.22068965522</v>
      </c>
      <c r="D688" s="92">
        <f t="shared" si="321"/>
        <v>367958.13793103455</v>
      </c>
      <c r="E688" s="92">
        <f t="shared" si="321"/>
        <v>397856.43793103454</v>
      </c>
      <c r="F688" s="92">
        <f t="shared" si="321"/>
        <v>1011694.9431034484</v>
      </c>
      <c r="G688" s="31">
        <f t="shared" si="321"/>
        <v>1178972.7517241379</v>
      </c>
      <c r="H688" s="31">
        <f t="shared" si="321"/>
        <v>1365495.9568965517</v>
      </c>
      <c r="I688" s="31">
        <f>SUM(B688:H688)</f>
        <v>4714290.2137931036</v>
      </c>
      <c r="J688" s="32">
        <f t="shared" si="318"/>
        <v>673470.03054187191</v>
      </c>
    </row>
    <row r="689" spans="1:10" x14ac:dyDescent="0.25">
      <c r="A689" s="212" t="s">
        <v>29</v>
      </c>
      <c r="B689" s="92">
        <f t="shared" ref="B689:H689" si="322">B690*B682</f>
        <v>34444.941379310352</v>
      </c>
      <c r="C689" s="92">
        <f t="shared" si="322"/>
        <v>0</v>
      </c>
      <c r="D689" s="92">
        <f t="shared" si="322"/>
        <v>0</v>
      </c>
      <c r="E689" s="92">
        <f t="shared" si="322"/>
        <v>30604.34137931035</v>
      </c>
      <c r="F689" s="92">
        <f t="shared" si="322"/>
        <v>0</v>
      </c>
      <c r="G689" s="31">
        <f t="shared" si="322"/>
        <v>0</v>
      </c>
      <c r="H689" s="31">
        <f t="shared" si="322"/>
        <v>0</v>
      </c>
      <c r="I689" s="31">
        <f>SUM(B689:H689)</f>
        <v>65049.282758620699</v>
      </c>
      <c r="J689" s="32">
        <f t="shared" si="318"/>
        <v>9292.7546798029562</v>
      </c>
    </row>
    <row r="690" spans="1:10" x14ac:dyDescent="0.25">
      <c r="A690" s="216" t="s">
        <v>30</v>
      </c>
      <c r="B690" s="91">
        <f>(2080300/1.16)-B691</f>
        <v>1722247.0689655175</v>
      </c>
      <c r="C690" s="91">
        <f>(3905700/1.16)-C691</f>
        <v>3181652.7586206901</v>
      </c>
      <c r="D690" s="91">
        <f>(4448300/1.16)-D691</f>
        <v>3679581.3793103453</v>
      </c>
      <c r="E690" s="91">
        <f>(3720090/1.16)-E691</f>
        <v>3060434.1379310349</v>
      </c>
      <c r="F690" s="91">
        <f>(9424900/1.16)-F691</f>
        <v>7782268.793103449</v>
      </c>
      <c r="G690" s="384">
        <v>9824772.931034483</v>
      </c>
      <c r="H690" s="384">
        <v>9103306.3793103453</v>
      </c>
      <c r="I690" s="197">
        <f>SUM(I685:I689)</f>
        <v>38354263.448275872</v>
      </c>
      <c r="J690" s="217">
        <f t="shared" si="318"/>
        <v>5479180.4926108392</v>
      </c>
    </row>
    <row r="691" spans="1:10" x14ac:dyDescent="0.25">
      <c r="A691" s="212" t="s">
        <v>31</v>
      </c>
      <c r="B691" s="92">
        <f t="shared" ref="B691:I691" si="323">2155*B672</f>
        <v>71115</v>
      </c>
      <c r="C691" s="92">
        <f t="shared" si="323"/>
        <v>185330</v>
      </c>
      <c r="D691" s="92">
        <f t="shared" si="323"/>
        <v>155160</v>
      </c>
      <c r="E691" s="92">
        <f t="shared" si="323"/>
        <v>146540</v>
      </c>
      <c r="F691" s="92">
        <f t="shared" si="323"/>
        <v>342645</v>
      </c>
      <c r="G691" s="31">
        <f t="shared" si="323"/>
        <v>394365</v>
      </c>
      <c r="H691" s="31">
        <f t="shared" si="323"/>
        <v>381435</v>
      </c>
      <c r="I691" s="31">
        <f t="shared" si="323"/>
        <v>1676590</v>
      </c>
      <c r="J691" s="32">
        <f t="shared" si="318"/>
        <v>239512.85714285713</v>
      </c>
    </row>
    <row r="692" spans="1:10" x14ac:dyDescent="0.25">
      <c r="A692" s="218" t="s">
        <v>32</v>
      </c>
      <c r="B692" s="199">
        <f>B691+B690</f>
        <v>1793362.0689655175</v>
      </c>
      <c r="C692" s="199">
        <f>C691+C690</f>
        <v>3366982.7586206901</v>
      </c>
      <c r="D692" s="199">
        <f>D691+D690</f>
        <v>3834741.3793103453</v>
      </c>
      <c r="E692" s="199">
        <f>E691+E690</f>
        <v>3206974.1379310349</v>
      </c>
      <c r="F692" s="199">
        <f>F690+F691</f>
        <v>8124913.793103449</v>
      </c>
      <c r="G692" s="199">
        <f>G691+G690</f>
        <v>10219137.931034483</v>
      </c>
      <c r="H692" s="199">
        <f>H691+H690</f>
        <v>9484741.3793103453</v>
      </c>
      <c r="I692" s="199">
        <f>I690+I691</f>
        <v>40030853.448275872</v>
      </c>
      <c r="J692" s="219">
        <f t="shared" si="318"/>
        <v>5718693.3497536955</v>
      </c>
    </row>
    <row r="693" spans="1:10" x14ac:dyDescent="0.25">
      <c r="A693" s="212" t="s">
        <v>33</v>
      </c>
      <c r="B693" s="94">
        <f>B692*16%</f>
        <v>286937.93103448278</v>
      </c>
      <c r="C693" s="94">
        <f t="shared" ref="C693:H693" si="324">C692*16%</f>
        <v>538717.24137931038</v>
      </c>
      <c r="D693" s="94">
        <f t="shared" si="324"/>
        <v>613558.6206896553</v>
      </c>
      <c r="E693" s="94">
        <f t="shared" si="324"/>
        <v>513115.86206896562</v>
      </c>
      <c r="F693" s="94">
        <f t="shared" si="324"/>
        <v>1299986.2068965519</v>
      </c>
      <c r="G693" s="94">
        <f t="shared" si="324"/>
        <v>1635062.0689655172</v>
      </c>
      <c r="H693" s="94">
        <f t="shared" si="324"/>
        <v>1517558.6206896552</v>
      </c>
      <c r="I693" s="94">
        <f>I692*16%</f>
        <v>6404936.5517241396</v>
      </c>
      <c r="J693" s="32">
        <f t="shared" si="318"/>
        <v>914990.93596059142</v>
      </c>
    </row>
    <row r="694" spans="1:10" x14ac:dyDescent="0.25">
      <c r="A694" s="220" t="s">
        <v>34</v>
      </c>
      <c r="B694" s="202">
        <f>B692+B693</f>
        <v>2080300.0000000002</v>
      </c>
      <c r="C694" s="202">
        <f t="shared" ref="C694:H694" si="325">C692+C693</f>
        <v>3905700.0000000005</v>
      </c>
      <c r="D694" s="202">
        <f t="shared" si="325"/>
        <v>4448300.0000000009</v>
      </c>
      <c r="E694" s="202">
        <f t="shared" si="325"/>
        <v>3720090.0000000005</v>
      </c>
      <c r="F694" s="202">
        <f t="shared" si="325"/>
        <v>9424900</v>
      </c>
      <c r="G694" s="202">
        <f t="shared" si="325"/>
        <v>11854200</v>
      </c>
      <c r="H694" s="202">
        <f t="shared" si="325"/>
        <v>11002300</v>
      </c>
      <c r="I694" s="202">
        <f>I692+I693</f>
        <v>46435790.000000015</v>
      </c>
      <c r="J694" s="221">
        <f t="shared" si="318"/>
        <v>6633684.2857142882</v>
      </c>
    </row>
    <row r="697" spans="1:10" ht="26.25" x14ac:dyDescent="0.25">
      <c r="B697" s="1007" t="s">
        <v>365</v>
      </c>
      <c r="C697" s="1007"/>
      <c r="D697" s="1007"/>
      <c r="E697" s="1007"/>
      <c r="F697" s="1007"/>
      <c r="G697" s="1007"/>
      <c r="H697" s="1007"/>
    </row>
    <row r="698" spans="1:10" ht="15.75" x14ac:dyDescent="0.25">
      <c r="A698" s="207" t="s">
        <v>2</v>
      </c>
      <c r="B698" s="121" t="s">
        <v>233</v>
      </c>
      <c r="C698" s="121" t="s">
        <v>234</v>
      </c>
      <c r="D698" s="121" t="s">
        <v>235</v>
      </c>
      <c r="E698" s="121" t="s">
        <v>236</v>
      </c>
      <c r="F698" s="121" t="s">
        <v>237</v>
      </c>
      <c r="G698" s="121" t="s">
        <v>238</v>
      </c>
      <c r="H698" s="121" t="s">
        <v>239</v>
      </c>
      <c r="I698" s="121" t="s">
        <v>96</v>
      </c>
      <c r="J698" s="209" t="s">
        <v>97</v>
      </c>
    </row>
    <row r="699" spans="1:10" x14ac:dyDescent="0.25">
      <c r="A699" s="332" t="s">
        <v>11</v>
      </c>
      <c r="B699" s="75">
        <v>85</v>
      </c>
      <c r="C699" s="75">
        <v>43</v>
      </c>
      <c r="D699" s="75">
        <v>74</v>
      </c>
      <c r="E699" s="316">
        <v>118</v>
      </c>
      <c r="F699" s="316">
        <v>329</v>
      </c>
      <c r="G699" s="316">
        <v>452</v>
      </c>
      <c r="H699" s="316">
        <v>367</v>
      </c>
      <c r="I699" s="316">
        <f>SUM(B699:H699)</f>
        <v>1468</v>
      </c>
      <c r="J699" s="382">
        <f>+I699/7</f>
        <v>209.71428571428572</v>
      </c>
    </row>
    <row r="700" spans="1:10" x14ac:dyDescent="0.25">
      <c r="A700" s="212" t="s">
        <v>12</v>
      </c>
      <c r="B700" s="11">
        <v>51</v>
      </c>
      <c r="C700" s="11">
        <v>22</v>
      </c>
      <c r="D700" s="11">
        <v>12</v>
      </c>
      <c r="E700" s="11">
        <v>61</v>
      </c>
      <c r="F700" s="11">
        <v>183</v>
      </c>
      <c r="G700" s="11">
        <v>241</v>
      </c>
      <c r="H700" s="11">
        <v>214</v>
      </c>
      <c r="I700" s="11">
        <f>SUM(CEDRITOS!$B700:$H700)</f>
        <v>784</v>
      </c>
      <c r="J700" s="60">
        <f t="shared" ref="J700:J705" si="326">I700/7</f>
        <v>112</v>
      </c>
    </row>
    <row r="701" spans="1:10" x14ac:dyDescent="0.25">
      <c r="A701" s="212" t="s">
        <v>13</v>
      </c>
      <c r="B701" s="11">
        <v>1</v>
      </c>
      <c r="C701" s="11">
        <v>0</v>
      </c>
      <c r="D701" s="11">
        <v>0</v>
      </c>
      <c r="E701" s="11">
        <v>4</v>
      </c>
      <c r="F701" s="11">
        <v>3</v>
      </c>
      <c r="G701" s="11">
        <v>6</v>
      </c>
      <c r="H701" s="11">
        <v>6</v>
      </c>
      <c r="I701" s="11">
        <f>SUM(CEDRITOS!$B701:$H701)</f>
        <v>20</v>
      </c>
      <c r="J701" s="60">
        <f t="shared" si="326"/>
        <v>2.8571428571428572</v>
      </c>
    </row>
    <row r="702" spans="1:10" x14ac:dyDescent="0.25">
      <c r="A702" s="212" t="s">
        <v>14</v>
      </c>
      <c r="B702" s="11">
        <v>18</v>
      </c>
      <c r="C702" s="11">
        <v>19</v>
      </c>
      <c r="D702" s="11">
        <v>34</v>
      </c>
      <c r="E702" s="11">
        <v>35</v>
      </c>
      <c r="F702" s="11">
        <v>72</v>
      </c>
      <c r="G702" s="11">
        <v>103</v>
      </c>
      <c r="H702" s="11">
        <v>71</v>
      </c>
      <c r="I702" s="11">
        <f>SUM(CEDRITOS!$B702:$H702)</f>
        <v>352</v>
      </c>
      <c r="J702" s="60">
        <f t="shared" si="326"/>
        <v>50.285714285714285</v>
      </c>
    </row>
    <row r="703" spans="1:10" x14ac:dyDescent="0.25">
      <c r="A703" s="212" t="s">
        <v>15</v>
      </c>
      <c r="B703" s="11">
        <v>12</v>
      </c>
      <c r="C703" s="11">
        <v>1</v>
      </c>
      <c r="D703" s="11">
        <v>10</v>
      </c>
      <c r="E703" s="11">
        <v>15</v>
      </c>
      <c r="F703" s="11">
        <v>39</v>
      </c>
      <c r="G703" s="11">
        <v>43</v>
      </c>
      <c r="H703" s="11">
        <v>35</v>
      </c>
      <c r="I703" s="11">
        <f>SUM(CEDRITOS!$B703:$H703)</f>
        <v>155</v>
      </c>
      <c r="J703" s="60">
        <f t="shared" si="326"/>
        <v>22.142857142857142</v>
      </c>
    </row>
    <row r="704" spans="1:10" x14ac:dyDescent="0.25">
      <c r="A704" s="212" t="s">
        <v>16</v>
      </c>
      <c r="B704" s="11">
        <v>0</v>
      </c>
      <c r="C704" s="11">
        <v>0</v>
      </c>
      <c r="D704" s="11">
        <v>0</v>
      </c>
      <c r="E704" s="11">
        <v>1</v>
      </c>
      <c r="F704" s="11">
        <v>1</v>
      </c>
      <c r="G704" s="11">
        <v>0</v>
      </c>
      <c r="H704" s="86">
        <v>0</v>
      </c>
      <c r="I704" s="11">
        <f>SUM(CEDRITOS!$B704:$H704)</f>
        <v>2</v>
      </c>
      <c r="J704" s="60">
        <f t="shared" si="326"/>
        <v>0.2857142857142857</v>
      </c>
    </row>
    <row r="705" spans="1:10" x14ac:dyDescent="0.25">
      <c r="A705" s="213" t="s">
        <v>17</v>
      </c>
      <c r="B705" s="192">
        <f>SUM(B700:B704)</f>
        <v>82</v>
      </c>
      <c r="C705" s="192">
        <f>SUM(C700:C704)</f>
        <v>42</v>
      </c>
      <c r="D705" s="192">
        <f>SUM(D700:D704)</f>
        <v>56</v>
      </c>
      <c r="E705" s="192">
        <f>SUM(E700:E704)</f>
        <v>116</v>
      </c>
      <c r="F705" s="192">
        <v>276</v>
      </c>
      <c r="G705" s="192">
        <f>SUM(G700:G704)</f>
        <v>393</v>
      </c>
      <c r="H705" s="192">
        <f>SUM(H700:H704)</f>
        <v>326</v>
      </c>
      <c r="I705" s="192">
        <f>SUM(I700:I704)</f>
        <v>1313</v>
      </c>
      <c r="J705" s="214">
        <f t="shared" si="326"/>
        <v>187.57142857142858</v>
      </c>
    </row>
    <row r="706" spans="1:10" x14ac:dyDescent="0.25">
      <c r="A706" s="212" t="s">
        <v>18</v>
      </c>
      <c r="B706" s="385">
        <v>0.65</v>
      </c>
      <c r="C706" s="385">
        <v>0.56999999999999995</v>
      </c>
      <c r="D706" s="385">
        <v>0.18</v>
      </c>
      <c r="E706" s="385">
        <v>0.54</v>
      </c>
      <c r="F706" s="385">
        <v>0.65</v>
      </c>
      <c r="G706" s="385">
        <v>0.63</v>
      </c>
      <c r="H706" s="385">
        <v>0.7</v>
      </c>
      <c r="I706" s="30">
        <f>I713/I718</f>
        <v>0.62086304883738364</v>
      </c>
      <c r="J706" s="160">
        <f>J713/J718</f>
        <v>0.62086304883738364</v>
      </c>
    </row>
    <row r="707" spans="1:10" x14ac:dyDescent="0.25">
      <c r="A707" s="212" t="s">
        <v>19</v>
      </c>
      <c r="B707" s="385">
        <v>0.01</v>
      </c>
      <c r="C707" s="385">
        <v>0</v>
      </c>
      <c r="D707" s="385">
        <v>0</v>
      </c>
      <c r="E707" s="385">
        <v>0.05</v>
      </c>
      <c r="F707" s="385">
        <v>0.01</v>
      </c>
      <c r="G707" s="385">
        <v>0.01</v>
      </c>
      <c r="H707" s="385">
        <v>0.01</v>
      </c>
      <c r="I707" s="30">
        <f>I714/I718</f>
        <v>1.2192531230922014E-2</v>
      </c>
      <c r="J707" s="160">
        <f>J714/J718</f>
        <v>1.2192531230922014E-2</v>
      </c>
    </row>
    <row r="708" spans="1:10" x14ac:dyDescent="0.25">
      <c r="A708" s="212" t="s">
        <v>20</v>
      </c>
      <c r="B708" s="385">
        <v>0.33</v>
      </c>
      <c r="C708" s="385">
        <v>0.37</v>
      </c>
      <c r="D708" s="385">
        <v>0.7</v>
      </c>
      <c r="E708" s="385">
        <v>0.25</v>
      </c>
      <c r="F708" s="385">
        <v>0.23</v>
      </c>
      <c r="G708" s="385">
        <v>0.26</v>
      </c>
      <c r="H708" s="385">
        <v>0.2</v>
      </c>
      <c r="I708" s="30">
        <f>I715/I718</f>
        <v>0.26833385949620231</v>
      </c>
      <c r="J708" s="160">
        <f>J715/J718</f>
        <v>0.26833385949620231</v>
      </c>
    </row>
    <row r="709" spans="1:10" x14ac:dyDescent="0.25">
      <c r="A709" s="212" t="s">
        <v>21</v>
      </c>
      <c r="B709" s="385">
        <v>0.01</v>
      </c>
      <c r="C709" s="385">
        <v>0.06</v>
      </c>
      <c r="D709" s="385">
        <v>0.12</v>
      </c>
      <c r="E709" s="385">
        <v>0.15</v>
      </c>
      <c r="F709" s="385">
        <v>0.11</v>
      </c>
      <c r="G709" s="385">
        <v>0.1</v>
      </c>
      <c r="H709" s="385">
        <v>0.09</v>
      </c>
      <c r="I709" s="30">
        <f>I716/I718</f>
        <v>9.7820628847530094E-2</v>
      </c>
      <c r="J709" s="160">
        <f>J716/J718</f>
        <v>9.7820628847530108E-2</v>
      </c>
    </row>
    <row r="710" spans="1:10" x14ac:dyDescent="0.25">
      <c r="A710" s="212" t="s">
        <v>22</v>
      </c>
      <c r="B710" s="385">
        <v>0</v>
      </c>
      <c r="C710" s="385">
        <v>0</v>
      </c>
      <c r="D710" s="385">
        <v>0</v>
      </c>
      <c r="E710" s="385">
        <v>0.01</v>
      </c>
      <c r="F710" s="385">
        <v>0</v>
      </c>
      <c r="G710" s="385">
        <v>0</v>
      </c>
      <c r="H710" s="385">
        <v>0</v>
      </c>
      <c r="I710" s="30">
        <f>I717/I718</f>
        <v>7.8993158796192352E-4</v>
      </c>
      <c r="J710" s="160">
        <f>J717/J718</f>
        <v>7.8993158796192352E-4</v>
      </c>
    </row>
    <row r="711" spans="1:10" x14ac:dyDescent="0.25">
      <c r="A711" s="215" t="s">
        <v>23</v>
      </c>
      <c r="B711" s="66">
        <f t="shared" ref="B711:J711" si="327">B722/B705</f>
        <v>31802.439024390245</v>
      </c>
      <c r="C711" s="66">
        <f t="shared" si="327"/>
        <v>54454.761904761908</v>
      </c>
      <c r="D711" s="66">
        <f t="shared" si="327"/>
        <v>38885.714285714283</v>
      </c>
      <c r="E711" s="66">
        <f t="shared" si="327"/>
        <v>32150.862068965518</v>
      </c>
      <c r="F711" s="66">
        <f t="shared" si="327"/>
        <v>38013.405797101448</v>
      </c>
      <c r="G711" s="66">
        <f t="shared" si="327"/>
        <v>37103.562340966928</v>
      </c>
      <c r="H711" s="66">
        <f t="shared" si="327"/>
        <v>34868.098159509202</v>
      </c>
      <c r="I711" s="66">
        <f t="shared" si="327"/>
        <v>35980.502665651184</v>
      </c>
      <c r="J711" s="67">
        <f t="shared" si="327"/>
        <v>35980.502665651184</v>
      </c>
    </row>
    <row r="712" spans="1:10" x14ac:dyDescent="0.25">
      <c r="A712" s="215" t="s">
        <v>24</v>
      </c>
      <c r="B712" s="66">
        <f t="shared" ref="B712:I712" si="328">+B722/B699</f>
        <v>30680</v>
      </c>
      <c r="C712" s="66">
        <f t="shared" si="328"/>
        <v>53188.372093023259</v>
      </c>
      <c r="D712" s="66">
        <f t="shared" si="328"/>
        <v>29427.027027027027</v>
      </c>
      <c r="E712" s="66">
        <f t="shared" si="328"/>
        <v>31605.932203389832</v>
      </c>
      <c r="F712" s="66">
        <f t="shared" si="328"/>
        <v>31889.665653495442</v>
      </c>
      <c r="G712" s="66">
        <f t="shared" si="328"/>
        <v>32260.3982300885</v>
      </c>
      <c r="H712" s="66">
        <f t="shared" si="328"/>
        <v>30972.752043596731</v>
      </c>
      <c r="I712" s="66">
        <f t="shared" si="328"/>
        <v>32181.471389645783</v>
      </c>
      <c r="J712" s="67">
        <f>J722/J699</f>
        <v>32181.47138964578</v>
      </c>
    </row>
    <row r="713" spans="1:10" x14ac:dyDescent="0.25">
      <c r="A713" s="212" t="s">
        <v>25</v>
      </c>
      <c r="B713" s="92">
        <f t="shared" ref="B713:H713" si="329">B718*B706</f>
        <v>1389828.9913793106</v>
      </c>
      <c r="C713" s="92">
        <f t="shared" si="329"/>
        <v>1096809.920689655</v>
      </c>
      <c r="D713" s="92">
        <f t="shared" si="329"/>
        <v>333248.6482758621</v>
      </c>
      <c r="E713" s="92">
        <f t="shared" si="329"/>
        <v>1665160.851724138</v>
      </c>
      <c r="F713" s="92">
        <f t="shared" si="329"/>
        <v>5622632.5775862075</v>
      </c>
      <c r="G713" s="31">
        <f t="shared" si="329"/>
        <v>7592177.9017241392</v>
      </c>
      <c r="H713" s="31">
        <f t="shared" si="329"/>
        <v>6536577.5517241377</v>
      </c>
      <c r="I713" s="31">
        <f>SUM(B713:H713)</f>
        <v>24236436.443103448</v>
      </c>
      <c r="J713" s="32">
        <f t="shared" ref="J713:J722" si="330">I713/7</f>
        <v>3462348.0633004927</v>
      </c>
    </row>
    <row r="714" spans="1:10" x14ac:dyDescent="0.25">
      <c r="A714" s="212" t="s">
        <v>26</v>
      </c>
      <c r="B714" s="92">
        <f t="shared" ref="B714:H714" si="331">B718*B707</f>
        <v>21381.984482758624</v>
      </c>
      <c r="C714" s="92">
        <f t="shared" si="331"/>
        <v>0</v>
      </c>
      <c r="D714" s="92">
        <f t="shared" si="331"/>
        <v>0</v>
      </c>
      <c r="E714" s="92">
        <f t="shared" si="331"/>
        <v>154181.56034482759</v>
      </c>
      <c r="F714" s="92">
        <f t="shared" si="331"/>
        <v>86502.039655172412</v>
      </c>
      <c r="G714" s="31">
        <f t="shared" si="331"/>
        <v>120510.76034482761</v>
      </c>
      <c r="H714" s="31">
        <f t="shared" si="331"/>
        <v>93379.679310344829</v>
      </c>
      <c r="I714" s="31">
        <f>SUM(B714:H714)</f>
        <v>475956.02413793106</v>
      </c>
      <c r="J714" s="32">
        <f t="shared" si="330"/>
        <v>67993.717733990154</v>
      </c>
    </row>
    <row r="715" spans="1:10" x14ac:dyDescent="0.25">
      <c r="A715" s="212" t="s">
        <v>27</v>
      </c>
      <c r="B715" s="92">
        <f t="shared" ref="B715:H715" si="332">B718*B708</f>
        <v>705605.48793103453</v>
      </c>
      <c r="C715" s="92">
        <f t="shared" si="332"/>
        <v>711964.33448275866</v>
      </c>
      <c r="D715" s="92">
        <f t="shared" si="332"/>
        <v>1295966.9655172415</v>
      </c>
      <c r="E715" s="92">
        <f t="shared" si="332"/>
        <v>770907.80172413797</v>
      </c>
      <c r="F715" s="92">
        <f t="shared" si="332"/>
        <v>1989546.9120689656</v>
      </c>
      <c r="G715" s="31">
        <f t="shared" si="332"/>
        <v>3133279.7689655176</v>
      </c>
      <c r="H715" s="31">
        <f t="shared" si="332"/>
        <v>1867593.5862068967</v>
      </c>
      <c r="I715" s="31">
        <f>SUM(B715:H715)</f>
        <v>10474864.856896553</v>
      </c>
      <c r="J715" s="32">
        <f t="shared" si="330"/>
        <v>1496409.2652709361</v>
      </c>
    </row>
    <row r="716" spans="1:10" x14ac:dyDescent="0.25">
      <c r="A716" s="212" t="s">
        <v>28</v>
      </c>
      <c r="B716" s="92">
        <f t="shared" ref="B716:H716" si="333">B718*B709</f>
        <v>21381.984482758624</v>
      </c>
      <c r="C716" s="92">
        <f t="shared" si="333"/>
        <v>115453.67586206897</v>
      </c>
      <c r="D716" s="92">
        <f t="shared" si="333"/>
        <v>222165.76551724141</v>
      </c>
      <c r="E716" s="92">
        <f t="shared" si="333"/>
        <v>462544.68103448278</v>
      </c>
      <c r="F716" s="92">
        <f t="shared" si="333"/>
        <v>951522.43620689656</v>
      </c>
      <c r="G716" s="31">
        <f t="shared" si="333"/>
        <v>1205107.6034482762</v>
      </c>
      <c r="H716" s="31">
        <f t="shared" si="333"/>
        <v>840417.11379310349</v>
      </c>
      <c r="I716" s="31">
        <f>SUM(B716:H716)</f>
        <v>3818593.260344828</v>
      </c>
      <c r="J716" s="32">
        <f t="shared" si="330"/>
        <v>545513.32290640404</v>
      </c>
    </row>
    <row r="717" spans="1:10" x14ac:dyDescent="0.25">
      <c r="A717" s="212" t="s">
        <v>29</v>
      </c>
      <c r="B717" s="92">
        <f t="shared" ref="B717:H717" si="334">B718*B710</f>
        <v>0</v>
      </c>
      <c r="C717" s="92">
        <f t="shared" si="334"/>
        <v>0</v>
      </c>
      <c r="D717" s="92">
        <f t="shared" si="334"/>
        <v>0</v>
      </c>
      <c r="E717" s="92">
        <f t="shared" si="334"/>
        <v>30836.312068965519</v>
      </c>
      <c r="F717" s="92">
        <f t="shared" si="334"/>
        <v>0</v>
      </c>
      <c r="G717" s="31">
        <f t="shared" si="334"/>
        <v>0</v>
      </c>
      <c r="H717" s="31">
        <f t="shared" si="334"/>
        <v>0</v>
      </c>
      <c r="I717" s="31">
        <f>SUM(B717:H717)</f>
        <v>30836.312068965519</v>
      </c>
      <c r="J717" s="32">
        <f t="shared" si="330"/>
        <v>4405.1874384236453</v>
      </c>
    </row>
    <row r="718" spans="1:10" x14ac:dyDescent="0.25">
      <c r="A718" s="216" t="s">
        <v>30</v>
      </c>
      <c r="B718" s="91">
        <f>(2607800/1.16)-B719</f>
        <v>2138198.4482758623</v>
      </c>
      <c r="C718" s="91">
        <f>(2287100/1.16)-C719</f>
        <v>1924227.9310344828</v>
      </c>
      <c r="D718" s="91">
        <f>(2177600/1.16)-D719</f>
        <v>1851381.379310345</v>
      </c>
      <c r="E718" s="91">
        <f>(3729500/1.16)-E719</f>
        <v>3083631.2068965519</v>
      </c>
      <c r="F718" s="91">
        <f>(10491700/1.16)-F719</f>
        <v>8650203.9655172415</v>
      </c>
      <c r="G718" s="91">
        <f>(14581700/1.16)-G719</f>
        <v>12051076.03448276</v>
      </c>
      <c r="H718" s="91">
        <f>(11367000/1.16)-H719</f>
        <v>9337967.931034483</v>
      </c>
      <c r="I718" s="197">
        <f>SUM(I713:I717)</f>
        <v>39036686.896551728</v>
      </c>
      <c r="J718" s="217">
        <f t="shared" si="330"/>
        <v>5576669.5566502465</v>
      </c>
    </row>
    <row r="719" spans="1:10" x14ac:dyDescent="0.25">
      <c r="A719" s="212" t="s">
        <v>31</v>
      </c>
      <c r="B719" s="92">
        <f t="shared" ref="B719:I719" si="335">2155*B700</f>
        <v>109905</v>
      </c>
      <c r="C719" s="92">
        <f t="shared" si="335"/>
        <v>47410</v>
      </c>
      <c r="D719" s="92">
        <f t="shared" si="335"/>
        <v>25860</v>
      </c>
      <c r="E719" s="92">
        <f t="shared" si="335"/>
        <v>131455</v>
      </c>
      <c r="F719" s="92">
        <f t="shared" si="335"/>
        <v>394365</v>
      </c>
      <c r="G719" s="31">
        <f t="shared" si="335"/>
        <v>519355</v>
      </c>
      <c r="H719" s="31">
        <f t="shared" si="335"/>
        <v>461170</v>
      </c>
      <c r="I719" s="31">
        <f t="shared" si="335"/>
        <v>1689520</v>
      </c>
      <c r="J719" s="32">
        <f t="shared" si="330"/>
        <v>241360</v>
      </c>
    </row>
    <row r="720" spans="1:10" x14ac:dyDescent="0.25">
      <c r="A720" s="218" t="s">
        <v>32</v>
      </c>
      <c r="B720" s="199">
        <f>B719+B718</f>
        <v>2248103.4482758623</v>
      </c>
      <c r="C720" s="199">
        <f>C719+C718</f>
        <v>1971637.9310344828</v>
      </c>
      <c r="D720" s="199">
        <f>D719+D718</f>
        <v>1877241.379310345</v>
      </c>
      <c r="E720" s="199">
        <f>E719+E718</f>
        <v>3215086.2068965519</v>
      </c>
      <c r="F720" s="199">
        <f>F718+F719</f>
        <v>9044568.9655172415</v>
      </c>
      <c r="G720" s="199">
        <f>G719+G718</f>
        <v>12570431.03448276</v>
      </c>
      <c r="H720" s="199">
        <f>H719+H718</f>
        <v>9799137.931034483</v>
      </c>
      <c r="I720" s="199">
        <f>I718+I719</f>
        <v>40726206.896551728</v>
      </c>
      <c r="J720" s="219">
        <f t="shared" si="330"/>
        <v>5818029.5566502465</v>
      </c>
    </row>
    <row r="721" spans="1:10" x14ac:dyDescent="0.25">
      <c r="A721" s="212" t="s">
        <v>33</v>
      </c>
      <c r="B721" s="94">
        <f>B720*16%</f>
        <v>359696.55172413797</v>
      </c>
      <c r="C721" s="94">
        <f t="shared" ref="C721:H721" si="336">C720*16%</f>
        <v>315462.06896551728</v>
      </c>
      <c r="D721" s="94">
        <f t="shared" si="336"/>
        <v>300358.62068965519</v>
      </c>
      <c r="E721" s="94">
        <f t="shared" si="336"/>
        <v>514413.79310344829</v>
      </c>
      <c r="F721" s="94">
        <f t="shared" si="336"/>
        <v>1447131.0344827587</v>
      </c>
      <c r="G721" s="94">
        <f t="shared" si="336"/>
        <v>2011268.9655172417</v>
      </c>
      <c r="H721" s="94">
        <f t="shared" si="336"/>
        <v>1567862.0689655172</v>
      </c>
      <c r="I721" s="94">
        <f>I720*16%</f>
        <v>6516193.1034482764</v>
      </c>
      <c r="J721" s="32">
        <f t="shared" si="330"/>
        <v>930884.72906403954</v>
      </c>
    </row>
    <row r="722" spans="1:10" x14ac:dyDescent="0.25">
      <c r="A722" s="220" t="s">
        <v>34</v>
      </c>
      <c r="B722" s="202">
        <f>B720+B721</f>
        <v>2607800</v>
      </c>
      <c r="C722" s="202">
        <f t="shared" ref="C722:H722" si="337">C720+C721</f>
        <v>2287100</v>
      </c>
      <c r="D722" s="202">
        <f t="shared" si="337"/>
        <v>2177600</v>
      </c>
      <c r="E722" s="202">
        <f t="shared" si="337"/>
        <v>3729500</v>
      </c>
      <c r="F722" s="202">
        <f t="shared" si="337"/>
        <v>10491700</v>
      </c>
      <c r="G722" s="202">
        <f t="shared" si="337"/>
        <v>14581700.000000002</v>
      </c>
      <c r="H722" s="202">
        <f t="shared" si="337"/>
        <v>11367000</v>
      </c>
      <c r="I722" s="202">
        <f>I720+I721</f>
        <v>47242400.000000007</v>
      </c>
      <c r="J722" s="221">
        <f t="shared" si="330"/>
        <v>6748914.2857142864</v>
      </c>
    </row>
    <row r="725" spans="1:10" ht="26.25" x14ac:dyDescent="0.25">
      <c r="B725" s="1007" t="s">
        <v>366</v>
      </c>
      <c r="C725" s="1007"/>
      <c r="D725" s="1007"/>
      <c r="E725" s="1007"/>
      <c r="F725" s="1007"/>
      <c r="G725" s="1007"/>
      <c r="H725" s="1007"/>
    </row>
    <row r="726" spans="1:10" ht="15.75" x14ac:dyDescent="0.25">
      <c r="A726" s="207" t="s">
        <v>2</v>
      </c>
      <c r="B726" s="121" t="s">
        <v>241</v>
      </c>
      <c r="C726" s="121" t="s">
        <v>242</v>
      </c>
      <c r="D726" s="121" t="s">
        <v>243</v>
      </c>
      <c r="E726" s="121" t="s">
        <v>244</v>
      </c>
      <c r="F726" s="121" t="s">
        <v>245</v>
      </c>
      <c r="G726" s="121" t="s">
        <v>246</v>
      </c>
      <c r="H726" s="121" t="s">
        <v>247</v>
      </c>
      <c r="I726" s="121" t="s">
        <v>96</v>
      </c>
      <c r="J726" s="209" t="s">
        <v>97</v>
      </c>
    </row>
    <row r="727" spans="1:10" x14ac:dyDescent="0.25">
      <c r="A727" s="332" t="s">
        <v>11</v>
      </c>
      <c r="B727" s="75">
        <v>94</v>
      </c>
      <c r="C727" s="75">
        <v>115</v>
      </c>
      <c r="D727" s="75">
        <v>102</v>
      </c>
      <c r="E727" s="316">
        <v>139</v>
      </c>
      <c r="F727" s="316">
        <v>336</v>
      </c>
      <c r="G727" s="316">
        <v>467</v>
      </c>
      <c r="H727" s="316">
        <v>439</v>
      </c>
      <c r="I727" s="316">
        <f>SUM(B727:H727)</f>
        <v>1692</v>
      </c>
      <c r="J727" s="382">
        <f>+I727/7</f>
        <v>241.71428571428572</v>
      </c>
    </row>
    <row r="728" spans="1:10" x14ac:dyDescent="0.25">
      <c r="A728" s="212" t="s">
        <v>12</v>
      </c>
      <c r="B728" s="11">
        <v>44</v>
      </c>
      <c r="C728" s="11">
        <v>62</v>
      </c>
      <c r="D728" s="11">
        <v>62</v>
      </c>
      <c r="E728" s="11">
        <v>86</v>
      </c>
      <c r="F728" s="11">
        <v>194</v>
      </c>
      <c r="G728" s="11">
        <v>247</v>
      </c>
      <c r="H728" s="11">
        <v>240</v>
      </c>
      <c r="I728" s="11">
        <f>SUM(CEDRITOS!$B728:$H728)</f>
        <v>935</v>
      </c>
      <c r="J728" s="60">
        <f t="shared" ref="J728:J733" si="338">I728/7</f>
        <v>133.57142857142858</v>
      </c>
    </row>
    <row r="729" spans="1:10" x14ac:dyDescent="0.25">
      <c r="A729" s="212" t="s">
        <v>13</v>
      </c>
      <c r="B729" s="11">
        <v>0</v>
      </c>
      <c r="C729" s="11">
        <v>0</v>
      </c>
      <c r="D729" s="11">
        <v>0</v>
      </c>
      <c r="E729" s="11">
        <v>2</v>
      </c>
      <c r="F729" s="11">
        <v>5</v>
      </c>
      <c r="G729" s="11">
        <v>10</v>
      </c>
      <c r="H729" s="11">
        <v>9</v>
      </c>
      <c r="I729" s="11">
        <f>SUM(CEDRITOS!$B729:$H729)</f>
        <v>26</v>
      </c>
      <c r="J729" s="60">
        <f t="shared" si="338"/>
        <v>3.7142857142857144</v>
      </c>
    </row>
    <row r="730" spans="1:10" x14ac:dyDescent="0.25">
      <c r="A730" s="212" t="s">
        <v>14</v>
      </c>
      <c r="B730" s="11">
        <v>32</v>
      </c>
      <c r="C730" s="11">
        <v>32</v>
      </c>
      <c r="D730" s="11">
        <v>30</v>
      </c>
      <c r="E730" s="11">
        <v>35</v>
      </c>
      <c r="F730" s="11">
        <v>48</v>
      </c>
      <c r="G730" s="11">
        <v>87</v>
      </c>
      <c r="H730" s="11">
        <v>69</v>
      </c>
      <c r="I730" s="11">
        <f>SUM(CEDRITOS!$B730:$H730)</f>
        <v>333</v>
      </c>
      <c r="J730" s="60">
        <f t="shared" si="338"/>
        <v>47.571428571428569</v>
      </c>
    </row>
    <row r="731" spans="1:10" x14ac:dyDescent="0.25">
      <c r="A731" s="212" t="s">
        <v>15</v>
      </c>
      <c r="B731" s="11">
        <v>7</v>
      </c>
      <c r="C731" s="11">
        <v>15</v>
      </c>
      <c r="D731" s="11">
        <v>3</v>
      </c>
      <c r="E731" s="11">
        <v>16</v>
      </c>
      <c r="F731" s="11">
        <v>40</v>
      </c>
      <c r="G731" s="11">
        <v>67</v>
      </c>
      <c r="H731" s="11">
        <v>53</v>
      </c>
      <c r="I731" s="11">
        <f>SUM(CEDRITOS!$B731:$H731)</f>
        <v>201</v>
      </c>
      <c r="J731" s="60">
        <f t="shared" si="338"/>
        <v>28.714285714285715</v>
      </c>
    </row>
    <row r="732" spans="1:10" x14ac:dyDescent="0.25">
      <c r="A732" s="212" t="s">
        <v>16</v>
      </c>
      <c r="B732" s="11">
        <v>0</v>
      </c>
      <c r="C732" s="11">
        <v>0</v>
      </c>
      <c r="D732" s="11">
        <v>0</v>
      </c>
      <c r="E732" s="11">
        <v>1</v>
      </c>
      <c r="F732" s="11">
        <v>0</v>
      </c>
      <c r="G732" s="86">
        <v>0</v>
      </c>
      <c r="H732" s="86">
        <v>0</v>
      </c>
      <c r="I732" s="11">
        <f>SUM(CEDRITOS!$B732:$H732)</f>
        <v>1</v>
      </c>
      <c r="J732" s="60">
        <f t="shared" si="338"/>
        <v>0.14285714285714285</v>
      </c>
    </row>
    <row r="733" spans="1:10" x14ac:dyDescent="0.25">
      <c r="A733" s="213" t="s">
        <v>17</v>
      </c>
      <c r="B733" s="192">
        <f t="shared" ref="B733:I733" si="339">SUM(B728:B732)</f>
        <v>83</v>
      </c>
      <c r="C733" s="192">
        <f t="shared" si="339"/>
        <v>109</v>
      </c>
      <c r="D733" s="192">
        <f t="shared" si="339"/>
        <v>95</v>
      </c>
      <c r="E733" s="192">
        <f t="shared" si="339"/>
        <v>140</v>
      </c>
      <c r="F733" s="192">
        <f t="shared" si="339"/>
        <v>287</v>
      </c>
      <c r="G733" s="192">
        <f t="shared" si="339"/>
        <v>411</v>
      </c>
      <c r="H733" s="192">
        <f t="shared" si="339"/>
        <v>371</v>
      </c>
      <c r="I733" s="192">
        <f t="shared" si="339"/>
        <v>1496</v>
      </c>
      <c r="J733" s="214">
        <f t="shared" si="338"/>
        <v>213.71428571428572</v>
      </c>
    </row>
    <row r="734" spans="1:10" x14ac:dyDescent="0.25">
      <c r="A734" s="212" t="s">
        <v>18</v>
      </c>
      <c r="B734" s="386">
        <v>0.55000000000000004</v>
      </c>
      <c r="C734" s="387">
        <v>0.56000000000000005</v>
      </c>
      <c r="D734" s="387">
        <v>0.71</v>
      </c>
      <c r="E734" s="387">
        <v>0.68</v>
      </c>
      <c r="F734" s="387">
        <v>0.72</v>
      </c>
      <c r="G734" s="387">
        <v>0.63</v>
      </c>
      <c r="H734" s="387">
        <v>0.68</v>
      </c>
      <c r="I734" s="30">
        <f>I741/I746</f>
        <v>0.6602477424501132</v>
      </c>
      <c r="J734" s="160">
        <f>J741/J746</f>
        <v>0.66024774245011331</v>
      </c>
    </row>
    <row r="735" spans="1:10" x14ac:dyDescent="0.25">
      <c r="A735" s="212" t="s">
        <v>19</v>
      </c>
      <c r="B735" s="386">
        <v>0</v>
      </c>
      <c r="C735" s="387">
        <v>0</v>
      </c>
      <c r="D735" s="387">
        <v>0</v>
      </c>
      <c r="E735" s="387">
        <v>0.03</v>
      </c>
      <c r="F735" s="387">
        <v>0.02</v>
      </c>
      <c r="G735" s="387">
        <v>0.03</v>
      </c>
      <c r="H735" s="387">
        <v>0.03</v>
      </c>
      <c r="I735" s="30">
        <f>I742/I746</f>
        <v>2.2557587023381041E-2</v>
      </c>
      <c r="J735" s="160">
        <f>J742/J746</f>
        <v>2.2557587023381044E-2</v>
      </c>
    </row>
    <row r="736" spans="1:10" x14ac:dyDescent="0.25">
      <c r="A736" s="212" t="s">
        <v>20</v>
      </c>
      <c r="B736" s="386">
        <v>0.36</v>
      </c>
      <c r="C736" s="387">
        <v>0.3</v>
      </c>
      <c r="D736" s="387">
        <v>0.27</v>
      </c>
      <c r="E736" s="387">
        <v>0.2</v>
      </c>
      <c r="F736" s="387">
        <v>0.15</v>
      </c>
      <c r="G736" s="387">
        <v>0.19</v>
      </c>
      <c r="H736" s="387">
        <v>0.17</v>
      </c>
      <c r="I736" s="30">
        <f>I743/I746</f>
        <v>0.19924259102070119</v>
      </c>
      <c r="J736" s="160">
        <f>J743/J746</f>
        <v>0.19924259102070119</v>
      </c>
    </row>
    <row r="737" spans="1:10" x14ac:dyDescent="0.25">
      <c r="A737" s="212" t="s">
        <v>21</v>
      </c>
      <c r="B737" s="386">
        <v>0.09</v>
      </c>
      <c r="C737" s="387">
        <v>0.14000000000000001</v>
      </c>
      <c r="D737" s="387">
        <v>0.02</v>
      </c>
      <c r="E737" s="387">
        <v>0.09</v>
      </c>
      <c r="F737" s="387">
        <v>0.11</v>
      </c>
      <c r="G737" s="387">
        <v>0.15</v>
      </c>
      <c r="H737" s="387">
        <v>0.12</v>
      </c>
      <c r="I737" s="30">
        <f>I744/I746</f>
        <v>0.11795207950580459</v>
      </c>
      <c r="J737" s="160">
        <f>J744/J746</f>
        <v>0.11795207950580459</v>
      </c>
    </row>
    <row r="738" spans="1:10" x14ac:dyDescent="0.25">
      <c r="A738" s="212" t="s">
        <v>22</v>
      </c>
      <c r="B738" s="386">
        <v>0</v>
      </c>
      <c r="C738" s="387">
        <v>0</v>
      </c>
      <c r="D738" s="387">
        <v>0</v>
      </c>
      <c r="E738" s="387">
        <v>0</v>
      </c>
      <c r="F738" s="387">
        <v>0</v>
      </c>
      <c r="G738" s="387">
        <v>0</v>
      </c>
      <c r="H738" s="387">
        <v>0</v>
      </c>
      <c r="I738" s="30">
        <f>I745/I746</f>
        <v>0</v>
      </c>
      <c r="J738" s="160">
        <f>J745/J746</f>
        <v>0</v>
      </c>
    </row>
    <row r="739" spans="1:10" x14ac:dyDescent="0.25">
      <c r="A739" s="215" t="s">
        <v>23</v>
      </c>
      <c r="B739" s="66">
        <f t="shared" ref="B739:J739" si="340">B750/B733</f>
        <v>31832.530120481933</v>
      </c>
      <c r="C739" s="66">
        <f t="shared" si="340"/>
        <v>32122.935779816518</v>
      </c>
      <c r="D739" s="66">
        <f t="shared" si="340"/>
        <v>35663.157894736847</v>
      </c>
      <c r="E739" s="66">
        <f t="shared" si="340"/>
        <v>28872.142857142859</v>
      </c>
      <c r="F739" s="66">
        <f t="shared" si="340"/>
        <v>35482.578397212543</v>
      </c>
      <c r="G739" s="66">
        <f t="shared" si="340"/>
        <v>37368.613138686138</v>
      </c>
      <c r="H739" s="66">
        <f t="shared" si="340"/>
        <v>34990.026954177898</v>
      </c>
      <c r="I739" s="66">
        <f t="shared" si="340"/>
        <v>34824.131016042789</v>
      </c>
      <c r="J739" s="67">
        <f t="shared" si="340"/>
        <v>34824.131016042782</v>
      </c>
    </row>
    <row r="740" spans="1:10" x14ac:dyDescent="0.25">
      <c r="A740" s="215" t="s">
        <v>24</v>
      </c>
      <c r="B740" s="66">
        <f t="shared" ref="B740:I740" si="341">+B750/B727</f>
        <v>28107.446808510642</v>
      </c>
      <c r="C740" s="66">
        <f t="shared" si="341"/>
        <v>30446.956521739135</v>
      </c>
      <c r="D740" s="66">
        <f t="shared" si="341"/>
        <v>33215.686274509811</v>
      </c>
      <c r="E740" s="66">
        <f t="shared" si="341"/>
        <v>29079.856115107912</v>
      </c>
      <c r="F740" s="66">
        <f t="shared" si="341"/>
        <v>30308.035714285714</v>
      </c>
      <c r="G740" s="66">
        <f t="shared" si="341"/>
        <v>32887.58029978587</v>
      </c>
      <c r="H740" s="66">
        <f t="shared" si="341"/>
        <v>29570.15945330296</v>
      </c>
      <c r="I740" s="66">
        <f t="shared" si="341"/>
        <v>30790.130023640668</v>
      </c>
      <c r="J740" s="67">
        <f>J750/J727</f>
        <v>30790.130023640664</v>
      </c>
    </row>
    <row r="741" spans="1:10" x14ac:dyDescent="0.25">
      <c r="A741" s="212" t="s">
        <v>25</v>
      </c>
      <c r="B741" s="92">
        <f t="shared" ref="B741:H741" si="342">B746*B734</f>
        <v>1200568.8275862071</v>
      </c>
      <c r="C741" s="92">
        <f t="shared" si="342"/>
        <v>1615509.4344827591</v>
      </c>
      <c r="D741" s="92">
        <f t="shared" si="342"/>
        <v>1978826.5551724141</v>
      </c>
      <c r="E741" s="92">
        <f t="shared" si="342"/>
        <v>2243482.4965517246</v>
      </c>
      <c r="F741" s="92">
        <f t="shared" si="342"/>
        <v>6019782.703448276</v>
      </c>
      <c r="G741" s="31">
        <f t="shared" si="342"/>
        <v>8005914.7603448285</v>
      </c>
      <c r="H741" s="31">
        <f t="shared" si="342"/>
        <v>7258031.5862068972</v>
      </c>
      <c r="I741" s="31">
        <f>SUM(B741:H741)</f>
        <v>28322116.363793109</v>
      </c>
      <c r="J741" s="32">
        <f t="shared" ref="J741:J750" si="343">I741/7</f>
        <v>4046016.6233990155</v>
      </c>
    </row>
    <row r="742" spans="1:10" x14ac:dyDescent="0.25">
      <c r="A742" s="212" t="s">
        <v>26</v>
      </c>
      <c r="B742" s="92">
        <f t="shared" ref="B742:H742" si="344">B746*B735</f>
        <v>0</v>
      </c>
      <c r="C742" s="92">
        <f t="shared" si="344"/>
        <v>0</v>
      </c>
      <c r="D742" s="92">
        <f t="shared" si="344"/>
        <v>0</v>
      </c>
      <c r="E742" s="92">
        <f t="shared" si="344"/>
        <v>98977.168965517238</v>
      </c>
      <c r="F742" s="92">
        <f t="shared" si="344"/>
        <v>167216.18620689656</v>
      </c>
      <c r="G742" s="31">
        <f t="shared" si="344"/>
        <v>381234.03620689659</v>
      </c>
      <c r="H742" s="31">
        <f t="shared" si="344"/>
        <v>320207.27586206899</v>
      </c>
      <c r="I742" s="31">
        <f>SUM(B742:H742)</f>
        <v>967634.66724137939</v>
      </c>
      <c r="J742" s="32">
        <f t="shared" si="343"/>
        <v>138233.52389162563</v>
      </c>
    </row>
    <row r="743" spans="1:10" x14ac:dyDescent="0.25">
      <c r="A743" s="212" t="s">
        <v>27</v>
      </c>
      <c r="B743" s="92">
        <f t="shared" ref="B743:H743" si="345">B746*B736</f>
        <v>785826.86896551738</v>
      </c>
      <c r="C743" s="92">
        <f t="shared" si="345"/>
        <v>865451.48275862075</v>
      </c>
      <c r="D743" s="92">
        <f t="shared" si="345"/>
        <v>752511.50689655181</v>
      </c>
      <c r="E743" s="92">
        <f t="shared" si="345"/>
        <v>659847.79310344835</v>
      </c>
      <c r="F743" s="92">
        <f t="shared" si="345"/>
        <v>1254121.3965517243</v>
      </c>
      <c r="G743" s="31">
        <f t="shared" si="345"/>
        <v>2414482.2293103449</v>
      </c>
      <c r="H743" s="31">
        <f t="shared" si="345"/>
        <v>1814507.8965517243</v>
      </c>
      <c r="I743" s="31">
        <f>SUM(B743:H743)</f>
        <v>8546749.1741379313</v>
      </c>
      <c r="J743" s="32">
        <f t="shared" si="343"/>
        <v>1220964.1677339901</v>
      </c>
    </row>
    <row r="744" spans="1:10" x14ac:dyDescent="0.25">
      <c r="A744" s="212" t="s">
        <v>28</v>
      </c>
      <c r="B744" s="92">
        <f t="shared" ref="B744:H744" si="346">B746*B737</f>
        <v>196456.71724137935</v>
      </c>
      <c r="C744" s="92">
        <f t="shared" si="346"/>
        <v>403877.35862068977</v>
      </c>
      <c r="D744" s="92">
        <f t="shared" si="346"/>
        <v>55741.593103448286</v>
      </c>
      <c r="E744" s="92">
        <f t="shared" si="346"/>
        <v>296931.5068965517</v>
      </c>
      <c r="F744" s="92">
        <f t="shared" si="346"/>
        <v>919689.02413793106</v>
      </c>
      <c r="G744" s="31">
        <f t="shared" si="346"/>
        <v>1906170.1810344828</v>
      </c>
      <c r="H744" s="31">
        <f t="shared" si="346"/>
        <v>1280829.1034482759</v>
      </c>
      <c r="I744" s="31">
        <f>SUM(B744:H744)</f>
        <v>5059695.4844827596</v>
      </c>
      <c r="J744" s="32">
        <f t="shared" si="343"/>
        <v>722813.64064039418</v>
      </c>
    </row>
    <row r="745" spans="1:10" x14ac:dyDescent="0.25">
      <c r="A745" s="212" t="s">
        <v>29</v>
      </c>
      <c r="B745" s="92">
        <f t="shared" ref="B745:H745" si="347">B746*B738</f>
        <v>0</v>
      </c>
      <c r="C745" s="92">
        <f t="shared" si="347"/>
        <v>0</v>
      </c>
      <c r="D745" s="92">
        <f t="shared" si="347"/>
        <v>0</v>
      </c>
      <c r="E745" s="92">
        <f t="shared" si="347"/>
        <v>0</v>
      </c>
      <c r="F745" s="92">
        <f t="shared" si="347"/>
        <v>0</v>
      </c>
      <c r="G745" s="31">
        <f t="shared" si="347"/>
        <v>0</v>
      </c>
      <c r="H745" s="31">
        <f t="shared" si="347"/>
        <v>0</v>
      </c>
      <c r="I745" s="31">
        <f>SUM(B745:H745)</f>
        <v>0</v>
      </c>
      <c r="J745" s="32">
        <f t="shared" si="343"/>
        <v>0</v>
      </c>
    </row>
    <row r="746" spans="1:10" x14ac:dyDescent="0.25">
      <c r="A746" s="216" t="s">
        <v>30</v>
      </c>
      <c r="B746" s="222">
        <f>(2642100/1.16)-B747</f>
        <v>2182852.4137931038</v>
      </c>
      <c r="C746" s="222">
        <f>(3501400/1.16)-C747</f>
        <v>2884838.2758620693</v>
      </c>
      <c r="D746" s="222">
        <f>(3388000/1.16)-D747</f>
        <v>2787079.6551724141</v>
      </c>
      <c r="E746" s="222">
        <f>(4042100/1.16)-E747</f>
        <v>3299238.9655172415</v>
      </c>
      <c r="F746" s="222">
        <f>(10183500/1.16)-F747</f>
        <v>8360809.3103448283</v>
      </c>
      <c r="G746" s="222">
        <f>(15358500/1.16)-G747</f>
        <v>12707801.206896553</v>
      </c>
      <c r="H746" s="222">
        <f>(12981300/1.16)-H747</f>
        <v>10673575.862068966</v>
      </c>
      <c r="I746" s="197">
        <f>SUM(I741:I745)</f>
        <v>42896195.689655177</v>
      </c>
      <c r="J746" s="217">
        <f t="shared" si="343"/>
        <v>6128027.9556650249</v>
      </c>
    </row>
    <row r="747" spans="1:10" x14ac:dyDescent="0.25">
      <c r="A747" s="212" t="s">
        <v>31</v>
      </c>
      <c r="B747" s="92">
        <f t="shared" ref="B747:I747" si="348">2155*B728</f>
        <v>94820</v>
      </c>
      <c r="C747" s="92">
        <f t="shared" si="348"/>
        <v>133610</v>
      </c>
      <c r="D747" s="92">
        <f t="shared" si="348"/>
        <v>133610</v>
      </c>
      <c r="E747" s="92">
        <f t="shared" si="348"/>
        <v>185330</v>
      </c>
      <c r="F747" s="92">
        <f t="shared" si="348"/>
        <v>418070</v>
      </c>
      <c r="G747" s="31">
        <f t="shared" si="348"/>
        <v>532285</v>
      </c>
      <c r="H747" s="31">
        <f t="shared" si="348"/>
        <v>517200</v>
      </c>
      <c r="I747" s="31">
        <f t="shared" si="348"/>
        <v>2014925</v>
      </c>
      <c r="J747" s="32">
        <f t="shared" si="343"/>
        <v>287846.42857142858</v>
      </c>
    </row>
    <row r="748" spans="1:10" x14ac:dyDescent="0.25">
      <c r="A748" s="218" t="s">
        <v>32</v>
      </c>
      <c r="B748" s="199">
        <f>B747+B746</f>
        <v>2277672.4137931038</v>
      </c>
      <c r="C748" s="199">
        <f>C747+C746</f>
        <v>3018448.2758620693</v>
      </c>
      <c r="D748" s="199">
        <f>D747+D746</f>
        <v>2920689.6551724141</v>
      </c>
      <c r="E748" s="199">
        <f>E747+E746</f>
        <v>3484568.9655172415</v>
      </c>
      <c r="F748" s="199">
        <f>F746+F747</f>
        <v>8778879.3103448283</v>
      </c>
      <c r="G748" s="199">
        <f>G747+G746</f>
        <v>13240086.206896553</v>
      </c>
      <c r="H748" s="199">
        <f>H747+H746</f>
        <v>11190775.862068966</v>
      </c>
      <c r="I748" s="199">
        <f>I746+I747</f>
        <v>44911120.689655177</v>
      </c>
      <c r="J748" s="219">
        <f t="shared" si="343"/>
        <v>6415874.384236454</v>
      </c>
    </row>
    <row r="749" spans="1:10" x14ac:dyDescent="0.25">
      <c r="A749" s="212" t="s">
        <v>33</v>
      </c>
      <c r="B749" s="94">
        <f>B748*16%</f>
        <v>364427.58620689664</v>
      </c>
      <c r="C749" s="94">
        <f t="shared" ref="C749:H749" si="349">C748*16%</f>
        <v>482951.72413793113</v>
      </c>
      <c r="D749" s="94">
        <f t="shared" si="349"/>
        <v>467310.34482758626</v>
      </c>
      <c r="E749" s="94">
        <f t="shared" si="349"/>
        <v>557531.03448275861</v>
      </c>
      <c r="F749" s="94">
        <f t="shared" si="349"/>
        <v>1404620.6896551726</v>
      </c>
      <c r="G749" s="94">
        <f t="shared" si="349"/>
        <v>2118413.7931034486</v>
      </c>
      <c r="H749" s="94">
        <f t="shared" si="349"/>
        <v>1790524.1379310347</v>
      </c>
      <c r="I749" s="94">
        <f>I748*16%</f>
        <v>7185779.3103448283</v>
      </c>
      <c r="J749" s="32">
        <f t="shared" si="343"/>
        <v>1026539.9014778326</v>
      </c>
    </row>
    <row r="750" spans="1:10" x14ac:dyDescent="0.25">
      <c r="A750" s="220" t="s">
        <v>34</v>
      </c>
      <c r="B750" s="202">
        <f>B748+B749</f>
        <v>2642100.0000000005</v>
      </c>
      <c r="C750" s="202">
        <f t="shared" ref="C750:H750" si="350">C748+C749</f>
        <v>3501400.0000000005</v>
      </c>
      <c r="D750" s="202">
        <f t="shared" si="350"/>
        <v>3388000.0000000005</v>
      </c>
      <c r="E750" s="202">
        <f t="shared" si="350"/>
        <v>4042100</v>
      </c>
      <c r="F750" s="202">
        <f t="shared" si="350"/>
        <v>10183500</v>
      </c>
      <c r="G750" s="202">
        <f t="shared" si="350"/>
        <v>15358500.000000002</v>
      </c>
      <c r="H750" s="202">
        <f t="shared" si="350"/>
        <v>12981300</v>
      </c>
      <c r="I750" s="202">
        <f>I748+I749</f>
        <v>52096900.000000007</v>
      </c>
      <c r="J750" s="221">
        <f t="shared" si="343"/>
        <v>7442414.2857142864</v>
      </c>
    </row>
    <row r="753" spans="1:10" ht="26.25" x14ac:dyDescent="0.25">
      <c r="B753" s="1007" t="s">
        <v>367</v>
      </c>
      <c r="C753" s="1007"/>
      <c r="D753" s="1007"/>
      <c r="E753" s="1007"/>
      <c r="F753" s="1007"/>
      <c r="G753" s="1007"/>
      <c r="H753" s="1007"/>
    </row>
    <row r="754" spans="1:10" ht="15.75" x14ac:dyDescent="0.25">
      <c r="A754" s="207" t="s">
        <v>2</v>
      </c>
      <c r="B754" s="121" t="s">
        <v>249</v>
      </c>
      <c r="C754" s="121" t="s">
        <v>250</v>
      </c>
      <c r="D754" s="121" t="s">
        <v>251</v>
      </c>
      <c r="E754" s="121" t="s">
        <v>220</v>
      </c>
      <c r="F754" s="121" t="s">
        <v>221</v>
      </c>
      <c r="G754" s="121" t="s">
        <v>222</v>
      </c>
      <c r="H754" s="121" t="s">
        <v>223</v>
      </c>
      <c r="I754" s="121" t="s">
        <v>96</v>
      </c>
      <c r="J754" s="209" t="s">
        <v>97</v>
      </c>
    </row>
    <row r="755" spans="1:10" x14ac:dyDescent="0.25">
      <c r="A755" s="332" t="s">
        <v>11</v>
      </c>
      <c r="B755" s="75">
        <v>102</v>
      </c>
      <c r="C755" s="75">
        <v>159</v>
      </c>
      <c r="D755" s="75">
        <v>105</v>
      </c>
      <c r="E755" s="316">
        <v>131</v>
      </c>
      <c r="F755" s="316">
        <v>332</v>
      </c>
      <c r="G755" s="316">
        <v>431</v>
      </c>
      <c r="H755" s="316">
        <v>335</v>
      </c>
      <c r="I755" s="316">
        <f>SUM(B755:H755)</f>
        <v>1595</v>
      </c>
      <c r="J755" s="382">
        <f>+I755/7</f>
        <v>227.85714285714286</v>
      </c>
    </row>
    <row r="756" spans="1:10" x14ac:dyDescent="0.25">
      <c r="A756" s="212" t="s">
        <v>12</v>
      </c>
      <c r="B756" s="11">
        <v>51</v>
      </c>
      <c r="C756" s="11">
        <v>63</v>
      </c>
      <c r="D756" s="11">
        <v>52</v>
      </c>
      <c r="E756" s="11">
        <v>66</v>
      </c>
      <c r="F756" s="11">
        <v>163</v>
      </c>
      <c r="G756" s="11">
        <v>220</v>
      </c>
      <c r="H756" s="11">
        <v>179</v>
      </c>
      <c r="I756" s="11">
        <f>SUM(CEDRITOS!$B756:$H756)</f>
        <v>794</v>
      </c>
      <c r="J756" s="60">
        <f t="shared" ref="J756:J761" si="351">I756/7</f>
        <v>113.42857142857143</v>
      </c>
    </row>
    <row r="757" spans="1:10" x14ac:dyDescent="0.25">
      <c r="A757" s="212" t="s">
        <v>13</v>
      </c>
      <c r="B757" s="11">
        <v>1</v>
      </c>
      <c r="C757" s="11">
        <v>4</v>
      </c>
      <c r="D757" s="11">
        <v>2</v>
      </c>
      <c r="E757" s="11">
        <v>5</v>
      </c>
      <c r="F757" s="11">
        <v>8</v>
      </c>
      <c r="G757" s="11">
        <v>12</v>
      </c>
      <c r="H757" s="11">
        <v>8</v>
      </c>
      <c r="I757" s="11">
        <f>SUM(CEDRITOS!$B757:$H757)</f>
        <v>40</v>
      </c>
      <c r="J757" s="60">
        <f t="shared" si="351"/>
        <v>5.7142857142857144</v>
      </c>
    </row>
    <row r="758" spans="1:10" x14ac:dyDescent="0.25">
      <c r="A758" s="212" t="s">
        <v>14</v>
      </c>
      <c r="B758" s="11">
        <v>24</v>
      </c>
      <c r="C758" s="11">
        <v>69</v>
      </c>
      <c r="D758" s="11">
        <v>29</v>
      </c>
      <c r="E758" s="11">
        <v>33</v>
      </c>
      <c r="F758" s="11">
        <v>71</v>
      </c>
      <c r="G758" s="11">
        <v>79</v>
      </c>
      <c r="H758" s="11">
        <v>78</v>
      </c>
      <c r="I758" s="11">
        <f>SUM(CEDRITOS!$B758:$H758)</f>
        <v>383</v>
      </c>
      <c r="J758" s="60">
        <f t="shared" si="351"/>
        <v>54.714285714285715</v>
      </c>
    </row>
    <row r="759" spans="1:10" x14ac:dyDescent="0.25">
      <c r="A759" s="212" t="s">
        <v>15</v>
      </c>
      <c r="B759" s="11">
        <v>17</v>
      </c>
      <c r="C759" s="11">
        <v>12</v>
      </c>
      <c r="D759" s="11">
        <v>12</v>
      </c>
      <c r="E759" s="11">
        <v>17</v>
      </c>
      <c r="F759" s="11">
        <v>41</v>
      </c>
      <c r="G759" s="11">
        <v>48</v>
      </c>
      <c r="H759" s="11">
        <v>25</v>
      </c>
      <c r="I759" s="11">
        <f>SUM(CEDRITOS!$B759:$H759)</f>
        <v>172</v>
      </c>
      <c r="J759" s="60">
        <f t="shared" si="351"/>
        <v>24.571428571428573</v>
      </c>
    </row>
    <row r="760" spans="1:10" x14ac:dyDescent="0.25">
      <c r="A760" s="212" t="s">
        <v>16</v>
      </c>
      <c r="B760" s="11">
        <v>0</v>
      </c>
      <c r="C760" s="11">
        <v>1</v>
      </c>
      <c r="D760" s="11">
        <v>0</v>
      </c>
      <c r="E760" s="11">
        <v>1</v>
      </c>
      <c r="F760" s="11">
        <v>0</v>
      </c>
      <c r="G760" s="86">
        <v>2</v>
      </c>
      <c r="H760" s="86">
        <v>0</v>
      </c>
      <c r="I760" s="11">
        <f>SUM(CEDRITOS!$B760:$H760)</f>
        <v>4</v>
      </c>
      <c r="J760" s="60">
        <f t="shared" si="351"/>
        <v>0.5714285714285714</v>
      </c>
    </row>
    <row r="761" spans="1:10" x14ac:dyDescent="0.25">
      <c r="A761" s="213" t="s">
        <v>17</v>
      </c>
      <c r="B761" s="192">
        <f t="shared" ref="B761:I761" si="352">SUM(B756:B760)</f>
        <v>93</v>
      </c>
      <c r="C761" s="192">
        <f t="shared" si="352"/>
        <v>149</v>
      </c>
      <c r="D761" s="192">
        <f t="shared" si="352"/>
        <v>95</v>
      </c>
      <c r="E761" s="192">
        <f t="shared" si="352"/>
        <v>122</v>
      </c>
      <c r="F761" s="192">
        <f t="shared" si="352"/>
        <v>283</v>
      </c>
      <c r="G761" s="192">
        <f t="shared" si="352"/>
        <v>361</v>
      </c>
      <c r="H761" s="192">
        <f t="shared" si="352"/>
        <v>290</v>
      </c>
      <c r="I761" s="192">
        <f t="shared" si="352"/>
        <v>1393</v>
      </c>
      <c r="J761" s="214">
        <f t="shared" si="351"/>
        <v>199</v>
      </c>
    </row>
    <row r="762" spans="1:10" x14ac:dyDescent="0.25">
      <c r="A762" s="212" t="s">
        <v>18</v>
      </c>
      <c r="B762" s="386">
        <v>0.61</v>
      </c>
      <c r="C762" s="387">
        <v>0.43</v>
      </c>
      <c r="D762" s="387">
        <v>0.59</v>
      </c>
      <c r="E762" s="387">
        <v>0.6</v>
      </c>
      <c r="F762" s="387">
        <v>0.61</v>
      </c>
      <c r="G762" s="387">
        <v>0.64</v>
      </c>
      <c r="H762" s="387">
        <v>0.65</v>
      </c>
      <c r="I762" s="30">
        <f>I769/I774</f>
        <v>0.60623213671980836</v>
      </c>
      <c r="J762" s="160">
        <f>J769/J774</f>
        <v>0.60623213671980836</v>
      </c>
    </row>
    <row r="763" spans="1:10" x14ac:dyDescent="0.25">
      <c r="A763" s="212" t="s">
        <v>19</v>
      </c>
      <c r="B763" s="386">
        <v>0.04</v>
      </c>
      <c r="C763" s="387">
        <v>0.02</v>
      </c>
      <c r="D763" s="387">
        <v>0.02</v>
      </c>
      <c r="E763" s="387">
        <v>0.06</v>
      </c>
      <c r="F763" s="387">
        <v>0.03</v>
      </c>
      <c r="G763" s="387">
        <v>0.03</v>
      </c>
      <c r="H763" s="387">
        <v>0.03</v>
      </c>
      <c r="I763" s="30">
        <f>I770/I774</f>
        <v>3.1295294435585694E-2</v>
      </c>
      <c r="J763" s="160">
        <f>J770/J774</f>
        <v>3.1295294435585694E-2</v>
      </c>
    </row>
    <row r="764" spans="1:10" x14ac:dyDescent="0.25">
      <c r="A764" s="212" t="s">
        <v>20</v>
      </c>
      <c r="B764" s="386">
        <v>0.18</v>
      </c>
      <c r="C764" s="387">
        <v>0.44</v>
      </c>
      <c r="D764" s="387">
        <v>0.27</v>
      </c>
      <c r="E764" s="387">
        <v>0.21</v>
      </c>
      <c r="F764" s="387">
        <v>0.22</v>
      </c>
      <c r="G764" s="387">
        <v>0.21</v>
      </c>
      <c r="H764" s="387">
        <v>0.23</v>
      </c>
      <c r="I764" s="30">
        <f>I771/I774</f>
        <v>0.24178066190382272</v>
      </c>
      <c r="J764" s="160">
        <f>J771/J774</f>
        <v>0.24178066190382272</v>
      </c>
    </row>
    <row r="765" spans="1:10" x14ac:dyDescent="0.25">
      <c r="A765" s="212" t="s">
        <v>21</v>
      </c>
      <c r="B765" s="386">
        <v>0.17</v>
      </c>
      <c r="C765" s="387">
        <v>0.1</v>
      </c>
      <c r="D765" s="387">
        <v>0.12</v>
      </c>
      <c r="E765" s="387">
        <v>0.12</v>
      </c>
      <c r="F765" s="387">
        <v>0.14000000000000001</v>
      </c>
      <c r="G765" s="387">
        <v>0.11</v>
      </c>
      <c r="H765" s="387">
        <v>0.09</v>
      </c>
      <c r="I765" s="30">
        <f>I772/I774</f>
        <v>0.11608161376359555</v>
      </c>
      <c r="J765" s="160">
        <f>J772/J774</f>
        <v>0.11608161376359555</v>
      </c>
    </row>
    <row r="766" spans="1:10" x14ac:dyDescent="0.25">
      <c r="A766" s="212" t="s">
        <v>22</v>
      </c>
      <c r="B766" s="386">
        <v>0</v>
      </c>
      <c r="C766" s="387">
        <v>0.01</v>
      </c>
      <c r="D766" s="387">
        <v>0</v>
      </c>
      <c r="E766" s="387">
        <v>0.01</v>
      </c>
      <c r="F766" s="387">
        <v>0</v>
      </c>
      <c r="G766" s="387">
        <v>0.01</v>
      </c>
      <c r="H766" s="387">
        <v>0</v>
      </c>
      <c r="I766" s="30">
        <f>I773/I774</f>
        <v>4.6102931771878023E-3</v>
      </c>
      <c r="J766" s="160">
        <f>J773/J774</f>
        <v>4.6102931771878023E-3</v>
      </c>
    </row>
    <row r="767" spans="1:10" x14ac:dyDescent="0.25">
      <c r="A767" s="215" t="s">
        <v>23</v>
      </c>
      <c r="B767" s="66">
        <f t="shared" ref="B767:J767" si="353">B778/B761</f>
        <v>32198.9247311828</v>
      </c>
      <c r="C767" s="66">
        <f t="shared" si="353"/>
        <v>33636.241610738252</v>
      </c>
      <c r="D767" s="66">
        <f t="shared" si="353"/>
        <v>32093.684210526317</v>
      </c>
      <c r="E767" s="66">
        <f t="shared" si="353"/>
        <v>31468.852459016398</v>
      </c>
      <c r="F767" s="66">
        <f t="shared" si="353"/>
        <v>36143.462897526508</v>
      </c>
      <c r="G767" s="66">
        <f t="shared" si="353"/>
        <v>38203.324099722995</v>
      </c>
      <c r="H767" s="66">
        <f t="shared" si="353"/>
        <v>35485.517241379312</v>
      </c>
      <c r="I767" s="66">
        <f t="shared" si="353"/>
        <v>35323.187365398422</v>
      </c>
      <c r="J767" s="67">
        <f t="shared" si="353"/>
        <v>35323.187365398422</v>
      </c>
    </row>
    <row r="768" spans="1:10" x14ac:dyDescent="0.25">
      <c r="A768" s="215" t="s">
        <v>24</v>
      </c>
      <c r="B768" s="66">
        <f t="shared" ref="B768:I768" si="354">+B778/B755</f>
        <v>29357.843137254906</v>
      </c>
      <c r="C768" s="66">
        <f t="shared" si="354"/>
        <v>31520.754716981133</v>
      </c>
      <c r="D768" s="66">
        <f t="shared" si="354"/>
        <v>29037.142857142859</v>
      </c>
      <c r="E768" s="66">
        <f t="shared" si="354"/>
        <v>29306.870229007636</v>
      </c>
      <c r="F768" s="66">
        <f t="shared" si="354"/>
        <v>30809.03614457832</v>
      </c>
      <c r="G768" s="66">
        <f t="shared" si="354"/>
        <v>31998.60788863109</v>
      </c>
      <c r="H768" s="66">
        <f t="shared" si="354"/>
        <v>30718.805970149253</v>
      </c>
      <c r="I768" s="66">
        <f t="shared" si="354"/>
        <v>30849.655172413793</v>
      </c>
      <c r="J768" s="67">
        <f>J778/J755</f>
        <v>30849.65517241379</v>
      </c>
    </row>
    <row r="769" spans="1:10" x14ac:dyDescent="0.25">
      <c r="A769" s="212" t="s">
        <v>25</v>
      </c>
      <c r="B769" s="92">
        <f t="shared" ref="B769:H769" si="355">B774*B762</f>
        <v>1507651.9155172417</v>
      </c>
      <c r="C769" s="92">
        <f t="shared" si="355"/>
        <v>1799443.4637931034</v>
      </c>
      <c r="D769" s="92">
        <f t="shared" si="355"/>
        <v>1484618.2206896553</v>
      </c>
      <c r="E769" s="92">
        <f t="shared" si="355"/>
        <v>1900455.1034482759</v>
      </c>
      <c r="F769" s="92">
        <f t="shared" si="355"/>
        <v>5164561.1086206902</v>
      </c>
      <c r="G769" s="31">
        <f t="shared" si="355"/>
        <v>7305624.2758620689</v>
      </c>
      <c r="H769" s="31">
        <f t="shared" si="355"/>
        <v>5515662.3017241387</v>
      </c>
      <c r="I769" s="31">
        <f>SUM(B769:H769)</f>
        <v>24678016.389655177</v>
      </c>
      <c r="J769" s="32">
        <f t="shared" ref="J769:J778" si="356">I769/7</f>
        <v>3525430.9128078823</v>
      </c>
    </row>
    <row r="770" spans="1:10" x14ac:dyDescent="0.25">
      <c r="A770" s="212" t="s">
        <v>26</v>
      </c>
      <c r="B770" s="92">
        <f t="shared" ref="B770:H770" si="357">B774*B763</f>
        <v>98862.420689655191</v>
      </c>
      <c r="C770" s="92">
        <f t="shared" si="357"/>
        <v>83695.044827586215</v>
      </c>
      <c r="D770" s="92">
        <f t="shared" si="357"/>
        <v>50326.041379310351</v>
      </c>
      <c r="E770" s="92">
        <f t="shared" si="357"/>
        <v>190045.51034482761</v>
      </c>
      <c r="F770" s="92">
        <f t="shared" si="357"/>
        <v>253994.8086206897</v>
      </c>
      <c r="G770" s="31">
        <f t="shared" si="357"/>
        <v>342451.13793103449</v>
      </c>
      <c r="H770" s="31">
        <f t="shared" si="357"/>
        <v>254569.02931034483</v>
      </c>
      <c r="I770" s="31">
        <f>SUM(B770:H770)</f>
        <v>1273943.9931034483</v>
      </c>
      <c r="J770" s="32">
        <f t="shared" si="356"/>
        <v>181991.99901477832</v>
      </c>
    </row>
    <row r="771" spans="1:10" x14ac:dyDescent="0.25">
      <c r="A771" s="212" t="s">
        <v>27</v>
      </c>
      <c r="B771" s="92">
        <f t="shared" ref="B771:H771" si="358">B774*B764</f>
        <v>444880.89310344832</v>
      </c>
      <c r="C771" s="92">
        <f t="shared" si="358"/>
        <v>1841290.9862068966</v>
      </c>
      <c r="D771" s="92">
        <f t="shared" si="358"/>
        <v>679401.55862068979</v>
      </c>
      <c r="E771" s="92">
        <f t="shared" si="358"/>
        <v>665159.28620689653</v>
      </c>
      <c r="F771" s="92">
        <f t="shared" si="358"/>
        <v>1862628.5965517245</v>
      </c>
      <c r="G771" s="31">
        <f t="shared" si="358"/>
        <v>2397157.9655172415</v>
      </c>
      <c r="H771" s="31">
        <f t="shared" si="358"/>
        <v>1951695.8913793105</v>
      </c>
      <c r="I771" s="31">
        <f>SUM(B771:H771)</f>
        <v>9842215.1775862072</v>
      </c>
      <c r="J771" s="32">
        <f t="shared" si="356"/>
        <v>1406030.7396551725</v>
      </c>
    </row>
    <row r="772" spans="1:10" x14ac:dyDescent="0.25">
      <c r="A772" s="212" t="s">
        <v>28</v>
      </c>
      <c r="B772" s="92">
        <f t="shared" ref="B772:H772" si="359">B774*B765</f>
        <v>420165.28793103457</v>
      </c>
      <c r="C772" s="92">
        <f t="shared" si="359"/>
        <v>418475.22413793107</v>
      </c>
      <c r="D772" s="92">
        <f t="shared" si="359"/>
        <v>301956.24827586208</v>
      </c>
      <c r="E772" s="92">
        <f t="shared" si="359"/>
        <v>380091.02068965521</v>
      </c>
      <c r="F772" s="92">
        <f t="shared" si="359"/>
        <v>1185309.106896552</v>
      </c>
      <c r="G772" s="31">
        <f t="shared" si="359"/>
        <v>1255654.1724137932</v>
      </c>
      <c r="H772" s="31">
        <f t="shared" si="359"/>
        <v>763707.0879310345</v>
      </c>
      <c r="I772" s="31">
        <f>SUM(B772:H772)</f>
        <v>4725358.1482758624</v>
      </c>
      <c r="J772" s="32">
        <f t="shared" si="356"/>
        <v>675051.1640394089</v>
      </c>
    </row>
    <row r="773" spans="1:10" x14ac:dyDescent="0.25">
      <c r="A773" s="212" t="s">
        <v>29</v>
      </c>
      <c r="B773" s="92">
        <f t="shared" ref="B773:H773" si="360">B774*B766</f>
        <v>0</v>
      </c>
      <c r="C773" s="92">
        <f t="shared" si="360"/>
        <v>41847.522413793107</v>
      </c>
      <c r="D773" s="92">
        <f t="shared" si="360"/>
        <v>0</v>
      </c>
      <c r="E773" s="92">
        <f t="shared" si="360"/>
        <v>31674.251724137936</v>
      </c>
      <c r="F773" s="92">
        <f t="shared" si="360"/>
        <v>0</v>
      </c>
      <c r="G773" s="31">
        <f t="shared" si="360"/>
        <v>114150.37931034483</v>
      </c>
      <c r="H773" s="31">
        <f t="shared" si="360"/>
        <v>0</v>
      </c>
      <c r="I773" s="31">
        <f>SUM(B773:H773)</f>
        <v>187672.15344827587</v>
      </c>
      <c r="J773" s="32">
        <f t="shared" si="356"/>
        <v>26810.307635467983</v>
      </c>
    </row>
    <row r="774" spans="1:10" x14ac:dyDescent="0.25">
      <c r="A774" s="216" t="s">
        <v>30</v>
      </c>
      <c r="B774" s="222">
        <f>(2994500/1.16)-B775</f>
        <v>2471560.5172413797</v>
      </c>
      <c r="C774" s="222">
        <f>(5011800/1.16)-C775</f>
        <v>4184752.2413793104</v>
      </c>
      <c r="D774" s="222">
        <f>(3048900/1.16)-D775</f>
        <v>2516302.0689655175</v>
      </c>
      <c r="E774" s="222">
        <f>(3839200/1.16)-E775</f>
        <v>3167425.1724137934</v>
      </c>
      <c r="F774" s="222">
        <f>(10228600/1.16)-F775</f>
        <v>8466493.6206896566</v>
      </c>
      <c r="G774" s="222">
        <f>(13791400/1.16)-G775</f>
        <v>11415037.931034483</v>
      </c>
      <c r="H774" s="222">
        <f>(10290800/1.16)-H775</f>
        <v>8485634.3103448283</v>
      </c>
      <c r="I774" s="197">
        <f>SUM(I769:I773)</f>
        <v>40707205.862068966</v>
      </c>
      <c r="J774" s="217">
        <f t="shared" si="356"/>
        <v>5815315.1231527096</v>
      </c>
    </row>
    <row r="775" spans="1:10" x14ac:dyDescent="0.25">
      <c r="A775" s="212" t="s">
        <v>31</v>
      </c>
      <c r="B775" s="92">
        <f t="shared" ref="B775:I775" si="361">2155*B756</f>
        <v>109905</v>
      </c>
      <c r="C775" s="92">
        <f t="shared" si="361"/>
        <v>135765</v>
      </c>
      <c r="D775" s="92">
        <f t="shared" si="361"/>
        <v>112060</v>
      </c>
      <c r="E775" s="92">
        <f t="shared" si="361"/>
        <v>142230</v>
      </c>
      <c r="F775" s="92">
        <f t="shared" si="361"/>
        <v>351265</v>
      </c>
      <c r="G775" s="31">
        <f t="shared" si="361"/>
        <v>474100</v>
      </c>
      <c r="H775" s="31">
        <f t="shared" si="361"/>
        <v>385745</v>
      </c>
      <c r="I775" s="31">
        <f t="shared" si="361"/>
        <v>1711070</v>
      </c>
      <c r="J775" s="32">
        <f t="shared" si="356"/>
        <v>244438.57142857142</v>
      </c>
    </row>
    <row r="776" spans="1:10" x14ac:dyDescent="0.25">
      <c r="A776" s="218" t="s">
        <v>32</v>
      </c>
      <c r="B776" s="199">
        <f>B775+B774</f>
        <v>2581465.5172413797</v>
      </c>
      <c r="C776" s="199">
        <f>C775+C774</f>
        <v>4320517.2413793104</v>
      </c>
      <c r="D776" s="199">
        <f>D775+D774</f>
        <v>2628362.0689655175</v>
      </c>
      <c r="E776" s="199">
        <f>E775+E774</f>
        <v>3309655.1724137934</v>
      </c>
      <c r="F776" s="199">
        <f>F774+F775</f>
        <v>8817758.6206896566</v>
      </c>
      <c r="G776" s="199">
        <f>G775+G774</f>
        <v>11889137.931034483</v>
      </c>
      <c r="H776" s="199">
        <f>H775+H774</f>
        <v>8871379.3103448283</v>
      </c>
      <c r="I776" s="199">
        <f>I774+I775</f>
        <v>42418275.862068966</v>
      </c>
      <c r="J776" s="219">
        <f t="shared" si="356"/>
        <v>6059753.6945812805</v>
      </c>
    </row>
    <row r="777" spans="1:10" x14ac:dyDescent="0.25">
      <c r="A777" s="212" t="s">
        <v>33</v>
      </c>
      <c r="B777" s="94">
        <f>B776*16%</f>
        <v>413034.48275862075</v>
      </c>
      <c r="C777" s="94">
        <f t="shared" ref="C777:H777" si="362">C776*16%</f>
        <v>691282.75862068962</v>
      </c>
      <c r="D777" s="94">
        <f t="shared" si="362"/>
        <v>420537.93103448278</v>
      </c>
      <c r="E777" s="94">
        <f t="shared" si="362"/>
        <v>529544.82758620696</v>
      </c>
      <c r="F777" s="94">
        <f t="shared" si="362"/>
        <v>1410841.379310345</v>
      </c>
      <c r="G777" s="94">
        <f t="shared" si="362"/>
        <v>1902262.0689655172</v>
      </c>
      <c r="H777" s="94">
        <f t="shared" si="362"/>
        <v>1419420.6896551726</v>
      </c>
      <c r="I777" s="94">
        <f>I776*16%</f>
        <v>6786924.1379310349</v>
      </c>
      <c r="J777" s="32">
        <f t="shared" si="356"/>
        <v>969560.59113300499</v>
      </c>
    </row>
    <row r="778" spans="1:10" x14ac:dyDescent="0.25">
      <c r="A778" s="220" t="s">
        <v>34</v>
      </c>
      <c r="B778" s="202">
        <f>B776+B777</f>
        <v>2994500.0000000005</v>
      </c>
      <c r="C778" s="202">
        <f t="shared" ref="C778:H778" si="363">C776+C777</f>
        <v>5011800</v>
      </c>
      <c r="D778" s="202">
        <f t="shared" si="363"/>
        <v>3048900</v>
      </c>
      <c r="E778" s="202">
        <f t="shared" si="363"/>
        <v>3839200.0000000005</v>
      </c>
      <c r="F778" s="202">
        <f t="shared" si="363"/>
        <v>10228600.000000002</v>
      </c>
      <c r="G778" s="202">
        <f t="shared" si="363"/>
        <v>13791400</v>
      </c>
      <c r="H778" s="202">
        <f t="shared" si="363"/>
        <v>10290800</v>
      </c>
      <c r="I778" s="202">
        <f>I776+I777</f>
        <v>49205200</v>
      </c>
      <c r="J778" s="221">
        <f t="shared" si="356"/>
        <v>7029314.2857142854</v>
      </c>
    </row>
    <row r="781" spans="1:10" ht="26.25" x14ac:dyDescent="0.25">
      <c r="B781" s="1007" t="s">
        <v>368</v>
      </c>
      <c r="C781" s="1007"/>
      <c r="D781" s="1007"/>
      <c r="E781" s="1007"/>
      <c r="F781" s="1007"/>
      <c r="G781" s="1007"/>
      <c r="H781" s="1007"/>
    </row>
    <row r="782" spans="1:10" ht="15.75" x14ac:dyDescent="0.25">
      <c r="A782" s="207" t="s">
        <v>2</v>
      </c>
      <c r="B782" s="121" t="s">
        <v>225</v>
      </c>
      <c r="C782" s="121" t="s">
        <v>226</v>
      </c>
      <c r="D782" s="121" t="s">
        <v>227</v>
      </c>
      <c r="E782" s="121" t="s">
        <v>228</v>
      </c>
      <c r="F782" s="121" t="s">
        <v>229</v>
      </c>
      <c r="G782" s="121" t="s">
        <v>230</v>
      </c>
      <c r="H782" s="121" t="s">
        <v>231</v>
      </c>
      <c r="I782" s="121" t="s">
        <v>96</v>
      </c>
      <c r="J782" s="209" t="s">
        <v>97</v>
      </c>
    </row>
    <row r="783" spans="1:10" x14ac:dyDescent="0.25">
      <c r="A783" s="332" t="s">
        <v>11</v>
      </c>
      <c r="B783" s="75">
        <v>80</v>
      </c>
      <c r="C783" s="75">
        <v>111</v>
      </c>
      <c r="D783" s="75">
        <v>108</v>
      </c>
      <c r="E783" s="316">
        <v>99</v>
      </c>
      <c r="F783" s="316">
        <v>282</v>
      </c>
      <c r="G783" s="316">
        <v>327</v>
      </c>
      <c r="H783" s="316">
        <v>298</v>
      </c>
      <c r="I783" s="316">
        <f>SUM(B783:H783)</f>
        <v>1305</v>
      </c>
      <c r="J783" s="382">
        <f>+I783/7</f>
        <v>186.42857142857142</v>
      </c>
    </row>
    <row r="784" spans="1:10" x14ac:dyDescent="0.25">
      <c r="A784" s="212" t="s">
        <v>12</v>
      </c>
      <c r="B784" s="11">
        <v>46</v>
      </c>
      <c r="C784" s="11">
        <v>54</v>
      </c>
      <c r="D784" s="11">
        <v>63</v>
      </c>
      <c r="E784" s="11">
        <v>50</v>
      </c>
      <c r="F784" s="11">
        <v>143</v>
      </c>
      <c r="G784" s="11">
        <v>184</v>
      </c>
      <c r="H784" s="11">
        <v>156</v>
      </c>
      <c r="I784" s="11">
        <f>SUM(CEDRITOS!$B784:$H784)</f>
        <v>696</v>
      </c>
      <c r="J784" s="60">
        <f t="shared" ref="J784:J789" si="364">I784/7</f>
        <v>99.428571428571431</v>
      </c>
    </row>
    <row r="785" spans="1:10" x14ac:dyDescent="0.25">
      <c r="A785" s="212" t="s">
        <v>13</v>
      </c>
      <c r="B785" s="11">
        <v>1</v>
      </c>
      <c r="C785" s="11">
        <v>2</v>
      </c>
      <c r="D785" s="11">
        <v>1</v>
      </c>
      <c r="E785" s="11">
        <v>2</v>
      </c>
      <c r="F785" s="11">
        <v>6</v>
      </c>
      <c r="G785" s="11">
        <v>5</v>
      </c>
      <c r="H785" s="11">
        <v>9</v>
      </c>
      <c r="I785" s="11">
        <f>SUM(CEDRITOS!$B785:$H785)</f>
        <v>26</v>
      </c>
      <c r="J785" s="60">
        <f t="shared" si="364"/>
        <v>3.7142857142857144</v>
      </c>
    </row>
    <row r="786" spans="1:10" x14ac:dyDescent="0.25">
      <c r="A786" s="212" t="s">
        <v>14</v>
      </c>
      <c r="B786" s="11">
        <v>24</v>
      </c>
      <c r="C786" s="11">
        <v>26</v>
      </c>
      <c r="D786" s="11">
        <v>19</v>
      </c>
      <c r="E786" s="11">
        <v>28</v>
      </c>
      <c r="F786" s="11">
        <v>60</v>
      </c>
      <c r="G786" s="11">
        <v>71</v>
      </c>
      <c r="H786" s="11">
        <v>68</v>
      </c>
      <c r="I786" s="11">
        <f>SUM(CEDRITOS!$B786:$H786)</f>
        <v>296</v>
      </c>
      <c r="J786" s="60">
        <f t="shared" si="364"/>
        <v>42.285714285714285</v>
      </c>
    </row>
    <row r="787" spans="1:10" x14ac:dyDescent="0.25">
      <c r="A787" s="212" t="s">
        <v>15</v>
      </c>
      <c r="B787" s="11">
        <v>7</v>
      </c>
      <c r="C787" s="11">
        <v>8</v>
      </c>
      <c r="D787" s="11">
        <v>8</v>
      </c>
      <c r="E787" s="11">
        <v>16</v>
      </c>
      <c r="F787" s="11">
        <v>27</v>
      </c>
      <c r="G787" s="11">
        <v>44</v>
      </c>
      <c r="H787" s="11">
        <v>36</v>
      </c>
      <c r="I787" s="11">
        <f>SUM(CEDRITOS!$B787:$H787)</f>
        <v>146</v>
      </c>
      <c r="J787" s="60">
        <f t="shared" si="364"/>
        <v>20.857142857142858</v>
      </c>
    </row>
    <row r="788" spans="1:10" x14ac:dyDescent="0.25">
      <c r="A788" s="212" t="s">
        <v>16</v>
      </c>
      <c r="B788" s="11">
        <v>0</v>
      </c>
      <c r="C788" s="11">
        <v>0</v>
      </c>
      <c r="D788" s="11">
        <v>0</v>
      </c>
      <c r="E788" s="11">
        <v>0</v>
      </c>
      <c r="F788" s="11">
        <v>5</v>
      </c>
      <c r="G788" s="86">
        <v>1</v>
      </c>
      <c r="H788" s="86">
        <v>0</v>
      </c>
      <c r="I788" s="11">
        <f>SUM(CEDRITOS!$B788:$H788)</f>
        <v>6</v>
      </c>
      <c r="J788" s="60">
        <f t="shared" si="364"/>
        <v>0.8571428571428571</v>
      </c>
    </row>
    <row r="789" spans="1:10" x14ac:dyDescent="0.25">
      <c r="A789" s="213" t="s">
        <v>17</v>
      </c>
      <c r="B789" s="192">
        <f t="shared" ref="B789:I789" si="365">SUM(B784:B788)</f>
        <v>78</v>
      </c>
      <c r="C789" s="192">
        <f t="shared" si="365"/>
        <v>90</v>
      </c>
      <c r="D789" s="192">
        <f t="shared" si="365"/>
        <v>91</v>
      </c>
      <c r="E789" s="192">
        <f t="shared" si="365"/>
        <v>96</v>
      </c>
      <c r="F789" s="192">
        <f t="shared" si="365"/>
        <v>241</v>
      </c>
      <c r="G789" s="192">
        <f t="shared" si="365"/>
        <v>305</v>
      </c>
      <c r="H789" s="192">
        <f t="shared" si="365"/>
        <v>269</v>
      </c>
      <c r="I789" s="192">
        <f t="shared" si="365"/>
        <v>1170</v>
      </c>
      <c r="J789" s="214">
        <f t="shared" si="364"/>
        <v>167.14285714285714</v>
      </c>
    </row>
    <row r="790" spans="1:10" x14ac:dyDescent="0.25">
      <c r="A790" s="212" t="s">
        <v>18</v>
      </c>
      <c r="B790" s="386">
        <v>0.67</v>
      </c>
      <c r="C790" s="387">
        <v>0.64</v>
      </c>
      <c r="D790" s="387">
        <v>0.69</v>
      </c>
      <c r="E790" s="387">
        <v>0.56000000000000005</v>
      </c>
      <c r="F790" s="387">
        <v>0.62</v>
      </c>
      <c r="G790" s="387">
        <v>0.64</v>
      </c>
      <c r="H790" s="387">
        <v>0.6</v>
      </c>
      <c r="I790" s="30">
        <f>I797/I802</f>
        <v>0.62608102191535431</v>
      </c>
      <c r="J790" s="160">
        <f>J797/J802</f>
        <v>0.62608102191535431</v>
      </c>
    </row>
    <row r="791" spans="1:10" x14ac:dyDescent="0.25">
      <c r="A791" s="212" t="s">
        <v>19</v>
      </c>
      <c r="B791" s="386">
        <v>0.01</v>
      </c>
      <c r="C791" s="387">
        <v>0.02</v>
      </c>
      <c r="D791" s="387">
        <v>0.01</v>
      </c>
      <c r="E791" s="387">
        <v>0.03</v>
      </c>
      <c r="F791" s="387">
        <v>0.03</v>
      </c>
      <c r="G791" s="387">
        <v>0.02</v>
      </c>
      <c r="H791" s="387">
        <v>0.03</v>
      </c>
      <c r="I791" s="30">
        <f>I798/I802</f>
        <v>2.3793658743764413E-2</v>
      </c>
      <c r="J791" s="160">
        <f>J798/J802</f>
        <v>2.3793658743764417E-2</v>
      </c>
    </row>
    <row r="792" spans="1:10" x14ac:dyDescent="0.25">
      <c r="A792" s="212" t="s">
        <v>20</v>
      </c>
      <c r="B792" s="386">
        <v>0.23</v>
      </c>
      <c r="C792" s="387">
        <v>0.24</v>
      </c>
      <c r="D792" s="387">
        <v>0.23</v>
      </c>
      <c r="E792" s="387">
        <v>0.24</v>
      </c>
      <c r="F792" s="387">
        <v>0.21</v>
      </c>
      <c r="G792" s="387">
        <v>0.2</v>
      </c>
      <c r="H792" s="387">
        <v>0.22</v>
      </c>
      <c r="I792" s="30">
        <f>I799/I802</f>
        <v>0.21702689774889561</v>
      </c>
      <c r="J792" s="160">
        <f>J799/J802</f>
        <v>0.21702689774889561</v>
      </c>
    </row>
    <row r="793" spans="1:10" x14ac:dyDescent="0.25">
      <c r="A793" s="212" t="s">
        <v>21</v>
      </c>
      <c r="B793" s="386">
        <v>0.09</v>
      </c>
      <c r="C793" s="387">
        <v>0.1</v>
      </c>
      <c r="D793" s="387">
        <v>7.0000000000000007E-2</v>
      </c>
      <c r="E793" s="387">
        <v>0.17</v>
      </c>
      <c r="F793" s="387">
        <v>0.12</v>
      </c>
      <c r="G793" s="387">
        <v>0.14000000000000001</v>
      </c>
      <c r="H793" s="387">
        <v>0.15</v>
      </c>
      <c r="I793" s="30">
        <f>I800/I802</f>
        <v>0.12892000551859797</v>
      </c>
      <c r="J793" s="160">
        <f>J800/J802</f>
        <v>0.128920005518598</v>
      </c>
    </row>
    <row r="794" spans="1:10" x14ac:dyDescent="0.25">
      <c r="A794" s="212" t="s">
        <v>22</v>
      </c>
      <c r="B794" s="386">
        <v>0</v>
      </c>
      <c r="C794" s="387">
        <v>0</v>
      </c>
      <c r="D794" s="387">
        <v>0</v>
      </c>
      <c r="E794" s="387">
        <v>0</v>
      </c>
      <c r="F794" s="387">
        <v>0.02</v>
      </c>
      <c r="G794" s="387">
        <v>0</v>
      </c>
      <c r="H794" s="387">
        <v>0</v>
      </c>
      <c r="I794" s="30">
        <f>I801/I802</f>
        <v>4.1784160733875806E-3</v>
      </c>
      <c r="J794" s="160">
        <f>J801/J802</f>
        <v>4.1784160733875815E-3</v>
      </c>
    </row>
    <row r="795" spans="1:10" x14ac:dyDescent="0.25">
      <c r="A795" s="215" t="s">
        <v>23</v>
      </c>
      <c r="B795" s="66">
        <f t="shared" ref="B795:J795" si="366">B806/B789</f>
        <v>30520.51282051282</v>
      </c>
      <c r="C795" s="66">
        <f t="shared" si="366"/>
        <v>35222.222222222219</v>
      </c>
      <c r="D795" s="66">
        <f t="shared" si="366"/>
        <v>34498.901098901108</v>
      </c>
      <c r="E795" s="66">
        <f t="shared" si="366"/>
        <v>32453.125</v>
      </c>
      <c r="F795" s="66">
        <f t="shared" si="366"/>
        <v>34838.174273858924</v>
      </c>
      <c r="G795" s="66">
        <f t="shared" si="366"/>
        <v>35441.639344262294</v>
      </c>
      <c r="H795" s="66">
        <f t="shared" si="366"/>
        <v>34219.702602230485</v>
      </c>
      <c r="I795" s="66">
        <f t="shared" si="366"/>
        <v>34372.905982905992</v>
      </c>
      <c r="J795" s="67">
        <f t="shared" si="366"/>
        <v>34372.905982905992</v>
      </c>
    </row>
    <row r="796" spans="1:10" x14ac:dyDescent="0.25">
      <c r="A796" s="215" t="s">
        <v>24</v>
      </c>
      <c r="B796" s="66">
        <f t="shared" ref="B796:I796" si="367">+B806/B783</f>
        <v>29757.5</v>
      </c>
      <c r="C796" s="66">
        <f t="shared" si="367"/>
        <v>28558.558558558558</v>
      </c>
      <c r="D796" s="66">
        <f t="shared" si="367"/>
        <v>29068.518518518522</v>
      </c>
      <c r="E796" s="66">
        <f t="shared" si="367"/>
        <v>31469.696969696968</v>
      </c>
      <c r="F796" s="66">
        <f t="shared" si="367"/>
        <v>29773.049645390071</v>
      </c>
      <c r="G796" s="66">
        <f t="shared" si="367"/>
        <v>33057.186544342505</v>
      </c>
      <c r="H796" s="66">
        <f t="shared" si="367"/>
        <v>30889.59731543624</v>
      </c>
      <c r="I796" s="66">
        <f t="shared" si="367"/>
        <v>30817.088122605368</v>
      </c>
      <c r="J796" s="67">
        <f>J806/J783</f>
        <v>30817.088122605372</v>
      </c>
    </row>
    <row r="797" spans="1:10" x14ac:dyDescent="0.25">
      <c r="A797" s="212" t="s">
        <v>25</v>
      </c>
      <c r="B797" s="92">
        <f t="shared" ref="B797:H797" si="368">B802*B790</f>
        <v>1308584.6241379313</v>
      </c>
      <c r="C797" s="92">
        <f t="shared" si="368"/>
        <v>1674488.7172413794</v>
      </c>
      <c r="D797" s="92">
        <f t="shared" si="368"/>
        <v>1773723.874137931</v>
      </c>
      <c r="E797" s="92">
        <f t="shared" si="368"/>
        <v>1443694.4827586208</v>
      </c>
      <c r="F797" s="92">
        <f t="shared" si="368"/>
        <v>4296454.9413793106</v>
      </c>
      <c r="G797" s="31">
        <f t="shared" si="368"/>
        <v>5710199.613793104</v>
      </c>
      <c r="H797" s="31">
        <f t="shared" si="368"/>
        <v>4559550.6206896557</v>
      </c>
      <c r="I797" s="31">
        <f>SUM(B797:H797)</f>
        <v>20766696.874137934</v>
      </c>
      <c r="J797" s="32">
        <f t="shared" ref="J797:J806" si="369">I797/7</f>
        <v>2966670.9820197048</v>
      </c>
    </row>
    <row r="798" spans="1:10" x14ac:dyDescent="0.25">
      <c r="A798" s="212" t="s">
        <v>26</v>
      </c>
      <c r="B798" s="92">
        <f t="shared" ref="B798:H798" si="370">B802*B791</f>
        <v>19531.11379310345</v>
      </c>
      <c r="C798" s="92">
        <f t="shared" si="370"/>
        <v>52327.772413793107</v>
      </c>
      <c r="D798" s="92">
        <f t="shared" si="370"/>
        <v>25706.143103448278</v>
      </c>
      <c r="E798" s="92">
        <f t="shared" si="370"/>
        <v>77340.775862068971</v>
      </c>
      <c r="F798" s="92">
        <f t="shared" si="370"/>
        <v>207892.98103448277</v>
      </c>
      <c r="G798" s="31">
        <f t="shared" si="370"/>
        <v>178443.7379310345</v>
      </c>
      <c r="H798" s="31">
        <f t="shared" si="370"/>
        <v>227977.53103448279</v>
      </c>
      <c r="I798" s="31">
        <f>SUM(B798:H798)</f>
        <v>789220.05517241382</v>
      </c>
      <c r="J798" s="32">
        <f t="shared" si="369"/>
        <v>112745.72216748769</v>
      </c>
    </row>
    <row r="799" spans="1:10" x14ac:dyDescent="0.25">
      <c r="A799" s="212" t="s">
        <v>27</v>
      </c>
      <c r="B799" s="92">
        <f t="shared" ref="B799:H799" si="371">B802*B792</f>
        <v>449215.6172413794</v>
      </c>
      <c r="C799" s="92">
        <f t="shared" si="371"/>
        <v>627933.26896551717</v>
      </c>
      <c r="D799" s="92">
        <f t="shared" si="371"/>
        <v>591241.29137931042</v>
      </c>
      <c r="E799" s="92">
        <f t="shared" si="371"/>
        <v>618726.20689655177</v>
      </c>
      <c r="F799" s="92">
        <f t="shared" si="371"/>
        <v>1455250.8672413793</v>
      </c>
      <c r="G799" s="31">
        <f t="shared" si="371"/>
        <v>1784437.379310345</v>
      </c>
      <c r="H799" s="31">
        <f t="shared" si="371"/>
        <v>1671835.227586207</v>
      </c>
      <c r="I799" s="31">
        <f>SUM(B799:H799)</f>
        <v>7198639.8586206902</v>
      </c>
      <c r="J799" s="32">
        <f t="shared" si="369"/>
        <v>1028377.1226600986</v>
      </c>
    </row>
    <row r="800" spans="1:10" x14ac:dyDescent="0.25">
      <c r="A800" s="212" t="s">
        <v>28</v>
      </c>
      <c r="B800" s="92">
        <f t="shared" ref="B800:H800" si="372">B802*B793</f>
        <v>175780.02413793106</v>
      </c>
      <c r="C800" s="92">
        <f t="shared" si="372"/>
        <v>261638.86206896554</v>
      </c>
      <c r="D800" s="92">
        <f t="shared" si="372"/>
        <v>179943.00172413795</v>
      </c>
      <c r="E800" s="92">
        <f t="shared" si="372"/>
        <v>438264.39655172417</v>
      </c>
      <c r="F800" s="92">
        <f t="shared" si="372"/>
        <v>831571.92413793108</v>
      </c>
      <c r="G800" s="31">
        <f t="shared" si="372"/>
        <v>1249106.1655172415</v>
      </c>
      <c r="H800" s="31">
        <f t="shared" si="372"/>
        <v>1139887.6551724139</v>
      </c>
      <c r="I800" s="31">
        <f>SUM(B800:H800)</f>
        <v>4276192.0293103456</v>
      </c>
      <c r="J800" s="32">
        <f t="shared" si="369"/>
        <v>610884.57561576366</v>
      </c>
    </row>
    <row r="801" spans="1:10" x14ac:dyDescent="0.25">
      <c r="A801" s="212" t="s">
        <v>29</v>
      </c>
      <c r="B801" s="92">
        <f t="shared" ref="B801:H801" si="373">B802*B794</f>
        <v>0</v>
      </c>
      <c r="C801" s="92">
        <f t="shared" si="373"/>
        <v>0</v>
      </c>
      <c r="D801" s="92">
        <f t="shared" si="373"/>
        <v>0</v>
      </c>
      <c r="E801" s="92">
        <f t="shared" si="373"/>
        <v>0</v>
      </c>
      <c r="F801" s="92">
        <f t="shared" si="373"/>
        <v>138595.3206896552</v>
      </c>
      <c r="G801" s="31">
        <f t="shared" si="373"/>
        <v>0</v>
      </c>
      <c r="H801" s="31">
        <f t="shared" si="373"/>
        <v>0</v>
      </c>
      <c r="I801" s="31">
        <f>SUM(B801:H801)</f>
        <v>138595.3206896552</v>
      </c>
      <c r="J801" s="32">
        <f t="shared" si="369"/>
        <v>19799.3315270936</v>
      </c>
    </row>
    <row r="802" spans="1:10" x14ac:dyDescent="0.25">
      <c r="A802" s="216" t="s">
        <v>30</v>
      </c>
      <c r="B802" s="222">
        <f>(2380600/1.16)-B803</f>
        <v>1953111.379310345</v>
      </c>
      <c r="C802" s="222">
        <f>(3170000/1.16)-C803</f>
        <v>2616388.6206896552</v>
      </c>
      <c r="D802" s="222">
        <f>(3139400/1.16)-D803</f>
        <v>2570614.3103448278</v>
      </c>
      <c r="E802" s="222">
        <f>(3115500/1.16)-E803</f>
        <v>2578025.8620689656</v>
      </c>
      <c r="F802" s="222">
        <f>(8396000/1.16)-F803</f>
        <v>6929766.0344827594</v>
      </c>
      <c r="G802" s="222">
        <f>(10809700/1.16)-G803</f>
        <v>8922186.8965517245</v>
      </c>
      <c r="H802" s="222">
        <f>(9205100/1.16)-H803</f>
        <v>7599251.0344827594</v>
      </c>
      <c r="I802" s="197">
        <f>SUM(I797:I801)</f>
        <v>33169344.137931041</v>
      </c>
      <c r="J802" s="217">
        <f t="shared" si="369"/>
        <v>4738477.7339901486</v>
      </c>
    </row>
    <row r="803" spans="1:10" x14ac:dyDescent="0.25">
      <c r="A803" s="212" t="s">
        <v>31</v>
      </c>
      <c r="B803" s="92">
        <f t="shared" ref="B803:I803" si="374">2155*B784</f>
        <v>99130</v>
      </c>
      <c r="C803" s="92">
        <f t="shared" si="374"/>
        <v>116370</v>
      </c>
      <c r="D803" s="92">
        <f t="shared" si="374"/>
        <v>135765</v>
      </c>
      <c r="E803" s="92">
        <f t="shared" si="374"/>
        <v>107750</v>
      </c>
      <c r="F803" s="92">
        <f t="shared" si="374"/>
        <v>308165</v>
      </c>
      <c r="G803" s="31">
        <f t="shared" si="374"/>
        <v>396520</v>
      </c>
      <c r="H803" s="31">
        <f t="shared" si="374"/>
        <v>336180</v>
      </c>
      <c r="I803" s="31">
        <f t="shared" si="374"/>
        <v>1499880</v>
      </c>
      <c r="J803" s="32">
        <f t="shared" si="369"/>
        <v>214268.57142857142</v>
      </c>
    </row>
    <row r="804" spans="1:10" x14ac:dyDescent="0.25">
      <c r="A804" s="218" t="s">
        <v>32</v>
      </c>
      <c r="B804" s="199">
        <f>B803+B802</f>
        <v>2052241.379310345</v>
      </c>
      <c r="C804" s="199">
        <f>C803+C802</f>
        <v>2732758.6206896552</v>
      </c>
      <c r="D804" s="199">
        <f>D803+D802</f>
        <v>2706379.3103448278</v>
      </c>
      <c r="E804" s="199">
        <f>E803+E802</f>
        <v>2685775.8620689656</v>
      </c>
      <c r="F804" s="199">
        <f>F802+F803</f>
        <v>7237931.0344827594</v>
      </c>
      <c r="G804" s="199">
        <f>G803+G802</f>
        <v>9318706.8965517245</v>
      </c>
      <c r="H804" s="199">
        <f>H803+H802</f>
        <v>7935431.0344827594</v>
      </c>
      <c r="I804" s="199">
        <f>I802+I803</f>
        <v>34669224.137931041</v>
      </c>
      <c r="J804" s="219">
        <f t="shared" si="369"/>
        <v>4952746.3054187205</v>
      </c>
    </row>
    <row r="805" spans="1:10" x14ac:dyDescent="0.25">
      <c r="A805" s="212" t="s">
        <v>33</v>
      </c>
      <c r="B805" s="94">
        <f>B804*16%</f>
        <v>328358.62068965519</v>
      </c>
      <c r="C805" s="94">
        <f t="shared" ref="C805:H805" si="375">C804*16%</f>
        <v>437241.37931034481</v>
      </c>
      <c r="D805" s="94">
        <f t="shared" si="375"/>
        <v>433020.68965517246</v>
      </c>
      <c r="E805" s="94">
        <f t="shared" si="375"/>
        <v>429724.13793103449</v>
      </c>
      <c r="F805" s="94">
        <f t="shared" si="375"/>
        <v>1158068.9655172415</v>
      </c>
      <c r="G805" s="94">
        <f t="shared" si="375"/>
        <v>1490993.1034482759</v>
      </c>
      <c r="H805" s="94">
        <f t="shared" si="375"/>
        <v>1269668.9655172415</v>
      </c>
      <c r="I805" s="94">
        <f>I804*16%</f>
        <v>5547075.862068967</v>
      </c>
      <c r="J805" s="32">
        <f t="shared" si="369"/>
        <v>792439.40886699525</v>
      </c>
    </row>
    <row r="806" spans="1:10" x14ac:dyDescent="0.25">
      <c r="A806" s="220" t="s">
        <v>34</v>
      </c>
      <c r="B806" s="202">
        <f>B804+B805</f>
        <v>2380600</v>
      </c>
      <c r="C806" s="202">
        <f t="shared" ref="C806:H806" si="376">C804+C805</f>
        <v>3170000</v>
      </c>
      <c r="D806" s="202">
        <f t="shared" si="376"/>
        <v>3139400.0000000005</v>
      </c>
      <c r="E806" s="202">
        <f t="shared" si="376"/>
        <v>3115500</v>
      </c>
      <c r="F806" s="202">
        <f t="shared" si="376"/>
        <v>8396000</v>
      </c>
      <c r="G806" s="202">
        <f t="shared" si="376"/>
        <v>10809700</v>
      </c>
      <c r="H806" s="202">
        <f t="shared" si="376"/>
        <v>9205100</v>
      </c>
      <c r="I806" s="202">
        <f>I804+I805</f>
        <v>40216300.000000007</v>
      </c>
      <c r="J806" s="221">
        <f t="shared" si="369"/>
        <v>5745185.7142857155</v>
      </c>
    </row>
    <row r="808" spans="1:10" ht="26.25" x14ac:dyDescent="0.25">
      <c r="B808" s="1007" t="s">
        <v>369</v>
      </c>
      <c r="C808" s="1007"/>
      <c r="D808" s="1007"/>
      <c r="E808" s="1007"/>
      <c r="F808" s="1007"/>
      <c r="G808" s="1007"/>
      <c r="H808" s="1007"/>
    </row>
    <row r="809" spans="1:10" ht="15.75" x14ac:dyDescent="0.25">
      <c r="A809" s="207" t="s">
        <v>2</v>
      </c>
      <c r="B809" s="121" t="s">
        <v>233</v>
      </c>
      <c r="C809" s="121" t="s">
        <v>234</v>
      </c>
      <c r="D809" s="121" t="s">
        <v>235</v>
      </c>
      <c r="E809" s="121" t="s">
        <v>236</v>
      </c>
      <c r="F809" s="121" t="s">
        <v>237</v>
      </c>
      <c r="G809" s="121" t="s">
        <v>238</v>
      </c>
      <c r="H809" s="121" t="s">
        <v>239</v>
      </c>
      <c r="I809" s="121" t="s">
        <v>96</v>
      </c>
      <c r="J809" s="209" t="s">
        <v>97</v>
      </c>
    </row>
    <row r="810" spans="1:10" x14ac:dyDescent="0.25">
      <c r="A810" s="332" t="s">
        <v>11</v>
      </c>
      <c r="B810" s="75">
        <v>337</v>
      </c>
      <c r="C810" s="75">
        <v>82</v>
      </c>
      <c r="D810" s="75">
        <v>81</v>
      </c>
      <c r="E810" s="316">
        <v>101</v>
      </c>
      <c r="F810" s="316">
        <v>308</v>
      </c>
      <c r="G810" s="316">
        <v>388</v>
      </c>
      <c r="H810" s="316">
        <v>357</v>
      </c>
      <c r="I810" s="316">
        <f>SUM(B810:H810)</f>
        <v>1654</v>
      </c>
      <c r="J810" s="382">
        <f>+I810/7</f>
        <v>236.28571428571428</v>
      </c>
    </row>
    <row r="811" spans="1:10" x14ac:dyDescent="0.25">
      <c r="A811" s="212" t="s">
        <v>12</v>
      </c>
      <c r="B811" s="11">
        <v>188</v>
      </c>
      <c r="C811" s="11">
        <v>51</v>
      </c>
      <c r="D811" s="11">
        <v>44</v>
      </c>
      <c r="E811" s="11">
        <v>43</v>
      </c>
      <c r="F811" s="11">
        <v>157</v>
      </c>
      <c r="G811" s="11">
        <v>196</v>
      </c>
      <c r="H811" s="11">
        <v>203</v>
      </c>
      <c r="I811" s="11">
        <f>SUM(CEDRITOS!$B811:$H811)</f>
        <v>882</v>
      </c>
      <c r="J811" s="60">
        <f t="shared" ref="J811:J816" si="377">I811/7</f>
        <v>126</v>
      </c>
    </row>
    <row r="812" spans="1:10" x14ac:dyDescent="0.25">
      <c r="A812" s="212" t="s">
        <v>13</v>
      </c>
      <c r="B812" s="11">
        <v>13</v>
      </c>
      <c r="C812" s="11">
        <v>1</v>
      </c>
      <c r="D812" s="11">
        <v>0</v>
      </c>
      <c r="E812" s="11">
        <v>2</v>
      </c>
      <c r="F812" s="11">
        <v>8</v>
      </c>
      <c r="G812" s="11">
        <v>7</v>
      </c>
      <c r="H812" s="11">
        <v>9</v>
      </c>
      <c r="I812" s="11">
        <f>SUM(CEDRITOS!$B812:$H812)</f>
        <v>40</v>
      </c>
      <c r="J812" s="60">
        <f t="shared" si="377"/>
        <v>5.7142857142857144</v>
      </c>
    </row>
    <row r="813" spans="1:10" x14ac:dyDescent="0.25">
      <c r="A813" s="212" t="s">
        <v>14</v>
      </c>
      <c r="B813" s="11">
        <v>57</v>
      </c>
      <c r="C813" s="11">
        <v>21</v>
      </c>
      <c r="D813" s="11">
        <v>24</v>
      </c>
      <c r="E813" s="11">
        <v>47</v>
      </c>
      <c r="F813" s="11">
        <v>58</v>
      </c>
      <c r="G813" s="11">
        <v>67</v>
      </c>
      <c r="H813" s="11">
        <v>76</v>
      </c>
      <c r="I813" s="11">
        <f>SUM(CEDRITOS!$B813:$H813)</f>
        <v>350</v>
      </c>
      <c r="J813" s="60">
        <f t="shared" si="377"/>
        <v>50</v>
      </c>
    </row>
    <row r="814" spans="1:10" x14ac:dyDescent="0.25">
      <c r="A814" s="212" t="s">
        <v>15</v>
      </c>
      <c r="B814" s="11">
        <v>26</v>
      </c>
      <c r="C814" s="11">
        <v>3</v>
      </c>
      <c r="D814" s="11">
        <v>4</v>
      </c>
      <c r="E814" s="11">
        <v>4</v>
      </c>
      <c r="F814" s="11">
        <v>38</v>
      </c>
      <c r="G814" s="11">
        <v>55</v>
      </c>
      <c r="H814" s="11">
        <v>34</v>
      </c>
      <c r="I814" s="11">
        <f>SUM(CEDRITOS!$B814:$H814)</f>
        <v>164</v>
      </c>
      <c r="J814" s="60">
        <f t="shared" si="377"/>
        <v>23.428571428571427</v>
      </c>
    </row>
    <row r="815" spans="1:10" x14ac:dyDescent="0.25">
      <c r="A815" s="212" t="s">
        <v>16</v>
      </c>
      <c r="B815" s="11">
        <v>0</v>
      </c>
      <c r="C815" s="11">
        <v>0</v>
      </c>
      <c r="D815" s="11">
        <v>0</v>
      </c>
      <c r="E815" s="11">
        <v>2</v>
      </c>
      <c r="F815" s="11"/>
      <c r="G815" s="86">
        <v>1</v>
      </c>
      <c r="H815" s="86">
        <v>1</v>
      </c>
      <c r="I815" s="11">
        <f>SUM(CEDRITOS!$B815:$H815)</f>
        <v>4</v>
      </c>
      <c r="J815" s="60">
        <f t="shared" si="377"/>
        <v>0.5714285714285714</v>
      </c>
    </row>
    <row r="816" spans="1:10" x14ac:dyDescent="0.25">
      <c r="A816" s="213" t="s">
        <v>17</v>
      </c>
      <c r="B816" s="192">
        <f>SUM(B811:B815)</f>
        <v>284</v>
      </c>
      <c r="C816" s="192">
        <f t="shared" ref="C816:I816" si="378">SUM(C811:C815)</f>
        <v>76</v>
      </c>
      <c r="D816" s="192">
        <f t="shared" si="378"/>
        <v>72</v>
      </c>
      <c r="E816" s="192">
        <f t="shared" si="378"/>
        <v>98</v>
      </c>
      <c r="F816" s="192">
        <f t="shared" si="378"/>
        <v>261</v>
      </c>
      <c r="G816" s="192">
        <f t="shared" si="378"/>
        <v>326</v>
      </c>
      <c r="H816" s="192">
        <f t="shared" si="378"/>
        <v>323</v>
      </c>
      <c r="I816" s="192">
        <f t="shared" si="378"/>
        <v>1440</v>
      </c>
      <c r="J816" s="214">
        <f t="shared" si="377"/>
        <v>205.71428571428572</v>
      </c>
    </row>
    <row r="817" spans="1:10" x14ac:dyDescent="0.25">
      <c r="A817" s="212" t="s">
        <v>18</v>
      </c>
      <c r="B817" s="386">
        <v>0.67</v>
      </c>
      <c r="C817" s="387">
        <v>0.71</v>
      </c>
      <c r="D817" s="387">
        <v>0.64</v>
      </c>
      <c r="E817" s="387">
        <v>0.47</v>
      </c>
      <c r="F817" s="387">
        <v>0.64</v>
      </c>
      <c r="G817" s="387">
        <v>0.66</v>
      </c>
      <c r="H817" s="387">
        <v>0.67</v>
      </c>
      <c r="I817" s="30">
        <f>I824/I829</f>
        <v>0.65122005270333105</v>
      </c>
      <c r="J817" s="160">
        <f>J824/J829</f>
        <v>0.65122005270333105</v>
      </c>
    </row>
    <row r="818" spans="1:10" x14ac:dyDescent="0.25">
      <c r="A818" s="212" t="s">
        <v>19</v>
      </c>
      <c r="B818" s="386">
        <v>0.04</v>
      </c>
      <c r="C818" s="387">
        <v>0</v>
      </c>
      <c r="D818" s="387">
        <v>0</v>
      </c>
      <c r="E818" s="387">
        <v>0.01</v>
      </c>
      <c r="F818" s="387">
        <v>0.03</v>
      </c>
      <c r="G818" s="387">
        <v>0.03</v>
      </c>
      <c r="H818" s="387">
        <v>0.03</v>
      </c>
      <c r="I818" s="30">
        <f>I825/I829</f>
        <v>2.8024483145140111E-2</v>
      </c>
      <c r="J818" s="160">
        <f>J825/J829</f>
        <v>2.8024483145140111E-2</v>
      </c>
    </row>
    <row r="819" spans="1:10" x14ac:dyDescent="0.25">
      <c r="A819" s="212" t="s">
        <v>20</v>
      </c>
      <c r="B819" s="386">
        <v>0.19</v>
      </c>
      <c r="C819" s="387">
        <v>0.26</v>
      </c>
      <c r="D819" s="387">
        <v>0.31</v>
      </c>
      <c r="E819" s="387">
        <v>0.44</v>
      </c>
      <c r="F819" s="387">
        <v>0.18</v>
      </c>
      <c r="G819" s="387">
        <v>0.16</v>
      </c>
      <c r="H819" s="387">
        <v>0.21</v>
      </c>
      <c r="I819" s="30">
        <f>I826/I829</f>
        <v>0.20870823109800118</v>
      </c>
      <c r="J819" s="160">
        <f>J826/J829</f>
        <v>0.20870823109800116</v>
      </c>
    </row>
    <row r="820" spans="1:10" x14ac:dyDescent="0.25">
      <c r="A820" s="212" t="s">
        <v>21</v>
      </c>
      <c r="B820" s="386">
        <v>0.1</v>
      </c>
      <c r="C820" s="387">
        <v>0.03</v>
      </c>
      <c r="D820" s="387">
        <v>0.05</v>
      </c>
      <c r="E820" s="387">
        <v>0.06</v>
      </c>
      <c r="F820" s="387">
        <v>0.15</v>
      </c>
      <c r="G820" s="387">
        <v>0.15</v>
      </c>
      <c r="H820" s="387">
        <v>0.09</v>
      </c>
      <c r="I820" s="30">
        <f>I827/I829</f>
        <v>0.11092245365029678</v>
      </c>
      <c r="J820" s="160">
        <f>J827/J829</f>
        <v>0.11092245365029678</v>
      </c>
    </row>
    <row r="821" spans="1:10" x14ac:dyDescent="0.25">
      <c r="A821" s="212" t="s">
        <v>22</v>
      </c>
      <c r="B821" s="386">
        <v>0</v>
      </c>
      <c r="C821" s="387">
        <v>0</v>
      </c>
      <c r="D821" s="387">
        <v>0</v>
      </c>
      <c r="E821" s="387">
        <v>0.02</v>
      </c>
      <c r="F821" s="387">
        <v>0</v>
      </c>
      <c r="G821" s="387">
        <v>0</v>
      </c>
      <c r="H821" s="387">
        <v>0</v>
      </c>
      <c r="I821" s="30">
        <f>I828/I829</f>
        <v>1.1247794032308363E-3</v>
      </c>
      <c r="J821" s="160">
        <f>J828/J829</f>
        <v>1.1247794032308363E-3</v>
      </c>
    </row>
    <row r="822" spans="1:10" x14ac:dyDescent="0.25">
      <c r="A822" s="215" t="s">
        <v>23</v>
      </c>
      <c r="B822" s="66">
        <f t="shared" ref="B822:J822" si="379">B833/B816</f>
        <v>35326.408450704228</v>
      </c>
      <c r="C822" s="66">
        <f t="shared" si="379"/>
        <v>30301.315789473691</v>
      </c>
      <c r="D822" s="66">
        <f t="shared" si="379"/>
        <v>34558.333333333336</v>
      </c>
      <c r="E822" s="66">
        <f t="shared" si="379"/>
        <v>28740.816326530614</v>
      </c>
      <c r="F822" s="66">
        <f t="shared" si="379"/>
        <v>35088.122605363984</v>
      </c>
      <c r="G822" s="66">
        <f t="shared" si="379"/>
        <v>36944.171779141107</v>
      </c>
      <c r="H822" s="66">
        <f t="shared" si="379"/>
        <v>35708.978328173376</v>
      </c>
      <c r="I822" s="66">
        <f t="shared" si="379"/>
        <v>34983.472222222226</v>
      </c>
      <c r="J822" s="67">
        <f t="shared" si="379"/>
        <v>34983.472222222226</v>
      </c>
    </row>
    <row r="823" spans="1:10" x14ac:dyDescent="0.25">
      <c r="A823" s="215" t="s">
        <v>24</v>
      </c>
      <c r="B823" s="66">
        <f t="shared" ref="B823:I823" si="380">+B833/B810</f>
        <v>29770.623145400594</v>
      </c>
      <c r="C823" s="66">
        <f t="shared" si="380"/>
        <v>28084.14634146342</v>
      </c>
      <c r="D823" s="66">
        <f t="shared" si="380"/>
        <v>30718.518518518518</v>
      </c>
      <c r="E823" s="66">
        <f t="shared" si="380"/>
        <v>27887.128712871287</v>
      </c>
      <c r="F823" s="66">
        <f t="shared" si="380"/>
        <v>29733.766233766233</v>
      </c>
      <c r="G823" s="66">
        <f t="shared" si="380"/>
        <v>31040.721649484542</v>
      </c>
      <c r="H823" s="66">
        <f t="shared" si="380"/>
        <v>32308.123249299719</v>
      </c>
      <c r="I823" s="66">
        <f t="shared" si="380"/>
        <v>30457.194679564695</v>
      </c>
      <c r="J823" s="67">
        <f>J833/J810</f>
        <v>30457.194679564698</v>
      </c>
    </row>
    <row r="824" spans="1:10" x14ac:dyDescent="0.25">
      <c r="A824" s="212" t="s">
        <v>25</v>
      </c>
      <c r="B824" s="92">
        <f t="shared" ref="B824:H824" si="381">B829*B817</f>
        <v>5523305.3379310351</v>
      </c>
      <c r="C824" s="92">
        <f t="shared" si="381"/>
        <v>1331501.0706896554</v>
      </c>
      <c r="D824" s="92">
        <f t="shared" si="381"/>
        <v>1312115.2</v>
      </c>
      <c r="E824" s="92">
        <f t="shared" si="381"/>
        <v>1097656.0706896551</v>
      </c>
      <c r="F824" s="92">
        <f t="shared" si="381"/>
        <v>4836155.2551724147</v>
      </c>
      <c r="G824" s="31">
        <f t="shared" si="381"/>
        <v>6573736.0965517247</v>
      </c>
      <c r="H824" s="31">
        <f t="shared" si="381"/>
        <v>6368777.7603448285</v>
      </c>
      <c r="I824" s="31">
        <f>SUM(B824:H824)</f>
        <v>27043246.791379314</v>
      </c>
      <c r="J824" s="32">
        <f t="shared" ref="J824:J833" si="382">I824/7</f>
        <v>3863320.9701970448</v>
      </c>
    </row>
    <row r="825" spans="1:10" x14ac:dyDescent="0.25">
      <c r="A825" s="212" t="s">
        <v>26</v>
      </c>
      <c r="B825" s="92">
        <f t="shared" ref="B825:H825" si="383">B829*B818</f>
        <v>329749.57241379312</v>
      </c>
      <c r="C825" s="92">
        <f t="shared" si="383"/>
        <v>0</v>
      </c>
      <c r="D825" s="92">
        <f t="shared" si="383"/>
        <v>0</v>
      </c>
      <c r="E825" s="92">
        <f t="shared" si="383"/>
        <v>23354.384482758622</v>
      </c>
      <c r="F825" s="92">
        <f t="shared" si="383"/>
        <v>226694.77758620691</v>
      </c>
      <c r="G825" s="31">
        <f t="shared" si="383"/>
        <v>298806.18620689656</v>
      </c>
      <c r="H825" s="31">
        <f t="shared" si="383"/>
        <v>285169.15344827587</v>
      </c>
      <c r="I825" s="31">
        <f>SUM(B825:H825)</f>
        <v>1163774.0741379312</v>
      </c>
      <c r="J825" s="32">
        <f t="shared" si="382"/>
        <v>166253.43916256161</v>
      </c>
    </row>
    <row r="826" spans="1:10" x14ac:dyDescent="0.25">
      <c r="A826" s="212" t="s">
        <v>27</v>
      </c>
      <c r="B826" s="92">
        <f t="shared" ref="B826:H826" si="384">B829*B819</f>
        <v>1566310.4689655174</v>
      </c>
      <c r="C826" s="92">
        <f t="shared" si="384"/>
        <v>487591.94137931045</v>
      </c>
      <c r="D826" s="92">
        <f t="shared" si="384"/>
        <v>635555.80000000005</v>
      </c>
      <c r="E826" s="92">
        <f t="shared" si="384"/>
        <v>1027592.9172413794</v>
      </c>
      <c r="F826" s="92">
        <f t="shared" si="384"/>
        <v>1360168.6655172415</v>
      </c>
      <c r="G826" s="31">
        <f t="shared" si="384"/>
        <v>1593632.9931034485</v>
      </c>
      <c r="H826" s="31">
        <f t="shared" si="384"/>
        <v>1996184.074137931</v>
      </c>
      <c r="I826" s="31">
        <f>SUM(B826:H826)</f>
        <v>8667036.860344829</v>
      </c>
      <c r="J826" s="32">
        <f t="shared" si="382"/>
        <v>1238148.1229064041</v>
      </c>
    </row>
    <row r="827" spans="1:10" x14ac:dyDescent="0.25">
      <c r="A827" s="212" t="s">
        <v>28</v>
      </c>
      <c r="B827" s="92">
        <f t="shared" ref="B827:H827" si="385">B829*B820</f>
        <v>824373.9310344829</v>
      </c>
      <c r="C827" s="92">
        <f t="shared" si="385"/>
        <v>56260.608620689658</v>
      </c>
      <c r="D827" s="92">
        <f t="shared" si="385"/>
        <v>102509</v>
      </c>
      <c r="E827" s="92">
        <f t="shared" si="385"/>
        <v>140126.30689655175</v>
      </c>
      <c r="F827" s="92">
        <f t="shared" si="385"/>
        <v>1133473.8879310344</v>
      </c>
      <c r="G827" s="31">
        <f t="shared" si="385"/>
        <v>1494030.9310344828</v>
      </c>
      <c r="H827" s="31">
        <f t="shared" si="385"/>
        <v>855507.46034482762</v>
      </c>
      <c r="I827" s="31">
        <f>SUM(B827:H827)</f>
        <v>4606282.1258620694</v>
      </c>
      <c r="J827" s="32">
        <f t="shared" si="382"/>
        <v>658040.30369458138</v>
      </c>
    </row>
    <row r="828" spans="1:10" x14ac:dyDescent="0.25">
      <c r="A828" s="212" t="s">
        <v>29</v>
      </c>
      <c r="B828" s="92">
        <f t="shared" ref="B828:H828" si="386">B829*B821</f>
        <v>0</v>
      </c>
      <c r="C828" s="92">
        <f t="shared" si="386"/>
        <v>0</v>
      </c>
      <c r="D828" s="92">
        <f t="shared" si="386"/>
        <v>0</v>
      </c>
      <c r="E828" s="92">
        <f t="shared" si="386"/>
        <v>46708.768965517243</v>
      </c>
      <c r="F828" s="92">
        <f t="shared" si="386"/>
        <v>0</v>
      </c>
      <c r="G828" s="31">
        <f t="shared" si="386"/>
        <v>0</v>
      </c>
      <c r="H828" s="31">
        <f t="shared" si="386"/>
        <v>0</v>
      </c>
      <c r="I828" s="31">
        <f>SUM(B828:H828)</f>
        <v>46708.768965517243</v>
      </c>
      <c r="J828" s="32">
        <f t="shared" si="382"/>
        <v>6672.6812807881779</v>
      </c>
    </row>
    <row r="829" spans="1:10" x14ac:dyDescent="0.25">
      <c r="A829" s="216" t="s">
        <v>30</v>
      </c>
      <c r="B829" s="222">
        <f>(10032700/1.16)-B830</f>
        <v>8243739.3103448283</v>
      </c>
      <c r="C829" s="222">
        <f>(2302900/1.16)-C830</f>
        <v>1875353.6206896554</v>
      </c>
      <c r="D829" s="222">
        <f>(2488200/1.16)-D830</f>
        <v>2050180</v>
      </c>
      <c r="E829" s="222">
        <f>(2816600/1.16)-E830</f>
        <v>2335438.4482758623</v>
      </c>
      <c r="F829" s="222">
        <f>(9158000/1.16)-F830</f>
        <v>7556492.5862068972</v>
      </c>
      <c r="G829" s="222">
        <f>(12043800/1.16)-G830</f>
        <v>9960206.2068965528</v>
      </c>
      <c r="H829" s="222">
        <f>(11534000/1.16)-H830</f>
        <v>9505638.4482758623</v>
      </c>
      <c r="I829" s="197">
        <f>SUM(I824:I828)</f>
        <v>41527048.62068966</v>
      </c>
      <c r="J829" s="217">
        <f t="shared" si="382"/>
        <v>5932435.5172413802</v>
      </c>
    </row>
    <row r="830" spans="1:10" x14ac:dyDescent="0.25">
      <c r="A830" s="212" t="s">
        <v>31</v>
      </c>
      <c r="B830" s="92">
        <f t="shared" ref="B830:I830" si="387">2155*B811</f>
        <v>405140</v>
      </c>
      <c r="C830" s="92">
        <f t="shared" si="387"/>
        <v>109905</v>
      </c>
      <c r="D830" s="92">
        <f t="shared" si="387"/>
        <v>94820</v>
      </c>
      <c r="E830" s="92">
        <f t="shared" si="387"/>
        <v>92665</v>
      </c>
      <c r="F830" s="92">
        <f t="shared" si="387"/>
        <v>338335</v>
      </c>
      <c r="G830" s="31">
        <f t="shared" si="387"/>
        <v>422380</v>
      </c>
      <c r="H830" s="31">
        <f t="shared" si="387"/>
        <v>437465</v>
      </c>
      <c r="I830" s="31">
        <f t="shared" si="387"/>
        <v>1900710</v>
      </c>
      <c r="J830" s="32">
        <f t="shared" si="382"/>
        <v>271530</v>
      </c>
    </row>
    <row r="831" spans="1:10" x14ac:dyDescent="0.25">
      <c r="A831" s="218" t="s">
        <v>32</v>
      </c>
      <c r="B831" s="199">
        <f>B830+B829</f>
        <v>8648879.3103448283</v>
      </c>
      <c r="C831" s="199">
        <f>C830+C829</f>
        <v>1985258.6206896554</v>
      </c>
      <c r="D831" s="199">
        <f>D830+D829</f>
        <v>2145000</v>
      </c>
      <c r="E831" s="199">
        <f>E830+E829</f>
        <v>2428103.4482758623</v>
      </c>
      <c r="F831" s="199">
        <f>F829+F830</f>
        <v>7894827.5862068972</v>
      </c>
      <c r="G831" s="199">
        <f>G830+G829</f>
        <v>10382586.206896553</v>
      </c>
      <c r="H831" s="199">
        <f>H830+H829</f>
        <v>9943103.4482758623</v>
      </c>
      <c r="I831" s="199">
        <f>I829+I830</f>
        <v>43427758.62068966</v>
      </c>
      <c r="J831" s="219">
        <f t="shared" si="382"/>
        <v>6203965.5172413802</v>
      </c>
    </row>
    <row r="832" spans="1:10" x14ac:dyDescent="0.25">
      <c r="A832" s="212" t="s">
        <v>33</v>
      </c>
      <c r="B832" s="94">
        <f>B831*16%</f>
        <v>1383820.6896551726</v>
      </c>
      <c r="C832" s="94">
        <f t="shared" ref="C832:H832" si="388">C831*16%</f>
        <v>317641.37931034487</v>
      </c>
      <c r="D832" s="94">
        <f t="shared" si="388"/>
        <v>343200</v>
      </c>
      <c r="E832" s="94">
        <f t="shared" si="388"/>
        <v>388496.55172413797</v>
      </c>
      <c r="F832" s="94">
        <f t="shared" si="388"/>
        <v>1263172.4137931035</v>
      </c>
      <c r="G832" s="94">
        <f t="shared" si="388"/>
        <v>1661213.7931034486</v>
      </c>
      <c r="H832" s="94">
        <f t="shared" si="388"/>
        <v>1590896.551724138</v>
      </c>
      <c r="I832" s="94">
        <f>I831*16%</f>
        <v>6948441.3793103462</v>
      </c>
      <c r="J832" s="32">
        <f t="shared" si="382"/>
        <v>992634.48275862087</v>
      </c>
    </row>
    <row r="833" spans="1:10" x14ac:dyDescent="0.25">
      <c r="A833" s="220" t="s">
        <v>34</v>
      </c>
      <c r="B833" s="202">
        <f>B831+B832</f>
        <v>10032700</v>
      </c>
      <c r="C833" s="202">
        <f t="shared" ref="C833:H833" si="389">C831+C832</f>
        <v>2302900.0000000005</v>
      </c>
      <c r="D833" s="202">
        <f t="shared" si="389"/>
        <v>2488200</v>
      </c>
      <c r="E833" s="202">
        <f t="shared" si="389"/>
        <v>2816600</v>
      </c>
      <c r="F833" s="202">
        <f t="shared" si="389"/>
        <v>9158000</v>
      </c>
      <c r="G833" s="202">
        <f t="shared" si="389"/>
        <v>12043800.000000002</v>
      </c>
      <c r="H833" s="202">
        <f t="shared" si="389"/>
        <v>11534000</v>
      </c>
      <c r="I833" s="202">
        <f>I831+I832</f>
        <v>50376200.000000007</v>
      </c>
      <c r="J833" s="221">
        <f t="shared" si="382"/>
        <v>7196600.0000000009</v>
      </c>
    </row>
    <row r="836" spans="1:10" ht="26.25" x14ac:dyDescent="0.25">
      <c r="B836" s="1007" t="s">
        <v>370</v>
      </c>
      <c r="C836" s="1007"/>
      <c r="D836" s="1007"/>
      <c r="E836" s="1007"/>
      <c r="F836" s="1007"/>
      <c r="G836" s="1007"/>
      <c r="H836" s="1007"/>
    </row>
    <row r="837" spans="1:10" ht="15.75" x14ac:dyDescent="0.25">
      <c r="A837" s="207" t="s">
        <v>2</v>
      </c>
      <c r="B837" s="121" t="s">
        <v>241</v>
      </c>
      <c r="C837" s="121" t="s">
        <v>255</v>
      </c>
      <c r="D837" s="121" t="s">
        <v>256</v>
      </c>
      <c r="E837" s="121" t="s">
        <v>257</v>
      </c>
      <c r="F837" s="121" t="s">
        <v>258</v>
      </c>
      <c r="G837" s="121" t="s">
        <v>259</v>
      </c>
      <c r="H837" s="121" t="s">
        <v>260</v>
      </c>
      <c r="I837" s="121" t="s">
        <v>96</v>
      </c>
      <c r="J837" s="209" t="s">
        <v>97</v>
      </c>
    </row>
    <row r="838" spans="1:10" x14ac:dyDescent="0.25">
      <c r="A838" s="332" t="s">
        <v>11</v>
      </c>
      <c r="B838" s="75">
        <v>95</v>
      </c>
      <c r="C838" s="75">
        <v>120</v>
      </c>
      <c r="D838" s="75">
        <v>131</v>
      </c>
      <c r="E838" s="316">
        <v>139</v>
      </c>
      <c r="F838" s="316">
        <v>371</v>
      </c>
      <c r="G838" s="316">
        <v>480</v>
      </c>
      <c r="H838" s="316">
        <v>434</v>
      </c>
      <c r="I838" s="316">
        <f>SUM(B838:H838)</f>
        <v>1770</v>
      </c>
      <c r="J838" s="382">
        <f>+I838/7</f>
        <v>252.85714285714286</v>
      </c>
    </row>
    <row r="839" spans="1:10" x14ac:dyDescent="0.25">
      <c r="A839" s="212" t="s">
        <v>12</v>
      </c>
      <c r="B839" s="11">
        <v>52</v>
      </c>
      <c r="C839" s="11">
        <v>54</v>
      </c>
      <c r="D839" s="11">
        <v>71</v>
      </c>
      <c r="E839" s="11">
        <v>69</v>
      </c>
      <c r="F839" s="11">
        <v>176</v>
      </c>
      <c r="G839" s="11">
        <v>223</v>
      </c>
      <c r="H839" s="11">
        <v>183</v>
      </c>
      <c r="I839" s="11">
        <f>SUM(CEDRITOS!$B839:$H839)</f>
        <v>828</v>
      </c>
      <c r="J839" s="60">
        <f t="shared" ref="J839:J844" si="390">I839/7</f>
        <v>118.28571428571429</v>
      </c>
    </row>
    <row r="840" spans="1:10" x14ac:dyDescent="0.25">
      <c r="A840" s="212" t="s">
        <v>13</v>
      </c>
      <c r="B840" s="11">
        <v>3</v>
      </c>
      <c r="C840" s="11">
        <v>1</v>
      </c>
      <c r="D840" s="11">
        <v>2</v>
      </c>
      <c r="E840" s="11">
        <v>2</v>
      </c>
      <c r="F840" s="11">
        <v>7</v>
      </c>
      <c r="G840" s="11">
        <v>9</v>
      </c>
      <c r="H840" s="11">
        <v>15</v>
      </c>
      <c r="I840" s="11">
        <f>SUM(CEDRITOS!$B840:$H840)</f>
        <v>39</v>
      </c>
      <c r="J840" s="60">
        <f t="shared" si="390"/>
        <v>5.5714285714285712</v>
      </c>
    </row>
    <row r="841" spans="1:10" x14ac:dyDescent="0.25">
      <c r="A841" s="212" t="s">
        <v>14</v>
      </c>
      <c r="B841" s="11">
        <v>26</v>
      </c>
      <c r="C841" s="11">
        <v>36</v>
      </c>
      <c r="D841" s="11">
        <v>36</v>
      </c>
      <c r="E841" s="11">
        <v>30</v>
      </c>
      <c r="F841" s="11">
        <v>81</v>
      </c>
      <c r="G841" s="11">
        <v>106</v>
      </c>
      <c r="H841" s="11">
        <v>85</v>
      </c>
      <c r="I841" s="11">
        <f>SUM(CEDRITOS!$B841:$H841)</f>
        <v>400</v>
      </c>
      <c r="J841" s="60">
        <f t="shared" si="390"/>
        <v>57.142857142857146</v>
      </c>
    </row>
    <row r="842" spans="1:10" x14ac:dyDescent="0.25">
      <c r="A842" s="212" t="s">
        <v>15</v>
      </c>
      <c r="B842" s="11">
        <v>4</v>
      </c>
      <c r="C842" s="11">
        <v>16</v>
      </c>
      <c r="D842" s="11">
        <v>6</v>
      </c>
      <c r="E842" s="11">
        <v>19</v>
      </c>
      <c r="F842" s="11">
        <v>28</v>
      </c>
      <c r="G842" s="11">
        <v>36</v>
      </c>
      <c r="H842" s="11">
        <v>41</v>
      </c>
      <c r="I842" s="11">
        <f>SUM(CEDRITOS!$B842:$H842)</f>
        <v>150</v>
      </c>
      <c r="J842" s="60">
        <f t="shared" si="390"/>
        <v>21.428571428571427</v>
      </c>
    </row>
    <row r="843" spans="1:10" x14ac:dyDescent="0.25">
      <c r="A843" s="212" t="s">
        <v>16</v>
      </c>
      <c r="B843" s="11">
        <v>0</v>
      </c>
      <c r="C843" s="11">
        <v>0</v>
      </c>
      <c r="D843" s="11">
        <v>0</v>
      </c>
      <c r="E843" s="11">
        <v>1</v>
      </c>
      <c r="F843" s="11">
        <v>0</v>
      </c>
      <c r="G843" s="86">
        <v>2</v>
      </c>
      <c r="H843" s="86">
        <v>0</v>
      </c>
      <c r="I843" s="11">
        <f>SUM(CEDRITOS!$B843:$H843)</f>
        <v>3</v>
      </c>
      <c r="J843" s="60">
        <f t="shared" si="390"/>
        <v>0.42857142857142855</v>
      </c>
    </row>
    <row r="844" spans="1:10" x14ac:dyDescent="0.25">
      <c r="A844" s="213" t="s">
        <v>17</v>
      </c>
      <c r="B844" s="192">
        <f>SUM(B839:B843)</f>
        <v>85</v>
      </c>
      <c r="C844" s="192">
        <f t="shared" ref="C844:I844" si="391">SUM(C839:C843)</f>
        <v>107</v>
      </c>
      <c r="D844" s="192">
        <f t="shared" si="391"/>
        <v>115</v>
      </c>
      <c r="E844" s="192">
        <f t="shared" si="391"/>
        <v>121</v>
      </c>
      <c r="F844" s="192">
        <f t="shared" si="391"/>
        <v>292</v>
      </c>
      <c r="G844" s="192">
        <f t="shared" si="391"/>
        <v>376</v>
      </c>
      <c r="H844" s="192">
        <f t="shared" si="391"/>
        <v>324</v>
      </c>
      <c r="I844" s="192">
        <f t="shared" si="391"/>
        <v>1420</v>
      </c>
      <c r="J844" s="214">
        <f t="shared" si="390"/>
        <v>202.85714285714286</v>
      </c>
    </row>
    <row r="845" spans="1:10" x14ac:dyDescent="0.25">
      <c r="A845" s="212" t="s">
        <v>18</v>
      </c>
      <c r="B845" s="386">
        <v>0.65</v>
      </c>
      <c r="C845" s="387">
        <v>0.54</v>
      </c>
      <c r="D845" s="387">
        <v>0.6</v>
      </c>
      <c r="E845" s="387">
        <v>0.6</v>
      </c>
      <c r="F845" s="387">
        <v>0.62</v>
      </c>
      <c r="G845" s="387">
        <v>0.6</v>
      </c>
      <c r="H845" s="387">
        <v>0.54</v>
      </c>
      <c r="I845" s="30">
        <f>I852/I857</f>
        <v>0.58874957427724695</v>
      </c>
      <c r="J845" s="160">
        <f>J852/J857</f>
        <v>0.58874957427724695</v>
      </c>
    </row>
    <row r="846" spans="1:10" x14ac:dyDescent="0.25">
      <c r="A846" s="212" t="s">
        <v>19</v>
      </c>
      <c r="B846" s="386">
        <v>0.04</v>
      </c>
      <c r="C846" s="387">
        <v>0.01</v>
      </c>
      <c r="D846" s="387">
        <v>0.01</v>
      </c>
      <c r="E846" s="387">
        <v>0.01</v>
      </c>
      <c r="F846" s="387">
        <v>0.03</v>
      </c>
      <c r="G846" s="387">
        <v>0.03</v>
      </c>
      <c r="H846" s="387">
        <v>7.0000000000000007E-2</v>
      </c>
      <c r="I846" s="30">
        <f>I853/I857</f>
        <v>3.5343237195154288E-2</v>
      </c>
      <c r="J846" s="160">
        <f>J853/J857</f>
        <v>3.5343237195154288E-2</v>
      </c>
    </row>
    <row r="847" spans="1:10" x14ac:dyDescent="0.25">
      <c r="A847" s="212" t="s">
        <v>20</v>
      </c>
      <c r="B847" s="386">
        <v>0.27</v>
      </c>
      <c r="C847" s="387">
        <v>0.28000000000000003</v>
      </c>
      <c r="D847" s="387">
        <v>0.34</v>
      </c>
      <c r="E847" s="387">
        <v>0.22</v>
      </c>
      <c r="F847" s="387">
        <v>0.26</v>
      </c>
      <c r="G847" s="387">
        <v>0.28000000000000003</v>
      </c>
      <c r="H847" s="387">
        <v>0.26</v>
      </c>
      <c r="I847" s="30">
        <f>I854/I857</f>
        <v>0.27039518717373778</v>
      </c>
      <c r="J847" s="160">
        <f>J854/J857</f>
        <v>0.27039518717373784</v>
      </c>
    </row>
    <row r="848" spans="1:10" x14ac:dyDescent="0.25">
      <c r="A848" s="212" t="s">
        <v>21</v>
      </c>
      <c r="B848" s="386">
        <v>0.04</v>
      </c>
      <c r="C848" s="387">
        <v>0.17</v>
      </c>
      <c r="D848" s="387">
        <v>0.05</v>
      </c>
      <c r="E848" s="387">
        <v>0.16</v>
      </c>
      <c r="F848" s="387">
        <v>0.09</v>
      </c>
      <c r="G848" s="387">
        <v>0.09</v>
      </c>
      <c r="H848" s="387">
        <v>0.13</v>
      </c>
      <c r="I848" s="30">
        <f>I855/I857</f>
        <v>0.1047021100777407</v>
      </c>
      <c r="J848" s="160">
        <f>J855/J857</f>
        <v>0.10470211007774072</v>
      </c>
    </row>
    <row r="849" spans="1:10" x14ac:dyDescent="0.25">
      <c r="A849" s="212" t="s">
        <v>22</v>
      </c>
      <c r="B849" s="386">
        <v>0</v>
      </c>
      <c r="C849" s="387">
        <v>0</v>
      </c>
      <c r="D849" s="387">
        <v>0</v>
      </c>
      <c r="E849" s="387">
        <v>0.01</v>
      </c>
      <c r="F849" s="387">
        <v>0</v>
      </c>
      <c r="G849" s="387">
        <v>0</v>
      </c>
      <c r="H849" s="387">
        <v>0</v>
      </c>
      <c r="I849" s="30">
        <f>I856/I857</f>
        <v>8.0989127612037719E-4</v>
      </c>
      <c r="J849" s="160">
        <f>J856/J857</f>
        <v>8.0989127612037719E-4</v>
      </c>
    </row>
    <row r="850" spans="1:10" x14ac:dyDescent="0.25">
      <c r="A850" s="215" t="s">
        <v>23</v>
      </c>
      <c r="B850" s="66">
        <f t="shared" ref="B850:J850" si="392">B861/B844</f>
        <v>32664.705882352941</v>
      </c>
      <c r="C850" s="66">
        <f t="shared" si="392"/>
        <v>32511.214953271032</v>
      </c>
      <c r="D850" s="66">
        <f t="shared" si="392"/>
        <v>34268.695652173912</v>
      </c>
      <c r="E850" s="66">
        <f t="shared" si="392"/>
        <v>33863.63636363636</v>
      </c>
      <c r="F850" s="66">
        <f t="shared" si="392"/>
        <v>36225.342465753434</v>
      </c>
      <c r="G850" s="66">
        <f t="shared" si="392"/>
        <v>36904.787234042553</v>
      </c>
      <c r="H850" s="66">
        <f t="shared" si="392"/>
        <v>36375.617283950625</v>
      </c>
      <c r="I850" s="66">
        <f t="shared" si="392"/>
        <v>35586.830985915491</v>
      </c>
      <c r="J850" s="67">
        <f t="shared" si="392"/>
        <v>35586.830985915491</v>
      </c>
    </row>
    <row r="851" spans="1:10" x14ac:dyDescent="0.25">
      <c r="A851" s="215" t="s">
        <v>24</v>
      </c>
      <c r="B851" s="66">
        <f t="shared" ref="B851:I851" si="393">+B861/B838</f>
        <v>29226.315789473683</v>
      </c>
      <c r="C851" s="66">
        <f t="shared" si="393"/>
        <v>28989.166666666672</v>
      </c>
      <c r="D851" s="66">
        <f t="shared" si="393"/>
        <v>30083.206106870228</v>
      </c>
      <c r="E851" s="66">
        <f t="shared" si="393"/>
        <v>29478.417266187051</v>
      </c>
      <c r="F851" s="66">
        <f t="shared" si="393"/>
        <v>28511.590296495961</v>
      </c>
      <c r="G851" s="66">
        <f t="shared" si="393"/>
        <v>28908.75</v>
      </c>
      <c r="H851" s="66">
        <f t="shared" si="393"/>
        <v>27155.990783410143</v>
      </c>
      <c r="I851" s="66">
        <f t="shared" si="393"/>
        <v>28549.887005649718</v>
      </c>
      <c r="J851" s="67">
        <f>J861/J838</f>
        <v>28549.887005649718</v>
      </c>
    </row>
    <row r="852" spans="1:10" x14ac:dyDescent="0.25">
      <c r="A852" s="212" t="s">
        <v>25</v>
      </c>
      <c r="B852" s="92">
        <f t="shared" ref="B852:H852" si="394">B857*B845</f>
        <v>1482958.4137931035</v>
      </c>
      <c r="C852" s="92">
        <f t="shared" si="394"/>
        <v>1556555.027586207</v>
      </c>
      <c r="D852" s="92">
        <f t="shared" si="394"/>
        <v>1946593.551724138</v>
      </c>
      <c r="E852" s="92">
        <f t="shared" si="394"/>
        <v>2030179.551724138</v>
      </c>
      <c r="F852" s="92">
        <f t="shared" si="394"/>
        <v>5418498.1241379315</v>
      </c>
      <c r="G852" s="31">
        <f t="shared" si="394"/>
        <v>6889005.8275862066</v>
      </c>
      <c r="H852" s="31">
        <f t="shared" si="394"/>
        <v>5273489.451724139</v>
      </c>
      <c r="I852" s="31">
        <f>SUM(B852:H852)</f>
        <v>24597279.948275864</v>
      </c>
      <c r="J852" s="32">
        <f t="shared" ref="J852:J861" si="395">I852/7</f>
        <v>3513897.1354679805</v>
      </c>
    </row>
    <row r="853" spans="1:10" x14ac:dyDescent="0.25">
      <c r="A853" s="212" t="s">
        <v>26</v>
      </c>
      <c r="B853" s="92">
        <f t="shared" ref="B853:H853" si="396">B857*B846</f>
        <v>91258.979310344832</v>
      </c>
      <c r="C853" s="92">
        <f t="shared" si="396"/>
        <v>28825.093103448278</v>
      </c>
      <c r="D853" s="92">
        <f t="shared" si="396"/>
        <v>32443.225862068968</v>
      </c>
      <c r="E853" s="92">
        <f t="shared" si="396"/>
        <v>33836.325862068967</v>
      </c>
      <c r="F853" s="92">
        <f t="shared" si="396"/>
        <v>262185.39310344832</v>
      </c>
      <c r="G853" s="31">
        <f t="shared" si="396"/>
        <v>344450.29137931037</v>
      </c>
      <c r="H853" s="31">
        <f t="shared" si="396"/>
        <v>683600.48448275879</v>
      </c>
      <c r="I853" s="31">
        <f>SUM(B853:H853)</f>
        <v>1476599.7931034486</v>
      </c>
      <c r="J853" s="32">
        <f t="shared" si="395"/>
        <v>210942.82758620693</v>
      </c>
    </row>
    <row r="854" spans="1:10" x14ac:dyDescent="0.25">
      <c r="A854" s="212" t="s">
        <v>27</v>
      </c>
      <c r="B854" s="92">
        <f t="shared" ref="B854:H854" si="397">B857*B847</f>
        <v>615998.11034482764</v>
      </c>
      <c r="C854" s="92">
        <f t="shared" si="397"/>
        <v>807102.60689655191</v>
      </c>
      <c r="D854" s="92">
        <f t="shared" si="397"/>
        <v>1103069.6793103449</v>
      </c>
      <c r="E854" s="92">
        <f t="shared" si="397"/>
        <v>744399.16896551731</v>
      </c>
      <c r="F854" s="92">
        <f t="shared" si="397"/>
        <v>2272273.4068965521</v>
      </c>
      <c r="G854" s="31">
        <f t="shared" si="397"/>
        <v>3214869.386206897</v>
      </c>
      <c r="H854" s="31">
        <f t="shared" si="397"/>
        <v>2539087.5137931039</v>
      </c>
      <c r="I854" s="31">
        <f>SUM(B854:H854)</f>
        <v>11296799.872413795</v>
      </c>
      <c r="J854" s="32">
        <f t="shared" si="395"/>
        <v>1613828.5532019709</v>
      </c>
    </row>
    <row r="855" spans="1:10" x14ac:dyDescent="0.25">
      <c r="A855" s="212" t="s">
        <v>28</v>
      </c>
      <c r="B855" s="92">
        <f t="shared" ref="B855:H855" si="398">B857*B848</f>
        <v>91258.979310344832</v>
      </c>
      <c r="C855" s="92">
        <f t="shared" si="398"/>
        <v>490026.58275862079</v>
      </c>
      <c r="D855" s="92">
        <f t="shared" si="398"/>
        <v>162216.12931034484</v>
      </c>
      <c r="E855" s="92">
        <f t="shared" si="398"/>
        <v>541381.21379310347</v>
      </c>
      <c r="F855" s="92">
        <f t="shared" si="398"/>
        <v>786556.17931034497</v>
      </c>
      <c r="G855" s="31">
        <f t="shared" si="398"/>
        <v>1033350.874137931</v>
      </c>
      <c r="H855" s="31">
        <f t="shared" si="398"/>
        <v>1269543.7568965519</v>
      </c>
      <c r="I855" s="31">
        <f>SUM(B855:H855)</f>
        <v>4374333.7155172415</v>
      </c>
      <c r="J855" s="32">
        <f t="shared" si="395"/>
        <v>624904.81650246307</v>
      </c>
    </row>
    <row r="856" spans="1:10" x14ac:dyDescent="0.25">
      <c r="A856" s="212" t="s">
        <v>29</v>
      </c>
      <c r="B856" s="92">
        <f t="shared" ref="B856:H856" si="399">B857*B849</f>
        <v>0</v>
      </c>
      <c r="C856" s="92">
        <f t="shared" si="399"/>
        <v>0</v>
      </c>
      <c r="D856" s="92">
        <f t="shared" si="399"/>
        <v>0</v>
      </c>
      <c r="E856" s="92">
        <f t="shared" si="399"/>
        <v>33836.325862068967</v>
      </c>
      <c r="F856" s="92">
        <f t="shared" si="399"/>
        <v>0</v>
      </c>
      <c r="G856" s="31">
        <f t="shared" si="399"/>
        <v>0</v>
      </c>
      <c r="H856" s="31">
        <f t="shared" si="399"/>
        <v>0</v>
      </c>
      <c r="I856" s="31">
        <f>SUM(B856:H856)</f>
        <v>33836.325862068967</v>
      </c>
      <c r="J856" s="32">
        <f t="shared" si="395"/>
        <v>4833.7608374384236</v>
      </c>
    </row>
    <row r="857" spans="1:10" x14ac:dyDescent="0.25">
      <c r="A857" s="216" t="s">
        <v>30</v>
      </c>
      <c r="B857" s="222">
        <f>(2776500/1.16)-B858</f>
        <v>2281474.4827586208</v>
      </c>
      <c r="C857" s="222">
        <f>(3478700/1.16)-C858</f>
        <v>2882509.3103448278</v>
      </c>
      <c r="D857" s="222">
        <f>(3940900/1.16)-D858</f>
        <v>3244322.5862068967</v>
      </c>
      <c r="E857" s="222">
        <f>(4097500/1.16)-E858</f>
        <v>3383632.5862068967</v>
      </c>
      <c r="F857" s="222">
        <f>(10577800/1.16)-F858</f>
        <v>8739513.1034482773</v>
      </c>
      <c r="G857" s="222">
        <f>(13876200/1.16)-G858</f>
        <v>11481676.379310345</v>
      </c>
      <c r="H857" s="222">
        <f>(11785700/1.16)-H858</f>
        <v>9765721.2068965528</v>
      </c>
      <c r="I857" s="197">
        <f>SUM(I852:I856)</f>
        <v>41778849.655172415</v>
      </c>
      <c r="J857" s="217">
        <f t="shared" si="395"/>
        <v>5968407.0935960589</v>
      </c>
    </row>
    <row r="858" spans="1:10" x14ac:dyDescent="0.25">
      <c r="A858" s="212" t="s">
        <v>31</v>
      </c>
      <c r="B858" s="92">
        <f t="shared" ref="B858:I858" si="400">2155*B839</f>
        <v>112060</v>
      </c>
      <c r="C858" s="92">
        <f t="shared" si="400"/>
        <v>116370</v>
      </c>
      <c r="D858" s="92">
        <f t="shared" si="400"/>
        <v>153005</v>
      </c>
      <c r="E858" s="92">
        <f t="shared" si="400"/>
        <v>148695</v>
      </c>
      <c r="F858" s="92">
        <f t="shared" si="400"/>
        <v>379280</v>
      </c>
      <c r="G858" s="31">
        <f t="shared" si="400"/>
        <v>480565</v>
      </c>
      <c r="H858" s="31">
        <f t="shared" si="400"/>
        <v>394365</v>
      </c>
      <c r="I858" s="31">
        <f t="shared" si="400"/>
        <v>1784340</v>
      </c>
      <c r="J858" s="32">
        <f t="shared" si="395"/>
        <v>254905.71428571429</v>
      </c>
    </row>
    <row r="859" spans="1:10" x14ac:dyDescent="0.25">
      <c r="A859" s="218" t="s">
        <v>32</v>
      </c>
      <c r="B859" s="199">
        <f>B858+B857</f>
        <v>2393534.4827586208</v>
      </c>
      <c r="C859" s="199">
        <f>C858+C857</f>
        <v>2998879.3103448278</v>
      </c>
      <c r="D859" s="199">
        <f>D858+D857</f>
        <v>3397327.5862068967</v>
      </c>
      <c r="E859" s="199">
        <f>E858+E857</f>
        <v>3532327.5862068967</v>
      </c>
      <c r="F859" s="199">
        <f>F857+F858</f>
        <v>9118793.1034482773</v>
      </c>
      <c r="G859" s="199">
        <f>G858+G857</f>
        <v>11962241.379310345</v>
      </c>
      <c r="H859" s="199">
        <f>H858+H857</f>
        <v>10160086.206896553</v>
      </c>
      <c r="I859" s="199">
        <f>I857+I858</f>
        <v>43563189.655172415</v>
      </c>
      <c r="J859" s="219">
        <f t="shared" si="395"/>
        <v>6223312.8078817734</v>
      </c>
    </row>
    <row r="860" spans="1:10" x14ac:dyDescent="0.25">
      <c r="A860" s="212" t="s">
        <v>33</v>
      </c>
      <c r="B860" s="94">
        <f>B859*16%</f>
        <v>382965.5172413793</v>
      </c>
      <c r="C860" s="94">
        <f t="shared" ref="C860:H860" si="401">C859*16%</f>
        <v>479820.68965517246</v>
      </c>
      <c r="D860" s="94">
        <f t="shared" si="401"/>
        <v>543572.41379310354</v>
      </c>
      <c r="E860" s="94">
        <f t="shared" si="401"/>
        <v>565172.41379310354</v>
      </c>
      <c r="F860" s="94">
        <f t="shared" si="401"/>
        <v>1459006.8965517243</v>
      </c>
      <c r="G860" s="94">
        <f t="shared" si="401"/>
        <v>1913958.6206896552</v>
      </c>
      <c r="H860" s="94">
        <f t="shared" si="401"/>
        <v>1625613.7931034486</v>
      </c>
      <c r="I860" s="94">
        <f>I859*16%</f>
        <v>6970110.3448275868</v>
      </c>
      <c r="J860" s="32">
        <f t="shared" si="395"/>
        <v>995730.04926108383</v>
      </c>
    </row>
    <row r="861" spans="1:10" x14ac:dyDescent="0.25">
      <c r="A861" s="220" t="s">
        <v>34</v>
      </c>
      <c r="B861" s="202">
        <f>B859+B860</f>
        <v>2776500</v>
      </c>
      <c r="C861" s="202">
        <f t="shared" ref="C861:H861" si="402">C859+C860</f>
        <v>3478700.0000000005</v>
      </c>
      <c r="D861" s="202">
        <f t="shared" si="402"/>
        <v>3940900</v>
      </c>
      <c r="E861" s="202">
        <f t="shared" si="402"/>
        <v>4097500</v>
      </c>
      <c r="F861" s="202">
        <f t="shared" si="402"/>
        <v>10577800.000000002</v>
      </c>
      <c r="G861" s="202">
        <f t="shared" si="402"/>
        <v>13876200</v>
      </c>
      <c r="H861" s="202">
        <f t="shared" si="402"/>
        <v>11785700.000000002</v>
      </c>
      <c r="I861" s="202">
        <f>I859+I860</f>
        <v>50533300</v>
      </c>
      <c r="J861" s="221">
        <f t="shared" si="395"/>
        <v>7219042.8571428573</v>
      </c>
    </row>
    <row r="863" spans="1:10" ht="26.25" x14ac:dyDescent="0.25">
      <c r="B863" s="1007" t="s">
        <v>371</v>
      </c>
      <c r="C863" s="1007"/>
      <c r="D863" s="1007"/>
      <c r="E863" s="1007"/>
      <c r="F863" s="1007"/>
      <c r="G863" s="1007"/>
      <c r="H863" s="1007"/>
    </row>
    <row r="864" spans="1:10" ht="15.75" x14ac:dyDescent="0.25">
      <c r="A864" s="207" t="s">
        <v>2</v>
      </c>
      <c r="B864" s="121" t="s">
        <v>262</v>
      </c>
      <c r="C864" s="121" t="s">
        <v>263</v>
      </c>
      <c r="D864" s="121" t="s">
        <v>264</v>
      </c>
      <c r="E864" s="121" t="s">
        <v>265</v>
      </c>
      <c r="F864" s="121" t="s">
        <v>266</v>
      </c>
      <c r="G864" s="121" t="s">
        <v>267</v>
      </c>
      <c r="H864" s="121" t="s">
        <v>105</v>
      </c>
      <c r="I864" s="121" t="s">
        <v>96</v>
      </c>
      <c r="J864" s="209" t="s">
        <v>97</v>
      </c>
    </row>
    <row r="865" spans="1:10" x14ac:dyDescent="0.25">
      <c r="A865" s="332" t="s">
        <v>11</v>
      </c>
      <c r="B865" s="75">
        <v>98</v>
      </c>
      <c r="C865" s="75">
        <v>123</v>
      </c>
      <c r="D865" s="75">
        <v>134</v>
      </c>
      <c r="E865" s="316">
        <v>146</v>
      </c>
      <c r="F865" s="316">
        <v>351</v>
      </c>
      <c r="G865" s="316">
        <v>449</v>
      </c>
      <c r="H865" s="316">
        <v>486</v>
      </c>
      <c r="I865" s="316">
        <f>SUM(B865:H865)</f>
        <v>1787</v>
      </c>
      <c r="J865" s="382">
        <f>+I865/7</f>
        <v>255.28571428571428</v>
      </c>
    </row>
    <row r="866" spans="1:10" x14ac:dyDescent="0.25">
      <c r="A866" s="212" t="s">
        <v>12</v>
      </c>
      <c r="B866" s="11">
        <v>49</v>
      </c>
      <c r="C866" s="11">
        <v>64</v>
      </c>
      <c r="D866" s="11">
        <v>66</v>
      </c>
      <c r="E866" s="11">
        <v>69</v>
      </c>
      <c r="F866" s="11">
        <v>184</v>
      </c>
      <c r="G866" s="11">
        <v>222</v>
      </c>
      <c r="H866" s="11">
        <v>248</v>
      </c>
      <c r="I866" s="11">
        <f>SUM(CEDRITOS!$B866:$H866)</f>
        <v>902</v>
      </c>
      <c r="J866" s="60">
        <f t="shared" ref="J866:J871" si="403">I866/7</f>
        <v>128.85714285714286</v>
      </c>
    </row>
    <row r="867" spans="1:10" x14ac:dyDescent="0.25">
      <c r="A867" s="212" t="s">
        <v>13</v>
      </c>
      <c r="B867" s="11">
        <v>1</v>
      </c>
      <c r="C867" s="11">
        <v>3</v>
      </c>
      <c r="D867" s="11">
        <v>2</v>
      </c>
      <c r="E867" s="11">
        <v>7</v>
      </c>
      <c r="F867" s="11">
        <v>7</v>
      </c>
      <c r="G867" s="11">
        <v>5</v>
      </c>
      <c r="H867" s="11">
        <v>6</v>
      </c>
      <c r="I867" s="11">
        <f>SUM(CEDRITOS!$B867:$H867)</f>
        <v>31</v>
      </c>
      <c r="J867" s="60">
        <f t="shared" si="403"/>
        <v>4.4285714285714288</v>
      </c>
    </row>
    <row r="868" spans="1:10" x14ac:dyDescent="0.25">
      <c r="A868" s="212" t="s">
        <v>14</v>
      </c>
      <c r="B868" s="11">
        <v>28</v>
      </c>
      <c r="C868" s="11">
        <v>40</v>
      </c>
      <c r="D868" s="11">
        <v>36</v>
      </c>
      <c r="E868" s="11">
        <v>38</v>
      </c>
      <c r="F868" s="11">
        <v>57</v>
      </c>
      <c r="G868" s="11">
        <v>114</v>
      </c>
      <c r="H868" s="11">
        <v>91</v>
      </c>
      <c r="I868" s="11">
        <f>SUM(CEDRITOS!$B868:$H868)</f>
        <v>404</v>
      </c>
      <c r="J868" s="60">
        <f t="shared" si="403"/>
        <v>57.714285714285715</v>
      </c>
    </row>
    <row r="869" spans="1:10" x14ac:dyDescent="0.25">
      <c r="A869" s="212" t="s">
        <v>15</v>
      </c>
      <c r="B869" s="11">
        <v>7</v>
      </c>
      <c r="C869" s="11">
        <v>11</v>
      </c>
      <c r="D869" s="11">
        <v>10</v>
      </c>
      <c r="E869" s="11">
        <v>9</v>
      </c>
      <c r="F869" s="11">
        <v>25</v>
      </c>
      <c r="G869" s="11">
        <v>28</v>
      </c>
      <c r="H869" s="11">
        <v>18</v>
      </c>
      <c r="I869" s="11">
        <f>SUM(CEDRITOS!$B869:$H869)</f>
        <v>108</v>
      </c>
      <c r="J869" s="60">
        <f t="shared" si="403"/>
        <v>15.428571428571429</v>
      </c>
    </row>
    <row r="870" spans="1:10" x14ac:dyDescent="0.25">
      <c r="A870" s="212" t="s">
        <v>16</v>
      </c>
      <c r="B870" s="11">
        <v>1</v>
      </c>
      <c r="C870" s="11">
        <v>1</v>
      </c>
      <c r="D870" s="11">
        <v>0</v>
      </c>
      <c r="E870" s="11">
        <v>0</v>
      </c>
      <c r="F870" s="11">
        <v>2</v>
      </c>
      <c r="G870" s="86">
        <v>1</v>
      </c>
      <c r="H870" s="86">
        <v>1</v>
      </c>
      <c r="I870" s="11">
        <f>SUM(CEDRITOS!$B870:$H870)</f>
        <v>6</v>
      </c>
      <c r="J870" s="60">
        <f t="shared" si="403"/>
        <v>0.8571428571428571</v>
      </c>
    </row>
    <row r="871" spans="1:10" x14ac:dyDescent="0.25">
      <c r="A871" s="213" t="s">
        <v>17</v>
      </c>
      <c r="B871" s="192">
        <f>SUM(B866:B870)</f>
        <v>86</v>
      </c>
      <c r="C871" s="192">
        <f t="shared" ref="C871:I871" si="404">SUM(C866:C870)</f>
        <v>119</v>
      </c>
      <c r="D871" s="192">
        <f t="shared" si="404"/>
        <v>114</v>
      </c>
      <c r="E871" s="192">
        <f t="shared" si="404"/>
        <v>123</v>
      </c>
      <c r="F871" s="192">
        <f t="shared" si="404"/>
        <v>275</v>
      </c>
      <c r="G871" s="192">
        <f t="shared" si="404"/>
        <v>370</v>
      </c>
      <c r="H871" s="192">
        <f t="shared" si="404"/>
        <v>364</v>
      </c>
      <c r="I871" s="192">
        <f t="shared" si="404"/>
        <v>1451</v>
      </c>
      <c r="J871" s="214">
        <f t="shared" si="403"/>
        <v>207.28571428571428</v>
      </c>
    </row>
    <row r="872" spans="1:10" x14ac:dyDescent="0.25">
      <c r="A872" s="212" t="s">
        <v>18</v>
      </c>
      <c r="B872" s="386">
        <v>0.52</v>
      </c>
      <c r="C872" s="387">
        <v>0.56000000000000005</v>
      </c>
      <c r="D872" s="387">
        <v>0.54</v>
      </c>
      <c r="E872" s="387">
        <v>0.57999999999999996</v>
      </c>
      <c r="F872" s="387">
        <v>0.7</v>
      </c>
      <c r="G872" s="387">
        <v>0.64</v>
      </c>
      <c r="H872" s="387">
        <v>0.7</v>
      </c>
      <c r="I872" s="30">
        <f>I879/I884</f>
        <v>0.64470057426446159</v>
      </c>
      <c r="J872" s="160">
        <f>J879/J884</f>
        <v>0.64470057426446159</v>
      </c>
    </row>
    <row r="873" spans="1:10" x14ac:dyDescent="0.25">
      <c r="A873" s="212" t="s">
        <v>19</v>
      </c>
      <c r="B873" s="386">
        <v>0.03</v>
      </c>
      <c r="C873" s="387">
        <v>0.01</v>
      </c>
      <c r="D873" s="387">
        <v>0.02</v>
      </c>
      <c r="E873" s="387">
        <v>0.03</v>
      </c>
      <c r="F873" s="387">
        <v>0.02</v>
      </c>
      <c r="G873" s="387">
        <v>0.02</v>
      </c>
      <c r="H873" s="387">
        <v>0.03</v>
      </c>
      <c r="I873" s="30">
        <f>I880/I884</f>
        <v>2.3296922142343732E-2</v>
      </c>
      <c r="J873" s="160">
        <f>J880/J884</f>
        <v>2.3296922142343732E-2</v>
      </c>
    </row>
    <row r="874" spans="1:10" x14ac:dyDescent="0.25">
      <c r="A874" s="212" t="s">
        <v>20</v>
      </c>
      <c r="B874" s="386">
        <v>0.36</v>
      </c>
      <c r="C874" s="387">
        <v>0.33</v>
      </c>
      <c r="D874" s="387">
        <v>0.34</v>
      </c>
      <c r="E874" s="387">
        <v>0.32</v>
      </c>
      <c r="F874" s="387">
        <v>0.19</v>
      </c>
      <c r="G874" s="387">
        <v>0.26</v>
      </c>
      <c r="H874" s="387">
        <v>0.23</v>
      </c>
      <c r="I874" s="30">
        <f>I881/I884</f>
        <v>0.25816724008737685</v>
      </c>
      <c r="J874" s="160">
        <f>J881/J884</f>
        <v>0.25816724008737679</v>
      </c>
    </row>
    <row r="875" spans="1:10" x14ac:dyDescent="0.25">
      <c r="A875" s="212" t="s">
        <v>21</v>
      </c>
      <c r="B875" s="386">
        <v>0.08</v>
      </c>
      <c r="C875" s="387">
        <v>0.09</v>
      </c>
      <c r="D875" s="387">
        <v>0.1</v>
      </c>
      <c r="E875" s="387">
        <v>7.0000000000000007E-2</v>
      </c>
      <c r="F875" s="387">
        <v>0.08</v>
      </c>
      <c r="G875" s="387">
        <v>0.08</v>
      </c>
      <c r="H875" s="387">
        <v>0.04</v>
      </c>
      <c r="I875" s="30">
        <f>I882/I884</f>
        <v>7.0637014819034366E-2</v>
      </c>
      <c r="J875" s="160">
        <f>J882/J884</f>
        <v>7.0637014819034366E-2</v>
      </c>
    </row>
    <row r="876" spans="1:10" x14ac:dyDescent="0.25">
      <c r="A876" s="212" t="s">
        <v>22</v>
      </c>
      <c r="B876" s="386">
        <v>0.01</v>
      </c>
      <c r="C876" s="387">
        <v>0.01</v>
      </c>
      <c r="D876" s="387">
        <v>0</v>
      </c>
      <c r="E876" s="387">
        <v>0</v>
      </c>
      <c r="F876" s="387">
        <v>0.01</v>
      </c>
      <c r="G876" s="387">
        <v>0</v>
      </c>
      <c r="H876" s="387">
        <v>0</v>
      </c>
      <c r="I876" s="30">
        <f>I883/I884</f>
        <v>3.1982486867833809E-3</v>
      </c>
      <c r="J876" s="160">
        <f>J883/J884</f>
        <v>3.1982486867833809E-3</v>
      </c>
    </row>
    <row r="877" spans="1:10" x14ac:dyDescent="0.25">
      <c r="A877" s="215" t="s">
        <v>23</v>
      </c>
      <c r="B877" s="66">
        <f t="shared" ref="B877:J877" si="405">B888/B871</f>
        <v>30850.000000000004</v>
      </c>
      <c r="C877" s="66">
        <f t="shared" si="405"/>
        <v>28896.638655462189</v>
      </c>
      <c r="D877" s="66">
        <f t="shared" si="405"/>
        <v>33193.859649122809</v>
      </c>
      <c r="E877" s="66">
        <f t="shared" si="405"/>
        <v>31852.032520325207</v>
      </c>
      <c r="F877" s="66">
        <f t="shared" si="405"/>
        <v>37593.818181818191</v>
      </c>
      <c r="G877" s="66">
        <f t="shared" si="405"/>
        <v>36160.000000000007</v>
      </c>
      <c r="H877" s="66">
        <f t="shared" si="405"/>
        <v>37896.703296703301</v>
      </c>
      <c r="I877" s="66">
        <f t="shared" si="405"/>
        <v>35358.787043418342</v>
      </c>
      <c r="J877" s="67">
        <f t="shared" si="405"/>
        <v>35358.787043418342</v>
      </c>
    </row>
    <row r="878" spans="1:10" x14ac:dyDescent="0.25">
      <c r="A878" s="215" t="s">
        <v>24</v>
      </c>
      <c r="B878" s="66">
        <f t="shared" ref="B878:I878" si="406">+B888/B865</f>
        <v>27072.448979591842</v>
      </c>
      <c r="C878" s="66">
        <f t="shared" si="406"/>
        <v>27956.910569105694</v>
      </c>
      <c r="D878" s="66">
        <f t="shared" si="406"/>
        <v>28239.552238805973</v>
      </c>
      <c r="E878" s="66">
        <f t="shared" si="406"/>
        <v>26834.246575342469</v>
      </c>
      <c r="F878" s="66">
        <f t="shared" si="406"/>
        <v>29453.84615384616</v>
      </c>
      <c r="G878" s="66">
        <f t="shared" si="406"/>
        <v>29797.772828507801</v>
      </c>
      <c r="H878" s="66">
        <f t="shared" si="406"/>
        <v>28383.539094650208</v>
      </c>
      <c r="I878" s="66">
        <f t="shared" si="406"/>
        <v>28710.464465584788</v>
      </c>
      <c r="J878" s="67">
        <f>J888/J865</f>
        <v>28710.464465584788</v>
      </c>
    </row>
    <row r="879" spans="1:10" x14ac:dyDescent="0.25">
      <c r="A879" s="212" t="s">
        <v>25</v>
      </c>
      <c r="B879" s="92">
        <f t="shared" ref="B879:H879" si="407">B884*B872</f>
        <v>1134411.2896551725</v>
      </c>
      <c r="C879" s="92">
        <f t="shared" si="407"/>
        <v>1582826.8689655175</v>
      </c>
      <c r="D879" s="92">
        <f t="shared" si="407"/>
        <v>1684759.5931034486</v>
      </c>
      <c r="E879" s="92">
        <f t="shared" si="407"/>
        <v>1872656.9000000001</v>
      </c>
      <c r="F879" s="92">
        <f t="shared" si="407"/>
        <v>5961065.3103448283</v>
      </c>
      <c r="G879" s="31">
        <f t="shared" si="407"/>
        <v>7075445.1862068977</v>
      </c>
      <c r="H879" s="31">
        <f t="shared" si="407"/>
        <v>7950098.8965517245</v>
      </c>
      <c r="I879" s="31">
        <f>SUM(B879:H879)</f>
        <v>27261264.044827592</v>
      </c>
      <c r="J879" s="32">
        <f t="shared" ref="J879:J888" si="408">I879/7</f>
        <v>3894466.2921182276</v>
      </c>
    </row>
    <row r="880" spans="1:10" x14ac:dyDescent="0.25">
      <c r="A880" s="212" t="s">
        <v>26</v>
      </c>
      <c r="B880" s="92">
        <f t="shared" ref="B880:H880" si="409">B884*B873</f>
        <v>65446.805172413799</v>
      </c>
      <c r="C880" s="92">
        <f t="shared" si="409"/>
        <v>28264.765517241383</v>
      </c>
      <c r="D880" s="92">
        <f t="shared" si="409"/>
        <v>62398.503448275871</v>
      </c>
      <c r="E880" s="92">
        <f t="shared" si="409"/>
        <v>96861.563793103458</v>
      </c>
      <c r="F880" s="92">
        <f t="shared" si="409"/>
        <v>170316.15172413798</v>
      </c>
      <c r="G880" s="31">
        <f t="shared" si="409"/>
        <v>221107.66206896555</v>
      </c>
      <c r="H880" s="31">
        <f t="shared" si="409"/>
        <v>340718.52413793106</v>
      </c>
      <c r="I880" s="31">
        <f>SUM(B880:H880)</f>
        <v>985113.97586206917</v>
      </c>
      <c r="J880" s="32">
        <f t="shared" si="408"/>
        <v>140730.5679802956</v>
      </c>
    </row>
    <row r="881" spans="1:10" x14ac:dyDescent="0.25">
      <c r="A881" s="212" t="s">
        <v>27</v>
      </c>
      <c r="B881" s="92">
        <f t="shared" ref="B881:H881" si="410">B884*B874</f>
        <v>785361.66206896561</v>
      </c>
      <c r="C881" s="92">
        <f t="shared" si="410"/>
        <v>932737.26206896571</v>
      </c>
      <c r="D881" s="92">
        <f t="shared" si="410"/>
        <v>1060774.5586206899</v>
      </c>
      <c r="E881" s="92">
        <f t="shared" si="410"/>
        <v>1033190.0137931035</v>
      </c>
      <c r="F881" s="92">
        <f t="shared" si="410"/>
        <v>1618003.4413793106</v>
      </c>
      <c r="G881" s="31">
        <f t="shared" si="410"/>
        <v>2874399.6068965523</v>
      </c>
      <c r="H881" s="31">
        <f t="shared" si="410"/>
        <v>2612175.3517241385</v>
      </c>
      <c r="I881" s="31">
        <f>SUM(B881:H881)</f>
        <v>10916641.896551725</v>
      </c>
      <c r="J881" s="32">
        <f t="shared" si="408"/>
        <v>1559520.2709359606</v>
      </c>
    </row>
    <row r="882" spans="1:10" x14ac:dyDescent="0.25">
      <c r="A882" s="212" t="s">
        <v>28</v>
      </c>
      <c r="B882" s="92">
        <f t="shared" ref="B882:H882" si="411">B884*B875</f>
        <v>174524.81379310347</v>
      </c>
      <c r="C882" s="92">
        <f t="shared" si="411"/>
        <v>254382.88965517242</v>
      </c>
      <c r="D882" s="92">
        <f t="shared" si="411"/>
        <v>311992.51724137936</v>
      </c>
      <c r="E882" s="92">
        <f t="shared" si="411"/>
        <v>226010.31551724143</v>
      </c>
      <c r="F882" s="92">
        <f t="shared" si="411"/>
        <v>681264.60689655191</v>
      </c>
      <c r="G882" s="31">
        <f t="shared" si="411"/>
        <v>884430.64827586222</v>
      </c>
      <c r="H882" s="31">
        <f t="shared" si="411"/>
        <v>454291.36551724141</v>
      </c>
      <c r="I882" s="31">
        <f>SUM(B882:H882)</f>
        <v>2986897.1568965525</v>
      </c>
      <c r="J882" s="32">
        <f t="shared" si="408"/>
        <v>426699.59384236467</v>
      </c>
    </row>
    <row r="883" spans="1:10" x14ac:dyDescent="0.25">
      <c r="A883" s="212" t="s">
        <v>29</v>
      </c>
      <c r="B883" s="92">
        <f t="shared" ref="B883:H883" si="412">B884*B876</f>
        <v>21815.601724137934</v>
      </c>
      <c r="C883" s="92">
        <f t="shared" si="412"/>
        <v>28264.765517241383</v>
      </c>
      <c r="D883" s="92">
        <f t="shared" si="412"/>
        <v>0</v>
      </c>
      <c r="E883" s="92">
        <f t="shared" si="412"/>
        <v>0</v>
      </c>
      <c r="F883" s="92">
        <f t="shared" si="412"/>
        <v>85158.075862068988</v>
      </c>
      <c r="G883" s="31">
        <f t="shared" si="412"/>
        <v>0</v>
      </c>
      <c r="H883" s="31">
        <f t="shared" si="412"/>
        <v>0</v>
      </c>
      <c r="I883" s="31">
        <f>SUM(B883:H883)</f>
        <v>135238.44310344831</v>
      </c>
      <c r="J883" s="32">
        <f t="shared" si="408"/>
        <v>19319.777586206903</v>
      </c>
    </row>
    <row r="884" spans="1:10" x14ac:dyDescent="0.25">
      <c r="A884" s="216" t="s">
        <v>30</v>
      </c>
      <c r="B884" s="222">
        <f>(2653100/1.16)-B885</f>
        <v>2181560.1724137934</v>
      </c>
      <c r="C884" s="222">
        <f>(3438700/1.16)-C885</f>
        <v>2826476.5517241382</v>
      </c>
      <c r="D884" s="222">
        <f>(3784100/1.16)-D885</f>
        <v>3119925.1724137934</v>
      </c>
      <c r="E884" s="222">
        <f>(3917800/1.16)-E885</f>
        <v>3228718.7931034486</v>
      </c>
      <c r="F884" s="222">
        <f>(10338300/1.16)-F885</f>
        <v>8515807.5862068981</v>
      </c>
      <c r="G884" s="222">
        <f>(13379200/1.16)-G885</f>
        <v>11055383.103448277</v>
      </c>
      <c r="H884" s="222">
        <f>(13794400/1.16)-H885</f>
        <v>11357284.137931036</v>
      </c>
      <c r="I884" s="197">
        <f>SUM(I879:I883)</f>
        <v>42285155.517241389</v>
      </c>
      <c r="J884" s="217">
        <f t="shared" si="408"/>
        <v>6040736.5024630558</v>
      </c>
    </row>
    <row r="885" spans="1:10" x14ac:dyDescent="0.25">
      <c r="A885" s="212" t="s">
        <v>31</v>
      </c>
      <c r="B885" s="92">
        <f t="shared" ref="B885:I885" si="413">2155*B866</f>
        <v>105595</v>
      </c>
      <c r="C885" s="92">
        <f t="shared" si="413"/>
        <v>137920</v>
      </c>
      <c r="D885" s="92">
        <f t="shared" si="413"/>
        <v>142230</v>
      </c>
      <c r="E885" s="92">
        <f t="shared" si="413"/>
        <v>148695</v>
      </c>
      <c r="F885" s="92">
        <f t="shared" si="413"/>
        <v>396520</v>
      </c>
      <c r="G885" s="31">
        <f t="shared" si="413"/>
        <v>478410</v>
      </c>
      <c r="H885" s="31">
        <f t="shared" si="413"/>
        <v>534440</v>
      </c>
      <c r="I885" s="31">
        <f t="shared" si="413"/>
        <v>1943810</v>
      </c>
      <c r="J885" s="32">
        <f t="shared" si="408"/>
        <v>277687.14285714284</v>
      </c>
    </row>
    <row r="886" spans="1:10" x14ac:dyDescent="0.25">
      <c r="A886" s="218" t="s">
        <v>32</v>
      </c>
      <c r="B886" s="199">
        <f>B885+B884</f>
        <v>2287155.1724137934</v>
      </c>
      <c r="C886" s="199">
        <f>C885+C884</f>
        <v>2964396.5517241382</v>
      </c>
      <c r="D886" s="199">
        <f>D885+D884</f>
        <v>3262155.1724137934</v>
      </c>
      <c r="E886" s="199">
        <f>E885+E884</f>
        <v>3377413.7931034486</v>
      </c>
      <c r="F886" s="199">
        <f>F884+F885</f>
        <v>8912327.5862068981</v>
      </c>
      <c r="G886" s="199">
        <f>G885+G884</f>
        <v>11533793.103448277</v>
      </c>
      <c r="H886" s="199">
        <f>H885+H884</f>
        <v>11891724.137931036</v>
      </c>
      <c r="I886" s="199">
        <f>I884+I885</f>
        <v>44228965.517241389</v>
      </c>
      <c r="J886" s="219">
        <f t="shared" si="408"/>
        <v>6318423.6453201985</v>
      </c>
    </row>
    <row r="887" spans="1:10" x14ac:dyDescent="0.25">
      <c r="A887" s="212" t="s">
        <v>33</v>
      </c>
      <c r="B887" s="94">
        <f>B886*16%</f>
        <v>365944.82758620696</v>
      </c>
      <c r="C887" s="94">
        <f t="shared" ref="C887:H887" si="414">C886*16%</f>
        <v>474303.44827586215</v>
      </c>
      <c r="D887" s="94">
        <f t="shared" si="414"/>
        <v>521944.82758620696</v>
      </c>
      <c r="E887" s="94">
        <f t="shared" si="414"/>
        <v>540386.20689655177</v>
      </c>
      <c r="F887" s="94">
        <f t="shared" si="414"/>
        <v>1425972.4137931038</v>
      </c>
      <c r="G887" s="94">
        <f t="shared" si="414"/>
        <v>1845406.8965517245</v>
      </c>
      <c r="H887" s="94">
        <f t="shared" si="414"/>
        <v>1902675.8620689658</v>
      </c>
      <c r="I887" s="94">
        <f>I886*16%</f>
        <v>7076634.4827586226</v>
      </c>
      <c r="J887" s="32">
        <f t="shared" si="408"/>
        <v>1010947.7832512318</v>
      </c>
    </row>
    <row r="888" spans="1:10" x14ac:dyDescent="0.25">
      <c r="A888" s="220" t="s">
        <v>34</v>
      </c>
      <c r="B888" s="202">
        <f>B886+B887</f>
        <v>2653100.0000000005</v>
      </c>
      <c r="C888" s="202">
        <f t="shared" ref="C888:H888" si="415">C886+C887</f>
        <v>3438700.0000000005</v>
      </c>
      <c r="D888" s="202">
        <f t="shared" si="415"/>
        <v>3784100.0000000005</v>
      </c>
      <c r="E888" s="202">
        <f t="shared" si="415"/>
        <v>3917800.0000000005</v>
      </c>
      <c r="F888" s="202">
        <f t="shared" si="415"/>
        <v>10338300.000000002</v>
      </c>
      <c r="G888" s="202">
        <f t="shared" si="415"/>
        <v>13379200.000000002</v>
      </c>
      <c r="H888" s="202">
        <f t="shared" si="415"/>
        <v>13794400.000000002</v>
      </c>
      <c r="I888" s="202">
        <f>I886+I887</f>
        <v>51305600.000000015</v>
      </c>
      <c r="J888" s="221">
        <f t="shared" si="408"/>
        <v>7329371.428571431</v>
      </c>
    </row>
    <row r="890" spans="1:10" ht="26.25" x14ac:dyDescent="0.25">
      <c r="B890" s="1007" t="s">
        <v>372</v>
      </c>
      <c r="C890" s="1007"/>
      <c r="D890" s="1007"/>
      <c r="E890" s="1007"/>
      <c r="F890" s="1007"/>
      <c r="G890" s="1007"/>
      <c r="H890" s="1007"/>
    </row>
    <row r="891" spans="1:10" ht="15.75" x14ac:dyDescent="0.25">
      <c r="A891" s="207" t="s">
        <v>2</v>
      </c>
      <c r="B891" s="121" t="s">
        <v>107</v>
      </c>
      <c r="C891" s="121" t="s">
        <v>108</v>
      </c>
      <c r="D891" s="121" t="s">
        <v>109</v>
      </c>
      <c r="E891" s="121" t="s">
        <v>110</v>
      </c>
      <c r="F891" s="121" t="s">
        <v>111</v>
      </c>
      <c r="G891" s="121" t="s">
        <v>112</v>
      </c>
      <c r="H891" s="121" t="s">
        <v>113</v>
      </c>
      <c r="I891" s="121" t="s">
        <v>96</v>
      </c>
      <c r="J891" s="209" t="s">
        <v>97</v>
      </c>
    </row>
    <row r="892" spans="1:10" x14ac:dyDescent="0.25">
      <c r="A892" s="332" t="s">
        <v>11</v>
      </c>
      <c r="B892" s="75">
        <v>116</v>
      </c>
      <c r="C892" s="75">
        <v>137</v>
      </c>
      <c r="D892" s="75">
        <v>142</v>
      </c>
      <c r="E892" s="316">
        <v>172</v>
      </c>
      <c r="F892" s="316">
        <v>370</v>
      </c>
      <c r="G892" s="316">
        <v>464</v>
      </c>
      <c r="H892" s="316">
        <v>437</v>
      </c>
      <c r="I892" s="316">
        <f>SUM(B892:H892)</f>
        <v>1838</v>
      </c>
      <c r="J892" s="382">
        <f>+I892/7</f>
        <v>262.57142857142856</v>
      </c>
    </row>
    <row r="893" spans="1:10" x14ac:dyDescent="0.25">
      <c r="A893" s="212" t="s">
        <v>12</v>
      </c>
      <c r="B893" s="11">
        <v>51</v>
      </c>
      <c r="C893" s="11">
        <v>67</v>
      </c>
      <c r="D893" s="11">
        <v>67</v>
      </c>
      <c r="E893" s="11">
        <v>89</v>
      </c>
      <c r="F893" s="11">
        <v>175</v>
      </c>
      <c r="G893" s="11">
        <v>234</v>
      </c>
      <c r="H893" s="11">
        <v>215</v>
      </c>
      <c r="I893" s="11">
        <f>SUM(CEDRITOS!$B893:$H893)</f>
        <v>898</v>
      </c>
      <c r="J893" s="60">
        <f t="shared" ref="J893:J898" si="416">I893/7</f>
        <v>128.28571428571428</v>
      </c>
    </row>
    <row r="894" spans="1:10" x14ac:dyDescent="0.25">
      <c r="A894" s="212" t="s">
        <v>13</v>
      </c>
      <c r="B894" s="11">
        <v>4</v>
      </c>
      <c r="C894" s="11">
        <v>4</v>
      </c>
      <c r="D894" s="11">
        <v>1</v>
      </c>
      <c r="E894" s="11">
        <v>1</v>
      </c>
      <c r="F894" s="11">
        <v>7</v>
      </c>
      <c r="G894" s="11">
        <v>5</v>
      </c>
      <c r="H894" s="11">
        <v>8</v>
      </c>
      <c r="I894" s="11">
        <f>SUM(CEDRITOS!$B894:$H894)</f>
        <v>30</v>
      </c>
      <c r="J894" s="60">
        <f t="shared" si="416"/>
        <v>4.2857142857142856</v>
      </c>
    </row>
    <row r="895" spans="1:10" x14ac:dyDescent="0.25">
      <c r="A895" s="212" t="s">
        <v>14</v>
      </c>
      <c r="B895" s="11">
        <v>25</v>
      </c>
      <c r="C895" s="11">
        <v>46</v>
      </c>
      <c r="D895" s="11">
        <v>42</v>
      </c>
      <c r="E895" s="11">
        <v>31</v>
      </c>
      <c r="F895" s="11">
        <v>64</v>
      </c>
      <c r="G895" s="11">
        <v>75</v>
      </c>
      <c r="H895" s="11">
        <v>70</v>
      </c>
      <c r="I895" s="11">
        <f>SUM(CEDRITOS!$B895:$H895)</f>
        <v>353</v>
      </c>
      <c r="J895" s="60">
        <f t="shared" si="416"/>
        <v>50.428571428571431</v>
      </c>
    </row>
    <row r="896" spans="1:10" x14ac:dyDescent="0.25">
      <c r="A896" s="212" t="s">
        <v>15</v>
      </c>
      <c r="B896" s="11">
        <v>9</v>
      </c>
      <c r="C896" s="11">
        <v>1</v>
      </c>
      <c r="D896" s="11">
        <v>7</v>
      </c>
      <c r="E896" s="11">
        <v>13</v>
      </c>
      <c r="F896" s="11">
        <v>42</v>
      </c>
      <c r="G896" s="11">
        <v>38</v>
      </c>
      <c r="H896" s="11">
        <v>44</v>
      </c>
      <c r="I896" s="11">
        <f>SUM(CEDRITOS!$B896:$H896)</f>
        <v>154</v>
      </c>
      <c r="J896" s="60">
        <f t="shared" si="416"/>
        <v>22</v>
      </c>
    </row>
    <row r="897" spans="1:10" x14ac:dyDescent="0.25">
      <c r="A897" s="212" t="s">
        <v>16</v>
      </c>
      <c r="B897" s="11">
        <v>0</v>
      </c>
      <c r="C897" s="11">
        <v>0</v>
      </c>
      <c r="D897" s="11">
        <v>1</v>
      </c>
      <c r="E897" s="11">
        <v>1</v>
      </c>
      <c r="F897" s="11">
        <v>2</v>
      </c>
      <c r="G897" s="86">
        <v>1</v>
      </c>
      <c r="H897" s="86">
        <v>0</v>
      </c>
      <c r="I897" s="11">
        <f>SUM(CEDRITOS!$B897:$H897)</f>
        <v>5</v>
      </c>
      <c r="J897" s="60">
        <f t="shared" si="416"/>
        <v>0.7142857142857143</v>
      </c>
    </row>
    <row r="898" spans="1:10" x14ac:dyDescent="0.25">
      <c r="A898" s="213" t="s">
        <v>17</v>
      </c>
      <c r="B898" s="192">
        <f>SUM(B893:B897)</f>
        <v>89</v>
      </c>
      <c r="C898" s="192">
        <f t="shared" ref="C898:I898" si="417">SUM(C893:C897)</f>
        <v>118</v>
      </c>
      <c r="D898" s="192">
        <f t="shared" si="417"/>
        <v>118</v>
      </c>
      <c r="E898" s="192">
        <f t="shared" si="417"/>
        <v>135</v>
      </c>
      <c r="F898" s="192">
        <f t="shared" si="417"/>
        <v>290</v>
      </c>
      <c r="G898" s="192">
        <f t="shared" si="417"/>
        <v>353</v>
      </c>
      <c r="H898" s="192">
        <f t="shared" si="417"/>
        <v>337</v>
      </c>
      <c r="I898" s="192">
        <f t="shared" si="417"/>
        <v>1440</v>
      </c>
      <c r="J898" s="214">
        <f t="shared" si="416"/>
        <v>205.71428571428572</v>
      </c>
    </row>
    <row r="899" spans="1:10" x14ac:dyDescent="0.25">
      <c r="A899" s="212" t="s">
        <v>18</v>
      </c>
      <c r="B899" s="386">
        <v>0.62</v>
      </c>
      <c r="C899" s="387">
        <v>0.62</v>
      </c>
      <c r="D899" s="387">
        <v>0.6</v>
      </c>
      <c r="E899" s="387">
        <v>0.67</v>
      </c>
      <c r="F899" s="387">
        <v>0.63</v>
      </c>
      <c r="G899" s="387">
        <v>0.69</v>
      </c>
      <c r="H899" s="387">
        <v>0.68</v>
      </c>
      <c r="I899" s="30">
        <f>I906/I911</f>
        <v>0.65806001422037863</v>
      </c>
      <c r="J899" s="160">
        <f>J906/J911</f>
        <v>0.65806001422037874</v>
      </c>
    </row>
    <row r="900" spans="1:10" x14ac:dyDescent="0.25">
      <c r="A900" s="212" t="s">
        <v>19</v>
      </c>
      <c r="B900" s="386">
        <v>0.03</v>
      </c>
      <c r="C900" s="387">
        <v>0.04</v>
      </c>
      <c r="D900" s="387">
        <v>0.01</v>
      </c>
      <c r="E900" s="387">
        <v>0.01</v>
      </c>
      <c r="F900" s="387">
        <v>0.02</v>
      </c>
      <c r="G900" s="387">
        <v>0.02</v>
      </c>
      <c r="H900" s="387">
        <v>0.03</v>
      </c>
      <c r="I900" s="30">
        <f>I907/I911</f>
        <v>2.2762212342121058E-2</v>
      </c>
      <c r="J900" s="160">
        <f>J907/J911</f>
        <v>2.2762212342121058E-2</v>
      </c>
    </row>
    <row r="901" spans="1:10" x14ac:dyDescent="0.25">
      <c r="A901" s="212" t="s">
        <v>20</v>
      </c>
      <c r="B901" s="386">
        <v>0.26</v>
      </c>
      <c r="C901" s="387">
        <v>0.33</v>
      </c>
      <c r="D901" s="387">
        <v>0.33</v>
      </c>
      <c r="E901" s="387">
        <v>0.22</v>
      </c>
      <c r="F901" s="387">
        <v>0.2</v>
      </c>
      <c r="G901" s="387">
        <v>0.19</v>
      </c>
      <c r="H901" s="387">
        <v>0.17</v>
      </c>
      <c r="I901" s="30">
        <f>I908/I911</f>
        <v>0.21463721872272112</v>
      </c>
      <c r="J901" s="160">
        <f>J908/J911</f>
        <v>0.21463721872272115</v>
      </c>
    </row>
    <row r="902" spans="1:10" x14ac:dyDescent="0.25">
      <c r="A902" s="212" t="s">
        <v>21</v>
      </c>
      <c r="B902" s="386">
        <v>0.09</v>
      </c>
      <c r="C902" s="387">
        <v>0.01</v>
      </c>
      <c r="D902" s="387">
        <v>0.05</v>
      </c>
      <c r="E902" s="387">
        <v>0.09</v>
      </c>
      <c r="F902" s="387">
        <v>0.14000000000000001</v>
      </c>
      <c r="G902" s="387">
        <v>0.1</v>
      </c>
      <c r="H902" s="387">
        <v>0.12</v>
      </c>
      <c r="I902" s="30">
        <f>I909/I911</f>
        <v>0.1009015961341882</v>
      </c>
      <c r="J902" s="160">
        <f>J909/J911</f>
        <v>0.1009015961341882</v>
      </c>
    </row>
    <row r="903" spans="1:10" x14ac:dyDescent="0.25">
      <c r="A903" s="212" t="s">
        <v>22</v>
      </c>
      <c r="B903" s="386">
        <v>0</v>
      </c>
      <c r="C903" s="387">
        <v>0</v>
      </c>
      <c r="D903" s="387">
        <v>0.01</v>
      </c>
      <c r="E903" s="387">
        <v>0.01</v>
      </c>
      <c r="F903" s="387">
        <v>0.01</v>
      </c>
      <c r="G903" s="387">
        <v>0</v>
      </c>
      <c r="H903" s="387">
        <v>0</v>
      </c>
      <c r="I903" s="30">
        <f>I910/I911</f>
        <v>3.6389585805910426E-3</v>
      </c>
      <c r="J903" s="160">
        <f>J910/J911</f>
        <v>3.638958580591043E-3</v>
      </c>
    </row>
    <row r="904" spans="1:10" x14ac:dyDescent="0.25">
      <c r="A904" s="215" t="s">
        <v>23</v>
      </c>
      <c r="B904" s="66">
        <f t="shared" ref="B904:J904" si="418">B915/B898</f>
        <v>35676.404494382019</v>
      </c>
      <c r="C904" s="66">
        <f t="shared" si="418"/>
        <v>32577.966101694918</v>
      </c>
      <c r="D904" s="66">
        <f t="shared" si="418"/>
        <v>32819.491525423728</v>
      </c>
      <c r="E904" s="66">
        <f t="shared" si="418"/>
        <v>36919.259259259263</v>
      </c>
      <c r="F904" s="66">
        <f t="shared" si="418"/>
        <v>35883.103448275862</v>
      </c>
      <c r="G904" s="66">
        <f t="shared" si="418"/>
        <v>39736.543909348438</v>
      </c>
      <c r="H904" s="66">
        <f t="shared" si="418"/>
        <v>37379.525222551936</v>
      </c>
      <c r="I904" s="66">
        <f t="shared" si="418"/>
        <v>36740.416666666664</v>
      </c>
      <c r="J904" s="67">
        <f t="shared" si="418"/>
        <v>36740.416666666664</v>
      </c>
    </row>
    <row r="905" spans="1:10" x14ac:dyDescent="0.25">
      <c r="A905" s="215" t="s">
        <v>24</v>
      </c>
      <c r="B905" s="66">
        <f t="shared" ref="B905:I905" si="419">+B915/B892</f>
        <v>27372.413793103449</v>
      </c>
      <c r="C905" s="66">
        <f t="shared" si="419"/>
        <v>28059.854014598543</v>
      </c>
      <c r="D905" s="66">
        <f t="shared" si="419"/>
        <v>27272.535211267605</v>
      </c>
      <c r="E905" s="66">
        <f t="shared" si="419"/>
        <v>28977.325581395347</v>
      </c>
      <c r="F905" s="66">
        <f t="shared" si="419"/>
        <v>28124.594594594593</v>
      </c>
      <c r="G905" s="66">
        <f t="shared" si="419"/>
        <v>30230.603448275862</v>
      </c>
      <c r="H905" s="66">
        <f t="shared" si="419"/>
        <v>28825.858123569797</v>
      </c>
      <c r="I905" s="66">
        <f t="shared" si="419"/>
        <v>28784.657236126222</v>
      </c>
      <c r="J905" s="67">
        <f>J915/J892</f>
        <v>28784.657236126226</v>
      </c>
    </row>
    <row r="906" spans="1:10" x14ac:dyDescent="0.25">
      <c r="A906" s="212" t="s">
        <v>25</v>
      </c>
      <c r="B906" s="92">
        <f t="shared" ref="B906:H906" si="420">B911*B899</f>
        <v>1628948.5551724138</v>
      </c>
      <c r="C906" s="92">
        <f t="shared" si="420"/>
        <v>1965139.9206896555</v>
      </c>
      <c r="D906" s="92">
        <f t="shared" si="420"/>
        <v>1916489.6896551724</v>
      </c>
      <c r="E906" s="92">
        <f t="shared" si="420"/>
        <v>2750244.7637931039</v>
      </c>
      <c r="F906" s="92">
        <f t="shared" si="420"/>
        <v>5414000.043103449</v>
      </c>
      <c r="G906" s="31">
        <f t="shared" si="420"/>
        <v>7995700.2517241379</v>
      </c>
      <c r="H906" s="31">
        <f t="shared" si="420"/>
        <v>7069328.6551724151</v>
      </c>
      <c r="I906" s="31">
        <f>SUM(B906:H906)</f>
        <v>28739851.879310347</v>
      </c>
      <c r="J906" s="32">
        <f t="shared" ref="J906:J915" si="421">I906/7</f>
        <v>4105693.1256157639</v>
      </c>
    </row>
    <row r="907" spans="1:10" x14ac:dyDescent="0.25">
      <c r="A907" s="212" t="s">
        <v>26</v>
      </c>
      <c r="B907" s="92">
        <f t="shared" ref="B907:H907" si="422">B911*B900</f>
        <v>78820.091379310339</v>
      </c>
      <c r="C907" s="92">
        <f t="shared" si="422"/>
        <v>126783.22068965519</v>
      </c>
      <c r="D907" s="92">
        <f t="shared" si="422"/>
        <v>31941.494827586208</v>
      </c>
      <c r="E907" s="92">
        <f t="shared" si="422"/>
        <v>41048.429310344829</v>
      </c>
      <c r="F907" s="92">
        <f t="shared" si="422"/>
        <v>171873.01724137933</v>
      </c>
      <c r="G907" s="31">
        <f t="shared" si="422"/>
        <v>231759.4275862069</v>
      </c>
      <c r="H907" s="31">
        <f t="shared" si="422"/>
        <v>311882.14655172417</v>
      </c>
      <c r="I907" s="31">
        <f>SUM(B907:H907)</f>
        <v>994107.82758620696</v>
      </c>
      <c r="J907" s="32">
        <f t="shared" si="421"/>
        <v>142015.4039408867</v>
      </c>
    </row>
    <row r="908" spans="1:10" x14ac:dyDescent="0.25">
      <c r="A908" s="212" t="s">
        <v>27</v>
      </c>
      <c r="B908" s="92">
        <f t="shared" ref="B908:H908" si="423">B911*B901</f>
        <v>683107.45862068969</v>
      </c>
      <c r="C908" s="92">
        <f t="shared" si="423"/>
        <v>1045961.5706896554</v>
      </c>
      <c r="D908" s="92">
        <f t="shared" si="423"/>
        <v>1054069.329310345</v>
      </c>
      <c r="E908" s="92">
        <f t="shared" si="423"/>
        <v>903065.4448275863</v>
      </c>
      <c r="F908" s="92">
        <f t="shared" si="423"/>
        <v>1718730.1724137934</v>
      </c>
      <c r="G908" s="31">
        <f t="shared" si="423"/>
        <v>2201714.5620689658</v>
      </c>
      <c r="H908" s="31">
        <f t="shared" si="423"/>
        <v>1767332.1637931038</v>
      </c>
      <c r="I908" s="31">
        <f>SUM(B908:H908)</f>
        <v>9373980.70172414</v>
      </c>
      <c r="J908" s="32">
        <f t="shared" si="421"/>
        <v>1339140.1002463058</v>
      </c>
    </row>
    <row r="909" spans="1:10" x14ac:dyDescent="0.25">
      <c r="A909" s="212" t="s">
        <v>28</v>
      </c>
      <c r="B909" s="92">
        <f t="shared" ref="B909:H909" si="424">B911*B902</f>
        <v>236460.27413793103</v>
      </c>
      <c r="C909" s="92">
        <f t="shared" si="424"/>
        <v>31695.805172413799</v>
      </c>
      <c r="D909" s="92">
        <f t="shared" si="424"/>
        <v>159707.47413793104</v>
      </c>
      <c r="E909" s="92">
        <f t="shared" si="424"/>
        <v>369435.86379310343</v>
      </c>
      <c r="F909" s="92">
        <f t="shared" si="424"/>
        <v>1203111.1206896554</v>
      </c>
      <c r="G909" s="31">
        <f t="shared" si="424"/>
        <v>1158797.1379310347</v>
      </c>
      <c r="H909" s="31">
        <f t="shared" si="424"/>
        <v>1247528.5862068967</v>
      </c>
      <c r="I909" s="31">
        <f>SUM(B909:H909)</f>
        <v>4406736.2620689664</v>
      </c>
      <c r="J909" s="32">
        <f t="shared" si="421"/>
        <v>629533.75172413804</v>
      </c>
    </row>
    <row r="910" spans="1:10" x14ac:dyDescent="0.25">
      <c r="A910" s="212" t="s">
        <v>29</v>
      </c>
      <c r="B910" s="92">
        <f t="shared" ref="B910:H910" si="425">B911*B903</f>
        <v>0</v>
      </c>
      <c r="C910" s="92">
        <f t="shared" si="425"/>
        <v>0</v>
      </c>
      <c r="D910" s="92">
        <f t="shared" si="425"/>
        <v>31941.494827586208</v>
      </c>
      <c r="E910" s="92">
        <f t="shared" si="425"/>
        <v>41048.429310344829</v>
      </c>
      <c r="F910" s="92">
        <f t="shared" si="425"/>
        <v>85936.508620689667</v>
      </c>
      <c r="G910" s="31">
        <f t="shared" si="425"/>
        <v>0</v>
      </c>
      <c r="H910" s="31">
        <f t="shared" si="425"/>
        <v>0</v>
      </c>
      <c r="I910" s="31">
        <f>SUM(B910:H910)</f>
        <v>158926.43275862071</v>
      </c>
      <c r="J910" s="32">
        <f t="shared" si="421"/>
        <v>22703.776108374386</v>
      </c>
    </row>
    <row r="911" spans="1:10" x14ac:dyDescent="0.25">
      <c r="A911" s="216" t="s">
        <v>30</v>
      </c>
      <c r="B911" s="222">
        <f>(3175200/1.16)-B912</f>
        <v>2627336.3793103448</v>
      </c>
      <c r="C911" s="222">
        <f>(3844200/1.16)-C912</f>
        <v>3169580.5172413797</v>
      </c>
      <c r="D911" s="222">
        <f>(3872700/1.16)-D912</f>
        <v>3194149.4827586208</v>
      </c>
      <c r="E911" s="222">
        <f>(4984100/1.16)-E912</f>
        <v>4104842.931034483</v>
      </c>
      <c r="F911" s="222">
        <f>(10406100/1.16)-F912</f>
        <v>8593650.862068966</v>
      </c>
      <c r="G911" s="222">
        <f>(14027000/1.16)-G912</f>
        <v>11587971.379310345</v>
      </c>
      <c r="H911" s="222">
        <f>(12596900/1.16)-H912</f>
        <v>10396071.55172414</v>
      </c>
      <c r="I911" s="197">
        <f>SUM(I906:I910)</f>
        <v>43673603.103448279</v>
      </c>
      <c r="J911" s="217">
        <f t="shared" si="421"/>
        <v>6239086.1576354681</v>
      </c>
    </row>
    <row r="912" spans="1:10" x14ac:dyDescent="0.25">
      <c r="A912" s="212" t="s">
        <v>31</v>
      </c>
      <c r="B912" s="92">
        <f t="shared" ref="B912:I912" si="426">2155*B893</f>
        <v>109905</v>
      </c>
      <c r="C912" s="92">
        <f t="shared" si="426"/>
        <v>144385</v>
      </c>
      <c r="D912" s="92">
        <f t="shared" si="426"/>
        <v>144385</v>
      </c>
      <c r="E912" s="92">
        <f t="shared" si="426"/>
        <v>191795</v>
      </c>
      <c r="F912" s="92">
        <f t="shared" si="426"/>
        <v>377125</v>
      </c>
      <c r="G912" s="31">
        <f t="shared" si="426"/>
        <v>504270</v>
      </c>
      <c r="H912" s="31">
        <f t="shared" si="426"/>
        <v>463325</v>
      </c>
      <c r="I912" s="31">
        <f t="shared" si="426"/>
        <v>1935190</v>
      </c>
      <c r="J912" s="32">
        <f t="shared" si="421"/>
        <v>276455.71428571426</v>
      </c>
    </row>
    <row r="913" spans="1:10" x14ac:dyDescent="0.25">
      <c r="A913" s="218" t="s">
        <v>32</v>
      </c>
      <c r="B913" s="199">
        <f>B912+B911</f>
        <v>2737241.3793103448</v>
      </c>
      <c r="C913" s="199">
        <f>C912+C911</f>
        <v>3313965.5172413797</v>
      </c>
      <c r="D913" s="199">
        <f>D912+D911</f>
        <v>3338534.4827586208</v>
      </c>
      <c r="E913" s="199">
        <f>E912+E911</f>
        <v>4296637.931034483</v>
      </c>
      <c r="F913" s="199">
        <f>F911+F912</f>
        <v>8970775.862068966</v>
      </c>
      <c r="G913" s="199">
        <f>G912+G911</f>
        <v>12092241.379310345</v>
      </c>
      <c r="H913" s="199">
        <f>H912+H911</f>
        <v>10859396.55172414</v>
      </c>
      <c r="I913" s="199">
        <f>I911+I912</f>
        <v>45608793.103448279</v>
      </c>
      <c r="J913" s="219">
        <f t="shared" si="421"/>
        <v>6515541.8719211826</v>
      </c>
    </row>
    <row r="914" spans="1:10" x14ac:dyDescent="0.25">
      <c r="A914" s="212" t="s">
        <v>33</v>
      </c>
      <c r="B914" s="94">
        <f>B913*16%</f>
        <v>437958.62068965519</v>
      </c>
      <c r="C914" s="94">
        <f t="shared" ref="C914:H914" si="427">C913*16%</f>
        <v>530234.48275862075</v>
      </c>
      <c r="D914" s="94">
        <f t="shared" si="427"/>
        <v>534165.51724137936</v>
      </c>
      <c r="E914" s="94">
        <f t="shared" si="427"/>
        <v>687462.06896551733</v>
      </c>
      <c r="F914" s="94">
        <f t="shared" si="427"/>
        <v>1435324.1379310347</v>
      </c>
      <c r="G914" s="94">
        <f t="shared" si="427"/>
        <v>1934758.6206896552</v>
      </c>
      <c r="H914" s="94">
        <f t="shared" si="427"/>
        <v>1737503.4482758623</v>
      </c>
      <c r="I914" s="94">
        <f>I913*16%</f>
        <v>7297406.8965517245</v>
      </c>
      <c r="J914" s="32">
        <f t="shared" si="421"/>
        <v>1042486.6995073892</v>
      </c>
    </row>
    <row r="915" spans="1:10" x14ac:dyDescent="0.25">
      <c r="A915" s="220" t="s">
        <v>34</v>
      </c>
      <c r="B915" s="202">
        <f>B913+B914</f>
        <v>3175200</v>
      </c>
      <c r="C915" s="202">
        <f t="shared" ref="C915:H915" si="428">C913+C914</f>
        <v>3844200.0000000005</v>
      </c>
      <c r="D915" s="202">
        <f t="shared" si="428"/>
        <v>3872700</v>
      </c>
      <c r="E915" s="202">
        <f t="shared" si="428"/>
        <v>4984100</v>
      </c>
      <c r="F915" s="202">
        <f t="shared" si="428"/>
        <v>10406100</v>
      </c>
      <c r="G915" s="202">
        <f t="shared" si="428"/>
        <v>14027000</v>
      </c>
      <c r="H915" s="202">
        <f t="shared" si="428"/>
        <v>12596900.000000002</v>
      </c>
      <c r="I915" s="202">
        <f>I913+I914</f>
        <v>52906200</v>
      </c>
      <c r="J915" s="221">
        <f t="shared" si="421"/>
        <v>7558028.5714285718</v>
      </c>
    </row>
    <row r="917" spans="1:10" ht="26.25" x14ac:dyDescent="0.25">
      <c r="B917" s="1007" t="s">
        <v>373</v>
      </c>
      <c r="C917" s="1007"/>
      <c r="D917" s="1007"/>
      <c r="E917" s="1007"/>
      <c r="F917" s="1007"/>
      <c r="G917" s="1007"/>
      <c r="H917" s="1007"/>
    </row>
    <row r="918" spans="1:10" ht="15.75" x14ac:dyDescent="0.25">
      <c r="A918" s="207" t="s">
        <v>2</v>
      </c>
      <c r="B918" s="121" t="s">
        <v>270</v>
      </c>
      <c r="C918" s="121" t="s">
        <v>116</v>
      </c>
      <c r="D918" s="121" t="s">
        <v>117</v>
      </c>
      <c r="E918" s="121" t="s">
        <v>118</v>
      </c>
      <c r="F918" s="121" t="s">
        <v>119</v>
      </c>
      <c r="G918" s="121" t="s">
        <v>120</v>
      </c>
      <c r="H918" s="121" t="s">
        <v>121</v>
      </c>
      <c r="I918" s="121" t="s">
        <v>96</v>
      </c>
      <c r="J918" s="209" t="s">
        <v>97</v>
      </c>
    </row>
    <row r="919" spans="1:10" x14ac:dyDescent="0.25">
      <c r="A919" s="332" t="s">
        <v>11</v>
      </c>
      <c r="B919" s="75">
        <v>166</v>
      </c>
      <c r="C919" s="75">
        <v>211</v>
      </c>
      <c r="D919" s="75">
        <v>250</v>
      </c>
      <c r="E919" s="316">
        <v>263</v>
      </c>
      <c r="F919" s="316">
        <v>284</v>
      </c>
      <c r="G919" s="316">
        <v>345</v>
      </c>
      <c r="H919" s="316">
        <v>395</v>
      </c>
      <c r="I919" s="316">
        <f>SUM(B919:H919)</f>
        <v>1914</v>
      </c>
      <c r="J919" s="382">
        <f>+I919/7</f>
        <v>273.42857142857144</v>
      </c>
    </row>
    <row r="920" spans="1:10" x14ac:dyDescent="0.25">
      <c r="A920" s="212" t="s">
        <v>12</v>
      </c>
      <c r="B920" s="11">
        <v>75</v>
      </c>
      <c r="C920" s="11">
        <v>85</v>
      </c>
      <c r="D920" s="11">
        <v>118</v>
      </c>
      <c r="E920" s="11">
        <v>121</v>
      </c>
      <c r="F920" s="11">
        <v>128</v>
      </c>
      <c r="G920" s="11">
        <v>168</v>
      </c>
      <c r="H920" s="11">
        <v>192</v>
      </c>
      <c r="I920" s="11">
        <f>SUM(CEDRITOS!$B920:$H920)</f>
        <v>887</v>
      </c>
      <c r="J920" s="60">
        <f t="shared" ref="J920:J925" si="429">I920/7</f>
        <v>126.71428571428571</v>
      </c>
    </row>
    <row r="921" spans="1:10" x14ac:dyDescent="0.25">
      <c r="A921" s="212" t="s">
        <v>13</v>
      </c>
      <c r="B921" s="11">
        <v>3</v>
      </c>
      <c r="C921" s="11">
        <v>4</v>
      </c>
      <c r="D921" s="11">
        <v>9</v>
      </c>
      <c r="E921" s="11">
        <v>7</v>
      </c>
      <c r="F921" s="11">
        <v>5</v>
      </c>
      <c r="G921" s="11">
        <v>10</v>
      </c>
      <c r="H921" s="11">
        <v>9</v>
      </c>
      <c r="I921" s="11">
        <f>SUM(CEDRITOS!$B921:$H921)</f>
        <v>47</v>
      </c>
      <c r="J921" s="60">
        <f t="shared" si="429"/>
        <v>6.7142857142857144</v>
      </c>
    </row>
    <row r="922" spans="1:10" x14ac:dyDescent="0.25">
      <c r="A922" s="212" t="s">
        <v>14</v>
      </c>
      <c r="B922" s="11">
        <v>53</v>
      </c>
      <c r="C922" s="11">
        <v>58</v>
      </c>
      <c r="D922" s="11">
        <v>54</v>
      </c>
      <c r="E922" s="11">
        <v>61</v>
      </c>
      <c r="F922" s="11">
        <v>65</v>
      </c>
      <c r="G922" s="11">
        <v>68</v>
      </c>
      <c r="H922" s="11">
        <v>77</v>
      </c>
      <c r="I922" s="11">
        <f>SUM(CEDRITOS!$B922:$H922)</f>
        <v>436</v>
      </c>
      <c r="J922" s="60">
        <f t="shared" si="429"/>
        <v>62.285714285714285</v>
      </c>
    </row>
    <row r="923" spans="1:10" x14ac:dyDescent="0.25">
      <c r="A923" s="212" t="s">
        <v>15</v>
      </c>
      <c r="B923" s="11">
        <v>1</v>
      </c>
      <c r="C923" s="11">
        <v>10</v>
      </c>
      <c r="D923" s="11">
        <v>30</v>
      </c>
      <c r="E923" s="11">
        <v>20</v>
      </c>
      <c r="F923" s="11">
        <v>27</v>
      </c>
      <c r="G923" s="11">
        <v>32</v>
      </c>
      <c r="H923" s="11">
        <v>22</v>
      </c>
      <c r="I923" s="11">
        <f>SUM(CEDRITOS!$B923:$H923)</f>
        <v>142</v>
      </c>
      <c r="J923" s="60">
        <f t="shared" si="429"/>
        <v>20.285714285714285</v>
      </c>
    </row>
    <row r="924" spans="1:10" x14ac:dyDescent="0.25">
      <c r="A924" s="212" t="s">
        <v>16</v>
      </c>
      <c r="B924" s="11">
        <v>0</v>
      </c>
      <c r="C924" s="11">
        <v>0</v>
      </c>
      <c r="D924" s="11">
        <v>1</v>
      </c>
      <c r="E924" s="11">
        <v>2</v>
      </c>
      <c r="F924" s="11">
        <v>3</v>
      </c>
      <c r="G924" s="86">
        <v>1</v>
      </c>
      <c r="H924" s="86">
        <v>1</v>
      </c>
      <c r="I924" s="11">
        <f>SUM(CEDRITOS!$B924:$H924)</f>
        <v>8</v>
      </c>
      <c r="J924" s="60">
        <f t="shared" si="429"/>
        <v>1.1428571428571428</v>
      </c>
    </row>
    <row r="925" spans="1:10" x14ac:dyDescent="0.25">
      <c r="A925" s="213" t="s">
        <v>17</v>
      </c>
      <c r="B925" s="192">
        <f>SUM(B920:B924)</f>
        <v>132</v>
      </c>
      <c r="C925" s="192">
        <f t="shared" ref="C925:I925" si="430">SUM(C920:C924)</f>
        <v>157</v>
      </c>
      <c r="D925" s="192">
        <f t="shared" si="430"/>
        <v>212</v>
      </c>
      <c r="E925" s="192">
        <f t="shared" si="430"/>
        <v>211</v>
      </c>
      <c r="F925" s="192">
        <f t="shared" si="430"/>
        <v>228</v>
      </c>
      <c r="G925" s="192">
        <f t="shared" si="430"/>
        <v>279</v>
      </c>
      <c r="H925" s="192">
        <f t="shared" si="430"/>
        <v>301</v>
      </c>
      <c r="I925" s="192">
        <f t="shared" si="430"/>
        <v>1520</v>
      </c>
      <c r="J925" s="214">
        <f t="shared" si="429"/>
        <v>217.14285714285714</v>
      </c>
    </row>
    <row r="926" spans="1:10" x14ac:dyDescent="0.25">
      <c r="A926" s="212" t="s">
        <v>18</v>
      </c>
      <c r="B926" s="386">
        <v>0.62</v>
      </c>
      <c r="C926" s="387">
        <v>0.61</v>
      </c>
      <c r="D926" s="387">
        <v>0.62</v>
      </c>
      <c r="E926" s="387">
        <v>0.61</v>
      </c>
      <c r="F926" s="387">
        <v>0.64</v>
      </c>
      <c r="G926" s="387">
        <v>0.66</v>
      </c>
      <c r="H926" s="387">
        <v>0.68</v>
      </c>
      <c r="I926" s="30">
        <f>I933/I938</f>
        <v>0.63974961365268679</v>
      </c>
      <c r="J926" s="160">
        <f>J933/J938</f>
        <v>0.6397496136526869</v>
      </c>
    </row>
    <row r="927" spans="1:10" x14ac:dyDescent="0.25">
      <c r="A927" s="212" t="s">
        <v>19</v>
      </c>
      <c r="B927" s="386">
        <v>0.03</v>
      </c>
      <c r="C927" s="387">
        <v>0.04</v>
      </c>
      <c r="D927" s="387">
        <v>0.03</v>
      </c>
      <c r="E927" s="387">
        <v>0.04</v>
      </c>
      <c r="F927" s="387">
        <v>0.01</v>
      </c>
      <c r="G927" s="387">
        <v>0.03</v>
      </c>
      <c r="H927" s="387">
        <v>0.03</v>
      </c>
      <c r="I927" s="30">
        <f>I934/I938</f>
        <v>2.9664798024762087E-2</v>
      </c>
      <c r="J927" s="160">
        <f>J934/J938</f>
        <v>2.9664798024762091E-2</v>
      </c>
    </row>
    <row r="928" spans="1:10" x14ac:dyDescent="0.25">
      <c r="A928" s="212" t="s">
        <v>20</v>
      </c>
      <c r="B928" s="386">
        <v>0.34</v>
      </c>
      <c r="C928" s="387">
        <v>0.28999999999999998</v>
      </c>
      <c r="D928" s="387">
        <v>0.21</v>
      </c>
      <c r="E928" s="387">
        <v>0.26</v>
      </c>
      <c r="F928" s="387">
        <v>0.24</v>
      </c>
      <c r="G928" s="387">
        <v>0.2</v>
      </c>
      <c r="H928" s="387">
        <v>0.22</v>
      </c>
      <c r="I928" s="30">
        <f>I935/I938</f>
        <v>0.24111912700020621</v>
      </c>
      <c r="J928" s="160">
        <f>J935/J938</f>
        <v>0.24111912700020621</v>
      </c>
    </row>
    <row r="929" spans="1:10" x14ac:dyDescent="0.25">
      <c r="A929" s="212" t="s">
        <v>21</v>
      </c>
      <c r="B929" s="386">
        <v>0.01</v>
      </c>
      <c r="C929" s="387">
        <v>0.06</v>
      </c>
      <c r="D929" s="387">
        <v>0.13</v>
      </c>
      <c r="E929" s="387">
        <v>0.08</v>
      </c>
      <c r="F929" s="387">
        <v>0.09</v>
      </c>
      <c r="G929" s="387">
        <v>0.11</v>
      </c>
      <c r="H929" s="387">
        <v>7.0000000000000007E-2</v>
      </c>
      <c r="I929" s="30">
        <f>I936/I938</f>
        <v>8.3814313455732994E-2</v>
      </c>
      <c r="J929" s="160">
        <f>J936/J938</f>
        <v>8.3814313455733008E-2</v>
      </c>
    </row>
    <row r="930" spans="1:10" x14ac:dyDescent="0.25">
      <c r="A930" s="212" t="s">
        <v>22</v>
      </c>
      <c r="B930" s="386">
        <v>0</v>
      </c>
      <c r="C930" s="387">
        <v>0</v>
      </c>
      <c r="D930" s="387">
        <v>0.01</v>
      </c>
      <c r="E930" s="387">
        <v>0.01</v>
      </c>
      <c r="F930" s="387">
        <v>0.02</v>
      </c>
      <c r="G930" s="387">
        <v>0</v>
      </c>
      <c r="H930" s="387">
        <v>0</v>
      </c>
      <c r="I930" s="30">
        <f>I937/I938</f>
        <v>5.6521478666119477E-3</v>
      </c>
      <c r="J930" s="160">
        <f>J937/J938</f>
        <v>5.6521478666119486E-3</v>
      </c>
    </row>
    <row r="931" spans="1:10" x14ac:dyDescent="0.25">
      <c r="A931" s="215" t="s">
        <v>23</v>
      </c>
      <c r="B931" s="66">
        <f t="shared" ref="B931:J931" si="431">B942/B925</f>
        <v>34406.818181818191</v>
      </c>
      <c r="C931" s="66">
        <f t="shared" si="431"/>
        <v>37546.496815286628</v>
      </c>
      <c r="D931" s="66">
        <f t="shared" si="431"/>
        <v>35119.811320754721</v>
      </c>
      <c r="E931" s="66">
        <f t="shared" si="431"/>
        <v>36836.492890995265</v>
      </c>
      <c r="F931" s="66">
        <f t="shared" si="431"/>
        <v>34085.964912280702</v>
      </c>
      <c r="G931" s="66">
        <f t="shared" si="431"/>
        <v>36173.835125448029</v>
      </c>
      <c r="H931" s="66">
        <f t="shared" si="431"/>
        <v>36323.255813953496</v>
      </c>
      <c r="I931" s="66">
        <f t="shared" si="431"/>
        <v>35823.552631578954</v>
      </c>
      <c r="J931" s="67">
        <f t="shared" si="431"/>
        <v>35823.552631578954</v>
      </c>
    </row>
    <row r="932" spans="1:10" x14ac:dyDescent="0.25">
      <c r="A932" s="215" t="s">
        <v>24</v>
      </c>
      <c r="B932" s="66">
        <f t="shared" ref="B932:I932" si="432">+B942/B919</f>
        <v>27359.638554216872</v>
      </c>
      <c r="C932" s="66">
        <f t="shared" si="432"/>
        <v>27937.44075829384</v>
      </c>
      <c r="D932" s="66">
        <f t="shared" si="432"/>
        <v>29781.600000000002</v>
      </c>
      <c r="E932" s="66">
        <f t="shared" si="432"/>
        <v>29553.231939163503</v>
      </c>
      <c r="F932" s="66">
        <f t="shared" si="432"/>
        <v>27364.788732394365</v>
      </c>
      <c r="G932" s="66">
        <f t="shared" si="432"/>
        <v>29253.623188405796</v>
      </c>
      <c r="H932" s="66">
        <f t="shared" si="432"/>
        <v>27679.240506329119</v>
      </c>
      <c r="I932" s="66">
        <f t="shared" si="432"/>
        <v>28449.216300940443</v>
      </c>
      <c r="J932" s="67">
        <f>J942/J919</f>
        <v>28449.216300940443</v>
      </c>
    </row>
    <row r="933" spans="1:10" x14ac:dyDescent="0.25">
      <c r="A933" s="212" t="s">
        <v>25</v>
      </c>
      <c r="B933" s="92">
        <f t="shared" ref="B933:H933" si="433">B938*B926</f>
        <v>2327252.8448275863</v>
      </c>
      <c r="C933" s="92">
        <f t="shared" si="433"/>
        <v>2988114.9741379311</v>
      </c>
      <c r="D933" s="92">
        <f t="shared" si="433"/>
        <v>3821778.1310344832</v>
      </c>
      <c r="E933" s="92">
        <f t="shared" si="433"/>
        <v>3928202.3810344832</v>
      </c>
      <c r="F933" s="92">
        <f t="shared" si="433"/>
        <v>4111241.7103448277</v>
      </c>
      <c r="G933" s="31">
        <f t="shared" si="433"/>
        <v>5503338.0827586213</v>
      </c>
      <c r="H933" s="31">
        <f t="shared" si="433"/>
        <v>6127819.0620689671</v>
      </c>
      <c r="I933" s="31">
        <f>SUM(B933:H933)</f>
        <v>28807747.1862069</v>
      </c>
      <c r="J933" s="32">
        <f t="shared" ref="J933:J942" si="434">I933/7</f>
        <v>4115392.4551724144</v>
      </c>
    </row>
    <row r="934" spans="1:10" x14ac:dyDescent="0.25">
      <c r="A934" s="212" t="s">
        <v>26</v>
      </c>
      <c r="B934" s="92">
        <f t="shared" ref="B934:H934" si="435">B938*B927</f>
        <v>112609.00862068967</v>
      </c>
      <c r="C934" s="92">
        <f t="shared" si="435"/>
        <v>195941.96551724139</v>
      </c>
      <c r="D934" s="92">
        <f t="shared" si="435"/>
        <v>184924.74827586208</v>
      </c>
      <c r="E934" s="92">
        <f t="shared" si="435"/>
        <v>257587.04137931039</v>
      </c>
      <c r="F934" s="92">
        <f t="shared" si="435"/>
        <v>64238.151724137933</v>
      </c>
      <c r="G934" s="31">
        <f t="shared" si="435"/>
        <v>250151.73103448274</v>
      </c>
      <c r="H934" s="31">
        <f t="shared" si="435"/>
        <v>270344.95862068969</v>
      </c>
      <c r="I934" s="31">
        <f>SUM(B934:H934)</f>
        <v>1335797.6051724139</v>
      </c>
      <c r="J934" s="32">
        <f t="shared" si="434"/>
        <v>190828.22931034485</v>
      </c>
    </row>
    <row r="935" spans="1:10" x14ac:dyDescent="0.25">
      <c r="A935" s="212" t="s">
        <v>27</v>
      </c>
      <c r="B935" s="92">
        <f t="shared" ref="B935:H935" si="436">B938*B928</f>
        <v>1276235.431034483</v>
      </c>
      <c r="C935" s="92">
        <f t="shared" si="436"/>
        <v>1420579.25</v>
      </c>
      <c r="D935" s="92">
        <f t="shared" si="436"/>
        <v>1294473.2379310345</v>
      </c>
      <c r="E935" s="92">
        <f t="shared" si="436"/>
        <v>1674315.7689655174</v>
      </c>
      <c r="F935" s="92">
        <f t="shared" si="436"/>
        <v>1541715.6413793103</v>
      </c>
      <c r="G935" s="31">
        <f t="shared" si="436"/>
        <v>1667678.2068965519</v>
      </c>
      <c r="H935" s="31">
        <f t="shared" si="436"/>
        <v>1982529.6965517246</v>
      </c>
      <c r="I935" s="31">
        <f>SUM(B935:H935)</f>
        <v>10857527.232758623</v>
      </c>
      <c r="J935" s="32">
        <f t="shared" si="434"/>
        <v>1551075.3189655175</v>
      </c>
    </row>
    <row r="936" spans="1:10" x14ac:dyDescent="0.25">
      <c r="A936" s="212" t="s">
        <v>28</v>
      </c>
      <c r="B936" s="92">
        <f t="shared" ref="B936:H936" si="437">B938*B929</f>
        <v>37536.336206896558</v>
      </c>
      <c r="C936" s="92">
        <f t="shared" si="437"/>
        <v>293912.94827586209</v>
      </c>
      <c r="D936" s="92">
        <f t="shared" si="437"/>
        <v>801340.57586206915</v>
      </c>
      <c r="E936" s="92">
        <f t="shared" si="437"/>
        <v>515174.08275862079</v>
      </c>
      <c r="F936" s="92">
        <f t="shared" si="437"/>
        <v>578143.36551724141</v>
      </c>
      <c r="G936" s="31">
        <f t="shared" si="437"/>
        <v>917223.0137931034</v>
      </c>
      <c r="H936" s="31">
        <f t="shared" si="437"/>
        <v>630804.90344827599</v>
      </c>
      <c r="I936" s="31">
        <f>SUM(B936:H936)</f>
        <v>3774135.22586207</v>
      </c>
      <c r="J936" s="32">
        <f t="shared" si="434"/>
        <v>539162.17512315291</v>
      </c>
    </row>
    <row r="937" spans="1:10" x14ac:dyDescent="0.25">
      <c r="A937" s="212" t="s">
        <v>29</v>
      </c>
      <c r="B937" s="92">
        <f t="shared" ref="B937:H937" si="438">B938*B930</f>
        <v>0</v>
      </c>
      <c r="C937" s="92">
        <f t="shared" si="438"/>
        <v>0</v>
      </c>
      <c r="D937" s="92">
        <f t="shared" si="438"/>
        <v>61641.582758620701</v>
      </c>
      <c r="E937" s="92">
        <f t="shared" si="438"/>
        <v>64396.760344827599</v>
      </c>
      <c r="F937" s="92">
        <f t="shared" si="438"/>
        <v>128476.30344827587</v>
      </c>
      <c r="G937" s="31">
        <f t="shared" si="438"/>
        <v>0</v>
      </c>
      <c r="H937" s="31">
        <f t="shared" si="438"/>
        <v>0</v>
      </c>
      <c r="I937" s="31">
        <f>SUM(B937:H937)</f>
        <v>254514.64655172417</v>
      </c>
      <c r="J937" s="32">
        <f t="shared" si="434"/>
        <v>36359.235221674884</v>
      </c>
    </row>
    <row r="938" spans="1:10" x14ac:dyDescent="0.25">
      <c r="A938" s="216" t="s">
        <v>30</v>
      </c>
      <c r="B938" s="222">
        <f>(4541700/1.16)-B939</f>
        <v>3753633.6206896557</v>
      </c>
      <c r="C938" s="222">
        <f>(5894800/1.16)-C939</f>
        <v>4898549.1379310349</v>
      </c>
      <c r="D938" s="222">
        <f>(7445400/1.16)-D939</f>
        <v>6164158.2758620698</v>
      </c>
      <c r="E938" s="222">
        <f>(7772500/1.16)-E939</f>
        <v>6439676.0344827594</v>
      </c>
      <c r="F938" s="222">
        <f>(7771600/1.16)-F939</f>
        <v>6423815.1724137934</v>
      </c>
      <c r="G938" s="222">
        <f>(10092500/1.16)-G939</f>
        <v>8338391.0344827585</v>
      </c>
      <c r="H938" s="222">
        <f>(10933300/1.16)-H939</f>
        <v>9011498.6206896566</v>
      </c>
      <c r="I938" s="197">
        <f>SUM(I933:I937)</f>
        <v>45029721.896551728</v>
      </c>
      <c r="J938" s="217">
        <f t="shared" si="434"/>
        <v>6432817.4137931038</v>
      </c>
    </row>
    <row r="939" spans="1:10" x14ac:dyDescent="0.25">
      <c r="A939" s="212" t="s">
        <v>31</v>
      </c>
      <c r="B939" s="92">
        <f t="shared" ref="B939:I939" si="439">2155*B920</f>
        <v>161625</v>
      </c>
      <c r="C939" s="92">
        <f t="shared" si="439"/>
        <v>183175</v>
      </c>
      <c r="D939" s="92">
        <f t="shared" si="439"/>
        <v>254290</v>
      </c>
      <c r="E939" s="92">
        <f t="shared" si="439"/>
        <v>260755</v>
      </c>
      <c r="F939" s="92">
        <f t="shared" si="439"/>
        <v>275840</v>
      </c>
      <c r="G939" s="31">
        <f t="shared" si="439"/>
        <v>362040</v>
      </c>
      <c r="H939" s="31">
        <f t="shared" si="439"/>
        <v>413760</v>
      </c>
      <c r="I939" s="31">
        <f t="shared" si="439"/>
        <v>1911485</v>
      </c>
      <c r="J939" s="32">
        <f t="shared" si="434"/>
        <v>273069.28571428574</v>
      </c>
    </row>
    <row r="940" spans="1:10" x14ac:dyDescent="0.25">
      <c r="A940" s="218" t="s">
        <v>32</v>
      </c>
      <c r="B940" s="199">
        <f>B939+B938</f>
        <v>3915258.6206896557</v>
      </c>
      <c r="C940" s="199">
        <f>C939+C938</f>
        <v>5081724.1379310349</v>
      </c>
      <c r="D940" s="199">
        <f>D939+D938</f>
        <v>6418448.2758620698</v>
      </c>
      <c r="E940" s="199">
        <f>E939+E938</f>
        <v>6700431.0344827594</v>
      </c>
      <c r="F940" s="199">
        <f>F938+F939</f>
        <v>6699655.1724137934</v>
      </c>
      <c r="G940" s="199">
        <f>G939+G938</f>
        <v>8700431.0344827585</v>
      </c>
      <c r="H940" s="199">
        <f>H939+H938</f>
        <v>9425258.6206896566</v>
      </c>
      <c r="I940" s="199">
        <f>I938+I939</f>
        <v>46941206.896551728</v>
      </c>
      <c r="J940" s="219">
        <f t="shared" si="434"/>
        <v>6705886.6995073901</v>
      </c>
    </row>
    <row r="941" spans="1:10" x14ac:dyDescent="0.25">
      <c r="A941" s="212" t="s">
        <v>33</v>
      </c>
      <c r="B941" s="94">
        <f>B940*16%</f>
        <v>626441.37931034493</v>
      </c>
      <c r="C941" s="94">
        <f t="shared" ref="C941:H941" si="440">C940*16%</f>
        <v>813075.86206896557</v>
      </c>
      <c r="D941" s="94">
        <f t="shared" si="440"/>
        <v>1026951.7241379312</v>
      </c>
      <c r="E941" s="94">
        <f t="shared" si="440"/>
        <v>1072068.9655172415</v>
      </c>
      <c r="F941" s="94">
        <f t="shared" si="440"/>
        <v>1071944.8275862071</v>
      </c>
      <c r="G941" s="94">
        <f t="shared" si="440"/>
        <v>1392068.9655172413</v>
      </c>
      <c r="H941" s="94">
        <f t="shared" si="440"/>
        <v>1508041.379310345</v>
      </c>
      <c r="I941" s="94">
        <f>I940*16%</f>
        <v>7510593.1034482764</v>
      </c>
      <c r="J941" s="32">
        <f t="shared" si="434"/>
        <v>1072941.8719211824</v>
      </c>
    </row>
    <row r="942" spans="1:10" x14ac:dyDescent="0.25">
      <c r="A942" s="220" t="s">
        <v>34</v>
      </c>
      <c r="B942" s="202">
        <f>B940+B941</f>
        <v>4541700.0000000009</v>
      </c>
      <c r="C942" s="202">
        <f t="shared" ref="C942:H942" si="441">C940+C941</f>
        <v>5894800</v>
      </c>
      <c r="D942" s="202">
        <f t="shared" si="441"/>
        <v>7445400.0000000009</v>
      </c>
      <c r="E942" s="202">
        <f t="shared" si="441"/>
        <v>7772500.0000000009</v>
      </c>
      <c r="F942" s="202">
        <f t="shared" si="441"/>
        <v>7771600</v>
      </c>
      <c r="G942" s="202">
        <f t="shared" si="441"/>
        <v>10092500</v>
      </c>
      <c r="H942" s="202">
        <f t="shared" si="441"/>
        <v>10933300.000000002</v>
      </c>
      <c r="I942" s="202">
        <f>I940+I941</f>
        <v>54451800.000000007</v>
      </c>
      <c r="J942" s="221">
        <f t="shared" si="434"/>
        <v>7778828.5714285728</v>
      </c>
    </row>
    <row r="944" spans="1:10" ht="26.25" x14ac:dyDescent="0.25">
      <c r="B944" s="1007" t="s">
        <v>374</v>
      </c>
      <c r="C944" s="1007"/>
      <c r="D944" s="1007"/>
      <c r="E944" s="1007"/>
      <c r="F944" s="1007"/>
      <c r="G944" s="1007"/>
      <c r="H944" s="1007"/>
    </row>
    <row r="945" spans="1:10" ht="15.75" x14ac:dyDescent="0.25">
      <c r="A945" s="207" t="s">
        <v>2</v>
      </c>
      <c r="B945" s="121" t="s">
        <v>123</v>
      </c>
      <c r="C945" s="121" t="s">
        <v>124</v>
      </c>
      <c r="D945" s="121" t="s">
        <v>125</v>
      </c>
      <c r="E945" s="121" t="s">
        <v>126</v>
      </c>
      <c r="F945" s="121" t="s">
        <v>127</v>
      </c>
      <c r="G945" s="121" t="s">
        <v>128</v>
      </c>
      <c r="H945" s="121" t="s">
        <v>272</v>
      </c>
      <c r="I945" s="121" t="s">
        <v>96</v>
      </c>
      <c r="J945" s="209" t="s">
        <v>97</v>
      </c>
    </row>
    <row r="946" spans="1:10" x14ac:dyDescent="0.25">
      <c r="A946" s="332" t="s">
        <v>11</v>
      </c>
      <c r="B946" s="75">
        <v>113</v>
      </c>
      <c r="C946" s="75">
        <v>95</v>
      </c>
      <c r="D946" s="75">
        <v>125</v>
      </c>
      <c r="E946" s="316">
        <v>136</v>
      </c>
      <c r="F946" s="316">
        <v>369</v>
      </c>
      <c r="G946" s="316">
        <v>472</v>
      </c>
      <c r="H946" s="316">
        <v>433</v>
      </c>
      <c r="I946" s="316">
        <f>SUM(B946:H946)</f>
        <v>1743</v>
      </c>
      <c r="J946" s="382">
        <f>+I946/7</f>
        <v>249</v>
      </c>
    </row>
    <row r="947" spans="1:10" x14ac:dyDescent="0.25">
      <c r="A947" s="212" t="s">
        <v>12</v>
      </c>
      <c r="B947" s="11">
        <v>58</v>
      </c>
      <c r="C947" s="11">
        <v>50</v>
      </c>
      <c r="D947" s="11">
        <v>64</v>
      </c>
      <c r="E947" s="11">
        <v>69</v>
      </c>
      <c r="F947" s="11">
        <v>199</v>
      </c>
      <c r="G947" s="11">
        <v>237</v>
      </c>
      <c r="H947" s="11">
        <v>238</v>
      </c>
      <c r="I947" s="11">
        <f>SUM(CEDRITOS!$B947:$H947)</f>
        <v>915</v>
      </c>
      <c r="J947" s="60">
        <f t="shared" ref="J947:J952" si="442">I947/7</f>
        <v>130.71428571428572</v>
      </c>
    </row>
    <row r="948" spans="1:10" x14ac:dyDescent="0.25">
      <c r="A948" s="212" t="s">
        <v>13</v>
      </c>
      <c r="B948" s="11">
        <v>1</v>
      </c>
      <c r="C948" s="11">
        <v>2</v>
      </c>
      <c r="D948" s="11">
        <v>1</v>
      </c>
      <c r="E948" s="11">
        <v>3</v>
      </c>
      <c r="F948" s="11">
        <v>6</v>
      </c>
      <c r="G948" s="11">
        <v>13</v>
      </c>
      <c r="H948" s="11">
        <v>8</v>
      </c>
      <c r="I948" s="11">
        <f>SUM(CEDRITOS!$B948:$H948)</f>
        <v>34</v>
      </c>
      <c r="J948" s="60">
        <f t="shared" si="442"/>
        <v>4.8571428571428568</v>
      </c>
    </row>
    <row r="949" spans="1:10" x14ac:dyDescent="0.25">
      <c r="A949" s="212" t="s">
        <v>14</v>
      </c>
      <c r="B949" s="11">
        <v>28</v>
      </c>
      <c r="C949" s="11">
        <v>32</v>
      </c>
      <c r="D949" s="11">
        <v>27</v>
      </c>
      <c r="E949" s="11">
        <v>37</v>
      </c>
      <c r="F949" s="11">
        <v>88</v>
      </c>
      <c r="G949" s="11">
        <v>114</v>
      </c>
      <c r="H949" s="11">
        <v>95</v>
      </c>
      <c r="I949" s="11">
        <f>SUM(CEDRITOS!$B949:$H949)</f>
        <v>421</v>
      </c>
      <c r="J949" s="60">
        <f t="shared" si="442"/>
        <v>60.142857142857146</v>
      </c>
    </row>
    <row r="950" spans="1:10" x14ac:dyDescent="0.25">
      <c r="A950" s="212" t="s">
        <v>15</v>
      </c>
      <c r="B950" s="11">
        <v>8</v>
      </c>
      <c r="C950" s="11">
        <v>0</v>
      </c>
      <c r="D950" s="11">
        <v>10</v>
      </c>
      <c r="E950" s="11">
        <v>10</v>
      </c>
      <c r="F950" s="11">
        <v>8</v>
      </c>
      <c r="G950" s="11">
        <v>18</v>
      </c>
      <c r="H950" s="11">
        <v>9</v>
      </c>
      <c r="I950" s="11">
        <f>SUM(CEDRITOS!$B950:$H950)</f>
        <v>63</v>
      </c>
      <c r="J950" s="60">
        <f t="shared" si="442"/>
        <v>9</v>
      </c>
    </row>
    <row r="951" spans="1:10" x14ac:dyDescent="0.25">
      <c r="A951" s="212" t="s">
        <v>16</v>
      </c>
      <c r="B951" s="11">
        <v>1</v>
      </c>
      <c r="C951" s="11">
        <v>0</v>
      </c>
      <c r="D951" s="11">
        <v>0</v>
      </c>
      <c r="E951" s="11">
        <v>0</v>
      </c>
      <c r="F951" s="11">
        <v>0</v>
      </c>
      <c r="G951" s="86">
        <v>2</v>
      </c>
      <c r="H951" s="86">
        <v>2</v>
      </c>
      <c r="I951" s="11">
        <f>SUM(CEDRITOS!$B951:$H951)</f>
        <v>5</v>
      </c>
      <c r="J951" s="60">
        <f t="shared" si="442"/>
        <v>0.7142857142857143</v>
      </c>
    </row>
    <row r="952" spans="1:10" x14ac:dyDescent="0.25">
      <c r="A952" s="213" t="s">
        <v>17</v>
      </c>
      <c r="B952" s="192">
        <f>SUM(B947:B951)</f>
        <v>96</v>
      </c>
      <c r="C952" s="192">
        <f t="shared" ref="C952:I952" si="443">SUM(C947:C951)</f>
        <v>84</v>
      </c>
      <c r="D952" s="192">
        <f t="shared" si="443"/>
        <v>102</v>
      </c>
      <c r="E952" s="192">
        <f t="shared" si="443"/>
        <v>119</v>
      </c>
      <c r="F952" s="192">
        <f t="shared" si="443"/>
        <v>301</v>
      </c>
      <c r="G952" s="192">
        <f t="shared" si="443"/>
        <v>384</v>
      </c>
      <c r="H952" s="192">
        <f t="shared" si="443"/>
        <v>352</v>
      </c>
      <c r="I952" s="192">
        <f t="shared" si="443"/>
        <v>1438</v>
      </c>
      <c r="J952" s="214">
        <f t="shared" si="442"/>
        <v>205.42857142857142</v>
      </c>
    </row>
    <row r="953" spans="1:10" x14ac:dyDescent="0.25">
      <c r="A953" s="212" t="s">
        <v>18</v>
      </c>
      <c r="B953" s="386">
        <v>0.68</v>
      </c>
      <c r="C953" s="387">
        <v>0.65</v>
      </c>
      <c r="D953" s="387">
        <v>0.69</v>
      </c>
      <c r="E953" s="387">
        <v>0.65</v>
      </c>
      <c r="F953" s="387">
        <v>0.7</v>
      </c>
      <c r="G953" s="387">
        <v>0.68</v>
      </c>
      <c r="H953" s="387">
        <v>0.71</v>
      </c>
      <c r="I953" s="30">
        <f>I960/I965</f>
        <v>0.68809780698323808</v>
      </c>
      <c r="J953" s="160">
        <f>J960/J965</f>
        <v>0.68809780698323808</v>
      </c>
    </row>
    <row r="954" spans="1:10" x14ac:dyDescent="0.25">
      <c r="A954" s="212" t="s">
        <v>19</v>
      </c>
      <c r="B954" s="386">
        <v>0.01</v>
      </c>
      <c r="C954" s="387">
        <v>0.05</v>
      </c>
      <c r="D954" s="387">
        <v>0.01</v>
      </c>
      <c r="E954" s="387">
        <v>0.02</v>
      </c>
      <c r="F954" s="387">
        <v>0.02</v>
      </c>
      <c r="G954" s="387">
        <v>0.03</v>
      </c>
      <c r="H954" s="387">
        <v>0.02</v>
      </c>
      <c r="I954" s="30">
        <f>I961/I965</f>
        <v>2.318117059499691E-2</v>
      </c>
      <c r="J954" s="160">
        <f>J961/J965</f>
        <v>2.318117059499691E-2</v>
      </c>
    </row>
    <row r="955" spans="1:10" x14ac:dyDescent="0.25">
      <c r="A955" s="212" t="s">
        <v>20</v>
      </c>
      <c r="B955" s="386">
        <v>0.24</v>
      </c>
      <c r="C955" s="387">
        <v>0.3</v>
      </c>
      <c r="D955" s="387">
        <v>0.22</v>
      </c>
      <c r="E955" s="387">
        <v>0.24</v>
      </c>
      <c r="F955" s="387">
        <v>0.25</v>
      </c>
      <c r="G955" s="387">
        <v>0.24</v>
      </c>
      <c r="H955" s="387">
        <v>0.24</v>
      </c>
      <c r="I955" s="30">
        <f>I962/I965</f>
        <v>0.24394344607353072</v>
      </c>
      <c r="J955" s="160">
        <f>J962/J965</f>
        <v>0.24394344607353069</v>
      </c>
    </row>
    <row r="956" spans="1:10" x14ac:dyDescent="0.25">
      <c r="A956" s="212" t="s">
        <v>21</v>
      </c>
      <c r="B956" s="386">
        <v>0.06</v>
      </c>
      <c r="C956" s="387">
        <v>0</v>
      </c>
      <c r="D956" s="387">
        <v>0.08</v>
      </c>
      <c r="E956" s="387">
        <v>0.09</v>
      </c>
      <c r="F956" s="387">
        <v>0.03</v>
      </c>
      <c r="G956" s="387">
        <v>0.04</v>
      </c>
      <c r="H956" s="387">
        <v>0.02</v>
      </c>
      <c r="I956" s="30">
        <f>I963/I965</f>
        <v>3.8805082019284759E-2</v>
      </c>
      <c r="J956" s="160">
        <f>J963/J965</f>
        <v>3.8805082019284759E-2</v>
      </c>
    </row>
    <row r="957" spans="1:10" x14ac:dyDescent="0.25">
      <c r="A957" s="212" t="s">
        <v>22</v>
      </c>
      <c r="B957" s="386">
        <v>0.01</v>
      </c>
      <c r="C957" s="387">
        <v>0</v>
      </c>
      <c r="D957" s="387">
        <v>0</v>
      </c>
      <c r="E957" s="387">
        <v>0</v>
      </c>
      <c r="F957" s="387">
        <v>0</v>
      </c>
      <c r="G957" s="387">
        <v>0.01</v>
      </c>
      <c r="H957" s="387">
        <v>0.01</v>
      </c>
      <c r="I957" s="30">
        <f>I964/I965</f>
        <v>5.9724943289494788E-3</v>
      </c>
      <c r="J957" s="160">
        <f>J964/J965</f>
        <v>5.9724943289494788E-3</v>
      </c>
    </row>
    <row r="958" spans="1:10" x14ac:dyDescent="0.25">
      <c r="A958" s="215" t="s">
        <v>23</v>
      </c>
      <c r="B958" s="66">
        <f t="shared" ref="B958:J958" si="444">B969/B952</f>
        <v>34056.250000000007</v>
      </c>
      <c r="C958" s="66">
        <f t="shared" si="444"/>
        <v>32382.142857142862</v>
      </c>
      <c r="D958" s="66">
        <f t="shared" si="444"/>
        <v>32693.137254901962</v>
      </c>
      <c r="E958" s="66">
        <f t="shared" si="444"/>
        <v>33874.789915966387</v>
      </c>
      <c r="F958" s="66">
        <f t="shared" si="444"/>
        <v>34482.05980066445</v>
      </c>
      <c r="G958" s="66">
        <f t="shared" si="444"/>
        <v>37803.385416666672</v>
      </c>
      <c r="H958" s="66">
        <f t="shared" si="444"/>
        <v>35450.284090909096</v>
      </c>
      <c r="I958" s="66">
        <f t="shared" si="444"/>
        <v>35277.746870653697</v>
      </c>
      <c r="J958" s="67">
        <f t="shared" si="444"/>
        <v>35277.746870653697</v>
      </c>
    </row>
    <row r="959" spans="1:10" x14ac:dyDescent="0.25">
      <c r="A959" s="215" t="s">
        <v>24</v>
      </c>
      <c r="B959" s="66">
        <f t="shared" ref="B959:I959" si="445">+B969/B946</f>
        <v>28932.743362831861</v>
      </c>
      <c r="C959" s="66">
        <f t="shared" si="445"/>
        <v>28632.631578947374</v>
      </c>
      <c r="D959" s="66">
        <f t="shared" si="445"/>
        <v>26677.599999999999</v>
      </c>
      <c r="E959" s="66">
        <f t="shared" si="445"/>
        <v>29640.441176470587</v>
      </c>
      <c r="F959" s="66">
        <f t="shared" si="445"/>
        <v>28127.642276422765</v>
      </c>
      <c r="G959" s="66">
        <f t="shared" si="445"/>
        <v>30755.296610169495</v>
      </c>
      <c r="H959" s="66">
        <f t="shared" si="445"/>
        <v>28818.706697459587</v>
      </c>
      <c r="I959" s="66">
        <f t="shared" si="445"/>
        <v>29104.647160068856</v>
      </c>
      <c r="J959" s="67">
        <f>J969/J946</f>
        <v>29104.647160068853</v>
      </c>
    </row>
    <row r="960" spans="1:10" x14ac:dyDescent="0.25">
      <c r="A960" s="212" t="s">
        <v>25</v>
      </c>
      <c r="B960" s="92">
        <f t="shared" ref="B960:H960" si="446">B965*B953</f>
        <v>1831551.6275862074</v>
      </c>
      <c r="C960" s="92">
        <f t="shared" si="446"/>
        <v>1454156.4655172417</v>
      </c>
      <c r="D960" s="92">
        <f t="shared" si="446"/>
        <v>1888406.7517241377</v>
      </c>
      <c r="E960" s="92">
        <f t="shared" si="446"/>
        <v>2162154.284482759</v>
      </c>
      <c r="F960" s="92">
        <f t="shared" si="446"/>
        <v>5963058.5</v>
      </c>
      <c r="G960" s="31">
        <f t="shared" si="446"/>
        <v>8162372.6137931049</v>
      </c>
      <c r="H960" s="31">
        <f t="shared" si="446"/>
        <v>7273550.6862068977</v>
      </c>
      <c r="I960" s="31">
        <f>SUM(B960:H960)</f>
        <v>28735250.929310352</v>
      </c>
      <c r="J960" s="32">
        <f t="shared" ref="J960:J969" si="447">I960/7</f>
        <v>4105035.8470443361</v>
      </c>
    </row>
    <row r="961" spans="1:10" x14ac:dyDescent="0.25">
      <c r="A961" s="212" t="s">
        <v>26</v>
      </c>
      <c r="B961" s="92">
        <f t="shared" ref="B961:H961" si="448">B965*B954</f>
        <v>26934.582758620694</v>
      </c>
      <c r="C961" s="92">
        <f t="shared" si="448"/>
        <v>111858.18965517243</v>
      </c>
      <c r="D961" s="92">
        <f t="shared" si="448"/>
        <v>27368.213793103449</v>
      </c>
      <c r="E961" s="92">
        <f t="shared" si="448"/>
        <v>66527.824137931035</v>
      </c>
      <c r="F961" s="92">
        <f t="shared" si="448"/>
        <v>170373.1</v>
      </c>
      <c r="G961" s="31">
        <f t="shared" si="448"/>
        <v>360104.67413793108</v>
      </c>
      <c r="H961" s="31">
        <f t="shared" si="448"/>
        <v>204888.75172413795</v>
      </c>
      <c r="I961" s="31">
        <f>SUM(B961:H961)</f>
        <v>968055.33620689658</v>
      </c>
      <c r="J961" s="32">
        <f t="shared" si="447"/>
        <v>138293.61945812809</v>
      </c>
    </row>
    <row r="962" spans="1:10" x14ac:dyDescent="0.25">
      <c r="A962" s="212" t="s">
        <v>27</v>
      </c>
      <c r="B962" s="92">
        <f t="shared" ref="B962:H962" si="449">B965*B955</f>
        <v>646429.9862068966</v>
      </c>
      <c r="C962" s="92">
        <f t="shared" si="449"/>
        <v>671149.13793103455</v>
      </c>
      <c r="D962" s="92">
        <f t="shared" si="449"/>
        <v>602100.70344827592</v>
      </c>
      <c r="E962" s="92">
        <f t="shared" si="449"/>
        <v>798333.88965517248</v>
      </c>
      <c r="F962" s="92">
        <f t="shared" si="449"/>
        <v>2129663.75</v>
      </c>
      <c r="G962" s="31">
        <f t="shared" si="449"/>
        <v>2880837.3931034487</v>
      </c>
      <c r="H962" s="31">
        <f t="shared" si="449"/>
        <v>2458665.0206896556</v>
      </c>
      <c r="I962" s="31">
        <f>SUM(B962:H962)</f>
        <v>10187179.881034484</v>
      </c>
      <c r="J962" s="32">
        <f t="shared" si="447"/>
        <v>1455311.4115763549</v>
      </c>
    </row>
    <row r="963" spans="1:10" x14ac:dyDescent="0.25">
      <c r="A963" s="212" t="s">
        <v>28</v>
      </c>
      <c r="B963" s="92">
        <f t="shared" ref="B963:H963" si="450">B965*B956</f>
        <v>161607.49655172415</v>
      </c>
      <c r="C963" s="92">
        <f t="shared" si="450"/>
        <v>0</v>
      </c>
      <c r="D963" s="92">
        <f t="shared" si="450"/>
        <v>218945.71034482759</v>
      </c>
      <c r="E963" s="92">
        <f t="shared" si="450"/>
        <v>299375.20862068963</v>
      </c>
      <c r="F963" s="92">
        <f t="shared" si="450"/>
        <v>255559.65</v>
      </c>
      <c r="G963" s="31">
        <f t="shared" si="450"/>
        <v>480139.56551724143</v>
      </c>
      <c r="H963" s="31">
        <f t="shared" si="450"/>
        <v>204888.75172413795</v>
      </c>
      <c r="I963" s="31">
        <f>SUM(B963:H963)</f>
        <v>1620516.3827586209</v>
      </c>
      <c r="J963" s="32">
        <f t="shared" si="447"/>
        <v>231502.34039408871</v>
      </c>
    </row>
    <row r="964" spans="1:10" x14ac:dyDescent="0.25">
      <c r="A964" s="212" t="s">
        <v>29</v>
      </c>
      <c r="B964" s="92">
        <f t="shared" ref="B964:H964" si="451">B965*B957</f>
        <v>26934.582758620694</v>
      </c>
      <c r="C964" s="92">
        <f t="shared" si="451"/>
        <v>0</v>
      </c>
      <c r="D964" s="92">
        <f t="shared" si="451"/>
        <v>0</v>
      </c>
      <c r="E964" s="92">
        <f t="shared" si="451"/>
        <v>0</v>
      </c>
      <c r="F964" s="92">
        <f t="shared" si="451"/>
        <v>0</v>
      </c>
      <c r="G964" s="31">
        <f t="shared" si="451"/>
        <v>120034.89137931036</v>
      </c>
      <c r="H964" s="31">
        <f t="shared" si="451"/>
        <v>102444.37586206898</v>
      </c>
      <c r="I964" s="31">
        <f>SUM(B964:H964)</f>
        <v>249413.85000000003</v>
      </c>
      <c r="J964" s="32">
        <f t="shared" si="447"/>
        <v>35630.550000000003</v>
      </c>
    </row>
    <row r="965" spans="1:10" x14ac:dyDescent="0.25">
      <c r="A965" s="216" t="s">
        <v>30</v>
      </c>
      <c r="B965" s="222">
        <f>(3269400/1.16)-B966</f>
        <v>2693458.2758620693</v>
      </c>
      <c r="C965" s="222">
        <f>(2720100/1.16)-C966</f>
        <v>2237163.7931034486</v>
      </c>
      <c r="D965" s="222">
        <f>(3334700/1.16)-D966</f>
        <v>2736821.3793103448</v>
      </c>
      <c r="E965" s="222">
        <f>(4031100/1.16)-E966</f>
        <v>3326391.2068965519</v>
      </c>
      <c r="F965" s="222">
        <f>(10379100/1.16)-F966</f>
        <v>8518655</v>
      </c>
      <c r="G965" s="222">
        <f>(14516500/1.16)-G966</f>
        <v>12003489.137931036</v>
      </c>
      <c r="H965" s="222">
        <f>(12478500/1.16)-H966</f>
        <v>10244437.586206898</v>
      </c>
      <c r="I965" s="197">
        <f>SUM(I960:I964)</f>
        <v>41760416.379310355</v>
      </c>
      <c r="J965" s="217">
        <f t="shared" si="447"/>
        <v>5965773.7684729081</v>
      </c>
    </row>
    <row r="966" spans="1:10" x14ac:dyDescent="0.25">
      <c r="A966" s="212" t="s">
        <v>31</v>
      </c>
      <c r="B966" s="92">
        <f t="shared" ref="B966:I966" si="452">2155*B947</f>
        <v>124990</v>
      </c>
      <c r="C966" s="92">
        <f t="shared" si="452"/>
        <v>107750</v>
      </c>
      <c r="D966" s="92">
        <f t="shared" si="452"/>
        <v>137920</v>
      </c>
      <c r="E966" s="92">
        <f t="shared" si="452"/>
        <v>148695</v>
      </c>
      <c r="F966" s="92">
        <f t="shared" si="452"/>
        <v>428845</v>
      </c>
      <c r="G966" s="31">
        <f t="shared" si="452"/>
        <v>510735</v>
      </c>
      <c r="H966" s="31">
        <f t="shared" si="452"/>
        <v>512890</v>
      </c>
      <c r="I966" s="31">
        <f t="shared" si="452"/>
        <v>1971825</v>
      </c>
      <c r="J966" s="32">
        <f t="shared" si="447"/>
        <v>281689.28571428574</v>
      </c>
    </row>
    <row r="967" spans="1:10" x14ac:dyDescent="0.25">
      <c r="A967" s="218" t="s">
        <v>32</v>
      </c>
      <c r="B967" s="199">
        <f>B966+B965</f>
        <v>2818448.2758620693</v>
      </c>
      <c r="C967" s="199">
        <f>C966+C965</f>
        <v>2344913.7931034486</v>
      </c>
      <c r="D967" s="199">
        <f>D966+D965</f>
        <v>2874741.3793103448</v>
      </c>
      <c r="E967" s="199">
        <f>E966+E965</f>
        <v>3475086.2068965519</v>
      </c>
      <c r="F967" s="199">
        <f>F965+F966</f>
        <v>8947500</v>
      </c>
      <c r="G967" s="199">
        <f>G966+G965</f>
        <v>12514224.137931036</v>
      </c>
      <c r="H967" s="199">
        <f>H966+H965</f>
        <v>10757327.586206898</v>
      </c>
      <c r="I967" s="199">
        <f>I965+I966</f>
        <v>43732241.379310355</v>
      </c>
      <c r="J967" s="219">
        <f t="shared" si="447"/>
        <v>6247463.0541871935</v>
      </c>
    </row>
    <row r="968" spans="1:10" x14ac:dyDescent="0.25">
      <c r="A968" s="212" t="s">
        <v>33</v>
      </c>
      <c r="B968" s="94">
        <f>B967*16%</f>
        <v>450951.72413793113</v>
      </c>
      <c r="C968" s="94">
        <f t="shared" ref="C968:H968" si="453">C967*16%</f>
        <v>375186.20689655177</v>
      </c>
      <c r="D968" s="94">
        <f t="shared" si="453"/>
        <v>459958.62068965519</v>
      </c>
      <c r="E968" s="94">
        <f t="shared" si="453"/>
        <v>556013.79310344835</v>
      </c>
      <c r="F968" s="94">
        <f t="shared" si="453"/>
        <v>1431600</v>
      </c>
      <c r="G968" s="94">
        <f t="shared" si="453"/>
        <v>2002275.8620689658</v>
      </c>
      <c r="H968" s="94">
        <f t="shared" si="453"/>
        <v>1721172.4137931038</v>
      </c>
      <c r="I968" s="94">
        <f>I967*16%</f>
        <v>6997158.6206896566</v>
      </c>
      <c r="J968" s="32">
        <f t="shared" si="447"/>
        <v>999594.08866995096</v>
      </c>
    </row>
    <row r="969" spans="1:10" x14ac:dyDescent="0.25">
      <c r="A969" s="220" t="s">
        <v>34</v>
      </c>
      <c r="B969" s="202">
        <f>B967+B968</f>
        <v>3269400.0000000005</v>
      </c>
      <c r="C969" s="202">
        <f t="shared" ref="C969:H969" si="454">C967+C968</f>
        <v>2720100.0000000005</v>
      </c>
      <c r="D969" s="202">
        <f t="shared" si="454"/>
        <v>3334700</v>
      </c>
      <c r="E969" s="202">
        <f t="shared" si="454"/>
        <v>4031100</v>
      </c>
      <c r="F969" s="202">
        <f t="shared" si="454"/>
        <v>10379100</v>
      </c>
      <c r="G969" s="202">
        <f t="shared" si="454"/>
        <v>14516500.000000002</v>
      </c>
      <c r="H969" s="202">
        <f t="shared" si="454"/>
        <v>12478500.000000002</v>
      </c>
      <c r="I969" s="202">
        <f>I967+I968</f>
        <v>50729400.000000015</v>
      </c>
      <c r="J969" s="221">
        <f t="shared" si="447"/>
        <v>7247057.1428571446</v>
      </c>
    </row>
    <row r="971" spans="1:10" ht="26.25" x14ac:dyDescent="0.25">
      <c r="B971" s="1007" t="s">
        <v>375</v>
      </c>
      <c r="C971" s="1007"/>
      <c r="D971" s="1007"/>
      <c r="E971" s="1007"/>
      <c r="F971" s="1007"/>
      <c r="G971" s="1007"/>
      <c r="H971" s="1007"/>
    </row>
    <row r="972" spans="1:10" ht="15.75" x14ac:dyDescent="0.25">
      <c r="A972" s="207" t="s">
        <v>2</v>
      </c>
      <c r="B972" s="121" t="s">
        <v>274</v>
      </c>
      <c r="C972" s="121" t="s">
        <v>275</v>
      </c>
      <c r="D972" s="121" t="s">
        <v>276</v>
      </c>
      <c r="E972" s="121" t="s">
        <v>277</v>
      </c>
      <c r="F972" s="121" t="s">
        <v>278</v>
      </c>
      <c r="G972" s="121" t="s">
        <v>279</v>
      </c>
      <c r="H972" s="121" t="s">
        <v>280</v>
      </c>
      <c r="I972" s="121" t="s">
        <v>96</v>
      </c>
      <c r="J972" s="209" t="s">
        <v>97</v>
      </c>
    </row>
    <row r="973" spans="1:10" x14ac:dyDescent="0.25">
      <c r="A973" s="332" t="s">
        <v>11</v>
      </c>
      <c r="B973" s="75">
        <v>90</v>
      </c>
      <c r="C973" s="75">
        <v>133</v>
      </c>
      <c r="D973" s="75">
        <v>144</v>
      </c>
      <c r="E973" s="316">
        <v>139</v>
      </c>
      <c r="F973" s="316">
        <v>333</v>
      </c>
      <c r="G973" s="316">
        <v>419</v>
      </c>
      <c r="H973" s="316">
        <v>360</v>
      </c>
      <c r="I973" s="316">
        <f>SUM(B973:H973)</f>
        <v>1618</v>
      </c>
      <c r="J973" s="382">
        <f>+I973/7</f>
        <v>231.14285714285714</v>
      </c>
    </row>
    <row r="974" spans="1:10" x14ac:dyDescent="0.25">
      <c r="A974" s="212" t="s">
        <v>12</v>
      </c>
      <c r="B974" s="11">
        <v>38</v>
      </c>
      <c r="C974" s="11">
        <v>67</v>
      </c>
      <c r="D974" s="11">
        <v>76</v>
      </c>
      <c r="E974" s="11">
        <v>73</v>
      </c>
      <c r="F974" s="11">
        <v>167</v>
      </c>
      <c r="G974" s="11">
        <v>179</v>
      </c>
      <c r="H974" s="11">
        <v>169</v>
      </c>
      <c r="I974" s="11">
        <f>SUM(CEDRITOS!$B974:$H974)</f>
        <v>769</v>
      </c>
      <c r="J974" s="60">
        <f t="shared" ref="J974:J979" si="455">I974/7</f>
        <v>109.85714285714286</v>
      </c>
    </row>
    <row r="975" spans="1:10" x14ac:dyDescent="0.25">
      <c r="A975" s="212" t="s">
        <v>13</v>
      </c>
      <c r="B975" s="11">
        <v>4</v>
      </c>
      <c r="C975" s="11">
        <v>3</v>
      </c>
      <c r="D975" s="11">
        <v>2</v>
      </c>
      <c r="E975" s="11">
        <v>5</v>
      </c>
      <c r="F975" s="11">
        <v>8</v>
      </c>
      <c r="G975" s="11">
        <v>12</v>
      </c>
      <c r="H975" s="11">
        <v>8</v>
      </c>
      <c r="I975" s="11">
        <f>SUM(CEDRITOS!$B975:$H975)</f>
        <v>42</v>
      </c>
      <c r="J975" s="60">
        <f t="shared" si="455"/>
        <v>6</v>
      </c>
    </row>
    <row r="976" spans="1:10" x14ac:dyDescent="0.25">
      <c r="A976" s="212" t="s">
        <v>14</v>
      </c>
      <c r="B976" s="11">
        <v>23</v>
      </c>
      <c r="C976" s="11">
        <v>35</v>
      </c>
      <c r="D976" s="11">
        <v>27</v>
      </c>
      <c r="E976" s="11">
        <v>37</v>
      </c>
      <c r="F976" s="11">
        <v>62</v>
      </c>
      <c r="G976" s="11">
        <v>111</v>
      </c>
      <c r="H976" s="11">
        <v>57</v>
      </c>
      <c r="I976" s="11">
        <f>SUM(CEDRITOS!$B976:$H976)</f>
        <v>352</v>
      </c>
      <c r="J976" s="60">
        <f t="shared" si="455"/>
        <v>50.285714285714285</v>
      </c>
    </row>
    <row r="977" spans="1:10" x14ac:dyDescent="0.25">
      <c r="A977" s="212" t="s">
        <v>15</v>
      </c>
      <c r="B977" s="11">
        <v>14</v>
      </c>
      <c r="C977" s="11">
        <v>5</v>
      </c>
      <c r="D977" s="11">
        <v>9</v>
      </c>
      <c r="E977" s="11">
        <v>4</v>
      </c>
      <c r="F977" s="11">
        <v>20</v>
      </c>
      <c r="G977" s="11">
        <v>10</v>
      </c>
      <c r="H977" s="11">
        <v>28</v>
      </c>
      <c r="I977" s="11">
        <f>SUM(CEDRITOS!$B977:$H977)</f>
        <v>90</v>
      </c>
      <c r="J977" s="60">
        <f t="shared" si="455"/>
        <v>12.857142857142858</v>
      </c>
    </row>
    <row r="978" spans="1:10" x14ac:dyDescent="0.25">
      <c r="A978" s="212" t="s">
        <v>16</v>
      </c>
      <c r="B978" s="11">
        <v>0</v>
      </c>
      <c r="C978" s="11">
        <v>2</v>
      </c>
      <c r="D978" s="11">
        <v>2</v>
      </c>
      <c r="E978" s="11">
        <v>3</v>
      </c>
      <c r="F978" s="11">
        <v>0</v>
      </c>
      <c r="G978" s="86">
        <v>1</v>
      </c>
      <c r="H978" s="86">
        <v>2</v>
      </c>
      <c r="I978" s="11">
        <f>SUM(CEDRITOS!$B978:$H978)</f>
        <v>10</v>
      </c>
      <c r="J978" s="60">
        <f t="shared" si="455"/>
        <v>1.4285714285714286</v>
      </c>
    </row>
    <row r="979" spans="1:10" x14ac:dyDescent="0.25">
      <c r="A979" s="213" t="s">
        <v>17</v>
      </c>
      <c r="B979" s="192">
        <f>SUM(B974:B978)</f>
        <v>79</v>
      </c>
      <c r="C979" s="192">
        <f t="shared" ref="C979:I979" si="456">SUM(C974:C978)</f>
        <v>112</v>
      </c>
      <c r="D979" s="192">
        <f t="shared" si="456"/>
        <v>116</v>
      </c>
      <c r="E979" s="192">
        <f t="shared" si="456"/>
        <v>122</v>
      </c>
      <c r="F979" s="192">
        <f t="shared" si="456"/>
        <v>257</v>
      </c>
      <c r="G979" s="192">
        <f t="shared" si="456"/>
        <v>313</v>
      </c>
      <c r="H979" s="192">
        <f t="shared" si="456"/>
        <v>264</v>
      </c>
      <c r="I979" s="192">
        <f t="shared" si="456"/>
        <v>1263</v>
      </c>
      <c r="J979" s="214">
        <f t="shared" si="455"/>
        <v>180.42857142857142</v>
      </c>
    </row>
    <row r="980" spans="1:10" x14ac:dyDescent="0.25">
      <c r="A980" s="212" t="s">
        <v>18</v>
      </c>
      <c r="B980" s="386">
        <v>0.53</v>
      </c>
      <c r="C980" s="387">
        <v>0.64</v>
      </c>
      <c r="D980" s="387">
        <v>0.7</v>
      </c>
      <c r="E980" s="387">
        <v>0.66</v>
      </c>
      <c r="F980" s="387">
        <v>0.69</v>
      </c>
      <c r="G980" s="387">
        <v>0.61</v>
      </c>
      <c r="H980" s="387">
        <v>0.65</v>
      </c>
      <c r="I980" s="30">
        <f>I987/I992</f>
        <v>0.64582988086435189</v>
      </c>
      <c r="J980" s="160">
        <f>J987/J992</f>
        <v>0.64582988086435189</v>
      </c>
    </row>
    <row r="981" spans="1:10" x14ac:dyDescent="0.25">
      <c r="A981" s="212" t="s">
        <v>19</v>
      </c>
      <c r="B981" s="386">
        <v>0.05</v>
      </c>
      <c r="C981" s="387">
        <v>0.03</v>
      </c>
      <c r="D981" s="387">
        <v>0.02</v>
      </c>
      <c r="E981" s="387">
        <v>0.05</v>
      </c>
      <c r="F981" s="387">
        <v>0.04</v>
      </c>
      <c r="G981" s="387">
        <v>0.06</v>
      </c>
      <c r="H981" s="387">
        <v>0.03</v>
      </c>
      <c r="I981" s="30">
        <f>I988/I992</f>
        <v>4.2003514413153857E-2</v>
      </c>
      <c r="J981" s="160">
        <f>J988/J992</f>
        <v>4.2003514413153857E-2</v>
      </c>
    </row>
    <row r="982" spans="1:10" x14ac:dyDescent="0.25">
      <c r="A982" s="212" t="s">
        <v>20</v>
      </c>
      <c r="B982" s="386">
        <v>0.25</v>
      </c>
      <c r="C982" s="387">
        <v>0.27</v>
      </c>
      <c r="D982" s="387">
        <v>0.2</v>
      </c>
      <c r="E982" s="387">
        <v>0.24</v>
      </c>
      <c r="F982" s="387">
        <v>0.19</v>
      </c>
      <c r="G982" s="387">
        <v>0.28999999999999998</v>
      </c>
      <c r="H982" s="387">
        <v>0.19</v>
      </c>
      <c r="I982" s="30">
        <f>I989/I992</f>
        <v>0.23136684030623289</v>
      </c>
      <c r="J982" s="160">
        <f>J989/J992</f>
        <v>0.23136684030623292</v>
      </c>
    </row>
    <row r="983" spans="1:10" x14ac:dyDescent="0.25">
      <c r="A983" s="212" t="s">
        <v>21</v>
      </c>
      <c r="B983" s="386">
        <v>0.17</v>
      </c>
      <c r="C983" s="387">
        <v>0.04</v>
      </c>
      <c r="D983" s="387">
        <v>7.0000000000000007E-2</v>
      </c>
      <c r="E983" s="387">
        <v>0.02</v>
      </c>
      <c r="F983" s="387">
        <v>0.08</v>
      </c>
      <c r="G983" s="387">
        <v>0.04</v>
      </c>
      <c r="H983" s="387">
        <v>0.11</v>
      </c>
      <c r="I983" s="30">
        <f>I990/I992</f>
        <v>7.1155467992460572E-2</v>
      </c>
      <c r="J983" s="160">
        <f>J990/J992</f>
        <v>7.1155467992460572E-2</v>
      </c>
    </row>
    <row r="984" spans="1:10" x14ac:dyDescent="0.25">
      <c r="A984" s="212" t="s">
        <v>22</v>
      </c>
      <c r="B984" s="386">
        <v>0</v>
      </c>
      <c r="C984" s="387">
        <v>0.02</v>
      </c>
      <c r="D984" s="387">
        <v>0.01</v>
      </c>
      <c r="E984" s="387">
        <v>0.03</v>
      </c>
      <c r="F984" s="387">
        <v>0</v>
      </c>
      <c r="G984" s="387">
        <v>0</v>
      </c>
      <c r="H984" s="387">
        <v>0.02</v>
      </c>
      <c r="I984" s="30">
        <f>I991/I992</f>
        <v>9.6442964238008348E-3</v>
      </c>
      <c r="J984" s="160">
        <f>J991/J992</f>
        <v>9.6442964238008348E-3</v>
      </c>
    </row>
    <row r="985" spans="1:10" x14ac:dyDescent="0.25">
      <c r="A985" s="215" t="s">
        <v>23</v>
      </c>
      <c r="B985" s="66">
        <f t="shared" ref="B985:J985" si="457">B996/B979</f>
        <v>30475.949367088608</v>
      </c>
      <c r="C985" s="66">
        <f t="shared" si="457"/>
        <v>33709.821428571435</v>
      </c>
      <c r="D985" s="66">
        <f t="shared" si="457"/>
        <v>33368.103448275862</v>
      </c>
      <c r="E985" s="66">
        <f t="shared" si="457"/>
        <v>34948.360655737706</v>
      </c>
      <c r="F985" s="66">
        <f t="shared" si="457"/>
        <v>37235.408560311284</v>
      </c>
      <c r="G985" s="66">
        <f t="shared" si="457"/>
        <v>38238.338658146968</v>
      </c>
      <c r="H985" s="66">
        <f t="shared" si="457"/>
        <v>38153.409090909096</v>
      </c>
      <c r="I985" s="66">
        <f t="shared" si="457"/>
        <v>36364.291369754552</v>
      </c>
      <c r="J985" s="67">
        <f t="shared" si="457"/>
        <v>36364.291369754552</v>
      </c>
    </row>
    <row r="986" spans="1:10" x14ac:dyDescent="0.25">
      <c r="A986" s="215" t="s">
        <v>24</v>
      </c>
      <c r="B986" s="66">
        <f t="shared" ref="B986:I986" si="458">+B996/B973</f>
        <v>26751.111111111109</v>
      </c>
      <c r="C986" s="66">
        <f t="shared" si="458"/>
        <v>28387.218045112786</v>
      </c>
      <c r="D986" s="66">
        <f t="shared" si="458"/>
        <v>26879.861111111109</v>
      </c>
      <c r="E986" s="66">
        <f t="shared" si="458"/>
        <v>30674.100719424459</v>
      </c>
      <c r="F986" s="66">
        <f t="shared" si="458"/>
        <v>28737.237237237237</v>
      </c>
      <c r="G986" s="66">
        <f t="shared" si="458"/>
        <v>28564.677804295949</v>
      </c>
      <c r="H986" s="66">
        <f t="shared" si="458"/>
        <v>27979.166666666672</v>
      </c>
      <c r="I986" s="66">
        <f t="shared" si="458"/>
        <v>28385.723114956738</v>
      </c>
      <c r="J986" s="67">
        <f>J996/J973</f>
        <v>28385.723114956738</v>
      </c>
    </row>
    <row r="987" spans="1:10" x14ac:dyDescent="0.25">
      <c r="A987" s="212" t="s">
        <v>25</v>
      </c>
      <c r="B987" s="92">
        <f t="shared" ref="B987:H987" si="459">B992*B980</f>
        <v>1056622.4379310345</v>
      </c>
      <c r="C987" s="92">
        <f t="shared" si="459"/>
        <v>1990628.0827586211</v>
      </c>
      <c r="D987" s="92">
        <f t="shared" si="459"/>
        <v>2221121.2413793104</v>
      </c>
      <c r="E987" s="92">
        <f t="shared" si="459"/>
        <v>2322070.3758620694</v>
      </c>
      <c r="F987" s="92">
        <f t="shared" si="459"/>
        <v>5443881.9362068959</v>
      </c>
      <c r="G987" s="31">
        <f t="shared" si="459"/>
        <v>6058528.3086206904</v>
      </c>
      <c r="H987" s="31">
        <f t="shared" si="459"/>
        <v>5407346.5258620698</v>
      </c>
      <c r="I987" s="31">
        <f>SUM(B987:H987)</f>
        <v>24500198.908620693</v>
      </c>
      <c r="J987" s="32">
        <f t="shared" ref="J987:J996" si="460">I987/7</f>
        <v>3500028.4155172417</v>
      </c>
    </row>
    <row r="988" spans="1:10" x14ac:dyDescent="0.25">
      <c r="A988" s="212" t="s">
        <v>26</v>
      </c>
      <c r="B988" s="92">
        <f t="shared" ref="B988:H988" si="461">B992*B981</f>
        <v>99681.362068965522</v>
      </c>
      <c r="C988" s="92">
        <f t="shared" si="461"/>
        <v>93310.691379310359</v>
      </c>
      <c r="D988" s="92">
        <f t="shared" si="461"/>
        <v>63460.606896551726</v>
      </c>
      <c r="E988" s="92">
        <f t="shared" si="461"/>
        <v>175914.42241379313</v>
      </c>
      <c r="F988" s="92">
        <f t="shared" si="461"/>
        <v>315587.35862068966</v>
      </c>
      <c r="G988" s="31">
        <f t="shared" si="461"/>
        <v>595920.81724137941</v>
      </c>
      <c r="H988" s="31">
        <f t="shared" si="461"/>
        <v>249569.83965517243</v>
      </c>
      <c r="I988" s="31">
        <f>SUM(B988:H988)</f>
        <v>1593445.0982758622</v>
      </c>
      <c r="J988" s="32">
        <f t="shared" si="460"/>
        <v>227635.01403940888</v>
      </c>
    </row>
    <row r="989" spans="1:10" x14ac:dyDescent="0.25">
      <c r="A989" s="212" t="s">
        <v>27</v>
      </c>
      <c r="B989" s="92">
        <f t="shared" ref="B989:H989" si="462">B992*B982</f>
        <v>498406.81034482759</v>
      </c>
      <c r="C989" s="92">
        <f t="shared" si="462"/>
        <v>839796.22241379332</v>
      </c>
      <c r="D989" s="92">
        <f t="shared" si="462"/>
        <v>634606.06896551733</v>
      </c>
      <c r="E989" s="92">
        <f t="shared" si="462"/>
        <v>844389.22758620686</v>
      </c>
      <c r="F989" s="92">
        <f t="shared" si="462"/>
        <v>1499039.9534482758</v>
      </c>
      <c r="G989" s="31">
        <f t="shared" si="462"/>
        <v>2880283.95</v>
      </c>
      <c r="H989" s="31">
        <f t="shared" si="462"/>
        <v>1580608.9844827589</v>
      </c>
      <c r="I989" s="31">
        <f>SUM(B989:H989)</f>
        <v>8777131.2172413804</v>
      </c>
      <c r="J989" s="32">
        <f t="shared" si="460"/>
        <v>1253875.8881773402</v>
      </c>
    </row>
    <row r="990" spans="1:10" x14ac:dyDescent="0.25">
      <c r="A990" s="212" t="s">
        <v>28</v>
      </c>
      <c r="B990" s="92">
        <f t="shared" ref="B990:H990" si="463">B992*B983</f>
        <v>338916.63103448279</v>
      </c>
      <c r="C990" s="92">
        <f t="shared" si="463"/>
        <v>124414.25517241382</v>
      </c>
      <c r="D990" s="92">
        <f t="shared" si="463"/>
        <v>222112.12413793107</v>
      </c>
      <c r="E990" s="92">
        <f t="shared" si="463"/>
        <v>70365.768965517243</v>
      </c>
      <c r="F990" s="92">
        <f t="shared" si="463"/>
        <v>631174.71724137932</v>
      </c>
      <c r="G990" s="31">
        <f t="shared" si="463"/>
        <v>397280.54482758627</v>
      </c>
      <c r="H990" s="31">
        <f t="shared" si="463"/>
        <v>915089.41206896561</v>
      </c>
      <c r="I990" s="31">
        <f>SUM(B990:H990)</f>
        <v>2699353.453448276</v>
      </c>
      <c r="J990" s="32">
        <f t="shared" si="460"/>
        <v>385621.92192118231</v>
      </c>
    </row>
    <row r="991" spans="1:10" x14ac:dyDescent="0.25">
      <c r="A991" s="212" t="s">
        <v>29</v>
      </c>
      <c r="B991" s="92">
        <f t="shared" ref="B991:H991" si="464">B992*B984</f>
        <v>0</v>
      </c>
      <c r="C991" s="92">
        <f t="shared" si="464"/>
        <v>62207.127586206909</v>
      </c>
      <c r="D991" s="92">
        <f t="shared" si="464"/>
        <v>31730.303448275863</v>
      </c>
      <c r="E991" s="92">
        <f t="shared" si="464"/>
        <v>105548.65344827586</v>
      </c>
      <c r="F991" s="92">
        <f t="shared" si="464"/>
        <v>0</v>
      </c>
      <c r="G991" s="31">
        <f t="shared" si="464"/>
        <v>0</v>
      </c>
      <c r="H991" s="31">
        <f t="shared" si="464"/>
        <v>166379.8931034483</v>
      </c>
      <c r="I991" s="31">
        <f>SUM(B991:H991)</f>
        <v>365865.97758620692</v>
      </c>
      <c r="J991" s="32">
        <f t="shared" si="460"/>
        <v>52266.56822660099</v>
      </c>
    </row>
    <row r="992" spans="1:10" x14ac:dyDescent="0.25">
      <c r="A992" s="216" t="s">
        <v>30</v>
      </c>
      <c r="B992" s="222">
        <f>(2407600/1.16)-B993</f>
        <v>1993627.2413793104</v>
      </c>
      <c r="C992" s="222">
        <f>(3775500/1.16)-C993</f>
        <v>3110356.3793103453</v>
      </c>
      <c r="D992" s="222">
        <f>(3870700/1.16)-D993</f>
        <v>3173030.3448275863</v>
      </c>
      <c r="E992" s="222">
        <f>(4263700/1.16)-E993</f>
        <v>3518288.4482758623</v>
      </c>
      <c r="F992" s="222">
        <f>(9569500/1.16)-F993</f>
        <v>7889683.9655172415</v>
      </c>
      <c r="G992" s="222">
        <f>(11968600/1.16)-G993</f>
        <v>9932013.6206896566</v>
      </c>
      <c r="H992" s="222">
        <f>(10072500/1.16)-H993</f>
        <v>8318994.6551724151</v>
      </c>
      <c r="I992" s="197">
        <f>SUM(I987:I991)</f>
        <v>37935994.655172415</v>
      </c>
      <c r="J992" s="217">
        <f t="shared" si="460"/>
        <v>5419427.8078817734</v>
      </c>
    </row>
    <row r="993" spans="1:10" x14ac:dyDescent="0.25">
      <c r="A993" s="212" t="s">
        <v>31</v>
      </c>
      <c r="B993" s="92">
        <f t="shared" ref="B993:I993" si="465">2155*B974</f>
        <v>81890</v>
      </c>
      <c r="C993" s="92">
        <f t="shared" si="465"/>
        <v>144385</v>
      </c>
      <c r="D993" s="92">
        <f t="shared" si="465"/>
        <v>163780</v>
      </c>
      <c r="E993" s="92">
        <f t="shared" si="465"/>
        <v>157315</v>
      </c>
      <c r="F993" s="92">
        <f t="shared" si="465"/>
        <v>359885</v>
      </c>
      <c r="G993" s="31">
        <f t="shared" si="465"/>
        <v>385745</v>
      </c>
      <c r="H993" s="31">
        <f t="shared" si="465"/>
        <v>364195</v>
      </c>
      <c r="I993" s="31">
        <f t="shared" si="465"/>
        <v>1657195</v>
      </c>
      <c r="J993" s="32">
        <f t="shared" si="460"/>
        <v>236742.14285714287</v>
      </c>
    </row>
    <row r="994" spans="1:10" x14ac:dyDescent="0.25">
      <c r="A994" s="218" t="s">
        <v>32</v>
      </c>
      <c r="B994" s="199">
        <f>B993+B992</f>
        <v>2075517.2413793104</v>
      </c>
      <c r="C994" s="199">
        <f>C993+C992</f>
        <v>3254741.3793103453</v>
      </c>
      <c r="D994" s="199">
        <f>D993+D992</f>
        <v>3336810.3448275863</v>
      </c>
      <c r="E994" s="199">
        <f>E993+E992</f>
        <v>3675603.4482758623</v>
      </c>
      <c r="F994" s="199">
        <f>F992+F993</f>
        <v>8249568.9655172415</v>
      </c>
      <c r="G994" s="199">
        <f>G993+G992</f>
        <v>10317758.620689657</v>
      </c>
      <c r="H994" s="199">
        <f>H993+H992</f>
        <v>8683189.6551724151</v>
      </c>
      <c r="I994" s="199">
        <f>I992+I993</f>
        <v>39593189.655172415</v>
      </c>
      <c r="J994" s="219">
        <f t="shared" si="460"/>
        <v>5656169.9507389162</v>
      </c>
    </row>
    <row r="995" spans="1:10" x14ac:dyDescent="0.25">
      <c r="A995" s="212" t="s">
        <v>33</v>
      </c>
      <c r="B995" s="94">
        <f>B994*16%</f>
        <v>332082.75862068968</v>
      </c>
      <c r="C995" s="94">
        <f t="shared" ref="C995:H995" si="466">C994*16%</f>
        <v>520758.62068965525</v>
      </c>
      <c r="D995" s="94">
        <f t="shared" si="466"/>
        <v>533889.6551724138</v>
      </c>
      <c r="E995" s="94">
        <f t="shared" si="466"/>
        <v>588096.55172413797</v>
      </c>
      <c r="F995" s="94">
        <f t="shared" si="466"/>
        <v>1319931.0344827587</v>
      </c>
      <c r="G995" s="94">
        <f t="shared" si="466"/>
        <v>1650841.379310345</v>
      </c>
      <c r="H995" s="94">
        <f t="shared" si="466"/>
        <v>1389310.3448275866</v>
      </c>
      <c r="I995" s="94">
        <f>I994*16%</f>
        <v>6334910.3448275868</v>
      </c>
      <c r="J995" s="32">
        <f t="shared" si="460"/>
        <v>904987.19211822667</v>
      </c>
    </row>
    <row r="996" spans="1:10" x14ac:dyDescent="0.25">
      <c r="A996" s="220" t="s">
        <v>34</v>
      </c>
      <c r="B996" s="202">
        <f>B994+B995</f>
        <v>2407600</v>
      </c>
      <c r="C996" s="202">
        <f t="shared" ref="C996:H996" si="467">C994+C995</f>
        <v>3775500.0000000005</v>
      </c>
      <c r="D996" s="202">
        <f t="shared" si="467"/>
        <v>3870700</v>
      </c>
      <c r="E996" s="202">
        <f t="shared" si="467"/>
        <v>4263700</v>
      </c>
      <c r="F996" s="202">
        <f t="shared" si="467"/>
        <v>9569500</v>
      </c>
      <c r="G996" s="202">
        <f t="shared" si="467"/>
        <v>11968600.000000002</v>
      </c>
      <c r="H996" s="202">
        <f t="shared" si="467"/>
        <v>10072500.000000002</v>
      </c>
      <c r="I996" s="202">
        <f>I994+I995</f>
        <v>45928100</v>
      </c>
      <c r="J996" s="221">
        <f t="shared" si="460"/>
        <v>6561157.1428571427</v>
      </c>
    </row>
    <row r="998" spans="1:10" ht="26.25" x14ac:dyDescent="0.25">
      <c r="B998" s="1007" t="s">
        <v>376</v>
      </c>
      <c r="C998" s="1007"/>
      <c r="D998" s="1007"/>
      <c r="E998" s="1007"/>
      <c r="F998" s="1007"/>
      <c r="G998" s="1007"/>
      <c r="H998" s="1007"/>
    </row>
    <row r="999" spans="1:10" ht="15.75" x14ac:dyDescent="0.25">
      <c r="A999" s="207" t="s">
        <v>2</v>
      </c>
      <c r="B999" s="121" t="s">
        <v>282</v>
      </c>
      <c r="C999" s="121" t="s">
        <v>4</v>
      </c>
      <c r="D999" s="121" t="s">
        <v>5</v>
      </c>
      <c r="E999" s="121" t="s">
        <v>6</v>
      </c>
      <c r="F999" s="121" t="s">
        <v>7</v>
      </c>
      <c r="G999" s="121" t="s">
        <v>283</v>
      </c>
      <c r="H999" s="121" t="s">
        <v>9</v>
      </c>
      <c r="I999" s="121" t="s">
        <v>96</v>
      </c>
      <c r="J999" s="209" t="s">
        <v>97</v>
      </c>
    </row>
    <row r="1000" spans="1:10" x14ac:dyDescent="0.25">
      <c r="A1000" s="332" t="s">
        <v>11</v>
      </c>
      <c r="B1000" s="75">
        <v>74</v>
      </c>
      <c r="C1000" s="75">
        <v>136</v>
      </c>
      <c r="D1000" s="75">
        <v>139</v>
      </c>
      <c r="E1000" s="316">
        <v>139</v>
      </c>
      <c r="F1000" s="316">
        <v>345</v>
      </c>
      <c r="G1000" s="316">
        <v>427</v>
      </c>
      <c r="H1000" s="316">
        <v>355</v>
      </c>
      <c r="I1000" s="316">
        <f>SUM(B1000:H1000)</f>
        <v>1615</v>
      </c>
      <c r="J1000" s="382">
        <f>+I1000/7</f>
        <v>230.71428571428572</v>
      </c>
    </row>
    <row r="1001" spans="1:10" x14ac:dyDescent="0.25">
      <c r="A1001" s="212" t="s">
        <v>12</v>
      </c>
      <c r="B1001" s="11">
        <v>32</v>
      </c>
      <c r="C1001" s="11">
        <v>74</v>
      </c>
      <c r="D1001" s="11">
        <v>63</v>
      </c>
      <c r="E1001" s="11">
        <v>74</v>
      </c>
      <c r="F1001" s="11">
        <v>191</v>
      </c>
      <c r="G1001" s="11">
        <v>262</v>
      </c>
      <c r="H1001" s="11">
        <v>192</v>
      </c>
      <c r="I1001" s="11">
        <f>SUM(CEDRITOS!$B1001:$H1001)</f>
        <v>888</v>
      </c>
      <c r="J1001" s="60">
        <f t="shared" ref="J1001:J1006" si="468">I1001/7</f>
        <v>126.85714285714286</v>
      </c>
    </row>
    <row r="1002" spans="1:10" x14ac:dyDescent="0.25">
      <c r="A1002" s="212" t="s">
        <v>13</v>
      </c>
      <c r="B1002" s="11">
        <v>2</v>
      </c>
      <c r="C1002" s="11">
        <v>1</v>
      </c>
      <c r="D1002" s="11">
        <v>3</v>
      </c>
      <c r="E1002" s="11">
        <v>1</v>
      </c>
      <c r="F1002" s="11">
        <v>10</v>
      </c>
      <c r="G1002" s="11">
        <v>14</v>
      </c>
      <c r="H1002" s="11">
        <v>9</v>
      </c>
      <c r="I1002" s="11">
        <f>SUM(CEDRITOS!$B1002:$H1002)</f>
        <v>40</v>
      </c>
      <c r="J1002" s="60">
        <f t="shared" si="468"/>
        <v>5.7142857142857144</v>
      </c>
    </row>
    <row r="1003" spans="1:10" x14ac:dyDescent="0.25">
      <c r="A1003" s="212" t="s">
        <v>14</v>
      </c>
      <c r="B1003" s="11">
        <v>28</v>
      </c>
      <c r="C1003" s="11">
        <v>37</v>
      </c>
      <c r="D1003" s="11">
        <v>31</v>
      </c>
      <c r="E1003" s="11">
        <v>41</v>
      </c>
      <c r="F1003" s="11">
        <v>64</v>
      </c>
      <c r="G1003" s="11">
        <v>101</v>
      </c>
      <c r="H1003" s="11">
        <v>73</v>
      </c>
      <c r="I1003" s="11">
        <f>SUM(CEDRITOS!$B1003:$H1003)</f>
        <v>375</v>
      </c>
      <c r="J1003" s="60">
        <f t="shared" si="468"/>
        <v>53.571428571428569</v>
      </c>
    </row>
    <row r="1004" spans="1:10" x14ac:dyDescent="0.25">
      <c r="A1004" s="212" t="s">
        <v>15</v>
      </c>
      <c r="B1004" s="11">
        <v>7</v>
      </c>
      <c r="C1004" s="11">
        <v>6</v>
      </c>
      <c r="D1004" s="11">
        <v>11</v>
      </c>
      <c r="E1004" s="11">
        <v>7</v>
      </c>
      <c r="F1004" s="11">
        <v>6</v>
      </c>
      <c r="G1004" s="11">
        <v>1</v>
      </c>
      <c r="H1004" s="11">
        <v>11</v>
      </c>
      <c r="I1004" s="11">
        <f>SUM(CEDRITOS!$B1004:$H1004)</f>
        <v>49</v>
      </c>
      <c r="J1004" s="60">
        <f t="shared" si="468"/>
        <v>7</v>
      </c>
    </row>
    <row r="1005" spans="1:10" x14ac:dyDescent="0.25">
      <c r="A1005" s="212" t="s">
        <v>16</v>
      </c>
      <c r="B1005" s="11">
        <v>0</v>
      </c>
      <c r="C1005" s="11">
        <v>0</v>
      </c>
      <c r="D1005" s="11">
        <v>0</v>
      </c>
      <c r="E1005" s="11">
        <v>0</v>
      </c>
      <c r="F1005" s="11">
        <v>0</v>
      </c>
      <c r="G1005" s="86">
        <v>1</v>
      </c>
      <c r="H1005" s="86">
        <v>2</v>
      </c>
      <c r="I1005" s="11">
        <f>SUM(CEDRITOS!$B1005:$H1005)</f>
        <v>3</v>
      </c>
      <c r="J1005" s="60">
        <f t="shared" si="468"/>
        <v>0.42857142857142855</v>
      </c>
    </row>
    <row r="1006" spans="1:10" x14ac:dyDescent="0.25">
      <c r="A1006" s="213" t="s">
        <v>17</v>
      </c>
      <c r="B1006" s="192">
        <f>SUM(B1001:B1005)</f>
        <v>69</v>
      </c>
      <c r="C1006" s="192">
        <f t="shared" ref="C1006:I1006" si="469">SUM(C1001:C1005)</f>
        <v>118</v>
      </c>
      <c r="D1006" s="192">
        <f t="shared" si="469"/>
        <v>108</v>
      </c>
      <c r="E1006" s="192">
        <f t="shared" si="469"/>
        <v>123</v>
      </c>
      <c r="F1006" s="192">
        <f t="shared" si="469"/>
        <v>271</v>
      </c>
      <c r="G1006" s="192">
        <f t="shared" si="469"/>
        <v>379</v>
      </c>
      <c r="H1006" s="192">
        <f t="shared" si="469"/>
        <v>287</v>
      </c>
      <c r="I1006" s="192">
        <f t="shared" si="469"/>
        <v>1355</v>
      </c>
      <c r="J1006" s="214">
        <f t="shared" si="468"/>
        <v>193.57142857142858</v>
      </c>
    </row>
    <row r="1007" spans="1:10" x14ac:dyDescent="0.25">
      <c r="A1007" s="212" t="s">
        <v>18</v>
      </c>
      <c r="B1007" s="386">
        <v>0.52</v>
      </c>
      <c r="C1007" s="387">
        <v>0.65</v>
      </c>
      <c r="D1007" s="387">
        <v>0.66</v>
      </c>
      <c r="E1007" s="387">
        <v>0.65</v>
      </c>
      <c r="F1007" s="387">
        <v>0.72</v>
      </c>
      <c r="G1007" s="387">
        <v>0.73</v>
      </c>
      <c r="H1007" s="387">
        <v>0.71</v>
      </c>
      <c r="I1007" s="30">
        <f>I1014/I1019</f>
        <v>0.69577257246666446</v>
      </c>
      <c r="J1007" s="160">
        <f>J1014/J1019</f>
        <v>0.69577257246666435</v>
      </c>
    </row>
    <row r="1008" spans="1:10" x14ac:dyDescent="0.25">
      <c r="A1008" s="212" t="s">
        <v>19</v>
      </c>
      <c r="B1008" s="386">
        <v>0.02</v>
      </c>
      <c r="C1008" s="387">
        <v>0</v>
      </c>
      <c r="D1008" s="387">
        <v>0.02</v>
      </c>
      <c r="E1008" s="387">
        <v>0</v>
      </c>
      <c r="F1008" s="387">
        <v>0.04</v>
      </c>
      <c r="G1008" s="387">
        <v>0.04</v>
      </c>
      <c r="H1008" s="387">
        <v>0.03</v>
      </c>
      <c r="I1008" s="30">
        <f>I1015/I1019</f>
        <v>2.8901842099770862E-2</v>
      </c>
      <c r="J1008" s="160">
        <f>J1015/J1019</f>
        <v>2.8901842099770862E-2</v>
      </c>
    </row>
    <row r="1009" spans="1:10" x14ac:dyDescent="0.25">
      <c r="A1009" s="212" t="s">
        <v>20</v>
      </c>
      <c r="B1009" s="386">
        <v>0.38</v>
      </c>
      <c r="C1009" s="387">
        <v>0.28999999999999998</v>
      </c>
      <c r="D1009" s="387">
        <v>0.23</v>
      </c>
      <c r="E1009" s="387">
        <v>0.28999999999999998</v>
      </c>
      <c r="F1009" s="387">
        <v>0.22</v>
      </c>
      <c r="G1009" s="387">
        <v>0.23</v>
      </c>
      <c r="H1009" s="387">
        <v>0.22</v>
      </c>
      <c r="I1009" s="30">
        <f>I1016/I1019</f>
        <v>0.24175756025847342</v>
      </c>
      <c r="J1009" s="160">
        <f>J1016/J1019</f>
        <v>0.24175756025847342</v>
      </c>
    </row>
    <row r="1010" spans="1:10" x14ac:dyDescent="0.25">
      <c r="A1010" s="212" t="s">
        <v>21</v>
      </c>
      <c r="B1010" s="386">
        <v>0.08</v>
      </c>
      <c r="C1010" s="387">
        <v>0.06</v>
      </c>
      <c r="D1010" s="387">
        <v>0.09</v>
      </c>
      <c r="E1010" s="387">
        <v>0.06</v>
      </c>
      <c r="F1010" s="387">
        <v>0.02</v>
      </c>
      <c r="G1010" s="387">
        <v>0</v>
      </c>
      <c r="H1010" s="387">
        <v>0.03</v>
      </c>
      <c r="I1010" s="30">
        <f>I1017/I1019</f>
        <v>3.1340269702156226E-2</v>
      </c>
      <c r="J1010" s="160">
        <f>J1017/J1019</f>
        <v>3.1340269702156226E-2</v>
      </c>
    </row>
    <row r="1011" spans="1:10" x14ac:dyDescent="0.25">
      <c r="A1011" s="212" t="s">
        <v>22</v>
      </c>
      <c r="B1011" s="386">
        <v>0</v>
      </c>
      <c r="C1011" s="387">
        <v>0</v>
      </c>
      <c r="D1011" s="387">
        <v>0</v>
      </c>
      <c r="E1011" s="387">
        <v>0</v>
      </c>
      <c r="F1011" s="387">
        <v>0</v>
      </c>
      <c r="G1011" s="387">
        <v>0</v>
      </c>
      <c r="H1011" s="387">
        <v>0.01</v>
      </c>
      <c r="I1011" s="30">
        <f>I1018/I1019</f>
        <v>2.2277554729350788E-3</v>
      </c>
      <c r="J1011" s="160">
        <f>J1018/J1019</f>
        <v>2.2277554729350788E-3</v>
      </c>
    </row>
    <row r="1012" spans="1:10" x14ac:dyDescent="0.25">
      <c r="A1012" s="215" t="s">
        <v>23</v>
      </c>
      <c r="B1012" s="66">
        <f t="shared" ref="B1012:J1012" si="470">B1023/B1006</f>
        <v>30840.579710144928</v>
      </c>
      <c r="C1012" s="66">
        <f t="shared" si="470"/>
        <v>31495.762711864412</v>
      </c>
      <c r="D1012" s="66">
        <f t="shared" si="470"/>
        <v>38031.481481481482</v>
      </c>
      <c r="E1012" s="66">
        <f t="shared" si="470"/>
        <v>32653.658536585368</v>
      </c>
      <c r="F1012" s="66">
        <f t="shared" si="470"/>
        <v>37002.952029520304</v>
      </c>
      <c r="G1012" s="66">
        <f t="shared" si="470"/>
        <v>37097.889182058047</v>
      </c>
      <c r="H1012" s="66">
        <f t="shared" si="470"/>
        <v>37941.811846689903</v>
      </c>
      <c r="I1012" s="66">
        <f t="shared" si="470"/>
        <v>36122.140221402216</v>
      </c>
      <c r="J1012" s="67">
        <f t="shared" si="470"/>
        <v>36122.140221402209</v>
      </c>
    </row>
    <row r="1013" spans="1:10" x14ac:dyDescent="0.25">
      <c r="A1013" s="215" t="s">
        <v>24</v>
      </c>
      <c r="B1013" s="66">
        <f t="shared" ref="B1013:I1013" si="471">+B1023/B1000</f>
        <v>28756.756756756757</v>
      </c>
      <c r="C1013" s="66">
        <f t="shared" si="471"/>
        <v>27327.205882352944</v>
      </c>
      <c r="D1013" s="66">
        <f t="shared" si="471"/>
        <v>29549.640287769784</v>
      </c>
      <c r="E1013" s="66">
        <f t="shared" si="471"/>
        <v>28894.964028776983</v>
      </c>
      <c r="F1013" s="66">
        <f t="shared" si="471"/>
        <v>29066.086956521744</v>
      </c>
      <c r="G1013" s="66">
        <f t="shared" si="471"/>
        <v>32927.634660421543</v>
      </c>
      <c r="H1013" s="66">
        <f t="shared" si="471"/>
        <v>30674.084507042258</v>
      </c>
      <c r="I1013" s="66">
        <f t="shared" si="471"/>
        <v>30306.811145510837</v>
      </c>
      <c r="J1013" s="67">
        <f>J1023/J1000</f>
        <v>30306.811145510834</v>
      </c>
    </row>
    <row r="1014" spans="1:10" x14ac:dyDescent="0.25">
      <c r="A1014" s="212" t="s">
        <v>25</v>
      </c>
      <c r="B1014" s="92">
        <f t="shared" ref="B1014:H1014" si="472">B1019*B1007</f>
        <v>918071.83448275877</v>
      </c>
      <c r="C1014" s="92">
        <f t="shared" si="472"/>
        <v>1978866.0517241382</v>
      </c>
      <c r="D1014" s="92">
        <f t="shared" si="472"/>
        <v>2247364.0655172416</v>
      </c>
      <c r="E1014" s="92">
        <f t="shared" si="472"/>
        <v>2146913.4655172415</v>
      </c>
      <c r="F1014" s="92">
        <f t="shared" si="472"/>
        <v>5927796.1241379315</v>
      </c>
      <c r="G1014" s="31">
        <f t="shared" si="472"/>
        <v>8436001.0793103445</v>
      </c>
      <c r="H1014" s="31">
        <f t="shared" si="472"/>
        <v>6371232.9862068975</v>
      </c>
      <c r="I1014" s="31">
        <f>SUM(B1014:H1014)</f>
        <v>28026245.606896549</v>
      </c>
      <c r="J1014" s="32">
        <f t="shared" ref="J1014:J1023" si="473">I1014/7</f>
        <v>4003749.3724137926</v>
      </c>
    </row>
    <row r="1015" spans="1:10" x14ac:dyDescent="0.25">
      <c r="A1015" s="212" t="s">
        <v>26</v>
      </c>
      <c r="B1015" s="92">
        <f t="shared" ref="B1015:H1015" si="474">B1019*B1008</f>
        <v>35310.4551724138</v>
      </c>
      <c r="C1015" s="92">
        <f t="shared" si="474"/>
        <v>0</v>
      </c>
      <c r="D1015" s="92">
        <f t="shared" si="474"/>
        <v>68101.941379310345</v>
      </c>
      <c r="E1015" s="92">
        <f t="shared" si="474"/>
        <v>0</v>
      </c>
      <c r="F1015" s="92">
        <f t="shared" si="474"/>
        <v>329322.00689655176</v>
      </c>
      <c r="G1015" s="31">
        <f t="shared" si="474"/>
        <v>462246.63448275864</v>
      </c>
      <c r="H1015" s="31">
        <f t="shared" si="474"/>
        <v>269207.02758620691</v>
      </c>
      <c r="I1015" s="31">
        <f>SUM(B1015:H1015)</f>
        <v>1164188.0655172416</v>
      </c>
      <c r="J1015" s="32">
        <f t="shared" si="473"/>
        <v>166312.58078817738</v>
      </c>
    </row>
    <row r="1016" spans="1:10" x14ac:dyDescent="0.25">
      <c r="A1016" s="212" t="s">
        <v>27</v>
      </c>
      <c r="B1016" s="92">
        <f t="shared" ref="B1016:H1016" si="475">B1019*B1009</f>
        <v>670898.6482758621</v>
      </c>
      <c r="C1016" s="92">
        <f t="shared" si="475"/>
        <v>882878.7</v>
      </c>
      <c r="D1016" s="92">
        <f t="shared" si="475"/>
        <v>783172.32586206903</v>
      </c>
      <c r="E1016" s="92">
        <f t="shared" si="475"/>
        <v>957853.70000000007</v>
      </c>
      <c r="F1016" s="92">
        <f t="shared" si="475"/>
        <v>1811271.0379310348</v>
      </c>
      <c r="G1016" s="31">
        <f t="shared" si="475"/>
        <v>2657918.1482758624</v>
      </c>
      <c r="H1016" s="31">
        <f t="shared" si="475"/>
        <v>1974184.8689655175</v>
      </c>
      <c r="I1016" s="31">
        <f>SUM(B1016:H1016)</f>
        <v>9738177.429310346</v>
      </c>
      <c r="J1016" s="32">
        <f t="shared" si="473"/>
        <v>1391168.2041871923</v>
      </c>
    </row>
    <row r="1017" spans="1:10" x14ac:dyDescent="0.25">
      <c r="A1017" s="212" t="s">
        <v>28</v>
      </c>
      <c r="B1017" s="92">
        <f t="shared" ref="B1017:H1017" si="476">B1019*B1010</f>
        <v>141241.8206896552</v>
      </c>
      <c r="C1017" s="92">
        <f t="shared" si="476"/>
        <v>182664.55862068967</v>
      </c>
      <c r="D1017" s="92">
        <f t="shared" si="476"/>
        <v>306458.73620689654</v>
      </c>
      <c r="E1017" s="92">
        <f t="shared" si="476"/>
        <v>198176.62758620692</v>
      </c>
      <c r="F1017" s="92">
        <f t="shared" si="476"/>
        <v>164661.00344827588</v>
      </c>
      <c r="G1017" s="31">
        <f t="shared" si="476"/>
        <v>0</v>
      </c>
      <c r="H1017" s="31">
        <f t="shared" si="476"/>
        <v>269207.02758620691</v>
      </c>
      <c r="I1017" s="31">
        <f>SUM(B1017:H1017)</f>
        <v>1262409.7741379309</v>
      </c>
      <c r="J1017" s="32">
        <f t="shared" si="473"/>
        <v>180344.25344827585</v>
      </c>
    </row>
    <row r="1018" spans="1:10" x14ac:dyDescent="0.25">
      <c r="A1018" s="212" t="s">
        <v>29</v>
      </c>
      <c r="B1018" s="92">
        <f t="shared" ref="B1018:H1018" si="477">B1019*B1011</f>
        <v>0</v>
      </c>
      <c r="C1018" s="92">
        <f t="shared" si="477"/>
        <v>0</v>
      </c>
      <c r="D1018" s="92">
        <f t="shared" si="477"/>
        <v>0</v>
      </c>
      <c r="E1018" s="92">
        <f t="shared" si="477"/>
        <v>0</v>
      </c>
      <c r="F1018" s="92">
        <f t="shared" si="477"/>
        <v>0</v>
      </c>
      <c r="G1018" s="31">
        <f t="shared" si="477"/>
        <v>0</v>
      </c>
      <c r="H1018" s="31">
        <f t="shared" si="477"/>
        <v>89735.67586206898</v>
      </c>
      <c r="I1018" s="31">
        <f>SUM(B1018:H1018)</f>
        <v>89735.67586206898</v>
      </c>
      <c r="J1018" s="32">
        <f t="shared" si="473"/>
        <v>12819.382266009854</v>
      </c>
    </row>
    <row r="1019" spans="1:10" x14ac:dyDescent="0.25">
      <c r="A1019" s="216" t="s">
        <v>30</v>
      </c>
      <c r="B1019" s="222">
        <f>(2128000/1.16)-B1020</f>
        <v>1765522.7586206899</v>
      </c>
      <c r="C1019" s="222">
        <f>(3716500/1.16)-C1020</f>
        <v>3044409.3103448278</v>
      </c>
      <c r="D1019" s="222">
        <f>(4107400/1.16)-D1020</f>
        <v>3405097.0689655175</v>
      </c>
      <c r="E1019" s="222">
        <f>(4016400/1.16)-E1020</f>
        <v>3302943.7931034486</v>
      </c>
      <c r="F1019" s="222">
        <f>(10027800/1.16)-F1020</f>
        <v>8233050.1724137943</v>
      </c>
      <c r="G1019" s="222">
        <f>(14060100/1.16)-G1020</f>
        <v>11556165.862068966</v>
      </c>
      <c r="H1019" s="222">
        <f>(10889300/1.16)-H1020</f>
        <v>8973567.5862068981</v>
      </c>
      <c r="I1019" s="197">
        <f>SUM(I1014:I1018)</f>
        <v>40280756.551724136</v>
      </c>
      <c r="J1019" s="217">
        <f t="shared" si="473"/>
        <v>5754393.7931034481</v>
      </c>
    </row>
    <row r="1020" spans="1:10" x14ac:dyDescent="0.25">
      <c r="A1020" s="212" t="s">
        <v>31</v>
      </c>
      <c r="B1020" s="92">
        <f t="shared" ref="B1020:I1020" si="478">2155*B1001</f>
        <v>68960</v>
      </c>
      <c r="C1020" s="92">
        <f t="shared" si="478"/>
        <v>159470</v>
      </c>
      <c r="D1020" s="92">
        <f t="shared" si="478"/>
        <v>135765</v>
      </c>
      <c r="E1020" s="92">
        <f t="shared" si="478"/>
        <v>159470</v>
      </c>
      <c r="F1020" s="92">
        <f t="shared" si="478"/>
        <v>411605</v>
      </c>
      <c r="G1020" s="31">
        <f t="shared" si="478"/>
        <v>564610</v>
      </c>
      <c r="H1020" s="31">
        <f t="shared" si="478"/>
        <v>413760</v>
      </c>
      <c r="I1020" s="31">
        <f t="shared" si="478"/>
        <v>1913640</v>
      </c>
      <c r="J1020" s="32">
        <f t="shared" si="473"/>
        <v>273377.14285714284</v>
      </c>
    </row>
    <row r="1021" spans="1:10" x14ac:dyDescent="0.25">
      <c r="A1021" s="218" t="s">
        <v>32</v>
      </c>
      <c r="B1021" s="199">
        <f>B1020+B1019</f>
        <v>1834482.7586206899</v>
      </c>
      <c r="C1021" s="199">
        <f>C1020+C1019</f>
        <v>3203879.3103448278</v>
      </c>
      <c r="D1021" s="199">
        <f>D1020+D1019</f>
        <v>3540862.0689655175</v>
      </c>
      <c r="E1021" s="199">
        <f>E1020+E1019</f>
        <v>3462413.7931034486</v>
      </c>
      <c r="F1021" s="199">
        <f>F1019+F1020</f>
        <v>8644655.1724137943</v>
      </c>
      <c r="G1021" s="199">
        <f>G1020+G1019</f>
        <v>12120775.862068966</v>
      </c>
      <c r="H1021" s="199">
        <f>H1020+H1019</f>
        <v>9387327.5862068981</v>
      </c>
      <c r="I1021" s="199">
        <f>I1019+I1020</f>
        <v>42194396.551724136</v>
      </c>
      <c r="J1021" s="219">
        <f t="shared" si="473"/>
        <v>6027770.9359605908</v>
      </c>
    </row>
    <row r="1022" spans="1:10" x14ac:dyDescent="0.25">
      <c r="A1022" s="212" t="s">
        <v>33</v>
      </c>
      <c r="B1022" s="94">
        <f>B1021*16%</f>
        <v>293517.24137931038</v>
      </c>
      <c r="C1022" s="94">
        <f t="shared" ref="C1022:H1022" si="479">C1021*16%</f>
        <v>512620.68965517246</v>
      </c>
      <c r="D1022" s="94">
        <f t="shared" si="479"/>
        <v>566537.93103448278</v>
      </c>
      <c r="E1022" s="94">
        <f t="shared" si="479"/>
        <v>553986.20689655177</v>
      </c>
      <c r="F1022" s="94">
        <f t="shared" si="479"/>
        <v>1383144.8275862071</v>
      </c>
      <c r="G1022" s="94">
        <f t="shared" si="479"/>
        <v>1939324.1379310347</v>
      </c>
      <c r="H1022" s="94">
        <f t="shared" si="479"/>
        <v>1501972.4137931038</v>
      </c>
      <c r="I1022" s="94">
        <f>I1021*16%</f>
        <v>6751103.4482758623</v>
      </c>
      <c r="J1022" s="32">
        <f t="shared" si="473"/>
        <v>964443.34975369461</v>
      </c>
    </row>
    <row r="1023" spans="1:10" x14ac:dyDescent="0.25">
      <c r="A1023" s="220" t="s">
        <v>34</v>
      </c>
      <c r="B1023" s="202">
        <f>B1021+B1022</f>
        <v>2128000</v>
      </c>
      <c r="C1023" s="202">
        <f t="shared" ref="C1023:H1023" si="480">C1021+C1022</f>
        <v>3716500.0000000005</v>
      </c>
      <c r="D1023" s="202">
        <f t="shared" si="480"/>
        <v>4107400</v>
      </c>
      <c r="E1023" s="202">
        <f t="shared" si="480"/>
        <v>4016400.0000000005</v>
      </c>
      <c r="F1023" s="202">
        <f t="shared" si="480"/>
        <v>10027800.000000002</v>
      </c>
      <c r="G1023" s="202">
        <f t="shared" si="480"/>
        <v>14060100</v>
      </c>
      <c r="H1023" s="202">
        <f t="shared" si="480"/>
        <v>10889300.000000002</v>
      </c>
      <c r="I1023" s="202">
        <f>I1021+I1022</f>
        <v>48945500</v>
      </c>
      <c r="J1023" s="221">
        <f t="shared" si="473"/>
        <v>6992214.2857142854</v>
      </c>
    </row>
    <row r="1025" spans="1:10" ht="26.25" x14ac:dyDescent="0.25">
      <c r="B1025" s="1007" t="s">
        <v>377</v>
      </c>
      <c r="C1025" s="1007"/>
      <c r="D1025" s="1007"/>
      <c r="E1025" s="1007"/>
      <c r="F1025" s="1007"/>
      <c r="G1025" s="1007"/>
      <c r="H1025" s="1007"/>
    </row>
    <row r="1026" spans="1:10" ht="15.75" x14ac:dyDescent="0.25">
      <c r="A1026" s="207" t="s">
        <v>2</v>
      </c>
      <c r="B1026" s="121" t="s">
        <v>285</v>
      </c>
      <c r="C1026" s="121" t="s">
        <v>37</v>
      </c>
      <c r="D1026" s="121" t="s">
        <v>286</v>
      </c>
      <c r="E1026" s="121" t="s">
        <v>39</v>
      </c>
      <c r="F1026" s="121" t="s">
        <v>40</v>
      </c>
      <c r="G1026" s="121" t="s">
        <v>287</v>
      </c>
      <c r="H1026" s="121" t="s">
        <v>42</v>
      </c>
      <c r="I1026" s="121" t="s">
        <v>96</v>
      </c>
      <c r="J1026" s="209" t="s">
        <v>97</v>
      </c>
    </row>
    <row r="1027" spans="1:10" x14ac:dyDescent="0.25">
      <c r="A1027" s="332" t="s">
        <v>11</v>
      </c>
      <c r="B1027" s="75">
        <v>108</v>
      </c>
      <c r="C1027" s="75">
        <v>104</v>
      </c>
      <c r="D1027" s="75">
        <v>125</v>
      </c>
      <c r="E1027" s="316">
        <v>147</v>
      </c>
      <c r="F1027" s="316">
        <v>309</v>
      </c>
      <c r="G1027" s="316">
        <v>410</v>
      </c>
      <c r="H1027" s="316">
        <v>381</v>
      </c>
      <c r="I1027" s="316">
        <f>SUM(B1027:H1027)</f>
        <v>1584</v>
      </c>
      <c r="J1027" s="382">
        <f>+I1027/7</f>
        <v>226.28571428571428</v>
      </c>
    </row>
    <row r="1028" spans="1:10" x14ac:dyDescent="0.25">
      <c r="A1028" s="212" t="s">
        <v>12</v>
      </c>
      <c r="B1028" s="11">
        <v>50</v>
      </c>
      <c r="C1028" s="11">
        <v>47</v>
      </c>
      <c r="D1028" s="11">
        <v>55</v>
      </c>
      <c r="E1028" s="11">
        <v>82</v>
      </c>
      <c r="F1028" s="11">
        <v>159</v>
      </c>
      <c r="G1028" s="11">
        <v>206</v>
      </c>
      <c r="H1028" s="11">
        <v>208</v>
      </c>
      <c r="I1028" s="11">
        <f>SUM(CEDRITOS!$B1028:$H1028)</f>
        <v>807</v>
      </c>
      <c r="J1028" s="60">
        <f t="shared" ref="J1028:J1033" si="481">I1028/7</f>
        <v>115.28571428571429</v>
      </c>
    </row>
    <row r="1029" spans="1:10" x14ac:dyDescent="0.25">
      <c r="A1029" s="212" t="s">
        <v>13</v>
      </c>
      <c r="B1029" s="11">
        <v>3</v>
      </c>
      <c r="C1029" s="11">
        <v>2</v>
      </c>
      <c r="D1029" s="11">
        <v>2</v>
      </c>
      <c r="E1029" s="11">
        <v>3</v>
      </c>
      <c r="F1029" s="11">
        <v>10</v>
      </c>
      <c r="G1029" s="11">
        <v>14</v>
      </c>
      <c r="H1029" s="11">
        <v>8</v>
      </c>
      <c r="I1029" s="11">
        <f>SUM(CEDRITOS!$B1029:$H1029)</f>
        <v>42</v>
      </c>
      <c r="J1029" s="60">
        <f t="shared" si="481"/>
        <v>6</v>
      </c>
    </row>
    <row r="1030" spans="1:10" x14ac:dyDescent="0.25">
      <c r="A1030" s="212" t="s">
        <v>14</v>
      </c>
      <c r="B1030" s="11">
        <v>34</v>
      </c>
      <c r="C1030" s="11">
        <v>37</v>
      </c>
      <c r="D1030" s="11">
        <v>39</v>
      </c>
      <c r="E1030" s="11">
        <v>35</v>
      </c>
      <c r="F1030" s="11">
        <v>78</v>
      </c>
      <c r="G1030" s="11">
        <v>117</v>
      </c>
      <c r="H1030" s="11">
        <v>84</v>
      </c>
      <c r="I1030" s="11">
        <f>SUM(CEDRITOS!$B1030:$H1030)</f>
        <v>424</v>
      </c>
      <c r="J1030" s="60">
        <f t="shared" si="481"/>
        <v>60.571428571428569</v>
      </c>
    </row>
    <row r="1031" spans="1:10" x14ac:dyDescent="0.25">
      <c r="A1031" s="212" t="s">
        <v>15</v>
      </c>
      <c r="B1031" s="11">
        <v>0</v>
      </c>
      <c r="C1031" s="11">
        <v>1</v>
      </c>
      <c r="D1031" s="11">
        <v>0</v>
      </c>
      <c r="E1031" s="11">
        <v>2</v>
      </c>
      <c r="F1031" s="11">
        <v>4</v>
      </c>
      <c r="G1031" s="11">
        <v>4</v>
      </c>
      <c r="H1031" s="11">
        <v>12</v>
      </c>
      <c r="I1031" s="11">
        <f>SUM(CEDRITOS!$B1031:$H1031)</f>
        <v>23</v>
      </c>
      <c r="J1031" s="60">
        <f t="shared" si="481"/>
        <v>3.2857142857142856</v>
      </c>
    </row>
    <row r="1032" spans="1:10" x14ac:dyDescent="0.25">
      <c r="A1032" s="212" t="s">
        <v>16</v>
      </c>
      <c r="B1032" s="11">
        <v>0</v>
      </c>
      <c r="C1032" s="11">
        <v>1</v>
      </c>
      <c r="D1032" s="11">
        <v>0</v>
      </c>
      <c r="E1032" s="11">
        <v>1</v>
      </c>
      <c r="F1032" s="11">
        <v>2</v>
      </c>
      <c r="G1032" s="86">
        <v>2</v>
      </c>
      <c r="H1032" s="86">
        <v>1</v>
      </c>
      <c r="I1032" s="11">
        <f>SUM(CEDRITOS!$B1032:$H1032)</f>
        <v>7</v>
      </c>
      <c r="J1032" s="60">
        <f t="shared" si="481"/>
        <v>1</v>
      </c>
    </row>
    <row r="1033" spans="1:10" x14ac:dyDescent="0.25">
      <c r="A1033" s="213" t="s">
        <v>17</v>
      </c>
      <c r="B1033" s="192">
        <f>SUM(B1028:B1032)</f>
        <v>87</v>
      </c>
      <c r="C1033" s="192">
        <f t="shared" ref="C1033:I1033" si="482">SUM(C1028:C1032)</f>
        <v>88</v>
      </c>
      <c r="D1033" s="192">
        <f t="shared" si="482"/>
        <v>96</v>
      </c>
      <c r="E1033" s="192">
        <f t="shared" si="482"/>
        <v>123</v>
      </c>
      <c r="F1033" s="192">
        <f t="shared" si="482"/>
        <v>253</v>
      </c>
      <c r="G1033" s="192">
        <f t="shared" si="482"/>
        <v>343</v>
      </c>
      <c r="H1033" s="192">
        <f t="shared" si="482"/>
        <v>313</v>
      </c>
      <c r="I1033" s="192">
        <f t="shared" si="482"/>
        <v>1303</v>
      </c>
      <c r="J1033" s="214">
        <f t="shared" si="481"/>
        <v>186.14285714285714</v>
      </c>
    </row>
    <row r="1034" spans="1:10" x14ac:dyDescent="0.25">
      <c r="A1034" s="212" t="s">
        <v>18</v>
      </c>
      <c r="B1034" s="386">
        <v>0.63</v>
      </c>
      <c r="C1034" s="387">
        <v>0.62</v>
      </c>
      <c r="D1034" s="387">
        <v>0.65</v>
      </c>
      <c r="E1034" s="387">
        <v>0.71</v>
      </c>
      <c r="F1034" s="387">
        <v>0.67</v>
      </c>
      <c r="G1034" s="387">
        <v>0.66</v>
      </c>
      <c r="H1034" s="387">
        <v>0.7</v>
      </c>
      <c r="I1034" s="30">
        <f>I1041/I1046</f>
        <v>0.67081130634090846</v>
      </c>
      <c r="J1034" s="160">
        <f>J1041/J1046</f>
        <v>0.67081130634090846</v>
      </c>
    </row>
    <row r="1035" spans="1:10" x14ac:dyDescent="0.25">
      <c r="A1035" s="212" t="s">
        <v>19</v>
      </c>
      <c r="B1035" s="386">
        <v>0.03</v>
      </c>
      <c r="C1035" s="387">
        <v>0.02</v>
      </c>
      <c r="D1035" s="387">
        <v>0.02</v>
      </c>
      <c r="E1035" s="387">
        <v>0.02</v>
      </c>
      <c r="F1035" s="387">
        <v>0.04</v>
      </c>
      <c r="G1035" s="387">
        <v>0.04</v>
      </c>
      <c r="H1035" s="387">
        <v>0.03</v>
      </c>
      <c r="I1035" s="30">
        <f>I1042/I1046</f>
        <v>3.2276793836882749E-2</v>
      </c>
      <c r="J1035" s="160">
        <f>J1042/J1046</f>
        <v>3.2276793836882749E-2</v>
      </c>
    </row>
    <row r="1036" spans="1:10" x14ac:dyDescent="0.25">
      <c r="A1036" s="212" t="s">
        <v>20</v>
      </c>
      <c r="B1036" s="386">
        <v>0.34</v>
      </c>
      <c r="C1036" s="387">
        <v>0.33</v>
      </c>
      <c r="D1036" s="387">
        <v>0.33</v>
      </c>
      <c r="E1036" s="387">
        <v>0.24</v>
      </c>
      <c r="F1036" s="387">
        <v>0.27</v>
      </c>
      <c r="G1036" s="387">
        <v>0.28000000000000003</v>
      </c>
      <c r="H1036" s="387">
        <v>0.24</v>
      </c>
      <c r="I1036" s="30">
        <f>I1043/I1046</f>
        <v>0.27573514248536513</v>
      </c>
      <c r="J1036" s="160">
        <f>J1043/J1046</f>
        <v>0.27573514248536513</v>
      </c>
    </row>
    <row r="1037" spans="1:10" x14ac:dyDescent="0.25">
      <c r="A1037" s="212" t="s">
        <v>21</v>
      </c>
      <c r="B1037" s="386">
        <v>0</v>
      </c>
      <c r="C1037" s="387">
        <v>0.02</v>
      </c>
      <c r="D1037" s="387">
        <v>0</v>
      </c>
      <c r="E1037" s="387">
        <v>0.02</v>
      </c>
      <c r="F1037" s="387">
        <v>0.01</v>
      </c>
      <c r="G1037" s="387">
        <v>0.01</v>
      </c>
      <c r="H1037" s="387">
        <v>0.03</v>
      </c>
      <c r="I1037" s="30">
        <f>I1044/I1046</f>
        <v>1.5006420714795479E-2</v>
      </c>
      <c r="J1037" s="160">
        <f>J1044/J1046</f>
        <v>1.5006420714795481E-2</v>
      </c>
    </row>
    <row r="1038" spans="1:10" x14ac:dyDescent="0.25">
      <c r="A1038" s="212" t="s">
        <v>22</v>
      </c>
      <c r="B1038" s="386">
        <v>0</v>
      </c>
      <c r="C1038" s="387">
        <v>0.01</v>
      </c>
      <c r="D1038" s="387">
        <v>0</v>
      </c>
      <c r="E1038" s="387">
        <v>0.01</v>
      </c>
      <c r="F1038" s="387">
        <v>0.01</v>
      </c>
      <c r="G1038" s="387">
        <v>0.01</v>
      </c>
      <c r="H1038" s="387">
        <v>0</v>
      </c>
      <c r="I1038" s="30">
        <f>I1045/I1046</f>
        <v>6.1703366220481346E-3</v>
      </c>
      <c r="J1038" s="160">
        <f>J1045/J1046</f>
        <v>6.1703366220481346E-3</v>
      </c>
    </row>
    <row r="1039" spans="1:10" x14ac:dyDescent="0.25">
      <c r="A1039" s="215" t="s">
        <v>23</v>
      </c>
      <c r="B1039" s="66">
        <f t="shared" ref="B1039:J1039" si="483">B1050/B1033</f>
        <v>33218.390804597708</v>
      </c>
      <c r="C1039" s="66">
        <f t="shared" si="483"/>
        <v>34515.909090909096</v>
      </c>
      <c r="D1039" s="66">
        <f t="shared" si="483"/>
        <v>38270.833333333336</v>
      </c>
      <c r="E1039" s="66">
        <f t="shared" si="483"/>
        <v>34686.17886178862</v>
      </c>
      <c r="F1039" s="66">
        <f t="shared" si="483"/>
        <v>33793.675889328071</v>
      </c>
      <c r="G1039" s="66">
        <f t="shared" si="483"/>
        <v>38231.195335276971</v>
      </c>
      <c r="H1039" s="66">
        <f t="shared" si="483"/>
        <v>36519.169329073484</v>
      </c>
      <c r="I1039" s="66">
        <f t="shared" si="483"/>
        <v>36040.982348426718</v>
      </c>
      <c r="J1039" s="67">
        <f t="shared" si="483"/>
        <v>36040.982348426718</v>
      </c>
    </row>
    <row r="1040" spans="1:10" x14ac:dyDescent="0.25">
      <c r="A1040" s="215" t="s">
        <v>24</v>
      </c>
      <c r="B1040" s="66">
        <f t="shared" ref="B1040:I1040" si="484">+B1050/B1027</f>
        <v>26759.259259259263</v>
      </c>
      <c r="C1040" s="66">
        <f t="shared" si="484"/>
        <v>29205.769230769234</v>
      </c>
      <c r="D1040" s="66">
        <f t="shared" si="484"/>
        <v>29392.000000000004</v>
      </c>
      <c r="E1040" s="66">
        <f t="shared" si="484"/>
        <v>29023.12925170068</v>
      </c>
      <c r="F1040" s="66">
        <f t="shared" si="484"/>
        <v>27669.255663430427</v>
      </c>
      <c r="G1040" s="66">
        <f t="shared" si="484"/>
        <v>31983.658536585364</v>
      </c>
      <c r="H1040" s="66">
        <f t="shared" si="484"/>
        <v>30001.312335958006</v>
      </c>
      <c r="I1040" s="66">
        <f t="shared" si="484"/>
        <v>29647.348484848495</v>
      </c>
      <c r="J1040" s="67">
        <f>J1050/J1027</f>
        <v>29647.348484848495</v>
      </c>
    </row>
    <row r="1041" spans="1:10" x14ac:dyDescent="0.25">
      <c r="A1041" s="212" t="s">
        <v>25</v>
      </c>
      <c r="B1041" s="92">
        <f t="shared" ref="B1041:H1041" si="485">B1046*B1034</f>
        <v>1501686.4655172415</v>
      </c>
      <c r="C1041" s="92">
        <f t="shared" si="485"/>
        <v>1560641.2310344831</v>
      </c>
      <c r="D1041" s="92">
        <f t="shared" si="485"/>
        <v>1981665.6465517245</v>
      </c>
      <c r="E1041" s="92">
        <f t="shared" si="485"/>
        <v>2485866.9344827589</v>
      </c>
      <c r="F1041" s="92">
        <f t="shared" si="485"/>
        <v>4708674.4017241392</v>
      </c>
      <c r="G1041" s="31">
        <f t="shared" si="485"/>
        <v>7168021.7172413794</v>
      </c>
      <c r="H1041" s="31">
        <f t="shared" si="485"/>
        <v>6583947.5172413792</v>
      </c>
      <c r="I1041" s="31">
        <f>SUM(B1041:H1041)</f>
        <v>25990503.913793109</v>
      </c>
      <c r="J1041" s="32">
        <f t="shared" ref="J1041:J1050" si="486">I1041/7</f>
        <v>3712929.1305418727</v>
      </c>
    </row>
    <row r="1042" spans="1:10" x14ac:dyDescent="0.25">
      <c r="A1042" s="212" t="s">
        <v>26</v>
      </c>
      <c r="B1042" s="92">
        <f t="shared" ref="B1042:H1042" si="487">B1046*B1035</f>
        <v>71508.879310344826</v>
      </c>
      <c r="C1042" s="92">
        <f t="shared" si="487"/>
        <v>50343.265517241387</v>
      </c>
      <c r="D1042" s="92">
        <f t="shared" si="487"/>
        <v>60974.327586206906</v>
      </c>
      <c r="E1042" s="92">
        <f t="shared" si="487"/>
        <v>70024.420689655177</v>
      </c>
      <c r="F1042" s="92">
        <f t="shared" si="487"/>
        <v>281114.88965517248</v>
      </c>
      <c r="G1042" s="31">
        <f t="shared" si="487"/>
        <v>434425.55862068967</v>
      </c>
      <c r="H1042" s="31">
        <f t="shared" si="487"/>
        <v>282169.17931034486</v>
      </c>
      <c r="I1042" s="31">
        <f>SUM(B1042:H1042)</f>
        <v>1250560.5206896553</v>
      </c>
      <c r="J1042" s="32">
        <f t="shared" si="486"/>
        <v>178651.50295566506</v>
      </c>
    </row>
    <row r="1043" spans="1:10" x14ac:dyDescent="0.25">
      <c r="A1043" s="212" t="s">
        <v>27</v>
      </c>
      <c r="B1043" s="92">
        <f t="shared" ref="B1043:H1043" si="488">B1046*B1036</f>
        <v>810433.96551724151</v>
      </c>
      <c r="C1043" s="92">
        <f t="shared" si="488"/>
        <v>830663.88103448297</v>
      </c>
      <c r="D1043" s="92">
        <f t="shared" si="488"/>
        <v>1006076.405172414</v>
      </c>
      <c r="E1043" s="92">
        <f t="shared" si="488"/>
        <v>840293.04827586212</v>
      </c>
      <c r="F1043" s="92">
        <f t="shared" si="488"/>
        <v>1897525.5051724142</v>
      </c>
      <c r="G1043" s="31">
        <f t="shared" si="488"/>
        <v>3040978.9103448279</v>
      </c>
      <c r="H1043" s="31">
        <f t="shared" si="488"/>
        <v>2257353.4344827589</v>
      </c>
      <c r="I1043" s="31">
        <f>SUM(B1043:H1043)</f>
        <v>10683325.150000002</v>
      </c>
      <c r="J1043" s="32">
        <f t="shared" si="486"/>
        <v>1526189.3071428575</v>
      </c>
    </row>
    <row r="1044" spans="1:10" x14ac:dyDescent="0.25">
      <c r="A1044" s="212" t="s">
        <v>28</v>
      </c>
      <c r="B1044" s="92">
        <f t="shared" ref="B1044:H1044" si="489">B1046*B1037</f>
        <v>0</v>
      </c>
      <c r="C1044" s="92">
        <f t="shared" si="489"/>
        <v>50343.265517241387</v>
      </c>
      <c r="D1044" s="92">
        <f t="shared" si="489"/>
        <v>0</v>
      </c>
      <c r="E1044" s="92">
        <f t="shared" si="489"/>
        <v>70024.420689655177</v>
      </c>
      <c r="F1044" s="92">
        <f t="shared" si="489"/>
        <v>70278.722413793119</v>
      </c>
      <c r="G1044" s="31">
        <f t="shared" si="489"/>
        <v>108606.38965517242</v>
      </c>
      <c r="H1044" s="31">
        <f t="shared" si="489"/>
        <v>282169.17931034486</v>
      </c>
      <c r="I1044" s="31">
        <f>SUM(B1044:H1044)</f>
        <v>581421.97758620698</v>
      </c>
      <c r="J1044" s="32">
        <f t="shared" si="486"/>
        <v>83060.282512315287</v>
      </c>
    </row>
    <row r="1045" spans="1:10" x14ac:dyDescent="0.25">
      <c r="A1045" s="212" t="s">
        <v>29</v>
      </c>
      <c r="B1045" s="92">
        <f t="shared" ref="B1045:H1045" si="490">B1046*B1038</f>
        <v>0</v>
      </c>
      <c r="C1045" s="92">
        <f t="shared" si="490"/>
        <v>25171.632758620693</v>
      </c>
      <c r="D1045" s="92">
        <f t="shared" si="490"/>
        <v>0</v>
      </c>
      <c r="E1045" s="92">
        <f t="shared" si="490"/>
        <v>35012.210344827588</v>
      </c>
      <c r="F1045" s="92">
        <f t="shared" si="490"/>
        <v>70278.722413793119</v>
      </c>
      <c r="G1045" s="31">
        <f t="shared" si="490"/>
        <v>108606.38965517242</v>
      </c>
      <c r="H1045" s="31">
        <f t="shared" si="490"/>
        <v>0</v>
      </c>
      <c r="I1045" s="31">
        <f>SUM(B1045:H1045)</f>
        <v>239068.95517241381</v>
      </c>
      <c r="J1045" s="32">
        <f t="shared" si="486"/>
        <v>34152.7078817734</v>
      </c>
    </row>
    <row r="1046" spans="1:10" x14ac:dyDescent="0.25">
      <c r="A1046" s="216" t="s">
        <v>30</v>
      </c>
      <c r="B1046" s="222">
        <f>(2890000/1.16)-B1047</f>
        <v>2383629.3103448278</v>
      </c>
      <c r="C1046" s="222">
        <f>(3037400/1.16)-C1047</f>
        <v>2517163.2758620693</v>
      </c>
      <c r="D1046" s="222">
        <f>(3674000/1.16)-D1047</f>
        <v>3048716.3793103453</v>
      </c>
      <c r="E1046" s="222">
        <f>(4266400/1.16)-E1047</f>
        <v>3501221.034482759</v>
      </c>
      <c r="F1046" s="222">
        <f>(8549800/1.16)-F1047</f>
        <v>7027872.2413793113</v>
      </c>
      <c r="G1046" s="222">
        <f>(13113300/1.16)-G1047</f>
        <v>10860638.965517242</v>
      </c>
      <c r="H1046" s="222">
        <f>(11430500/1.16)-H1047</f>
        <v>9405639.3103448283</v>
      </c>
      <c r="I1046" s="197">
        <f>SUM(I1041:I1045)</f>
        <v>38744880.517241389</v>
      </c>
      <c r="J1046" s="217">
        <f t="shared" si="486"/>
        <v>5534982.9310344839</v>
      </c>
    </row>
    <row r="1047" spans="1:10" x14ac:dyDescent="0.25">
      <c r="A1047" s="212" t="s">
        <v>31</v>
      </c>
      <c r="B1047" s="92">
        <f t="shared" ref="B1047:I1047" si="491">2155*B1028</f>
        <v>107750</v>
      </c>
      <c r="C1047" s="92">
        <f t="shared" si="491"/>
        <v>101285</v>
      </c>
      <c r="D1047" s="92">
        <f t="shared" si="491"/>
        <v>118525</v>
      </c>
      <c r="E1047" s="92">
        <f t="shared" si="491"/>
        <v>176710</v>
      </c>
      <c r="F1047" s="92">
        <f t="shared" si="491"/>
        <v>342645</v>
      </c>
      <c r="G1047" s="31">
        <f t="shared" si="491"/>
        <v>443930</v>
      </c>
      <c r="H1047" s="31">
        <f t="shared" si="491"/>
        <v>448240</v>
      </c>
      <c r="I1047" s="31">
        <f t="shared" si="491"/>
        <v>1739085</v>
      </c>
      <c r="J1047" s="32">
        <f t="shared" si="486"/>
        <v>248440.71428571429</v>
      </c>
    </row>
    <row r="1048" spans="1:10" x14ac:dyDescent="0.25">
      <c r="A1048" s="218" t="s">
        <v>32</v>
      </c>
      <c r="B1048" s="199">
        <f>B1047+B1046</f>
        <v>2491379.3103448278</v>
      </c>
      <c r="C1048" s="199">
        <f>C1047+C1046</f>
        <v>2618448.2758620693</v>
      </c>
      <c r="D1048" s="199">
        <f>D1047+D1046</f>
        <v>3167241.3793103453</v>
      </c>
      <c r="E1048" s="199">
        <f>E1047+E1046</f>
        <v>3677931.034482759</v>
      </c>
      <c r="F1048" s="199">
        <f>F1046+F1047</f>
        <v>7370517.2413793113</v>
      </c>
      <c r="G1048" s="199">
        <f>G1047+G1046</f>
        <v>11304568.965517242</v>
      </c>
      <c r="H1048" s="199">
        <f>H1047+H1046</f>
        <v>9853879.3103448283</v>
      </c>
      <c r="I1048" s="199">
        <f>I1046+I1047</f>
        <v>40483965.517241389</v>
      </c>
      <c r="J1048" s="219">
        <f t="shared" si="486"/>
        <v>5783423.6453201985</v>
      </c>
    </row>
    <row r="1049" spans="1:10" x14ac:dyDescent="0.25">
      <c r="A1049" s="212" t="s">
        <v>33</v>
      </c>
      <c r="B1049" s="94">
        <f>B1048*16%</f>
        <v>398620.68965517246</v>
      </c>
      <c r="C1049" s="94">
        <f t="shared" ref="C1049:H1049" si="492">C1048*16%</f>
        <v>418951.72413793113</v>
      </c>
      <c r="D1049" s="94">
        <f t="shared" si="492"/>
        <v>506758.62068965525</v>
      </c>
      <c r="E1049" s="94">
        <f t="shared" si="492"/>
        <v>588468.96551724139</v>
      </c>
      <c r="F1049" s="94">
        <f t="shared" si="492"/>
        <v>1179282.7586206899</v>
      </c>
      <c r="G1049" s="94">
        <f t="shared" si="492"/>
        <v>1808731.0344827587</v>
      </c>
      <c r="H1049" s="94">
        <f t="shared" si="492"/>
        <v>1576620.6896551726</v>
      </c>
      <c r="I1049" s="94">
        <f>I1048*16%</f>
        <v>6477434.4827586226</v>
      </c>
      <c r="J1049" s="32">
        <f t="shared" si="486"/>
        <v>925347.78325123177</v>
      </c>
    </row>
    <row r="1050" spans="1:10" x14ac:dyDescent="0.25">
      <c r="A1050" s="220" t="s">
        <v>34</v>
      </c>
      <c r="B1050" s="202">
        <f>B1048+B1049</f>
        <v>2890000.0000000005</v>
      </c>
      <c r="C1050" s="202">
        <f t="shared" ref="C1050:H1050" si="493">C1048+C1049</f>
        <v>3037400.0000000005</v>
      </c>
      <c r="D1050" s="202">
        <f t="shared" si="493"/>
        <v>3674000.0000000005</v>
      </c>
      <c r="E1050" s="202">
        <f t="shared" si="493"/>
        <v>4266400</v>
      </c>
      <c r="F1050" s="202">
        <f t="shared" si="493"/>
        <v>8549800.0000000019</v>
      </c>
      <c r="G1050" s="202">
        <f t="shared" si="493"/>
        <v>13113300</v>
      </c>
      <c r="H1050" s="202">
        <f t="shared" si="493"/>
        <v>11430500</v>
      </c>
      <c r="I1050" s="202">
        <f>I1048+I1049</f>
        <v>46961400.000000015</v>
      </c>
      <c r="J1050" s="221">
        <f t="shared" si="486"/>
        <v>6708771.428571431</v>
      </c>
    </row>
    <row r="1052" spans="1:10" ht="26.25" x14ac:dyDescent="0.25">
      <c r="B1052" s="1007" t="s">
        <v>378</v>
      </c>
      <c r="C1052" s="1007"/>
      <c r="D1052" s="1007"/>
      <c r="E1052" s="1007"/>
      <c r="F1052" s="1007"/>
      <c r="G1052" s="1007"/>
      <c r="H1052" s="1007"/>
    </row>
    <row r="1053" spans="1:10" ht="15.75" x14ac:dyDescent="0.25">
      <c r="A1053" s="207" t="s">
        <v>2</v>
      </c>
      <c r="B1053" s="121" t="s">
        <v>45</v>
      </c>
      <c r="C1053" s="121" t="s">
        <v>289</v>
      </c>
      <c r="D1053" s="121" t="s">
        <v>47</v>
      </c>
      <c r="E1053" s="121" t="s">
        <v>48</v>
      </c>
      <c r="F1053" s="121" t="s">
        <v>49</v>
      </c>
      <c r="G1053" s="121" t="s">
        <v>50</v>
      </c>
      <c r="H1053" s="121" t="s">
        <v>290</v>
      </c>
      <c r="I1053" s="121" t="s">
        <v>96</v>
      </c>
      <c r="J1053" s="209" t="s">
        <v>97</v>
      </c>
    </row>
    <row r="1054" spans="1:10" x14ac:dyDescent="0.25">
      <c r="A1054" s="332" t="s">
        <v>11</v>
      </c>
      <c r="B1054" s="75">
        <f>61+31+9</f>
        <v>101</v>
      </c>
      <c r="C1054" s="75">
        <f>56+31+15</f>
        <v>102</v>
      </c>
      <c r="D1054" s="75">
        <f>66+55+13</f>
        <v>134</v>
      </c>
      <c r="E1054" s="316">
        <f>77+54+17</f>
        <v>148</v>
      </c>
      <c r="F1054" s="316">
        <f>151+117+39</f>
        <v>307</v>
      </c>
      <c r="G1054" s="316">
        <f>213+152+39</f>
        <v>404</v>
      </c>
      <c r="H1054" s="316">
        <f>182+127+49</f>
        <v>358</v>
      </c>
      <c r="I1054" s="316">
        <f>SUM(B1054:H1054)</f>
        <v>1554</v>
      </c>
      <c r="J1054" s="382">
        <f>+I1054/7</f>
        <v>222</v>
      </c>
    </row>
    <row r="1055" spans="1:10" x14ac:dyDescent="0.25">
      <c r="A1055" s="212" t="s">
        <v>12</v>
      </c>
      <c r="B1055" s="11">
        <v>40</v>
      </c>
      <c r="C1055" s="11">
        <v>55</v>
      </c>
      <c r="D1055" s="11">
        <v>64</v>
      </c>
      <c r="E1055" s="11">
        <v>74</v>
      </c>
      <c r="F1055" s="11">
        <v>150</v>
      </c>
      <c r="G1055" s="11">
        <v>229</v>
      </c>
      <c r="H1055" s="11">
        <v>214</v>
      </c>
      <c r="I1055" s="11">
        <f>SUM(CEDRITOS!$B1055:$H1055)</f>
        <v>826</v>
      </c>
      <c r="J1055" s="60">
        <f t="shared" ref="J1055:J1060" si="494">I1055/7</f>
        <v>118</v>
      </c>
    </row>
    <row r="1056" spans="1:10" x14ac:dyDescent="0.25">
      <c r="A1056" s="212" t="s">
        <v>13</v>
      </c>
      <c r="B1056" s="11">
        <v>2</v>
      </c>
      <c r="C1056" s="11">
        <v>0</v>
      </c>
      <c r="D1056" s="11">
        <v>4</v>
      </c>
      <c r="E1056" s="11">
        <v>3</v>
      </c>
      <c r="F1056" s="11">
        <v>7</v>
      </c>
      <c r="G1056" s="11">
        <v>7</v>
      </c>
      <c r="H1056" s="11">
        <v>11</v>
      </c>
      <c r="I1056" s="11">
        <f>SUM(CEDRITOS!$B1056:$H1056)</f>
        <v>34</v>
      </c>
      <c r="J1056" s="60">
        <f t="shared" si="494"/>
        <v>4.8571428571428568</v>
      </c>
    </row>
    <row r="1057" spans="1:10" x14ac:dyDescent="0.25">
      <c r="A1057" s="212" t="s">
        <v>14</v>
      </c>
      <c r="B1057" s="11">
        <v>35</v>
      </c>
      <c r="C1057" s="11">
        <v>22</v>
      </c>
      <c r="D1057" s="11">
        <v>47</v>
      </c>
      <c r="E1057" s="11">
        <v>37</v>
      </c>
      <c r="F1057" s="11">
        <v>76</v>
      </c>
      <c r="G1057" s="11">
        <v>56</v>
      </c>
      <c r="H1057" s="11">
        <v>68</v>
      </c>
      <c r="I1057" s="11">
        <f>SUM(CEDRITOS!$B1057:$H1057)</f>
        <v>341</v>
      </c>
      <c r="J1057" s="60">
        <f t="shared" si="494"/>
        <v>48.714285714285715</v>
      </c>
    </row>
    <row r="1058" spans="1:10" x14ac:dyDescent="0.25">
      <c r="A1058" s="212" t="s">
        <v>15</v>
      </c>
      <c r="B1058" s="11">
        <v>6</v>
      </c>
      <c r="C1058" s="11">
        <v>2</v>
      </c>
      <c r="D1058" s="11">
        <v>6</v>
      </c>
      <c r="E1058" s="11">
        <v>6</v>
      </c>
      <c r="F1058" s="11">
        <v>16</v>
      </c>
      <c r="G1058" s="11">
        <v>18</v>
      </c>
      <c r="H1058" s="11">
        <v>16</v>
      </c>
      <c r="I1058" s="11">
        <f>SUM(CEDRITOS!$B1058:$H1058)</f>
        <v>70</v>
      </c>
      <c r="J1058" s="60">
        <f t="shared" si="494"/>
        <v>10</v>
      </c>
    </row>
    <row r="1059" spans="1:10" x14ac:dyDescent="0.25">
      <c r="A1059" s="212" t="s">
        <v>16</v>
      </c>
      <c r="B1059" s="11">
        <v>0</v>
      </c>
      <c r="C1059" s="11">
        <v>0</v>
      </c>
      <c r="D1059" s="11">
        <v>0</v>
      </c>
      <c r="E1059" s="11">
        <v>1</v>
      </c>
      <c r="F1059" s="11">
        <v>1</v>
      </c>
      <c r="G1059" s="86">
        <v>5</v>
      </c>
      <c r="H1059" s="86">
        <v>1</v>
      </c>
      <c r="I1059" s="11">
        <f>SUM(CEDRITOS!$B1059:$H1059)</f>
        <v>8</v>
      </c>
      <c r="J1059" s="60">
        <f t="shared" si="494"/>
        <v>1.1428571428571428</v>
      </c>
    </row>
    <row r="1060" spans="1:10" x14ac:dyDescent="0.25">
      <c r="A1060" s="213" t="s">
        <v>17</v>
      </c>
      <c r="B1060" s="192">
        <f>SUM(B1055:B1059)</f>
        <v>83</v>
      </c>
      <c r="C1060" s="192">
        <f t="shared" ref="C1060:I1060" si="495">SUM(C1055:C1059)</f>
        <v>79</v>
      </c>
      <c r="D1060" s="192">
        <f t="shared" si="495"/>
        <v>121</v>
      </c>
      <c r="E1060" s="192">
        <f t="shared" si="495"/>
        <v>121</v>
      </c>
      <c r="F1060" s="192">
        <f t="shared" si="495"/>
        <v>250</v>
      </c>
      <c r="G1060" s="192">
        <f t="shared" si="495"/>
        <v>315</v>
      </c>
      <c r="H1060" s="192">
        <f t="shared" si="495"/>
        <v>310</v>
      </c>
      <c r="I1060" s="192">
        <f t="shared" si="495"/>
        <v>1279</v>
      </c>
      <c r="J1060" s="214">
        <f t="shared" si="494"/>
        <v>182.71428571428572</v>
      </c>
    </row>
    <row r="1061" spans="1:10" x14ac:dyDescent="0.25">
      <c r="A1061" s="212" t="s">
        <v>18</v>
      </c>
      <c r="B1061" s="386">
        <v>0.56999999999999995</v>
      </c>
      <c r="C1061" s="387">
        <v>0.77</v>
      </c>
      <c r="D1061" s="387">
        <v>0.6</v>
      </c>
      <c r="E1061" s="387">
        <v>0.66</v>
      </c>
      <c r="F1061" s="387">
        <v>0.66</v>
      </c>
      <c r="G1061" s="387">
        <v>0.74</v>
      </c>
      <c r="H1061" s="387">
        <v>0.7</v>
      </c>
      <c r="I1061" s="30">
        <f>I1068/I1073</f>
        <v>0.68889711879555815</v>
      </c>
      <c r="J1061" s="160">
        <f>J1068/J1073</f>
        <v>0.68889711879555815</v>
      </c>
    </row>
    <row r="1062" spans="1:10" x14ac:dyDescent="0.25">
      <c r="A1062" s="212" t="s">
        <v>19</v>
      </c>
      <c r="B1062" s="386">
        <v>0.04</v>
      </c>
      <c r="C1062" s="387">
        <v>0</v>
      </c>
      <c r="D1062" s="387">
        <v>0.03</v>
      </c>
      <c r="E1062" s="387">
        <v>0.02</v>
      </c>
      <c r="F1062" s="387">
        <v>0.03</v>
      </c>
      <c r="G1062" s="387">
        <v>0.02</v>
      </c>
      <c r="H1062" s="387">
        <v>0.04</v>
      </c>
      <c r="I1062" s="30">
        <f>I1069/I1073</f>
        <v>2.7556208335670494E-2</v>
      </c>
      <c r="J1062" s="160">
        <f>J1069/J1073</f>
        <v>2.7556208335670494E-2</v>
      </c>
    </row>
    <row r="1063" spans="1:10" x14ac:dyDescent="0.25">
      <c r="A1063" s="212" t="s">
        <v>20</v>
      </c>
      <c r="B1063" s="386">
        <v>0.34</v>
      </c>
      <c r="C1063" s="387">
        <v>0.21</v>
      </c>
      <c r="D1063" s="387">
        <v>0.3</v>
      </c>
      <c r="E1063" s="387">
        <v>0.25</v>
      </c>
      <c r="F1063" s="387">
        <v>0.26</v>
      </c>
      <c r="G1063" s="387">
        <v>0.18</v>
      </c>
      <c r="H1063" s="387">
        <v>0.21</v>
      </c>
      <c r="I1063" s="30">
        <f>I1070/I1073</f>
        <v>0.22895808693970821</v>
      </c>
      <c r="J1063" s="160">
        <f>J1070/J1073</f>
        <v>0.22895808693970821</v>
      </c>
    </row>
    <row r="1064" spans="1:10" x14ac:dyDescent="0.25">
      <c r="A1064" s="212" t="s">
        <v>21</v>
      </c>
      <c r="B1064" s="386">
        <v>0.05</v>
      </c>
      <c r="C1064" s="387">
        <v>0.02</v>
      </c>
      <c r="D1064" s="387">
        <v>7.0000000000000007E-2</v>
      </c>
      <c r="E1064" s="387">
        <v>0.06</v>
      </c>
      <c r="F1064" s="387">
        <v>0.05</v>
      </c>
      <c r="G1064" s="387">
        <v>0.04</v>
      </c>
      <c r="H1064" s="387">
        <v>0.05</v>
      </c>
      <c r="I1064" s="30">
        <f>I1071/I1073</f>
        <v>4.7922177198577352E-2</v>
      </c>
      <c r="J1064" s="160">
        <f>J1071/J1073</f>
        <v>4.7922177198577359E-2</v>
      </c>
    </row>
    <row r="1065" spans="1:10" x14ac:dyDescent="0.25">
      <c r="A1065" s="212" t="s">
        <v>22</v>
      </c>
      <c r="B1065" s="386">
        <v>0</v>
      </c>
      <c r="C1065" s="387">
        <v>0</v>
      </c>
      <c r="D1065" s="387">
        <v>0</v>
      </c>
      <c r="E1065" s="387">
        <v>0.01</v>
      </c>
      <c r="F1065" s="387">
        <v>0</v>
      </c>
      <c r="G1065" s="387">
        <v>0.02</v>
      </c>
      <c r="H1065" s="387">
        <v>0</v>
      </c>
      <c r="I1065" s="30">
        <f>I1072/I1073</f>
        <v>6.6664087304856316E-3</v>
      </c>
      <c r="J1065" s="160">
        <f>J1072/J1073</f>
        <v>6.6664087304856316E-3</v>
      </c>
    </row>
    <row r="1066" spans="1:10" x14ac:dyDescent="0.25">
      <c r="A1066" s="215" t="s">
        <v>23</v>
      </c>
      <c r="B1066" s="66">
        <f t="shared" ref="B1066:J1066" si="496">B1077/B1060</f>
        <v>33365.060240963852</v>
      </c>
      <c r="C1066" s="66">
        <f t="shared" si="496"/>
        <v>34270.886075949369</v>
      </c>
      <c r="D1066" s="66">
        <f t="shared" si="496"/>
        <v>32437.190082644629</v>
      </c>
      <c r="E1066" s="66">
        <f t="shared" si="496"/>
        <v>33904.958677685958</v>
      </c>
      <c r="F1066" s="66">
        <f t="shared" si="496"/>
        <v>34512.400000000009</v>
      </c>
      <c r="G1066" s="66">
        <f t="shared" si="496"/>
        <v>43613.650793650799</v>
      </c>
      <c r="H1066" s="66">
        <f t="shared" si="496"/>
        <v>37322.258064516136</v>
      </c>
      <c r="I1066" s="66">
        <f t="shared" si="496"/>
        <v>37091.790461297896</v>
      </c>
      <c r="J1066" s="67">
        <f t="shared" si="496"/>
        <v>37091.790461297889</v>
      </c>
    </row>
    <row r="1067" spans="1:10" x14ac:dyDescent="0.25">
      <c r="A1067" s="215" t="s">
        <v>24</v>
      </c>
      <c r="B1067" s="66">
        <f t="shared" ref="B1067:I1067" si="497">+B1077/B1054</f>
        <v>27418.811881188118</v>
      </c>
      <c r="C1067" s="66">
        <f t="shared" si="497"/>
        <v>26543.137254901962</v>
      </c>
      <c r="D1067" s="66">
        <f t="shared" si="497"/>
        <v>29290.298507462685</v>
      </c>
      <c r="E1067" s="66">
        <f t="shared" si="497"/>
        <v>27719.594594594597</v>
      </c>
      <c r="F1067" s="66">
        <f t="shared" si="497"/>
        <v>28104.560260586324</v>
      </c>
      <c r="G1067" s="66">
        <f t="shared" si="497"/>
        <v>34005.693069306937</v>
      </c>
      <c r="H1067" s="66">
        <f t="shared" si="497"/>
        <v>32318.156424581011</v>
      </c>
      <c r="I1067" s="66">
        <f t="shared" si="497"/>
        <v>30527.927927927933</v>
      </c>
      <c r="J1067" s="67">
        <f>J1077/J1054</f>
        <v>30527.927927927933</v>
      </c>
    </row>
    <row r="1068" spans="1:10" x14ac:dyDescent="0.25">
      <c r="A1068" s="212" t="s">
        <v>25</v>
      </c>
      <c r="B1068" s="92">
        <f t="shared" ref="B1068:H1068" si="498">B1073*B1061</f>
        <v>1311642.7241379309</v>
      </c>
      <c r="C1068" s="92">
        <f t="shared" si="498"/>
        <v>1705889.198275862</v>
      </c>
      <c r="D1068" s="92">
        <f t="shared" si="498"/>
        <v>1947368.6896551724</v>
      </c>
      <c r="E1068" s="92">
        <f t="shared" si="498"/>
        <v>2228930.8344827588</v>
      </c>
      <c r="F1068" s="92">
        <f t="shared" si="498"/>
        <v>4695746.3793103453</v>
      </c>
      <c r="G1068" s="31">
        <f t="shared" si="498"/>
        <v>8398901.6310344841</v>
      </c>
      <c r="H1068" s="31">
        <f t="shared" si="498"/>
        <v>6659017.2068965519</v>
      </c>
      <c r="I1068" s="31">
        <f>SUM(B1068:H1068)</f>
        <v>26947496.663793102</v>
      </c>
      <c r="J1068" s="32">
        <f t="shared" ref="J1068:J1077" si="499">I1068/7</f>
        <v>3849642.3805418718</v>
      </c>
    </row>
    <row r="1069" spans="1:10" x14ac:dyDescent="0.25">
      <c r="A1069" s="212" t="s">
        <v>26</v>
      </c>
      <c r="B1069" s="92">
        <f t="shared" ref="B1069:H1069" si="500">B1073*B1062</f>
        <v>92045.10344827587</v>
      </c>
      <c r="C1069" s="92">
        <f t="shared" si="500"/>
        <v>0</v>
      </c>
      <c r="D1069" s="92">
        <f t="shared" si="500"/>
        <v>97368.434482758617</v>
      </c>
      <c r="E1069" s="92">
        <f t="shared" si="500"/>
        <v>67543.358620689658</v>
      </c>
      <c r="F1069" s="92">
        <f t="shared" si="500"/>
        <v>213443.01724137933</v>
      </c>
      <c r="G1069" s="31">
        <f t="shared" si="500"/>
        <v>226997.34137931038</v>
      </c>
      <c r="H1069" s="31">
        <f t="shared" si="500"/>
        <v>380515.26896551729</v>
      </c>
      <c r="I1069" s="31">
        <f>SUM(B1069:H1069)</f>
        <v>1077912.5241379312</v>
      </c>
      <c r="J1069" s="32">
        <f t="shared" si="499"/>
        <v>153987.50344827588</v>
      </c>
    </row>
    <row r="1070" spans="1:10" x14ac:dyDescent="0.25">
      <c r="A1070" s="212" t="s">
        <v>27</v>
      </c>
      <c r="B1070" s="92">
        <f t="shared" ref="B1070:H1070" si="501">B1073*B1063</f>
        <v>782383.37931034493</v>
      </c>
      <c r="C1070" s="92">
        <f t="shared" si="501"/>
        <v>465242.50862068962</v>
      </c>
      <c r="D1070" s="92">
        <f t="shared" si="501"/>
        <v>973684.3448275862</v>
      </c>
      <c r="E1070" s="92">
        <f t="shared" si="501"/>
        <v>844291.98275862075</v>
      </c>
      <c r="F1070" s="92">
        <f t="shared" si="501"/>
        <v>1849839.482758621</v>
      </c>
      <c r="G1070" s="31">
        <f t="shared" si="501"/>
        <v>2042976.0724137933</v>
      </c>
      <c r="H1070" s="31">
        <f t="shared" si="501"/>
        <v>1997705.1620689656</v>
      </c>
      <c r="I1070" s="31">
        <f>SUM(B1070:H1070)</f>
        <v>8956122.93275862</v>
      </c>
      <c r="J1070" s="32">
        <f t="shared" si="499"/>
        <v>1279446.1332512314</v>
      </c>
    </row>
    <row r="1071" spans="1:10" x14ac:dyDescent="0.25">
      <c r="A1071" s="212" t="s">
        <v>28</v>
      </c>
      <c r="B1071" s="92">
        <f t="shared" ref="B1071:H1071" si="502">B1073*B1064</f>
        <v>115056.37931034484</v>
      </c>
      <c r="C1071" s="92">
        <f t="shared" si="502"/>
        <v>44308.810344827587</v>
      </c>
      <c r="D1071" s="92">
        <f t="shared" si="502"/>
        <v>227193.01379310348</v>
      </c>
      <c r="E1071" s="92">
        <f t="shared" si="502"/>
        <v>202630.07586206897</v>
      </c>
      <c r="F1071" s="92">
        <f t="shared" si="502"/>
        <v>355738.36206896557</v>
      </c>
      <c r="G1071" s="31">
        <f t="shared" si="502"/>
        <v>453994.68275862077</v>
      </c>
      <c r="H1071" s="31">
        <f t="shared" si="502"/>
        <v>475644.08620689664</v>
      </c>
      <c r="I1071" s="31">
        <f>SUM(B1071:H1071)</f>
        <v>1874565.4103448279</v>
      </c>
      <c r="J1071" s="32">
        <f t="shared" si="499"/>
        <v>267795.05862068973</v>
      </c>
    </row>
    <row r="1072" spans="1:10" x14ac:dyDescent="0.25">
      <c r="A1072" s="212" t="s">
        <v>29</v>
      </c>
      <c r="B1072" s="92">
        <f t="shared" ref="B1072:H1072" si="503">B1073*B1065</f>
        <v>0</v>
      </c>
      <c r="C1072" s="92">
        <f t="shared" si="503"/>
        <v>0</v>
      </c>
      <c r="D1072" s="92">
        <f t="shared" si="503"/>
        <v>0</v>
      </c>
      <c r="E1072" s="92">
        <f t="shared" si="503"/>
        <v>33771.679310344829</v>
      </c>
      <c r="F1072" s="92">
        <f t="shared" si="503"/>
        <v>0</v>
      </c>
      <c r="G1072" s="31">
        <f t="shared" si="503"/>
        <v>226997.34137931038</v>
      </c>
      <c r="H1072" s="31">
        <f t="shared" si="503"/>
        <v>0</v>
      </c>
      <c r="I1072" s="31">
        <f>SUM(B1072:H1072)</f>
        <v>260769.02068965521</v>
      </c>
      <c r="J1072" s="32">
        <f t="shared" si="499"/>
        <v>37252.717241379316</v>
      </c>
    </row>
    <row r="1073" spans="1:10" x14ac:dyDescent="0.25">
      <c r="A1073" s="216" t="s">
        <v>30</v>
      </c>
      <c r="B1073" s="222">
        <f>(2769300/1.16)-B1074</f>
        <v>2301127.5862068967</v>
      </c>
      <c r="C1073" s="222">
        <f>(2707400/1.16)-C1074</f>
        <v>2215440.5172413792</v>
      </c>
      <c r="D1073" s="222">
        <f>(3924900/1.16)-D1074</f>
        <v>3245614.4827586208</v>
      </c>
      <c r="E1073" s="222">
        <f>(4102500/1.16)-E1074</f>
        <v>3377167.931034483</v>
      </c>
      <c r="F1073" s="222">
        <f>(8628100/1.16)-F1074</f>
        <v>7114767.2413793113</v>
      </c>
      <c r="G1073" s="222">
        <f>(13738300/1.16)-G1074</f>
        <v>11349867.068965519</v>
      </c>
      <c r="H1073" s="222">
        <f>(11569900/1.16)-H1074</f>
        <v>9512881.7241379321</v>
      </c>
      <c r="I1073" s="197">
        <f>SUM(I1068:I1072)</f>
        <v>39116866.551724143</v>
      </c>
      <c r="J1073" s="217">
        <f t="shared" si="499"/>
        <v>5588123.793103449</v>
      </c>
    </row>
    <row r="1074" spans="1:10" x14ac:dyDescent="0.25">
      <c r="A1074" s="212" t="s">
        <v>31</v>
      </c>
      <c r="B1074" s="92">
        <f t="shared" ref="B1074:I1074" si="504">2155*B1055</f>
        <v>86200</v>
      </c>
      <c r="C1074" s="92">
        <f t="shared" si="504"/>
        <v>118525</v>
      </c>
      <c r="D1074" s="92">
        <f t="shared" si="504"/>
        <v>137920</v>
      </c>
      <c r="E1074" s="92">
        <f t="shared" si="504"/>
        <v>159470</v>
      </c>
      <c r="F1074" s="92">
        <f t="shared" si="504"/>
        <v>323250</v>
      </c>
      <c r="G1074" s="31">
        <f t="shared" si="504"/>
        <v>493495</v>
      </c>
      <c r="H1074" s="31">
        <f t="shared" si="504"/>
        <v>461170</v>
      </c>
      <c r="I1074" s="31">
        <f t="shared" si="504"/>
        <v>1780030</v>
      </c>
      <c r="J1074" s="32">
        <f t="shared" si="499"/>
        <v>254290</v>
      </c>
    </row>
    <row r="1075" spans="1:10" x14ac:dyDescent="0.25">
      <c r="A1075" s="218" t="s">
        <v>32</v>
      </c>
      <c r="B1075" s="199">
        <f>B1074+B1073</f>
        <v>2387327.5862068967</v>
      </c>
      <c r="C1075" s="199">
        <f>C1074+C1073</f>
        <v>2333965.5172413792</v>
      </c>
      <c r="D1075" s="199">
        <f>D1074+D1073</f>
        <v>3383534.4827586208</v>
      </c>
      <c r="E1075" s="199">
        <f>E1074+E1073</f>
        <v>3536637.931034483</v>
      </c>
      <c r="F1075" s="199">
        <f>F1073+F1074</f>
        <v>7438017.2413793113</v>
      </c>
      <c r="G1075" s="199">
        <f>G1074+G1073</f>
        <v>11843362.068965519</v>
      </c>
      <c r="H1075" s="199">
        <f>H1074+H1073</f>
        <v>9974051.7241379321</v>
      </c>
      <c r="I1075" s="199">
        <f>I1073+I1074</f>
        <v>40896896.551724143</v>
      </c>
      <c r="J1075" s="219">
        <f t="shared" si="499"/>
        <v>5842413.793103449</v>
      </c>
    </row>
    <row r="1076" spans="1:10" x14ac:dyDescent="0.25">
      <c r="A1076" s="212" t="s">
        <v>33</v>
      </c>
      <c r="B1076" s="94">
        <f>B1075*16%</f>
        <v>381972.41379310348</v>
      </c>
      <c r="C1076" s="94">
        <f t="shared" ref="C1076:H1076" si="505">C1075*16%</f>
        <v>373434.4827586207</v>
      </c>
      <c r="D1076" s="94">
        <f t="shared" si="505"/>
        <v>541365.51724137936</v>
      </c>
      <c r="E1076" s="94">
        <f t="shared" si="505"/>
        <v>565862.06896551733</v>
      </c>
      <c r="F1076" s="94">
        <f t="shared" si="505"/>
        <v>1190082.7586206899</v>
      </c>
      <c r="G1076" s="94">
        <f t="shared" si="505"/>
        <v>1894937.931034483</v>
      </c>
      <c r="H1076" s="94">
        <f t="shared" si="505"/>
        <v>1595848.2758620691</v>
      </c>
      <c r="I1076" s="94">
        <f>I1075*16%</f>
        <v>6543503.4482758632</v>
      </c>
      <c r="J1076" s="32">
        <f t="shared" si="499"/>
        <v>934786.20689655188</v>
      </c>
    </row>
    <row r="1077" spans="1:10" x14ac:dyDescent="0.25">
      <c r="A1077" s="220" t="s">
        <v>34</v>
      </c>
      <c r="B1077" s="202">
        <f>B1075+B1076</f>
        <v>2769300</v>
      </c>
      <c r="C1077" s="202">
        <f t="shared" ref="C1077:H1077" si="506">C1075+C1076</f>
        <v>2707400</v>
      </c>
      <c r="D1077" s="202">
        <f t="shared" si="506"/>
        <v>3924900</v>
      </c>
      <c r="E1077" s="202">
        <f t="shared" si="506"/>
        <v>4102500.0000000005</v>
      </c>
      <c r="F1077" s="202">
        <f t="shared" si="506"/>
        <v>8628100.0000000019</v>
      </c>
      <c r="G1077" s="202">
        <f t="shared" si="506"/>
        <v>13738300.000000002</v>
      </c>
      <c r="H1077" s="202">
        <f t="shared" si="506"/>
        <v>11569900.000000002</v>
      </c>
      <c r="I1077" s="202">
        <f>I1075+I1076</f>
        <v>47440400.000000007</v>
      </c>
      <c r="J1077" s="221">
        <f t="shared" si="499"/>
        <v>6777200.0000000009</v>
      </c>
    </row>
    <row r="1079" spans="1:10" ht="26.25" x14ac:dyDescent="0.25">
      <c r="B1079" s="1007" t="s">
        <v>379</v>
      </c>
      <c r="C1079" s="1007"/>
      <c r="D1079" s="1007"/>
      <c r="E1079" s="1007"/>
      <c r="F1079" s="1007"/>
      <c r="G1079" s="1007"/>
      <c r="H1079" s="1007"/>
    </row>
    <row r="1080" spans="1:10" ht="15.75" x14ac:dyDescent="0.25">
      <c r="A1080" s="207" t="s">
        <v>2</v>
      </c>
      <c r="B1080" s="121" t="s">
        <v>53</v>
      </c>
      <c r="C1080" s="121" t="s">
        <v>54</v>
      </c>
      <c r="D1080" s="121" t="s">
        <v>292</v>
      </c>
      <c r="E1080" s="121" t="s">
        <v>293</v>
      </c>
      <c r="F1080" s="121" t="s">
        <v>294</v>
      </c>
      <c r="G1080" s="121" t="s">
        <v>295</v>
      </c>
      <c r="H1080" s="121" t="s">
        <v>296</v>
      </c>
      <c r="I1080" s="121" t="s">
        <v>96</v>
      </c>
      <c r="J1080" s="209" t="s">
        <v>97</v>
      </c>
    </row>
    <row r="1081" spans="1:10" x14ac:dyDescent="0.25">
      <c r="A1081" s="332" t="s">
        <v>11</v>
      </c>
      <c r="B1081" s="75">
        <f>51+40+17</f>
        <v>108</v>
      </c>
      <c r="C1081" s="75">
        <f>83+37+8</f>
        <v>128</v>
      </c>
      <c r="D1081" s="75">
        <f>89+52+16</f>
        <v>157</v>
      </c>
      <c r="E1081" s="316">
        <f>81+51+23</f>
        <v>155</v>
      </c>
      <c r="F1081" s="316">
        <f>169+130+26</f>
        <v>325</v>
      </c>
      <c r="G1081" s="316">
        <f>179+161+45</f>
        <v>385</v>
      </c>
      <c r="H1081" s="316">
        <f>173+118+46</f>
        <v>337</v>
      </c>
      <c r="I1081" s="316">
        <f>SUM(B1081:H1081)</f>
        <v>1595</v>
      </c>
      <c r="J1081" s="382">
        <f>+I1081/7</f>
        <v>227.85714285714286</v>
      </c>
    </row>
    <row r="1082" spans="1:10" x14ac:dyDescent="0.25">
      <c r="A1082" s="212" t="s">
        <v>12</v>
      </c>
      <c r="B1082" s="11">
        <v>51</v>
      </c>
      <c r="C1082" s="11">
        <v>65</v>
      </c>
      <c r="D1082" s="11">
        <v>72</v>
      </c>
      <c r="E1082" s="86">
        <v>74</v>
      </c>
      <c r="F1082" s="11">
        <v>184</v>
      </c>
      <c r="G1082" s="11">
        <v>225</v>
      </c>
      <c r="H1082" s="11">
        <v>180</v>
      </c>
      <c r="I1082" s="11">
        <f>SUM(CEDRITOS!$B1082:$H1082)</f>
        <v>851</v>
      </c>
      <c r="J1082" s="60">
        <f t="shared" ref="J1082:J1087" si="507">I1082/7</f>
        <v>121.57142857142857</v>
      </c>
    </row>
    <row r="1083" spans="1:10" x14ac:dyDescent="0.25">
      <c r="A1083" s="212" t="s">
        <v>13</v>
      </c>
      <c r="B1083" s="11">
        <v>4</v>
      </c>
      <c r="C1083" s="11">
        <v>3</v>
      </c>
      <c r="D1083" s="11">
        <v>3</v>
      </c>
      <c r="E1083" s="11">
        <v>1</v>
      </c>
      <c r="F1083" s="11">
        <v>3</v>
      </c>
      <c r="G1083" s="11">
        <v>8</v>
      </c>
      <c r="H1083" s="11">
        <v>6</v>
      </c>
      <c r="I1083" s="11">
        <f>SUM(CEDRITOS!$B1083:$H1083)</f>
        <v>28</v>
      </c>
      <c r="J1083" s="60">
        <f t="shared" si="507"/>
        <v>4</v>
      </c>
    </row>
    <row r="1084" spans="1:10" x14ac:dyDescent="0.25">
      <c r="A1084" s="212" t="s">
        <v>14</v>
      </c>
      <c r="B1084" s="11">
        <v>47</v>
      </c>
      <c r="C1084" s="11">
        <v>36</v>
      </c>
      <c r="D1084" s="11">
        <v>41</v>
      </c>
      <c r="E1084" s="11">
        <v>53</v>
      </c>
      <c r="F1084" s="11">
        <v>78</v>
      </c>
      <c r="G1084" s="11">
        <v>101</v>
      </c>
      <c r="H1084" s="11">
        <v>83</v>
      </c>
      <c r="I1084" s="11">
        <f>SUM(CEDRITOS!$B1084:$H1084)</f>
        <v>439</v>
      </c>
      <c r="J1084" s="60">
        <f t="shared" si="507"/>
        <v>62.714285714285715</v>
      </c>
    </row>
    <row r="1085" spans="1:10" x14ac:dyDescent="0.25">
      <c r="A1085" s="212" t="s">
        <v>15</v>
      </c>
      <c r="B1085" s="11">
        <v>0</v>
      </c>
      <c r="C1085" s="11">
        <v>2</v>
      </c>
      <c r="D1085" s="11">
        <v>12</v>
      </c>
      <c r="E1085" s="11">
        <v>8</v>
      </c>
      <c r="F1085" s="11">
        <v>5</v>
      </c>
      <c r="G1085" s="11">
        <v>2</v>
      </c>
      <c r="H1085" s="11">
        <v>12</v>
      </c>
      <c r="I1085" s="11">
        <f>SUM(CEDRITOS!$B1085:$H1085)</f>
        <v>41</v>
      </c>
      <c r="J1085" s="60">
        <f t="shared" si="507"/>
        <v>5.8571428571428568</v>
      </c>
    </row>
    <row r="1086" spans="1:10" x14ac:dyDescent="0.25">
      <c r="A1086" s="212" t="s">
        <v>16</v>
      </c>
      <c r="B1086" s="11">
        <v>0</v>
      </c>
      <c r="C1086" s="11">
        <v>0</v>
      </c>
      <c r="D1086" s="11">
        <v>1</v>
      </c>
      <c r="E1086" s="11">
        <v>0</v>
      </c>
      <c r="F1086" s="11">
        <v>2</v>
      </c>
      <c r="G1086" s="86">
        <v>0</v>
      </c>
      <c r="H1086" s="86">
        <v>1</v>
      </c>
      <c r="I1086" s="11">
        <f>SUM(CEDRITOS!$B1086:$H1086)</f>
        <v>4</v>
      </c>
      <c r="J1086" s="60">
        <f t="shared" si="507"/>
        <v>0.5714285714285714</v>
      </c>
    </row>
    <row r="1087" spans="1:10" x14ac:dyDescent="0.25">
      <c r="A1087" s="213" t="s">
        <v>17</v>
      </c>
      <c r="B1087" s="192">
        <f>SUM(B1082:B1086)</f>
        <v>102</v>
      </c>
      <c r="C1087" s="192">
        <f t="shared" ref="C1087:I1087" si="508">SUM(C1082:C1086)</f>
        <v>106</v>
      </c>
      <c r="D1087" s="192">
        <f t="shared" si="508"/>
        <v>129</v>
      </c>
      <c r="E1087" s="192">
        <f t="shared" si="508"/>
        <v>136</v>
      </c>
      <c r="F1087" s="192">
        <f t="shared" si="508"/>
        <v>272</v>
      </c>
      <c r="G1087" s="192">
        <f t="shared" si="508"/>
        <v>336</v>
      </c>
      <c r="H1087" s="192">
        <f t="shared" si="508"/>
        <v>282</v>
      </c>
      <c r="I1087" s="192">
        <f t="shared" si="508"/>
        <v>1363</v>
      </c>
      <c r="J1087" s="214">
        <f t="shared" si="507"/>
        <v>194.71428571428572</v>
      </c>
    </row>
    <row r="1088" spans="1:10" x14ac:dyDescent="0.25">
      <c r="A1088" s="212" t="s">
        <v>18</v>
      </c>
      <c r="B1088" s="386">
        <v>0.57999999999999996</v>
      </c>
      <c r="C1088" s="387">
        <v>0.66</v>
      </c>
      <c r="D1088" s="387">
        <v>0.62</v>
      </c>
      <c r="E1088" s="387">
        <v>0.62</v>
      </c>
      <c r="F1088" s="387">
        <v>0.68</v>
      </c>
      <c r="G1088" s="387">
        <v>0.71</v>
      </c>
      <c r="H1088" s="387">
        <v>0.66</v>
      </c>
      <c r="I1088" s="30">
        <f>I1095/I1100</f>
        <v>0.66451301385789585</v>
      </c>
      <c r="J1088" s="160">
        <f>J1095/J1100</f>
        <v>0.66451301385789585</v>
      </c>
    </row>
    <row r="1089" spans="1:10" x14ac:dyDescent="0.25">
      <c r="A1089" s="212" t="s">
        <v>19</v>
      </c>
      <c r="B1089" s="386">
        <v>0.05</v>
      </c>
      <c r="C1089" s="387">
        <v>0.04</v>
      </c>
      <c r="D1089" s="387">
        <v>0.03</v>
      </c>
      <c r="E1089" s="387">
        <v>0.01</v>
      </c>
      <c r="F1089" s="387">
        <v>0.01</v>
      </c>
      <c r="G1089" s="387">
        <v>0.03</v>
      </c>
      <c r="H1089" s="387">
        <v>0.03</v>
      </c>
      <c r="I1089" s="30">
        <f>I1096/I1100</f>
        <v>2.6076914618891032E-2</v>
      </c>
      <c r="J1089" s="160">
        <f>J1096/J1100</f>
        <v>2.6076914618891028E-2</v>
      </c>
    </row>
    <row r="1090" spans="1:10" x14ac:dyDescent="0.25">
      <c r="A1090" s="212" t="s">
        <v>20</v>
      </c>
      <c r="B1090" s="386">
        <v>0.37</v>
      </c>
      <c r="C1090" s="387">
        <v>0.28999999999999998</v>
      </c>
      <c r="D1090" s="387">
        <v>0.25</v>
      </c>
      <c r="E1090" s="387">
        <v>0.31</v>
      </c>
      <c r="F1090" s="387">
        <v>0.28999999999999998</v>
      </c>
      <c r="G1090" s="387">
        <v>0.25</v>
      </c>
      <c r="H1090" s="387">
        <v>0.27</v>
      </c>
      <c r="I1090" s="30">
        <f>I1097/I1100</f>
        <v>0.27810692932957359</v>
      </c>
      <c r="J1090" s="160">
        <f>J1097/J1100</f>
        <v>0.27810692932957359</v>
      </c>
    </row>
    <row r="1091" spans="1:10" x14ac:dyDescent="0.25">
      <c r="A1091" s="212" t="s">
        <v>21</v>
      </c>
      <c r="B1091" s="386">
        <v>0</v>
      </c>
      <c r="C1091" s="387">
        <v>0.01</v>
      </c>
      <c r="D1091" s="387">
        <v>0.08</v>
      </c>
      <c r="E1091" s="387">
        <v>0.06</v>
      </c>
      <c r="F1091" s="387">
        <v>0.01</v>
      </c>
      <c r="G1091" s="387">
        <v>0.01</v>
      </c>
      <c r="H1091" s="387">
        <v>0.04</v>
      </c>
      <c r="I1091" s="30">
        <f>I1098/I1100</f>
        <v>2.7334489818306936E-2</v>
      </c>
      <c r="J1091" s="160">
        <f>J1098/J1100</f>
        <v>2.7334489818306936E-2</v>
      </c>
    </row>
    <row r="1092" spans="1:10" x14ac:dyDescent="0.25">
      <c r="A1092" s="212" t="s">
        <v>22</v>
      </c>
      <c r="B1092" s="386">
        <v>0</v>
      </c>
      <c r="C1092" s="387">
        <v>0</v>
      </c>
      <c r="D1092" s="387">
        <v>0.02</v>
      </c>
      <c r="E1092" s="387">
        <v>0</v>
      </c>
      <c r="F1092" s="387">
        <v>0.01</v>
      </c>
      <c r="G1092" s="387">
        <v>0</v>
      </c>
      <c r="H1092" s="387">
        <v>0</v>
      </c>
      <c r="I1092" s="30">
        <f>I1099/I1100</f>
        <v>3.968652375332493E-3</v>
      </c>
      <c r="J1092" s="160">
        <f>J1099/J1100</f>
        <v>3.968652375332493E-3</v>
      </c>
    </row>
    <row r="1093" spans="1:10" x14ac:dyDescent="0.25">
      <c r="A1093" s="215" t="s">
        <v>23</v>
      </c>
      <c r="B1093" s="66">
        <f t="shared" ref="B1093:J1093" si="509">B1104/B1087</f>
        <v>28033.333333333332</v>
      </c>
      <c r="C1093" s="66">
        <f t="shared" si="509"/>
        <v>34804.716981132078</v>
      </c>
      <c r="D1093" s="66">
        <f t="shared" si="509"/>
        <v>36037.984496124031</v>
      </c>
      <c r="E1093" s="66">
        <f t="shared" si="509"/>
        <v>31763.970588235294</v>
      </c>
      <c r="F1093" s="66">
        <f t="shared" si="509"/>
        <v>36424.632352941175</v>
      </c>
      <c r="G1093" s="66">
        <f t="shared" si="509"/>
        <v>36366.071428571435</v>
      </c>
      <c r="H1093" s="66">
        <f t="shared" si="509"/>
        <v>38332.624113475184</v>
      </c>
      <c r="I1093" s="66">
        <f t="shared" si="509"/>
        <v>35549.376375641979</v>
      </c>
      <c r="J1093" s="67">
        <f t="shared" si="509"/>
        <v>35549.376375641979</v>
      </c>
    </row>
    <row r="1094" spans="1:10" x14ac:dyDescent="0.25">
      <c r="A1094" s="215" t="s">
        <v>24</v>
      </c>
      <c r="B1094" s="66">
        <f t="shared" ref="B1094:I1094" si="510">+B1104/B1081</f>
        <v>26475.925925925927</v>
      </c>
      <c r="C1094" s="66">
        <f t="shared" si="510"/>
        <v>28822.656250000004</v>
      </c>
      <c r="D1094" s="66">
        <f t="shared" si="510"/>
        <v>29610.828025477706</v>
      </c>
      <c r="E1094" s="66">
        <f t="shared" si="510"/>
        <v>27870.322580645163</v>
      </c>
      <c r="F1094" s="66">
        <f t="shared" si="510"/>
        <v>30484.615384615383</v>
      </c>
      <c r="G1094" s="66">
        <f t="shared" si="510"/>
        <v>31737.662337662343</v>
      </c>
      <c r="H1094" s="66">
        <f t="shared" si="510"/>
        <v>32076.55786350149</v>
      </c>
      <c r="I1094" s="66">
        <f t="shared" si="510"/>
        <v>30378.557993730417</v>
      </c>
      <c r="J1094" s="67">
        <f>J1104/J1081</f>
        <v>30378.557993730417</v>
      </c>
    </row>
    <row r="1095" spans="1:10" x14ac:dyDescent="0.25">
      <c r="A1095" s="212" t="s">
        <v>25</v>
      </c>
      <c r="B1095" s="92">
        <f t="shared" ref="B1095:H1095" si="511">B1100*B1088</f>
        <v>1365955.0999999999</v>
      </c>
      <c r="C1095" s="92">
        <f t="shared" si="511"/>
        <v>2006634.982758621</v>
      </c>
      <c r="D1095" s="92">
        <f t="shared" si="511"/>
        <v>2388557.6965517243</v>
      </c>
      <c r="E1095" s="92">
        <f t="shared" si="511"/>
        <v>2210040.6689655171</v>
      </c>
      <c r="F1095" s="92">
        <f t="shared" si="511"/>
        <v>5538211.2275862079</v>
      </c>
      <c r="G1095" s="31">
        <f t="shared" si="511"/>
        <v>7134609.4396551726</v>
      </c>
      <c r="H1095" s="31">
        <f t="shared" si="511"/>
        <v>5894389.4482758632</v>
      </c>
      <c r="I1095" s="31">
        <f>SUM(B1095:H1095)</f>
        <v>26538398.563793108</v>
      </c>
      <c r="J1095" s="32">
        <f t="shared" ref="J1095:J1104" si="512">I1095/7</f>
        <v>3791199.794827587</v>
      </c>
    </row>
    <row r="1096" spans="1:10" x14ac:dyDescent="0.25">
      <c r="A1096" s="212" t="s">
        <v>26</v>
      </c>
      <c r="B1096" s="92">
        <f t="shared" ref="B1096:H1096" si="513">B1100*B1089</f>
        <v>117754.75</v>
      </c>
      <c r="C1096" s="92">
        <f t="shared" si="513"/>
        <v>121614.24137931036</v>
      </c>
      <c r="D1096" s="92">
        <f t="shared" si="513"/>
        <v>115575.37241379311</v>
      </c>
      <c r="E1096" s="92">
        <f t="shared" si="513"/>
        <v>35645.817241379315</v>
      </c>
      <c r="F1096" s="92">
        <f t="shared" si="513"/>
        <v>81444.282758620699</v>
      </c>
      <c r="G1096" s="31">
        <f t="shared" si="513"/>
        <v>301462.37068965519</v>
      </c>
      <c r="H1096" s="31">
        <f t="shared" si="513"/>
        <v>267926.79310344829</v>
      </c>
      <c r="I1096" s="31">
        <f>SUM(B1096:H1096)</f>
        <v>1041423.6275862069</v>
      </c>
      <c r="J1096" s="32">
        <f t="shared" si="512"/>
        <v>148774.80394088669</v>
      </c>
    </row>
    <row r="1097" spans="1:10" x14ac:dyDescent="0.25">
      <c r="A1097" s="212" t="s">
        <v>27</v>
      </c>
      <c r="B1097" s="92">
        <f t="shared" ref="B1097:H1097" si="514">B1100*B1090</f>
        <v>871385.15</v>
      </c>
      <c r="C1097" s="92">
        <f t="shared" si="514"/>
        <v>881703.25</v>
      </c>
      <c r="D1097" s="92">
        <f t="shared" si="514"/>
        <v>963128.10344827594</v>
      </c>
      <c r="E1097" s="92">
        <f t="shared" si="514"/>
        <v>1105020.3344827585</v>
      </c>
      <c r="F1097" s="92">
        <f t="shared" si="514"/>
        <v>2361884.2000000002</v>
      </c>
      <c r="G1097" s="31">
        <f t="shared" si="514"/>
        <v>2512186.4224137934</v>
      </c>
      <c r="H1097" s="31">
        <f t="shared" si="514"/>
        <v>2411341.1379310349</v>
      </c>
      <c r="I1097" s="31">
        <f>SUM(B1097:H1097)</f>
        <v>11106648.598275863</v>
      </c>
      <c r="J1097" s="32">
        <f t="shared" si="512"/>
        <v>1586664.0854679805</v>
      </c>
    </row>
    <row r="1098" spans="1:10" x14ac:dyDescent="0.25">
      <c r="A1098" s="212" t="s">
        <v>28</v>
      </c>
      <c r="B1098" s="92">
        <f t="shared" ref="B1098:H1098" si="515">B1100*B1091</f>
        <v>0</v>
      </c>
      <c r="C1098" s="92">
        <f t="shared" si="515"/>
        <v>30403.560344827591</v>
      </c>
      <c r="D1098" s="92">
        <f t="shared" si="515"/>
        <v>308200.9931034483</v>
      </c>
      <c r="E1098" s="92">
        <f t="shared" si="515"/>
        <v>213874.90344827587</v>
      </c>
      <c r="F1098" s="92">
        <f t="shared" si="515"/>
        <v>81444.282758620699</v>
      </c>
      <c r="G1098" s="31">
        <f t="shared" si="515"/>
        <v>100487.45689655174</v>
      </c>
      <c r="H1098" s="31">
        <f t="shared" si="515"/>
        <v>357235.72413793107</v>
      </c>
      <c r="I1098" s="31">
        <f>SUM(B1098:H1098)</f>
        <v>1091646.9206896552</v>
      </c>
      <c r="J1098" s="32">
        <f t="shared" si="512"/>
        <v>155949.56009852217</v>
      </c>
    </row>
    <row r="1099" spans="1:10" x14ac:dyDescent="0.25">
      <c r="A1099" s="212" t="s">
        <v>29</v>
      </c>
      <c r="B1099" s="92">
        <f t="shared" ref="B1099:H1099" si="516">B1100*B1092</f>
        <v>0</v>
      </c>
      <c r="C1099" s="92">
        <f t="shared" si="516"/>
        <v>0</v>
      </c>
      <c r="D1099" s="92">
        <f t="shared" si="516"/>
        <v>77050.248275862075</v>
      </c>
      <c r="E1099" s="92">
        <f t="shared" si="516"/>
        <v>0</v>
      </c>
      <c r="F1099" s="92">
        <f t="shared" si="516"/>
        <v>81444.282758620699</v>
      </c>
      <c r="G1099" s="31">
        <f t="shared" si="516"/>
        <v>0</v>
      </c>
      <c r="H1099" s="31">
        <f t="shared" si="516"/>
        <v>0</v>
      </c>
      <c r="I1099" s="31">
        <f>SUM(B1099:H1099)</f>
        <v>158494.53103448276</v>
      </c>
      <c r="J1099" s="32">
        <f t="shared" si="512"/>
        <v>22642.075862068967</v>
      </c>
    </row>
    <row r="1100" spans="1:10" x14ac:dyDescent="0.25">
      <c r="A1100" s="216" t="s">
        <v>30</v>
      </c>
      <c r="B1100" s="222">
        <f>(2859400/1.16)-B1101</f>
        <v>2355095</v>
      </c>
      <c r="C1100" s="222">
        <f>(3689300/1.16)-C1101</f>
        <v>3040356.034482759</v>
      </c>
      <c r="D1100" s="222">
        <f>(4648900/1.16)-D1101</f>
        <v>3852512.4137931038</v>
      </c>
      <c r="E1100" s="222">
        <f>(4319900/1.16)-E1101</f>
        <v>3564581.7241379311</v>
      </c>
      <c r="F1100" s="222">
        <f>(9907500/1.16)-F1101</f>
        <v>8144428.2758620698</v>
      </c>
      <c r="G1100" s="222">
        <f>(12219000/1.16)-G1101</f>
        <v>10048745.689655174</v>
      </c>
      <c r="H1100" s="222">
        <f>(10809800/1.16)-H1101</f>
        <v>8930893.1034482773</v>
      </c>
      <c r="I1100" s="197">
        <f>SUM(I1095:I1099)</f>
        <v>39936612.241379321</v>
      </c>
      <c r="J1100" s="217">
        <f t="shared" si="512"/>
        <v>5705230.3201970458</v>
      </c>
    </row>
    <row r="1101" spans="1:10" x14ac:dyDescent="0.25">
      <c r="A1101" s="212" t="s">
        <v>31</v>
      </c>
      <c r="B1101" s="92">
        <f t="shared" ref="B1101:I1101" si="517">2155*B1082</f>
        <v>109905</v>
      </c>
      <c r="C1101" s="92">
        <f t="shared" si="517"/>
        <v>140075</v>
      </c>
      <c r="D1101" s="92">
        <f t="shared" si="517"/>
        <v>155160</v>
      </c>
      <c r="E1101" s="92">
        <f t="shared" si="517"/>
        <v>159470</v>
      </c>
      <c r="F1101" s="92">
        <f t="shared" si="517"/>
        <v>396520</v>
      </c>
      <c r="G1101" s="31">
        <f t="shared" si="517"/>
        <v>484875</v>
      </c>
      <c r="H1101" s="31">
        <f t="shared" si="517"/>
        <v>387900</v>
      </c>
      <c r="I1101" s="31">
        <f t="shared" si="517"/>
        <v>1833905</v>
      </c>
      <c r="J1101" s="32">
        <f t="shared" si="512"/>
        <v>261986.42857142858</v>
      </c>
    </row>
    <row r="1102" spans="1:10" x14ac:dyDescent="0.25">
      <c r="A1102" s="218" t="s">
        <v>32</v>
      </c>
      <c r="B1102" s="199">
        <f>B1101+B1100</f>
        <v>2465000</v>
      </c>
      <c r="C1102" s="199">
        <f>C1101+C1100</f>
        <v>3180431.034482759</v>
      </c>
      <c r="D1102" s="199">
        <f>D1101+D1100</f>
        <v>4007672.4137931038</v>
      </c>
      <c r="E1102" s="199">
        <f>E1101+E1100</f>
        <v>3724051.7241379311</v>
      </c>
      <c r="F1102" s="199">
        <f>F1100+F1101</f>
        <v>8540948.2758620698</v>
      </c>
      <c r="G1102" s="199">
        <f>G1101+G1100</f>
        <v>10533620.689655174</v>
      </c>
      <c r="H1102" s="199">
        <f>H1101+H1100</f>
        <v>9318793.1034482773</v>
      </c>
      <c r="I1102" s="199">
        <f>I1100+I1101</f>
        <v>41770517.241379321</v>
      </c>
      <c r="J1102" s="219">
        <f t="shared" si="512"/>
        <v>5967216.748768474</v>
      </c>
    </row>
    <row r="1103" spans="1:10" x14ac:dyDescent="0.25">
      <c r="A1103" s="212" t="s">
        <v>33</v>
      </c>
      <c r="B1103" s="94">
        <f>B1102*16%</f>
        <v>394400</v>
      </c>
      <c r="C1103" s="94">
        <f t="shared" ref="C1103:H1103" si="518">C1102*16%</f>
        <v>508868.96551724145</v>
      </c>
      <c r="D1103" s="94">
        <f t="shared" si="518"/>
        <v>641227.58620689658</v>
      </c>
      <c r="E1103" s="94">
        <f t="shared" si="518"/>
        <v>595848.27586206899</v>
      </c>
      <c r="F1103" s="94">
        <f t="shared" si="518"/>
        <v>1366551.7241379311</v>
      </c>
      <c r="G1103" s="94">
        <f t="shared" si="518"/>
        <v>1685379.3103448278</v>
      </c>
      <c r="H1103" s="94">
        <f t="shared" si="518"/>
        <v>1491006.8965517243</v>
      </c>
      <c r="I1103" s="94">
        <f>I1102*16%</f>
        <v>6683282.7586206915</v>
      </c>
      <c r="J1103" s="32">
        <f t="shared" si="512"/>
        <v>954754.67980295594</v>
      </c>
    </row>
    <row r="1104" spans="1:10" x14ac:dyDescent="0.25">
      <c r="A1104" s="220" t="s">
        <v>34</v>
      </c>
      <c r="B1104" s="202">
        <f>B1102+B1103</f>
        <v>2859400</v>
      </c>
      <c r="C1104" s="202">
        <f t="shared" ref="C1104:H1104" si="519">C1102+C1103</f>
        <v>3689300.0000000005</v>
      </c>
      <c r="D1104" s="202">
        <f t="shared" si="519"/>
        <v>4648900</v>
      </c>
      <c r="E1104" s="202">
        <f t="shared" si="519"/>
        <v>4319900</v>
      </c>
      <c r="F1104" s="202">
        <f t="shared" si="519"/>
        <v>9907500</v>
      </c>
      <c r="G1104" s="202">
        <f t="shared" si="519"/>
        <v>12219000.000000002</v>
      </c>
      <c r="H1104" s="202">
        <f t="shared" si="519"/>
        <v>10809800.000000002</v>
      </c>
      <c r="I1104" s="202">
        <f>I1102+I1103</f>
        <v>48453800.000000015</v>
      </c>
      <c r="J1104" s="221">
        <f t="shared" si="512"/>
        <v>6921971.428571431</v>
      </c>
    </row>
    <row r="1106" spans="1:12" ht="26.25" x14ac:dyDescent="0.25">
      <c r="B1106" s="1007" t="s">
        <v>380</v>
      </c>
      <c r="C1106" s="1007"/>
      <c r="D1106" s="1007"/>
      <c r="E1106" s="1007"/>
      <c r="F1106" s="1007"/>
      <c r="G1106" s="1007"/>
      <c r="H1106" s="1007"/>
    </row>
    <row r="1107" spans="1:12" ht="15.75" x14ac:dyDescent="0.25">
      <c r="A1107" s="207" t="s">
        <v>2</v>
      </c>
      <c r="B1107" s="121" t="s">
        <v>298</v>
      </c>
      <c r="C1107" s="121" t="s">
        <v>299</v>
      </c>
      <c r="D1107" s="121" t="s">
        <v>300</v>
      </c>
      <c r="E1107" s="121" t="s">
        <v>301</v>
      </c>
      <c r="F1107" s="121" t="s">
        <v>65</v>
      </c>
      <c r="G1107" s="121" t="s">
        <v>66</v>
      </c>
      <c r="H1107" s="121" t="s">
        <v>67</v>
      </c>
      <c r="I1107" s="121" t="s">
        <v>96</v>
      </c>
      <c r="J1107" s="209" t="s">
        <v>97</v>
      </c>
    </row>
    <row r="1108" spans="1:12" x14ac:dyDescent="0.25">
      <c r="A1108" s="332" t="s">
        <v>11</v>
      </c>
      <c r="B1108" s="55">
        <f>183+119+46</f>
        <v>348</v>
      </c>
      <c r="C1108" s="56">
        <f>74+37+21</f>
        <v>132</v>
      </c>
      <c r="D1108" s="54">
        <f>73+36+19</f>
        <v>128</v>
      </c>
      <c r="E1108" s="316">
        <f>84+42+14</f>
        <v>140</v>
      </c>
      <c r="F1108" s="311">
        <f>192+99+39</f>
        <v>330</v>
      </c>
      <c r="G1108" s="58">
        <f>207+138+35</f>
        <v>380</v>
      </c>
      <c r="H1108" s="57">
        <f>203+111+51</f>
        <v>365</v>
      </c>
      <c r="I1108" s="316">
        <f>SUM(B1108:H1108)</f>
        <v>1823</v>
      </c>
      <c r="J1108" s="382">
        <f>+I1108/7</f>
        <v>260.42857142857144</v>
      </c>
    </row>
    <row r="1109" spans="1:12" x14ac:dyDescent="0.25">
      <c r="A1109" s="212" t="s">
        <v>12</v>
      </c>
      <c r="B1109" s="11">
        <v>199</v>
      </c>
      <c r="C1109" s="13">
        <v>58</v>
      </c>
      <c r="D1109" s="320">
        <v>59</v>
      </c>
      <c r="E1109" s="11">
        <v>68</v>
      </c>
      <c r="F1109" s="125">
        <v>181</v>
      </c>
      <c r="G1109" s="11">
        <v>215</v>
      </c>
      <c r="H1109" s="11">
        <v>215</v>
      </c>
      <c r="I1109" s="11">
        <f>SUM(CEDRITOS!$B1109:$H1109)</f>
        <v>995</v>
      </c>
      <c r="J1109" s="60">
        <f t="shared" ref="J1109:J1114" si="520">I1109/7</f>
        <v>142.14285714285714</v>
      </c>
      <c r="L1109" s="223">
        <f>+I1109/$I$1114</f>
        <v>0.64990202482037884</v>
      </c>
    </row>
    <row r="1110" spans="1:12" x14ac:dyDescent="0.25">
      <c r="A1110" s="212" t="s">
        <v>13</v>
      </c>
      <c r="B1110" s="11">
        <v>18</v>
      </c>
      <c r="C1110" s="13">
        <v>0</v>
      </c>
      <c r="D1110" s="13">
        <v>5</v>
      </c>
      <c r="E1110" s="11">
        <v>1</v>
      </c>
      <c r="F1110" s="125">
        <v>7</v>
      </c>
      <c r="G1110" s="11">
        <v>9</v>
      </c>
      <c r="H1110" s="11">
        <v>6</v>
      </c>
      <c r="I1110" s="11">
        <f>SUM(CEDRITOS!$B1110:$H1110)</f>
        <v>46</v>
      </c>
      <c r="J1110" s="60">
        <f t="shared" si="520"/>
        <v>6.5714285714285712</v>
      </c>
      <c r="L1110" s="223">
        <f>+I1110/$I$1114</f>
        <v>3.0045721750489876E-2</v>
      </c>
    </row>
    <row r="1111" spans="1:12" x14ac:dyDescent="0.25">
      <c r="A1111" s="212" t="s">
        <v>14</v>
      </c>
      <c r="B1111" s="11">
        <v>76</v>
      </c>
      <c r="C1111" s="13">
        <v>42</v>
      </c>
      <c r="D1111" s="320">
        <v>38</v>
      </c>
      <c r="E1111" s="11">
        <v>43</v>
      </c>
      <c r="F1111" s="125">
        <v>82</v>
      </c>
      <c r="G1111" s="11">
        <v>84</v>
      </c>
      <c r="H1111" s="11">
        <v>52</v>
      </c>
      <c r="I1111" s="11">
        <f>SUM(CEDRITOS!$B1111:$H1111)</f>
        <v>417</v>
      </c>
      <c r="J1111" s="60">
        <f t="shared" si="520"/>
        <v>59.571428571428569</v>
      </c>
      <c r="L1111" s="223">
        <f>+I1111/$I$1114</f>
        <v>0.27237099934683212</v>
      </c>
    </row>
    <row r="1112" spans="1:12" x14ac:dyDescent="0.25">
      <c r="A1112" s="212" t="s">
        <v>15</v>
      </c>
      <c r="B1112" s="11">
        <v>10</v>
      </c>
      <c r="C1112" s="13">
        <v>2</v>
      </c>
      <c r="D1112" s="13">
        <v>2</v>
      </c>
      <c r="E1112" s="11">
        <v>3</v>
      </c>
      <c r="F1112" s="125">
        <v>8</v>
      </c>
      <c r="G1112" s="11">
        <v>17</v>
      </c>
      <c r="H1112" s="11">
        <v>24</v>
      </c>
      <c r="I1112" s="11">
        <f>SUM(CEDRITOS!$B1112:$H1112)</f>
        <v>66</v>
      </c>
      <c r="J1112" s="60">
        <f t="shared" si="520"/>
        <v>9.4285714285714288</v>
      </c>
      <c r="L1112" s="223">
        <f>+I1112/$I$1114</f>
        <v>4.3109079033311563E-2</v>
      </c>
    </row>
    <row r="1113" spans="1:12" x14ac:dyDescent="0.25">
      <c r="A1113" s="212" t="s">
        <v>16</v>
      </c>
      <c r="B1113" s="11">
        <v>1</v>
      </c>
      <c r="C1113" s="13">
        <v>2</v>
      </c>
      <c r="D1113" s="13">
        <v>0</v>
      </c>
      <c r="E1113" s="11">
        <v>0</v>
      </c>
      <c r="F1113" s="125">
        <v>0</v>
      </c>
      <c r="G1113" s="11">
        <v>2</v>
      </c>
      <c r="H1113" s="11">
        <v>2</v>
      </c>
      <c r="I1113" s="11">
        <f>SUM(CEDRITOS!$B1113:$H1113)</f>
        <v>7</v>
      </c>
      <c r="J1113" s="60">
        <f t="shared" si="520"/>
        <v>1</v>
      </c>
      <c r="L1113" s="223">
        <f>+I1113/$I$1114</f>
        <v>4.5721750489875895E-3</v>
      </c>
    </row>
    <row r="1114" spans="1:12" x14ac:dyDescent="0.25">
      <c r="A1114" s="213" t="s">
        <v>17</v>
      </c>
      <c r="B1114" s="192">
        <f>SUM(B1109:B1113)</f>
        <v>304</v>
      </c>
      <c r="C1114" s="192">
        <f t="shared" ref="C1114:I1114" si="521">SUM(C1109:C1113)</f>
        <v>104</v>
      </c>
      <c r="D1114" s="192">
        <f t="shared" si="521"/>
        <v>104</v>
      </c>
      <c r="E1114" s="192">
        <f t="shared" si="521"/>
        <v>115</v>
      </c>
      <c r="F1114" s="192">
        <f t="shared" si="521"/>
        <v>278</v>
      </c>
      <c r="G1114" s="192">
        <f t="shared" si="521"/>
        <v>327</v>
      </c>
      <c r="H1114" s="192">
        <f t="shared" si="521"/>
        <v>299</v>
      </c>
      <c r="I1114" s="192">
        <f t="shared" si="521"/>
        <v>1531</v>
      </c>
      <c r="J1114" s="214">
        <f t="shared" si="520"/>
        <v>218.71428571428572</v>
      </c>
    </row>
    <row r="1115" spans="1:12" x14ac:dyDescent="0.25">
      <c r="A1115" s="212" t="s">
        <v>18</v>
      </c>
      <c r="B1115" s="325">
        <v>0.69</v>
      </c>
      <c r="C1115" s="326">
        <v>0.6</v>
      </c>
      <c r="D1115" s="326">
        <v>0.63</v>
      </c>
      <c r="E1115" s="327">
        <v>0.65</v>
      </c>
      <c r="F1115" s="328">
        <v>0.72</v>
      </c>
      <c r="G1115" s="327">
        <v>0.67</v>
      </c>
      <c r="H1115" s="327">
        <v>0.72</v>
      </c>
      <c r="I1115" s="30">
        <f>I1122/I1127</f>
        <v>0.68430677496986969</v>
      </c>
      <c r="J1115" s="160">
        <f>J1122/J1127</f>
        <v>0.68430677496986969</v>
      </c>
    </row>
    <row r="1116" spans="1:12" x14ac:dyDescent="0.25">
      <c r="A1116" s="212" t="s">
        <v>19</v>
      </c>
      <c r="B1116" s="325">
        <v>0.06</v>
      </c>
      <c r="C1116" s="326">
        <v>0</v>
      </c>
      <c r="D1116" s="326">
        <v>0.04</v>
      </c>
      <c r="E1116" s="327">
        <v>0.01</v>
      </c>
      <c r="F1116" s="327">
        <v>0.03</v>
      </c>
      <c r="G1116" s="327">
        <v>0.04</v>
      </c>
      <c r="H1116" s="327">
        <v>0.02</v>
      </c>
      <c r="I1116" s="30">
        <f>I1123/I1127</f>
        <v>3.3153284111671191E-2</v>
      </c>
      <c r="J1116" s="160">
        <f>J1123/J1127</f>
        <v>3.3153284111671191E-2</v>
      </c>
    </row>
    <row r="1117" spans="1:12" x14ac:dyDescent="0.25">
      <c r="A1117" s="212" t="s">
        <v>20</v>
      </c>
      <c r="B1117" s="325">
        <v>0.22</v>
      </c>
      <c r="C1117" s="326">
        <v>0.34</v>
      </c>
      <c r="D1117" s="326">
        <v>0.32</v>
      </c>
      <c r="E1117" s="327">
        <v>0.31</v>
      </c>
      <c r="F1117" s="329">
        <v>0.23</v>
      </c>
      <c r="G1117" s="327">
        <v>0.23</v>
      </c>
      <c r="H1117" s="327">
        <v>0.16</v>
      </c>
      <c r="I1117" s="30">
        <f>I1124/I1127</f>
        <v>0.2323458476689596</v>
      </c>
      <c r="J1117" s="160">
        <f>J1124/J1127</f>
        <v>0.23234584766895958</v>
      </c>
    </row>
    <row r="1118" spans="1:12" x14ac:dyDescent="0.25">
      <c r="A1118" s="212" t="s">
        <v>21</v>
      </c>
      <c r="B1118" s="325">
        <v>0.03</v>
      </c>
      <c r="C1118" s="326">
        <v>0.04</v>
      </c>
      <c r="D1118" s="326">
        <v>0.01</v>
      </c>
      <c r="E1118" s="327">
        <v>0.03</v>
      </c>
      <c r="F1118" s="329">
        <v>0.02</v>
      </c>
      <c r="G1118" s="327">
        <v>0.05</v>
      </c>
      <c r="H1118" s="327">
        <v>0.09</v>
      </c>
      <c r="I1118" s="30">
        <f>I1125/I1127</f>
        <v>4.4551720202394229E-2</v>
      </c>
      <c r="J1118" s="160">
        <f>J1125/J1127</f>
        <v>4.4551720202394236E-2</v>
      </c>
    </row>
    <row r="1119" spans="1:12" x14ac:dyDescent="0.25">
      <c r="A1119" s="212" t="s">
        <v>22</v>
      </c>
      <c r="B1119" s="325">
        <v>0</v>
      </c>
      <c r="C1119" s="326">
        <v>0.02</v>
      </c>
      <c r="D1119" s="326">
        <v>0</v>
      </c>
      <c r="E1119" s="327">
        <v>0</v>
      </c>
      <c r="F1119" s="329">
        <v>0</v>
      </c>
      <c r="G1119" s="327">
        <v>0.01</v>
      </c>
      <c r="H1119" s="327">
        <v>0.01</v>
      </c>
      <c r="I1119" s="30">
        <f>I1126/I1127</f>
        <v>5.6423730471050699E-3</v>
      </c>
      <c r="J1119" s="160">
        <f>J1126/J1127</f>
        <v>5.6423730471050699E-3</v>
      </c>
    </row>
    <row r="1120" spans="1:12" x14ac:dyDescent="0.25">
      <c r="A1120" s="215" t="s">
        <v>23</v>
      </c>
      <c r="B1120" s="66">
        <f t="shared" ref="B1120:J1120" si="522">B1131/B1114</f>
        <v>36349.671052631587</v>
      </c>
      <c r="C1120" s="66">
        <f t="shared" si="522"/>
        <v>36456.730769230766</v>
      </c>
      <c r="D1120" s="66">
        <f t="shared" si="522"/>
        <v>33656.730769230766</v>
      </c>
      <c r="E1120" s="66">
        <f t="shared" si="522"/>
        <v>35693.913043478264</v>
      </c>
      <c r="F1120" s="66">
        <f t="shared" si="522"/>
        <v>35667.266187050358</v>
      </c>
      <c r="G1120" s="66">
        <f t="shared" si="522"/>
        <v>38731.192660550463</v>
      </c>
      <c r="H1120" s="66">
        <f t="shared" si="522"/>
        <v>39292.642140468233</v>
      </c>
      <c r="I1120" s="66">
        <f t="shared" si="522"/>
        <v>37084.258654474215</v>
      </c>
      <c r="J1120" s="67">
        <f t="shared" si="522"/>
        <v>37084.258654474215</v>
      </c>
    </row>
    <row r="1121" spans="1:10" x14ac:dyDescent="0.25">
      <c r="A1121" s="215" t="s">
        <v>24</v>
      </c>
      <c r="B1121" s="66">
        <f t="shared" ref="B1121:I1121" si="523">+B1131/B1108</f>
        <v>31753.735632183914</v>
      </c>
      <c r="C1121" s="66">
        <f t="shared" si="523"/>
        <v>28723.484848484848</v>
      </c>
      <c r="D1121" s="66">
        <f t="shared" si="523"/>
        <v>27346.09375</v>
      </c>
      <c r="E1121" s="66">
        <f t="shared" si="523"/>
        <v>29320</v>
      </c>
      <c r="F1121" s="66">
        <f t="shared" si="523"/>
        <v>30046.969696969696</v>
      </c>
      <c r="G1121" s="66">
        <f t="shared" si="523"/>
        <v>33329.210526315794</v>
      </c>
      <c r="H1121" s="66">
        <f t="shared" si="523"/>
        <v>32187.671232876717</v>
      </c>
      <c r="I1121" s="66">
        <f t="shared" si="523"/>
        <v>31144.267690619869</v>
      </c>
      <c r="J1121" s="67">
        <f>J1131/J1108</f>
        <v>31144.267690619869</v>
      </c>
    </row>
    <row r="1122" spans="1:10" x14ac:dyDescent="0.25">
      <c r="A1122" s="212" t="s">
        <v>25</v>
      </c>
      <c r="B1122" s="92">
        <f t="shared" ref="B1122:H1122" si="524">B1127*B1115</f>
        <v>6277120.2258620691</v>
      </c>
      <c r="C1122" s="92">
        <f t="shared" si="524"/>
        <v>1886126.6896551724</v>
      </c>
      <c r="D1122" s="92">
        <f t="shared" si="524"/>
        <v>1820923.65</v>
      </c>
      <c r="E1122" s="92">
        <f t="shared" si="524"/>
        <v>2204852.4482758623</v>
      </c>
      <c r="F1122" s="92">
        <f t="shared" si="524"/>
        <v>5873608.6758620692</v>
      </c>
      <c r="G1122" s="31">
        <f t="shared" si="524"/>
        <v>7004759.3189655188</v>
      </c>
      <c r="H1122" s="31">
        <f t="shared" si="524"/>
        <v>6958578.4137931038</v>
      </c>
      <c r="I1122" s="31">
        <f>SUM(B1122:H1122)</f>
        <v>32025969.422413796</v>
      </c>
      <c r="J1122" s="32">
        <f t="shared" ref="J1122:J1131" si="525">I1122/7</f>
        <v>4575138.4889162565</v>
      </c>
    </row>
    <row r="1123" spans="1:10" x14ac:dyDescent="0.25">
      <c r="A1123" s="212" t="s">
        <v>26</v>
      </c>
      <c r="B1123" s="92">
        <f t="shared" ref="B1123:H1123" si="526">B1127*B1116</f>
        <v>545836.54137931042</v>
      </c>
      <c r="C1123" s="92">
        <f t="shared" si="526"/>
        <v>0</v>
      </c>
      <c r="D1123" s="92">
        <f t="shared" si="526"/>
        <v>115614.2</v>
      </c>
      <c r="E1123" s="92">
        <f t="shared" si="526"/>
        <v>33920.80689655173</v>
      </c>
      <c r="F1123" s="92">
        <f t="shared" si="526"/>
        <v>244733.69482758621</v>
      </c>
      <c r="G1123" s="31">
        <f t="shared" si="526"/>
        <v>418194.58620689664</v>
      </c>
      <c r="H1123" s="31">
        <f t="shared" si="526"/>
        <v>193293.84482758623</v>
      </c>
      <c r="I1123" s="31">
        <f>SUM(B1123:H1123)</f>
        <v>1551593.6741379313</v>
      </c>
      <c r="J1123" s="32">
        <f t="shared" si="525"/>
        <v>221656.23916256163</v>
      </c>
    </row>
    <row r="1124" spans="1:10" x14ac:dyDescent="0.25">
      <c r="A1124" s="212" t="s">
        <v>27</v>
      </c>
      <c r="B1124" s="92">
        <f t="shared" ref="B1124:H1124" si="527">B1127*B1117</f>
        <v>2001400.6517241383</v>
      </c>
      <c r="C1124" s="92">
        <f t="shared" si="527"/>
        <v>1068805.124137931</v>
      </c>
      <c r="D1124" s="92">
        <f t="shared" si="527"/>
        <v>924913.6</v>
      </c>
      <c r="E1124" s="92">
        <f t="shared" si="527"/>
        <v>1051545.0137931034</v>
      </c>
      <c r="F1124" s="92">
        <f t="shared" si="527"/>
        <v>1876291.6603448279</v>
      </c>
      <c r="G1124" s="31">
        <f t="shared" si="527"/>
        <v>2404618.8706896557</v>
      </c>
      <c r="H1124" s="31">
        <f t="shared" si="527"/>
        <v>1546350.7586206899</v>
      </c>
      <c r="I1124" s="31">
        <f>SUM(B1124:H1124)</f>
        <v>10873925.679310348</v>
      </c>
      <c r="J1124" s="32">
        <f t="shared" si="525"/>
        <v>1553417.9541871925</v>
      </c>
    </row>
    <row r="1125" spans="1:10" x14ac:dyDescent="0.25">
      <c r="A1125" s="212" t="s">
        <v>28</v>
      </c>
      <c r="B1125" s="92">
        <f t="shared" ref="B1125:H1125" si="528">B1127*B1118</f>
        <v>272918.27068965521</v>
      </c>
      <c r="C1125" s="92">
        <f t="shared" si="528"/>
        <v>125741.77931034483</v>
      </c>
      <c r="D1125" s="92">
        <f t="shared" si="528"/>
        <v>28903.55</v>
      </c>
      <c r="E1125" s="92">
        <f t="shared" si="528"/>
        <v>101762.42068965518</v>
      </c>
      <c r="F1125" s="92">
        <f t="shared" si="528"/>
        <v>163155.79655172417</v>
      </c>
      <c r="G1125" s="31">
        <f t="shared" si="528"/>
        <v>522743.23275862075</v>
      </c>
      <c r="H1125" s="31">
        <f t="shared" si="528"/>
        <v>869822.30172413797</v>
      </c>
      <c r="I1125" s="31">
        <f>SUM(B1125:H1125)</f>
        <v>2085047.3517241383</v>
      </c>
      <c r="J1125" s="32">
        <f t="shared" si="525"/>
        <v>297863.90738916263</v>
      </c>
    </row>
    <row r="1126" spans="1:10" x14ac:dyDescent="0.25">
      <c r="A1126" s="212" t="s">
        <v>29</v>
      </c>
      <c r="B1126" s="92">
        <f t="shared" ref="B1126:H1126" si="529">B1127*B1119</f>
        <v>0</v>
      </c>
      <c r="C1126" s="92">
        <f t="shared" si="529"/>
        <v>62870.889655172417</v>
      </c>
      <c r="D1126" s="92">
        <f t="shared" si="529"/>
        <v>0</v>
      </c>
      <c r="E1126" s="92">
        <f t="shared" si="529"/>
        <v>0</v>
      </c>
      <c r="F1126" s="92">
        <f t="shared" si="529"/>
        <v>0</v>
      </c>
      <c r="G1126" s="31">
        <f t="shared" si="529"/>
        <v>104548.64655172416</v>
      </c>
      <c r="H1126" s="31">
        <f t="shared" si="529"/>
        <v>96646.922413793116</v>
      </c>
      <c r="I1126" s="31">
        <f>SUM(B1126:H1126)</f>
        <v>264066.45862068969</v>
      </c>
      <c r="J1126" s="32">
        <f t="shared" si="525"/>
        <v>37723.779802955672</v>
      </c>
    </row>
    <row r="1127" spans="1:10" x14ac:dyDescent="0.25">
      <c r="A1127" s="216" t="s">
        <v>30</v>
      </c>
      <c r="B1127" s="222">
        <f>(11050300/1.16)-B1128</f>
        <v>9097275.6896551736</v>
      </c>
      <c r="C1127" s="222">
        <f>(3791500/1.16)-C1128</f>
        <v>3143544.4827586208</v>
      </c>
      <c r="D1127" s="222">
        <f>(3500300/1.16)-D1128</f>
        <v>2890355</v>
      </c>
      <c r="E1127" s="222">
        <f>(4104800/1.16)-E1128</f>
        <v>3392080.6896551726</v>
      </c>
      <c r="F1127" s="222">
        <f>(9915500/1.16)-F1128</f>
        <v>8157789.8275862075</v>
      </c>
      <c r="G1127" s="222">
        <f>(12665100/1.16)-G1128</f>
        <v>10454864.655172415</v>
      </c>
      <c r="H1127" s="222">
        <f>(11748500/1.16)-H1128</f>
        <v>9664692.2413793113</v>
      </c>
      <c r="I1127" s="197">
        <f>SUM(I1122:I1126)</f>
        <v>46800602.586206913</v>
      </c>
      <c r="J1127" s="217">
        <f t="shared" si="525"/>
        <v>6685800.3694581306</v>
      </c>
    </row>
    <row r="1128" spans="1:10" x14ac:dyDescent="0.25">
      <c r="A1128" s="212" t="s">
        <v>31</v>
      </c>
      <c r="B1128" s="92">
        <f t="shared" ref="B1128:I1128" si="530">2155*B1109</f>
        <v>428845</v>
      </c>
      <c r="C1128" s="92">
        <f t="shared" si="530"/>
        <v>124990</v>
      </c>
      <c r="D1128" s="92">
        <f t="shared" si="530"/>
        <v>127145</v>
      </c>
      <c r="E1128" s="92">
        <f t="shared" si="530"/>
        <v>146540</v>
      </c>
      <c r="F1128" s="92">
        <f t="shared" si="530"/>
        <v>390055</v>
      </c>
      <c r="G1128" s="31">
        <f t="shared" si="530"/>
        <v>463325</v>
      </c>
      <c r="H1128" s="31">
        <f t="shared" si="530"/>
        <v>463325</v>
      </c>
      <c r="I1128" s="31">
        <f t="shared" si="530"/>
        <v>2144225</v>
      </c>
      <c r="J1128" s="32">
        <f t="shared" si="525"/>
        <v>306317.85714285716</v>
      </c>
    </row>
    <row r="1129" spans="1:10" x14ac:dyDescent="0.25">
      <c r="A1129" s="218" t="s">
        <v>32</v>
      </c>
      <c r="B1129" s="199">
        <f>B1128+B1127</f>
        <v>9526120.6896551736</v>
      </c>
      <c r="C1129" s="199">
        <f>C1128+C1127</f>
        <v>3268534.4827586208</v>
      </c>
      <c r="D1129" s="199">
        <f>D1128+D1127</f>
        <v>3017500</v>
      </c>
      <c r="E1129" s="199">
        <f>E1128+E1127</f>
        <v>3538620.6896551726</v>
      </c>
      <c r="F1129" s="199">
        <f>F1127+F1128</f>
        <v>8547844.8275862075</v>
      </c>
      <c r="G1129" s="199">
        <f>G1128+G1127</f>
        <v>10918189.655172415</v>
      </c>
      <c r="H1129" s="199">
        <f>H1128+H1127</f>
        <v>10128017.241379311</v>
      </c>
      <c r="I1129" s="199">
        <f>I1127+I1128</f>
        <v>48944827.586206913</v>
      </c>
      <c r="J1129" s="219">
        <f t="shared" si="525"/>
        <v>6992118.2266009878</v>
      </c>
    </row>
    <row r="1130" spans="1:10" x14ac:dyDescent="0.25">
      <c r="A1130" s="212" t="s">
        <v>33</v>
      </c>
      <c r="B1130" s="94">
        <f>B1129*16%</f>
        <v>1524179.3103448278</v>
      </c>
      <c r="C1130" s="94">
        <f t="shared" ref="C1130:H1130" si="531">C1129*16%</f>
        <v>522965.5172413793</v>
      </c>
      <c r="D1130" s="94">
        <f t="shared" si="531"/>
        <v>482800</v>
      </c>
      <c r="E1130" s="94">
        <f t="shared" si="531"/>
        <v>566179.31034482759</v>
      </c>
      <c r="F1130" s="94">
        <f t="shared" si="531"/>
        <v>1367655.1724137932</v>
      </c>
      <c r="G1130" s="94">
        <f t="shared" si="531"/>
        <v>1746910.3448275866</v>
      </c>
      <c r="H1130" s="94">
        <f t="shared" si="531"/>
        <v>1620482.7586206899</v>
      </c>
      <c r="I1130" s="94">
        <f>I1129*16%</f>
        <v>7831172.4137931066</v>
      </c>
      <c r="J1130" s="32">
        <f t="shared" si="525"/>
        <v>1118738.9162561581</v>
      </c>
    </row>
    <row r="1131" spans="1:10" x14ac:dyDescent="0.25">
      <c r="A1131" s="220" t="s">
        <v>34</v>
      </c>
      <c r="B1131" s="202">
        <f>B1129+B1130</f>
        <v>11050300.000000002</v>
      </c>
      <c r="C1131" s="202">
        <f t="shared" ref="C1131:H1131" si="532">C1129+C1130</f>
        <v>3791500</v>
      </c>
      <c r="D1131" s="202">
        <f t="shared" si="532"/>
        <v>3500300</v>
      </c>
      <c r="E1131" s="202">
        <f t="shared" si="532"/>
        <v>4104800</v>
      </c>
      <c r="F1131" s="202">
        <f t="shared" si="532"/>
        <v>9915500</v>
      </c>
      <c r="G1131" s="202">
        <f t="shared" si="532"/>
        <v>12665100.000000002</v>
      </c>
      <c r="H1131" s="202">
        <f t="shared" si="532"/>
        <v>11748500.000000002</v>
      </c>
      <c r="I1131" s="202">
        <f>I1129+I1130</f>
        <v>56776000.000000022</v>
      </c>
      <c r="J1131" s="221">
        <f t="shared" si="525"/>
        <v>8110857.1428571464</v>
      </c>
    </row>
    <row r="1133" spans="1:10" ht="26.25" x14ac:dyDescent="0.25">
      <c r="B1133" s="1007" t="s">
        <v>381</v>
      </c>
      <c r="C1133" s="1007"/>
      <c r="D1133" s="1007"/>
      <c r="E1133" s="1007"/>
      <c r="F1133" s="1007"/>
      <c r="G1133" s="1007"/>
      <c r="H1133" s="1007"/>
    </row>
    <row r="1134" spans="1:10" ht="15.75" x14ac:dyDescent="0.25">
      <c r="A1134" s="207" t="s">
        <v>2</v>
      </c>
      <c r="B1134" s="228" t="s">
        <v>70</v>
      </c>
      <c r="C1134" s="228" t="s">
        <v>71</v>
      </c>
      <c r="D1134" s="228" t="s">
        <v>72</v>
      </c>
      <c r="E1134" s="228" t="s">
        <v>73</v>
      </c>
      <c r="F1134" s="228" t="s">
        <v>74</v>
      </c>
      <c r="G1134" s="228" t="s">
        <v>75</v>
      </c>
      <c r="H1134" s="228" t="s">
        <v>76</v>
      </c>
      <c r="I1134" s="121" t="s">
        <v>96</v>
      </c>
      <c r="J1134" s="209" t="s">
        <v>97</v>
      </c>
    </row>
    <row r="1135" spans="1:10" x14ac:dyDescent="0.25">
      <c r="A1135" s="332" t="s">
        <v>11</v>
      </c>
      <c r="B1135" s="55">
        <f>53+29+14</f>
        <v>96</v>
      </c>
      <c r="C1135" s="56">
        <f>80+44+22</f>
        <v>146</v>
      </c>
      <c r="D1135" s="54">
        <f>111+49+18</f>
        <v>178</v>
      </c>
      <c r="E1135" s="316">
        <f>101+42+13</f>
        <v>156</v>
      </c>
      <c r="F1135" s="311">
        <f>178+107+22</f>
        <v>307</v>
      </c>
      <c r="G1135" s="58">
        <f>194+112+33</f>
        <v>339</v>
      </c>
      <c r="H1135" s="57">
        <f>155+111+54</f>
        <v>320</v>
      </c>
      <c r="I1135" s="316">
        <f>SUM(B1135:H1135)</f>
        <v>1542</v>
      </c>
      <c r="J1135" s="382">
        <f>+I1135/7</f>
        <v>220.28571428571428</v>
      </c>
    </row>
    <row r="1136" spans="1:10" x14ac:dyDescent="0.25">
      <c r="A1136" s="212" t="s">
        <v>12</v>
      </c>
      <c r="B1136" s="11">
        <v>54</v>
      </c>
      <c r="C1136" s="13">
        <v>72</v>
      </c>
      <c r="D1136" s="320">
        <v>76</v>
      </c>
      <c r="E1136" s="11">
        <v>75</v>
      </c>
      <c r="F1136" s="125">
        <v>166</v>
      </c>
      <c r="G1136" s="11">
        <v>170</v>
      </c>
      <c r="H1136" s="11">
        <v>160</v>
      </c>
      <c r="I1136" s="11">
        <f>SUM(CEDRITOS!$B1136:$H1136)</f>
        <v>773</v>
      </c>
      <c r="J1136" s="60">
        <f t="shared" ref="J1136:J1141" si="533">I1136/7</f>
        <v>110.42857142857143</v>
      </c>
    </row>
    <row r="1137" spans="1:10" x14ac:dyDescent="0.25">
      <c r="A1137" s="212" t="s">
        <v>13</v>
      </c>
      <c r="B1137" s="11">
        <v>4</v>
      </c>
      <c r="C1137" s="13">
        <v>1</v>
      </c>
      <c r="D1137" s="13">
        <v>2</v>
      </c>
      <c r="E1137" s="11">
        <v>3</v>
      </c>
      <c r="F1137" s="125">
        <v>8</v>
      </c>
      <c r="G1137" s="11">
        <v>7</v>
      </c>
      <c r="H1137" s="11">
        <v>4</v>
      </c>
      <c r="I1137" s="11">
        <f>SUM(CEDRITOS!$B1137:$H1137)</f>
        <v>29</v>
      </c>
      <c r="J1137" s="60">
        <f t="shared" si="533"/>
        <v>4.1428571428571432</v>
      </c>
    </row>
    <row r="1138" spans="1:10" x14ac:dyDescent="0.25">
      <c r="A1138" s="212" t="s">
        <v>14</v>
      </c>
      <c r="B1138" s="11">
        <v>20</v>
      </c>
      <c r="C1138" s="13">
        <v>45</v>
      </c>
      <c r="D1138" s="320">
        <v>53</v>
      </c>
      <c r="E1138" s="11">
        <v>54</v>
      </c>
      <c r="F1138" s="125">
        <v>69</v>
      </c>
      <c r="G1138" s="11">
        <v>84</v>
      </c>
      <c r="H1138" s="11">
        <v>81</v>
      </c>
      <c r="I1138" s="11">
        <f>SUM(CEDRITOS!$B1138:$H1138)</f>
        <v>406</v>
      </c>
      <c r="J1138" s="60">
        <f t="shared" si="533"/>
        <v>58</v>
      </c>
    </row>
    <row r="1139" spans="1:10" x14ac:dyDescent="0.25">
      <c r="A1139" s="212" t="s">
        <v>15</v>
      </c>
      <c r="B1139" s="11">
        <v>1</v>
      </c>
      <c r="C1139" s="13">
        <v>2</v>
      </c>
      <c r="D1139" s="13">
        <v>1</v>
      </c>
      <c r="E1139" s="11">
        <v>5</v>
      </c>
      <c r="F1139" s="125">
        <v>10</v>
      </c>
      <c r="G1139" s="11">
        <v>1</v>
      </c>
      <c r="H1139" s="11">
        <v>0</v>
      </c>
      <c r="I1139" s="11">
        <f>SUM(CEDRITOS!$B1139:$H1139)</f>
        <v>20</v>
      </c>
      <c r="J1139" s="60">
        <f t="shared" si="533"/>
        <v>2.8571428571428572</v>
      </c>
    </row>
    <row r="1140" spans="1:10" x14ac:dyDescent="0.25">
      <c r="A1140" s="212" t="s">
        <v>16</v>
      </c>
      <c r="B1140" s="11">
        <v>0</v>
      </c>
      <c r="C1140" s="13">
        <v>0</v>
      </c>
      <c r="D1140" s="13">
        <v>0</v>
      </c>
      <c r="E1140" s="11">
        <v>0</v>
      </c>
      <c r="F1140" s="125">
        <v>0</v>
      </c>
      <c r="G1140" s="11">
        <v>1</v>
      </c>
      <c r="H1140" s="11">
        <v>2</v>
      </c>
      <c r="I1140" s="11">
        <f>SUM(CEDRITOS!$B1140:$H1140)</f>
        <v>3</v>
      </c>
      <c r="J1140" s="60">
        <f t="shared" si="533"/>
        <v>0.42857142857142855</v>
      </c>
    </row>
    <row r="1141" spans="1:10" x14ac:dyDescent="0.25">
      <c r="A1141" s="213" t="s">
        <v>17</v>
      </c>
      <c r="B1141" s="192">
        <f>SUM(B1136:B1140)</f>
        <v>79</v>
      </c>
      <c r="C1141" s="192">
        <f t="shared" ref="C1141:I1141" si="534">SUM(C1136:C1140)</f>
        <v>120</v>
      </c>
      <c r="D1141" s="192">
        <f t="shared" si="534"/>
        <v>132</v>
      </c>
      <c r="E1141" s="192">
        <f t="shared" si="534"/>
        <v>137</v>
      </c>
      <c r="F1141" s="192">
        <f t="shared" si="534"/>
        <v>253</v>
      </c>
      <c r="G1141" s="192">
        <f t="shared" si="534"/>
        <v>263</v>
      </c>
      <c r="H1141" s="192">
        <f t="shared" si="534"/>
        <v>247</v>
      </c>
      <c r="I1141" s="192">
        <f t="shared" si="534"/>
        <v>1231</v>
      </c>
      <c r="J1141" s="214">
        <f t="shared" si="533"/>
        <v>175.85714285714286</v>
      </c>
    </row>
    <row r="1142" spans="1:10" x14ac:dyDescent="0.25">
      <c r="A1142" s="212" t="s">
        <v>18</v>
      </c>
      <c r="B1142" s="325">
        <v>0.74</v>
      </c>
      <c r="C1142" s="326">
        <v>0.67</v>
      </c>
      <c r="D1142" s="326">
        <v>0.64</v>
      </c>
      <c r="E1142" s="327">
        <v>0.63</v>
      </c>
      <c r="F1142" s="328">
        <v>0.67</v>
      </c>
      <c r="G1142" s="327">
        <v>0.7</v>
      </c>
      <c r="H1142" s="327">
        <v>0.7</v>
      </c>
      <c r="I1142" s="30">
        <f>I1149/I1154</f>
        <v>0.67930286069620771</v>
      </c>
      <c r="J1142" s="160">
        <f>J1149/J1154</f>
        <v>0.67930286069620771</v>
      </c>
    </row>
    <row r="1143" spans="1:10" x14ac:dyDescent="0.25">
      <c r="A1143" s="212" t="s">
        <v>19</v>
      </c>
      <c r="B1143" s="325">
        <v>0.04</v>
      </c>
      <c r="C1143" s="326">
        <v>0.01</v>
      </c>
      <c r="D1143" s="326">
        <v>0.01</v>
      </c>
      <c r="E1143" s="327">
        <v>0.02</v>
      </c>
      <c r="F1143" s="327">
        <v>0.04</v>
      </c>
      <c r="G1143" s="327">
        <v>0.02</v>
      </c>
      <c r="H1143" s="327">
        <v>0.01</v>
      </c>
      <c r="I1143" s="30">
        <f>I1150/I1154</f>
        <v>2.1213289111108865E-2</v>
      </c>
      <c r="J1143" s="160">
        <f>J1150/J1154</f>
        <v>2.1213289111108868E-2</v>
      </c>
    </row>
    <row r="1144" spans="1:10" x14ac:dyDescent="0.25">
      <c r="A1144" s="212" t="s">
        <v>20</v>
      </c>
      <c r="B1144" s="325">
        <v>0.21</v>
      </c>
      <c r="C1144" s="326">
        <v>0.31</v>
      </c>
      <c r="D1144" s="326">
        <v>0.34</v>
      </c>
      <c r="E1144" s="327">
        <v>0.31</v>
      </c>
      <c r="F1144" s="329">
        <v>0.25</v>
      </c>
      <c r="G1144" s="327">
        <v>0.28000000000000003</v>
      </c>
      <c r="H1144" s="327">
        <v>0.27</v>
      </c>
      <c r="I1144" s="30">
        <f>I1151/I1154</f>
        <v>0.28055214820645441</v>
      </c>
      <c r="J1144" s="160">
        <f>J1151/J1154</f>
        <v>0.28055214820645447</v>
      </c>
    </row>
    <row r="1145" spans="1:10" x14ac:dyDescent="0.25">
      <c r="A1145" s="212" t="s">
        <v>21</v>
      </c>
      <c r="B1145" s="325">
        <v>0.01</v>
      </c>
      <c r="C1145" s="326">
        <v>0.01</v>
      </c>
      <c r="D1145" s="326">
        <v>0.01</v>
      </c>
      <c r="E1145" s="327">
        <v>0.04</v>
      </c>
      <c r="F1145" s="329">
        <v>0.04</v>
      </c>
      <c r="G1145" s="327">
        <v>0</v>
      </c>
      <c r="H1145" s="327">
        <v>0</v>
      </c>
      <c r="I1145" s="30">
        <f>I1152/I1154</f>
        <v>1.4874218545037924E-2</v>
      </c>
      <c r="J1145" s="160">
        <f>J1152/J1154</f>
        <v>1.4874218545037926E-2</v>
      </c>
    </row>
    <row r="1146" spans="1:10" x14ac:dyDescent="0.25">
      <c r="A1146" s="212" t="s">
        <v>22</v>
      </c>
      <c r="B1146" s="325">
        <v>0</v>
      </c>
      <c r="C1146" s="326">
        <v>0</v>
      </c>
      <c r="D1146" s="326">
        <v>0</v>
      </c>
      <c r="E1146" s="327">
        <v>0</v>
      </c>
      <c r="F1146" s="329">
        <v>0</v>
      </c>
      <c r="G1146" s="327">
        <v>0</v>
      </c>
      <c r="H1146" s="327">
        <v>0.02</v>
      </c>
      <c r="I1146" s="30">
        <f>I1153/I1154</f>
        <v>4.0574834411912881E-3</v>
      </c>
      <c r="J1146" s="160">
        <f>J1153/J1154</f>
        <v>4.057483441191289E-3</v>
      </c>
    </row>
    <row r="1147" spans="1:10" x14ac:dyDescent="0.25">
      <c r="A1147" s="215" t="s">
        <v>23</v>
      </c>
      <c r="B1147" s="66">
        <f t="shared" ref="B1147:J1147" si="535">B1158/B1141</f>
        <v>31722.784810126588</v>
      </c>
      <c r="C1147" s="66">
        <f t="shared" si="535"/>
        <v>30642.500000000004</v>
      </c>
      <c r="D1147" s="66">
        <f t="shared" si="535"/>
        <v>40893.181818181823</v>
      </c>
      <c r="E1147" s="66">
        <f t="shared" si="535"/>
        <v>32460.583941605841</v>
      </c>
      <c r="F1147" s="66">
        <f t="shared" si="535"/>
        <v>36994.071146245064</v>
      </c>
      <c r="G1147" s="66">
        <f t="shared" si="535"/>
        <v>39488.593155893541</v>
      </c>
      <c r="H1147" s="66">
        <f t="shared" si="535"/>
        <v>36900.809716599193</v>
      </c>
      <c r="I1147" s="66">
        <f t="shared" si="535"/>
        <v>36464.419171405352</v>
      </c>
      <c r="J1147" s="67">
        <f t="shared" si="535"/>
        <v>36464.419171405352</v>
      </c>
    </row>
    <row r="1148" spans="1:10" x14ac:dyDescent="0.25">
      <c r="A1148" s="215" t="s">
        <v>24</v>
      </c>
      <c r="B1148" s="66">
        <f t="shared" ref="B1148:I1148" si="536">+B1158/B1135</f>
        <v>26105.208333333339</v>
      </c>
      <c r="C1148" s="66">
        <f t="shared" si="536"/>
        <v>25185.616438356166</v>
      </c>
      <c r="D1148" s="66">
        <f t="shared" si="536"/>
        <v>30325.280898876408</v>
      </c>
      <c r="E1148" s="66">
        <f t="shared" si="536"/>
        <v>28507.051282051281</v>
      </c>
      <c r="F1148" s="66">
        <f t="shared" si="536"/>
        <v>30486.970684039094</v>
      </c>
      <c r="G1148" s="66">
        <f t="shared" si="536"/>
        <v>30635.693215339237</v>
      </c>
      <c r="H1148" s="66">
        <f t="shared" si="536"/>
        <v>28482.8125</v>
      </c>
      <c r="I1148" s="66">
        <f t="shared" si="536"/>
        <v>29110.051880674444</v>
      </c>
      <c r="J1148" s="67">
        <f>J1158/J1135</f>
        <v>29110.051880674444</v>
      </c>
    </row>
    <row r="1149" spans="1:10" x14ac:dyDescent="0.25">
      <c r="A1149" s="212" t="s">
        <v>25</v>
      </c>
      <c r="B1149" s="92">
        <f t="shared" ref="B1149:H1149" si="537">B1154*B1142</f>
        <v>1512605.1655172417</v>
      </c>
      <c r="C1149" s="92">
        <f t="shared" si="537"/>
        <v>2019885.0413793107</v>
      </c>
      <c r="D1149" s="92">
        <f t="shared" si="537"/>
        <v>2873332.5241379314</v>
      </c>
      <c r="E1149" s="92">
        <f t="shared" si="537"/>
        <v>2313411.5948275863</v>
      </c>
      <c r="F1149" s="92">
        <f t="shared" si="537"/>
        <v>5166239.0034482768</v>
      </c>
      <c r="G1149" s="31">
        <f t="shared" si="537"/>
        <v>6010667.0689655179</v>
      </c>
      <c r="H1149" s="31">
        <f t="shared" si="537"/>
        <v>5258769.3103448274</v>
      </c>
      <c r="I1149" s="31">
        <f>SUM(B1149:H1149)</f>
        <v>25154909.70862069</v>
      </c>
      <c r="J1149" s="32">
        <f t="shared" ref="J1149:J1158" si="538">I1149/7</f>
        <v>3593558.5298029557</v>
      </c>
    </row>
    <row r="1150" spans="1:10" x14ac:dyDescent="0.25">
      <c r="A1150" s="212" t="s">
        <v>26</v>
      </c>
      <c r="B1150" s="92">
        <f t="shared" ref="B1150:H1150" si="539">B1154*B1143</f>
        <v>81762.441379310359</v>
      </c>
      <c r="C1150" s="92">
        <f t="shared" si="539"/>
        <v>30147.537931034487</v>
      </c>
      <c r="D1150" s="92">
        <f t="shared" si="539"/>
        <v>44895.820689655178</v>
      </c>
      <c r="E1150" s="92">
        <f t="shared" si="539"/>
        <v>73441.637931034493</v>
      </c>
      <c r="F1150" s="92">
        <f t="shared" si="539"/>
        <v>308432.17931034486</v>
      </c>
      <c r="G1150" s="31">
        <f t="shared" si="539"/>
        <v>171733.34482758623</v>
      </c>
      <c r="H1150" s="31">
        <f t="shared" si="539"/>
        <v>75125.275862068971</v>
      </c>
      <c r="I1150" s="31">
        <f>SUM(B1150:H1150)</f>
        <v>785538.23793103453</v>
      </c>
      <c r="J1150" s="32">
        <f t="shared" si="538"/>
        <v>112219.74827586208</v>
      </c>
    </row>
    <row r="1151" spans="1:10" x14ac:dyDescent="0.25">
      <c r="A1151" s="212" t="s">
        <v>27</v>
      </c>
      <c r="B1151" s="92">
        <f t="shared" ref="B1151:H1151" si="540">B1154*B1144</f>
        <v>429252.81724137935</v>
      </c>
      <c r="C1151" s="92">
        <f t="shared" si="540"/>
        <v>934573.67586206901</v>
      </c>
      <c r="D1151" s="92">
        <f t="shared" si="540"/>
        <v>1526457.9034482762</v>
      </c>
      <c r="E1151" s="92">
        <f t="shared" si="540"/>
        <v>1138345.3879310347</v>
      </c>
      <c r="F1151" s="92">
        <f t="shared" si="540"/>
        <v>1927701.1206896554</v>
      </c>
      <c r="G1151" s="31">
        <f t="shared" si="540"/>
        <v>2404266.8275862075</v>
      </c>
      <c r="H1151" s="31">
        <f t="shared" si="540"/>
        <v>2028382.4482758623</v>
      </c>
      <c r="I1151" s="31">
        <f>SUM(B1151:H1151)</f>
        <v>10388980.181034485</v>
      </c>
      <c r="J1151" s="32">
        <f t="shared" si="538"/>
        <v>1484140.0258620693</v>
      </c>
    </row>
    <row r="1152" spans="1:10" x14ac:dyDescent="0.25">
      <c r="A1152" s="212" t="s">
        <v>28</v>
      </c>
      <c r="B1152" s="92">
        <f t="shared" ref="B1152:H1152" si="541">B1154*B1145</f>
        <v>20440.61034482759</v>
      </c>
      <c r="C1152" s="92">
        <f t="shared" si="541"/>
        <v>30147.537931034487</v>
      </c>
      <c r="D1152" s="92">
        <f t="shared" si="541"/>
        <v>44895.820689655178</v>
      </c>
      <c r="E1152" s="92">
        <f t="shared" si="541"/>
        <v>146883.27586206899</v>
      </c>
      <c r="F1152" s="92">
        <f t="shared" si="541"/>
        <v>308432.17931034486</v>
      </c>
      <c r="G1152" s="31">
        <f t="shared" si="541"/>
        <v>0</v>
      </c>
      <c r="H1152" s="31">
        <f t="shared" si="541"/>
        <v>0</v>
      </c>
      <c r="I1152" s="31">
        <f>SUM(B1152:H1152)</f>
        <v>550799.42413793108</v>
      </c>
      <c r="J1152" s="32">
        <f t="shared" si="538"/>
        <v>78685.632019704441</v>
      </c>
    </row>
    <row r="1153" spans="1:10" x14ac:dyDescent="0.25">
      <c r="A1153" s="212" t="s">
        <v>29</v>
      </c>
      <c r="B1153" s="92">
        <f t="shared" ref="B1153:H1153" si="542">B1154*B1146</f>
        <v>0</v>
      </c>
      <c r="C1153" s="92">
        <f t="shared" si="542"/>
        <v>0</v>
      </c>
      <c r="D1153" s="92">
        <f t="shared" si="542"/>
        <v>0</v>
      </c>
      <c r="E1153" s="92">
        <f t="shared" si="542"/>
        <v>0</v>
      </c>
      <c r="F1153" s="92">
        <f t="shared" si="542"/>
        <v>0</v>
      </c>
      <c r="G1153" s="31">
        <f t="shared" si="542"/>
        <v>0</v>
      </c>
      <c r="H1153" s="31">
        <f t="shared" si="542"/>
        <v>150250.55172413794</v>
      </c>
      <c r="I1153" s="31">
        <f>SUM(B1153:H1153)</f>
        <v>150250.55172413794</v>
      </c>
      <c r="J1153" s="32">
        <f t="shared" si="538"/>
        <v>21464.364532019707</v>
      </c>
    </row>
    <row r="1154" spans="1:10" x14ac:dyDescent="0.25">
      <c r="A1154" s="216" t="s">
        <v>30</v>
      </c>
      <c r="B1154" s="222">
        <f>(2506100/1.16)-B1155</f>
        <v>2044061.034482759</v>
      </c>
      <c r="C1154" s="222">
        <f>(3677100/1.16)-C1155</f>
        <v>3014753.7931034486</v>
      </c>
      <c r="D1154" s="222">
        <f>(5397900/1.16)-D1155</f>
        <v>4489582.0689655179</v>
      </c>
      <c r="E1154" s="222">
        <f>(4447100/1.16)-E1155</f>
        <v>3672081.8965517245</v>
      </c>
      <c r="F1154" s="222">
        <f>(9359500/1.16)-F1155</f>
        <v>7710804.4827586217</v>
      </c>
      <c r="G1154" s="222">
        <f>(10385500/1.16)-G1155</f>
        <v>8586667.2413793113</v>
      </c>
      <c r="H1154" s="222">
        <f>(9114500/1.16)-H1155</f>
        <v>7512527.5862068972</v>
      </c>
      <c r="I1154" s="197">
        <f>SUM(I1149:I1153)</f>
        <v>37030478.103448272</v>
      </c>
      <c r="J1154" s="217">
        <f t="shared" si="538"/>
        <v>5290068.3004926099</v>
      </c>
    </row>
    <row r="1155" spans="1:10" x14ac:dyDescent="0.25">
      <c r="A1155" s="212" t="s">
        <v>31</v>
      </c>
      <c r="B1155" s="92">
        <f t="shared" ref="B1155:I1155" si="543">2155*B1136</f>
        <v>116370</v>
      </c>
      <c r="C1155" s="92">
        <f t="shared" si="543"/>
        <v>155160</v>
      </c>
      <c r="D1155" s="92">
        <f t="shared" si="543"/>
        <v>163780</v>
      </c>
      <c r="E1155" s="92">
        <f t="shared" si="543"/>
        <v>161625</v>
      </c>
      <c r="F1155" s="92">
        <f t="shared" si="543"/>
        <v>357730</v>
      </c>
      <c r="G1155" s="31">
        <f t="shared" si="543"/>
        <v>366350</v>
      </c>
      <c r="H1155" s="31">
        <f t="shared" si="543"/>
        <v>344800</v>
      </c>
      <c r="I1155" s="31">
        <f t="shared" si="543"/>
        <v>1665815</v>
      </c>
      <c r="J1155" s="32">
        <f t="shared" si="538"/>
        <v>237973.57142857142</v>
      </c>
    </row>
    <row r="1156" spans="1:10" x14ac:dyDescent="0.25">
      <c r="A1156" s="218" t="s">
        <v>32</v>
      </c>
      <c r="B1156" s="199">
        <f>B1155+B1154</f>
        <v>2160431.034482759</v>
      </c>
      <c r="C1156" s="199">
        <f>C1155+C1154</f>
        <v>3169913.7931034486</v>
      </c>
      <c r="D1156" s="199">
        <f>D1155+D1154</f>
        <v>4653362.0689655179</v>
      </c>
      <c r="E1156" s="199">
        <f>E1155+E1154</f>
        <v>3833706.8965517245</v>
      </c>
      <c r="F1156" s="199">
        <f>F1154+F1155</f>
        <v>8068534.4827586217</v>
      </c>
      <c r="G1156" s="199">
        <f>G1155+G1154</f>
        <v>8953017.2413793113</v>
      </c>
      <c r="H1156" s="199">
        <f>H1155+H1154</f>
        <v>7857327.5862068972</v>
      </c>
      <c r="I1156" s="199">
        <f>I1154+I1155</f>
        <v>38696293.103448272</v>
      </c>
      <c r="J1156" s="219">
        <f t="shared" si="538"/>
        <v>5528041.8719211817</v>
      </c>
    </row>
    <row r="1157" spans="1:10" x14ac:dyDescent="0.25">
      <c r="A1157" s="212" t="s">
        <v>33</v>
      </c>
      <c r="B1157" s="94">
        <f>B1156*16%</f>
        <v>345668.96551724145</v>
      </c>
      <c r="C1157" s="94">
        <f t="shared" ref="C1157:H1157" si="544">C1156*16%</f>
        <v>507186.20689655177</v>
      </c>
      <c r="D1157" s="94">
        <f t="shared" si="544"/>
        <v>744537.9310344829</v>
      </c>
      <c r="E1157" s="94">
        <f t="shared" si="544"/>
        <v>613393.10344827594</v>
      </c>
      <c r="F1157" s="94">
        <f t="shared" si="544"/>
        <v>1290965.5172413795</v>
      </c>
      <c r="G1157" s="94">
        <f t="shared" si="544"/>
        <v>1432482.7586206899</v>
      </c>
      <c r="H1157" s="94">
        <f t="shared" si="544"/>
        <v>1257172.4137931035</v>
      </c>
      <c r="I1157" s="94">
        <f>I1156*16%</f>
        <v>6191406.8965517236</v>
      </c>
      <c r="J1157" s="32">
        <f t="shared" si="538"/>
        <v>884486.6995073891</v>
      </c>
    </row>
    <row r="1158" spans="1:10" x14ac:dyDescent="0.25">
      <c r="A1158" s="220" t="s">
        <v>34</v>
      </c>
      <c r="B1158" s="202">
        <f>B1156+B1157</f>
        <v>2506100.0000000005</v>
      </c>
      <c r="C1158" s="202">
        <f t="shared" ref="C1158:H1158" si="545">C1156+C1157</f>
        <v>3677100.0000000005</v>
      </c>
      <c r="D1158" s="202">
        <f t="shared" si="545"/>
        <v>5397900.0000000009</v>
      </c>
      <c r="E1158" s="202">
        <f t="shared" si="545"/>
        <v>4447100</v>
      </c>
      <c r="F1158" s="202">
        <f t="shared" si="545"/>
        <v>9359500.0000000019</v>
      </c>
      <c r="G1158" s="202">
        <f t="shared" si="545"/>
        <v>10385500.000000002</v>
      </c>
      <c r="H1158" s="202">
        <f t="shared" si="545"/>
        <v>9114500</v>
      </c>
      <c r="I1158" s="202">
        <f>I1156+I1157</f>
        <v>44887699.999999993</v>
      </c>
      <c r="J1158" s="221">
        <f t="shared" si="538"/>
        <v>6412528.57142857</v>
      </c>
    </row>
    <row r="1160" spans="1:10" ht="26.25" x14ac:dyDescent="0.25">
      <c r="B1160" s="1007" t="s">
        <v>382</v>
      </c>
      <c r="C1160" s="1007"/>
      <c r="D1160" s="1007"/>
      <c r="E1160" s="1007"/>
      <c r="F1160" s="1007"/>
      <c r="G1160" s="1007"/>
      <c r="H1160" s="1007"/>
    </row>
    <row r="1161" spans="1:10" ht="15.75" x14ac:dyDescent="0.25">
      <c r="A1161" s="207" t="s">
        <v>2</v>
      </c>
      <c r="B1161" s="228" t="s">
        <v>81</v>
      </c>
      <c r="C1161" s="228" t="s">
        <v>82</v>
      </c>
      <c r="D1161" s="228" t="s">
        <v>83</v>
      </c>
      <c r="E1161" s="228" t="s">
        <v>84</v>
      </c>
      <c r="F1161" s="228" t="s">
        <v>85</v>
      </c>
      <c r="G1161" s="228" t="s">
        <v>86</v>
      </c>
      <c r="H1161" s="228" t="s">
        <v>87</v>
      </c>
      <c r="I1161" s="121" t="s">
        <v>96</v>
      </c>
      <c r="J1161" s="209" t="s">
        <v>97</v>
      </c>
    </row>
    <row r="1162" spans="1:10" x14ac:dyDescent="0.25">
      <c r="A1162" s="332" t="s">
        <v>11</v>
      </c>
      <c r="B1162" s="55">
        <f>76+42+16</f>
        <v>134</v>
      </c>
      <c r="C1162" s="56">
        <f>104+49+20</f>
        <v>173</v>
      </c>
      <c r="D1162" s="54">
        <f>103+46+14</f>
        <v>163</v>
      </c>
      <c r="E1162" s="316">
        <f>96+58+24</f>
        <v>178</v>
      </c>
      <c r="F1162" s="311">
        <f>177+106+42</f>
        <v>325</v>
      </c>
      <c r="G1162" s="58">
        <f>161+98+34</f>
        <v>293</v>
      </c>
      <c r="H1162" s="57">
        <f>162+106+28</f>
        <v>296</v>
      </c>
      <c r="I1162" s="316">
        <f>SUM(B1162:H1162)</f>
        <v>1562</v>
      </c>
      <c r="J1162" s="382">
        <f>+I1162/7</f>
        <v>223.14285714285714</v>
      </c>
    </row>
    <row r="1163" spans="1:10" x14ac:dyDescent="0.25">
      <c r="A1163" s="212" t="s">
        <v>12</v>
      </c>
      <c r="B1163" s="11">
        <v>67</v>
      </c>
      <c r="C1163" s="13">
        <v>85</v>
      </c>
      <c r="D1163" s="320">
        <v>81</v>
      </c>
      <c r="E1163" s="11">
        <v>82</v>
      </c>
      <c r="F1163" s="125">
        <v>169</v>
      </c>
      <c r="G1163" s="11">
        <v>158</v>
      </c>
      <c r="H1163" s="11">
        <v>161</v>
      </c>
      <c r="I1163" s="11">
        <f>SUM(CEDRITOS!$B1163:$H1163)</f>
        <v>803</v>
      </c>
      <c r="J1163" s="60">
        <f t="shared" ref="J1163:J1168" si="546">I1163/7</f>
        <v>114.71428571428571</v>
      </c>
    </row>
    <row r="1164" spans="1:10" x14ac:dyDescent="0.25">
      <c r="A1164" s="212" t="s">
        <v>13</v>
      </c>
      <c r="B1164" s="11">
        <v>6</v>
      </c>
      <c r="C1164" s="13">
        <v>3</v>
      </c>
      <c r="D1164" s="13">
        <v>3</v>
      </c>
      <c r="E1164" s="11">
        <v>2</v>
      </c>
      <c r="F1164" s="125">
        <v>8</v>
      </c>
      <c r="G1164" s="11">
        <v>7</v>
      </c>
      <c r="H1164" s="11">
        <v>2</v>
      </c>
      <c r="I1164" s="11">
        <f>SUM(CEDRITOS!$B1164:$H1164)</f>
        <v>31</v>
      </c>
      <c r="J1164" s="60">
        <f t="shared" si="546"/>
        <v>4.4285714285714288</v>
      </c>
    </row>
    <row r="1165" spans="1:10" x14ac:dyDescent="0.25">
      <c r="A1165" s="212" t="s">
        <v>14</v>
      </c>
      <c r="B1165" s="11">
        <v>30</v>
      </c>
      <c r="C1165" s="13">
        <v>45</v>
      </c>
      <c r="D1165" s="320">
        <v>56</v>
      </c>
      <c r="E1165" s="11">
        <v>48</v>
      </c>
      <c r="F1165" s="125">
        <v>88</v>
      </c>
      <c r="G1165" s="11">
        <v>79</v>
      </c>
      <c r="H1165" s="11">
        <v>64</v>
      </c>
      <c r="I1165" s="11">
        <f>SUM(CEDRITOS!$B1165:$H1165)</f>
        <v>410</v>
      </c>
      <c r="J1165" s="60">
        <f t="shared" si="546"/>
        <v>58.571428571428569</v>
      </c>
    </row>
    <row r="1166" spans="1:10" x14ac:dyDescent="0.25">
      <c r="A1166" s="212" t="s">
        <v>15</v>
      </c>
      <c r="B1166" s="11">
        <v>8</v>
      </c>
      <c r="C1166" s="13">
        <v>6</v>
      </c>
      <c r="D1166" s="13">
        <v>1</v>
      </c>
      <c r="E1166" s="11">
        <v>13</v>
      </c>
      <c r="F1166" s="125">
        <v>10</v>
      </c>
      <c r="G1166" s="11">
        <v>9</v>
      </c>
      <c r="H1166" s="11">
        <v>31</v>
      </c>
      <c r="I1166" s="11">
        <f>SUM(CEDRITOS!$B1166:$H1166)</f>
        <v>78</v>
      </c>
      <c r="J1166" s="60">
        <f t="shared" si="546"/>
        <v>11.142857142857142</v>
      </c>
    </row>
    <row r="1167" spans="1:10" x14ac:dyDescent="0.25">
      <c r="A1167" s="212" t="s">
        <v>16</v>
      </c>
      <c r="B1167" s="11">
        <v>1</v>
      </c>
      <c r="C1167" s="13">
        <v>0</v>
      </c>
      <c r="D1167" s="13">
        <v>0</v>
      </c>
      <c r="E1167" s="11">
        <v>2</v>
      </c>
      <c r="F1167" s="125">
        <v>0</v>
      </c>
      <c r="G1167" s="11">
        <v>1</v>
      </c>
      <c r="H1167" s="11">
        <v>5</v>
      </c>
      <c r="I1167" s="11">
        <f>SUM(CEDRITOS!$B1167:$H1167)</f>
        <v>9</v>
      </c>
      <c r="J1167" s="60">
        <f t="shared" si="546"/>
        <v>1.2857142857142858</v>
      </c>
    </row>
    <row r="1168" spans="1:10" x14ac:dyDescent="0.25">
      <c r="A1168" s="213" t="s">
        <v>17</v>
      </c>
      <c r="B1168" s="192">
        <f>SUM(B1163:B1167)</f>
        <v>112</v>
      </c>
      <c r="C1168" s="192">
        <f t="shared" ref="C1168:I1168" si="547">SUM(C1163:C1167)</f>
        <v>139</v>
      </c>
      <c r="D1168" s="192">
        <f t="shared" si="547"/>
        <v>141</v>
      </c>
      <c r="E1168" s="192">
        <f t="shared" si="547"/>
        <v>147</v>
      </c>
      <c r="F1168" s="192">
        <f t="shared" si="547"/>
        <v>275</v>
      </c>
      <c r="G1168" s="192">
        <f t="shared" si="547"/>
        <v>254</v>
      </c>
      <c r="H1168" s="192">
        <f t="shared" si="547"/>
        <v>263</v>
      </c>
      <c r="I1168" s="192">
        <f t="shared" si="547"/>
        <v>1331</v>
      </c>
      <c r="J1168" s="214">
        <f t="shared" si="546"/>
        <v>190.14285714285714</v>
      </c>
    </row>
    <row r="1169" spans="1:10" x14ac:dyDescent="0.25">
      <c r="A1169" s="212" t="s">
        <v>18</v>
      </c>
      <c r="B1169" s="325">
        <v>0.64</v>
      </c>
      <c r="C1169" s="326">
        <v>0.65</v>
      </c>
      <c r="D1169" s="326">
        <v>0.65</v>
      </c>
      <c r="E1169" s="327">
        <v>0.61</v>
      </c>
      <c r="F1169" s="328">
        <v>0.63</v>
      </c>
      <c r="G1169" s="327">
        <v>0.67</v>
      </c>
      <c r="H1169" s="327">
        <v>0.65</v>
      </c>
      <c r="I1169" s="30">
        <f>I1176/I1181</f>
        <v>0.64466760369857179</v>
      </c>
      <c r="J1169" s="160">
        <f>J1176/J1181</f>
        <v>0.64466760369857179</v>
      </c>
    </row>
    <row r="1170" spans="1:10" x14ac:dyDescent="0.25">
      <c r="A1170" s="212" t="s">
        <v>19</v>
      </c>
      <c r="B1170" s="325">
        <v>0.05</v>
      </c>
      <c r="C1170" s="326">
        <v>0.04</v>
      </c>
      <c r="D1170" s="326">
        <v>0.02</v>
      </c>
      <c r="E1170" s="327">
        <v>0.01</v>
      </c>
      <c r="F1170" s="327">
        <v>0.03</v>
      </c>
      <c r="G1170" s="327">
        <v>0.03</v>
      </c>
      <c r="H1170" s="327">
        <v>0.01</v>
      </c>
      <c r="I1170" s="30">
        <f>I1177/I1181</f>
        <v>2.5528693909379181E-2</v>
      </c>
      <c r="J1170" s="160">
        <f>J1177/J1181</f>
        <v>2.5528693909379185E-2</v>
      </c>
    </row>
    <row r="1171" spans="1:10" x14ac:dyDescent="0.25">
      <c r="A1171" s="212" t="s">
        <v>20</v>
      </c>
      <c r="B1171" s="325">
        <v>0.24</v>
      </c>
      <c r="C1171" s="326">
        <v>0.28000000000000003</v>
      </c>
      <c r="D1171" s="326">
        <v>0.33</v>
      </c>
      <c r="E1171" s="327">
        <v>0.28999999999999998</v>
      </c>
      <c r="F1171" s="329">
        <v>0.3</v>
      </c>
      <c r="G1171" s="327">
        <v>0.27</v>
      </c>
      <c r="H1171" s="327">
        <v>0.21</v>
      </c>
      <c r="I1171" s="30">
        <f>I1178/I1181</f>
        <v>0.27095407275730971</v>
      </c>
      <c r="J1171" s="160">
        <f>J1178/J1181</f>
        <v>0.27095407275730971</v>
      </c>
    </row>
    <row r="1172" spans="1:10" x14ac:dyDescent="0.25">
      <c r="A1172" s="212" t="s">
        <v>21</v>
      </c>
      <c r="B1172" s="325">
        <v>0.06</v>
      </c>
      <c r="C1172" s="326">
        <v>0.03</v>
      </c>
      <c r="D1172" s="326">
        <v>0</v>
      </c>
      <c r="E1172" s="327">
        <v>0.08</v>
      </c>
      <c r="F1172" s="329">
        <v>0.04</v>
      </c>
      <c r="G1172" s="327">
        <v>0.02</v>
      </c>
      <c r="H1172" s="327">
        <v>0.11</v>
      </c>
      <c r="I1172" s="30">
        <f>I1179/I1181</f>
        <v>5.096758919085826E-2</v>
      </c>
      <c r="J1172" s="160">
        <f>J1179/J1181</f>
        <v>5.096758919085826E-2</v>
      </c>
    </row>
    <row r="1173" spans="1:10" x14ac:dyDescent="0.25">
      <c r="A1173" s="212" t="s">
        <v>22</v>
      </c>
      <c r="B1173" s="325">
        <v>0.01</v>
      </c>
      <c r="C1173" s="326">
        <v>0</v>
      </c>
      <c r="D1173" s="326">
        <v>0</v>
      </c>
      <c r="E1173" s="327">
        <v>0.01</v>
      </c>
      <c r="F1173" s="329">
        <v>0</v>
      </c>
      <c r="G1173" s="327">
        <v>0.01</v>
      </c>
      <c r="H1173" s="327">
        <v>0.02</v>
      </c>
      <c r="I1173" s="30">
        <f>I1180/I1181</f>
        <v>7.8820404438809041E-3</v>
      </c>
      <c r="J1173" s="160">
        <f>J1180/J1181</f>
        <v>7.8820404438809059E-3</v>
      </c>
    </row>
    <row r="1174" spans="1:10" x14ac:dyDescent="0.25">
      <c r="A1174" s="215" t="s">
        <v>23</v>
      </c>
      <c r="B1174" s="66">
        <f t="shared" ref="B1174:J1174" si="548">B1185/B1168</f>
        <v>35003.571428571435</v>
      </c>
      <c r="C1174" s="66">
        <f t="shared" si="548"/>
        <v>35139.568345323743</v>
      </c>
      <c r="D1174" s="66">
        <f t="shared" si="548"/>
        <v>33873.75886524823</v>
      </c>
      <c r="E1174" s="66">
        <f t="shared" si="548"/>
        <v>34314.285714285717</v>
      </c>
      <c r="F1174" s="66">
        <f t="shared" si="548"/>
        <v>35705.090909090912</v>
      </c>
      <c r="G1174" s="66">
        <f t="shared" si="548"/>
        <v>36592.519685039377</v>
      </c>
      <c r="H1174" s="66">
        <f t="shared" si="548"/>
        <v>36011.026615969582</v>
      </c>
      <c r="I1174" s="66">
        <f t="shared" si="548"/>
        <v>35469.196093163046</v>
      </c>
      <c r="J1174" s="67">
        <f t="shared" si="548"/>
        <v>35469.196093163053</v>
      </c>
    </row>
    <row r="1175" spans="1:10" x14ac:dyDescent="0.25">
      <c r="A1175" s="215" t="s">
        <v>24</v>
      </c>
      <c r="B1175" s="66">
        <f t="shared" ref="B1175:I1175" si="549">+B1185/B1162</f>
        <v>29256.716417910451</v>
      </c>
      <c r="C1175" s="66">
        <f t="shared" si="549"/>
        <v>28233.526011560694</v>
      </c>
      <c r="D1175" s="66">
        <f t="shared" si="549"/>
        <v>29301.840490797545</v>
      </c>
      <c r="E1175" s="66">
        <f t="shared" si="549"/>
        <v>28338.20224719101</v>
      </c>
      <c r="F1175" s="66">
        <f t="shared" si="549"/>
        <v>30212</v>
      </c>
      <c r="G1175" s="66">
        <f t="shared" si="549"/>
        <v>31721.843003412974</v>
      </c>
      <c r="H1175" s="66">
        <f t="shared" si="549"/>
        <v>31996.283783783783</v>
      </c>
      <c r="I1175" s="66">
        <f t="shared" si="549"/>
        <v>30223.751600512172</v>
      </c>
      <c r="J1175" s="67">
        <f>J1185/J1162</f>
        <v>30223.751600512176</v>
      </c>
    </row>
    <row r="1176" spans="1:10" x14ac:dyDescent="0.25">
      <c r="A1176" s="212" t="s">
        <v>25</v>
      </c>
      <c r="B1176" s="92">
        <f t="shared" ref="B1176:H1176" si="550">B1181*B1169</f>
        <v>2070572.9103448279</v>
      </c>
      <c r="C1176" s="92">
        <f t="shared" si="550"/>
        <v>2617884.5258620693</v>
      </c>
      <c r="D1176" s="92">
        <f t="shared" si="550"/>
        <v>2562858.2155172415</v>
      </c>
      <c r="E1176" s="92">
        <f t="shared" si="550"/>
        <v>2544760.3482758622</v>
      </c>
      <c r="F1176" s="92">
        <f t="shared" si="550"/>
        <v>5103235.5982758626</v>
      </c>
      <c r="G1176" s="31">
        <f t="shared" si="550"/>
        <v>5140246.7000000011</v>
      </c>
      <c r="H1176" s="31">
        <f t="shared" si="550"/>
        <v>5081449.0775862075</v>
      </c>
      <c r="I1176" s="31">
        <f>SUM(B1176:H1176)</f>
        <v>25121007.375862073</v>
      </c>
      <c r="J1176" s="32">
        <f t="shared" ref="J1176:J1185" si="551">I1176/7</f>
        <v>3588715.3394088675</v>
      </c>
    </row>
    <row r="1177" spans="1:10" x14ac:dyDescent="0.25">
      <c r="A1177" s="212" t="s">
        <v>26</v>
      </c>
      <c r="B1177" s="92">
        <f t="shared" ref="B1177:H1177" si="552">B1181*B1170</f>
        <v>161763.50862068968</v>
      </c>
      <c r="C1177" s="92">
        <f t="shared" si="552"/>
        <v>161100.58620689658</v>
      </c>
      <c r="D1177" s="92">
        <f t="shared" si="552"/>
        <v>78857.17586206898</v>
      </c>
      <c r="E1177" s="92">
        <f t="shared" si="552"/>
        <v>41717.38275862069</v>
      </c>
      <c r="F1177" s="92">
        <f t="shared" si="552"/>
        <v>243011.21896551724</v>
      </c>
      <c r="G1177" s="31">
        <f t="shared" si="552"/>
        <v>230160.30000000002</v>
      </c>
      <c r="H1177" s="31">
        <f t="shared" si="552"/>
        <v>78176.139655172417</v>
      </c>
      <c r="I1177" s="31">
        <f>SUM(B1177:H1177)</f>
        <v>994786.31206896552</v>
      </c>
      <c r="J1177" s="32">
        <f t="shared" si="551"/>
        <v>142112.3302955665</v>
      </c>
    </row>
    <row r="1178" spans="1:10" x14ac:dyDescent="0.25">
      <c r="A1178" s="212" t="s">
        <v>27</v>
      </c>
      <c r="B1178" s="92">
        <f t="shared" ref="B1178:H1178" si="553">B1181*B1171</f>
        <v>776464.84137931035</v>
      </c>
      <c r="C1178" s="92">
        <f t="shared" si="553"/>
        <v>1127704.1034482762</v>
      </c>
      <c r="D1178" s="92">
        <f t="shared" si="553"/>
        <v>1301143.4017241381</v>
      </c>
      <c r="E1178" s="92">
        <f t="shared" si="553"/>
        <v>1209804.0999999999</v>
      </c>
      <c r="F1178" s="92">
        <f t="shared" si="553"/>
        <v>2430112.1896551722</v>
      </c>
      <c r="G1178" s="31">
        <f t="shared" si="553"/>
        <v>2071442.7000000004</v>
      </c>
      <c r="H1178" s="31">
        <f t="shared" si="553"/>
        <v>1641698.9327586207</v>
      </c>
      <c r="I1178" s="31">
        <f>SUM(B1178:H1178)</f>
        <v>10558370.268965518</v>
      </c>
      <c r="J1178" s="32">
        <f t="shared" si="551"/>
        <v>1508338.6098522169</v>
      </c>
    </row>
    <row r="1179" spans="1:10" x14ac:dyDescent="0.25">
      <c r="A1179" s="212" t="s">
        <v>28</v>
      </c>
      <c r="B1179" s="92">
        <f t="shared" ref="B1179:H1179" si="554">B1181*B1172</f>
        <v>194116.21034482759</v>
      </c>
      <c r="C1179" s="92">
        <f t="shared" si="554"/>
        <v>120825.43965517242</v>
      </c>
      <c r="D1179" s="92">
        <f t="shared" si="554"/>
        <v>0</v>
      </c>
      <c r="E1179" s="92">
        <f t="shared" si="554"/>
        <v>333739.06206896552</v>
      </c>
      <c r="F1179" s="92">
        <f t="shared" si="554"/>
        <v>324014.95862068969</v>
      </c>
      <c r="G1179" s="31">
        <f t="shared" si="554"/>
        <v>153440.20000000001</v>
      </c>
      <c r="H1179" s="31">
        <f t="shared" si="554"/>
        <v>859937.53620689653</v>
      </c>
      <c r="I1179" s="31">
        <f>SUM(B1179:H1179)</f>
        <v>1986073.4068965516</v>
      </c>
      <c r="J1179" s="32">
        <f t="shared" si="551"/>
        <v>283724.77241379308</v>
      </c>
    </row>
    <row r="1180" spans="1:10" x14ac:dyDescent="0.25">
      <c r="A1180" s="212" t="s">
        <v>29</v>
      </c>
      <c r="B1180" s="92">
        <f t="shared" ref="B1180:H1180" si="555">B1181*B1173</f>
        <v>32352.701724137936</v>
      </c>
      <c r="C1180" s="92">
        <f t="shared" si="555"/>
        <v>0</v>
      </c>
      <c r="D1180" s="92">
        <f t="shared" si="555"/>
        <v>0</v>
      </c>
      <c r="E1180" s="92">
        <f t="shared" si="555"/>
        <v>41717.38275862069</v>
      </c>
      <c r="F1180" s="92">
        <f t="shared" si="555"/>
        <v>0</v>
      </c>
      <c r="G1180" s="31">
        <f t="shared" si="555"/>
        <v>76720.100000000006</v>
      </c>
      <c r="H1180" s="31">
        <f t="shared" si="555"/>
        <v>156352.27931034483</v>
      </c>
      <c r="I1180" s="31">
        <f>SUM(B1180:H1180)</f>
        <v>307142.46379310347</v>
      </c>
      <c r="J1180" s="32">
        <f t="shared" si="551"/>
        <v>43877.494827586212</v>
      </c>
    </row>
    <row r="1181" spans="1:10" x14ac:dyDescent="0.25">
      <c r="A1181" s="216" t="s">
        <v>30</v>
      </c>
      <c r="B1181" s="222">
        <f>(3920400/1.16)-B1182</f>
        <v>3235270.1724137934</v>
      </c>
      <c r="C1181" s="222">
        <f>(4884400/1.16)-C1182</f>
        <v>4027514.6551724141</v>
      </c>
      <c r="D1181" s="222">
        <f>(4776200/1.16)-D1182</f>
        <v>3942858.7931034486</v>
      </c>
      <c r="E1181" s="222">
        <f>(5044200/1.16)-E1182</f>
        <v>4171738.2758620689</v>
      </c>
      <c r="F1181" s="222">
        <f>(9818900/1.16)-F1182</f>
        <v>8100373.9655172415</v>
      </c>
      <c r="G1181" s="222">
        <f>(9294500/1.16)-G1182</f>
        <v>7672010.0000000009</v>
      </c>
      <c r="H1181" s="222">
        <f>(9470900/1.16)-H1182</f>
        <v>7817613.9655172415</v>
      </c>
      <c r="I1181" s="197">
        <f>SUM(I1176:I1180)</f>
        <v>38967379.827586219</v>
      </c>
      <c r="J1181" s="217">
        <f t="shared" si="551"/>
        <v>5566768.5467980308</v>
      </c>
    </row>
    <row r="1182" spans="1:10" x14ac:dyDescent="0.25">
      <c r="A1182" s="212" t="s">
        <v>31</v>
      </c>
      <c r="B1182" s="92">
        <f t="shared" ref="B1182:I1182" si="556">2155*B1163</f>
        <v>144385</v>
      </c>
      <c r="C1182" s="92">
        <f t="shared" si="556"/>
        <v>183175</v>
      </c>
      <c r="D1182" s="92">
        <f t="shared" si="556"/>
        <v>174555</v>
      </c>
      <c r="E1182" s="92">
        <f t="shared" si="556"/>
        <v>176710</v>
      </c>
      <c r="F1182" s="92">
        <f t="shared" si="556"/>
        <v>364195</v>
      </c>
      <c r="G1182" s="31">
        <f t="shared" si="556"/>
        <v>340490</v>
      </c>
      <c r="H1182" s="31">
        <f t="shared" si="556"/>
        <v>346955</v>
      </c>
      <c r="I1182" s="31">
        <f t="shared" si="556"/>
        <v>1730465</v>
      </c>
      <c r="J1182" s="32">
        <f t="shared" si="551"/>
        <v>247209.28571428571</v>
      </c>
    </row>
    <row r="1183" spans="1:10" x14ac:dyDescent="0.25">
      <c r="A1183" s="218" t="s">
        <v>32</v>
      </c>
      <c r="B1183" s="199">
        <f>B1182+B1181</f>
        <v>3379655.1724137934</v>
      </c>
      <c r="C1183" s="199">
        <f>C1182+C1181</f>
        <v>4210689.6551724141</v>
      </c>
      <c r="D1183" s="199">
        <f>D1182+D1181</f>
        <v>4117413.7931034486</v>
      </c>
      <c r="E1183" s="199">
        <f>E1182+E1181</f>
        <v>4348448.2758620689</v>
      </c>
      <c r="F1183" s="199">
        <f>F1181+F1182</f>
        <v>8464568.9655172415</v>
      </c>
      <c r="G1183" s="199">
        <f>G1182+G1181</f>
        <v>8012500.0000000009</v>
      </c>
      <c r="H1183" s="199">
        <f>H1182+H1181</f>
        <v>8164568.9655172415</v>
      </c>
      <c r="I1183" s="199">
        <f>I1181+I1182</f>
        <v>40697844.827586219</v>
      </c>
      <c r="J1183" s="219">
        <f t="shared" si="551"/>
        <v>5813977.8325123172</v>
      </c>
    </row>
    <row r="1184" spans="1:10" x14ac:dyDescent="0.25">
      <c r="A1184" s="212" t="s">
        <v>33</v>
      </c>
      <c r="B1184" s="94">
        <f>B1183*16%</f>
        <v>540744.82758620696</v>
      </c>
      <c r="C1184" s="94">
        <f t="shared" ref="C1184:H1184" si="557">C1183*16%</f>
        <v>673710.34482758632</v>
      </c>
      <c r="D1184" s="94">
        <f t="shared" si="557"/>
        <v>658786.20689655177</v>
      </c>
      <c r="E1184" s="94">
        <f t="shared" si="557"/>
        <v>695751.72413793101</v>
      </c>
      <c r="F1184" s="94">
        <f t="shared" si="557"/>
        <v>1354331.0344827587</v>
      </c>
      <c r="G1184" s="94">
        <f t="shared" si="557"/>
        <v>1282000.0000000002</v>
      </c>
      <c r="H1184" s="94">
        <f t="shared" si="557"/>
        <v>1306331.0344827587</v>
      </c>
      <c r="I1184" s="94">
        <f>I1183*16%</f>
        <v>6511655.1724137953</v>
      </c>
      <c r="J1184" s="32">
        <f t="shared" si="551"/>
        <v>930236.45320197078</v>
      </c>
    </row>
    <row r="1185" spans="1:12" x14ac:dyDescent="0.25">
      <c r="A1185" s="220" t="s">
        <v>34</v>
      </c>
      <c r="B1185" s="202">
        <f>B1183+B1184</f>
        <v>3920400.0000000005</v>
      </c>
      <c r="C1185" s="202">
        <f t="shared" ref="C1185:H1185" si="558">C1183+C1184</f>
        <v>4884400</v>
      </c>
      <c r="D1185" s="202">
        <f t="shared" si="558"/>
        <v>4776200</v>
      </c>
      <c r="E1185" s="202">
        <f t="shared" si="558"/>
        <v>5044200</v>
      </c>
      <c r="F1185" s="202">
        <f t="shared" si="558"/>
        <v>9818900</v>
      </c>
      <c r="G1185" s="202">
        <f t="shared" si="558"/>
        <v>9294500.0000000019</v>
      </c>
      <c r="H1185" s="202">
        <f t="shared" si="558"/>
        <v>9470900</v>
      </c>
      <c r="I1185" s="202">
        <f>I1183+I1184</f>
        <v>47209500.000000015</v>
      </c>
      <c r="J1185" s="221">
        <f t="shared" si="551"/>
        <v>6744214.2857142882</v>
      </c>
    </row>
    <row r="1187" spans="1:12" ht="26.25" x14ac:dyDescent="0.25">
      <c r="B1187" s="1007" t="s">
        <v>383</v>
      </c>
      <c r="C1187" s="1007"/>
      <c r="D1187" s="1007"/>
      <c r="E1187" s="1007"/>
      <c r="F1187" s="1007"/>
      <c r="G1187" s="1007"/>
      <c r="H1187" s="1007"/>
    </row>
    <row r="1188" spans="1:12" ht="15.75" x14ac:dyDescent="0.25">
      <c r="A1188" s="207" t="s">
        <v>2</v>
      </c>
      <c r="B1188" s="228" t="s">
        <v>89</v>
      </c>
      <c r="C1188" s="228" t="s">
        <v>90</v>
      </c>
      <c r="D1188" s="228" t="s">
        <v>172</v>
      </c>
      <c r="E1188" s="228" t="s">
        <v>92</v>
      </c>
      <c r="F1188" s="228" t="s">
        <v>258</v>
      </c>
      <c r="G1188" s="228" t="s">
        <v>259</v>
      </c>
      <c r="H1188" s="228" t="s">
        <v>260</v>
      </c>
      <c r="I1188" s="121" t="s">
        <v>96</v>
      </c>
      <c r="J1188" s="209" t="s">
        <v>97</v>
      </c>
    </row>
    <row r="1189" spans="1:12" x14ac:dyDescent="0.25">
      <c r="A1189" s="332" t="s">
        <v>11</v>
      </c>
      <c r="B1189" s="55">
        <f>149+111+39</f>
        <v>299</v>
      </c>
      <c r="C1189" s="56">
        <f>84+44+10</f>
        <v>138</v>
      </c>
      <c r="D1189" s="54">
        <f>67+46+13</f>
        <v>126</v>
      </c>
      <c r="E1189" s="316">
        <f>100+60+13</f>
        <v>173</v>
      </c>
      <c r="F1189" s="311">
        <f>166+91+31</f>
        <v>288</v>
      </c>
      <c r="G1189" s="58">
        <f>201+118+41</f>
        <v>360</v>
      </c>
      <c r="H1189" s="57">
        <f>151+100+34</f>
        <v>285</v>
      </c>
      <c r="I1189" s="316">
        <f>SUM(B1189:H1189)</f>
        <v>1669</v>
      </c>
      <c r="J1189" s="382">
        <f>+I1189/7</f>
        <v>238.42857142857142</v>
      </c>
    </row>
    <row r="1190" spans="1:12" x14ac:dyDescent="0.25">
      <c r="A1190" s="212" t="s">
        <v>12</v>
      </c>
      <c r="B1190" s="86">
        <v>165</v>
      </c>
      <c r="C1190" s="320">
        <v>53</v>
      </c>
      <c r="D1190" s="320">
        <v>60</v>
      </c>
      <c r="E1190" s="11">
        <v>99</v>
      </c>
      <c r="F1190" s="125">
        <v>139</v>
      </c>
      <c r="G1190" s="11">
        <v>176</v>
      </c>
      <c r="H1190" s="11">
        <v>153</v>
      </c>
      <c r="I1190" s="11">
        <f>SUM(CEDRITOS!$B1190:$H1190)</f>
        <v>845</v>
      </c>
      <c r="J1190" s="60">
        <f t="shared" ref="J1190:J1195" si="559">I1190/7</f>
        <v>120.71428571428571</v>
      </c>
      <c r="L1190" s="223"/>
    </row>
    <row r="1191" spans="1:12" x14ac:dyDescent="0.25">
      <c r="A1191" s="212" t="s">
        <v>13</v>
      </c>
      <c r="B1191" s="11">
        <v>7</v>
      </c>
      <c r="C1191" s="13">
        <v>4</v>
      </c>
      <c r="D1191" s="13">
        <v>4</v>
      </c>
      <c r="E1191" s="11">
        <v>3</v>
      </c>
      <c r="F1191" s="125">
        <v>4</v>
      </c>
      <c r="G1191" s="11">
        <v>8</v>
      </c>
      <c r="H1191" s="11">
        <v>7</v>
      </c>
      <c r="I1191" s="11">
        <f>SUM(CEDRITOS!$B1191:$H1191)</f>
        <v>37</v>
      </c>
      <c r="J1191" s="60">
        <f t="shared" si="559"/>
        <v>5.2857142857142856</v>
      </c>
      <c r="L1191" s="223"/>
    </row>
    <row r="1192" spans="1:12" x14ac:dyDescent="0.25">
      <c r="A1192" s="212" t="s">
        <v>14</v>
      </c>
      <c r="B1192" s="11">
        <v>68</v>
      </c>
      <c r="C1192" s="13">
        <v>44</v>
      </c>
      <c r="D1192" s="320">
        <v>32</v>
      </c>
      <c r="E1192" s="11">
        <v>43</v>
      </c>
      <c r="F1192" s="125">
        <v>85</v>
      </c>
      <c r="G1192" s="11">
        <v>82</v>
      </c>
      <c r="H1192" s="11">
        <v>59</v>
      </c>
      <c r="I1192" s="11">
        <f>SUM(CEDRITOS!$B1192:$H1192)</f>
        <v>413</v>
      </c>
      <c r="J1192" s="60">
        <f t="shared" si="559"/>
        <v>59</v>
      </c>
      <c r="L1192" s="223"/>
    </row>
    <row r="1193" spans="1:12" x14ac:dyDescent="0.25">
      <c r="A1193" s="212" t="s">
        <v>15</v>
      </c>
      <c r="B1193" s="11">
        <v>0</v>
      </c>
      <c r="C1193" s="13">
        <v>14</v>
      </c>
      <c r="D1193" s="13">
        <v>8</v>
      </c>
      <c r="E1193" s="11">
        <v>3</v>
      </c>
      <c r="F1193" s="125">
        <v>3</v>
      </c>
      <c r="G1193" s="11">
        <v>10</v>
      </c>
      <c r="H1193" s="11">
        <v>14</v>
      </c>
      <c r="I1193" s="11">
        <f>SUM(CEDRITOS!$B1193:$H1193)</f>
        <v>52</v>
      </c>
      <c r="J1193" s="60">
        <f t="shared" si="559"/>
        <v>7.4285714285714288</v>
      </c>
      <c r="L1193" s="223"/>
    </row>
    <row r="1194" spans="1:12" x14ac:dyDescent="0.25">
      <c r="A1194" s="212" t="s">
        <v>16</v>
      </c>
      <c r="B1194" s="11">
        <v>0</v>
      </c>
      <c r="C1194" s="13">
        <v>0</v>
      </c>
      <c r="D1194" s="13">
        <v>0</v>
      </c>
      <c r="E1194" s="11">
        <v>0</v>
      </c>
      <c r="F1194" s="125">
        <v>0</v>
      </c>
      <c r="G1194" s="11">
        <v>2</v>
      </c>
      <c r="H1194" s="11">
        <v>0</v>
      </c>
      <c r="I1194" s="11">
        <f>SUM(CEDRITOS!$B1194:$H1194)</f>
        <v>2</v>
      </c>
      <c r="J1194" s="60">
        <f t="shared" si="559"/>
        <v>0.2857142857142857</v>
      </c>
      <c r="L1194" s="223"/>
    </row>
    <row r="1195" spans="1:12" x14ac:dyDescent="0.25">
      <c r="A1195" s="213" t="s">
        <v>17</v>
      </c>
      <c r="B1195" s="192">
        <f>SUM(B1190:B1194)</f>
        <v>240</v>
      </c>
      <c r="C1195" s="192">
        <f t="shared" ref="C1195:I1195" si="560">SUM(C1190:C1194)</f>
        <v>115</v>
      </c>
      <c r="D1195" s="192">
        <f t="shared" si="560"/>
        <v>104</v>
      </c>
      <c r="E1195" s="192">
        <f t="shared" si="560"/>
        <v>148</v>
      </c>
      <c r="F1195" s="192">
        <f t="shared" si="560"/>
        <v>231</v>
      </c>
      <c r="G1195" s="192">
        <f t="shared" si="560"/>
        <v>278</v>
      </c>
      <c r="H1195" s="192">
        <f t="shared" si="560"/>
        <v>233</v>
      </c>
      <c r="I1195" s="192">
        <f t="shared" si="560"/>
        <v>1349</v>
      </c>
      <c r="J1195" s="214">
        <f t="shared" si="559"/>
        <v>192.71428571428572</v>
      </c>
    </row>
    <row r="1196" spans="1:12" x14ac:dyDescent="0.25">
      <c r="A1196" s="212" t="s">
        <v>18</v>
      </c>
      <c r="B1196" s="325">
        <v>0.71</v>
      </c>
      <c r="C1196" s="326">
        <v>0.56000000000000005</v>
      </c>
      <c r="D1196" s="326">
        <v>0.56999999999999995</v>
      </c>
      <c r="E1196" s="327">
        <v>0.7</v>
      </c>
      <c r="F1196" s="328">
        <v>0.66</v>
      </c>
      <c r="G1196" s="327">
        <v>0.68</v>
      </c>
      <c r="H1196" s="327">
        <v>0.69</v>
      </c>
      <c r="I1196" s="30">
        <f>I1203/I1208</f>
        <v>0.66738872934863114</v>
      </c>
      <c r="J1196" s="160">
        <f>J1203/J1208</f>
        <v>0.66738872934863103</v>
      </c>
    </row>
    <row r="1197" spans="1:12" x14ac:dyDescent="0.25">
      <c r="A1197" s="212" t="s">
        <v>19</v>
      </c>
      <c r="B1197" s="325">
        <v>0.03</v>
      </c>
      <c r="C1197" s="326">
        <v>0.04</v>
      </c>
      <c r="D1197" s="326">
        <v>0.06</v>
      </c>
      <c r="E1197" s="327">
        <v>0.02</v>
      </c>
      <c r="F1197" s="327">
        <v>0.02</v>
      </c>
      <c r="G1197" s="327">
        <v>0.03</v>
      </c>
      <c r="H1197" s="327">
        <v>0.03</v>
      </c>
      <c r="I1197" s="30">
        <f>I1204/I1208</f>
        <v>3.0281177065170486E-2</v>
      </c>
      <c r="J1197" s="160">
        <f>J1204/J1208</f>
        <v>3.0281177065170486E-2</v>
      </c>
    </row>
    <row r="1198" spans="1:12" x14ac:dyDescent="0.25">
      <c r="A1198" s="212" t="s">
        <v>20</v>
      </c>
      <c r="B1198" s="325">
        <v>0.26</v>
      </c>
      <c r="C1198" s="326">
        <v>0.28999999999999998</v>
      </c>
      <c r="D1198" s="326">
        <v>0.31</v>
      </c>
      <c r="E1198" s="327">
        <v>0.26</v>
      </c>
      <c r="F1198" s="329">
        <v>0.31</v>
      </c>
      <c r="G1198" s="327">
        <v>0.24</v>
      </c>
      <c r="H1198" s="327">
        <v>0.23</v>
      </c>
      <c r="I1198" s="30">
        <f>I1205/I1208</f>
        <v>0.26550001423449143</v>
      </c>
      <c r="J1198" s="160">
        <f>J1205/J1208</f>
        <v>0.26550001423449143</v>
      </c>
    </row>
    <row r="1199" spans="1:12" x14ac:dyDescent="0.25">
      <c r="A1199" s="212" t="s">
        <v>21</v>
      </c>
      <c r="B1199" s="325">
        <v>0</v>
      </c>
      <c r="C1199" s="326">
        <v>0.11</v>
      </c>
      <c r="D1199" s="326">
        <v>0.06</v>
      </c>
      <c r="E1199" s="327">
        <v>0.02</v>
      </c>
      <c r="F1199" s="329">
        <v>0.01</v>
      </c>
      <c r="G1199" s="327">
        <v>0.04</v>
      </c>
      <c r="H1199" s="327">
        <v>0.05</v>
      </c>
      <c r="I1199" s="30">
        <f>I1206/I1208</f>
        <v>3.4680132286018787E-2</v>
      </c>
      <c r="J1199" s="160">
        <f>J1206/J1208</f>
        <v>3.4680132286018787E-2</v>
      </c>
    </row>
    <row r="1200" spans="1:12" x14ac:dyDescent="0.25">
      <c r="A1200" s="212" t="s">
        <v>22</v>
      </c>
      <c r="B1200" s="325">
        <v>0</v>
      </c>
      <c r="C1200" s="326">
        <v>0</v>
      </c>
      <c r="D1200" s="326">
        <v>0</v>
      </c>
      <c r="E1200" s="327">
        <v>0</v>
      </c>
      <c r="F1200" s="329">
        <v>0</v>
      </c>
      <c r="G1200" s="327">
        <v>0.01</v>
      </c>
      <c r="H1200" s="327">
        <v>0</v>
      </c>
      <c r="I1200" s="30">
        <f>I1207/I1208</f>
        <v>2.1499470656880476E-3</v>
      </c>
      <c r="J1200" s="160">
        <f>J1207/J1208</f>
        <v>2.1499470656880476E-3</v>
      </c>
    </row>
    <row r="1201" spans="1:10" x14ac:dyDescent="0.25">
      <c r="A1201" s="215" t="s">
        <v>23</v>
      </c>
      <c r="B1201" s="66">
        <f t="shared" ref="B1201:J1201" si="561">B1212/B1195</f>
        <v>36395.833333333336</v>
      </c>
      <c r="C1201" s="66">
        <f t="shared" si="561"/>
        <v>35567.82608695652</v>
      </c>
      <c r="D1201" s="66">
        <f t="shared" si="561"/>
        <v>33775.961538461546</v>
      </c>
      <c r="E1201" s="66">
        <f t="shared" si="561"/>
        <v>33831.081081081087</v>
      </c>
      <c r="F1201" s="66">
        <f t="shared" si="561"/>
        <v>36091.341991341993</v>
      </c>
      <c r="G1201" s="66">
        <f t="shared" si="561"/>
        <v>37250.359712230216</v>
      </c>
      <c r="H1201" s="66">
        <f t="shared" si="561"/>
        <v>35171.673819742486</v>
      </c>
      <c r="I1201" s="66">
        <f t="shared" si="561"/>
        <v>35754.410674573766</v>
      </c>
      <c r="J1201" s="67">
        <f t="shared" si="561"/>
        <v>35754.410674573766</v>
      </c>
    </row>
    <row r="1202" spans="1:10" x14ac:dyDescent="0.25">
      <c r="A1202" s="215" t="s">
        <v>24</v>
      </c>
      <c r="B1202" s="66">
        <f t="shared" ref="B1202:I1202" si="562">+B1212/B1189</f>
        <v>29214.046822742475</v>
      </c>
      <c r="C1202" s="66">
        <f t="shared" si="562"/>
        <v>29639.855072463768</v>
      </c>
      <c r="D1202" s="66">
        <f t="shared" si="562"/>
        <v>27878.571428571431</v>
      </c>
      <c r="E1202" s="66">
        <f t="shared" si="562"/>
        <v>28942.196531791913</v>
      </c>
      <c r="F1202" s="66">
        <f t="shared" si="562"/>
        <v>28948.263888888891</v>
      </c>
      <c r="G1202" s="66">
        <f t="shared" si="562"/>
        <v>28765.555555555555</v>
      </c>
      <c r="H1202" s="66">
        <f t="shared" si="562"/>
        <v>28754.385964912282</v>
      </c>
      <c r="I1202" s="66">
        <f t="shared" si="562"/>
        <v>28899.161174355908</v>
      </c>
      <c r="J1202" s="67">
        <f>J1212/J1189</f>
        <v>28899.161174355908</v>
      </c>
    </row>
    <row r="1203" spans="1:10" x14ac:dyDescent="0.25">
      <c r="A1203" s="212" t="s">
        <v>25</v>
      </c>
      <c r="B1203" s="92">
        <f t="shared" ref="B1203:H1203" si="563">B1208*B1196</f>
        <v>5093964.1637931038</v>
      </c>
      <c r="C1203" s="92">
        <f t="shared" si="563"/>
        <v>1910667.1862068968</v>
      </c>
      <c r="D1203" s="92">
        <f t="shared" si="563"/>
        <v>1652367.1034482759</v>
      </c>
      <c r="E1203" s="92">
        <f t="shared" si="563"/>
        <v>2872124.0172413797</v>
      </c>
      <c r="F1203" s="92">
        <f t="shared" si="563"/>
        <v>4545822.7137931036</v>
      </c>
      <c r="G1203" s="31">
        <f t="shared" si="563"/>
        <v>5812613.7379310355</v>
      </c>
      <c r="H1203" s="31">
        <f t="shared" si="563"/>
        <v>4647108.7189655174</v>
      </c>
      <c r="I1203" s="31">
        <f>SUM(B1203:H1203)</f>
        <v>26534667.641379312</v>
      </c>
      <c r="J1203" s="32">
        <f t="shared" ref="J1203:J1212" si="564">I1203/7</f>
        <v>3790666.80591133</v>
      </c>
    </row>
    <row r="1204" spans="1:10" x14ac:dyDescent="0.25">
      <c r="A1204" s="212" t="s">
        <v>26</v>
      </c>
      <c r="B1204" s="92">
        <f t="shared" ref="B1204:H1204" si="565">B1208*B1197</f>
        <v>215237.9224137931</v>
      </c>
      <c r="C1204" s="92">
        <f t="shared" si="565"/>
        <v>136476.22758620692</v>
      </c>
      <c r="D1204" s="92">
        <f t="shared" si="565"/>
        <v>173933.37931034484</v>
      </c>
      <c r="E1204" s="92">
        <f t="shared" si="565"/>
        <v>82060.686206896571</v>
      </c>
      <c r="F1204" s="92">
        <f t="shared" si="565"/>
        <v>137752.20344827586</v>
      </c>
      <c r="G1204" s="31">
        <f t="shared" si="565"/>
        <v>256438.84137931035</v>
      </c>
      <c r="H1204" s="31">
        <f t="shared" si="565"/>
        <v>202048.20517241379</v>
      </c>
      <c r="I1204" s="31">
        <f>SUM(B1204:H1204)</f>
        <v>1203947.4655172415</v>
      </c>
      <c r="J1204" s="32">
        <f t="shared" si="564"/>
        <v>171992.49507389165</v>
      </c>
    </row>
    <row r="1205" spans="1:10" x14ac:dyDescent="0.25">
      <c r="A1205" s="212" t="s">
        <v>27</v>
      </c>
      <c r="B1205" s="92">
        <f t="shared" ref="B1205:H1205" si="566">B1208*B1198</f>
        <v>1865395.3275862071</v>
      </c>
      <c r="C1205" s="92">
        <f t="shared" si="566"/>
        <v>989452.65</v>
      </c>
      <c r="D1205" s="92">
        <f t="shared" si="566"/>
        <v>898655.79310344835</v>
      </c>
      <c r="E1205" s="92">
        <f t="shared" si="566"/>
        <v>1066788.9206896555</v>
      </c>
      <c r="F1205" s="92">
        <f t="shared" si="566"/>
        <v>2135159.1534482758</v>
      </c>
      <c r="G1205" s="31">
        <f t="shared" si="566"/>
        <v>2051510.7310344828</v>
      </c>
      <c r="H1205" s="31">
        <f t="shared" si="566"/>
        <v>1549036.2396551725</v>
      </c>
      <c r="I1205" s="31">
        <f>SUM(B1205:H1205)</f>
        <v>10555998.815517241</v>
      </c>
      <c r="J1205" s="32">
        <f t="shared" si="564"/>
        <v>1507999.8307881772</v>
      </c>
    </row>
    <row r="1206" spans="1:10" x14ac:dyDescent="0.25">
      <c r="A1206" s="212" t="s">
        <v>28</v>
      </c>
      <c r="B1206" s="92">
        <f t="shared" ref="B1206:H1206" si="567">B1208*B1199</f>
        <v>0</v>
      </c>
      <c r="C1206" s="92">
        <f t="shared" si="567"/>
        <v>375309.62586206902</v>
      </c>
      <c r="D1206" s="92">
        <f t="shared" si="567"/>
        <v>173933.37931034484</v>
      </c>
      <c r="E1206" s="92">
        <f t="shared" si="567"/>
        <v>82060.686206896571</v>
      </c>
      <c r="F1206" s="92">
        <f t="shared" si="567"/>
        <v>68876.10172413793</v>
      </c>
      <c r="G1206" s="31">
        <f t="shared" si="567"/>
        <v>341918.45517241384</v>
      </c>
      <c r="H1206" s="31">
        <f t="shared" si="567"/>
        <v>336747.00862068968</v>
      </c>
      <c r="I1206" s="31">
        <f>SUM(B1206:H1206)</f>
        <v>1378845.2568965519</v>
      </c>
      <c r="J1206" s="32">
        <f t="shared" si="564"/>
        <v>196977.89384236457</v>
      </c>
    </row>
    <row r="1207" spans="1:10" x14ac:dyDescent="0.25">
      <c r="A1207" s="212" t="s">
        <v>29</v>
      </c>
      <c r="B1207" s="92">
        <f t="shared" ref="B1207:H1207" si="568">B1208*B1200</f>
        <v>0</v>
      </c>
      <c r="C1207" s="92">
        <f t="shared" si="568"/>
        <v>0</v>
      </c>
      <c r="D1207" s="92">
        <f t="shared" si="568"/>
        <v>0</v>
      </c>
      <c r="E1207" s="92">
        <f t="shared" si="568"/>
        <v>0</v>
      </c>
      <c r="F1207" s="92">
        <f t="shared" si="568"/>
        <v>0</v>
      </c>
      <c r="G1207" s="31">
        <f t="shared" si="568"/>
        <v>85479.613793103461</v>
      </c>
      <c r="H1207" s="31">
        <f t="shared" si="568"/>
        <v>0</v>
      </c>
      <c r="I1207" s="31">
        <f>SUM(B1207:H1207)</f>
        <v>85479.613793103461</v>
      </c>
      <c r="J1207" s="32">
        <f t="shared" si="564"/>
        <v>12211.373399014779</v>
      </c>
    </row>
    <row r="1208" spans="1:10" x14ac:dyDescent="0.25">
      <c r="A1208" s="216" t="s">
        <v>30</v>
      </c>
      <c r="B1208" s="222">
        <f>(8735000/1.16)-B1209</f>
        <v>7174597.4137931038</v>
      </c>
      <c r="C1208" s="222">
        <f>(4090300/1.16)-C1209</f>
        <v>3411905.6896551726</v>
      </c>
      <c r="D1208" s="222">
        <f>(3512700/1.16)-D1209</f>
        <v>2898889.6551724141</v>
      </c>
      <c r="E1208" s="222">
        <f>(5007000/1.16)-E1209</f>
        <v>4103034.3103448283</v>
      </c>
      <c r="F1208" s="222">
        <f>(8337100/1.16)-F1209</f>
        <v>6887610.1724137934</v>
      </c>
      <c r="G1208" s="222">
        <f>(10355600/1.16)-G1209</f>
        <v>8547961.3793103453</v>
      </c>
      <c r="H1208" s="222">
        <f>(8195000/1.16)-H1209</f>
        <v>6734940.1724137934</v>
      </c>
      <c r="I1208" s="197">
        <f>SUM(I1203:I1207)</f>
        <v>39758938.793103456</v>
      </c>
      <c r="J1208" s="217">
        <f t="shared" si="564"/>
        <v>5679848.3990147794</v>
      </c>
    </row>
    <row r="1209" spans="1:10" x14ac:dyDescent="0.25">
      <c r="A1209" s="212" t="s">
        <v>31</v>
      </c>
      <c r="B1209" s="92">
        <f t="shared" ref="B1209:I1209" si="569">2155*B1190</f>
        <v>355575</v>
      </c>
      <c r="C1209" s="92">
        <f t="shared" si="569"/>
        <v>114215</v>
      </c>
      <c r="D1209" s="92">
        <f t="shared" si="569"/>
        <v>129300</v>
      </c>
      <c r="E1209" s="92">
        <f t="shared" si="569"/>
        <v>213345</v>
      </c>
      <c r="F1209" s="92">
        <f t="shared" si="569"/>
        <v>299545</v>
      </c>
      <c r="G1209" s="31">
        <f t="shared" si="569"/>
        <v>379280</v>
      </c>
      <c r="H1209" s="31">
        <f t="shared" si="569"/>
        <v>329715</v>
      </c>
      <c r="I1209" s="31">
        <f t="shared" si="569"/>
        <v>1820975</v>
      </c>
      <c r="J1209" s="32">
        <f t="shared" si="564"/>
        <v>260139.28571428571</v>
      </c>
    </row>
    <row r="1210" spans="1:10" x14ac:dyDescent="0.25">
      <c r="A1210" s="218" t="s">
        <v>32</v>
      </c>
      <c r="B1210" s="199">
        <f>B1209+B1208</f>
        <v>7530172.4137931038</v>
      </c>
      <c r="C1210" s="199">
        <f>C1209+C1208</f>
        <v>3526120.6896551726</v>
      </c>
      <c r="D1210" s="199">
        <f>D1209+D1208</f>
        <v>3028189.6551724141</v>
      </c>
      <c r="E1210" s="199">
        <f>E1209+E1208</f>
        <v>4316379.3103448283</v>
      </c>
      <c r="F1210" s="199">
        <f>F1208+F1209</f>
        <v>7187155.1724137934</v>
      </c>
      <c r="G1210" s="199">
        <f>G1209+G1208</f>
        <v>8927241.3793103453</v>
      </c>
      <c r="H1210" s="199">
        <f>H1209+H1208</f>
        <v>7064655.1724137934</v>
      </c>
      <c r="I1210" s="199">
        <f>I1208+I1209</f>
        <v>41579913.793103456</v>
      </c>
      <c r="J1210" s="219">
        <f t="shared" si="564"/>
        <v>5939987.6847290648</v>
      </c>
    </row>
    <row r="1211" spans="1:10" x14ac:dyDescent="0.25">
      <c r="A1211" s="212" t="s">
        <v>33</v>
      </c>
      <c r="B1211" s="94">
        <f>B1210*16%</f>
        <v>1204827.5862068967</v>
      </c>
      <c r="C1211" s="94">
        <f t="shared" ref="C1211:H1211" si="570">C1210*16%</f>
        <v>564179.31034482759</v>
      </c>
      <c r="D1211" s="94">
        <f t="shared" si="570"/>
        <v>484510.34482758626</v>
      </c>
      <c r="E1211" s="94">
        <f t="shared" si="570"/>
        <v>690620.68965517252</v>
      </c>
      <c r="F1211" s="94">
        <f t="shared" si="570"/>
        <v>1149944.8275862071</v>
      </c>
      <c r="G1211" s="94">
        <f t="shared" si="570"/>
        <v>1428358.6206896552</v>
      </c>
      <c r="H1211" s="94">
        <f t="shared" si="570"/>
        <v>1130344.8275862071</v>
      </c>
      <c r="I1211" s="94">
        <f>I1210*16%</f>
        <v>6652786.2068965528</v>
      </c>
      <c r="J1211" s="32">
        <f t="shared" si="564"/>
        <v>950398.02955665044</v>
      </c>
    </row>
    <row r="1212" spans="1:10" x14ac:dyDescent="0.25">
      <c r="A1212" s="220" t="s">
        <v>34</v>
      </c>
      <c r="B1212" s="202">
        <f>B1210+B1211</f>
        <v>8735000</v>
      </c>
      <c r="C1212" s="202">
        <f t="shared" ref="C1212:H1212" si="571">C1210+C1211</f>
        <v>4090300</v>
      </c>
      <c r="D1212" s="202">
        <f t="shared" si="571"/>
        <v>3512700.0000000005</v>
      </c>
      <c r="E1212" s="202">
        <f t="shared" si="571"/>
        <v>5007000.0000000009</v>
      </c>
      <c r="F1212" s="202">
        <f t="shared" si="571"/>
        <v>8337100</v>
      </c>
      <c r="G1212" s="202">
        <f t="shared" si="571"/>
        <v>10355600</v>
      </c>
      <c r="H1212" s="202">
        <f t="shared" si="571"/>
        <v>8195000</v>
      </c>
      <c r="I1212" s="202">
        <f>I1210+I1211</f>
        <v>48232700.000000007</v>
      </c>
      <c r="J1212" s="221">
        <f t="shared" si="564"/>
        <v>6890385.7142857155</v>
      </c>
    </row>
    <row r="1214" spans="1:10" ht="26.25" x14ac:dyDescent="0.25">
      <c r="B1214" s="1007" t="s">
        <v>384</v>
      </c>
      <c r="C1214" s="1007"/>
      <c r="D1214" s="1007"/>
      <c r="E1214" s="1007"/>
      <c r="F1214" s="1007"/>
      <c r="G1214" s="1007"/>
      <c r="H1214" s="1007"/>
    </row>
    <row r="1215" spans="1:10" ht="15.75" x14ac:dyDescent="0.25">
      <c r="A1215" s="207" t="s">
        <v>2</v>
      </c>
      <c r="B1215" s="232" t="s">
        <v>262</v>
      </c>
      <c r="C1215" s="232" t="s">
        <v>263</v>
      </c>
      <c r="D1215" s="232" t="s">
        <v>264</v>
      </c>
      <c r="E1215" s="232" t="s">
        <v>265</v>
      </c>
      <c r="F1215" s="232" t="s">
        <v>266</v>
      </c>
      <c r="G1215" s="232" t="s">
        <v>267</v>
      </c>
      <c r="H1215" s="232" t="s">
        <v>105</v>
      </c>
      <c r="I1215" s="121" t="s">
        <v>96</v>
      </c>
      <c r="J1215" s="209" t="s">
        <v>97</v>
      </c>
    </row>
    <row r="1216" spans="1:10" x14ac:dyDescent="0.25">
      <c r="A1216" s="332" t="s">
        <v>11</v>
      </c>
      <c r="B1216" s="55">
        <f>142+111+36</f>
        <v>289</v>
      </c>
      <c r="C1216" s="56">
        <f>67+25+15</f>
        <v>107</v>
      </c>
      <c r="D1216" s="54">
        <f>86+70+22</f>
        <v>178</v>
      </c>
      <c r="E1216" s="316">
        <f>74+54+19</f>
        <v>147</v>
      </c>
      <c r="F1216" s="311">
        <f>138+107+33</f>
        <v>278</v>
      </c>
      <c r="G1216" s="58">
        <f>206+128+52</f>
        <v>386</v>
      </c>
      <c r="H1216" s="57">
        <f>245+137+66</f>
        <v>448</v>
      </c>
      <c r="I1216" s="316">
        <f>SUM(B1216:H1216)</f>
        <v>1833</v>
      </c>
      <c r="J1216" s="382">
        <f>+I1216/7</f>
        <v>261.85714285714283</v>
      </c>
    </row>
    <row r="1217" spans="1:10" x14ac:dyDescent="0.25">
      <c r="A1217" s="212" t="s">
        <v>12</v>
      </c>
      <c r="B1217" s="86">
        <v>160</v>
      </c>
      <c r="C1217" s="320">
        <v>48</v>
      </c>
      <c r="D1217" s="320">
        <v>90</v>
      </c>
      <c r="E1217" s="11">
        <v>79</v>
      </c>
      <c r="F1217" s="125">
        <v>136</v>
      </c>
      <c r="G1217" s="11">
        <v>179</v>
      </c>
      <c r="H1217" s="11">
        <v>224</v>
      </c>
      <c r="I1217" s="11">
        <f>SUM(CEDRITOS!$B1217:$H1217)</f>
        <v>916</v>
      </c>
      <c r="J1217" s="60">
        <f t="shared" ref="J1217:J1222" si="572">I1217/7</f>
        <v>130.85714285714286</v>
      </c>
    </row>
    <row r="1218" spans="1:10" x14ac:dyDescent="0.25">
      <c r="A1218" s="212" t="s">
        <v>13</v>
      </c>
      <c r="B1218" s="11">
        <v>8</v>
      </c>
      <c r="C1218" s="13">
        <v>4</v>
      </c>
      <c r="D1218" s="13">
        <v>4</v>
      </c>
      <c r="E1218" s="11">
        <v>1</v>
      </c>
      <c r="F1218" s="125">
        <v>5</v>
      </c>
      <c r="G1218" s="11">
        <v>14</v>
      </c>
      <c r="H1218" s="11">
        <v>16</v>
      </c>
      <c r="I1218" s="11">
        <f>SUM(CEDRITOS!$B1218:$H1218)</f>
        <v>52</v>
      </c>
      <c r="J1218" s="60">
        <f t="shared" si="572"/>
        <v>7.4285714285714288</v>
      </c>
    </row>
    <row r="1219" spans="1:10" x14ac:dyDescent="0.25">
      <c r="A1219" s="212" t="s">
        <v>14</v>
      </c>
      <c r="B1219" s="11">
        <v>48</v>
      </c>
      <c r="C1219" s="13">
        <v>31</v>
      </c>
      <c r="D1219" s="320">
        <v>37</v>
      </c>
      <c r="E1219" s="11">
        <v>31</v>
      </c>
      <c r="F1219" s="125">
        <v>69</v>
      </c>
      <c r="G1219" s="11">
        <v>101</v>
      </c>
      <c r="H1219" s="11">
        <v>71</v>
      </c>
      <c r="I1219" s="11">
        <f>SUM(CEDRITOS!$B1219:$H1219)</f>
        <v>388</v>
      </c>
      <c r="J1219" s="60">
        <f t="shared" si="572"/>
        <v>55.428571428571431</v>
      </c>
    </row>
    <row r="1220" spans="1:10" x14ac:dyDescent="0.25">
      <c r="A1220" s="212" t="s">
        <v>15</v>
      </c>
      <c r="B1220" s="11">
        <v>15</v>
      </c>
      <c r="C1220" s="13">
        <v>5</v>
      </c>
      <c r="D1220" s="13">
        <v>8</v>
      </c>
      <c r="E1220" s="11">
        <v>6</v>
      </c>
      <c r="F1220" s="125">
        <v>4</v>
      </c>
      <c r="G1220" s="11">
        <v>10</v>
      </c>
      <c r="H1220" s="11">
        <v>9</v>
      </c>
      <c r="I1220" s="11">
        <f>SUM(CEDRITOS!$B1220:$H1220)</f>
        <v>57</v>
      </c>
      <c r="J1220" s="60">
        <f t="shared" si="572"/>
        <v>8.1428571428571423</v>
      </c>
    </row>
    <row r="1221" spans="1:10" x14ac:dyDescent="0.25">
      <c r="A1221" s="212" t="s">
        <v>16</v>
      </c>
      <c r="B1221" s="11">
        <v>2</v>
      </c>
      <c r="C1221" s="13">
        <v>0</v>
      </c>
      <c r="D1221" s="13">
        <v>0</v>
      </c>
      <c r="E1221" s="11">
        <v>0</v>
      </c>
      <c r="F1221" s="125">
        <v>0</v>
      </c>
      <c r="G1221" s="11">
        <v>3</v>
      </c>
      <c r="H1221" s="11">
        <v>0</v>
      </c>
      <c r="I1221" s="11">
        <f>SUM(CEDRITOS!$B1221:$H1221)</f>
        <v>5</v>
      </c>
      <c r="J1221" s="60">
        <f t="shared" si="572"/>
        <v>0.7142857142857143</v>
      </c>
    </row>
    <row r="1222" spans="1:10" x14ac:dyDescent="0.25">
      <c r="A1222" s="213" t="s">
        <v>17</v>
      </c>
      <c r="B1222" s="192">
        <f>SUM(B1217:B1221)</f>
        <v>233</v>
      </c>
      <c r="C1222" s="192">
        <f t="shared" ref="C1222:I1222" si="573">SUM(C1217:C1221)</f>
        <v>88</v>
      </c>
      <c r="D1222" s="192">
        <f t="shared" si="573"/>
        <v>139</v>
      </c>
      <c r="E1222" s="192">
        <f t="shared" si="573"/>
        <v>117</v>
      </c>
      <c r="F1222" s="192">
        <f t="shared" si="573"/>
        <v>214</v>
      </c>
      <c r="G1222" s="192">
        <f t="shared" si="573"/>
        <v>307</v>
      </c>
      <c r="H1222" s="192">
        <f t="shared" si="573"/>
        <v>320</v>
      </c>
      <c r="I1222" s="192">
        <f t="shared" si="573"/>
        <v>1418</v>
      </c>
      <c r="J1222" s="214">
        <f t="shared" si="572"/>
        <v>202.57142857142858</v>
      </c>
    </row>
    <row r="1223" spans="1:10" x14ac:dyDescent="0.25">
      <c r="A1223" s="212" t="s">
        <v>18</v>
      </c>
      <c r="B1223" s="325">
        <v>0.71</v>
      </c>
      <c r="C1223" s="326">
        <v>0.57999999999999996</v>
      </c>
      <c r="D1223" s="326">
        <v>0.7</v>
      </c>
      <c r="E1223" s="327">
        <v>0.75</v>
      </c>
      <c r="F1223" s="328">
        <v>0.68</v>
      </c>
      <c r="G1223" s="327">
        <v>0.64</v>
      </c>
      <c r="H1223" s="327">
        <v>0.74</v>
      </c>
      <c r="I1223" s="30">
        <f>I1230/I1235</f>
        <v>0.69229339386145305</v>
      </c>
      <c r="J1223" s="160">
        <f>J1230/J1235</f>
        <v>0.69229339386145294</v>
      </c>
    </row>
    <row r="1224" spans="1:10" x14ac:dyDescent="0.25">
      <c r="A1224" s="212" t="s">
        <v>19</v>
      </c>
      <c r="B1224" s="325">
        <v>0.03</v>
      </c>
      <c r="C1224" s="326">
        <v>0.04</v>
      </c>
      <c r="D1224" s="326">
        <v>0.03</v>
      </c>
      <c r="E1224" s="327">
        <v>0.01</v>
      </c>
      <c r="F1224" s="327">
        <v>0.03</v>
      </c>
      <c r="G1224" s="327">
        <v>0.04</v>
      </c>
      <c r="H1224" s="327">
        <v>0.05</v>
      </c>
      <c r="I1224" s="30">
        <f>I1231/I1235</f>
        <v>3.5982014166400365E-2</v>
      </c>
      <c r="J1224" s="160">
        <f>J1231/J1235</f>
        <v>3.5982014166400365E-2</v>
      </c>
    </row>
    <row r="1225" spans="1:10" x14ac:dyDescent="0.25">
      <c r="A1225" s="212" t="s">
        <v>20</v>
      </c>
      <c r="B1225" s="325">
        <v>0.18</v>
      </c>
      <c r="C1225" s="326">
        <v>0.31</v>
      </c>
      <c r="D1225" s="326">
        <v>0.21</v>
      </c>
      <c r="E1225" s="327">
        <v>0.2</v>
      </c>
      <c r="F1225" s="329">
        <v>0.27</v>
      </c>
      <c r="G1225" s="327">
        <v>0.28000000000000003</v>
      </c>
      <c r="H1225" s="327">
        <v>0.18</v>
      </c>
      <c r="I1225" s="30">
        <f>I1232/I1235</f>
        <v>0.2275015820358495</v>
      </c>
      <c r="J1225" s="160">
        <f>J1232/J1235</f>
        <v>0.22750158203584953</v>
      </c>
    </row>
    <row r="1226" spans="1:10" x14ac:dyDescent="0.25">
      <c r="A1226" s="212" t="s">
        <v>21</v>
      </c>
      <c r="B1226" s="325">
        <v>7.0000000000000007E-2</v>
      </c>
      <c r="C1226" s="326">
        <v>7.0000000000000007E-2</v>
      </c>
      <c r="D1226" s="326">
        <v>0.06</v>
      </c>
      <c r="E1226" s="327">
        <v>0.04</v>
      </c>
      <c r="F1226" s="329">
        <v>0.02</v>
      </c>
      <c r="G1226" s="327">
        <v>0.03</v>
      </c>
      <c r="H1226" s="327">
        <v>0.03</v>
      </c>
      <c r="I1226" s="30">
        <f>I1233/I1235</f>
        <v>4.0553936073425778E-2</v>
      </c>
      <c r="J1226" s="160">
        <f>J1233/J1235</f>
        <v>4.0553936073425778E-2</v>
      </c>
    </row>
    <row r="1227" spans="1:10" x14ac:dyDescent="0.25">
      <c r="A1227" s="212" t="s">
        <v>22</v>
      </c>
      <c r="B1227" s="325">
        <v>0.01</v>
      </c>
      <c r="C1227" s="326">
        <v>0</v>
      </c>
      <c r="D1227" s="326">
        <v>0</v>
      </c>
      <c r="E1227" s="327">
        <v>0</v>
      </c>
      <c r="F1227" s="329">
        <v>0</v>
      </c>
      <c r="G1227" s="327">
        <v>0.01</v>
      </c>
      <c r="H1227" s="327">
        <v>0</v>
      </c>
      <c r="I1227" s="30">
        <f>I1234/I1235</f>
        <v>3.6690738628712286E-3</v>
      </c>
      <c r="J1227" s="160">
        <f>J1234/J1235</f>
        <v>3.6690738628712286E-3</v>
      </c>
    </row>
    <row r="1228" spans="1:10" x14ac:dyDescent="0.25">
      <c r="A1228" s="215" t="s">
        <v>23</v>
      </c>
      <c r="B1228" s="66">
        <f t="shared" ref="B1228:J1228" si="574">B1239/B1222</f>
        <v>34213.304721030043</v>
      </c>
      <c r="C1228" s="66">
        <f t="shared" si="574"/>
        <v>32726.136363636368</v>
      </c>
      <c r="D1228" s="66">
        <f t="shared" si="574"/>
        <v>39509.352517985615</v>
      </c>
      <c r="E1228" s="66">
        <f t="shared" si="574"/>
        <v>34899.145299145304</v>
      </c>
      <c r="F1228" s="66">
        <f t="shared" si="574"/>
        <v>38305.140186915887</v>
      </c>
      <c r="G1228" s="66">
        <f t="shared" si="574"/>
        <v>36987.622149837131</v>
      </c>
      <c r="H1228" s="66">
        <f t="shared" si="574"/>
        <v>39613.125000000007</v>
      </c>
      <c r="I1228" s="66">
        <f t="shared" si="574"/>
        <v>37133.497884344149</v>
      </c>
      <c r="J1228" s="67">
        <f t="shared" si="574"/>
        <v>37133.497884344149</v>
      </c>
    </row>
    <row r="1229" spans="1:10" x14ac:dyDescent="0.25">
      <c r="A1229" s="215" t="s">
        <v>24</v>
      </c>
      <c r="B1229" s="66">
        <f t="shared" ref="B1229:I1229" si="575">+B1239/B1216</f>
        <v>27583.737024221453</v>
      </c>
      <c r="C1229" s="66">
        <f t="shared" si="575"/>
        <v>26914.95327102804</v>
      </c>
      <c r="D1229" s="66">
        <f t="shared" si="575"/>
        <v>30852.808988764049</v>
      </c>
      <c r="E1229" s="66">
        <f t="shared" si="575"/>
        <v>27776.870748299323</v>
      </c>
      <c r="F1229" s="66">
        <f t="shared" si="575"/>
        <v>29486.690647482013</v>
      </c>
      <c r="G1229" s="66">
        <f t="shared" si="575"/>
        <v>29417.616580310882</v>
      </c>
      <c r="H1229" s="66">
        <f t="shared" si="575"/>
        <v>28295.08928571429</v>
      </c>
      <c r="I1229" s="66">
        <f t="shared" si="575"/>
        <v>28726.29569012548</v>
      </c>
      <c r="J1229" s="67">
        <f>J1239/J1216</f>
        <v>28726.295690125484</v>
      </c>
    </row>
    <row r="1230" spans="1:10" x14ac:dyDescent="0.25">
      <c r="A1230" s="212" t="s">
        <v>25</v>
      </c>
      <c r="B1230" s="92">
        <f t="shared" ref="B1230:H1230" si="576">B1235*B1223</f>
        <v>4634422.1724137934</v>
      </c>
      <c r="C1230" s="92">
        <f t="shared" si="576"/>
        <v>1379954.8</v>
      </c>
      <c r="D1230" s="92">
        <f t="shared" si="576"/>
        <v>3178252.2413793104</v>
      </c>
      <c r="E1230" s="92">
        <f t="shared" si="576"/>
        <v>2512316.2500000005</v>
      </c>
      <c r="F1230" s="92">
        <f t="shared" si="576"/>
        <v>4606019.3931034487</v>
      </c>
      <c r="G1230" s="31">
        <f t="shared" si="576"/>
        <v>6018061.1310344832</v>
      </c>
      <c r="H1230" s="31">
        <f t="shared" si="576"/>
        <v>7729328.5793103455</v>
      </c>
      <c r="I1230" s="31">
        <f>SUM(B1230:H1230)</f>
        <v>30058354.567241382</v>
      </c>
      <c r="J1230" s="32">
        <f t="shared" ref="J1230:J1239" si="577">I1230/7</f>
        <v>4294050.6524630543</v>
      </c>
    </row>
    <row r="1231" spans="1:10" x14ac:dyDescent="0.25">
      <c r="A1231" s="212" t="s">
        <v>26</v>
      </c>
      <c r="B1231" s="92">
        <f t="shared" ref="B1231:H1231" si="578">B1235*B1224</f>
        <v>195820.6551724138</v>
      </c>
      <c r="C1231" s="92">
        <f t="shared" si="578"/>
        <v>95169.296551724154</v>
      </c>
      <c r="D1231" s="92">
        <f t="shared" si="578"/>
        <v>136210.81034482759</v>
      </c>
      <c r="E1231" s="92">
        <f t="shared" si="578"/>
        <v>33497.550000000003</v>
      </c>
      <c r="F1231" s="92">
        <f t="shared" si="578"/>
        <v>203206.73793103447</v>
      </c>
      <c r="G1231" s="31">
        <f t="shared" si="578"/>
        <v>376128.8206896552</v>
      </c>
      <c r="H1231" s="31">
        <f t="shared" si="578"/>
        <v>522251.93103448284</v>
      </c>
      <c r="I1231" s="31">
        <f>SUM(B1231:H1231)</f>
        <v>1562285.801724138</v>
      </c>
      <c r="J1231" s="32">
        <f t="shared" si="577"/>
        <v>223183.68596059113</v>
      </c>
    </row>
    <row r="1232" spans="1:10" x14ac:dyDescent="0.25">
      <c r="A1232" s="212" t="s">
        <v>27</v>
      </c>
      <c r="B1232" s="92">
        <f t="shared" ref="B1232:H1232" si="579">B1235*B1225</f>
        <v>1174923.9310344828</v>
      </c>
      <c r="C1232" s="92">
        <f t="shared" si="579"/>
        <v>737562.04827586212</v>
      </c>
      <c r="D1232" s="92">
        <f t="shared" si="579"/>
        <v>953475.67241379316</v>
      </c>
      <c r="E1232" s="92">
        <f t="shared" si="579"/>
        <v>669951.00000000012</v>
      </c>
      <c r="F1232" s="92">
        <f t="shared" si="579"/>
        <v>1828860.6413793105</v>
      </c>
      <c r="G1232" s="31">
        <f t="shared" si="579"/>
        <v>2632901.7448275862</v>
      </c>
      <c r="H1232" s="31">
        <f t="shared" si="579"/>
        <v>1880106.9517241381</v>
      </c>
      <c r="I1232" s="31">
        <f>SUM(B1232:H1232)</f>
        <v>9877781.9896551743</v>
      </c>
      <c r="J1232" s="32">
        <f t="shared" si="577"/>
        <v>1411111.7128078821</v>
      </c>
    </row>
    <row r="1233" spans="1:10" x14ac:dyDescent="0.25">
      <c r="A1233" s="212" t="s">
        <v>28</v>
      </c>
      <c r="B1233" s="92">
        <f t="shared" ref="B1233:H1233" si="580">B1235*B1226</f>
        <v>456914.86206896557</v>
      </c>
      <c r="C1233" s="92">
        <f t="shared" si="580"/>
        <v>166546.26896551729</v>
      </c>
      <c r="D1233" s="92">
        <f t="shared" si="580"/>
        <v>272421.62068965519</v>
      </c>
      <c r="E1233" s="92">
        <f t="shared" si="580"/>
        <v>133990.20000000001</v>
      </c>
      <c r="F1233" s="92">
        <f t="shared" si="580"/>
        <v>135471.15862068968</v>
      </c>
      <c r="G1233" s="31">
        <f t="shared" si="580"/>
        <v>282096.61551724136</v>
      </c>
      <c r="H1233" s="31">
        <f t="shared" si="580"/>
        <v>313351.1586206897</v>
      </c>
      <c r="I1233" s="31">
        <f>SUM(B1233:H1233)</f>
        <v>1760791.8844827591</v>
      </c>
      <c r="J1233" s="32">
        <f t="shared" si="577"/>
        <v>251541.69778325129</v>
      </c>
    </row>
    <row r="1234" spans="1:10" x14ac:dyDescent="0.25">
      <c r="A1234" s="212" t="s">
        <v>29</v>
      </c>
      <c r="B1234" s="92">
        <f t="shared" ref="B1234:H1234" si="581">B1235*B1227</f>
        <v>65273.551724137935</v>
      </c>
      <c r="C1234" s="92">
        <f t="shared" si="581"/>
        <v>0</v>
      </c>
      <c r="D1234" s="92">
        <f t="shared" si="581"/>
        <v>0</v>
      </c>
      <c r="E1234" s="92">
        <f t="shared" si="581"/>
        <v>0</v>
      </c>
      <c r="F1234" s="92">
        <f t="shared" si="581"/>
        <v>0</v>
      </c>
      <c r="G1234" s="31">
        <f t="shared" si="581"/>
        <v>94032.2051724138</v>
      </c>
      <c r="H1234" s="31">
        <f t="shared" si="581"/>
        <v>0</v>
      </c>
      <c r="I1234" s="31">
        <f>SUM(B1234:H1234)</f>
        <v>159305.75689655173</v>
      </c>
      <c r="J1234" s="32">
        <f t="shared" si="577"/>
        <v>22757.965270935962</v>
      </c>
    </row>
    <row r="1235" spans="1:10" x14ac:dyDescent="0.25">
      <c r="A1235" s="216" t="s">
        <v>30</v>
      </c>
      <c r="B1235" s="222">
        <f>(7971700/1.16)-B1236</f>
        <v>6527355.1724137934</v>
      </c>
      <c r="C1235" s="222">
        <f>(2879900/1.16)-C1236</f>
        <v>2379232.4137931038</v>
      </c>
      <c r="D1235" s="222">
        <f>(5491800/1.16)-D1236</f>
        <v>4540360.3448275868</v>
      </c>
      <c r="E1235" s="222">
        <f>(4083200/1.16)-E1236</f>
        <v>3349755.0000000005</v>
      </c>
      <c r="F1235" s="222">
        <f>(8197300/1.16)-F1236</f>
        <v>6773557.931034483</v>
      </c>
      <c r="G1235" s="222">
        <f>(11355200/1.16)-G1236</f>
        <v>9403220.5172413792</v>
      </c>
      <c r="H1235" s="222">
        <f>(12676200/1.16)-H1236</f>
        <v>10445038.620689657</v>
      </c>
      <c r="I1235" s="197">
        <f>SUM(I1230:I1234)</f>
        <v>43418520.000000007</v>
      </c>
      <c r="J1235" s="217">
        <f t="shared" si="577"/>
        <v>6202645.7142857155</v>
      </c>
    </row>
    <row r="1236" spans="1:10" x14ac:dyDescent="0.25">
      <c r="A1236" s="212" t="s">
        <v>31</v>
      </c>
      <c r="B1236" s="92">
        <f t="shared" ref="B1236:I1236" si="582">2155*B1217</f>
        <v>344800</v>
      </c>
      <c r="C1236" s="92">
        <f t="shared" si="582"/>
        <v>103440</v>
      </c>
      <c r="D1236" s="92">
        <f t="shared" si="582"/>
        <v>193950</v>
      </c>
      <c r="E1236" s="92">
        <f t="shared" si="582"/>
        <v>170245</v>
      </c>
      <c r="F1236" s="92">
        <f t="shared" si="582"/>
        <v>293080</v>
      </c>
      <c r="G1236" s="31">
        <f t="shared" si="582"/>
        <v>385745</v>
      </c>
      <c r="H1236" s="31">
        <f t="shared" si="582"/>
        <v>482720</v>
      </c>
      <c r="I1236" s="31">
        <f t="shared" si="582"/>
        <v>1973980</v>
      </c>
      <c r="J1236" s="32">
        <f t="shared" si="577"/>
        <v>281997.14285714284</v>
      </c>
    </row>
    <row r="1237" spans="1:10" x14ac:dyDescent="0.25">
      <c r="A1237" s="218" t="s">
        <v>32</v>
      </c>
      <c r="B1237" s="199">
        <f>B1236+B1235</f>
        <v>6872155.1724137934</v>
      </c>
      <c r="C1237" s="199">
        <f>C1236+C1235</f>
        <v>2482672.4137931038</v>
      </c>
      <c r="D1237" s="199">
        <f>D1236+D1235</f>
        <v>4734310.3448275868</v>
      </c>
      <c r="E1237" s="199">
        <f>E1236+E1235</f>
        <v>3520000.0000000005</v>
      </c>
      <c r="F1237" s="199">
        <f>F1235+F1236</f>
        <v>7066637.931034483</v>
      </c>
      <c r="G1237" s="199">
        <f>G1236+G1235</f>
        <v>9788965.5172413792</v>
      </c>
      <c r="H1237" s="199">
        <f>H1236+H1235</f>
        <v>10927758.620689657</v>
      </c>
      <c r="I1237" s="199">
        <f>I1235+I1236</f>
        <v>45392500.000000007</v>
      </c>
      <c r="J1237" s="219">
        <f t="shared" si="577"/>
        <v>6484642.8571428582</v>
      </c>
    </row>
    <row r="1238" spans="1:10" x14ac:dyDescent="0.25">
      <c r="A1238" s="212" t="s">
        <v>33</v>
      </c>
      <c r="B1238" s="94">
        <f>B1237*16%</f>
        <v>1099544.8275862071</v>
      </c>
      <c r="C1238" s="94">
        <f t="shared" ref="C1238:H1238" si="583">C1237*16%</f>
        <v>397227.58620689664</v>
      </c>
      <c r="D1238" s="94">
        <f t="shared" si="583"/>
        <v>757489.65517241391</v>
      </c>
      <c r="E1238" s="94">
        <f t="shared" si="583"/>
        <v>563200.00000000012</v>
      </c>
      <c r="F1238" s="94">
        <f t="shared" si="583"/>
        <v>1130662.0689655172</v>
      </c>
      <c r="G1238" s="94">
        <f t="shared" si="583"/>
        <v>1566234.4827586208</v>
      </c>
      <c r="H1238" s="94">
        <f t="shared" si="583"/>
        <v>1748441.379310345</v>
      </c>
      <c r="I1238" s="94">
        <f>I1237*16%</f>
        <v>7262800.0000000009</v>
      </c>
      <c r="J1238" s="32">
        <f t="shared" si="577"/>
        <v>1037542.8571428573</v>
      </c>
    </row>
    <row r="1239" spans="1:10" x14ac:dyDescent="0.25">
      <c r="A1239" s="220" t="s">
        <v>34</v>
      </c>
      <c r="B1239" s="202">
        <f>B1237+B1238</f>
        <v>7971700</v>
      </c>
      <c r="C1239" s="202">
        <f t="shared" ref="C1239:H1239" si="584">C1237+C1238</f>
        <v>2879900.0000000005</v>
      </c>
      <c r="D1239" s="202">
        <f t="shared" si="584"/>
        <v>5491800.0000000009</v>
      </c>
      <c r="E1239" s="202">
        <f t="shared" si="584"/>
        <v>4083200.0000000005</v>
      </c>
      <c r="F1239" s="202">
        <f t="shared" si="584"/>
        <v>8197300</v>
      </c>
      <c r="G1239" s="202">
        <f t="shared" si="584"/>
        <v>11355200</v>
      </c>
      <c r="H1239" s="202">
        <f t="shared" si="584"/>
        <v>12676200.000000002</v>
      </c>
      <c r="I1239" s="202">
        <f>I1237+I1238</f>
        <v>52655300.000000007</v>
      </c>
      <c r="J1239" s="221">
        <f t="shared" si="577"/>
        <v>7522185.7142857155</v>
      </c>
    </row>
    <row r="1241" spans="1:10" ht="26.25" x14ac:dyDescent="0.25">
      <c r="B1241" s="1007" t="s">
        <v>385</v>
      </c>
      <c r="C1241" s="1007"/>
      <c r="D1241" s="1007"/>
      <c r="E1241" s="1007"/>
      <c r="F1241" s="1007"/>
      <c r="G1241" s="1007"/>
      <c r="H1241" s="1007"/>
    </row>
    <row r="1242" spans="1:10" ht="15.75" x14ac:dyDescent="0.25">
      <c r="A1242" s="207" t="s">
        <v>2</v>
      </c>
      <c r="B1242" s="232" t="s">
        <v>107</v>
      </c>
      <c r="C1242" s="232" t="s">
        <v>108</v>
      </c>
      <c r="D1242" s="232" t="s">
        <v>109</v>
      </c>
      <c r="E1242" s="232" t="s">
        <v>110</v>
      </c>
      <c r="F1242" s="232" t="s">
        <v>111</v>
      </c>
      <c r="G1242" s="232" t="s">
        <v>112</v>
      </c>
      <c r="H1242" s="232" t="s">
        <v>113</v>
      </c>
      <c r="I1242" s="121" t="s">
        <v>96</v>
      </c>
      <c r="J1242" s="209" t="s">
        <v>97</v>
      </c>
    </row>
    <row r="1243" spans="1:10" x14ac:dyDescent="0.25">
      <c r="A1243" s="332" t="s">
        <v>11</v>
      </c>
      <c r="B1243" s="55">
        <f>47+26+12</f>
        <v>85</v>
      </c>
      <c r="C1243" s="56">
        <f>151+36+11</f>
        <v>198</v>
      </c>
      <c r="D1243" s="54">
        <f>77+49+16</f>
        <v>142</v>
      </c>
      <c r="E1243" s="316">
        <f>77+43+16</f>
        <v>136</v>
      </c>
      <c r="F1243" s="311">
        <f>142+93+30</f>
        <v>265</v>
      </c>
      <c r="G1243" s="58">
        <f>237+147+42</f>
        <v>426</v>
      </c>
      <c r="H1243" s="57">
        <f>154+84+34</f>
        <v>272</v>
      </c>
      <c r="I1243" s="316">
        <f>SUM(B1243:H1243)</f>
        <v>1524</v>
      </c>
      <c r="J1243" s="382">
        <f>+I1243/7</f>
        <v>217.71428571428572</v>
      </c>
    </row>
    <row r="1244" spans="1:10" x14ac:dyDescent="0.25">
      <c r="A1244" s="212" t="s">
        <v>12</v>
      </c>
      <c r="B1244" s="86">
        <v>48</v>
      </c>
      <c r="C1244" s="320">
        <v>57</v>
      </c>
      <c r="D1244" s="320">
        <v>64</v>
      </c>
      <c r="E1244" s="11">
        <v>63</v>
      </c>
      <c r="F1244" s="125">
        <v>135</v>
      </c>
      <c r="G1244" s="11">
        <v>224</v>
      </c>
      <c r="H1244" s="11">
        <v>136</v>
      </c>
      <c r="I1244" s="11">
        <f>SUM(CEDRITOS!$B1244:$H1244)</f>
        <v>727</v>
      </c>
      <c r="J1244" s="60">
        <f t="shared" ref="J1244:J1249" si="585">I1244/7</f>
        <v>103.85714285714286</v>
      </c>
    </row>
    <row r="1245" spans="1:10" x14ac:dyDescent="0.25">
      <c r="A1245" s="212" t="s">
        <v>13</v>
      </c>
      <c r="B1245" s="11">
        <v>2</v>
      </c>
      <c r="C1245" s="13">
        <v>1</v>
      </c>
      <c r="D1245" s="13">
        <v>0</v>
      </c>
      <c r="E1245" s="11">
        <v>1</v>
      </c>
      <c r="F1245" s="125">
        <v>4</v>
      </c>
      <c r="G1245" s="11">
        <v>12</v>
      </c>
      <c r="H1245" s="11">
        <v>8</v>
      </c>
      <c r="I1245" s="11">
        <f>SUM(CEDRITOS!$B1245:$H1245)</f>
        <v>28</v>
      </c>
      <c r="J1245" s="60">
        <f t="shared" si="585"/>
        <v>4</v>
      </c>
    </row>
    <row r="1246" spans="1:10" x14ac:dyDescent="0.25">
      <c r="A1246" s="212" t="s">
        <v>14</v>
      </c>
      <c r="B1246" s="11">
        <v>21</v>
      </c>
      <c r="C1246" s="13">
        <v>32</v>
      </c>
      <c r="D1246" s="320">
        <v>46</v>
      </c>
      <c r="E1246" s="11">
        <v>40</v>
      </c>
      <c r="F1246" s="125">
        <v>51</v>
      </c>
      <c r="G1246" s="11">
        <v>97</v>
      </c>
      <c r="H1246" s="11">
        <v>62</v>
      </c>
      <c r="I1246" s="11">
        <f>SUM(CEDRITOS!$B1246:$H1246)</f>
        <v>349</v>
      </c>
      <c r="J1246" s="60">
        <f t="shared" si="585"/>
        <v>49.857142857142854</v>
      </c>
    </row>
    <row r="1247" spans="1:10" x14ac:dyDescent="0.25">
      <c r="A1247" s="212" t="s">
        <v>15</v>
      </c>
      <c r="B1247" s="11">
        <v>3</v>
      </c>
      <c r="C1247" s="13">
        <v>3</v>
      </c>
      <c r="D1247" s="13">
        <v>8</v>
      </c>
      <c r="E1247" s="11">
        <v>4</v>
      </c>
      <c r="F1247" s="125">
        <v>30</v>
      </c>
      <c r="G1247" s="11">
        <v>2</v>
      </c>
      <c r="H1247" s="11">
        <v>5</v>
      </c>
      <c r="I1247" s="11">
        <f>SUM(CEDRITOS!$B1247:$H1247)</f>
        <v>55</v>
      </c>
      <c r="J1247" s="60">
        <f t="shared" si="585"/>
        <v>7.8571428571428568</v>
      </c>
    </row>
    <row r="1248" spans="1:10" x14ac:dyDescent="0.25">
      <c r="A1248" s="212" t="s">
        <v>16</v>
      </c>
      <c r="B1248" s="11">
        <v>0</v>
      </c>
      <c r="C1248" s="13">
        <v>1</v>
      </c>
      <c r="D1248" s="13">
        <v>0</v>
      </c>
      <c r="E1248" s="11">
        <v>1</v>
      </c>
      <c r="F1248" s="125">
        <v>0</v>
      </c>
      <c r="G1248" s="11">
        <v>1</v>
      </c>
      <c r="H1248" s="11">
        <v>1</v>
      </c>
      <c r="I1248" s="11">
        <f>SUM(CEDRITOS!$B1248:$H1248)</f>
        <v>4</v>
      </c>
      <c r="J1248" s="60">
        <f t="shared" si="585"/>
        <v>0.5714285714285714</v>
      </c>
    </row>
    <row r="1249" spans="1:10" x14ac:dyDescent="0.25">
      <c r="A1249" s="213" t="s">
        <v>17</v>
      </c>
      <c r="B1249" s="192">
        <f>SUM(B1244:B1248)</f>
        <v>74</v>
      </c>
      <c r="C1249" s="192">
        <f t="shared" ref="C1249:I1249" si="586">SUM(C1244:C1248)</f>
        <v>94</v>
      </c>
      <c r="D1249" s="192">
        <f t="shared" si="586"/>
        <v>118</v>
      </c>
      <c r="E1249" s="192">
        <f t="shared" si="586"/>
        <v>109</v>
      </c>
      <c r="F1249" s="192">
        <f t="shared" si="586"/>
        <v>220</v>
      </c>
      <c r="G1249" s="192">
        <f t="shared" si="586"/>
        <v>336</v>
      </c>
      <c r="H1249" s="192">
        <f t="shared" si="586"/>
        <v>212</v>
      </c>
      <c r="I1249" s="192">
        <f t="shared" si="586"/>
        <v>1163</v>
      </c>
      <c r="J1249" s="214">
        <f t="shared" si="585"/>
        <v>166.14285714285714</v>
      </c>
    </row>
    <row r="1250" spans="1:10" x14ac:dyDescent="0.25">
      <c r="A1250" s="212" t="s">
        <v>18</v>
      </c>
      <c r="B1250" s="325">
        <v>0.7</v>
      </c>
      <c r="C1250" s="326">
        <v>0.46</v>
      </c>
      <c r="D1250" s="326">
        <v>0.62</v>
      </c>
      <c r="E1250" s="327">
        <v>0.61</v>
      </c>
      <c r="F1250" s="328">
        <v>0.68</v>
      </c>
      <c r="G1250" s="327">
        <v>0.73</v>
      </c>
      <c r="H1250" s="327">
        <v>0.65</v>
      </c>
      <c r="I1250" s="30">
        <f>I1257/I1262</f>
        <v>0.65524742807503356</v>
      </c>
      <c r="J1250" s="160">
        <f>J1257/J1262</f>
        <v>0.65524742807503344</v>
      </c>
    </row>
    <row r="1251" spans="1:10" x14ac:dyDescent="0.25">
      <c r="A1251" s="212" t="s">
        <v>19</v>
      </c>
      <c r="B1251" s="325">
        <v>0.03</v>
      </c>
      <c r="C1251" s="326">
        <v>0.01</v>
      </c>
      <c r="D1251" s="326">
        <v>0</v>
      </c>
      <c r="E1251" s="327">
        <v>0.01</v>
      </c>
      <c r="F1251" s="327">
        <v>0.02</v>
      </c>
      <c r="G1251" s="327">
        <v>0.03</v>
      </c>
      <c r="H1251" s="327">
        <v>0.04</v>
      </c>
      <c r="I1251" s="30">
        <f>I1258/I1262</f>
        <v>2.3320387990274395E-2</v>
      </c>
      <c r="J1251" s="160">
        <f>J1258/J1262</f>
        <v>2.3320387990274392E-2</v>
      </c>
    </row>
    <row r="1252" spans="1:10" x14ac:dyDescent="0.25">
      <c r="A1252" s="212" t="s">
        <v>20</v>
      </c>
      <c r="B1252" s="325">
        <v>0.23</v>
      </c>
      <c r="C1252" s="326">
        <v>0.5</v>
      </c>
      <c r="D1252" s="326">
        <v>0.32</v>
      </c>
      <c r="E1252" s="327">
        <v>0.32</v>
      </c>
      <c r="F1252" s="329">
        <v>0.19</v>
      </c>
      <c r="G1252" s="327">
        <v>0.23</v>
      </c>
      <c r="H1252" s="327">
        <v>0.28000000000000003</v>
      </c>
      <c r="I1252" s="30">
        <f>I1259/I1262</f>
        <v>0.27745042505638556</v>
      </c>
      <c r="J1252" s="160">
        <f>J1259/J1262</f>
        <v>0.27745042505638551</v>
      </c>
    </row>
    <row r="1253" spans="1:10" x14ac:dyDescent="0.25">
      <c r="A1253" s="212" t="s">
        <v>21</v>
      </c>
      <c r="B1253" s="325">
        <v>0.04</v>
      </c>
      <c r="C1253" s="326">
        <v>0.02</v>
      </c>
      <c r="D1253" s="326">
        <v>0.06</v>
      </c>
      <c r="E1253" s="327">
        <v>0.05</v>
      </c>
      <c r="F1253" s="329">
        <v>0.11</v>
      </c>
      <c r="G1253" s="327">
        <v>0.01</v>
      </c>
      <c r="H1253" s="327">
        <v>0.02</v>
      </c>
      <c r="I1253" s="30">
        <f>I1260/I1262</f>
        <v>4.0206080589908287E-2</v>
      </c>
      <c r="J1253" s="160">
        <f>J1260/J1262</f>
        <v>4.0206080589908287E-2</v>
      </c>
    </row>
    <row r="1254" spans="1:10" x14ac:dyDescent="0.25">
      <c r="A1254" s="212" t="s">
        <v>22</v>
      </c>
      <c r="B1254" s="325">
        <v>0</v>
      </c>
      <c r="C1254" s="326">
        <v>0.01</v>
      </c>
      <c r="D1254" s="326">
        <v>0</v>
      </c>
      <c r="E1254" s="327">
        <v>0.01</v>
      </c>
      <c r="F1254" s="329">
        <v>0</v>
      </c>
      <c r="G1254" s="327">
        <v>0</v>
      </c>
      <c r="H1254" s="327">
        <v>0.01</v>
      </c>
      <c r="I1254" s="30">
        <f>I1261/I1262</f>
        <v>3.7756782883983089E-3</v>
      </c>
      <c r="J1254" s="160">
        <f>J1261/J1262</f>
        <v>3.7756782883983085E-3</v>
      </c>
    </row>
    <row r="1255" spans="1:10" x14ac:dyDescent="0.25">
      <c r="A1255" s="215" t="s">
        <v>23</v>
      </c>
      <c r="B1255" s="66">
        <f t="shared" ref="B1255:J1255" si="587">B1266/B1249</f>
        <v>31705.405405405407</v>
      </c>
      <c r="C1255" s="66">
        <f t="shared" si="587"/>
        <v>49079.787234042553</v>
      </c>
      <c r="D1255" s="66">
        <f t="shared" si="587"/>
        <v>34941.525423728817</v>
      </c>
      <c r="E1255" s="66">
        <f t="shared" si="587"/>
        <v>35727.522935779823</v>
      </c>
      <c r="F1255" s="66">
        <f t="shared" si="587"/>
        <v>34747.272727272728</v>
      </c>
      <c r="G1255" s="66">
        <f t="shared" si="587"/>
        <v>39139.285714285717</v>
      </c>
      <c r="H1255" s="66">
        <f t="shared" si="587"/>
        <v>37531.132075471702</v>
      </c>
      <c r="I1255" s="66">
        <f t="shared" si="587"/>
        <v>37600.085984522782</v>
      </c>
      <c r="J1255" s="67">
        <f t="shared" si="587"/>
        <v>37600.08598452279</v>
      </c>
    </row>
    <row r="1256" spans="1:10" x14ac:dyDescent="0.25">
      <c r="A1256" s="215" t="s">
        <v>24</v>
      </c>
      <c r="B1256" s="66">
        <f t="shared" ref="B1256:I1256" si="588">+B1266/B1243</f>
        <v>27602.352941176472</v>
      </c>
      <c r="C1256" s="66">
        <f t="shared" si="588"/>
        <v>23300.505050505049</v>
      </c>
      <c r="D1256" s="66">
        <f t="shared" si="588"/>
        <v>29035.915492957749</v>
      </c>
      <c r="E1256" s="66">
        <f t="shared" si="588"/>
        <v>28634.558823529416</v>
      </c>
      <c r="F1256" s="66">
        <f t="shared" si="588"/>
        <v>28846.792452830188</v>
      </c>
      <c r="G1256" s="66">
        <f t="shared" si="588"/>
        <v>30870.422535211273</v>
      </c>
      <c r="H1256" s="66">
        <f t="shared" si="588"/>
        <v>29252.205882352941</v>
      </c>
      <c r="I1256" s="66">
        <f t="shared" si="588"/>
        <v>28693.503937007874</v>
      </c>
      <c r="J1256" s="67">
        <f>J1266/J1243</f>
        <v>28693.503937007874</v>
      </c>
    </row>
    <row r="1257" spans="1:10" x14ac:dyDescent="0.25">
      <c r="A1257" s="212" t="s">
        <v>25</v>
      </c>
      <c r="B1257" s="92">
        <f t="shared" ref="B1257:H1257" si="589">B1262*B1250</f>
        <v>1343402.3448275863</v>
      </c>
      <c r="C1257" s="92">
        <f t="shared" si="589"/>
        <v>1772987.279310345</v>
      </c>
      <c r="D1257" s="92">
        <f t="shared" si="589"/>
        <v>2118215.4620689657</v>
      </c>
      <c r="E1257" s="92">
        <f t="shared" si="589"/>
        <v>1965048.005172414</v>
      </c>
      <c r="F1257" s="92">
        <f t="shared" si="589"/>
        <v>4283371</v>
      </c>
      <c r="G1257" s="31">
        <f t="shared" si="589"/>
        <v>7923548.8827586221</v>
      </c>
      <c r="H1257" s="31">
        <f t="shared" si="589"/>
        <v>4267937.6551724141</v>
      </c>
      <c r="I1257" s="31">
        <f>SUM(B1257:H1257)</f>
        <v>23674510.629310347</v>
      </c>
      <c r="J1257" s="32">
        <f t="shared" ref="J1257:J1266" si="590">I1257/7</f>
        <v>3382072.9470443353</v>
      </c>
    </row>
    <row r="1258" spans="1:10" x14ac:dyDescent="0.25">
      <c r="A1258" s="212" t="s">
        <v>26</v>
      </c>
      <c r="B1258" s="92">
        <f t="shared" ref="B1258:H1258" si="591">B1262*B1251</f>
        <v>57574.386206896554</v>
      </c>
      <c r="C1258" s="92">
        <f t="shared" si="591"/>
        <v>38543.201724137936</v>
      </c>
      <c r="D1258" s="92">
        <f t="shared" si="591"/>
        <v>0</v>
      </c>
      <c r="E1258" s="92">
        <f t="shared" si="591"/>
        <v>32213.901724137933</v>
      </c>
      <c r="F1258" s="92">
        <f t="shared" si="591"/>
        <v>125981.5</v>
      </c>
      <c r="G1258" s="31">
        <f t="shared" si="591"/>
        <v>325625.2965517242</v>
      </c>
      <c r="H1258" s="31">
        <f t="shared" si="591"/>
        <v>262642.31724137935</v>
      </c>
      <c r="I1258" s="31">
        <f>SUM(B1258:H1258)</f>
        <v>842580.60344827594</v>
      </c>
      <c r="J1258" s="32">
        <f t="shared" si="590"/>
        <v>120368.65763546799</v>
      </c>
    </row>
    <row r="1259" spans="1:10" x14ac:dyDescent="0.25">
      <c r="A1259" s="212" t="s">
        <v>27</v>
      </c>
      <c r="B1259" s="92">
        <f t="shared" ref="B1259:H1259" si="592">B1262*B1252</f>
        <v>441403.62758620695</v>
      </c>
      <c r="C1259" s="92">
        <f t="shared" si="592"/>
        <v>1927160.0862068967</v>
      </c>
      <c r="D1259" s="92">
        <f t="shared" si="592"/>
        <v>1093272.4965517242</v>
      </c>
      <c r="E1259" s="92">
        <f t="shared" si="592"/>
        <v>1030844.8551724139</v>
      </c>
      <c r="F1259" s="92">
        <f t="shared" si="592"/>
        <v>1196824.25</v>
      </c>
      <c r="G1259" s="31">
        <f t="shared" si="592"/>
        <v>2496460.6068965523</v>
      </c>
      <c r="H1259" s="31">
        <f t="shared" si="592"/>
        <v>1838496.2206896555</v>
      </c>
      <c r="I1259" s="31">
        <f>SUM(B1259:H1259)</f>
        <v>10024462.143103449</v>
      </c>
      <c r="J1259" s="32">
        <f t="shared" si="590"/>
        <v>1432066.0204433498</v>
      </c>
    </row>
    <row r="1260" spans="1:10" x14ac:dyDescent="0.25">
      <c r="A1260" s="212" t="s">
        <v>28</v>
      </c>
      <c r="B1260" s="92">
        <f t="shared" ref="B1260:H1260" si="593">B1262*B1253</f>
        <v>76765.848275862081</v>
      </c>
      <c r="C1260" s="92">
        <f t="shared" si="593"/>
        <v>77086.403448275873</v>
      </c>
      <c r="D1260" s="92">
        <f t="shared" si="593"/>
        <v>204988.59310344828</v>
      </c>
      <c r="E1260" s="92">
        <f t="shared" si="593"/>
        <v>161069.50862068968</v>
      </c>
      <c r="F1260" s="92">
        <f t="shared" si="593"/>
        <v>692898.25</v>
      </c>
      <c r="G1260" s="31">
        <f t="shared" si="593"/>
        <v>108541.76551724139</v>
      </c>
      <c r="H1260" s="31">
        <f t="shared" si="593"/>
        <v>131321.15862068968</v>
      </c>
      <c r="I1260" s="31">
        <f>SUM(B1260:H1260)</f>
        <v>1452671.527586207</v>
      </c>
      <c r="J1260" s="32">
        <f t="shared" si="590"/>
        <v>207524.50394088673</v>
      </c>
    </row>
    <row r="1261" spans="1:10" x14ac:dyDescent="0.25">
      <c r="A1261" s="212" t="s">
        <v>29</v>
      </c>
      <c r="B1261" s="92">
        <f t="shared" ref="B1261:H1261" si="594">B1262*B1254</f>
        <v>0</v>
      </c>
      <c r="C1261" s="92">
        <f t="shared" si="594"/>
        <v>38543.201724137936</v>
      </c>
      <c r="D1261" s="92">
        <f t="shared" si="594"/>
        <v>0</v>
      </c>
      <c r="E1261" s="92">
        <f t="shared" si="594"/>
        <v>32213.901724137933</v>
      </c>
      <c r="F1261" s="92">
        <f t="shared" si="594"/>
        <v>0</v>
      </c>
      <c r="G1261" s="31">
        <f t="shared" si="594"/>
        <v>0</v>
      </c>
      <c r="H1261" s="31">
        <f t="shared" si="594"/>
        <v>65660.579310344838</v>
      </c>
      <c r="I1261" s="31">
        <f>SUM(B1261:H1261)</f>
        <v>136417.68275862071</v>
      </c>
      <c r="J1261" s="32">
        <f t="shared" si="590"/>
        <v>19488.240394088672</v>
      </c>
    </row>
    <row r="1262" spans="1:10" x14ac:dyDescent="0.25">
      <c r="A1262" s="216" t="s">
        <v>30</v>
      </c>
      <c r="B1262" s="222">
        <f>(2346200/1.16)-B1263</f>
        <v>1919146.2068965519</v>
      </c>
      <c r="C1262" s="222">
        <f>(4613500/1.16)-C1263</f>
        <v>3854320.1724137934</v>
      </c>
      <c r="D1262" s="222">
        <f>(4123100/1.16)-D1263</f>
        <v>3416476.5517241382</v>
      </c>
      <c r="E1262" s="222">
        <f>(3894300/1.16)-E1263</f>
        <v>3221390.1724137934</v>
      </c>
      <c r="F1262" s="222">
        <f>(7644400/1.16)-F1263</f>
        <v>6299075</v>
      </c>
      <c r="G1262" s="222">
        <f>(13150800/1.16)-G1263</f>
        <v>10854176.55172414</v>
      </c>
      <c r="H1262" s="222">
        <f>(7956600/1.16)-H1263</f>
        <v>6566057.931034483</v>
      </c>
      <c r="I1262" s="197">
        <f>SUM(I1257:I1261)</f>
        <v>36130642.586206898</v>
      </c>
      <c r="J1262" s="217">
        <f t="shared" si="590"/>
        <v>5161520.3694581287</v>
      </c>
    </row>
    <row r="1263" spans="1:10" x14ac:dyDescent="0.25">
      <c r="A1263" s="212" t="s">
        <v>31</v>
      </c>
      <c r="B1263" s="92">
        <f t="shared" ref="B1263:I1263" si="595">2155*B1244</f>
        <v>103440</v>
      </c>
      <c r="C1263" s="92">
        <f t="shared" si="595"/>
        <v>122835</v>
      </c>
      <c r="D1263" s="92">
        <f t="shared" si="595"/>
        <v>137920</v>
      </c>
      <c r="E1263" s="92">
        <f t="shared" si="595"/>
        <v>135765</v>
      </c>
      <c r="F1263" s="92">
        <f t="shared" si="595"/>
        <v>290925</v>
      </c>
      <c r="G1263" s="31">
        <f t="shared" si="595"/>
        <v>482720</v>
      </c>
      <c r="H1263" s="31">
        <f t="shared" si="595"/>
        <v>293080</v>
      </c>
      <c r="I1263" s="31">
        <f t="shared" si="595"/>
        <v>1566685</v>
      </c>
      <c r="J1263" s="32">
        <f t="shared" si="590"/>
        <v>223812.14285714287</v>
      </c>
    </row>
    <row r="1264" spans="1:10" x14ac:dyDescent="0.25">
      <c r="A1264" s="218" t="s">
        <v>32</v>
      </c>
      <c r="B1264" s="199">
        <f>B1263+B1262</f>
        <v>2022586.2068965519</v>
      </c>
      <c r="C1264" s="199">
        <f>C1263+C1262</f>
        <v>3977155.1724137934</v>
      </c>
      <c r="D1264" s="199">
        <f>D1263+D1262</f>
        <v>3554396.5517241382</v>
      </c>
      <c r="E1264" s="199">
        <f>E1263+E1262</f>
        <v>3357155.1724137934</v>
      </c>
      <c r="F1264" s="199">
        <f>F1262+F1263</f>
        <v>6590000</v>
      </c>
      <c r="G1264" s="199">
        <f>G1263+G1262</f>
        <v>11336896.55172414</v>
      </c>
      <c r="H1264" s="199">
        <f>H1263+H1262</f>
        <v>6859137.931034483</v>
      </c>
      <c r="I1264" s="199">
        <f>I1262+I1263</f>
        <v>37697327.586206898</v>
      </c>
      <c r="J1264" s="219">
        <f t="shared" si="590"/>
        <v>5385332.5123152714</v>
      </c>
    </row>
    <row r="1265" spans="1:10" x14ac:dyDescent="0.25">
      <c r="A1265" s="212" t="s">
        <v>33</v>
      </c>
      <c r="B1265" s="94">
        <f>B1264*16%</f>
        <v>323613.79310344829</v>
      </c>
      <c r="C1265" s="94">
        <f t="shared" ref="C1265:H1265" si="596">C1264*16%</f>
        <v>636344.82758620696</v>
      </c>
      <c r="D1265" s="94">
        <f t="shared" si="596"/>
        <v>568703.44827586215</v>
      </c>
      <c r="E1265" s="94">
        <f t="shared" si="596"/>
        <v>537144.82758620696</v>
      </c>
      <c r="F1265" s="94">
        <f t="shared" si="596"/>
        <v>1054400</v>
      </c>
      <c r="G1265" s="94">
        <f t="shared" si="596"/>
        <v>1813903.4482758623</v>
      </c>
      <c r="H1265" s="94">
        <f t="shared" si="596"/>
        <v>1097462.0689655172</v>
      </c>
      <c r="I1265" s="94">
        <f>I1264*16%</f>
        <v>6031572.4137931038</v>
      </c>
      <c r="J1265" s="32">
        <f t="shared" si="590"/>
        <v>861653.20197044336</v>
      </c>
    </row>
    <row r="1266" spans="1:10" x14ac:dyDescent="0.25">
      <c r="A1266" s="220" t="s">
        <v>34</v>
      </c>
      <c r="B1266" s="202">
        <f>B1264+B1265</f>
        <v>2346200</v>
      </c>
      <c r="C1266" s="202">
        <f t="shared" ref="C1266:H1266" si="597">C1264+C1265</f>
        <v>4613500</v>
      </c>
      <c r="D1266" s="202">
        <f t="shared" si="597"/>
        <v>4123100.0000000005</v>
      </c>
      <c r="E1266" s="202">
        <f t="shared" si="597"/>
        <v>3894300.0000000005</v>
      </c>
      <c r="F1266" s="202">
        <f t="shared" si="597"/>
        <v>7644400</v>
      </c>
      <c r="G1266" s="202">
        <f t="shared" si="597"/>
        <v>13150800.000000002</v>
      </c>
      <c r="H1266" s="202">
        <f t="shared" si="597"/>
        <v>7956600</v>
      </c>
      <c r="I1266" s="202">
        <f>I1264+I1265</f>
        <v>43728900</v>
      </c>
      <c r="J1266" s="221">
        <f t="shared" si="590"/>
        <v>6246985.7142857146</v>
      </c>
    </row>
    <row r="1268" spans="1:10" ht="26.25" x14ac:dyDescent="0.25">
      <c r="B1268" s="1007" t="s">
        <v>386</v>
      </c>
      <c r="C1268" s="1007"/>
      <c r="D1268" s="1007"/>
      <c r="E1268" s="1007"/>
      <c r="F1268" s="1007"/>
      <c r="G1268" s="1007"/>
      <c r="H1268" s="1007"/>
    </row>
    <row r="1269" spans="1:10" ht="15.75" x14ac:dyDescent="0.25">
      <c r="A1269" s="207" t="s">
        <v>2</v>
      </c>
      <c r="B1269" s="232" t="s">
        <v>270</v>
      </c>
      <c r="C1269" s="232" t="s">
        <v>116</v>
      </c>
      <c r="D1269" s="232" t="s">
        <v>117</v>
      </c>
      <c r="E1269" s="232" t="s">
        <v>118</v>
      </c>
      <c r="F1269" s="232" t="s">
        <v>119</v>
      </c>
      <c r="G1269" s="232" t="s">
        <v>120</v>
      </c>
      <c r="H1269" s="232" t="s">
        <v>121</v>
      </c>
      <c r="I1269" s="121" t="s">
        <v>96</v>
      </c>
      <c r="J1269" s="209" t="s">
        <v>97</v>
      </c>
    </row>
    <row r="1270" spans="1:10" x14ac:dyDescent="0.25">
      <c r="A1270" s="332" t="s">
        <v>11</v>
      </c>
      <c r="B1270" s="55">
        <f>58+23+18</f>
        <v>99</v>
      </c>
      <c r="C1270" s="56">
        <f>132+67+19</f>
        <v>218</v>
      </c>
      <c r="D1270" s="54">
        <f>203+88+51</f>
        <v>342</v>
      </c>
      <c r="E1270" s="316">
        <f>67+41+20</f>
        <v>128</v>
      </c>
      <c r="F1270" s="311">
        <f>129+104+39</f>
        <v>272</v>
      </c>
      <c r="G1270" s="58">
        <f>179+131+44</f>
        <v>354</v>
      </c>
      <c r="H1270" s="57">
        <f>185+128+63</f>
        <v>376</v>
      </c>
      <c r="I1270" s="316">
        <f>SUM(B1270:H1270)</f>
        <v>1789</v>
      </c>
      <c r="J1270" s="382">
        <f>+I1270/7</f>
        <v>255.57142857142858</v>
      </c>
    </row>
    <row r="1271" spans="1:10" x14ac:dyDescent="0.25">
      <c r="A1271" s="212" t="s">
        <v>12</v>
      </c>
      <c r="B1271" s="86">
        <v>35</v>
      </c>
      <c r="C1271" s="320">
        <v>106</v>
      </c>
      <c r="D1271" s="320">
        <v>163</v>
      </c>
      <c r="E1271" s="11">
        <v>61</v>
      </c>
      <c r="F1271" s="125">
        <v>135</v>
      </c>
      <c r="G1271" s="11">
        <v>163</v>
      </c>
      <c r="H1271" s="11">
        <v>201</v>
      </c>
      <c r="I1271" s="11">
        <f>SUM(CEDRITOS!$B1271:$H1271)</f>
        <v>864</v>
      </c>
      <c r="J1271" s="60">
        <f t="shared" ref="J1271:J1276" si="598">I1271/7</f>
        <v>123.42857142857143</v>
      </c>
    </row>
    <row r="1272" spans="1:10" x14ac:dyDescent="0.25">
      <c r="A1272" s="212" t="s">
        <v>13</v>
      </c>
      <c r="B1272" s="11">
        <v>2</v>
      </c>
      <c r="C1272" s="13">
        <v>4</v>
      </c>
      <c r="D1272" s="13">
        <v>7</v>
      </c>
      <c r="E1272" s="11">
        <v>2</v>
      </c>
      <c r="F1272" s="125">
        <v>3</v>
      </c>
      <c r="G1272" s="11">
        <v>6</v>
      </c>
      <c r="H1272" s="11">
        <v>6</v>
      </c>
      <c r="I1272" s="11">
        <f>SUM(CEDRITOS!$B1272:$H1272)</f>
        <v>30</v>
      </c>
      <c r="J1272" s="60">
        <f t="shared" si="598"/>
        <v>4.2857142857142856</v>
      </c>
    </row>
    <row r="1273" spans="1:10" x14ac:dyDescent="0.25">
      <c r="A1273" s="212" t="s">
        <v>14</v>
      </c>
      <c r="B1273" s="11">
        <v>31</v>
      </c>
      <c r="C1273" s="13">
        <v>56</v>
      </c>
      <c r="D1273" s="320">
        <v>60</v>
      </c>
      <c r="E1273" s="11">
        <v>40</v>
      </c>
      <c r="F1273" s="125">
        <v>78</v>
      </c>
      <c r="G1273" s="11">
        <v>87</v>
      </c>
      <c r="H1273" s="11">
        <v>56</v>
      </c>
      <c r="I1273" s="11">
        <f>SUM(CEDRITOS!$B1273:$H1273)</f>
        <v>408</v>
      </c>
      <c r="J1273" s="60">
        <f t="shared" si="598"/>
        <v>58.285714285714285</v>
      </c>
    </row>
    <row r="1274" spans="1:10" x14ac:dyDescent="0.25">
      <c r="A1274" s="212" t="s">
        <v>15</v>
      </c>
      <c r="B1274" s="11">
        <v>6</v>
      </c>
      <c r="C1274" s="13">
        <v>4</v>
      </c>
      <c r="D1274" s="13">
        <v>24</v>
      </c>
      <c r="E1274" s="11">
        <v>0</v>
      </c>
      <c r="F1274" s="125">
        <v>2</v>
      </c>
      <c r="G1274" s="11">
        <v>6</v>
      </c>
      <c r="H1274" s="11">
        <v>20</v>
      </c>
      <c r="I1274" s="11">
        <f>SUM(CEDRITOS!$B1274:$H1274)</f>
        <v>62</v>
      </c>
      <c r="J1274" s="60">
        <f t="shared" si="598"/>
        <v>8.8571428571428577</v>
      </c>
    </row>
    <row r="1275" spans="1:10" x14ac:dyDescent="0.25">
      <c r="A1275" s="212" t="s">
        <v>16</v>
      </c>
      <c r="B1275" s="11">
        <v>0</v>
      </c>
      <c r="C1275" s="13">
        <v>1</v>
      </c>
      <c r="D1275" s="13">
        <v>0</v>
      </c>
      <c r="E1275" s="11">
        <v>0</v>
      </c>
      <c r="F1275" s="125">
        <v>0</v>
      </c>
      <c r="G1275" s="11">
        <v>1</v>
      </c>
      <c r="H1275" s="11">
        <v>0</v>
      </c>
      <c r="I1275" s="11">
        <f>SUM(CEDRITOS!$B1275:$H1275)</f>
        <v>2</v>
      </c>
      <c r="J1275" s="60">
        <f t="shared" si="598"/>
        <v>0.2857142857142857</v>
      </c>
    </row>
    <row r="1276" spans="1:10" x14ac:dyDescent="0.25">
      <c r="A1276" s="213" t="s">
        <v>17</v>
      </c>
      <c r="B1276" s="192">
        <f>SUM(B1271:B1275)</f>
        <v>74</v>
      </c>
      <c r="C1276" s="192">
        <f t="shared" ref="C1276:I1276" si="599">SUM(C1271:C1275)</f>
        <v>171</v>
      </c>
      <c r="D1276" s="192">
        <f t="shared" si="599"/>
        <v>254</v>
      </c>
      <c r="E1276" s="192">
        <f t="shared" si="599"/>
        <v>103</v>
      </c>
      <c r="F1276" s="192">
        <f t="shared" si="599"/>
        <v>218</v>
      </c>
      <c r="G1276" s="192">
        <f t="shared" si="599"/>
        <v>263</v>
      </c>
      <c r="H1276" s="192">
        <f t="shared" si="599"/>
        <v>283</v>
      </c>
      <c r="I1276" s="192">
        <f t="shared" si="599"/>
        <v>1366</v>
      </c>
      <c r="J1276" s="214">
        <f t="shared" si="598"/>
        <v>195.14285714285714</v>
      </c>
    </row>
    <row r="1277" spans="1:10" x14ac:dyDescent="0.25">
      <c r="A1277" s="212" t="s">
        <v>18</v>
      </c>
      <c r="B1277" s="325">
        <v>0.53</v>
      </c>
      <c r="C1277" s="326">
        <v>0.66</v>
      </c>
      <c r="D1277" s="326">
        <v>0.68</v>
      </c>
      <c r="E1277" s="327">
        <v>0.67</v>
      </c>
      <c r="F1277" s="328">
        <v>0.66</v>
      </c>
      <c r="G1277" s="327">
        <v>0.66</v>
      </c>
      <c r="H1277" s="327">
        <v>0.73</v>
      </c>
      <c r="I1277" s="30">
        <f>I1284/I1289</f>
        <v>0.67270368788779245</v>
      </c>
      <c r="J1277" s="160">
        <f>J1284/J1289</f>
        <v>0.67270368788779233</v>
      </c>
    </row>
    <row r="1278" spans="1:10" x14ac:dyDescent="0.25">
      <c r="A1278" s="212" t="s">
        <v>19</v>
      </c>
      <c r="B1278" s="325">
        <v>0.05</v>
      </c>
      <c r="C1278" s="326">
        <v>0.02</v>
      </c>
      <c r="D1278" s="326">
        <v>0.03</v>
      </c>
      <c r="E1278" s="327">
        <v>0.01</v>
      </c>
      <c r="F1278" s="327">
        <v>0.01</v>
      </c>
      <c r="G1278" s="327">
        <v>0.03</v>
      </c>
      <c r="H1278" s="327">
        <v>0.02</v>
      </c>
      <c r="I1278" s="30">
        <f>I1285/I1289</f>
        <v>2.3227125303411703E-2</v>
      </c>
      <c r="J1278" s="160">
        <f>J1285/J1289</f>
        <v>2.3227125303411707E-2</v>
      </c>
    </row>
    <row r="1279" spans="1:10" x14ac:dyDescent="0.25">
      <c r="A1279" s="212" t="s">
        <v>20</v>
      </c>
      <c r="B1279" s="325">
        <v>0.33</v>
      </c>
      <c r="C1279" s="326">
        <v>0.3</v>
      </c>
      <c r="D1279" s="326">
        <v>0.21</v>
      </c>
      <c r="E1279" s="327">
        <v>0.32</v>
      </c>
      <c r="F1279" s="329">
        <v>0.33</v>
      </c>
      <c r="G1279" s="327">
        <v>0.28000000000000003</v>
      </c>
      <c r="H1279" s="327">
        <v>0.18</v>
      </c>
      <c r="I1279" s="30">
        <f>I1286/I1289</f>
        <v>0.26119878050708389</v>
      </c>
      <c r="J1279" s="160">
        <f>J1286/J1289</f>
        <v>0.26119878050708389</v>
      </c>
    </row>
    <row r="1280" spans="1:10" x14ac:dyDescent="0.25">
      <c r="A1280" s="212" t="s">
        <v>21</v>
      </c>
      <c r="B1280" s="325">
        <v>0.09</v>
      </c>
      <c r="C1280" s="326">
        <v>0.02</v>
      </c>
      <c r="D1280" s="326">
        <v>0.08</v>
      </c>
      <c r="E1280" s="327">
        <v>0</v>
      </c>
      <c r="F1280" s="329">
        <v>0</v>
      </c>
      <c r="G1280" s="327">
        <v>0.03</v>
      </c>
      <c r="H1280" s="327">
        <v>7.0000000000000007E-2</v>
      </c>
      <c r="I1280" s="30">
        <f>I1287/I1289</f>
        <v>4.2870406301711954E-2</v>
      </c>
      <c r="J1280" s="160">
        <f>J1287/J1289</f>
        <v>4.2870406301711954E-2</v>
      </c>
    </row>
    <row r="1281" spans="1:10" x14ac:dyDescent="0.25">
      <c r="A1281" s="212" t="s">
        <v>22</v>
      </c>
      <c r="B1281" s="325">
        <v>0</v>
      </c>
      <c r="C1281" s="326">
        <v>0</v>
      </c>
      <c r="D1281" s="326">
        <v>0</v>
      </c>
      <c r="E1281" s="327">
        <v>0</v>
      </c>
      <c r="F1281" s="329">
        <v>0</v>
      </c>
      <c r="G1281" s="327">
        <v>0</v>
      </c>
      <c r="H1281" s="327">
        <v>0</v>
      </c>
      <c r="I1281" s="30">
        <f>I1288/I1289</f>
        <v>0</v>
      </c>
      <c r="J1281" s="160">
        <f>J1288/J1289</f>
        <v>0</v>
      </c>
    </row>
    <row r="1282" spans="1:10" x14ac:dyDescent="0.25">
      <c r="A1282" s="215" t="s">
        <v>23</v>
      </c>
      <c r="B1282" s="66">
        <f t="shared" ref="B1282:J1282" si="600">B1293/B1276</f>
        <v>33245.945945945947</v>
      </c>
      <c r="C1282" s="66">
        <f t="shared" si="600"/>
        <v>35883.040935672514</v>
      </c>
      <c r="D1282" s="66">
        <f t="shared" si="600"/>
        <v>37134.251968503937</v>
      </c>
      <c r="E1282" s="66">
        <f t="shared" si="600"/>
        <v>34843.689320388352</v>
      </c>
      <c r="F1282" s="66">
        <f t="shared" si="600"/>
        <v>34632.568807339449</v>
      </c>
      <c r="G1282" s="66">
        <f t="shared" si="600"/>
        <v>39463.117870722432</v>
      </c>
      <c r="H1282" s="66">
        <f t="shared" si="600"/>
        <v>37231.802120141343</v>
      </c>
      <c r="I1282" s="66">
        <f t="shared" si="600"/>
        <v>36663.616398243052</v>
      </c>
      <c r="J1282" s="67">
        <f t="shared" si="600"/>
        <v>36663.616398243052</v>
      </c>
    </row>
    <row r="1283" spans="1:10" x14ac:dyDescent="0.25">
      <c r="A1283" s="215" t="s">
        <v>24</v>
      </c>
      <c r="B1283" s="66">
        <f t="shared" ref="B1283:I1283" si="601">+B1293/B1270</f>
        <v>24850.505050505049</v>
      </c>
      <c r="C1283" s="66">
        <f t="shared" si="601"/>
        <v>28146.788990825688</v>
      </c>
      <c r="D1283" s="66">
        <f t="shared" si="601"/>
        <v>27579.239766081871</v>
      </c>
      <c r="E1283" s="66">
        <f t="shared" si="601"/>
        <v>28038.281250000004</v>
      </c>
      <c r="F1283" s="66">
        <f t="shared" si="601"/>
        <v>27756.985294117647</v>
      </c>
      <c r="G1283" s="66">
        <f t="shared" si="601"/>
        <v>29318.644067796609</v>
      </c>
      <c r="H1283" s="66">
        <f t="shared" si="601"/>
        <v>28022.872340425532</v>
      </c>
      <c r="I1283" s="66">
        <f t="shared" si="601"/>
        <v>27994.689770821693</v>
      </c>
      <c r="J1283" s="67">
        <f>J1293/J1270</f>
        <v>27994.689770821689</v>
      </c>
    </row>
    <row r="1284" spans="1:10" x14ac:dyDescent="0.25">
      <c r="A1284" s="212" t="s">
        <v>25</v>
      </c>
      <c r="B1284" s="92">
        <f t="shared" ref="B1284:H1284" si="602">B1289*B1277</f>
        <v>1084081.6465517243</v>
      </c>
      <c r="C1284" s="92">
        <f t="shared" si="602"/>
        <v>3340408.613793104</v>
      </c>
      <c r="D1284" s="92">
        <f t="shared" si="602"/>
        <v>5290301.8689655177</v>
      </c>
      <c r="E1284" s="92">
        <f t="shared" si="602"/>
        <v>1984824.2879310348</v>
      </c>
      <c r="F1284" s="92">
        <f t="shared" si="602"/>
        <v>4103622.2586206901</v>
      </c>
      <c r="G1284" s="31">
        <f t="shared" si="602"/>
        <v>5673344.4103448279</v>
      </c>
      <c r="H1284" s="31">
        <f t="shared" si="602"/>
        <v>6314588.2293103449</v>
      </c>
      <c r="I1284" s="31">
        <f>SUM(B1284:H1284)</f>
        <v>27791171.315517243</v>
      </c>
      <c r="J1284" s="32">
        <f t="shared" ref="J1284:J1293" si="603">I1284/7</f>
        <v>3970167.3307881774</v>
      </c>
    </row>
    <row r="1285" spans="1:10" x14ac:dyDescent="0.25">
      <c r="A1285" s="212" t="s">
        <v>26</v>
      </c>
      <c r="B1285" s="92">
        <f t="shared" ref="B1285:H1285" si="604">B1289*B1278</f>
        <v>102271.85344827588</v>
      </c>
      <c r="C1285" s="92">
        <f t="shared" si="604"/>
        <v>101224.50344827586</v>
      </c>
      <c r="D1285" s="92">
        <f t="shared" si="604"/>
        <v>233395.67068965518</v>
      </c>
      <c r="E1285" s="92">
        <f t="shared" si="604"/>
        <v>29624.24310344828</v>
      </c>
      <c r="F1285" s="92">
        <f t="shared" si="604"/>
        <v>62176.09482758621</v>
      </c>
      <c r="G1285" s="31">
        <f t="shared" si="604"/>
        <v>257879.29137931034</v>
      </c>
      <c r="H1285" s="31">
        <f t="shared" si="604"/>
        <v>173002.41724137933</v>
      </c>
      <c r="I1285" s="31">
        <f>SUM(B1285:H1285)</f>
        <v>959574.07413793099</v>
      </c>
      <c r="J1285" s="32">
        <f t="shared" si="603"/>
        <v>137082.010591133</v>
      </c>
    </row>
    <row r="1286" spans="1:10" x14ac:dyDescent="0.25">
      <c r="A1286" s="212" t="s">
        <v>27</v>
      </c>
      <c r="B1286" s="92">
        <f t="shared" ref="B1286:H1286" si="605">B1289*B1279</f>
        <v>674994.23275862075</v>
      </c>
      <c r="C1286" s="92">
        <f t="shared" si="605"/>
        <v>1518367.551724138</v>
      </c>
      <c r="D1286" s="92">
        <f t="shared" si="605"/>
        <v>1633769.6948275862</v>
      </c>
      <c r="E1286" s="92">
        <f t="shared" si="605"/>
        <v>947975.77931034495</v>
      </c>
      <c r="F1286" s="92">
        <f t="shared" si="605"/>
        <v>2051811.129310345</v>
      </c>
      <c r="G1286" s="31">
        <f t="shared" si="605"/>
        <v>2406873.386206897</v>
      </c>
      <c r="H1286" s="31">
        <f t="shared" si="605"/>
        <v>1557021.7551724138</v>
      </c>
      <c r="I1286" s="31">
        <f>SUM(B1286:H1286)</f>
        <v>10790813.529310346</v>
      </c>
      <c r="J1286" s="32">
        <f t="shared" si="603"/>
        <v>1541544.789901478</v>
      </c>
    </row>
    <row r="1287" spans="1:10" x14ac:dyDescent="0.25">
      <c r="A1287" s="212" t="s">
        <v>28</v>
      </c>
      <c r="B1287" s="92">
        <f t="shared" ref="B1287:H1287" si="606">B1289*B1280</f>
        <v>184089.33620689655</v>
      </c>
      <c r="C1287" s="92">
        <f t="shared" si="606"/>
        <v>101224.50344827586</v>
      </c>
      <c r="D1287" s="92">
        <f t="shared" si="606"/>
        <v>622388.45517241384</v>
      </c>
      <c r="E1287" s="92">
        <f t="shared" si="606"/>
        <v>0</v>
      </c>
      <c r="F1287" s="92">
        <f t="shared" si="606"/>
        <v>0</v>
      </c>
      <c r="G1287" s="31">
        <f t="shared" si="606"/>
        <v>257879.29137931034</v>
      </c>
      <c r="H1287" s="31">
        <f t="shared" si="606"/>
        <v>605508.46034482773</v>
      </c>
      <c r="I1287" s="31">
        <f>SUM(B1287:H1287)</f>
        <v>1771090.0465517244</v>
      </c>
      <c r="J1287" s="32">
        <f t="shared" si="603"/>
        <v>253012.86379310349</v>
      </c>
    </row>
    <row r="1288" spans="1:10" x14ac:dyDescent="0.25">
      <c r="A1288" s="212" t="s">
        <v>29</v>
      </c>
      <c r="B1288" s="92">
        <f t="shared" ref="B1288:H1288" si="607">B1289*B1281</f>
        <v>0</v>
      </c>
      <c r="C1288" s="92">
        <f t="shared" si="607"/>
        <v>0</v>
      </c>
      <c r="D1288" s="92">
        <f t="shared" si="607"/>
        <v>0</v>
      </c>
      <c r="E1288" s="92">
        <f t="shared" si="607"/>
        <v>0</v>
      </c>
      <c r="F1288" s="92">
        <f t="shared" si="607"/>
        <v>0</v>
      </c>
      <c r="G1288" s="31">
        <f t="shared" si="607"/>
        <v>0</v>
      </c>
      <c r="H1288" s="31">
        <f t="shared" si="607"/>
        <v>0</v>
      </c>
      <c r="I1288" s="31">
        <f>SUM(B1288:H1288)</f>
        <v>0</v>
      </c>
      <c r="J1288" s="32">
        <f t="shared" si="603"/>
        <v>0</v>
      </c>
    </row>
    <row r="1289" spans="1:10" x14ac:dyDescent="0.25">
      <c r="A1289" s="216" t="s">
        <v>30</v>
      </c>
      <c r="B1289" s="222">
        <f>(2460200/1.16)-B1290</f>
        <v>2045437.0689655175</v>
      </c>
      <c r="C1289" s="222">
        <f>(6136000/1.16)-C1290</f>
        <v>5061225.1724137934</v>
      </c>
      <c r="D1289" s="222">
        <f>(9432100/1.16)-D1290</f>
        <v>7779855.6896551726</v>
      </c>
      <c r="E1289" s="222">
        <f>(3588900/1.16)-E1290</f>
        <v>2962424.3103448278</v>
      </c>
      <c r="F1289" s="222">
        <f>(7549900/1.16)-F1290</f>
        <v>6217609.4827586208</v>
      </c>
      <c r="G1289" s="222">
        <f>(10378800/1.16)-G1290</f>
        <v>8595976.3793103453</v>
      </c>
      <c r="H1289" s="222">
        <f>(10536600/1.16)-H1290</f>
        <v>8650120.862068966</v>
      </c>
      <c r="I1289" s="197">
        <f>SUM(I1284:I1288)</f>
        <v>41312648.965517245</v>
      </c>
      <c r="J1289" s="217">
        <f t="shared" si="603"/>
        <v>5901806.9950738922</v>
      </c>
    </row>
    <row r="1290" spans="1:10" x14ac:dyDescent="0.25">
      <c r="A1290" s="212" t="s">
        <v>31</v>
      </c>
      <c r="B1290" s="92">
        <f t="shared" ref="B1290:I1290" si="608">2155*B1271</f>
        <v>75425</v>
      </c>
      <c r="C1290" s="92">
        <f t="shared" si="608"/>
        <v>228430</v>
      </c>
      <c r="D1290" s="92">
        <f t="shared" si="608"/>
        <v>351265</v>
      </c>
      <c r="E1290" s="92">
        <f t="shared" si="608"/>
        <v>131455</v>
      </c>
      <c r="F1290" s="92">
        <f t="shared" si="608"/>
        <v>290925</v>
      </c>
      <c r="G1290" s="31">
        <f t="shared" si="608"/>
        <v>351265</v>
      </c>
      <c r="H1290" s="31">
        <f t="shared" si="608"/>
        <v>433155</v>
      </c>
      <c r="I1290" s="31">
        <f t="shared" si="608"/>
        <v>1861920</v>
      </c>
      <c r="J1290" s="32">
        <f t="shared" si="603"/>
        <v>265988.57142857142</v>
      </c>
    </row>
    <row r="1291" spans="1:10" x14ac:dyDescent="0.25">
      <c r="A1291" s="218" t="s">
        <v>32</v>
      </c>
      <c r="B1291" s="199">
        <f>B1290+B1289</f>
        <v>2120862.0689655175</v>
      </c>
      <c r="C1291" s="199">
        <f>C1290+C1289</f>
        <v>5289655.1724137934</v>
      </c>
      <c r="D1291" s="199">
        <f>D1290+D1289</f>
        <v>8131120.6896551726</v>
      </c>
      <c r="E1291" s="199">
        <f>E1290+E1289</f>
        <v>3093879.3103448278</v>
      </c>
      <c r="F1291" s="199">
        <f>F1289+F1290</f>
        <v>6508534.4827586208</v>
      </c>
      <c r="G1291" s="199">
        <f>G1290+G1289</f>
        <v>8947241.3793103453</v>
      </c>
      <c r="H1291" s="199">
        <f>H1290+H1289</f>
        <v>9083275.862068966</v>
      </c>
      <c r="I1291" s="199">
        <f>I1289+I1290</f>
        <v>43174568.965517245</v>
      </c>
      <c r="J1291" s="219">
        <f t="shared" si="603"/>
        <v>6167795.566502464</v>
      </c>
    </row>
    <row r="1292" spans="1:10" x14ac:dyDescent="0.25">
      <c r="A1292" s="212" t="s">
        <v>33</v>
      </c>
      <c r="B1292" s="94">
        <f>B1291*16%</f>
        <v>339337.93103448278</v>
      </c>
      <c r="C1292" s="94">
        <f t="shared" ref="C1292:H1292" si="609">C1291*16%</f>
        <v>846344.82758620696</v>
      </c>
      <c r="D1292" s="94">
        <f t="shared" si="609"/>
        <v>1300979.3103448276</v>
      </c>
      <c r="E1292" s="94">
        <f t="shared" si="609"/>
        <v>495020.68965517246</v>
      </c>
      <c r="F1292" s="94">
        <f t="shared" si="609"/>
        <v>1041365.5172413794</v>
      </c>
      <c r="G1292" s="94">
        <f t="shared" si="609"/>
        <v>1431558.6206896552</v>
      </c>
      <c r="H1292" s="94">
        <f t="shared" si="609"/>
        <v>1453324.1379310347</v>
      </c>
      <c r="I1292" s="94">
        <f>I1291*16%</f>
        <v>6907931.0344827594</v>
      </c>
      <c r="J1292" s="32">
        <f t="shared" si="603"/>
        <v>986847.2906403942</v>
      </c>
    </row>
    <row r="1293" spans="1:10" x14ac:dyDescent="0.25">
      <c r="A1293" s="220" t="s">
        <v>34</v>
      </c>
      <c r="B1293" s="202">
        <f>B1291+B1292</f>
        <v>2460200</v>
      </c>
      <c r="C1293" s="202">
        <f t="shared" ref="C1293:H1293" si="610">C1291+C1292</f>
        <v>6136000</v>
      </c>
      <c r="D1293" s="202">
        <f t="shared" si="610"/>
        <v>9432100</v>
      </c>
      <c r="E1293" s="202">
        <f t="shared" si="610"/>
        <v>3588900.0000000005</v>
      </c>
      <c r="F1293" s="202">
        <f t="shared" si="610"/>
        <v>7549900</v>
      </c>
      <c r="G1293" s="202">
        <f t="shared" si="610"/>
        <v>10378800</v>
      </c>
      <c r="H1293" s="202">
        <f t="shared" si="610"/>
        <v>10536600</v>
      </c>
      <c r="I1293" s="202">
        <f>I1291+I1292</f>
        <v>50082500.000000007</v>
      </c>
      <c r="J1293" s="221">
        <f t="shared" si="603"/>
        <v>7154642.8571428582</v>
      </c>
    </row>
    <row r="1295" spans="1:10" ht="26.25" x14ac:dyDescent="0.25">
      <c r="B1295" s="1007" t="s">
        <v>387</v>
      </c>
      <c r="C1295" s="1007"/>
      <c r="D1295" s="1007"/>
      <c r="E1295" s="1007"/>
      <c r="F1295" s="1007"/>
      <c r="G1295" s="1007"/>
      <c r="H1295" s="1007"/>
    </row>
    <row r="1296" spans="1:10" ht="15.75" x14ac:dyDescent="0.25">
      <c r="A1296" s="207" t="s">
        <v>2</v>
      </c>
      <c r="B1296" s="232" t="s">
        <v>123</v>
      </c>
      <c r="C1296" s="232" t="s">
        <v>124</v>
      </c>
      <c r="D1296" s="232" t="s">
        <v>125</v>
      </c>
      <c r="E1296" s="232" t="s">
        <v>126</v>
      </c>
      <c r="F1296" s="232" t="s">
        <v>127</v>
      </c>
      <c r="G1296" s="232" t="s">
        <v>128</v>
      </c>
      <c r="H1296" s="232" t="s">
        <v>129</v>
      </c>
      <c r="I1296" s="121" t="s">
        <v>96</v>
      </c>
      <c r="J1296" s="209" t="s">
        <v>97</v>
      </c>
    </row>
    <row r="1297" spans="1:10" x14ac:dyDescent="0.25">
      <c r="A1297" s="332" t="s">
        <v>11</v>
      </c>
      <c r="B1297" s="55">
        <f>72+23+16</f>
        <v>111</v>
      </c>
      <c r="C1297" s="56">
        <f>73+32+11</f>
        <v>116</v>
      </c>
      <c r="D1297" s="54">
        <f>85+37+17</f>
        <v>139</v>
      </c>
      <c r="E1297" s="316">
        <f>84+56+6</f>
        <v>146</v>
      </c>
      <c r="F1297" s="311">
        <f>167+106+36</f>
        <v>309</v>
      </c>
      <c r="G1297" s="58">
        <f>237+187+66</f>
        <v>490</v>
      </c>
      <c r="H1297" s="57">
        <f>169+93+31</f>
        <v>293</v>
      </c>
      <c r="I1297" s="316">
        <f>SUM(B1297:H1297)</f>
        <v>1604</v>
      </c>
      <c r="J1297" s="382">
        <f>+I1297/7</f>
        <v>229.14285714285714</v>
      </c>
    </row>
    <row r="1298" spans="1:10" x14ac:dyDescent="0.25">
      <c r="A1298" s="212" t="s">
        <v>12</v>
      </c>
      <c r="B1298" s="86">
        <v>52</v>
      </c>
      <c r="C1298" s="320">
        <v>62</v>
      </c>
      <c r="D1298" s="320">
        <v>67</v>
      </c>
      <c r="E1298" s="11">
        <v>73</v>
      </c>
      <c r="F1298" s="125">
        <v>167</v>
      </c>
      <c r="G1298" s="11">
        <v>268</v>
      </c>
      <c r="H1298" s="11">
        <v>151</v>
      </c>
      <c r="I1298" s="11">
        <f>SUM(CEDRITOS!$B1298:$H1298)</f>
        <v>840</v>
      </c>
      <c r="J1298" s="60">
        <f t="shared" ref="J1298:J1303" si="611">I1298/7</f>
        <v>120</v>
      </c>
    </row>
    <row r="1299" spans="1:10" x14ac:dyDescent="0.25">
      <c r="A1299" s="212" t="s">
        <v>13</v>
      </c>
      <c r="B1299" s="11">
        <v>2</v>
      </c>
      <c r="C1299" s="13">
        <v>2</v>
      </c>
      <c r="D1299" s="13">
        <v>2</v>
      </c>
      <c r="E1299" s="11">
        <v>3</v>
      </c>
      <c r="F1299" s="125">
        <v>8</v>
      </c>
      <c r="G1299" s="11">
        <v>15</v>
      </c>
      <c r="H1299" s="11">
        <v>5</v>
      </c>
      <c r="I1299" s="11">
        <f>SUM(CEDRITOS!$B1299:$H1299)</f>
        <v>37</v>
      </c>
      <c r="J1299" s="60">
        <f t="shared" si="611"/>
        <v>5.2857142857142856</v>
      </c>
    </row>
    <row r="1300" spans="1:10" x14ac:dyDescent="0.25">
      <c r="A1300" s="212" t="s">
        <v>14</v>
      </c>
      <c r="B1300" s="11">
        <v>34</v>
      </c>
      <c r="C1300" s="13">
        <v>26</v>
      </c>
      <c r="D1300" s="320">
        <v>40</v>
      </c>
      <c r="E1300" s="11">
        <v>39</v>
      </c>
      <c r="F1300" s="125">
        <v>38</v>
      </c>
      <c r="G1300" s="11">
        <v>92</v>
      </c>
      <c r="H1300" s="11">
        <v>66</v>
      </c>
      <c r="I1300" s="11">
        <f>SUM(CEDRITOS!$B1300:$H1300)</f>
        <v>335</v>
      </c>
      <c r="J1300" s="60">
        <f t="shared" si="611"/>
        <v>47.857142857142854</v>
      </c>
    </row>
    <row r="1301" spans="1:10" x14ac:dyDescent="0.25">
      <c r="A1301" s="212" t="s">
        <v>15</v>
      </c>
      <c r="B1301" s="11">
        <v>0</v>
      </c>
      <c r="C1301" s="13">
        <v>7</v>
      </c>
      <c r="D1301" s="13">
        <v>9</v>
      </c>
      <c r="E1301" s="11">
        <v>11</v>
      </c>
      <c r="F1301" s="125">
        <v>11</v>
      </c>
      <c r="G1301" s="11">
        <v>15</v>
      </c>
      <c r="H1301" s="11">
        <v>6</v>
      </c>
      <c r="I1301" s="11">
        <f>SUM(CEDRITOS!$B1301:$H1301)</f>
        <v>59</v>
      </c>
      <c r="J1301" s="60">
        <f t="shared" si="611"/>
        <v>8.4285714285714288</v>
      </c>
    </row>
    <row r="1302" spans="1:10" x14ac:dyDescent="0.25">
      <c r="A1302" s="212" t="s">
        <v>16</v>
      </c>
      <c r="B1302" s="11">
        <v>0</v>
      </c>
      <c r="C1302" s="13">
        <v>0</v>
      </c>
      <c r="D1302" s="13">
        <v>0</v>
      </c>
      <c r="E1302" s="11">
        <v>0</v>
      </c>
      <c r="F1302" s="125">
        <v>1</v>
      </c>
      <c r="G1302" s="11">
        <v>2</v>
      </c>
      <c r="H1302" s="11">
        <v>0</v>
      </c>
      <c r="I1302" s="11">
        <f>SUM(CEDRITOS!$B1302:$H1302)</f>
        <v>3</v>
      </c>
      <c r="J1302" s="60">
        <f t="shared" si="611"/>
        <v>0.42857142857142855</v>
      </c>
    </row>
    <row r="1303" spans="1:10" x14ac:dyDescent="0.25">
      <c r="A1303" s="213" t="s">
        <v>17</v>
      </c>
      <c r="B1303" s="192">
        <f>SUM(B1298:B1302)</f>
        <v>88</v>
      </c>
      <c r="C1303" s="192">
        <f t="shared" ref="C1303:I1303" si="612">SUM(C1298:C1302)</f>
        <v>97</v>
      </c>
      <c r="D1303" s="192">
        <f t="shared" si="612"/>
        <v>118</v>
      </c>
      <c r="E1303" s="192">
        <f t="shared" si="612"/>
        <v>126</v>
      </c>
      <c r="F1303" s="192">
        <f t="shared" si="612"/>
        <v>225</v>
      </c>
      <c r="G1303" s="192">
        <f t="shared" si="612"/>
        <v>392</v>
      </c>
      <c r="H1303" s="192">
        <f t="shared" si="612"/>
        <v>228</v>
      </c>
      <c r="I1303" s="192">
        <f t="shared" si="612"/>
        <v>1274</v>
      </c>
      <c r="J1303" s="214">
        <f t="shared" si="611"/>
        <v>182</v>
      </c>
    </row>
    <row r="1304" spans="1:10" x14ac:dyDescent="0.25">
      <c r="A1304" s="212" t="s">
        <v>18</v>
      </c>
      <c r="B1304" s="325">
        <v>0.68</v>
      </c>
      <c r="C1304" s="326">
        <v>0.74</v>
      </c>
      <c r="D1304" s="326">
        <v>0.62</v>
      </c>
      <c r="E1304" s="327">
        <v>0.63</v>
      </c>
      <c r="F1304" s="328">
        <v>0.73</v>
      </c>
      <c r="G1304" s="327">
        <v>0.72</v>
      </c>
      <c r="H1304" s="327">
        <v>0.68</v>
      </c>
      <c r="I1304" s="30">
        <f>I1311/I1316</f>
        <v>0.6970937418365023</v>
      </c>
      <c r="J1304" s="160">
        <f>J1311/J1316</f>
        <v>0.6970937418365023</v>
      </c>
    </row>
    <row r="1305" spans="1:10" x14ac:dyDescent="0.25">
      <c r="A1305" s="212" t="s">
        <v>19</v>
      </c>
      <c r="B1305" s="325">
        <v>0.01</v>
      </c>
      <c r="C1305" s="326">
        <v>0.01</v>
      </c>
      <c r="D1305" s="326">
        <v>0.01</v>
      </c>
      <c r="E1305" s="327">
        <v>0.03</v>
      </c>
      <c r="F1305" s="327">
        <v>0.03</v>
      </c>
      <c r="G1305" s="327">
        <v>0.04</v>
      </c>
      <c r="H1305" s="327">
        <v>0.02</v>
      </c>
      <c r="I1305" s="30">
        <f>I1312/I1316</f>
        <v>2.7223855777857506E-2</v>
      </c>
      <c r="J1305" s="160">
        <f>J1312/J1316</f>
        <v>2.7223855777857509E-2</v>
      </c>
    </row>
    <row r="1306" spans="1:10" x14ac:dyDescent="0.25">
      <c r="A1306" s="212" t="s">
        <v>20</v>
      </c>
      <c r="B1306" s="325">
        <v>0.31</v>
      </c>
      <c r="C1306" s="326">
        <v>0.18</v>
      </c>
      <c r="D1306" s="326">
        <v>0.32</v>
      </c>
      <c r="E1306" s="327">
        <v>0.25</v>
      </c>
      <c r="F1306" s="329">
        <v>0.18</v>
      </c>
      <c r="G1306" s="327">
        <v>0.2</v>
      </c>
      <c r="H1306" s="327">
        <v>0.28000000000000003</v>
      </c>
      <c r="I1306" s="30">
        <f>I1313/I1316</f>
        <v>0.23042309561288077</v>
      </c>
      <c r="J1306" s="160">
        <f>J1313/J1316</f>
        <v>0.2304230956128808</v>
      </c>
    </row>
    <row r="1307" spans="1:10" x14ac:dyDescent="0.25">
      <c r="A1307" s="212" t="s">
        <v>21</v>
      </c>
      <c r="B1307" s="325">
        <v>0</v>
      </c>
      <c r="C1307" s="326">
        <v>7.0000000000000007E-2</v>
      </c>
      <c r="D1307" s="326">
        <v>0.05</v>
      </c>
      <c r="E1307" s="327">
        <v>0.09</v>
      </c>
      <c r="F1307" s="329">
        <v>0.05</v>
      </c>
      <c r="G1307" s="327">
        <v>0.03</v>
      </c>
      <c r="H1307" s="327">
        <v>0.02</v>
      </c>
      <c r="I1307" s="30">
        <f>I1314/I1316</f>
        <v>4.0116453378620791E-2</v>
      </c>
      <c r="J1307" s="160">
        <f>J1314/J1316</f>
        <v>4.0116453378620798E-2</v>
      </c>
    </row>
    <row r="1308" spans="1:10" x14ac:dyDescent="0.25">
      <c r="A1308" s="212" t="s">
        <v>22</v>
      </c>
      <c r="B1308" s="325">
        <v>0</v>
      </c>
      <c r="C1308" s="326">
        <v>0</v>
      </c>
      <c r="D1308" s="326">
        <v>0</v>
      </c>
      <c r="E1308" s="327">
        <v>0</v>
      </c>
      <c r="F1308" s="329">
        <v>0.01</v>
      </c>
      <c r="G1308" s="327">
        <v>0.01</v>
      </c>
      <c r="H1308" s="327">
        <v>0</v>
      </c>
      <c r="I1308" s="30">
        <f>I1315/I1316</f>
        <v>5.1428533941387973E-3</v>
      </c>
      <c r="J1308" s="160">
        <f>J1315/J1316</f>
        <v>5.1428533941387973E-3</v>
      </c>
    </row>
    <row r="1309" spans="1:10" x14ac:dyDescent="0.25">
      <c r="A1309" s="215" t="s">
        <v>23</v>
      </c>
      <c r="B1309" s="66">
        <f t="shared" ref="B1309:J1309" si="613">B1320/B1303</f>
        <v>30630.681818181823</v>
      </c>
      <c r="C1309" s="66">
        <f t="shared" si="613"/>
        <v>32262.886597938144</v>
      </c>
      <c r="D1309" s="66">
        <f t="shared" si="613"/>
        <v>31427.966101694918</v>
      </c>
      <c r="E1309" s="66">
        <f t="shared" si="613"/>
        <v>33945.238095238092</v>
      </c>
      <c r="F1309" s="66">
        <f t="shared" si="613"/>
        <v>39745.777777777781</v>
      </c>
      <c r="G1309" s="66">
        <f t="shared" si="613"/>
        <v>37856.377551020407</v>
      </c>
      <c r="H1309" s="66">
        <f t="shared" si="613"/>
        <v>37877.631578947367</v>
      </c>
      <c r="I1309" s="66">
        <f t="shared" si="613"/>
        <v>36286.656200941914</v>
      </c>
      <c r="J1309" s="67">
        <f t="shared" si="613"/>
        <v>36286.656200941914</v>
      </c>
    </row>
    <row r="1310" spans="1:10" x14ac:dyDescent="0.25">
      <c r="A1310" s="215" t="s">
        <v>24</v>
      </c>
      <c r="B1310" s="66">
        <f t="shared" ref="B1310:I1310" si="614">+B1320/B1297</f>
        <v>24283.783783783787</v>
      </c>
      <c r="C1310" s="66">
        <f t="shared" si="614"/>
        <v>26978.448275862069</v>
      </c>
      <c r="D1310" s="66">
        <f t="shared" si="614"/>
        <v>26679.856115107916</v>
      </c>
      <c r="E1310" s="66">
        <f t="shared" si="614"/>
        <v>29295.205479452055</v>
      </c>
      <c r="F1310" s="66">
        <f t="shared" si="614"/>
        <v>28941.100323624596</v>
      </c>
      <c r="G1310" s="66">
        <f t="shared" si="614"/>
        <v>30285.102040816328</v>
      </c>
      <c r="H1310" s="66">
        <f t="shared" si="614"/>
        <v>29474.744027303754</v>
      </c>
      <c r="I1310" s="66">
        <f t="shared" si="614"/>
        <v>28821.197007481296</v>
      </c>
      <c r="J1310" s="67">
        <f>J1320/J1297</f>
        <v>28821.197007481296</v>
      </c>
    </row>
    <row r="1311" spans="1:10" x14ac:dyDescent="0.25">
      <c r="A1311" s="212" t="s">
        <v>25</v>
      </c>
      <c r="B1311" s="92">
        <f t="shared" ref="B1311:H1311" si="615">B1316*B1304</f>
        <v>1503919.8896551728</v>
      </c>
      <c r="C1311" s="92">
        <f t="shared" si="615"/>
        <v>1897533.7724137933</v>
      </c>
      <c r="D1311" s="92">
        <f t="shared" si="615"/>
        <v>1892610.6103448279</v>
      </c>
      <c r="E1311" s="92">
        <f t="shared" si="615"/>
        <v>2223799.3086206899</v>
      </c>
      <c r="F1311" s="92">
        <f t="shared" si="615"/>
        <v>5365080.5017241379</v>
      </c>
      <c r="G1311" s="31">
        <f t="shared" si="615"/>
        <v>8795019.4758620691</v>
      </c>
      <c r="H1311" s="31">
        <f t="shared" si="615"/>
        <v>4841265.9793103458</v>
      </c>
      <c r="I1311" s="31">
        <f>SUM(B1311:H1311)</f>
        <v>26519229.537931036</v>
      </c>
      <c r="J1311" s="32">
        <f t="shared" ref="J1311:J1320" si="616">I1311/7</f>
        <v>3788461.3625615765</v>
      </c>
    </row>
    <row r="1312" spans="1:10" x14ac:dyDescent="0.25">
      <c r="A1312" s="212" t="s">
        <v>26</v>
      </c>
      <c r="B1312" s="92">
        <f t="shared" ref="B1312:H1312" si="617">B1316*B1305</f>
        <v>22116.468965517244</v>
      </c>
      <c r="C1312" s="92">
        <f t="shared" si="617"/>
        <v>25642.34827586207</v>
      </c>
      <c r="D1312" s="92">
        <f t="shared" si="617"/>
        <v>30525.9775862069</v>
      </c>
      <c r="E1312" s="92">
        <f t="shared" si="617"/>
        <v>105895.2051724138</v>
      </c>
      <c r="F1312" s="92">
        <f t="shared" si="617"/>
        <v>220482.76034482761</v>
      </c>
      <c r="G1312" s="31">
        <f t="shared" si="617"/>
        <v>488612.19310344831</v>
      </c>
      <c r="H1312" s="31">
        <f t="shared" si="617"/>
        <v>142390.17586206898</v>
      </c>
      <c r="I1312" s="31">
        <f>SUM(B1312:H1312)</f>
        <v>1035665.1293103449</v>
      </c>
      <c r="J1312" s="32">
        <f t="shared" si="616"/>
        <v>147952.16133004928</v>
      </c>
    </row>
    <row r="1313" spans="1:10" x14ac:dyDescent="0.25">
      <c r="A1313" s="212" t="s">
        <v>27</v>
      </c>
      <c r="B1313" s="92">
        <f t="shared" ref="B1313:H1313" si="618">B1316*B1306</f>
        <v>685610.53793103457</v>
      </c>
      <c r="C1313" s="92">
        <f t="shared" si="618"/>
        <v>461562.26896551723</v>
      </c>
      <c r="D1313" s="92">
        <f t="shared" si="618"/>
        <v>976831.2827586208</v>
      </c>
      <c r="E1313" s="92">
        <f t="shared" si="618"/>
        <v>882460.04310344835</v>
      </c>
      <c r="F1313" s="92">
        <f t="shared" si="618"/>
        <v>1322896.5620689655</v>
      </c>
      <c r="G1313" s="31">
        <f t="shared" si="618"/>
        <v>2443060.9655172415</v>
      </c>
      <c r="H1313" s="31">
        <f t="shared" si="618"/>
        <v>1993462.4620689659</v>
      </c>
      <c r="I1313" s="31">
        <f>SUM(B1313:H1313)</f>
        <v>8765884.1224137936</v>
      </c>
      <c r="J1313" s="32">
        <f t="shared" si="616"/>
        <v>1252269.1603448277</v>
      </c>
    </row>
    <row r="1314" spans="1:10" x14ac:dyDescent="0.25">
      <c r="A1314" s="212" t="s">
        <v>28</v>
      </c>
      <c r="B1314" s="92">
        <f t="shared" ref="B1314:H1314" si="619">B1316*B1307</f>
        <v>0</v>
      </c>
      <c r="C1314" s="92">
        <f t="shared" si="619"/>
        <v>179496.43793103451</v>
      </c>
      <c r="D1314" s="92">
        <f t="shared" si="619"/>
        <v>152629.88793103452</v>
      </c>
      <c r="E1314" s="92">
        <f t="shared" si="619"/>
        <v>317685.61551724141</v>
      </c>
      <c r="F1314" s="92">
        <f t="shared" si="619"/>
        <v>367471.26724137936</v>
      </c>
      <c r="G1314" s="31">
        <f t="shared" si="619"/>
        <v>366459.14482758619</v>
      </c>
      <c r="H1314" s="31">
        <f t="shared" si="619"/>
        <v>142390.17586206898</v>
      </c>
      <c r="I1314" s="31">
        <f>SUM(B1314:H1314)</f>
        <v>1526132.529310345</v>
      </c>
      <c r="J1314" s="32">
        <f t="shared" si="616"/>
        <v>218018.93275862071</v>
      </c>
    </row>
    <row r="1315" spans="1:10" x14ac:dyDescent="0.25">
      <c r="A1315" s="212" t="s">
        <v>29</v>
      </c>
      <c r="B1315" s="92">
        <f t="shared" ref="B1315:H1315" si="620">B1316*B1308</f>
        <v>0</v>
      </c>
      <c r="C1315" s="92">
        <f t="shared" si="620"/>
        <v>0</v>
      </c>
      <c r="D1315" s="92">
        <f t="shared" si="620"/>
        <v>0</v>
      </c>
      <c r="E1315" s="92">
        <f t="shared" si="620"/>
        <v>0</v>
      </c>
      <c r="F1315" s="92">
        <f t="shared" si="620"/>
        <v>73494.253448275864</v>
      </c>
      <c r="G1315" s="31">
        <f t="shared" si="620"/>
        <v>122153.04827586208</v>
      </c>
      <c r="H1315" s="31">
        <f t="shared" si="620"/>
        <v>0</v>
      </c>
      <c r="I1315" s="31">
        <f>SUM(B1315:H1315)</f>
        <v>195647.30172413794</v>
      </c>
      <c r="J1315" s="32">
        <f t="shared" si="616"/>
        <v>27949.614532019707</v>
      </c>
    </row>
    <row r="1316" spans="1:10" x14ac:dyDescent="0.25">
      <c r="A1316" s="216" t="s">
        <v>30</v>
      </c>
      <c r="B1316" s="222">
        <f>(2695500/1.16)-B1317</f>
        <v>2211646.8965517245</v>
      </c>
      <c r="C1316" s="222">
        <f>(3129500/1.16)-C1317</f>
        <v>2564234.8275862071</v>
      </c>
      <c r="D1316" s="222">
        <f>(3708500/1.16)-D1317</f>
        <v>3052597.7586206901</v>
      </c>
      <c r="E1316" s="222">
        <f>(4277100/1.16)-E1317</f>
        <v>3529840.1724137934</v>
      </c>
      <c r="F1316" s="222">
        <f>(8942800/1.16)-F1317</f>
        <v>7349425.3448275868</v>
      </c>
      <c r="G1316" s="222">
        <f>(14839700/1.16)-G1317</f>
        <v>12215304.827586208</v>
      </c>
      <c r="H1316" s="222">
        <f>(8636100/1.16)-H1317</f>
        <v>7119508.793103449</v>
      </c>
      <c r="I1316" s="197">
        <f>SUM(I1311:I1315)</f>
        <v>38042558.620689653</v>
      </c>
      <c r="J1316" s="217">
        <f t="shared" si="616"/>
        <v>5434651.2315270929</v>
      </c>
    </row>
    <row r="1317" spans="1:10" x14ac:dyDescent="0.25">
      <c r="A1317" s="212" t="s">
        <v>31</v>
      </c>
      <c r="B1317" s="92">
        <f t="shared" ref="B1317:I1317" si="621">2155*B1298</f>
        <v>112060</v>
      </c>
      <c r="C1317" s="92">
        <f t="shared" si="621"/>
        <v>133610</v>
      </c>
      <c r="D1317" s="92">
        <f t="shared" si="621"/>
        <v>144385</v>
      </c>
      <c r="E1317" s="92">
        <f t="shared" si="621"/>
        <v>157315</v>
      </c>
      <c r="F1317" s="92">
        <f t="shared" si="621"/>
        <v>359885</v>
      </c>
      <c r="G1317" s="31">
        <f t="shared" si="621"/>
        <v>577540</v>
      </c>
      <c r="H1317" s="31">
        <f t="shared" si="621"/>
        <v>325405</v>
      </c>
      <c r="I1317" s="31">
        <f t="shared" si="621"/>
        <v>1810200</v>
      </c>
      <c r="J1317" s="32">
        <f t="shared" si="616"/>
        <v>258600</v>
      </c>
    </row>
    <row r="1318" spans="1:10" x14ac:dyDescent="0.25">
      <c r="A1318" s="218" t="s">
        <v>32</v>
      </c>
      <c r="B1318" s="199">
        <f>B1317+B1316</f>
        <v>2323706.8965517245</v>
      </c>
      <c r="C1318" s="199">
        <f>C1317+C1316</f>
        <v>2697844.8275862071</v>
      </c>
      <c r="D1318" s="199">
        <f>D1317+D1316</f>
        <v>3196982.7586206901</v>
      </c>
      <c r="E1318" s="199">
        <f>E1317+E1316</f>
        <v>3687155.1724137934</v>
      </c>
      <c r="F1318" s="199">
        <f>F1316+F1317</f>
        <v>7709310.3448275868</v>
      </c>
      <c r="G1318" s="199">
        <f>G1317+G1316</f>
        <v>12792844.827586208</v>
      </c>
      <c r="H1318" s="199">
        <f>H1317+H1316</f>
        <v>7444913.793103449</v>
      </c>
      <c r="I1318" s="199">
        <f>I1316+I1317</f>
        <v>39852758.620689653</v>
      </c>
      <c r="J1318" s="219">
        <f t="shared" si="616"/>
        <v>5693251.2315270929</v>
      </c>
    </row>
    <row r="1319" spans="1:10" x14ac:dyDescent="0.25">
      <c r="A1319" s="212" t="s">
        <v>33</v>
      </c>
      <c r="B1319" s="94">
        <f>B1318*16%</f>
        <v>371793.10344827594</v>
      </c>
      <c r="C1319" s="94">
        <f t="shared" ref="C1319:H1319" si="622">C1318*16%</f>
        <v>431655.17241379316</v>
      </c>
      <c r="D1319" s="94">
        <f t="shared" si="622"/>
        <v>511517.24137931044</v>
      </c>
      <c r="E1319" s="94">
        <f t="shared" si="622"/>
        <v>589944.82758620696</v>
      </c>
      <c r="F1319" s="94">
        <f t="shared" si="622"/>
        <v>1233489.6551724139</v>
      </c>
      <c r="G1319" s="94">
        <f t="shared" si="622"/>
        <v>2046855.1724137932</v>
      </c>
      <c r="H1319" s="94">
        <f t="shared" si="622"/>
        <v>1191186.2068965519</v>
      </c>
      <c r="I1319" s="94">
        <f>I1318*16%</f>
        <v>6376441.3793103443</v>
      </c>
      <c r="J1319" s="32">
        <f t="shared" si="616"/>
        <v>910920.19704433496</v>
      </c>
    </row>
    <row r="1320" spans="1:10" x14ac:dyDescent="0.25">
      <c r="A1320" s="220" t="s">
        <v>34</v>
      </c>
      <c r="B1320" s="202">
        <f>B1318+B1319</f>
        <v>2695500.0000000005</v>
      </c>
      <c r="C1320" s="202">
        <f t="shared" ref="C1320:H1320" si="623">C1318+C1319</f>
        <v>3129500</v>
      </c>
      <c r="D1320" s="202">
        <f t="shared" si="623"/>
        <v>3708500.0000000005</v>
      </c>
      <c r="E1320" s="202">
        <f t="shared" si="623"/>
        <v>4277100</v>
      </c>
      <c r="F1320" s="202">
        <f t="shared" si="623"/>
        <v>8942800</v>
      </c>
      <c r="G1320" s="202">
        <f t="shared" si="623"/>
        <v>14839700</v>
      </c>
      <c r="H1320" s="202">
        <f t="shared" si="623"/>
        <v>8636100</v>
      </c>
      <c r="I1320" s="202">
        <f>I1318+I1319</f>
        <v>46229200</v>
      </c>
      <c r="J1320" s="221">
        <f t="shared" si="616"/>
        <v>6604171.4285714282</v>
      </c>
    </row>
    <row r="1322" spans="1:10" ht="26.25" x14ac:dyDescent="0.25">
      <c r="B1322" s="1007" t="s">
        <v>388</v>
      </c>
      <c r="C1322" s="1007"/>
      <c r="D1322" s="1007"/>
      <c r="E1322" s="1007"/>
      <c r="F1322" s="1007"/>
      <c r="G1322" s="1007"/>
      <c r="H1322" s="1007"/>
    </row>
    <row r="1323" spans="1:10" ht="15.75" x14ac:dyDescent="0.25">
      <c r="A1323" s="207" t="s">
        <v>2</v>
      </c>
      <c r="B1323" s="232" t="s">
        <v>310</v>
      </c>
      <c r="C1323" s="232" t="s">
        <v>311</v>
      </c>
      <c r="D1323" s="232" t="s">
        <v>312</v>
      </c>
      <c r="E1323" s="232" t="s">
        <v>313</v>
      </c>
      <c r="F1323" s="232" t="s">
        <v>314</v>
      </c>
      <c r="G1323" s="232" t="s">
        <v>315</v>
      </c>
      <c r="H1323" s="232" t="s">
        <v>316</v>
      </c>
      <c r="I1323" s="121" t="s">
        <v>96</v>
      </c>
      <c r="J1323" s="209" t="s">
        <v>97</v>
      </c>
    </row>
    <row r="1324" spans="1:10" x14ac:dyDescent="0.25">
      <c r="A1324" s="332" t="s">
        <v>11</v>
      </c>
      <c r="B1324" s="55">
        <f>46+56+9</f>
        <v>111</v>
      </c>
      <c r="C1324" s="56">
        <f>77+51+11</f>
        <v>139</v>
      </c>
      <c r="D1324" s="54">
        <f>68+30+10</f>
        <v>108</v>
      </c>
      <c r="E1324" s="316">
        <f>73+35+9</f>
        <v>117</v>
      </c>
      <c r="F1324" s="311">
        <f>202+128+47</f>
        <v>377</v>
      </c>
      <c r="G1324" s="58">
        <f>187+123+54</f>
        <v>364</v>
      </c>
      <c r="H1324" s="57">
        <f>171+113+47</f>
        <v>331</v>
      </c>
      <c r="I1324" s="316">
        <f>SUM(B1324:H1324)</f>
        <v>1547</v>
      </c>
      <c r="J1324" s="382">
        <f>+I1324/7</f>
        <v>221</v>
      </c>
    </row>
    <row r="1325" spans="1:10" x14ac:dyDescent="0.25">
      <c r="A1325" s="212" t="s">
        <v>12</v>
      </c>
      <c r="B1325" s="86">
        <v>56</v>
      </c>
      <c r="C1325" s="320">
        <v>85</v>
      </c>
      <c r="D1325" s="320">
        <v>58</v>
      </c>
      <c r="E1325" s="11">
        <v>65</v>
      </c>
      <c r="F1325" s="125">
        <v>194</v>
      </c>
      <c r="G1325" s="11">
        <v>180</v>
      </c>
      <c r="H1325" s="11">
        <v>173</v>
      </c>
      <c r="I1325" s="11">
        <f>SUM(CEDRITOS!$B1325:$H1325)</f>
        <v>811</v>
      </c>
      <c r="J1325" s="60">
        <f t="shared" ref="J1325:J1330" si="624">I1325/7</f>
        <v>115.85714285714286</v>
      </c>
    </row>
    <row r="1326" spans="1:10" x14ac:dyDescent="0.25">
      <c r="A1326" s="212" t="s">
        <v>13</v>
      </c>
      <c r="B1326" s="11">
        <v>1</v>
      </c>
      <c r="C1326" s="13">
        <v>2</v>
      </c>
      <c r="D1326" s="13">
        <v>2</v>
      </c>
      <c r="E1326" s="11">
        <v>1</v>
      </c>
      <c r="F1326" s="125">
        <v>11</v>
      </c>
      <c r="G1326" s="11">
        <v>11</v>
      </c>
      <c r="H1326" s="11">
        <v>8</v>
      </c>
      <c r="I1326" s="11">
        <f>SUM(CEDRITOS!$B1326:$H1326)</f>
        <v>36</v>
      </c>
      <c r="J1326" s="60">
        <f t="shared" si="624"/>
        <v>5.1428571428571432</v>
      </c>
    </row>
    <row r="1327" spans="1:10" x14ac:dyDescent="0.25">
      <c r="A1327" s="212" t="s">
        <v>14</v>
      </c>
      <c r="B1327" s="11">
        <v>35</v>
      </c>
      <c r="C1327" s="13">
        <v>23</v>
      </c>
      <c r="D1327" s="320">
        <v>25</v>
      </c>
      <c r="E1327" s="11">
        <v>28</v>
      </c>
      <c r="F1327" s="125">
        <v>61</v>
      </c>
      <c r="G1327" s="11">
        <v>76</v>
      </c>
      <c r="H1327" s="11">
        <v>57</v>
      </c>
      <c r="I1327" s="11">
        <f>SUM(CEDRITOS!$B1327:$H1327)</f>
        <v>305</v>
      </c>
      <c r="J1327" s="60">
        <f t="shared" si="624"/>
        <v>43.571428571428569</v>
      </c>
    </row>
    <row r="1328" spans="1:10" x14ac:dyDescent="0.25">
      <c r="A1328" s="212" t="s">
        <v>15</v>
      </c>
      <c r="B1328" s="11">
        <v>7</v>
      </c>
      <c r="C1328" s="13">
        <v>7</v>
      </c>
      <c r="D1328" s="13">
        <v>5</v>
      </c>
      <c r="E1328" s="11">
        <v>6</v>
      </c>
      <c r="F1328" s="125">
        <v>13</v>
      </c>
      <c r="G1328" s="11">
        <v>15</v>
      </c>
      <c r="H1328" s="11">
        <v>20</v>
      </c>
      <c r="I1328" s="11">
        <f>SUM(CEDRITOS!$B1328:$H1328)</f>
        <v>73</v>
      </c>
      <c r="J1328" s="60">
        <f t="shared" si="624"/>
        <v>10.428571428571429</v>
      </c>
    </row>
    <row r="1329" spans="1:10" x14ac:dyDescent="0.25">
      <c r="A1329" s="212" t="s">
        <v>16</v>
      </c>
      <c r="B1329" s="11">
        <v>0</v>
      </c>
      <c r="C1329" s="13">
        <v>0</v>
      </c>
      <c r="D1329" s="13">
        <v>1</v>
      </c>
      <c r="E1329" s="11">
        <v>0</v>
      </c>
      <c r="F1329" s="125">
        <v>2</v>
      </c>
      <c r="G1329" s="11">
        <v>0</v>
      </c>
      <c r="H1329" s="11">
        <v>0</v>
      </c>
      <c r="I1329" s="11">
        <f>SUM(CEDRITOS!$B1329:$H1329)</f>
        <v>3</v>
      </c>
      <c r="J1329" s="60">
        <f t="shared" si="624"/>
        <v>0.42857142857142855</v>
      </c>
    </row>
    <row r="1330" spans="1:10" x14ac:dyDescent="0.25">
      <c r="A1330" s="213" t="s">
        <v>17</v>
      </c>
      <c r="B1330" s="192">
        <f>SUM(B1325:B1329)</f>
        <v>99</v>
      </c>
      <c r="C1330" s="192">
        <f t="shared" ref="C1330:I1330" si="625">SUM(C1325:C1329)</f>
        <v>117</v>
      </c>
      <c r="D1330" s="192">
        <f t="shared" si="625"/>
        <v>91</v>
      </c>
      <c r="E1330" s="192">
        <f t="shared" si="625"/>
        <v>100</v>
      </c>
      <c r="F1330" s="192">
        <f t="shared" si="625"/>
        <v>281</v>
      </c>
      <c r="G1330" s="192">
        <f t="shared" si="625"/>
        <v>282</v>
      </c>
      <c r="H1330" s="192">
        <f t="shared" si="625"/>
        <v>258</v>
      </c>
      <c r="I1330" s="192">
        <f t="shared" si="625"/>
        <v>1228</v>
      </c>
      <c r="J1330" s="214">
        <f t="shared" si="624"/>
        <v>175.42857142857142</v>
      </c>
    </row>
    <row r="1331" spans="1:10" x14ac:dyDescent="0.25">
      <c r="A1331" s="212" t="s">
        <v>18</v>
      </c>
      <c r="B1331" s="325">
        <v>0.6</v>
      </c>
      <c r="C1331" s="326">
        <v>0.8</v>
      </c>
      <c r="D1331" s="326">
        <v>0.69</v>
      </c>
      <c r="E1331" s="327">
        <v>0.69</v>
      </c>
      <c r="F1331" s="328">
        <v>0.76</v>
      </c>
      <c r="G1331" s="327">
        <v>0.66</v>
      </c>
      <c r="H1331" s="327">
        <v>0.7</v>
      </c>
      <c r="I1331" s="30">
        <f>I1338/I1343</f>
        <v>0.70614425574956896</v>
      </c>
      <c r="J1331" s="160">
        <f>J1338/J1343</f>
        <v>0.70614425574956896</v>
      </c>
    </row>
    <row r="1332" spans="1:10" x14ac:dyDescent="0.25">
      <c r="A1332" s="212" t="s">
        <v>19</v>
      </c>
      <c r="B1332" s="325">
        <v>0.01</v>
      </c>
      <c r="C1332" s="326">
        <v>0.03</v>
      </c>
      <c r="D1332" s="326">
        <v>0.02</v>
      </c>
      <c r="E1332" s="327">
        <v>0.01</v>
      </c>
      <c r="F1332" s="327">
        <v>0.03</v>
      </c>
      <c r="G1332" s="327">
        <v>0.05</v>
      </c>
      <c r="H1332" s="327">
        <v>0.03</v>
      </c>
      <c r="I1332" s="30">
        <f>I1339/I1343</f>
        <v>3.0999284787336111E-2</v>
      </c>
      <c r="J1332" s="160">
        <f>J1339/J1343</f>
        <v>3.0999284787336115E-2</v>
      </c>
    </row>
    <row r="1333" spans="1:10" x14ac:dyDescent="0.25">
      <c r="A1333" s="212" t="s">
        <v>20</v>
      </c>
      <c r="B1333" s="325">
        <v>0.34</v>
      </c>
      <c r="C1333" s="326">
        <v>0.14000000000000001</v>
      </c>
      <c r="D1333" s="326">
        <v>0.23</v>
      </c>
      <c r="E1333" s="327">
        <v>0.25</v>
      </c>
      <c r="F1333" s="329">
        <v>0.17</v>
      </c>
      <c r="G1333" s="327">
        <v>0.24</v>
      </c>
      <c r="H1333" s="327">
        <v>0.18</v>
      </c>
      <c r="I1333" s="30">
        <f>I1340/I1343</f>
        <v>0.20860172432705321</v>
      </c>
      <c r="J1333" s="160">
        <f>J1340/J1343</f>
        <v>0.20860172432705323</v>
      </c>
    </row>
    <row r="1334" spans="1:10" x14ac:dyDescent="0.25">
      <c r="A1334" s="212" t="s">
        <v>21</v>
      </c>
      <c r="B1334" s="325">
        <v>0.05</v>
      </c>
      <c r="C1334" s="326">
        <v>0.03</v>
      </c>
      <c r="D1334" s="326">
        <v>0.05</v>
      </c>
      <c r="E1334" s="327">
        <v>0.05</v>
      </c>
      <c r="F1334" s="329">
        <v>0.03</v>
      </c>
      <c r="G1334" s="327">
        <v>0.05</v>
      </c>
      <c r="H1334" s="327">
        <v>0.09</v>
      </c>
      <c r="I1334" s="30">
        <f>I1341/I1343</f>
        <v>5.1027131298355025E-2</v>
      </c>
      <c r="J1334" s="160">
        <f>J1341/J1343</f>
        <v>5.1027131298355032E-2</v>
      </c>
    </row>
    <row r="1335" spans="1:10" x14ac:dyDescent="0.25">
      <c r="A1335" s="212" t="s">
        <v>22</v>
      </c>
      <c r="B1335" s="325">
        <v>0</v>
      </c>
      <c r="C1335" s="326">
        <v>0</v>
      </c>
      <c r="D1335" s="326">
        <v>0.01</v>
      </c>
      <c r="E1335" s="327">
        <v>0</v>
      </c>
      <c r="F1335" s="329">
        <v>0.01</v>
      </c>
      <c r="G1335" s="327">
        <v>0</v>
      </c>
      <c r="H1335" s="327">
        <v>0</v>
      </c>
      <c r="I1335" s="30">
        <f>I1342/I1343</f>
        <v>3.2276038376867831E-3</v>
      </c>
      <c r="J1335" s="160">
        <f>J1342/J1343</f>
        <v>3.2276038376867835E-3</v>
      </c>
    </row>
    <row r="1336" spans="1:10" x14ac:dyDescent="0.25">
      <c r="A1336" s="215" t="s">
        <v>23</v>
      </c>
      <c r="B1336" s="66">
        <f t="shared" ref="B1336:J1336" si="626">B1347/B1330</f>
        <v>34546.464646464643</v>
      </c>
      <c r="C1336" s="66">
        <f t="shared" si="626"/>
        <v>35679.487179487187</v>
      </c>
      <c r="D1336" s="66">
        <f t="shared" si="626"/>
        <v>33198.901098901108</v>
      </c>
      <c r="E1336" s="66">
        <f t="shared" si="626"/>
        <v>33103.000000000007</v>
      </c>
      <c r="F1336" s="66">
        <f t="shared" si="626"/>
        <v>40540.569395017796</v>
      </c>
      <c r="G1336" s="66">
        <f t="shared" si="626"/>
        <v>37055.319148936171</v>
      </c>
      <c r="H1336" s="66">
        <f t="shared" si="626"/>
        <v>34742.248062015504</v>
      </c>
      <c r="I1336" s="66">
        <f t="shared" si="626"/>
        <v>36425.895765472313</v>
      </c>
      <c r="J1336" s="67">
        <f t="shared" si="626"/>
        <v>36425.895765472313</v>
      </c>
    </row>
    <row r="1337" spans="1:10" x14ac:dyDescent="0.25">
      <c r="A1337" s="215" t="s">
        <v>24</v>
      </c>
      <c r="B1337" s="66">
        <f t="shared" ref="B1337:I1337" si="627">+B1347/B1324</f>
        <v>30811.711711711712</v>
      </c>
      <c r="C1337" s="66">
        <f t="shared" si="627"/>
        <v>30032.374100719429</v>
      </c>
      <c r="D1337" s="66">
        <f t="shared" si="627"/>
        <v>27973.148148148153</v>
      </c>
      <c r="E1337" s="66">
        <f t="shared" si="627"/>
        <v>28293.162393162398</v>
      </c>
      <c r="F1337" s="66">
        <f t="shared" si="627"/>
        <v>30217.241379310344</v>
      </c>
      <c r="G1337" s="66">
        <f t="shared" si="627"/>
        <v>28707.692307692309</v>
      </c>
      <c r="H1337" s="66">
        <f t="shared" si="627"/>
        <v>27080.060422960723</v>
      </c>
      <c r="I1337" s="66">
        <f t="shared" si="627"/>
        <v>28914.673561732387</v>
      </c>
      <c r="J1337" s="67">
        <f>J1347/J1324</f>
        <v>28914.673561732387</v>
      </c>
    </row>
    <row r="1338" spans="1:10" x14ac:dyDescent="0.25">
      <c r="A1338" s="212" t="s">
        <v>25</v>
      </c>
      <c r="B1338" s="92">
        <f t="shared" ref="B1338:H1338" si="628">B1343*B1331</f>
        <v>1696609.2413793104</v>
      </c>
      <c r="C1338" s="92">
        <f t="shared" si="628"/>
        <v>2732425.5172413797</v>
      </c>
      <c r="D1338" s="92">
        <f t="shared" si="628"/>
        <v>1710790.5206896553</v>
      </c>
      <c r="E1338" s="92">
        <f t="shared" si="628"/>
        <v>1872406.0086206899</v>
      </c>
      <c r="F1338" s="92">
        <f t="shared" si="628"/>
        <v>7145925.4206896555</v>
      </c>
      <c r="G1338" s="31">
        <f t="shared" si="628"/>
        <v>5689448.0689655179</v>
      </c>
      <c r="H1338" s="31">
        <f t="shared" si="628"/>
        <v>5148038.1206896547</v>
      </c>
      <c r="I1338" s="31">
        <f>SUM(B1338:H1338)</f>
        <v>25995642.89827586</v>
      </c>
      <c r="J1338" s="32">
        <f t="shared" ref="J1338:J1347" si="629">I1338/7</f>
        <v>3713663.2711822656</v>
      </c>
    </row>
    <row r="1339" spans="1:10" x14ac:dyDescent="0.25">
      <c r="A1339" s="212" t="s">
        <v>26</v>
      </c>
      <c r="B1339" s="92">
        <f t="shared" ref="B1339:H1339" si="630">B1343*B1332</f>
        <v>28276.820689655175</v>
      </c>
      <c r="C1339" s="92">
        <f t="shared" si="630"/>
        <v>102465.95689655172</v>
      </c>
      <c r="D1339" s="92">
        <f t="shared" si="630"/>
        <v>49588.131034482765</v>
      </c>
      <c r="E1339" s="92">
        <f t="shared" si="630"/>
        <v>27136.318965517246</v>
      </c>
      <c r="F1339" s="92">
        <f t="shared" si="630"/>
        <v>282076.00344827585</v>
      </c>
      <c r="G1339" s="31">
        <f t="shared" si="630"/>
        <v>431018.79310344835</v>
      </c>
      <c r="H1339" s="31">
        <f t="shared" si="630"/>
        <v>220630.20517241379</v>
      </c>
      <c r="I1339" s="31">
        <f>SUM(B1339:H1339)</f>
        <v>1141192.2293103449</v>
      </c>
      <c r="J1339" s="32">
        <f t="shared" si="629"/>
        <v>163027.46133004926</v>
      </c>
    </row>
    <row r="1340" spans="1:10" x14ac:dyDescent="0.25">
      <c r="A1340" s="212" t="s">
        <v>27</v>
      </c>
      <c r="B1340" s="92">
        <f t="shared" ref="B1340:H1340" si="631">B1343*B1333</f>
        <v>961411.90344827599</v>
      </c>
      <c r="C1340" s="92">
        <f t="shared" si="631"/>
        <v>478174.46551724151</v>
      </c>
      <c r="D1340" s="92">
        <f t="shared" si="631"/>
        <v>570263.50689655181</v>
      </c>
      <c r="E1340" s="92">
        <f t="shared" si="631"/>
        <v>678407.97413793113</v>
      </c>
      <c r="F1340" s="92">
        <f t="shared" si="631"/>
        <v>1598430.6862068968</v>
      </c>
      <c r="G1340" s="31">
        <f t="shared" si="631"/>
        <v>2068890.2068965519</v>
      </c>
      <c r="H1340" s="31">
        <f t="shared" si="631"/>
        <v>1323781.2310344828</v>
      </c>
      <c r="I1340" s="31">
        <f>SUM(B1340:H1340)</f>
        <v>7679359.9741379321</v>
      </c>
      <c r="J1340" s="32">
        <f t="shared" si="629"/>
        <v>1097051.4248768475</v>
      </c>
    </row>
    <row r="1341" spans="1:10" x14ac:dyDescent="0.25">
      <c r="A1341" s="212" t="s">
        <v>28</v>
      </c>
      <c r="B1341" s="92">
        <f t="shared" ref="B1341:H1341" si="632">B1343*B1334</f>
        <v>141384.10344827588</v>
      </c>
      <c r="C1341" s="92">
        <f t="shared" si="632"/>
        <v>102465.95689655172</v>
      </c>
      <c r="D1341" s="92">
        <f t="shared" si="632"/>
        <v>123970.32758620691</v>
      </c>
      <c r="E1341" s="92">
        <f t="shared" si="632"/>
        <v>135681.59482758623</v>
      </c>
      <c r="F1341" s="92">
        <f t="shared" si="632"/>
        <v>282076.00344827585</v>
      </c>
      <c r="G1341" s="31">
        <f t="shared" si="632"/>
        <v>431018.79310344835</v>
      </c>
      <c r="H1341" s="31">
        <f t="shared" si="632"/>
        <v>661890.61551724141</v>
      </c>
      <c r="I1341" s="31">
        <f>SUM(B1341:H1341)</f>
        <v>1878487.3948275864</v>
      </c>
      <c r="J1341" s="32">
        <f t="shared" si="629"/>
        <v>268355.34211822663</v>
      </c>
    </row>
    <row r="1342" spans="1:10" x14ac:dyDescent="0.25">
      <c r="A1342" s="212" t="s">
        <v>29</v>
      </c>
      <c r="B1342" s="92">
        <f t="shared" ref="B1342:H1342" si="633">B1343*B1335</f>
        <v>0</v>
      </c>
      <c r="C1342" s="92">
        <f t="shared" si="633"/>
        <v>0</v>
      </c>
      <c r="D1342" s="92">
        <f t="shared" si="633"/>
        <v>24794.065517241383</v>
      </c>
      <c r="E1342" s="92">
        <f t="shared" si="633"/>
        <v>0</v>
      </c>
      <c r="F1342" s="92">
        <f t="shared" si="633"/>
        <v>94025.334482758626</v>
      </c>
      <c r="G1342" s="31">
        <f t="shared" si="633"/>
        <v>0</v>
      </c>
      <c r="H1342" s="31">
        <f t="shared" si="633"/>
        <v>0</v>
      </c>
      <c r="I1342" s="31">
        <f>SUM(B1342:H1342)</f>
        <v>118819.40000000001</v>
      </c>
      <c r="J1342" s="32">
        <f t="shared" si="629"/>
        <v>16974.2</v>
      </c>
    </row>
    <row r="1343" spans="1:10" x14ac:dyDescent="0.25">
      <c r="A1343" s="216" t="s">
        <v>30</v>
      </c>
      <c r="B1343" s="222">
        <f>(3420100/1.16)-B1344</f>
        <v>2827682.0689655175</v>
      </c>
      <c r="C1343" s="222">
        <f>(4174500/1.16)-C1344</f>
        <v>3415531.8965517245</v>
      </c>
      <c r="D1343" s="222">
        <f>(3021100/1.16)-D1344</f>
        <v>2479406.5517241382</v>
      </c>
      <c r="E1343" s="222">
        <f>(3310300/1.16)-E1344</f>
        <v>2713631.8965517245</v>
      </c>
      <c r="F1343" s="222">
        <f>(11391900/1.16)-F1344</f>
        <v>9402533.4482758623</v>
      </c>
      <c r="G1343" s="222">
        <f>(10449600/1.16)-G1344</f>
        <v>8620375.862068966</v>
      </c>
      <c r="H1343" s="222">
        <f>(8963500/1.16)-H1344</f>
        <v>7354340.1724137934</v>
      </c>
      <c r="I1343" s="197">
        <f>SUM(I1338:I1342)</f>
        <v>36813501.896551721</v>
      </c>
      <c r="J1343" s="217">
        <f t="shared" si="629"/>
        <v>5259071.6995073883</v>
      </c>
    </row>
    <row r="1344" spans="1:10" x14ac:dyDescent="0.25">
      <c r="A1344" s="212" t="s">
        <v>31</v>
      </c>
      <c r="B1344" s="92">
        <f t="shared" ref="B1344:I1344" si="634">2155*B1325</f>
        <v>120680</v>
      </c>
      <c r="C1344" s="92">
        <f t="shared" si="634"/>
        <v>183175</v>
      </c>
      <c r="D1344" s="92">
        <f t="shared" si="634"/>
        <v>124990</v>
      </c>
      <c r="E1344" s="92">
        <f t="shared" si="634"/>
        <v>140075</v>
      </c>
      <c r="F1344" s="92">
        <f t="shared" si="634"/>
        <v>418070</v>
      </c>
      <c r="G1344" s="31">
        <f t="shared" si="634"/>
        <v>387900</v>
      </c>
      <c r="H1344" s="31">
        <f t="shared" si="634"/>
        <v>372815</v>
      </c>
      <c r="I1344" s="31">
        <f t="shared" si="634"/>
        <v>1747705</v>
      </c>
      <c r="J1344" s="32">
        <f t="shared" si="629"/>
        <v>249672.14285714287</v>
      </c>
    </row>
    <row r="1345" spans="1:10" x14ac:dyDescent="0.25">
      <c r="A1345" s="218" t="s">
        <v>32</v>
      </c>
      <c r="B1345" s="199">
        <f>B1344+B1343</f>
        <v>2948362.0689655175</v>
      </c>
      <c r="C1345" s="199">
        <f>C1344+C1343</f>
        <v>3598706.8965517245</v>
      </c>
      <c r="D1345" s="199">
        <f>D1344+D1343</f>
        <v>2604396.5517241382</v>
      </c>
      <c r="E1345" s="199">
        <f>E1344+E1343</f>
        <v>2853706.8965517245</v>
      </c>
      <c r="F1345" s="199">
        <f>F1343+F1344</f>
        <v>9820603.4482758623</v>
      </c>
      <c r="G1345" s="199">
        <f>G1344+G1343</f>
        <v>9008275.862068966</v>
      </c>
      <c r="H1345" s="199">
        <f>H1344+H1343</f>
        <v>7727155.1724137934</v>
      </c>
      <c r="I1345" s="199">
        <f>I1343+I1344</f>
        <v>38561206.896551721</v>
      </c>
      <c r="J1345" s="219">
        <f t="shared" si="629"/>
        <v>5508743.8423645319</v>
      </c>
    </row>
    <row r="1346" spans="1:10" x14ac:dyDescent="0.25">
      <c r="A1346" s="212" t="s">
        <v>33</v>
      </c>
      <c r="B1346" s="94">
        <f>B1345*16%</f>
        <v>471737.93103448278</v>
      </c>
      <c r="C1346" s="94">
        <f t="shared" ref="C1346:H1346" si="635">C1345*16%</f>
        <v>575793.10344827594</v>
      </c>
      <c r="D1346" s="94">
        <f t="shared" si="635"/>
        <v>416703.44827586215</v>
      </c>
      <c r="E1346" s="94">
        <f t="shared" si="635"/>
        <v>456593.10344827594</v>
      </c>
      <c r="F1346" s="94">
        <f t="shared" si="635"/>
        <v>1571296.551724138</v>
      </c>
      <c r="G1346" s="94">
        <f t="shared" si="635"/>
        <v>1441324.1379310347</v>
      </c>
      <c r="H1346" s="94">
        <f t="shared" si="635"/>
        <v>1236344.8275862071</v>
      </c>
      <c r="I1346" s="94">
        <f>I1345*16%</f>
        <v>6169793.1034482755</v>
      </c>
      <c r="J1346" s="32">
        <f t="shared" si="629"/>
        <v>881399.0147783251</v>
      </c>
    </row>
    <row r="1347" spans="1:10" x14ac:dyDescent="0.25">
      <c r="A1347" s="220" t="s">
        <v>34</v>
      </c>
      <c r="B1347" s="202">
        <f>B1345+B1346</f>
        <v>3420100</v>
      </c>
      <c r="C1347" s="202">
        <f t="shared" ref="C1347:H1347" si="636">C1345+C1346</f>
        <v>4174500.0000000005</v>
      </c>
      <c r="D1347" s="202">
        <f t="shared" si="636"/>
        <v>3021100.0000000005</v>
      </c>
      <c r="E1347" s="202">
        <f t="shared" si="636"/>
        <v>3310300.0000000005</v>
      </c>
      <c r="F1347" s="202">
        <f t="shared" si="636"/>
        <v>11391900</v>
      </c>
      <c r="G1347" s="202">
        <f t="shared" si="636"/>
        <v>10449600</v>
      </c>
      <c r="H1347" s="202">
        <f t="shared" si="636"/>
        <v>8963500</v>
      </c>
      <c r="I1347" s="202">
        <f>I1345+I1346</f>
        <v>44731000</v>
      </c>
      <c r="J1347" s="221">
        <f t="shared" si="629"/>
        <v>6390142.8571428573</v>
      </c>
    </row>
    <row r="1349" spans="1:10" ht="26.25" x14ac:dyDescent="0.25">
      <c r="B1349" s="1007" t="s">
        <v>389</v>
      </c>
      <c r="C1349" s="1007"/>
      <c r="D1349" s="1007"/>
      <c r="E1349" s="1007"/>
      <c r="F1349" s="1007"/>
      <c r="G1349" s="1007"/>
      <c r="H1349" s="1007"/>
    </row>
    <row r="1350" spans="1:10" ht="15.75" x14ac:dyDescent="0.25">
      <c r="A1350" s="207" t="s">
        <v>2</v>
      </c>
      <c r="B1350" s="232" t="s">
        <v>318</v>
      </c>
      <c r="C1350" s="232" t="s">
        <v>319</v>
      </c>
      <c r="D1350" s="232" t="s">
        <v>141</v>
      </c>
      <c r="E1350" s="232" t="s">
        <v>142</v>
      </c>
      <c r="F1350" s="232" t="s">
        <v>143</v>
      </c>
      <c r="G1350" s="232" t="s">
        <v>144</v>
      </c>
      <c r="H1350" s="232" t="s">
        <v>145</v>
      </c>
      <c r="I1350" s="121" t="s">
        <v>96</v>
      </c>
      <c r="J1350" s="209" t="s">
        <v>97</v>
      </c>
    </row>
    <row r="1351" spans="1:10" x14ac:dyDescent="0.25">
      <c r="A1351" s="332" t="s">
        <v>11</v>
      </c>
      <c r="B1351" s="55">
        <f>43+24+8</f>
        <v>75</v>
      </c>
      <c r="C1351" s="56">
        <f>87+43+8</f>
        <v>138</v>
      </c>
      <c r="D1351" s="54">
        <f>68+42+13</f>
        <v>123</v>
      </c>
      <c r="E1351" s="316">
        <f>78+41+15</f>
        <v>134</v>
      </c>
      <c r="F1351" s="311">
        <f>161+96+22</f>
        <v>279</v>
      </c>
      <c r="G1351" s="58">
        <f>248+138+58</f>
        <v>444</v>
      </c>
      <c r="H1351" s="57">
        <f>146+104+37</f>
        <v>287</v>
      </c>
      <c r="I1351" s="316">
        <f>SUM(B1351:H1351)</f>
        <v>1480</v>
      </c>
      <c r="J1351" s="382">
        <f>+I1351/7</f>
        <v>211.42857142857142</v>
      </c>
    </row>
    <row r="1352" spans="1:10" x14ac:dyDescent="0.25">
      <c r="A1352" s="212" t="s">
        <v>12</v>
      </c>
      <c r="B1352" s="86">
        <v>46</v>
      </c>
      <c r="C1352" s="320">
        <v>79</v>
      </c>
      <c r="D1352" s="320">
        <v>54</v>
      </c>
      <c r="E1352" s="11">
        <v>78</v>
      </c>
      <c r="F1352" s="125">
        <v>137</v>
      </c>
      <c r="G1352" s="11">
        <v>229</v>
      </c>
      <c r="H1352" s="11">
        <v>126</v>
      </c>
      <c r="I1352" s="11">
        <f>SUM(CEDRITOS!$B1352:$H1352)</f>
        <v>749</v>
      </c>
      <c r="J1352" s="60">
        <f t="shared" ref="J1352:J1357" si="637">I1352/7</f>
        <v>107</v>
      </c>
    </row>
    <row r="1353" spans="1:10" x14ac:dyDescent="0.25">
      <c r="A1353" s="212" t="s">
        <v>13</v>
      </c>
      <c r="B1353" s="11">
        <v>0</v>
      </c>
      <c r="C1353" s="13">
        <v>5</v>
      </c>
      <c r="D1353" s="13">
        <v>6</v>
      </c>
      <c r="E1353" s="11">
        <v>0</v>
      </c>
      <c r="F1353" s="125">
        <v>5</v>
      </c>
      <c r="G1353" s="11">
        <v>9</v>
      </c>
      <c r="H1353" s="11">
        <v>6</v>
      </c>
      <c r="I1353" s="11">
        <f>SUM(CEDRITOS!$B1353:$H1353)</f>
        <v>31</v>
      </c>
      <c r="J1353" s="60">
        <f t="shared" si="637"/>
        <v>4.4285714285714288</v>
      </c>
    </row>
    <row r="1354" spans="1:10" x14ac:dyDescent="0.25">
      <c r="A1354" s="212" t="s">
        <v>14</v>
      </c>
      <c r="B1354" s="11">
        <v>23</v>
      </c>
      <c r="C1354" s="13">
        <v>16</v>
      </c>
      <c r="D1354" s="320">
        <v>31</v>
      </c>
      <c r="E1354" s="11">
        <v>35</v>
      </c>
      <c r="F1354" s="125">
        <v>62</v>
      </c>
      <c r="G1354" s="11">
        <v>46</v>
      </c>
      <c r="H1354" s="11">
        <v>84</v>
      </c>
      <c r="I1354" s="11">
        <f>SUM(CEDRITOS!$B1354:$H1354)</f>
        <v>297</v>
      </c>
      <c r="J1354" s="60">
        <f t="shared" si="637"/>
        <v>42.428571428571431</v>
      </c>
    </row>
    <row r="1355" spans="1:10" x14ac:dyDescent="0.25">
      <c r="A1355" s="212" t="s">
        <v>15</v>
      </c>
      <c r="B1355" s="11">
        <v>1</v>
      </c>
      <c r="C1355" s="13">
        <v>13</v>
      </c>
      <c r="D1355" s="13">
        <v>9</v>
      </c>
      <c r="E1355" s="11">
        <v>6</v>
      </c>
      <c r="F1355" s="125">
        <v>19</v>
      </c>
      <c r="G1355" s="11">
        <v>36</v>
      </c>
      <c r="H1355" s="11">
        <v>14</v>
      </c>
      <c r="I1355" s="11">
        <f>SUM(CEDRITOS!$B1355:$H1355)</f>
        <v>98</v>
      </c>
      <c r="J1355" s="60">
        <f t="shared" si="637"/>
        <v>14</v>
      </c>
    </row>
    <row r="1356" spans="1:10" x14ac:dyDescent="0.25">
      <c r="A1356" s="212" t="s">
        <v>16</v>
      </c>
      <c r="B1356" s="11">
        <v>0</v>
      </c>
      <c r="C1356" s="13">
        <v>1</v>
      </c>
      <c r="D1356" s="13">
        <v>0</v>
      </c>
      <c r="E1356" s="11">
        <v>0</v>
      </c>
      <c r="F1356" s="125">
        <v>2</v>
      </c>
      <c r="G1356" s="11">
        <v>1</v>
      </c>
      <c r="H1356" s="11">
        <v>0</v>
      </c>
      <c r="I1356" s="11">
        <f>SUM(CEDRITOS!$B1356:$H1356)</f>
        <v>4</v>
      </c>
      <c r="J1356" s="60">
        <f t="shared" si="637"/>
        <v>0.5714285714285714</v>
      </c>
    </row>
    <row r="1357" spans="1:10" x14ac:dyDescent="0.25">
      <c r="A1357" s="213" t="s">
        <v>17</v>
      </c>
      <c r="B1357" s="192">
        <f>SUM(B1352:B1356)</f>
        <v>70</v>
      </c>
      <c r="C1357" s="192">
        <f t="shared" ref="C1357:I1357" si="638">SUM(C1352:C1356)</f>
        <v>114</v>
      </c>
      <c r="D1357" s="192">
        <f t="shared" si="638"/>
        <v>100</v>
      </c>
      <c r="E1357" s="192">
        <f t="shared" si="638"/>
        <v>119</v>
      </c>
      <c r="F1357" s="192">
        <f t="shared" si="638"/>
        <v>225</v>
      </c>
      <c r="G1357" s="192">
        <f t="shared" si="638"/>
        <v>321</v>
      </c>
      <c r="H1357" s="192">
        <f t="shared" si="638"/>
        <v>230</v>
      </c>
      <c r="I1357" s="192">
        <f t="shared" si="638"/>
        <v>1179</v>
      </c>
      <c r="J1357" s="214">
        <f t="shared" si="637"/>
        <v>168.42857142857142</v>
      </c>
    </row>
    <row r="1358" spans="1:10" x14ac:dyDescent="0.25">
      <c r="A1358" s="212" t="s">
        <v>18</v>
      </c>
      <c r="B1358" s="325">
        <v>0.74</v>
      </c>
      <c r="C1358" s="326">
        <v>0.71</v>
      </c>
      <c r="D1358" s="326">
        <v>0.61</v>
      </c>
      <c r="E1358" s="327">
        <v>0.76</v>
      </c>
      <c r="F1358" s="328">
        <v>0.66</v>
      </c>
      <c r="G1358" s="327">
        <v>0.77</v>
      </c>
      <c r="H1358" s="327">
        <v>0.63</v>
      </c>
      <c r="I1358" s="30">
        <f>I1365/I1370</f>
        <v>0.70105952835792462</v>
      </c>
      <c r="J1358" s="160">
        <f>J1365/J1370</f>
        <v>0.70105952835792462</v>
      </c>
    </row>
    <row r="1359" spans="1:10" x14ac:dyDescent="0.25">
      <c r="A1359" s="212" t="s">
        <v>19</v>
      </c>
      <c r="B1359" s="325">
        <v>0</v>
      </c>
      <c r="C1359" s="326">
        <v>0.05</v>
      </c>
      <c r="D1359" s="326">
        <v>0.05</v>
      </c>
      <c r="E1359" s="327">
        <v>0</v>
      </c>
      <c r="F1359" s="327">
        <v>0.02</v>
      </c>
      <c r="G1359" s="327">
        <v>0.02</v>
      </c>
      <c r="H1359" s="327">
        <v>0.03</v>
      </c>
      <c r="I1359" s="30">
        <f>I1366/I1370</f>
        <v>2.4462535073878421E-2</v>
      </c>
      <c r="J1359" s="160">
        <f>J1366/J1370</f>
        <v>2.4462535073878425E-2</v>
      </c>
    </row>
    <row r="1360" spans="1:10" x14ac:dyDescent="0.25">
      <c r="A1360" s="212" t="s">
        <v>20</v>
      </c>
      <c r="B1360" s="325">
        <v>0.25</v>
      </c>
      <c r="C1360" s="326">
        <v>0.12</v>
      </c>
      <c r="D1360" s="326">
        <v>0.25</v>
      </c>
      <c r="E1360" s="327">
        <v>0.21</v>
      </c>
      <c r="F1360" s="329">
        <v>0.23</v>
      </c>
      <c r="G1360" s="327">
        <v>0.12</v>
      </c>
      <c r="H1360" s="327">
        <v>0.3</v>
      </c>
      <c r="I1360" s="30">
        <f>I1367/I1370</f>
        <v>0.20039033842845289</v>
      </c>
      <c r="J1360" s="160">
        <f>J1367/J1370</f>
        <v>0.20039033842845291</v>
      </c>
    </row>
    <row r="1361" spans="1:10" x14ac:dyDescent="0.25">
      <c r="A1361" s="212" t="s">
        <v>21</v>
      </c>
      <c r="B1361" s="325">
        <v>0.01</v>
      </c>
      <c r="C1361" s="326">
        <v>0.1</v>
      </c>
      <c r="D1361" s="326">
        <v>0.09</v>
      </c>
      <c r="E1361" s="327">
        <v>0.03</v>
      </c>
      <c r="F1361" s="329">
        <v>0.08</v>
      </c>
      <c r="G1361" s="327">
        <v>0.09</v>
      </c>
      <c r="H1361" s="327">
        <v>0.04</v>
      </c>
      <c r="I1361" s="30">
        <f>I1368/I1370</f>
        <v>7.0284043784154218E-2</v>
      </c>
      <c r="J1361" s="160">
        <f>J1368/J1370</f>
        <v>7.0284043784154218E-2</v>
      </c>
    </row>
    <row r="1362" spans="1:10" x14ac:dyDescent="0.25">
      <c r="A1362" s="212" t="s">
        <v>22</v>
      </c>
      <c r="B1362" s="325">
        <v>0</v>
      </c>
      <c r="C1362" s="326">
        <v>0.02</v>
      </c>
      <c r="D1362" s="326">
        <v>0</v>
      </c>
      <c r="E1362" s="327">
        <v>0</v>
      </c>
      <c r="F1362" s="329">
        <v>0.01</v>
      </c>
      <c r="G1362" s="327">
        <v>0</v>
      </c>
      <c r="H1362" s="327">
        <v>0</v>
      </c>
      <c r="I1362" s="30">
        <f>I1369/I1370</f>
        <v>3.8035543555897983E-3</v>
      </c>
      <c r="J1362" s="160">
        <f>J1369/J1370</f>
        <v>3.8035543555897987E-3</v>
      </c>
    </row>
    <row r="1363" spans="1:10" x14ac:dyDescent="0.25">
      <c r="A1363" s="215" t="s">
        <v>23</v>
      </c>
      <c r="B1363" s="66">
        <f t="shared" ref="B1363:J1363" si="639">B1374/B1357</f>
        <v>30501.428571428572</v>
      </c>
      <c r="C1363" s="66">
        <f t="shared" si="639"/>
        <v>35751.754385964916</v>
      </c>
      <c r="D1363" s="66">
        <f t="shared" si="639"/>
        <v>35471</v>
      </c>
      <c r="E1363" s="66">
        <f t="shared" si="639"/>
        <v>32279.831932773111</v>
      </c>
      <c r="F1363" s="66">
        <f t="shared" si="639"/>
        <v>36478.222222222219</v>
      </c>
      <c r="G1363" s="66">
        <f t="shared" si="639"/>
        <v>40596.88473520249</v>
      </c>
      <c r="H1363" s="66">
        <f t="shared" si="639"/>
        <v>35238.695652173919</v>
      </c>
      <c r="I1363" s="66">
        <f t="shared" si="639"/>
        <v>36423.494486853269</v>
      </c>
      <c r="J1363" s="67">
        <f t="shared" si="639"/>
        <v>36423.494486853269</v>
      </c>
    </row>
    <row r="1364" spans="1:10" x14ac:dyDescent="0.25">
      <c r="A1364" s="215" t="s">
        <v>24</v>
      </c>
      <c r="B1364" s="66">
        <f t="shared" ref="B1364:I1364" si="640">+B1374/B1351</f>
        <v>28468</v>
      </c>
      <c r="C1364" s="66">
        <f t="shared" si="640"/>
        <v>29534.057971014492</v>
      </c>
      <c r="D1364" s="66">
        <f t="shared" si="640"/>
        <v>28838.211382113823</v>
      </c>
      <c r="E1364" s="66">
        <f t="shared" si="640"/>
        <v>28666.417910447766</v>
      </c>
      <c r="F1364" s="66">
        <f t="shared" si="640"/>
        <v>29417.921146953406</v>
      </c>
      <c r="G1364" s="66">
        <f t="shared" si="640"/>
        <v>29350.450450450451</v>
      </c>
      <c r="H1364" s="66">
        <f t="shared" si="640"/>
        <v>28240.069686411152</v>
      </c>
      <c r="I1364" s="66">
        <f t="shared" si="640"/>
        <v>29015.743243243247</v>
      </c>
      <c r="J1364" s="67">
        <f>J1374/J1351</f>
        <v>29015.743243243247</v>
      </c>
    </row>
    <row r="1365" spans="1:10" x14ac:dyDescent="0.25">
      <c r="A1365" s="212" t="s">
        <v>25</v>
      </c>
      <c r="B1365" s="92">
        <f t="shared" ref="B1365:H1365" si="641">B1370*B1358</f>
        <v>1288690.351724138</v>
      </c>
      <c r="C1365" s="92">
        <f t="shared" si="641"/>
        <v>2373735.5327586206</v>
      </c>
      <c r="D1365" s="92">
        <f t="shared" si="641"/>
        <v>1794299.6448275864</v>
      </c>
      <c r="E1365" s="92">
        <f t="shared" si="641"/>
        <v>2388965.3931034487</v>
      </c>
      <c r="F1365" s="92">
        <f t="shared" si="641"/>
        <v>4474986.2793103447</v>
      </c>
      <c r="G1365" s="31">
        <f t="shared" si="641"/>
        <v>8270295.0568965524</v>
      </c>
      <c r="H1365" s="31">
        <f t="shared" si="641"/>
        <v>4230735.2379310355</v>
      </c>
      <c r="I1365" s="31">
        <f>SUM(B1365:H1365)</f>
        <v>24821707.496551726</v>
      </c>
      <c r="J1365" s="32">
        <f t="shared" ref="J1365:J1374" si="642">I1365/7</f>
        <v>3545958.2137931036</v>
      </c>
    </row>
    <row r="1366" spans="1:10" x14ac:dyDescent="0.25">
      <c r="A1366" s="212" t="s">
        <v>26</v>
      </c>
      <c r="B1366" s="92">
        <f t="shared" ref="B1366:H1366" si="643">B1370*B1359</f>
        <v>0</v>
      </c>
      <c r="C1366" s="92">
        <f t="shared" si="643"/>
        <v>167164.47413793104</v>
      </c>
      <c r="D1366" s="92">
        <f t="shared" si="643"/>
        <v>147073.74137931035</v>
      </c>
      <c r="E1366" s="92">
        <f t="shared" si="643"/>
        <v>0</v>
      </c>
      <c r="F1366" s="92">
        <f t="shared" si="643"/>
        <v>135605.64482758622</v>
      </c>
      <c r="G1366" s="31">
        <f t="shared" si="643"/>
        <v>214812.85862068966</v>
      </c>
      <c r="H1366" s="31">
        <f t="shared" si="643"/>
        <v>201463.5827586207</v>
      </c>
      <c r="I1366" s="31">
        <f>SUM(B1366:H1366)</f>
        <v>866120.30172413809</v>
      </c>
      <c r="J1366" s="32">
        <f t="shared" si="642"/>
        <v>123731.47167487687</v>
      </c>
    </row>
    <row r="1367" spans="1:10" x14ac:dyDescent="0.25">
      <c r="A1367" s="212" t="s">
        <v>27</v>
      </c>
      <c r="B1367" s="92">
        <f t="shared" ref="B1367:H1367" si="644">B1370*B1360</f>
        <v>435368.36206896557</v>
      </c>
      <c r="C1367" s="92">
        <f t="shared" si="644"/>
        <v>401194.73793103447</v>
      </c>
      <c r="D1367" s="92">
        <f t="shared" si="644"/>
        <v>735368.70689655177</v>
      </c>
      <c r="E1367" s="92">
        <f t="shared" si="644"/>
        <v>660108.85862068972</v>
      </c>
      <c r="F1367" s="92">
        <f t="shared" si="644"/>
        <v>1559464.9155172415</v>
      </c>
      <c r="G1367" s="31">
        <f t="shared" si="644"/>
        <v>1288877.1517241378</v>
      </c>
      <c r="H1367" s="31">
        <f t="shared" si="644"/>
        <v>2014635.8275862071</v>
      </c>
      <c r="I1367" s="31">
        <f>SUM(B1367:H1367)</f>
        <v>7095018.5603448283</v>
      </c>
      <c r="J1367" s="32">
        <f t="shared" si="642"/>
        <v>1013574.0800492612</v>
      </c>
    </row>
    <row r="1368" spans="1:10" x14ac:dyDescent="0.25">
      <c r="A1368" s="212" t="s">
        <v>28</v>
      </c>
      <c r="B1368" s="92">
        <f t="shared" ref="B1368:H1368" si="645">B1370*B1361</f>
        <v>17414.734482758624</v>
      </c>
      <c r="C1368" s="92">
        <f t="shared" si="645"/>
        <v>334328.94827586209</v>
      </c>
      <c r="D1368" s="92">
        <f t="shared" si="645"/>
        <v>264732.73448275862</v>
      </c>
      <c r="E1368" s="92">
        <f t="shared" si="645"/>
        <v>94301.265517241394</v>
      </c>
      <c r="F1368" s="92">
        <f t="shared" si="645"/>
        <v>542422.57931034488</v>
      </c>
      <c r="G1368" s="31">
        <f t="shared" si="645"/>
        <v>966657.86379310349</v>
      </c>
      <c r="H1368" s="31">
        <f t="shared" si="645"/>
        <v>268618.11034482764</v>
      </c>
      <c r="I1368" s="31">
        <f>SUM(B1368:H1368)</f>
        <v>2488476.2362068971</v>
      </c>
      <c r="J1368" s="32">
        <f t="shared" si="642"/>
        <v>355496.60517241387</v>
      </c>
    </row>
    <row r="1369" spans="1:10" x14ac:dyDescent="0.25">
      <c r="A1369" s="212" t="s">
        <v>29</v>
      </c>
      <c r="B1369" s="92">
        <f t="shared" ref="B1369:H1369" si="646">B1370*B1362</f>
        <v>0</v>
      </c>
      <c r="C1369" s="92">
        <f t="shared" si="646"/>
        <v>66865.789655172412</v>
      </c>
      <c r="D1369" s="92">
        <f t="shared" si="646"/>
        <v>0</v>
      </c>
      <c r="E1369" s="92">
        <f t="shared" si="646"/>
        <v>0</v>
      </c>
      <c r="F1369" s="92">
        <f t="shared" si="646"/>
        <v>67802.82241379311</v>
      </c>
      <c r="G1369" s="31">
        <f t="shared" si="646"/>
        <v>0</v>
      </c>
      <c r="H1369" s="31">
        <f t="shared" si="646"/>
        <v>0</v>
      </c>
      <c r="I1369" s="31">
        <f>SUM(B1369:H1369)</f>
        <v>134668.61206896551</v>
      </c>
      <c r="J1369" s="32">
        <f t="shared" si="642"/>
        <v>19238.373152709359</v>
      </c>
    </row>
    <row r="1370" spans="1:10" x14ac:dyDescent="0.25">
      <c r="A1370" s="216" t="s">
        <v>30</v>
      </c>
      <c r="B1370" s="222">
        <f>(2135100/1.16)-B1371</f>
        <v>1741473.4482758623</v>
      </c>
      <c r="C1370" s="222">
        <f>(4075700/1.16)-C1371</f>
        <v>3343289.4827586208</v>
      </c>
      <c r="D1370" s="222">
        <f>(3547100/1.16)-D1371</f>
        <v>2941474.8275862071</v>
      </c>
      <c r="E1370" s="222">
        <f>(3841300/1.16)-E1371</f>
        <v>3143375.5172413797</v>
      </c>
      <c r="F1370" s="222">
        <f>(8207600/1.16)-F1371</f>
        <v>6780282.2413793104</v>
      </c>
      <c r="G1370" s="222">
        <f>(13031600/1.16)-G1371</f>
        <v>10740642.931034483</v>
      </c>
      <c r="H1370" s="222">
        <f>(8104900/1.16)-H1371</f>
        <v>6715452.7586206906</v>
      </c>
      <c r="I1370" s="197">
        <f>SUM(I1365:I1369)</f>
        <v>35405991.206896558</v>
      </c>
      <c r="J1370" s="217">
        <f t="shared" si="642"/>
        <v>5057998.7438423652</v>
      </c>
    </row>
    <row r="1371" spans="1:10" x14ac:dyDescent="0.25">
      <c r="A1371" s="212" t="s">
        <v>31</v>
      </c>
      <c r="B1371" s="92">
        <f t="shared" ref="B1371:I1371" si="647">2155*B1352</f>
        <v>99130</v>
      </c>
      <c r="C1371" s="92">
        <f t="shared" si="647"/>
        <v>170245</v>
      </c>
      <c r="D1371" s="92">
        <f t="shared" si="647"/>
        <v>116370</v>
      </c>
      <c r="E1371" s="92">
        <f t="shared" si="647"/>
        <v>168090</v>
      </c>
      <c r="F1371" s="92">
        <f t="shared" si="647"/>
        <v>295235</v>
      </c>
      <c r="G1371" s="31">
        <f t="shared" si="647"/>
        <v>493495</v>
      </c>
      <c r="H1371" s="31">
        <f t="shared" si="647"/>
        <v>271530</v>
      </c>
      <c r="I1371" s="31">
        <f t="shared" si="647"/>
        <v>1614095</v>
      </c>
      <c r="J1371" s="32">
        <f t="shared" si="642"/>
        <v>230585</v>
      </c>
    </row>
    <row r="1372" spans="1:10" x14ac:dyDescent="0.25">
      <c r="A1372" s="218" t="s">
        <v>32</v>
      </c>
      <c r="B1372" s="199">
        <f>B1371+B1370</f>
        <v>1840603.4482758623</v>
      </c>
      <c r="C1372" s="199">
        <f>C1371+C1370</f>
        <v>3513534.4827586208</v>
      </c>
      <c r="D1372" s="199">
        <f>D1371+D1370</f>
        <v>3057844.8275862071</v>
      </c>
      <c r="E1372" s="199">
        <f>E1371+E1370</f>
        <v>3311465.5172413797</v>
      </c>
      <c r="F1372" s="199">
        <f>F1370+F1371</f>
        <v>7075517.2413793104</v>
      </c>
      <c r="G1372" s="199">
        <f>G1371+G1370</f>
        <v>11234137.931034483</v>
      </c>
      <c r="H1372" s="199">
        <f>H1371+H1370</f>
        <v>6986982.7586206906</v>
      </c>
      <c r="I1372" s="199">
        <f>I1370+I1371</f>
        <v>37020086.206896558</v>
      </c>
      <c r="J1372" s="219">
        <f t="shared" si="642"/>
        <v>5288583.7438423652</v>
      </c>
    </row>
    <row r="1373" spans="1:10" x14ac:dyDescent="0.25">
      <c r="A1373" s="212" t="s">
        <v>33</v>
      </c>
      <c r="B1373" s="94">
        <f>B1372*16%</f>
        <v>294496.55172413797</v>
      </c>
      <c r="C1373" s="94">
        <f t="shared" ref="C1373:H1373" si="648">C1372*16%</f>
        <v>562165.51724137936</v>
      </c>
      <c r="D1373" s="94">
        <f t="shared" si="648"/>
        <v>489255.17241379316</v>
      </c>
      <c r="E1373" s="94">
        <f t="shared" si="648"/>
        <v>529834.48275862075</v>
      </c>
      <c r="F1373" s="94">
        <f t="shared" si="648"/>
        <v>1132082.7586206896</v>
      </c>
      <c r="G1373" s="94">
        <f t="shared" si="648"/>
        <v>1797462.0689655172</v>
      </c>
      <c r="H1373" s="94">
        <f t="shared" si="648"/>
        <v>1117917.2413793106</v>
      </c>
      <c r="I1373" s="94">
        <f>I1372*16%</f>
        <v>5923213.793103449</v>
      </c>
      <c r="J1373" s="32">
        <f t="shared" si="642"/>
        <v>846173.39901477844</v>
      </c>
    </row>
    <row r="1374" spans="1:10" x14ac:dyDescent="0.25">
      <c r="A1374" s="220" t="s">
        <v>34</v>
      </c>
      <c r="B1374" s="202">
        <f>B1372+B1373</f>
        <v>2135100</v>
      </c>
      <c r="C1374" s="202">
        <f t="shared" ref="C1374:H1374" si="649">C1372+C1373</f>
        <v>4075700</v>
      </c>
      <c r="D1374" s="202">
        <f t="shared" si="649"/>
        <v>3547100</v>
      </c>
      <c r="E1374" s="202">
        <f t="shared" si="649"/>
        <v>3841300.0000000005</v>
      </c>
      <c r="F1374" s="202">
        <f t="shared" si="649"/>
        <v>8207600</v>
      </c>
      <c r="G1374" s="202">
        <f t="shared" si="649"/>
        <v>13031600</v>
      </c>
      <c r="H1374" s="202">
        <f t="shared" si="649"/>
        <v>8104900.0000000009</v>
      </c>
      <c r="I1374" s="202">
        <f>I1372+I1373</f>
        <v>42943300.000000007</v>
      </c>
      <c r="J1374" s="221">
        <f t="shared" si="642"/>
        <v>6134757.1428571437</v>
      </c>
    </row>
    <row r="1376" spans="1:10" ht="26.25" x14ac:dyDescent="0.25">
      <c r="B1376" s="1007" t="s">
        <v>390</v>
      </c>
      <c r="C1376" s="1007"/>
      <c r="D1376" s="1007"/>
      <c r="E1376" s="1007"/>
      <c r="F1376" s="1007"/>
      <c r="G1376" s="1007"/>
      <c r="H1376" s="1007"/>
    </row>
    <row r="1377" spans="1:10" ht="15.75" x14ac:dyDescent="0.25">
      <c r="A1377" s="207" t="s">
        <v>2</v>
      </c>
      <c r="B1377" s="232" t="s">
        <v>147</v>
      </c>
      <c r="C1377" s="232" t="s">
        <v>148</v>
      </c>
      <c r="D1377" s="232" t="s">
        <v>149</v>
      </c>
      <c r="E1377" s="232" t="s">
        <v>150</v>
      </c>
      <c r="F1377" s="232" t="s">
        <v>151</v>
      </c>
      <c r="G1377" s="232" t="s">
        <v>152</v>
      </c>
      <c r="H1377" s="232" t="s">
        <v>153</v>
      </c>
      <c r="I1377" s="121" t="s">
        <v>96</v>
      </c>
      <c r="J1377" s="209" t="s">
        <v>97</v>
      </c>
    </row>
    <row r="1378" spans="1:10" x14ac:dyDescent="0.25">
      <c r="A1378" s="332" t="s">
        <v>11</v>
      </c>
      <c r="B1378" s="55">
        <f>138+105+37</f>
        <v>280</v>
      </c>
      <c r="C1378" s="56">
        <f>60+26+16</f>
        <v>102</v>
      </c>
      <c r="D1378" s="54">
        <f>53+37+15</f>
        <v>105</v>
      </c>
      <c r="E1378" s="316">
        <f>57+28+14</f>
        <v>99</v>
      </c>
      <c r="F1378" s="311">
        <f>180+92+31</f>
        <v>303</v>
      </c>
      <c r="G1378" s="58">
        <f>210+171+39</f>
        <v>420</v>
      </c>
      <c r="H1378" s="57">
        <f>151+97+37</f>
        <v>285</v>
      </c>
      <c r="I1378" s="316">
        <f>SUM(B1378:H1378)</f>
        <v>1594</v>
      </c>
      <c r="J1378" s="382">
        <f>+I1378/7</f>
        <v>227.71428571428572</v>
      </c>
    </row>
    <row r="1379" spans="1:10" x14ac:dyDescent="0.25">
      <c r="A1379" s="212" t="s">
        <v>12</v>
      </c>
      <c r="B1379" s="86">
        <v>151</v>
      </c>
      <c r="C1379" s="320">
        <v>51</v>
      </c>
      <c r="D1379" s="320">
        <v>57</v>
      </c>
      <c r="E1379" s="11">
        <v>46</v>
      </c>
      <c r="F1379" s="125">
        <v>151</v>
      </c>
      <c r="G1379" s="11">
        <v>228</v>
      </c>
      <c r="H1379" s="11">
        <v>136</v>
      </c>
      <c r="I1379" s="11">
        <f>SUM(CEDRITOS!$B1379:$H1379)</f>
        <v>820</v>
      </c>
      <c r="J1379" s="60">
        <f t="shared" ref="J1379:J1384" si="650">I1379/7</f>
        <v>117.14285714285714</v>
      </c>
    </row>
    <row r="1380" spans="1:10" x14ac:dyDescent="0.25">
      <c r="A1380" s="212" t="s">
        <v>13</v>
      </c>
      <c r="B1380" s="11">
        <v>4</v>
      </c>
      <c r="C1380" s="13">
        <v>3</v>
      </c>
      <c r="D1380" s="13">
        <v>0</v>
      </c>
      <c r="E1380" s="11">
        <v>2</v>
      </c>
      <c r="F1380" s="125">
        <v>5</v>
      </c>
      <c r="G1380" s="11">
        <v>8</v>
      </c>
      <c r="H1380" s="11">
        <v>9</v>
      </c>
      <c r="I1380" s="11">
        <f>SUM(CEDRITOS!$B1380:$H1380)</f>
        <v>31</v>
      </c>
      <c r="J1380" s="60">
        <f t="shared" si="650"/>
        <v>4.4285714285714288</v>
      </c>
    </row>
    <row r="1381" spans="1:10" x14ac:dyDescent="0.25">
      <c r="A1381" s="212" t="s">
        <v>14</v>
      </c>
      <c r="B1381" s="11">
        <v>80</v>
      </c>
      <c r="C1381" s="13">
        <v>24</v>
      </c>
      <c r="D1381" s="320">
        <v>28</v>
      </c>
      <c r="E1381" s="11">
        <v>38</v>
      </c>
      <c r="F1381" s="125">
        <v>51</v>
      </c>
      <c r="G1381" s="11">
        <v>76</v>
      </c>
      <c r="H1381" s="11">
        <v>76</v>
      </c>
      <c r="I1381" s="11">
        <f>SUM(CEDRITOS!$B1381:$H1381)</f>
        <v>373</v>
      </c>
      <c r="J1381" s="60">
        <f t="shared" si="650"/>
        <v>53.285714285714285</v>
      </c>
    </row>
    <row r="1382" spans="1:10" x14ac:dyDescent="0.25">
      <c r="A1382" s="212" t="s">
        <v>15</v>
      </c>
      <c r="B1382" s="11">
        <v>5</v>
      </c>
      <c r="C1382" s="13">
        <v>6</v>
      </c>
      <c r="D1382" s="13">
        <v>1</v>
      </c>
      <c r="E1382" s="11">
        <v>4</v>
      </c>
      <c r="F1382" s="125">
        <v>17</v>
      </c>
      <c r="G1382" s="11">
        <v>13</v>
      </c>
      <c r="H1382" s="11">
        <v>4</v>
      </c>
      <c r="I1382" s="11">
        <f>SUM(CEDRITOS!$B1382:$H1382)</f>
        <v>50</v>
      </c>
      <c r="J1382" s="60">
        <f t="shared" si="650"/>
        <v>7.1428571428571432</v>
      </c>
    </row>
    <row r="1383" spans="1:10" x14ac:dyDescent="0.25">
      <c r="A1383" s="212" t="s">
        <v>16</v>
      </c>
      <c r="B1383" s="11">
        <v>1</v>
      </c>
      <c r="C1383" s="13">
        <v>0</v>
      </c>
      <c r="D1383" s="13">
        <v>0</v>
      </c>
      <c r="E1383" s="11">
        <v>1</v>
      </c>
      <c r="F1383" s="125">
        <v>1</v>
      </c>
      <c r="G1383" s="11">
        <v>2</v>
      </c>
      <c r="H1383" s="11">
        <v>0</v>
      </c>
      <c r="I1383" s="11">
        <f>SUM(CEDRITOS!$B1383:$H1383)</f>
        <v>5</v>
      </c>
      <c r="J1383" s="60">
        <f t="shared" si="650"/>
        <v>0.7142857142857143</v>
      </c>
    </row>
    <row r="1384" spans="1:10" x14ac:dyDescent="0.25">
      <c r="A1384" s="213" t="s">
        <v>17</v>
      </c>
      <c r="B1384" s="192">
        <f>SUM(B1379:B1383)</f>
        <v>241</v>
      </c>
      <c r="C1384" s="192">
        <f t="shared" ref="C1384:I1384" si="651">SUM(C1379:C1383)</f>
        <v>84</v>
      </c>
      <c r="D1384" s="192">
        <f t="shared" si="651"/>
        <v>86</v>
      </c>
      <c r="E1384" s="192">
        <f t="shared" si="651"/>
        <v>91</v>
      </c>
      <c r="F1384" s="192">
        <f t="shared" si="651"/>
        <v>225</v>
      </c>
      <c r="G1384" s="192">
        <f t="shared" si="651"/>
        <v>327</v>
      </c>
      <c r="H1384" s="192">
        <f t="shared" si="651"/>
        <v>225</v>
      </c>
      <c r="I1384" s="192">
        <f t="shared" si="651"/>
        <v>1279</v>
      </c>
      <c r="J1384" s="214">
        <f t="shared" si="650"/>
        <v>182.71428571428572</v>
      </c>
    </row>
    <row r="1385" spans="1:10" x14ac:dyDescent="0.25">
      <c r="A1385" s="212" t="s">
        <v>18</v>
      </c>
      <c r="B1385" s="325">
        <v>0.69</v>
      </c>
      <c r="C1385" s="326">
        <v>0.69</v>
      </c>
      <c r="D1385" s="326">
        <v>0.73</v>
      </c>
      <c r="E1385" s="327">
        <v>0.59</v>
      </c>
      <c r="F1385" s="328">
        <v>0.75</v>
      </c>
      <c r="G1385" s="327">
        <v>0.75</v>
      </c>
      <c r="H1385" s="327">
        <v>0.61</v>
      </c>
      <c r="I1385" s="30">
        <f>I1392/I1397</f>
        <v>0.70097196456763955</v>
      </c>
      <c r="J1385" s="160">
        <f>J1392/J1397</f>
        <v>0.70097196456763966</v>
      </c>
    </row>
    <row r="1386" spans="1:10" x14ac:dyDescent="0.25">
      <c r="A1386" s="212" t="s">
        <v>19</v>
      </c>
      <c r="B1386" s="325">
        <v>0.02</v>
      </c>
      <c r="C1386" s="326">
        <v>0.04</v>
      </c>
      <c r="D1386" s="326">
        <v>0</v>
      </c>
      <c r="E1386" s="327">
        <v>0.01</v>
      </c>
      <c r="F1386" s="327">
        <v>0.02</v>
      </c>
      <c r="G1386" s="327">
        <v>0.03</v>
      </c>
      <c r="H1386" s="327">
        <v>0.05</v>
      </c>
      <c r="I1386" s="30">
        <f>I1393/I1397</f>
        <v>2.7232246060933957E-2</v>
      </c>
      <c r="J1386" s="160">
        <f>J1393/J1397</f>
        <v>2.7232246060933957E-2</v>
      </c>
    </row>
    <row r="1387" spans="1:10" x14ac:dyDescent="0.25">
      <c r="A1387" s="212" t="s">
        <v>20</v>
      </c>
      <c r="B1387" s="325">
        <v>0.26</v>
      </c>
      <c r="C1387" s="326">
        <v>0.22</v>
      </c>
      <c r="D1387" s="326">
        <v>0.25</v>
      </c>
      <c r="E1387" s="327">
        <v>0.33</v>
      </c>
      <c r="F1387" s="329">
        <v>0.16</v>
      </c>
      <c r="G1387" s="327">
        <v>0.18</v>
      </c>
      <c r="H1387" s="327">
        <v>0.32</v>
      </c>
      <c r="I1387" s="30">
        <f>I1394/I1397</f>
        <v>0.23049837738771697</v>
      </c>
      <c r="J1387" s="160">
        <f>J1394/J1397</f>
        <v>0.23049837738771697</v>
      </c>
    </row>
    <row r="1388" spans="1:10" x14ac:dyDescent="0.25">
      <c r="A1388" s="212" t="s">
        <v>21</v>
      </c>
      <c r="B1388" s="325">
        <v>0.02</v>
      </c>
      <c r="C1388" s="326">
        <v>0.05</v>
      </c>
      <c r="D1388" s="326">
        <v>0.02</v>
      </c>
      <c r="E1388" s="327">
        <v>0.06</v>
      </c>
      <c r="F1388" s="329">
        <v>7.0000000000000007E-2</v>
      </c>
      <c r="G1388" s="327">
        <v>0.03</v>
      </c>
      <c r="H1388" s="327">
        <v>0.02</v>
      </c>
      <c r="I1388" s="30">
        <f>I1395/I1397</f>
        <v>3.6146431219108183E-2</v>
      </c>
      <c r="J1388" s="160">
        <f>J1395/J1397</f>
        <v>3.6146431219108183E-2</v>
      </c>
    </row>
    <row r="1389" spans="1:10" x14ac:dyDescent="0.25">
      <c r="A1389" s="212" t="s">
        <v>22</v>
      </c>
      <c r="B1389" s="325">
        <v>0.01</v>
      </c>
      <c r="C1389" s="326">
        <v>0</v>
      </c>
      <c r="D1389" s="326">
        <v>0</v>
      </c>
      <c r="E1389" s="327">
        <v>0.01</v>
      </c>
      <c r="F1389" s="329">
        <v>0</v>
      </c>
      <c r="G1389" s="327">
        <v>0.01</v>
      </c>
      <c r="H1389" s="327">
        <v>0</v>
      </c>
      <c r="I1389" s="30">
        <f>I1396/I1397</f>
        <v>5.1509807646012498E-3</v>
      </c>
      <c r="J1389" s="160">
        <f>J1396/J1397</f>
        <v>5.1509807646012498E-3</v>
      </c>
    </row>
    <row r="1390" spans="1:10" x14ac:dyDescent="0.25">
      <c r="A1390" s="215" t="s">
        <v>23</v>
      </c>
      <c r="B1390" s="66">
        <f t="shared" ref="B1390:J1390" si="652">B1401/B1384</f>
        <v>34374.688796680501</v>
      </c>
      <c r="C1390" s="66">
        <f t="shared" si="652"/>
        <v>33040.476190476191</v>
      </c>
      <c r="D1390" s="66">
        <f t="shared" si="652"/>
        <v>37523.255813953496</v>
      </c>
      <c r="E1390" s="66">
        <f t="shared" si="652"/>
        <v>30306.593406593405</v>
      </c>
      <c r="F1390" s="66">
        <f t="shared" si="652"/>
        <v>38704.444444444445</v>
      </c>
      <c r="G1390" s="66">
        <f t="shared" si="652"/>
        <v>40568.195718654431</v>
      </c>
      <c r="H1390" s="66">
        <f t="shared" si="652"/>
        <v>36264.000000000007</v>
      </c>
      <c r="I1390" s="66">
        <f t="shared" si="652"/>
        <v>36886.864738076627</v>
      </c>
      <c r="J1390" s="67">
        <f t="shared" si="652"/>
        <v>36886.864738076627</v>
      </c>
    </row>
    <row r="1391" spans="1:10" x14ac:dyDescent="0.25">
      <c r="A1391" s="215" t="s">
        <v>24</v>
      </c>
      <c r="B1391" s="66">
        <f t="shared" ref="B1391:I1391" si="653">+B1401/B1378</f>
        <v>29586.785714285714</v>
      </c>
      <c r="C1391" s="66">
        <f t="shared" si="653"/>
        <v>27209.803921568626</v>
      </c>
      <c r="D1391" s="66">
        <f t="shared" si="653"/>
        <v>30733.333333333339</v>
      </c>
      <c r="E1391" s="66">
        <f t="shared" si="653"/>
        <v>27857.575757575756</v>
      </c>
      <c r="F1391" s="66">
        <f t="shared" si="653"/>
        <v>28740.924092409241</v>
      </c>
      <c r="G1391" s="66">
        <f t="shared" si="653"/>
        <v>31585.238095238095</v>
      </c>
      <c r="H1391" s="66">
        <f t="shared" si="653"/>
        <v>28629.47368421053</v>
      </c>
      <c r="I1391" s="66">
        <f t="shared" si="653"/>
        <v>29597.427854454207</v>
      </c>
      <c r="J1391" s="67">
        <f>J1401/J1378</f>
        <v>29597.427854454207</v>
      </c>
    </row>
    <row r="1392" spans="1:10" x14ac:dyDescent="0.25">
      <c r="A1392" s="212" t="s">
        <v>25</v>
      </c>
      <c r="B1392" s="92">
        <f t="shared" ref="B1392:H1392" si="654">B1397*B1385</f>
        <v>4703200.7224137932</v>
      </c>
      <c r="C1392" s="92">
        <f t="shared" si="654"/>
        <v>1575050.0327586206</v>
      </c>
      <c r="D1392" s="92">
        <f t="shared" si="654"/>
        <v>1941114.9327586209</v>
      </c>
      <c r="E1392" s="92">
        <f t="shared" si="654"/>
        <v>1344238.2999999998</v>
      </c>
      <c r="F1392" s="92">
        <f t="shared" si="654"/>
        <v>5386441.9396551726</v>
      </c>
      <c r="G1392" s="31">
        <f t="shared" si="654"/>
        <v>8208520.862068966</v>
      </c>
      <c r="H1392" s="31">
        <f t="shared" si="654"/>
        <v>4111940.1655172417</v>
      </c>
      <c r="I1392" s="31">
        <f>SUM(B1392:H1392)</f>
        <v>27270506.955172416</v>
      </c>
      <c r="J1392" s="32">
        <f t="shared" ref="J1392:J1401" si="655">I1392/7</f>
        <v>3895786.7078817738</v>
      </c>
    </row>
    <row r="1393" spans="1:10" x14ac:dyDescent="0.25">
      <c r="A1393" s="212" t="s">
        <v>26</v>
      </c>
      <c r="B1393" s="92">
        <f t="shared" ref="B1393:H1393" si="656">B1397*B1386</f>
        <v>136324.65862068968</v>
      </c>
      <c r="C1393" s="92">
        <f t="shared" si="656"/>
        <v>91307.248275862075</v>
      </c>
      <c r="D1393" s="92">
        <f t="shared" si="656"/>
        <v>0</v>
      </c>
      <c r="E1393" s="92">
        <f t="shared" si="656"/>
        <v>22783.7</v>
      </c>
      <c r="F1393" s="92">
        <f t="shared" si="656"/>
        <v>143638.45172413794</v>
      </c>
      <c r="G1393" s="31">
        <f t="shared" si="656"/>
        <v>328340.8344827586</v>
      </c>
      <c r="H1393" s="31">
        <f t="shared" si="656"/>
        <v>337044.27586206904</v>
      </c>
      <c r="I1393" s="31">
        <f>SUM(B1393:H1393)</f>
        <v>1059439.1689655173</v>
      </c>
      <c r="J1393" s="32">
        <f t="shared" si="655"/>
        <v>151348.45270935961</v>
      </c>
    </row>
    <row r="1394" spans="1:10" x14ac:dyDescent="0.25">
      <c r="A1394" s="212" t="s">
        <v>27</v>
      </c>
      <c r="B1394" s="92">
        <f t="shared" ref="B1394:H1394" si="657">B1397*B1387</f>
        <v>1772220.5620689658</v>
      </c>
      <c r="C1394" s="92">
        <f t="shared" si="657"/>
        <v>502189.86551724141</v>
      </c>
      <c r="D1394" s="92">
        <f t="shared" si="657"/>
        <v>664765.38793103455</v>
      </c>
      <c r="E1394" s="92">
        <f t="shared" si="657"/>
        <v>751862.10000000009</v>
      </c>
      <c r="F1394" s="92">
        <f t="shared" si="657"/>
        <v>1149107.6137931035</v>
      </c>
      <c r="G1394" s="31">
        <f t="shared" si="657"/>
        <v>1970045.0068965517</v>
      </c>
      <c r="H1394" s="31">
        <f t="shared" si="657"/>
        <v>2157083.3655172419</v>
      </c>
      <c r="I1394" s="31">
        <f>SUM(B1394:H1394)</f>
        <v>8967273.9017241392</v>
      </c>
      <c r="J1394" s="32">
        <f t="shared" si="655"/>
        <v>1281039.1288177341</v>
      </c>
    </row>
    <row r="1395" spans="1:10" x14ac:dyDescent="0.25">
      <c r="A1395" s="212" t="s">
        <v>28</v>
      </c>
      <c r="B1395" s="92">
        <f t="shared" ref="B1395:H1395" si="658">B1397*B1388</f>
        <v>136324.65862068968</v>
      </c>
      <c r="C1395" s="92">
        <f t="shared" si="658"/>
        <v>114134.06034482759</v>
      </c>
      <c r="D1395" s="92">
        <f t="shared" si="658"/>
        <v>53181.231034482764</v>
      </c>
      <c r="E1395" s="92">
        <f t="shared" si="658"/>
        <v>136702.19999999998</v>
      </c>
      <c r="F1395" s="92">
        <f t="shared" si="658"/>
        <v>502734.58103448286</v>
      </c>
      <c r="G1395" s="31">
        <f t="shared" si="658"/>
        <v>328340.8344827586</v>
      </c>
      <c r="H1395" s="31">
        <f t="shared" si="658"/>
        <v>134817.71034482762</v>
      </c>
      <c r="I1395" s="31">
        <f>SUM(B1395:H1395)</f>
        <v>1406235.2758620689</v>
      </c>
      <c r="J1395" s="32">
        <f t="shared" si="655"/>
        <v>200890.75369458128</v>
      </c>
    </row>
    <row r="1396" spans="1:10" x14ac:dyDescent="0.25">
      <c r="A1396" s="212" t="s">
        <v>29</v>
      </c>
      <c r="B1396" s="92">
        <f t="shared" ref="B1396:H1396" si="659">B1397*B1389</f>
        <v>68162.329310344838</v>
      </c>
      <c r="C1396" s="92">
        <f t="shared" si="659"/>
        <v>0</v>
      </c>
      <c r="D1396" s="92">
        <f t="shared" si="659"/>
        <v>0</v>
      </c>
      <c r="E1396" s="92">
        <f t="shared" si="659"/>
        <v>22783.7</v>
      </c>
      <c r="F1396" s="92">
        <f t="shared" si="659"/>
        <v>0</v>
      </c>
      <c r="G1396" s="31">
        <f t="shared" si="659"/>
        <v>109446.94482758621</v>
      </c>
      <c r="H1396" s="31">
        <f t="shared" si="659"/>
        <v>0</v>
      </c>
      <c r="I1396" s="31">
        <f>SUM(B1396:H1396)</f>
        <v>200392.97413793104</v>
      </c>
      <c r="J1396" s="32">
        <f t="shared" si="655"/>
        <v>28627.567733990149</v>
      </c>
    </row>
    <row r="1397" spans="1:10" x14ac:dyDescent="0.25">
      <c r="A1397" s="216" t="s">
        <v>30</v>
      </c>
      <c r="B1397" s="222">
        <f>(8284300/1.16)-B1398</f>
        <v>6816232.931034483</v>
      </c>
      <c r="C1397" s="222">
        <f>(2775400/1.16)-C1398</f>
        <v>2282681.2068965519</v>
      </c>
      <c r="D1397" s="222">
        <f>(3227000/1.16)-D1398</f>
        <v>2659061.5517241382</v>
      </c>
      <c r="E1397" s="222">
        <f>(2757900/1.16)-E1398</f>
        <v>2278370</v>
      </c>
      <c r="F1397" s="222">
        <f>(8708500/1.16)-F1398</f>
        <v>7181922.5862068972</v>
      </c>
      <c r="G1397" s="222">
        <f>(13265800/1.16)-G1398</f>
        <v>10944694.482758621</v>
      </c>
      <c r="H1397" s="222">
        <f>(8159400/1.16)-H1398</f>
        <v>6740885.5172413802</v>
      </c>
      <c r="I1397" s="197">
        <f>SUM(I1392:I1396)</f>
        <v>38903848.275862075</v>
      </c>
      <c r="J1397" s="217">
        <f t="shared" si="655"/>
        <v>5557692.6108374391</v>
      </c>
    </row>
    <row r="1398" spans="1:10" x14ac:dyDescent="0.25">
      <c r="A1398" s="212" t="s">
        <v>31</v>
      </c>
      <c r="B1398" s="92">
        <f t="shared" ref="B1398:I1398" si="660">2155*B1379</f>
        <v>325405</v>
      </c>
      <c r="C1398" s="92">
        <f t="shared" si="660"/>
        <v>109905</v>
      </c>
      <c r="D1398" s="92">
        <f t="shared" si="660"/>
        <v>122835</v>
      </c>
      <c r="E1398" s="92">
        <f t="shared" si="660"/>
        <v>99130</v>
      </c>
      <c r="F1398" s="92">
        <f t="shared" si="660"/>
        <v>325405</v>
      </c>
      <c r="G1398" s="31">
        <f t="shared" si="660"/>
        <v>491340</v>
      </c>
      <c r="H1398" s="31">
        <f t="shared" si="660"/>
        <v>293080</v>
      </c>
      <c r="I1398" s="31">
        <f t="shared" si="660"/>
        <v>1767100</v>
      </c>
      <c r="J1398" s="32">
        <f t="shared" si="655"/>
        <v>252442.85714285713</v>
      </c>
    </row>
    <row r="1399" spans="1:10" x14ac:dyDescent="0.25">
      <c r="A1399" s="218" t="s">
        <v>32</v>
      </c>
      <c r="B1399" s="199">
        <f>B1398+B1397</f>
        <v>7141637.931034483</v>
      </c>
      <c r="C1399" s="199">
        <f>C1398+C1397</f>
        <v>2392586.2068965519</v>
      </c>
      <c r="D1399" s="199">
        <f>D1398+D1397</f>
        <v>2781896.5517241382</v>
      </c>
      <c r="E1399" s="199">
        <f>E1398+E1397</f>
        <v>2377500</v>
      </c>
      <c r="F1399" s="199">
        <f>F1397+F1398</f>
        <v>7507327.5862068972</v>
      </c>
      <c r="G1399" s="199">
        <f>G1398+G1397</f>
        <v>11436034.482758621</v>
      </c>
      <c r="H1399" s="199">
        <f>H1398+H1397</f>
        <v>7033965.5172413802</v>
      </c>
      <c r="I1399" s="199">
        <f>I1397+I1398</f>
        <v>40670948.275862075</v>
      </c>
      <c r="J1399" s="219">
        <f t="shared" si="655"/>
        <v>5810135.4679802964</v>
      </c>
    </row>
    <row r="1400" spans="1:10" x14ac:dyDescent="0.25">
      <c r="A1400" s="212" t="s">
        <v>33</v>
      </c>
      <c r="B1400" s="94">
        <f>B1399*16%</f>
        <v>1142662.0689655172</v>
      </c>
      <c r="C1400" s="94">
        <f t="shared" ref="C1400:H1400" si="661">C1399*16%</f>
        <v>382813.79310344829</v>
      </c>
      <c r="D1400" s="94">
        <f t="shared" si="661"/>
        <v>445103.44827586215</v>
      </c>
      <c r="E1400" s="94">
        <f t="shared" si="661"/>
        <v>380400</v>
      </c>
      <c r="F1400" s="94">
        <f t="shared" si="661"/>
        <v>1201172.4137931035</v>
      </c>
      <c r="G1400" s="94">
        <f t="shared" si="661"/>
        <v>1829765.5172413792</v>
      </c>
      <c r="H1400" s="94">
        <f t="shared" si="661"/>
        <v>1125434.4827586208</v>
      </c>
      <c r="I1400" s="94">
        <f>I1399*16%</f>
        <v>6507351.7241379321</v>
      </c>
      <c r="J1400" s="32">
        <f t="shared" si="655"/>
        <v>929621.67487684742</v>
      </c>
    </row>
    <row r="1401" spans="1:10" x14ac:dyDescent="0.25">
      <c r="A1401" s="220" t="s">
        <v>34</v>
      </c>
      <c r="B1401" s="202">
        <f>B1399+B1400</f>
        <v>8284300</v>
      </c>
      <c r="C1401" s="202">
        <f t="shared" ref="C1401:H1401" si="662">C1399+C1400</f>
        <v>2775400</v>
      </c>
      <c r="D1401" s="202">
        <f t="shared" si="662"/>
        <v>3227000.0000000005</v>
      </c>
      <c r="E1401" s="202">
        <f t="shared" si="662"/>
        <v>2757900</v>
      </c>
      <c r="F1401" s="202">
        <f t="shared" si="662"/>
        <v>8708500</v>
      </c>
      <c r="G1401" s="202">
        <f t="shared" si="662"/>
        <v>13265800</v>
      </c>
      <c r="H1401" s="202">
        <f t="shared" si="662"/>
        <v>8159400.0000000009</v>
      </c>
      <c r="I1401" s="202">
        <f>I1399+I1400</f>
        <v>47178300.000000007</v>
      </c>
      <c r="J1401" s="221">
        <f t="shared" si="655"/>
        <v>6739757.1428571437</v>
      </c>
    </row>
    <row r="1403" spans="1:10" ht="26.25" x14ac:dyDescent="0.25">
      <c r="B1403" s="1007" t="s">
        <v>391</v>
      </c>
      <c r="C1403" s="1007"/>
      <c r="D1403" s="1007"/>
      <c r="E1403" s="1007"/>
      <c r="F1403" s="1007"/>
      <c r="G1403" s="1007"/>
      <c r="H1403" s="1007"/>
    </row>
    <row r="1404" spans="1:10" ht="15.75" x14ac:dyDescent="0.25">
      <c r="A1404" s="207" t="s">
        <v>2</v>
      </c>
      <c r="B1404" s="232" t="s">
        <v>155</v>
      </c>
      <c r="C1404" s="232" t="s">
        <v>156</v>
      </c>
      <c r="D1404" s="232" t="s">
        <v>157</v>
      </c>
      <c r="E1404" s="232" t="s">
        <v>158</v>
      </c>
      <c r="F1404" s="232" t="s">
        <v>159</v>
      </c>
      <c r="G1404" s="232" t="s">
        <v>160</v>
      </c>
      <c r="H1404" s="232" t="s">
        <v>161</v>
      </c>
      <c r="I1404" s="121" t="s">
        <v>96</v>
      </c>
      <c r="J1404" s="209" t="s">
        <v>97</v>
      </c>
    </row>
    <row r="1405" spans="1:10" x14ac:dyDescent="0.25">
      <c r="A1405" s="332" t="s">
        <v>11</v>
      </c>
      <c r="B1405" s="55">
        <f>85+30+19</f>
        <v>134</v>
      </c>
      <c r="C1405" s="56">
        <f>56+39+17</f>
        <v>112</v>
      </c>
      <c r="D1405" s="54">
        <f>45+37+8</f>
        <v>90</v>
      </c>
      <c r="E1405" s="316">
        <f>64+35+6</f>
        <v>105</v>
      </c>
      <c r="F1405" s="311">
        <f>135+102+29</f>
        <v>266</v>
      </c>
      <c r="G1405" s="58">
        <f>200+132+47</f>
        <v>379</v>
      </c>
      <c r="H1405" s="57">
        <f>147+116+36</f>
        <v>299</v>
      </c>
      <c r="I1405" s="316">
        <f>SUM(B1405:H1405)</f>
        <v>1385</v>
      </c>
      <c r="J1405" s="382">
        <f>+I1405/7</f>
        <v>197.85714285714286</v>
      </c>
    </row>
    <row r="1406" spans="1:10" x14ac:dyDescent="0.25">
      <c r="A1406" s="212" t="s">
        <v>12</v>
      </c>
      <c r="B1406" s="86">
        <v>76</v>
      </c>
      <c r="C1406" s="320">
        <v>57</v>
      </c>
      <c r="D1406" s="320">
        <v>49</v>
      </c>
      <c r="E1406" s="11">
        <v>57</v>
      </c>
      <c r="F1406" s="125">
        <v>134</v>
      </c>
      <c r="G1406" s="11">
        <v>186</v>
      </c>
      <c r="H1406" s="11">
        <v>150</v>
      </c>
      <c r="I1406" s="11">
        <f>SUM(CEDRITOS!$B1406:$H1406)</f>
        <v>709</v>
      </c>
      <c r="J1406" s="60">
        <f t="shared" ref="J1406:J1411" si="663">I1406/7</f>
        <v>101.28571428571429</v>
      </c>
    </row>
    <row r="1407" spans="1:10" x14ac:dyDescent="0.25">
      <c r="A1407" s="212" t="s">
        <v>13</v>
      </c>
      <c r="B1407" s="11">
        <v>3</v>
      </c>
      <c r="C1407" s="13">
        <v>0</v>
      </c>
      <c r="D1407" s="13">
        <v>1</v>
      </c>
      <c r="E1407" s="11">
        <v>3</v>
      </c>
      <c r="F1407" s="125">
        <v>8</v>
      </c>
      <c r="G1407" s="11">
        <v>11</v>
      </c>
      <c r="H1407" s="11">
        <v>10</v>
      </c>
      <c r="I1407" s="11">
        <f>SUM(CEDRITOS!$B1407:$H1407)</f>
        <v>36</v>
      </c>
      <c r="J1407" s="60">
        <f t="shared" si="663"/>
        <v>5.1428571428571432</v>
      </c>
    </row>
    <row r="1408" spans="1:10" x14ac:dyDescent="0.25">
      <c r="A1408" s="212" t="s">
        <v>14</v>
      </c>
      <c r="B1408" s="11">
        <v>22</v>
      </c>
      <c r="C1408" s="13">
        <v>23</v>
      </c>
      <c r="D1408" s="320">
        <v>22</v>
      </c>
      <c r="E1408" s="11">
        <v>36</v>
      </c>
      <c r="F1408" s="125">
        <v>81</v>
      </c>
      <c r="G1408" s="11">
        <v>102</v>
      </c>
      <c r="H1408" s="11">
        <v>67</v>
      </c>
      <c r="I1408" s="11">
        <f>SUM(CEDRITOS!$B1408:$H1408)</f>
        <v>353</v>
      </c>
      <c r="J1408" s="60">
        <f t="shared" si="663"/>
        <v>50.428571428571431</v>
      </c>
    </row>
    <row r="1409" spans="1:10" x14ac:dyDescent="0.25">
      <c r="A1409" s="212" t="s">
        <v>15</v>
      </c>
      <c r="B1409" s="11">
        <v>1</v>
      </c>
      <c r="C1409" s="13">
        <v>2</v>
      </c>
      <c r="D1409" s="13">
        <v>1</v>
      </c>
      <c r="E1409" s="11">
        <v>0</v>
      </c>
      <c r="F1409" s="125">
        <v>1</v>
      </c>
      <c r="G1409" s="11">
        <v>7</v>
      </c>
      <c r="H1409" s="11">
        <v>9</v>
      </c>
      <c r="I1409" s="11">
        <f>SUM(CEDRITOS!$B1409:$H1409)</f>
        <v>21</v>
      </c>
      <c r="J1409" s="60">
        <f t="shared" si="663"/>
        <v>3</v>
      </c>
    </row>
    <row r="1410" spans="1:10" x14ac:dyDescent="0.25">
      <c r="A1410" s="212" t="s">
        <v>16</v>
      </c>
      <c r="B1410" s="11">
        <v>0</v>
      </c>
      <c r="C1410" s="13">
        <v>0</v>
      </c>
      <c r="D1410" s="13">
        <v>0</v>
      </c>
      <c r="E1410" s="11">
        <v>0</v>
      </c>
      <c r="F1410" s="125">
        <v>1</v>
      </c>
      <c r="G1410" s="11">
        <v>1</v>
      </c>
      <c r="H1410" s="11">
        <v>0</v>
      </c>
      <c r="I1410" s="11">
        <f>SUM(CEDRITOS!$B1410:$H1410)</f>
        <v>2</v>
      </c>
      <c r="J1410" s="60">
        <f t="shared" si="663"/>
        <v>0.2857142857142857</v>
      </c>
    </row>
    <row r="1411" spans="1:10" x14ac:dyDescent="0.25">
      <c r="A1411" s="213" t="s">
        <v>17</v>
      </c>
      <c r="B1411" s="192">
        <f>SUM(B1406:B1410)</f>
        <v>102</v>
      </c>
      <c r="C1411" s="192">
        <f t="shared" ref="C1411:I1411" si="664">SUM(C1406:C1410)</f>
        <v>82</v>
      </c>
      <c r="D1411" s="192">
        <f t="shared" si="664"/>
        <v>73</v>
      </c>
      <c r="E1411" s="192">
        <f t="shared" si="664"/>
        <v>96</v>
      </c>
      <c r="F1411" s="192">
        <f t="shared" si="664"/>
        <v>225</v>
      </c>
      <c r="G1411" s="192">
        <f t="shared" si="664"/>
        <v>307</v>
      </c>
      <c r="H1411" s="192">
        <f t="shared" si="664"/>
        <v>236</v>
      </c>
      <c r="I1411" s="192">
        <f t="shared" si="664"/>
        <v>1121</v>
      </c>
      <c r="J1411" s="214">
        <f t="shared" si="663"/>
        <v>160.14285714285714</v>
      </c>
    </row>
    <row r="1412" spans="1:10" x14ac:dyDescent="0.25">
      <c r="A1412" s="212" t="s">
        <v>18</v>
      </c>
      <c r="B1412" s="325">
        <v>0.79</v>
      </c>
      <c r="C1412" s="326">
        <v>0.77</v>
      </c>
      <c r="D1412" s="326">
        <v>0.72</v>
      </c>
      <c r="E1412" s="327">
        <v>0.72</v>
      </c>
      <c r="F1412" s="328">
        <v>0.64</v>
      </c>
      <c r="G1412" s="327">
        <v>0.64</v>
      </c>
      <c r="H1412" s="327">
        <v>0.68</v>
      </c>
      <c r="I1412" s="30">
        <f>I1419/I1424</f>
        <v>0.68337266460591561</v>
      </c>
      <c r="J1412" s="160">
        <f>J1419/J1424</f>
        <v>0.68337266460591561</v>
      </c>
    </row>
    <row r="1413" spans="1:10" x14ac:dyDescent="0.25">
      <c r="A1413" s="212" t="s">
        <v>19</v>
      </c>
      <c r="B1413" s="325">
        <v>0.02</v>
      </c>
      <c r="C1413" s="326">
        <v>0</v>
      </c>
      <c r="D1413" s="326">
        <v>0.01</v>
      </c>
      <c r="E1413" s="327">
        <v>0.02</v>
      </c>
      <c r="F1413" s="327">
        <v>0.04</v>
      </c>
      <c r="G1413" s="327">
        <v>0.04</v>
      </c>
      <c r="H1413" s="327">
        <v>0.05</v>
      </c>
      <c r="I1413" s="30">
        <f>I1420/I1424</f>
        <v>3.3864615776203602E-2</v>
      </c>
      <c r="J1413" s="160">
        <f>J1420/J1424</f>
        <v>3.3864615776203602E-2</v>
      </c>
    </row>
    <row r="1414" spans="1:10" x14ac:dyDescent="0.25">
      <c r="A1414" s="212" t="s">
        <v>20</v>
      </c>
      <c r="B1414" s="325">
        <v>0.18</v>
      </c>
      <c r="C1414" s="326">
        <v>0.21</v>
      </c>
      <c r="D1414" s="326">
        <v>0.26</v>
      </c>
      <c r="E1414" s="327">
        <v>0.26</v>
      </c>
      <c r="F1414" s="329">
        <v>0.31</v>
      </c>
      <c r="G1414" s="327">
        <v>0.28999999999999998</v>
      </c>
      <c r="H1414" s="327">
        <v>0.24</v>
      </c>
      <c r="I1414" s="30">
        <f>I1421/I1424</f>
        <v>0.26295946014957783</v>
      </c>
      <c r="J1414" s="160">
        <f>J1421/J1424</f>
        <v>0.26295946014957783</v>
      </c>
    </row>
    <row r="1415" spans="1:10" x14ac:dyDescent="0.25">
      <c r="A1415" s="212" t="s">
        <v>21</v>
      </c>
      <c r="B1415" s="325">
        <v>0.01</v>
      </c>
      <c r="C1415" s="326">
        <v>0.02</v>
      </c>
      <c r="D1415" s="326">
        <v>0.01</v>
      </c>
      <c r="E1415" s="327">
        <v>0</v>
      </c>
      <c r="F1415" s="329">
        <v>0</v>
      </c>
      <c r="G1415" s="327">
        <v>0.03</v>
      </c>
      <c r="H1415" s="327">
        <v>0.03</v>
      </c>
      <c r="I1415" s="30">
        <f>I1422/I1424</f>
        <v>1.7812795828817743E-2</v>
      </c>
      <c r="J1415" s="160">
        <f>J1422/J1424</f>
        <v>1.7812795828817743E-2</v>
      </c>
    </row>
    <row r="1416" spans="1:10" x14ac:dyDescent="0.25">
      <c r="A1416" s="212" t="s">
        <v>22</v>
      </c>
      <c r="B1416" s="325">
        <v>0</v>
      </c>
      <c r="C1416" s="326">
        <v>0</v>
      </c>
      <c r="D1416" s="326">
        <v>0</v>
      </c>
      <c r="E1416" s="327">
        <v>0</v>
      </c>
      <c r="F1416" s="329">
        <v>0.01</v>
      </c>
      <c r="G1416" s="327">
        <v>0</v>
      </c>
      <c r="H1416" s="327">
        <v>0</v>
      </c>
      <c r="I1416" s="30">
        <f>I1423/I1424</f>
        <v>1.9904636394851185E-3</v>
      </c>
      <c r="J1416" s="160">
        <f>J1423/J1424</f>
        <v>1.9904636394851185E-3</v>
      </c>
    </row>
    <row r="1417" spans="1:10" x14ac:dyDescent="0.25">
      <c r="A1417" s="215" t="s">
        <v>23</v>
      </c>
      <c r="B1417" s="66">
        <f t="shared" ref="B1417:J1417" si="665">B1428/B1411</f>
        <v>36515.686274509804</v>
      </c>
      <c r="C1417" s="66">
        <f t="shared" si="665"/>
        <v>35089.024390243911</v>
      </c>
      <c r="D1417" s="66">
        <f t="shared" si="665"/>
        <v>35104.109589041102</v>
      </c>
      <c r="E1417" s="66">
        <f t="shared" si="665"/>
        <v>31885.416666666668</v>
      </c>
      <c r="F1417" s="66">
        <f t="shared" si="665"/>
        <v>34848.888888888891</v>
      </c>
      <c r="G1417" s="66">
        <f t="shared" si="665"/>
        <v>35868.078175895767</v>
      </c>
      <c r="H1417" s="66">
        <f t="shared" si="665"/>
        <v>35611.4406779661</v>
      </c>
      <c r="I1417" s="66">
        <f t="shared" si="665"/>
        <v>35220.606601248895</v>
      </c>
      <c r="J1417" s="67">
        <f t="shared" si="665"/>
        <v>35220.606601248903</v>
      </c>
    </row>
    <row r="1418" spans="1:10" x14ac:dyDescent="0.25">
      <c r="A1418" s="215" t="s">
        <v>24</v>
      </c>
      <c r="B1418" s="66">
        <f t="shared" ref="B1418:I1418" si="666">+B1428/B1405</f>
        <v>27795.5223880597</v>
      </c>
      <c r="C1418" s="66">
        <f t="shared" si="666"/>
        <v>25690.178571428576</v>
      </c>
      <c r="D1418" s="66">
        <f t="shared" si="666"/>
        <v>28473.333333333339</v>
      </c>
      <c r="E1418" s="66">
        <f t="shared" si="666"/>
        <v>29152.380952380954</v>
      </c>
      <c r="F1418" s="66">
        <f t="shared" si="666"/>
        <v>29477.443609022561</v>
      </c>
      <c r="G1418" s="66">
        <f t="shared" si="666"/>
        <v>29054.089709762535</v>
      </c>
      <c r="H1418" s="66">
        <f t="shared" si="666"/>
        <v>28108.026755852843</v>
      </c>
      <c r="I1418" s="66">
        <f t="shared" si="666"/>
        <v>28507.075812274379</v>
      </c>
      <c r="J1418" s="67">
        <f>J1428/J1405</f>
        <v>28507.075812274379</v>
      </c>
    </row>
    <row r="1419" spans="1:10" x14ac:dyDescent="0.25">
      <c r="A1419" s="212" t="s">
        <v>25</v>
      </c>
      <c r="B1419" s="92">
        <f t="shared" ref="B1419:H1419" si="667">B1424*B1412</f>
        <v>2407194.8344827588</v>
      </c>
      <c r="C1419" s="92">
        <f t="shared" si="667"/>
        <v>1815348.9465517243</v>
      </c>
      <c r="D1419" s="92">
        <f t="shared" si="667"/>
        <v>1514550.9103448277</v>
      </c>
      <c r="E1419" s="92">
        <f t="shared" si="667"/>
        <v>1811489.8344827585</v>
      </c>
      <c r="F1419" s="92">
        <f t="shared" si="667"/>
        <v>4141256.1655172422</v>
      </c>
      <c r="G1419" s="31">
        <f t="shared" si="667"/>
        <v>5818779.1448275866</v>
      </c>
      <c r="H1419" s="31">
        <f t="shared" si="667"/>
        <v>4706848.6206896557</v>
      </c>
      <c r="I1419" s="31">
        <f>SUM(B1419:H1419)</f>
        <v>22215468.456896555</v>
      </c>
      <c r="J1419" s="32">
        <f t="shared" ref="J1419:J1428" si="668">I1419/7</f>
        <v>3173638.350985222</v>
      </c>
    </row>
    <row r="1420" spans="1:10" x14ac:dyDescent="0.25">
      <c r="A1420" s="212" t="s">
        <v>26</v>
      </c>
      <c r="B1420" s="92">
        <f t="shared" ref="B1420:H1420" si="669">B1424*B1413</f>
        <v>60941.641379310349</v>
      </c>
      <c r="C1420" s="92">
        <f t="shared" si="669"/>
        <v>0</v>
      </c>
      <c r="D1420" s="92">
        <f t="shared" si="669"/>
        <v>21035.429310344829</v>
      </c>
      <c r="E1420" s="92">
        <f t="shared" si="669"/>
        <v>50319.162068965517</v>
      </c>
      <c r="F1420" s="92">
        <f t="shared" si="669"/>
        <v>258828.51034482763</v>
      </c>
      <c r="G1420" s="31">
        <f t="shared" si="669"/>
        <v>363673.69655172416</v>
      </c>
      <c r="H1420" s="31">
        <f t="shared" si="669"/>
        <v>346091.81034482759</v>
      </c>
      <c r="I1420" s="31">
        <f>SUM(B1420:H1420)</f>
        <v>1100890.25</v>
      </c>
      <c r="J1420" s="32">
        <f t="shared" si="668"/>
        <v>157270.03571428571</v>
      </c>
    </row>
    <row r="1421" spans="1:10" x14ac:dyDescent="0.25">
      <c r="A1421" s="212" t="s">
        <v>27</v>
      </c>
      <c r="B1421" s="92">
        <f t="shared" ref="B1421:H1421" si="670">B1424*B1414</f>
        <v>548474.77241379314</v>
      </c>
      <c r="C1421" s="92">
        <f t="shared" si="670"/>
        <v>495095.16724137939</v>
      </c>
      <c r="D1421" s="92">
        <f t="shared" si="670"/>
        <v>546921.16206896561</v>
      </c>
      <c r="E1421" s="92">
        <f t="shared" si="670"/>
        <v>654149.10689655179</v>
      </c>
      <c r="F1421" s="92">
        <f t="shared" si="670"/>
        <v>2005920.955172414</v>
      </c>
      <c r="G1421" s="31">
        <f t="shared" si="670"/>
        <v>2636634.2999999998</v>
      </c>
      <c r="H1421" s="31">
        <f t="shared" si="670"/>
        <v>1661240.6896551724</v>
      </c>
      <c r="I1421" s="31">
        <f>SUM(B1421:H1421)</f>
        <v>8548436.1534482762</v>
      </c>
      <c r="J1421" s="32">
        <f t="shared" si="668"/>
        <v>1221205.1647783252</v>
      </c>
    </row>
    <row r="1422" spans="1:10" x14ac:dyDescent="0.25">
      <c r="A1422" s="212" t="s">
        <v>28</v>
      </c>
      <c r="B1422" s="92">
        <f t="shared" ref="B1422:H1422" si="671">B1424*B1415</f>
        <v>30470.820689655175</v>
      </c>
      <c r="C1422" s="92">
        <f t="shared" si="671"/>
        <v>47151.920689655177</v>
      </c>
      <c r="D1422" s="92">
        <f t="shared" si="671"/>
        <v>21035.429310344829</v>
      </c>
      <c r="E1422" s="92">
        <f t="shared" si="671"/>
        <v>0</v>
      </c>
      <c r="F1422" s="92">
        <f t="shared" si="671"/>
        <v>0</v>
      </c>
      <c r="G1422" s="31">
        <f t="shared" si="671"/>
        <v>272755.27241379308</v>
      </c>
      <c r="H1422" s="31">
        <f t="shared" si="671"/>
        <v>207655.08620689655</v>
      </c>
      <c r="I1422" s="31">
        <f>SUM(B1422:H1422)</f>
        <v>579068.52931034483</v>
      </c>
      <c r="J1422" s="32">
        <f t="shared" si="668"/>
        <v>82724.075615763548</v>
      </c>
    </row>
    <row r="1423" spans="1:10" x14ac:dyDescent="0.25">
      <c r="A1423" s="212" t="s">
        <v>29</v>
      </c>
      <c r="B1423" s="92">
        <f t="shared" ref="B1423:H1423" si="672">B1424*B1416</f>
        <v>0</v>
      </c>
      <c r="C1423" s="92">
        <f t="shared" si="672"/>
        <v>0</v>
      </c>
      <c r="D1423" s="92">
        <f t="shared" si="672"/>
        <v>0</v>
      </c>
      <c r="E1423" s="92">
        <f t="shared" si="672"/>
        <v>0</v>
      </c>
      <c r="F1423" s="92">
        <f t="shared" si="672"/>
        <v>64707.127586206909</v>
      </c>
      <c r="G1423" s="31">
        <f t="shared" si="672"/>
        <v>0</v>
      </c>
      <c r="H1423" s="31">
        <f t="shared" si="672"/>
        <v>0</v>
      </c>
      <c r="I1423" s="31">
        <f>SUM(B1423:H1423)</f>
        <v>64707.127586206909</v>
      </c>
      <c r="J1423" s="32">
        <f t="shared" si="668"/>
        <v>9243.8753694581301</v>
      </c>
    </row>
    <row r="1424" spans="1:10" x14ac:dyDescent="0.25">
      <c r="A1424" s="216" t="s">
        <v>30</v>
      </c>
      <c r="B1424" s="222">
        <f>(3724600/1.16)-B1425</f>
        <v>3047082.0689655175</v>
      </c>
      <c r="C1424" s="222">
        <f>(2877300/1.16)-C1425</f>
        <v>2357596.034482759</v>
      </c>
      <c r="D1424" s="222">
        <f>(2562600/1.16)-D1425</f>
        <v>2103542.931034483</v>
      </c>
      <c r="E1424" s="222">
        <f>(3061000/1.16)-E1425</f>
        <v>2515958.1034482759</v>
      </c>
      <c r="F1424" s="222">
        <f>(7841000/1.16)-F1425</f>
        <v>6470712.7586206906</v>
      </c>
      <c r="G1424" s="222">
        <f>(11011500/1.16)-G1425</f>
        <v>9091842.4137931038</v>
      </c>
      <c r="H1424" s="222">
        <f>(8404300/1.16)-H1425</f>
        <v>6921836.2068965519</v>
      </c>
      <c r="I1424" s="197">
        <f>SUM(I1419:I1423)</f>
        <v>32508570.517241385</v>
      </c>
      <c r="J1424" s="217">
        <f t="shared" si="668"/>
        <v>4644081.5024630548</v>
      </c>
    </row>
    <row r="1425" spans="1:12" x14ac:dyDescent="0.25">
      <c r="A1425" s="212" t="s">
        <v>31</v>
      </c>
      <c r="B1425" s="92">
        <f t="shared" ref="B1425:I1425" si="673">2155*B1406</f>
        <v>163780</v>
      </c>
      <c r="C1425" s="92">
        <f t="shared" si="673"/>
        <v>122835</v>
      </c>
      <c r="D1425" s="92">
        <f t="shared" si="673"/>
        <v>105595</v>
      </c>
      <c r="E1425" s="92">
        <f t="shared" si="673"/>
        <v>122835</v>
      </c>
      <c r="F1425" s="92">
        <f t="shared" si="673"/>
        <v>288770</v>
      </c>
      <c r="G1425" s="31">
        <f t="shared" si="673"/>
        <v>400830</v>
      </c>
      <c r="H1425" s="31">
        <f t="shared" si="673"/>
        <v>323250</v>
      </c>
      <c r="I1425" s="31">
        <f t="shared" si="673"/>
        <v>1527895</v>
      </c>
      <c r="J1425" s="32">
        <f t="shared" si="668"/>
        <v>218270.71428571429</v>
      </c>
    </row>
    <row r="1426" spans="1:12" x14ac:dyDescent="0.25">
      <c r="A1426" s="218" t="s">
        <v>32</v>
      </c>
      <c r="B1426" s="199">
        <f>B1425+B1424</f>
        <v>3210862.0689655175</v>
      </c>
      <c r="C1426" s="199">
        <f>C1425+C1424</f>
        <v>2480431.034482759</v>
      </c>
      <c r="D1426" s="199">
        <f>D1425+D1424</f>
        <v>2209137.931034483</v>
      </c>
      <c r="E1426" s="199">
        <f>E1425+E1424</f>
        <v>2638793.1034482759</v>
      </c>
      <c r="F1426" s="199">
        <f>F1424+F1425</f>
        <v>6759482.7586206906</v>
      </c>
      <c r="G1426" s="199">
        <f>G1425+G1424</f>
        <v>9492672.4137931038</v>
      </c>
      <c r="H1426" s="199">
        <f>H1425+H1424</f>
        <v>7245086.2068965519</v>
      </c>
      <c r="I1426" s="199">
        <f>I1424+I1425</f>
        <v>34036465.517241389</v>
      </c>
      <c r="J1426" s="219">
        <f t="shared" si="668"/>
        <v>4862352.2167487694</v>
      </c>
    </row>
    <row r="1427" spans="1:12" x14ac:dyDescent="0.25">
      <c r="A1427" s="212" t="s">
        <v>33</v>
      </c>
      <c r="B1427" s="94">
        <f>B1426*16%</f>
        <v>513737.93103448278</v>
      </c>
      <c r="C1427" s="94">
        <f t="shared" ref="C1427:H1427" si="674">C1426*16%</f>
        <v>396868.96551724145</v>
      </c>
      <c r="D1427" s="94">
        <f t="shared" si="674"/>
        <v>353462.06896551728</v>
      </c>
      <c r="E1427" s="94">
        <f t="shared" si="674"/>
        <v>422206.89655172417</v>
      </c>
      <c r="F1427" s="94">
        <f t="shared" si="674"/>
        <v>1081517.2413793106</v>
      </c>
      <c r="G1427" s="94">
        <f t="shared" si="674"/>
        <v>1518827.5862068967</v>
      </c>
      <c r="H1427" s="94">
        <f t="shared" si="674"/>
        <v>1159213.7931034483</v>
      </c>
      <c r="I1427" s="94">
        <f>I1426*16%</f>
        <v>5445834.4827586226</v>
      </c>
      <c r="J1427" s="32">
        <f t="shared" si="668"/>
        <v>777976.35467980325</v>
      </c>
    </row>
    <row r="1428" spans="1:12" x14ac:dyDescent="0.25">
      <c r="A1428" s="220" t="s">
        <v>34</v>
      </c>
      <c r="B1428" s="202">
        <f>B1426+B1427</f>
        <v>3724600</v>
      </c>
      <c r="C1428" s="202">
        <f t="shared" ref="C1428:H1428" si="675">C1426+C1427</f>
        <v>2877300.0000000005</v>
      </c>
      <c r="D1428" s="202">
        <f t="shared" si="675"/>
        <v>2562600.0000000005</v>
      </c>
      <c r="E1428" s="202">
        <f t="shared" si="675"/>
        <v>3061000</v>
      </c>
      <c r="F1428" s="202">
        <f t="shared" si="675"/>
        <v>7841000.0000000009</v>
      </c>
      <c r="G1428" s="202">
        <f t="shared" si="675"/>
        <v>11011500</v>
      </c>
      <c r="H1428" s="202">
        <f t="shared" si="675"/>
        <v>8404300</v>
      </c>
      <c r="I1428" s="202">
        <f>I1426+I1427</f>
        <v>39482300.000000015</v>
      </c>
      <c r="J1428" s="221">
        <f t="shared" si="668"/>
        <v>5640328.5714285737</v>
      </c>
    </row>
    <row r="1430" spans="1:12" ht="26.25" x14ac:dyDescent="0.25">
      <c r="B1430" s="1007" t="s">
        <v>392</v>
      </c>
      <c r="C1430" s="1007"/>
      <c r="D1430" s="1007"/>
      <c r="E1430" s="1007"/>
      <c r="F1430" s="1007"/>
      <c r="G1430" s="1007"/>
      <c r="H1430" s="1007"/>
    </row>
    <row r="1431" spans="1:12" ht="15.75" x14ac:dyDescent="0.25">
      <c r="A1431" s="207" t="s">
        <v>2</v>
      </c>
      <c r="B1431" s="232" t="s">
        <v>163</v>
      </c>
      <c r="C1431" s="232" t="s">
        <v>164</v>
      </c>
      <c r="D1431" s="232" t="s">
        <v>323</v>
      </c>
      <c r="E1431" s="232" t="s">
        <v>324</v>
      </c>
      <c r="F1431" s="232" t="s">
        <v>325</v>
      </c>
      <c r="G1431" s="232" t="s">
        <v>326</v>
      </c>
      <c r="H1431" s="232" t="s">
        <v>327</v>
      </c>
      <c r="I1431" s="121" t="s">
        <v>96</v>
      </c>
      <c r="J1431" s="209" t="s">
        <v>97</v>
      </c>
    </row>
    <row r="1432" spans="1:12" x14ac:dyDescent="0.25">
      <c r="A1432" s="332" t="s">
        <v>11</v>
      </c>
      <c r="B1432" s="55">
        <v>56</v>
      </c>
      <c r="C1432" s="56">
        <v>118</v>
      </c>
      <c r="D1432" s="54">
        <v>133</v>
      </c>
      <c r="E1432" s="316">
        <f>68+36+10</f>
        <v>114</v>
      </c>
      <c r="F1432" s="311">
        <f>152+117+34</f>
        <v>303</v>
      </c>
      <c r="G1432" s="58">
        <f>229+146+41</f>
        <v>416</v>
      </c>
      <c r="H1432" s="57">
        <f>185+119+47</f>
        <v>351</v>
      </c>
      <c r="I1432" s="316">
        <f>SUM(B1432:H1432)</f>
        <v>1491</v>
      </c>
      <c r="J1432" s="382">
        <f>+I1432/7</f>
        <v>213</v>
      </c>
    </row>
    <row r="1433" spans="1:12" x14ac:dyDescent="0.25">
      <c r="A1433" s="212" t="s">
        <v>12</v>
      </c>
      <c r="B1433" s="86">
        <v>33</v>
      </c>
      <c r="C1433" s="320">
        <v>61</v>
      </c>
      <c r="D1433" s="320">
        <v>73</v>
      </c>
      <c r="E1433" s="11">
        <v>65</v>
      </c>
      <c r="F1433" s="125">
        <v>160</v>
      </c>
      <c r="G1433" s="11">
        <v>201</v>
      </c>
      <c r="H1433" s="11">
        <v>170</v>
      </c>
      <c r="I1433" s="11">
        <f>SUM(CEDRITOS!$B1433:$H1433)</f>
        <v>763</v>
      </c>
      <c r="J1433" s="60">
        <f t="shared" ref="J1433:J1438" si="676">I1433/7</f>
        <v>109</v>
      </c>
      <c r="L1433" s="223"/>
    </row>
    <row r="1434" spans="1:12" x14ac:dyDescent="0.25">
      <c r="A1434" s="212" t="s">
        <v>13</v>
      </c>
      <c r="B1434" s="11">
        <v>1</v>
      </c>
      <c r="C1434" s="13">
        <v>3</v>
      </c>
      <c r="D1434" s="13">
        <v>1</v>
      </c>
      <c r="E1434" s="11">
        <v>1</v>
      </c>
      <c r="F1434" s="125">
        <v>9</v>
      </c>
      <c r="G1434" s="11">
        <v>7</v>
      </c>
      <c r="H1434" s="11">
        <v>14</v>
      </c>
      <c r="I1434" s="11">
        <f>SUM(CEDRITOS!$B1434:$H1434)</f>
        <v>36</v>
      </c>
      <c r="J1434" s="60">
        <f t="shared" si="676"/>
        <v>5.1428571428571432</v>
      </c>
      <c r="L1434" s="223"/>
    </row>
    <row r="1435" spans="1:12" x14ac:dyDescent="0.25">
      <c r="A1435" s="212" t="s">
        <v>14</v>
      </c>
      <c r="B1435" s="11">
        <v>17</v>
      </c>
      <c r="C1435" s="13">
        <v>30</v>
      </c>
      <c r="D1435" s="320">
        <v>36</v>
      </c>
      <c r="E1435" s="11">
        <v>42</v>
      </c>
      <c r="F1435" s="125">
        <v>67</v>
      </c>
      <c r="G1435" s="11">
        <v>99</v>
      </c>
      <c r="H1435" s="11">
        <v>85</v>
      </c>
      <c r="I1435" s="11">
        <f>SUM(CEDRITOS!$B1435:$H1435)</f>
        <v>376</v>
      </c>
      <c r="J1435" s="60">
        <f t="shared" si="676"/>
        <v>53.714285714285715</v>
      </c>
      <c r="L1435" s="223"/>
    </row>
    <row r="1436" spans="1:12" x14ac:dyDescent="0.25">
      <c r="A1436" s="212" t="s">
        <v>15</v>
      </c>
      <c r="B1436" s="11">
        <v>0</v>
      </c>
      <c r="C1436" s="13">
        <v>1</v>
      </c>
      <c r="D1436" s="13">
        <v>2</v>
      </c>
      <c r="E1436" s="11">
        <v>0</v>
      </c>
      <c r="F1436" s="125">
        <v>3</v>
      </c>
      <c r="G1436" s="11">
        <v>3</v>
      </c>
      <c r="H1436" s="11">
        <v>3</v>
      </c>
      <c r="I1436" s="11">
        <f>SUM(CEDRITOS!$B1436:$H1436)</f>
        <v>12</v>
      </c>
      <c r="J1436" s="60">
        <f t="shared" si="676"/>
        <v>1.7142857142857142</v>
      </c>
      <c r="L1436" s="223"/>
    </row>
    <row r="1437" spans="1:12" x14ac:dyDescent="0.25">
      <c r="A1437" s="212" t="s">
        <v>16</v>
      </c>
      <c r="B1437" s="11">
        <v>0</v>
      </c>
      <c r="C1437" s="13">
        <v>0</v>
      </c>
      <c r="D1437" s="13">
        <v>1</v>
      </c>
      <c r="E1437" s="11">
        <v>0</v>
      </c>
      <c r="F1437" s="125">
        <v>2</v>
      </c>
      <c r="G1437" s="11">
        <v>2</v>
      </c>
      <c r="H1437" s="11">
        <v>0</v>
      </c>
      <c r="I1437" s="11">
        <f>SUM(CEDRITOS!$B1437:$H1437)</f>
        <v>5</v>
      </c>
      <c r="J1437" s="60">
        <f t="shared" si="676"/>
        <v>0.7142857142857143</v>
      </c>
      <c r="L1437" s="223"/>
    </row>
    <row r="1438" spans="1:12" x14ac:dyDescent="0.25">
      <c r="A1438" s="213" t="s">
        <v>17</v>
      </c>
      <c r="B1438" s="192">
        <f>SUM(B1433:B1437)</f>
        <v>51</v>
      </c>
      <c r="C1438" s="192">
        <f t="shared" ref="C1438:I1438" si="677">SUM(C1433:C1437)</f>
        <v>95</v>
      </c>
      <c r="D1438" s="192">
        <f t="shared" si="677"/>
        <v>113</v>
      </c>
      <c r="E1438" s="192">
        <f t="shared" si="677"/>
        <v>108</v>
      </c>
      <c r="F1438" s="192">
        <f t="shared" si="677"/>
        <v>241</v>
      </c>
      <c r="G1438" s="192">
        <f t="shared" si="677"/>
        <v>312</v>
      </c>
      <c r="H1438" s="192">
        <f t="shared" si="677"/>
        <v>272</v>
      </c>
      <c r="I1438" s="192">
        <f t="shared" si="677"/>
        <v>1192</v>
      </c>
      <c r="J1438" s="214">
        <f t="shared" si="676"/>
        <v>170.28571428571428</v>
      </c>
    </row>
    <row r="1439" spans="1:12" x14ac:dyDescent="0.25">
      <c r="A1439" s="212" t="s">
        <v>18</v>
      </c>
      <c r="B1439" s="325">
        <v>0.69</v>
      </c>
      <c r="C1439" s="326">
        <v>0.7</v>
      </c>
      <c r="D1439" s="326">
        <v>0.7</v>
      </c>
      <c r="E1439" s="327">
        <v>0.68</v>
      </c>
      <c r="F1439" s="328">
        <v>0.74</v>
      </c>
      <c r="G1439" s="327">
        <v>0.67</v>
      </c>
      <c r="H1439" s="327">
        <v>0.66</v>
      </c>
      <c r="I1439" s="30">
        <f>I1446/I1451</f>
        <v>0.68880906018457688</v>
      </c>
      <c r="J1439" s="160">
        <f>J1446/J1451</f>
        <v>0.68880906018457688</v>
      </c>
    </row>
    <row r="1440" spans="1:12" x14ac:dyDescent="0.25">
      <c r="A1440" s="212" t="s">
        <v>19</v>
      </c>
      <c r="B1440" s="325">
        <v>0.01</v>
      </c>
      <c r="C1440" s="326">
        <v>0.02</v>
      </c>
      <c r="D1440" s="326">
        <v>0</v>
      </c>
      <c r="E1440" s="327">
        <v>0.01</v>
      </c>
      <c r="F1440" s="327">
        <v>0.02</v>
      </c>
      <c r="G1440" s="327">
        <v>0.04</v>
      </c>
      <c r="H1440" s="327">
        <v>0.06</v>
      </c>
      <c r="I1440" s="30">
        <f>I1447/I1451</f>
        <v>3.2208758931723785E-2</v>
      </c>
      <c r="J1440" s="160">
        <f>J1447/J1451</f>
        <v>3.2208758931723779E-2</v>
      </c>
    </row>
    <row r="1441" spans="1:10" x14ac:dyDescent="0.25">
      <c r="A1441" s="212" t="s">
        <v>20</v>
      </c>
      <c r="B1441" s="325">
        <v>0.3</v>
      </c>
      <c r="C1441" s="326">
        <v>0.28000000000000003</v>
      </c>
      <c r="D1441" s="326">
        <v>0.27</v>
      </c>
      <c r="E1441" s="327">
        <v>0.31</v>
      </c>
      <c r="F1441" s="329">
        <v>0.22</v>
      </c>
      <c r="G1441" s="327">
        <v>0.27</v>
      </c>
      <c r="H1441" s="327">
        <v>0.27</v>
      </c>
      <c r="I1441" s="30">
        <f>I1448/I1451</f>
        <v>0.26419307192157604</v>
      </c>
      <c r="J1441" s="160">
        <f>J1448/J1451</f>
        <v>0.26419307192157604</v>
      </c>
    </row>
    <row r="1442" spans="1:10" x14ac:dyDescent="0.25">
      <c r="A1442" s="212" t="s">
        <v>21</v>
      </c>
      <c r="B1442" s="325">
        <v>0</v>
      </c>
      <c r="C1442" s="326">
        <v>0</v>
      </c>
      <c r="D1442" s="326">
        <v>0.02</v>
      </c>
      <c r="E1442" s="327">
        <v>0</v>
      </c>
      <c r="F1442" s="329">
        <v>0.01</v>
      </c>
      <c r="G1442" s="327">
        <v>0.01</v>
      </c>
      <c r="H1442" s="327">
        <v>0.01</v>
      </c>
      <c r="I1442" s="30">
        <f>I1449/I1451</f>
        <v>8.9492711257878506E-3</v>
      </c>
      <c r="J1442" s="160">
        <f>J1449/J1451</f>
        <v>8.9492711257878506E-3</v>
      </c>
    </row>
    <row r="1443" spans="1:10" x14ac:dyDescent="0.25">
      <c r="A1443" s="212" t="s">
        <v>22</v>
      </c>
      <c r="B1443" s="325">
        <v>0</v>
      </c>
      <c r="C1443" s="326">
        <v>0</v>
      </c>
      <c r="D1443" s="326">
        <v>0.01</v>
      </c>
      <c r="E1443" s="327">
        <v>0</v>
      </c>
      <c r="F1443" s="329">
        <v>0.01</v>
      </c>
      <c r="G1443" s="327">
        <v>0.01</v>
      </c>
      <c r="H1443" s="327">
        <v>0</v>
      </c>
      <c r="I1443" s="30">
        <f>I1450/I1451</f>
        <v>5.8398378363353912E-3</v>
      </c>
      <c r="J1443" s="160">
        <f>J1450/J1451</f>
        <v>5.8398378363353912E-3</v>
      </c>
    </row>
    <row r="1444" spans="1:10" x14ac:dyDescent="0.25">
      <c r="A1444" s="215" t="s">
        <v>23</v>
      </c>
      <c r="B1444" s="66">
        <f t="shared" ref="B1444:J1444" si="678">B1455/B1438</f>
        <v>31131.372549019612</v>
      </c>
      <c r="C1444" s="66">
        <f t="shared" si="678"/>
        <v>32375.789473684217</v>
      </c>
      <c r="D1444" s="66">
        <f t="shared" si="678"/>
        <v>31083.185840707967</v>
      </c>
      <c r="E1444" s="66">
        <f t="shared" si="678"/>
        <v>31452.777777777777</v>
      </c>
      <c r="F1444" s="66">
        <f t="shared" si="678"/>
        <v>38441.908713692945</v>
      </c>
      <c r="G1444" s="66">
        <f t="shared" si="678"/>
        <v>39711.217948717946</v>
      </c>
      <c r="H1444" s="66">
        <f t="shared" si="678"/>
        <v>36461.397058823532</v>
      </c>
      <c r="I1444" s="66">
        <f t="shared" si="678"/>
        <v>36195.134228187926</v>
      </c>
      <c r="J1444" s="67">
        <f t="shared" si="678"/>
        <v>36195.134228187926</v>
      </c>
    </row>
    <row r="1445" spans="1:10" x14ac:dyDescent="0.25">
      <c r="A1445" s="215" t="s">
        <v>24</v>
      </c>
      <c r="B1445" s="66">
        <f t="shared" ref="B1445:I1445" si="679">+B1455/B1432</f>
        <v>28351.785714285717</v>
      </c>
      <c r="C1445" s="66">
        <f t="shared" si="679"/>
        <v>26065.25423728814</v>
      </c>
      <c r="D1445" s="66">
        <f t="shared" si="679"/>
        <v>26409.022556390981</v>
      </c>
      <c r="E1445" s="66">
        <f t="shared" si="679"/>
        <v>29797.36842105263</v>
      </c>
      <c r="F1445" s="66">
        <f t="shared" si="679"/>
        <v>30575.907590759078</v>
      </c>
      <c r="G1445" s="66">
        <f t="shared" si="679"/>
        <v>29783.413461538461</v>
      </c>
      <c r="H1445" s="66">
        <f t="shared" si="679"/>
        <v>28254.985754985755</v>
      </c>
      <c r="I1445" s="66">
        <f t="shared" si="679"/>
        <v>28936.686787391016</v>
      </c>
      <c r="J1445" s="67">
        <f>J1455/J1432</f>
        <v>28936.686787391016</v>
      </c>
    </row>
    <row r="1446" spans="1:10" x14ac:dyDescent="0.25">
      <c r="A1446" s="212" t="s">
        <v>25</v>
      </c>
      <c r="B1446" s="92">
        <f t="shared" ref="B1446:H1446" si="680">B1451*B1439</f>
        <v>895338.40862068965</v>
      </c>
      <c r="C1446" s="92">
        <f t="shared" si="680"/>
        <v>1764007.3620689658</v>
      </c>
      <c r="D1446" s="92">
        <f t="shared" si="680"/>
        <v>2009431.2241379311</v>
      </c>
      <c r="E1446" s="92">
        <f t="shared" si="680"/>
        <v>1896035.2068965521</v>
      </c>
      <c r="F1446" s="92">
        <f t="shared" si="680"/>
        <v>5654960.068965517</v>
      </c>
      <c r="G1446" s="31">
        <f t="shared" si="680"/>
        <v>6866021.4948275872</v>
      </c>
      <c r="H1446" s="31">
        <f t="shared" si="680"/>
        <v>5400924.5172413792</v>
      </c>
      <c r="I1446" s="31">
        <f>SUM(B1446:H1446)</f>
        <v>24486718.282758623</v>
      </c>
      <c r="J1446" s="32">
        <f t="shared" ref="J1446:J1455" si="681">I1446/7</f>
        <v>3498102.6118226605</v>
      </c>
    </row>
    <row r="1447" spans="1:10" x14ac:dyDescent="0.25">
      <c r="A1447" s="212" t="s">
        <v>26</v>
      </c>
      <c r="B1447" s="92">
        <f t="shared" ref="B1447:H1447" si="682">B1451*B1440</f>
        <v>12975.918965517243</v>
      </c>
      <c r="C1447" s="92">
        <f t="shared" si="682"/>
        <v>50400.210344827596</v>
      </c>
      <c r="D1447" s="92">
        <f t="shared" si="682"/>
        <v>0</v>
      </c>
      <c r="E1447" s="92">
        <f t="shared" si="682"/>
        <v>27882.870689655174</v>
      </c>
      <c r="F1447" s="92">
        <f t="shared" si="682"/>
        <v>152836.75862068965</v>
      </c>
      <c r="G1447" s="31">
        <f t="shared" si="682"/>
        <v>409911.73103448283</v>
      </c>
      <c r="H1447" s="31">
        <f t="shared" si="682"/>
        <v>490993.13793103449</v>
      </c>
      <c r="I1447" s="31">
        <f>SUM(B1447:H1447)</f>
        <v>1145000.6275862069</v>
      </c>
      <c r="J1447" s="32">
        <f t="shared" si="681"/>
        <v>163571.51822660098</v>
      </c>
    </row>
    <row r="1448" spans="1:10" x14ac:dyDescent="0.25">
      <c r="A1448" s="212" t="s">
        <v>27</v>
      </c>
      <c r="B1448" s="92">
        <f t="shared" ref="B1448:H1448" si="683">B1451*B1441</f>
        <v>389277.56896551728</v>
      </c>
      <c r="C1448" s="92">
        <f t="shared" si="683"/>
        <v>705602.94482758641</v>
      </c>
      <c r="D1448" s="92">
        <f t="shared" si="683"/>
        <v>775066.329310345</v>
      </c>
      <c r="E1448" s="92">
        <f t="shared" si="683"/>
        <v>864368.99137931038</v>
      </c>
      <c r="F1448" s="92">
        <f t="shared" si="683"/>
        <v>1681204.3448275863</v>
      </c>
      <c r="G1448" s="31">
        <f t="shared" si="683"/>
        <v>2766904.1844827589</v>
      </c>
      <c r="H1448" s="31">
        <f t="shared" si="683"/>
        <v>2209469.1206896552</v>
      </c>
      <c r="I1448" s="31">
        <f>SUM(B1448:H1448)</f>
        <v>9391893.4844827596</v>
      </c>
      <c r="J1448" s="32">
        <f t="shared" si="681"/>
        <v>1341699.0692118227</v>
      </c>
    </row>
    <row r="1449" spans="1:10" x14ac:dyDescent="0.25">
      <c r="A1449" s="212" t="s">
        <v>28</v>
      </c>
      <c r="B1449" s="92">
        <f t="shared" ref="B1449:H1449" si="684">B1451*B1442</f>
        <v>0</v>
      </c>
      <c r="C1449" s="92">
        <f t="shared" si="684"/>
        <v>0</v>
      </c>
      <c r="D1449" s="92">
        <f t="shared" si="684"/>
        <v>57412.320689655178</v>
      </c>
      <c r="E1449" s="92">
        <f t="shared" si="684"/>
        <v>0</v>
      </c>
      <c r="F1449" s="92">
        <f t="shared" si="684"/>
        <v>76418.379310344826</v>
      </c>
      <c r="G1449" s="31">
        <f t="shared" si="684"/>
        <v>102477.93275862071</v>
      </c>
      <c r="H1449" s="31">
        <f t="shared" si="684"/>
        <v>81832.18965517242</v>
      </c>
      <c r="I1449" s="31">
        <f>SUM(B1449:H1449)</f>
        <v>318140.82241379312</v>
      </c>
      <c r="J1449" s="32">
        <f t="shared" si="681"/>
        <v>45448.688916256164</v>
      </c>
    </row>
    <row r="1450" spans="1:10" x14ac:dyDescent="0.25">
      <c r="A1450" s="212" t="s">
        <v>29</v>
      </c>
      <c r="B1450" s="92">
        <f t="shared" ref="B1450:H1450" si="685">B1451*B1443</f>
        <v>0</v>
      </c>
      <c r="C1450" s="92">
        <f t="shared" si="685"/>
        <v>0</v>
      </c>
      <c r="D1450" s="92">
        <f t="shared" si="685"/>
        <v>28706.160344827589</v>
      </c>
      <c r="E1450" s="92">
        <f t="shared" si="685"/>
        <v>0</v>
      </c>
      <c r="F1450" s="92">
        <f t="shared" si="685"/>
        <v>76418.379310344826</v>
      </c>
      <c r="G1450" s="31">
        <f t="shared" si="685"/>
        <v>102477.93275862071</v>
      </c>
      <c r="H1450" s="31">
        <f t="shared" si="685"/>
        <v>0</v>
      </c>
      <c r="I1450" s="31">
        <f>SUM(B1450:H1450)</f>
        <v>207602.47241379312</v>
      </c>
      <c r="J1450" s="32">
        <f t="shared" si="681"/>
        <v>29657.496059113302</v>
      </c>
    </row>
    <row r="1451" spans="1:10" x14ac:dyDescent="0.25">
      <c r="A1451" s="216" t="s">
        <v>30</v>
      </c>
      <c r="B1451" s="222">
        <f>(1587700/1.16)-B1452</f>
        <v>1297591.8965517243</v>
      </c>
      <c r="C1451" s="222">
        <f>(3075700/1.16)-C1452</f>
        <v>2520010.5172413797</v>
      </c>
      <c r="D1451" s="222">
        <f>(3512400/1.16)-D1452</f>
        <v>2870616.034482759</v>
      </c>
      <c r="E1451" s="222">
        <f>(3396900/1.16)-E1452</f>
        <v>2788287.0689655175</v>
      </c>
      <c r="F1451" s="222">
        <f>(9264500/1.16)-F1452</f>
        <v>7641837.931034483</v>
      </c>
      <c r="G1451" s="222">
        <f>(12389900/1.16)-G1452</f>
        <v>10247793.27586207</v>
      </c>
      <c r="H1451" s="222">
        <f>(9917500/1.16)-H1452</f>
        <v>8183218.9655172415</v>
      </c>
      <c r="I1451" s="197">
        <f>SUM(I1446:I1450)</f>
        <v>35549355.689655177</v>
      </c>
      <c r="J1451" s="217">
        <f t="shared" si="681"/>
        <v>5078479.384236454</v>
      </c>
    </row>
    <row r="1452" spans="1:10" x14ac:dyDescent="0.25">
      <c r="A1452" s="212" t="s">
        <v>31</v>
      </c>
      <c r="B1452" s="92">
        <f t="shared" ref="B1452:I1452" si="686">2155*B1433</f>
        <v>71115</v>
      </c>
      <c r="C1452" s="92">
        <f t="shared" si="686"/>
        <v>131455</v>
      </c>
      <c r="D1452" s="92">
        <f t="shared" si="686"/>
        <v>157315</v>
      </c>
      <c r="E1452" s="92">
        <f t="shared" si="686"/>
        <v>140075</v>
      </c>
      <c r="F1452" s="92">
        <f t="shared" si="686"/>
        <v>344800</v>
      </c>
      <c r="G1452" s="31">
        <f t="shared" si="686"/>
        <v>433155</v>
      </c>
      <c r="H1452" s="31">
        <f t="shared" si="686"/>
        <v>366350</v>
      </c>
      <c r="I1452" s="31">
        <f t="shared" si="686"/>
        <v>1644265</v>
      </c>
      <c r="J1452" s="32">
        <f t="shared" si="681"/>
        <v>234895</v>
      </c>
    </row>
    <row r="1453" spans="1:10" x14ac:dyDescent="0.25">
      <c r="A1453" s="218" t="s">
        <v>32</v>
      </c>
      <c r="B1453" s="199">
        <f>B1452+B1451</f>
        <v>1368706.8965517243</v>
      </c>
      <c r="C1453" s="199">
        <f>C1452+C1451</f>
        <v>2651465.5172413797</v>
      </c>
      <c r="D1453" s="199">
        <f>D1452+D1451</f>
        <v>3027931.034482759</v>
      </c>
      <c r="E1453" s="199">
        <f>E1452+E1451</f>
        <v>2928362.0689655175</v>
      </c>
      <c r="F1453" s="199">
        <f>F1451+F1452</f>
        <v>7986637.931034483</v>
      </c>
      <c r="G1453" s="199">
        <f>G1452+G1451</f>
        <v>10680948.27586207</v>
      </c>
      <c r="H1453" s="199">
        <f>H1452+H1451</f>
        <v>8549568.9655172415</v>
      </c>
      <c r="I1453" s="199">
        <f>I1451+I1452</f>
        <v>37193620.689655177</v>
      </c>
      <c r="J1453" s="219">
        <f t="shared" si="681"/>
        <v>5313374.384236454</v>
      </c>
    </row>
    <row r="1454" spans="1:10" x14ac:dyDescent="0.25">
      <c r="A1454" s="212" t="s">
        <v>33</v>
      </c>
      <c r="B1454" s="94">
        <f>B1453*16%</f>
        <v>218993.10344827588</v>
      </c>
      <c r="C1454" s="94">
        <f t="shared" ref="C1454:H1454" si="687">C1453*16%</f>
        <v>424234.48275862075</v>
      </c>
      <c r="D1454" s="94">
        <f t="shared" si="687"/>
        <v>484468.96551724145</v>
      </c>
      <c r="E1454" s="94">
        <f t="shared" si="687"/>
        <v>468537.93103448278</v>
      </c>
      <c r="F1454" s="94">
        <f t="shared" si="687"/>
        <v>1277862.0689655172</v>
      </c>
      <c r="G1454" s="94">
        <f t="shared" si="687"/>
        <v>1708951.7241379311</v>
      </c>
      <c r="H1454" s="94">
        <f t="shared" si="687"/>
        <v>1367931.0344827587</v>
      </c>
      <c r="I1454" s="94">
        <f>I1453*16%</f>
        <v>5950979.3103448283</v>
      </c>
      <c r="J1454" s="32">
        <f t="shared" si="681"/>
        <v>850139.90147783258</v>
      </c>
    </row>
    <row r="1455" spans="1:10" x14ac:dyDescent="0.25">
      <c r="A1455" s="220" t="s">
        <v>34</v>
      </c>
      <c r="B1455" s="202">
        <f>B1453+B1454</f>
        <v>1587700.0000000002</v>
      </c>
      <c r="C1455" s="202">
        <f t="shared" ref="C1455:H1455" si="688">C1453+C1454</f>
        <v>3075700.0000000005</v>
      </c>
      <c r="D1455" s="202">
        <f t="shared" si="688"/>
        <v>3512400.0000000005</v>
      </c>
      <c r="E1455" s="202">
        <f t="shared" si="688"/>
        <v>3396900</v>
      </c>
      <c r="F1455" s="202">
        <f t="shared" si="688"/>
        <v>9264500</v>
      </c>
      <c r="G1455" s="202">
        <f t="shared" si="688"/>
        <v>12389900</v>
      </c>
      <c r="H1455" s="202">
        <f t="shared" si="688"/>
        <v>9917500</v>
      </c>
      <c r="I1455" s="202">
        <f>I1453+I1454</f>
        <v>43144600.000000007</v>
      </c>
      <c r="J1455" s="221">
        <f t="shared" si="681"/>
        <v>6163514.2857142864</v>
      </c>
    </row>
    <row r="1457" spans="1:10" ht="26.25" x14ac:dyDescent="0.25">
      <c r="B1457" s="1007" t="s">
        <v>393</v>
      </c>
      <c r="C1457" s="1007"/>
      <c r="D1457" s="1007"/>
      <c r="E1457" s="1007"/>
      <c r="F1457" s="1007"/>
      <c r="G1457" s="1007"/>
      <c r="H1457" s="1007"/>
    </row>
    <row r="1458" spans="1:10" ht="15.75" x14ac:dyDescent="0.25">
      <c r="A1458" s="207" t="s">
        <v>2</v>
      </c>
      <c r="B1458" s="232" t="s">
        <v>329</v>
      </c>
      <c r="C1458" s="232" t="s">
        <v>330</v>
      </c>
      <c r="D1458" s="232" t="s">
        <v>331</v>
      </c>
      <c r="E1458" s="232" t="s">
        <v>332</v>
      </c>
      <c r="F1458" s="232" t="s">
        <v>333</v>
      </c>
      <c r="G1458" s="232" t="s">
        <v>334</v>
      </c>
      <c r="H1458" s="232" t="s">
        <v>335</v>
      </c>
      <c r="I1458" s="121" t="s">
        <v>96</v>
      </c>
      <c r="J1458" s="209" t="s">
        <v>97</v>
      </c>
    </row>
    <row r="1459" spans="1:10" x14ac:dyDescent="0.25">
      <c r="A1459" s="332" t="s">
        <v>11</v>
      </c>
      <c r="B1459" s="55">
        <f>50+30+15</f>
        <v>95</v>
      </c>
      <c r="C1459" s="56">
        <f>54+32+11</f>
        <v>97</v>
      </c>
      <c r="D1459" s="54">
        <f>49+40+9</f>
        <v>98</v>
      </c>
      <c r="E1459" s="316">
        <f>73+37+18</f>
        <v>128</v>
      </c>
      <c r="F1459" s="311">
        <f>162+91+28</f>
        <v>281</v>
      </c>
      <c r="G1459" s="58">
        <f>221+156+41</f>
        <v>418</v>
      </c>
      <c r="H1459" s="57">
        <f>141+111+48</f>
        <v>300</v>
      </c>
      <c r="I1459" s="316">
        <f>SUM(B1459:H1459)</f>
        <v>1417</v>
      </c>
      <c r="J1459" s="382">
        <f>+I1459/7</f>
        <v>202.42857142857142</v>
      </c>
    </row>
    <row r="1460" spans="1:10" x14ac:dyDescent="0.25">
      <c r="A1460" s="212" t="s">
        <v>12</v>
      </c>
      <c r="B1460" s="86">
        <v>45</v>
      </c>
      <c r="C1460" s="320">
        <v>40</v>
      </c>
      <c r="D1460" s="320">
        <v>47</v>
      </c>
      <c r="E1460" s="11">
        <v>72</v>
      </c>
      <c r="F1460" s="388">
        <v>146</v>
      </c>
      <c r="G1460" s="11">
        <v>204</v>
      </c>
      <c r="H1460" s="11">
        <v>146</v>
      </c>
      <c r="I1460" s="11">
        <f>SUM(CEDRITOS!$B1460:$H1460)</f>
        <v>700</v>
      </c>
      <c r="J1460" s="60">
        <f t="shared" ref="J1460:J1465" si="689">I1460/7</f>
        <v>100</v>
      </c>
    </row>
    <row r="1461" spans="1:10" x14ac:dyDescent="0.25">
      <c r="A1461" s="212" t="s">
        <v>13</v>
      </c>
      <c r="B1461" s="11">
        <v>3</v>
      </c>
      <c r="C1461" s="13">
        <v>2</v>
      </c>
      <c r="D1461" s="13">
        <v>1</v>
      </c>
      <c r="E1461" s="11">
        <v>0</v>
      </c>
      <c r="F1461" s="125">
        <v>11</v>
      </c>
      <c r="G1461" s="11">
        <v>11</v>
      </c>
      <c r="H1461" s="11">
        <v>8</v>
      </c>
      <c r="I1461" s="11">
        <f>SUM(CEDRITOS!$B1461:$H1461)</f>
        <v>36</v>
      </c>
      <c r="J1461" s="60">
        <f t="shared" si="689"/>
        <v>5.1428571428571432</v>
      </c>
    </row>
    <row r="1462" spans="1:10" x14ac:dyDescent="0.25">
      <c r="A1462" s="212" t="s">
        <v>14</v>
      </c>
      <c r="B1462" s="11">
        <v>29</v>
      </c>
      <c r="C1462" s="13">
        <v>40</v>
      </c>
      <c r="D1462" s="320">
        <v>40</v>
      </c>
      <c r="E1462" s="11">
        <v>31</v>
      </c>
      <c r="F1462" s="125">
        <v>66</v>
      </c>
      <c r="G1462" s="11">
        <v>116</v>
      </c>
      <c r="H1462" s="11">
        <v>84</v>
      </c>
      <c r="I1462" s="11">
        <f>SUM(CEDRITOS!$B1462:$H1462)</f>
        <v>406</v>
      </c>
      <c r="J1462" s="60">
        <f t="shared" si="689"/>
        <v>58</v>
      </c>
    </row>
    <row r="1463" spans="1:10" x14ac:dyDescent="0.25">
      <c r="A1463" s="212" t="s">
        <v>15</v>
      </c>
      <c r="B1463" s="11">
        <v>0</v>
      </c>
      <c r="C1463" s="13">
        <v>0</v>
      </c>
      <c r="D1463" s="13">
        <v>3</v>
      </c>
      <c r="E1463" s="11">
        <v>1</v>
      </c>
      <c r="F1463" s="125">
        <v>1</v>
      </c>
      <c r="G1463" s="11">
        <v>0</v>
      </c>
      <c r="H1463" s="11">
        <v>5</v>
      </c>
      <c r="I1463" s="11">
        <f>SUM(CEDRITOS!$B1463:$H1463)</f>
        <v>10</v>
      </c>
      <c r="J1463" s="60">
        <f t="shared" si="689"/>
        <v>1.4285714285714286</v>
      </c>
    </row>
    <row r="1464" spans="1:10" x14ac:dyDescent="0.25">
      <c r="A1464" s="212" t="s">
        <v>16</v>
      </c>
      <c r="B1464" s="11">
        <v>0</v>
      </c>
      <c r="C1464" s="13">
        <v>0</v>
      </c>
      <c r="D1464" s="13">
        <v>0</v>
      </c>
      <c r="E1464" s="11">
        <v>0</v>
      </c>
      <c r="F1464" s="125">
        <v>2</v>
      </c>
      <c r="G1464" s="11">
        <v>0</v>
      </c>
      <c r="H1464" s="11">
        <v>1</v>
      </c>
      <c r="I1464" s="11">
        <f>SUM(CEDRITOS!$B1464:$H1464)</f>
        <v>3</v>
      </c>
      <c r="J1464" s="60">
        <f t="shared" si="689"/>
        <v>0.42857142857142855</v>
      </c>
    </row>
    <row r="1465" spans="1:10" x14ac:dyDescent="0.25">
      <c r="A1465" s="213" t="s">
        <v>17</v>
      </c>
      <c r="B1465" s="192">
        <f>SUM(B1460:B1464)</f>
        <v>77</v>
      </c>
      <c r="C1465" s="192">
        <f t="shared" ref="C1465:I1465" si="690">SUM(C1460:C1464)</f>
        <v>82</v>
      </c>
      <c r="D1465" s="192">
        <f t="shared" si="690"/>
        <v>91</v>
      </c>
      <c r="E1465" s="192">
        <f t="shared" si="690"/>
        <v>104</v>
      </c>
      <c r="F1465" s="192">
        <f t="shared" si="690"/>
        <v>226</v>
      </c>
      <c r="G1465" s="192">
        <f t="shared" si="690"/>
        <v>331</v>
      </c>
      <c r="H1465" s="192">
        <f t="shared" si="690"/>
        <v>244</v>
      </c>
      <c r="I1465" s="192">
        <f t="shared" si="690"/>
        <v>1155</v>
      </c>
      <c r="J1465" s="214">
        <f t="shared" si="689"/>
        <v>165</v>
      </c>
    </row>
    <row r="1466" spans="1:10" x14ac:dyDescent="0.25">
      <c r="A1466" s="212" t="s">
        <v>18</v>
      </c>
      <c r="B1466" s="325">
        <v>0.64</v>
      </c>
      <c r="C1466" s="326">
        <v>0.56999999999999995</v>
      </c>
      <c r="D1466" s="326">
        <v>0.56999999999999995</v>
      </c>
      <c r="E1466" s="327">
        <v>0.7</v>
      </c>
      <c r="F1466" s="328">
        <v>0.68</v>
      </c>
      <c r="G1466" s="327">
        <v>0.66</v>
      </c>
      <c r="H1466" s="327">
        <v>0.64</v>
      </c>
      <c r="I1466" s="30">
        <f>I1473/I1478</f>
        <v>0.64941413842836615</v>
      </c>
      <c r="J1466" s="160">
        <f>J1473/J1478</f>
        <v>0.64941413842836604</v>
      </c>
    </row>
    <row r="1467" spans="1:10" x14ac:dyDescent="0.25">
      <c r="A1467" s="212" t="s">
        <v>19</v>
      </c>
      <c r="B1467" s="325">
        <v>0.04</v>
      </c>
      <c r="C1467" s="326">
        <v>0.02</v>
      </c>
      <c r="D1467" s="326">
        <v>0.01</v>
      </c>
      <c r="E1467" s="327">
        <v>0</v>
      </c>
      <c r="F1467" s="327">
        <v>7.0000000000000007E-2</v>
      </c>
      <c r="G1467" s="327">
        <v>0.04</v>
      </c>
      <c r="H1467" s="327">
        <v>0.05</v>
      </c>
      <c r="I1467" s="30">
        <f>I1474/I1478</f>
        <v>4.0951650074835311E-2</v>
      </c>
      <c r="J1467" s="160">
        <f>J1474/J1478</f>
        <v>4.0951650074835304E-2</v>
      </c>
    </row>
    <row r="1468" spans="1:10" x14ac:dyDescent="0.25">
      <c r="A1468" s="212" t="s">
        <v>20</v>
      </c>
      <c r="B1468" s="325">
        <v>0.32</v>
      </c>
      <c r="C1468" s="326">
        <v>0.41</v>
      </c>
      <c r="D1468" s="326">
        <v>0.39</v>
      </c>
      <c r="E1468" s="327">
        <v>0.28999999999999998</v>
      </c>
      <c r="F1468" s="329">
        <v>0.23</v>
      </c>
      <c r="G1468" s="327">
        <v>0.3</v>
      </c>
      <c r="H1468" s="327">
        <v>0.28000000000000003</v>
      </c>
      <c r="I1468" s="30">
        <f>I1475/I1478</f>
        <v>0.29644522368925219</v>
      </c>
      <c r="J1468" s="160">
        <f>J1475/J1478</f>
        <v>0.29644522368925219</v>
      </c>
    </row>
    <row r="1469" spans="1:10" x14ac:dyDescent="0.25">
      <c r="A1469" s="212" t="s">
        <v>21</v>
      </c>
      <c r="B1469" s="325">
        <v>0</v>
      </c>
      <c r="C1469" s="326">
        <v>0</v>
      </c>
      <c r="D1469" s="326">
        <v>0.03</v>
      </c>
      <c r="E1469" s="327">
        <v>0.01</v>
      </c>
      <c r="F1469" s="329">
        <v>0.01</v>
      </c>
      <c r="G1469" s="327">
        <v>0</v>
      </c>
      <c r="H1469" s="327">
        <v>0.02</v>
      </c>
      <c r="I1469" s="30">
        <f>I1476/I1478</f>
        <v>9.1449643081303912E-3</v>
      </c>
      <c r="J1469" s="160">
        <f>J1476/J1478</f>
        <v>9.1449643081303895E-3</v>
      </c>
    </row>
    <row r="1470" spans="1:10" x14ac:dyDescent="0.25">
      <c r="A1470" s="212" t="s">
        <v>22</v>
      </c>
      <c r="B1470" s="325">
        <v>0</v>
      </c>
      <c r="C1470" s="326">
        <v>0</v>
      </c>
      <c r="D1470" s="326">
        <v>0</v>
      </c>
      <c r="E1470" s="327">
        <v>0</v>
      </c>
      <c r="F1470" s="329">
        <v>0.01</v>
      </c>
      <c r="G1470" s="327">
        <v>0</v>
      </c>
      <c r="H1470" s="327">
        <v>0.01</v>
      </c>
      <c r="I1470" s="30">
        <f>I1477/I1478</f>
        <v>4.0440234994160067E-3</v>
      </c>
      <c r="J1470" s="160">
        <f>J1477/J1478</f>
        <v>4.0440234994160067E-3</v>
      </c>
    </row>
    <row r="1471" spans="1:10" x14ac:dyDescent="0.25">
      <c r="A1471" s="215" t="s">
        <v>23</v>
      </c>
      <c r="B1471" s="66">
        <f t="shared" ref="B1471:J1471" si="691">B1482/B1465</f>
        <v>33680.519480519484</v>
      </c>
      <c r="C1471" s="66">
        <f t="shared" si="691"/>
        <v>34076.829268292691</v>
      </c>
      <c r="D1471" s="66">
        <f t="shared" si="691"/>
        <v>32250.54945054945</v>
      </c>
      <c r="E1471" s="66">
        <f t="shared" si="691"/>
        <v>34776.923076923078</v>
      </c>
      <c r="F1471" s="66">
        <f t="shared" si="691"/>
        <v>36009.734513274336</v>
      </c>
      <c r="G1471" s="66">
        <f t="shared" si="691"/>
        <v>37077.039274924471</v>
      </c>
      <c r="H1471" s="66">
        <f t="shared" si="691"/>
        <v>34175</v>
      </c>
      <c r="I1471" s="66">
        <f t="shared" si="691"/>
        <v>35228.311688311689</v>
      </c>
      <c r="J1471" s="67">
        <f t="shared" si="691"/>
        <v>35228.311688311689</v>
      </c>
    </row>
    <row r="1472" spans="1:10" x14ac:dyDescent="0.25">
      <c r="A1472" s="215" t="s">
        <v>24</v>
      </c>
      <c r="B1472" s="66">
        <f t="shared" ref="B1472:I1472" si="692">+B1482/B1459</f>
        <v>27298.947368421057</v>
      </c>
      <c r="C1472" s="66">
        <f t="shared" si="692"/>
        <v>28807.216494845365</v>
      </c>
      <c r="D1472" s="66">
        <f t="shared" si="692"/>
        <v>29946.938775510203</v>
      </c>
      <c r="E1472" s="66">
        <f t="shared" si="692"/>
        <v>28256.250000000004</v>
      </c>
      <c r="F1472" s="66">
        <f t="shared" si="692"/>
        <v>28961.565836298931</v>
      </c>
      <c r="G1472" s="66">
        <f t="shared" si="692"/>
        <v>29360.047846889953</v>
      </c>
      <c r="H1472" s="66">
        <f t="shared" si="692"/>
        <v>27795.666666666668</v>
      </c>
      <c r="I1472" s="66">
        <f t="shared" si="692"/>
        <v>28714.67889908257</v>
      </c>
      <c r="J1472" s="67">
        <f>J1482/J1459</f>
        <v>28714.67889908257</v>
      </c>
    </row>
    <row r="1473" spans="1:10" x14ac:dyDescent="0.25">
      <c r="A1473" s="212" t="s">
        <v>25</v>
      </c>
      <c r="B1473" s="92">
        <f t="shared" ref="B1473:H1473" si="693">B1478*B1466</f>
        <v>1368777.379310345</v>
      </c>
      <c r="C1473" s="92">
        <f t="shared" si="693"/>
        <v>1323927.2068965517</v>
      </c>
      <c r="D1473" s="92">
        <f t="shared" si="693"/>
        <v>1384367.5499999998</v>
      </c>
      <c r="E1473" s="92">
        <f t="shared" si="693"/>
        <v>2073939.7241379311</v>
      </c>
      <c r="F1473" s="92">
        <f t="shared" si="693"/>
        <v>4556720.5655172421</v>
      </c>
      <c r="G1473" s="31">
        <f t="shared" si="693"/>
        <v>6692480.1103448281</v>
      </c>
      <c r="H1473" s="31">
        <f t="shared" si="693"/>
        <v>4399298.8689655177</v>
      </c>
      <c r="I1473" s="31">
        <f>SUM(B1473:H1473)</f>
        <v>21799511.405172415</v>
      </c>
      <c r="J1473" s="32">
        <f t="shared" ref="J1473:J1482" si="694">I1473/7</f>
        <v>3114215.9150246307</v>
      </c>
    </row>
    <row r="1474" spans="1:10" x14ac:dyDescent="0.25">
      <c r="A1474" s="212" t="s">
        <v>26</v>
      </c>
      <c r="B1474" s="92">
        <f t="shared" ref="B1474:H1474" si="695">B1478*B1467</f>
        <v>85548.586206896565</v>
      </c>
      <c r="C1474" s="92">
        <f t="shared" si="695"/>
        <v>46453.586206896558</v>
      </c>
      <c r="D1474" s="92">
        <f t="shared" si="695"/>
        <v>24287.15</v>
      </c>
      <c r="E1474" s="92">
        <f t="shared" si="695"/>
        <v>0</v>
      </c>
      <c r="F1474" s="92">
        <f t="shared" si="695"/>
        <v>469074.17586206901</v>
      </c>
      <c r="G1474" s="31">
        <f t="shared" si="695"/>
        <v>405604.85517241381</v>
      </c>
      <c r="H1474" s="31">
        <f t="shared" si="695"/>
        <v>343695.22413793107</v>
      </c>
      <c r="I1474" s="31">
        <f>SUM(B1474:H1474)</f>
        <v>1374663.5775862071</v>
      </c>
      <c r="J1474" s="32">
        <f t="shared" si="694"/>
        <v>196380.51108374386</v>
      </c>
    </row>
    <row r="1475" spans="1:10" x14ac:dyDescent="0.25">
      <c r="A1475" s="212" t="s">
        <v>27</v>
      </c>
      <c r="B1475" s="92">
        <f t="shared" ref="B1475:H1475" si="696">B1478*B1468</f>
        <v>684388.68965517252</v>
      </c>
      <c r="C1475" s="92">
        <f t="shared" si="696"/>
        <v>952298.51724137936</v>
      </c>
      <c r="D1475" s="92">
        <f t="shared" si="696"/>
        <v>947198.85</v>
      </c>
      <c r="E1475" s="92">
        <f t="shared" si="696"/>
        <v>859203.60000000009</v>
      </c>
      <c r="F1475" s="92">
        <f t="shared" si="696"/>
        <v>1541243.7206896553</v>
      </c>
      <c r="G1475" s="31">
        <f t="shared" si="696"/>
        <v>3042036.4137931033</v>
      </c>
      <c r="H1475" s="31">
        <f t="shared" si="696"/>
        <v>1924693.255172414</v>
      </c>
      <c r="I1475" s="31">
        <f>SUM(B1475:H1475)</f>
        <v>9951063.0465517249</v>
      </c>
      <c r="J1475" s="32">
        <f t="shared" si="694"/>
        <v>1421580.4352216751</v>
      </c>
    </row>
    <row r="1476" spans="1:10" x14ac:dyDescent="0.25">
      <c r="A1476" s="212" t="s">
        <v>28</v>
      </c>
      <c r="B1476" s="92">
        <f t="shared" ref="B1476:H1476" si="697">B1478*B1469</f>
        <v>0</v>
      </c>
      <c r="C1476" s="92">
        <f t="shared" si="697"/>
        <v>0</v>
      </c>
      <c r="D1476" s="92">
        <f t="shared" si="697"/>
        <v>72861.45</v>
      </c>
      <c r="E1476" s="92">
        <f t="shared" si="697"/>
        <v>29627.710344827588</v>
      </c>
      <c r="F1476" s="92">
        <f t="shared" si="697"/>
        <v>67010.596551724142</v>
      </c>
      <c r="G1476" s="31">
        <f t="shared" si="697"/>
        <v>0</v>
      </c>
      <c r="H1476" s="31">
        <f t="shared" si="697"/>
        <v>137478.08965517243</v>
      </c>
      <c r="I1476" s="31">
        <f>SUM(B1476:H1476)</f>
        <v>306977.84655172413</v>
      </c>
      <c r="J1476" s="32">
        <f t="shared" si="694"/>
        <v>43853.97807881773</v>
      </c>
    </row>
    <row r="1477" spans="1:10" x14ac:dyDescent="0.25">
      <c r="A1477" s="212" t="s">
        <v>29</v>
      </c>
      <c r="B1477" s="92">
        <f t="shared" ref="B1477:H1477" si="698">B1478*B1470</f>
        <v>0</v>
      </c>
      <c r="C1477" s="92">
        <f t="shared" si="698"/>
        <v>0</v>
      </c>
      <c r="D1477" s="92">
        <f t="shared" si="698"/>
        <v>0</v>
      </c>
      <c r="E1477" s="92">
        <f t="shared" si="698"/>
        <v>0</v>
      </c>
      <c r="F1477" s="92">
        <f t="shared" si="698"/>
        <v>67010.596551724142</v>
      </c>
      <c r="G1477" s="31">
        <f t="shared" si="698"/>
        <v>0</v>
      </c>
      <c r="H1477" s="31">
        <f t="shared" si="698"/>
        <v>68739.044827586215</v>
      </c>
      <c r="I1477" s="31">
        <f>SUM(B1477:H1477)</f>
        <v>135749.64137931034</v>
      </c>
      <c r="J1477" s="32">
        <f t="shared" si="694"/>
        <v>19392.805911330048</v>
      </c>
    </row>
    <row r="1478" spans="1:10" x14ac:dyDescent="0.25">
      <c r="A1478" s="216" t="s">
        <v>30</v>
      </c>
      <c r="B1478" s="222">
        <f>(2593400/1.16)-B1479</f>
        <v>2138714.6551724141</v>
      </c>
      <c r="C1478" s="222">
        <f>(2794300/1.16)-C1479</f>
        <v>2322679.3103448278</v>
      </c>
      <c r="D1478" s="222">
        <f>(2934800/1.16)-D1479</f>
        <v>2428715</v>
      </c>
      <c r="E1478" s="222">
        <f>(3616800/1.16)-E1479</f>
        <v>2962771.034482759</v>
      </c>
      <c r="F1478" s="222">
        <f>(8138200/1.16)-F1479</f>
        <v>6701059.6551724141</v>
      </c>
      <c r="G1478" s="222">
        <f>(12272500/1.16)-G1479</f>
        <v>10140121.379310345</v>
      </c>
      <c r="H1478" s="222">
        <f>(8338700/1.16)-H1479</f>
        <v>6873904.4827586208</v>
      </c>
      <c r="I1478" s="197">
        <f>SUM(I1473:I1477)</f>
        <v>33567965.517241381</v>
      </c>
      <c r="J1478" s="217">
        <f t="shared" si="694"/>
        <v>4795423.6453201976</v>
      </c>
    </row>
    <row r="1479" spans="1:10" x14ac:dyDescent="0.25">
      <c r="A1479" s="212" t="s">
        <v>31</v>
      </c>
      <c r="B1479" s="92">
        <f t="shared" ref="B1479:I1479" si="699">2155*B1460</f>
        <v>96975</v>
      </c>
      <c r="C1479" s="92">
        <f t="shared" si="699"/>
        <v>86200</v>
      </c>
      <c r="D1479" s="92">
        <f t="shared" si="699"/>
        <v>101285</v>
      </c>
      <c r="E1479" s="92">
        <f t="shared" si="699"/>
        <v>155160</v>
      </c>
      <c r="F1479" s="92">
        <f t="shared" si="699"/>
        <v>314630</v>
      </c>
      <c r="G1479" s="31">
        <f t="shared" si="699"/>
        <v>439620</v>
      </c>
      <c r="H1479" s="31">
        <f t="shared" si="699"/>
        <v>314630</v>
      </c>
      <c r="I1479" s="31">
        <f t="shared" si="699"/>
        <v>1508500</v>
      </c>
      <c r="J1479" s="32">
        <f t="shared" si="694"/>
        <v>215500</v>
      </c>
    </row>
    <row r="1480" spans="1:10" x14ac:dyDescent="0.25">
      <c r="A1480" s="218" t="s">
        <v>32</v>
      </c>
      <c r="B1480" s="199">
        <f>B1479+B1478</f>
        <v>2235689.6551724141</v>
      </c>
      <c r="C1480" s="199">
        <f>C1479+C1478</f>
        <v>2408879.3103448278</v>
      </c>
      <c r="D1480" s="199">
        <f>D1479+D1478</f>
        <v>2530000</v>
      </c>
      <c r="E1480" s="199">
        <f>E1479+E1478</f>
        <v>3117931.034482759</v>
      </c>
      <c r="F1480" s="199">
        <f>F1478+F1479</f>
        <v>7015689.6551724141</v>
      </c>
      <c r="G1480" s="199">
        <f>G1479+G1478</f>
        <v>10579741.379310345</v>
      </c>
      <c r="H1480" s="199">
        <f>H1479+H1478</f>
        <v>7188534.4827586208</v>
      </c>
      <c r="I1480" s="199">
        <f>I1478+I1479</f>
        <v>35076465.517241381</v>
      </c>
      <c r="J1480" s="219">
        <f t="shared" si="694"/>
        <v>5010923.6453201976</v>
      </c>
    </row>
    <row r="1481" spans="1:10" x14ac:dyDescent="0.25">
      <c r="A1481" s="212" t="s">
        <v>33</v>
      </c>
      <c r="B1481" s="94">
        <f>B1480*16%</f>
        <v>357710.34482758626</v>
      </c>
      <c r="C1481" s="94">
        <f t="shared" ref="C1481:H1481" si="700">C1480*16%</f>
        <v>385420.68965517246</v>
      </c>
      <c r="D1481" s="94">
        <f t="shared" si="700"/>
        <v>404800</v>
      </c>
      <c r="E1481" s="94">
        <f t="shared" si="700"/>
        <v>498868.96551724145</v>
      </c>
      <c r="F1481" s="94">
        <f t="shared" si="700"/>
        <v>1122510.3448275863</v>
      </c>
      <c r="G1481" s="94">
        <f t="shared" si="700"/>
        <v>1692758.6206896552</v>
      </c>
      <c r="H1481" s="94">
        <f t="shared" si="700"/>
        <v>1150165.5172413792</v>
      </c>
      <c r="I1481" s="94">
        <f>I1480*16%</f>
        <v>5612234.4827586208</v>
      </c>
      <c r="J1481" s="32">
        <f t="shared" si="694"/>
        <v>801747.78325123154</v>
      </c>
    </row>
    <row r="1482" spans="1:10" x14ac:dyDescent="0.25">
      <c r="A1482" s="220" t="s">
        <v>34</v>
      </c>
      <c r="B1482" s="202">
        <f>B1480+B1481</f>
        <v>2593400.0000000005</v>
      </c>
      <c r="C1482" s="202">
        <f t="shared" ref="C1482:H1482" si="701">C1480+C1481</f>
        <v>2794300.0000000005</v>
      </c>
      <c r="D1482" s="202">
        <f t="shared" si="701"/>
        <v>2934800</v>
      </c>
      <c r="E1482" s="202">
        <f t="shared" si="701"/>
        <v>3616800.0000000005</v>
      </c>
      <c r="F1482" s="202">
        <f t="shared" si="701"/>
        <v>8138200</v>
      </c>
      <c r="G1482" s="202">
        <f t="shared" si="701"/>
        <v>12272500</v>
      </c>
      <c r="H1482" s="202">
        <f t="shared" si="701"/>
        <v>8338700</v>
      </c>
      <c r="I1482" s="202">
        <f>I1480+I1481</f>
        <v>40688700</v>
      </c>
      <c r="J1482" s="221">
        <f t="shared" si="694"/>
        <v>5812671.4285714282</v>
      </c>
    </row>
    <row r="1484" spans="1:10" ht="26.25" x14ac:dyDescent="0.25">
      <c r="B1484" s="1007" t="s">
        <v>394</v>
      </c>
      <c r="C1484" s="1007"/>
      <c r="D1484" s="1007"/>
      <c r="E1484" s="1007"/>
      <c r="F1484" s="1007"/>
      <c r="G1484" s="1007"/>
      <c r="H1484" s="1007"/>
    </row>
    <row r="1485" spans="1:10" ht="15.75" x14ac:dyDescent="0.25">
      <c r="A1485" s="207" t="s">
        <v>2</v>
      </c>
      <c r="B1485" s="232" t="s">
        <v>337</v>
      </c>
      <c r="C1485" s="232" t="s">
        <v>338</v>
      </c>
      <c r="D1485" s="232" t="s">
        <v>339</v>
      </c>
      <c r="E1485" s="232" t="s">
        <v>340</v>
      </c>
      <c r="F1485" s="232" t="s">
        <v>341</v>
      </c>
      <c r="G1485" s="232" t="s">
        <v>342</v>
      </c>
      <c r="H1485" s="232" t="s">
        <v>343</v>
      </c>
      <c r="I1485" s="121" t="s">
        <v>96</v>
      </c>
      <c r="J1485" s="209" t="s">
        <v>97</v>
      </c>
    </row>
    <row r="1486" spans="1:10" x14ac:dyDescent="0.25">
      <c r="A1486" s="332" t="s">
        <v>11</v>
      </c>
      <c r="B1486" s="55">
        <f>56+29+10</f>
        <v>95</v>
      </c>
      <c r="C1486" s="56">
        <f>51+18+9</f>
        <v>78</v>
      </c>
      <c r="D1486" s="54">
        <f>58+38+7</f>
        <v>103</v>
      </c>
      <c r="E1486" s="316">
        <f>74+34+13</f>
        <v>121</v>
      </c>
      <c r="F1486" s="311">
        <f>161+99+32</f>
        <v>292</v>
      </c>
      <c r="G1486" s="58">
        <f>218+137+53</f>
        <v>408</v>
      </c>
      <c r="H1486" s="57">
        <f>206+114+57</f>
        <v>377</v>
      </c>
      <c r="I1486" s="316">
        <f>SUM(B1486:H1486)</f>
        <v>1474</v>
      </c>
      <c r="J1486" s="382">
        <f>+I1486/7</f>
        <v>210.57142857142858</v>
      </c>
    </row>
    <row r="1487" spans="1:10" x14ac:dyDescent="0.25">
      <c r="A1487" s="212" t="s">
        <v>12</v>
      </c>
      <c r="B1487" s="86">
        <v>46</v>
      </c>
      <c r="C1487" s="320">
        <v>42</v>
      </c>
      <c r="D1487" s="320">
        <v>54</v>
      </c>
      <c r="E1487" s="11">
        <v>58</v>
      </c>
      <c r="F1487" s="388">
        <v>132</v>
      </c>
      <c r="G1487" s="11">
        <v>199</v>
      </c>
      <c r="H1487" s="11">
        <v>205</v>
      </c>
      <c r="I1487" s="11">
        <f>SUM(CEDRITOS!$B1487:$H1487)</f>
        <v>736</v>
      </c>
      <c r="J1487" s="60">
        <f t="shared" ref="J1487:J1492" si="702">I1487/7</f>
        <v>105.14285714285714</v>
      </c>
    </row>
    <row r="1488" spans="1:10" x14ac:dyDescent="0.25">
      <c r="A1488" s="212" t="s">
        <v>13</v>
      </c>
      <c r="B1488" s="11">
        <v>1</v>
      </c>
      <c r="C1488" s="13">
        <v>2</v>
      </c>
      <c r="D1488" s="13">
        <v>3</v>
      </c>
      <c r="E1488" s="11">
        <v>2</v>
      </c>
      <c r="F1488" s="125">
        <v>13</v>
      </c>
      <c r="G1488" s="11">
        <v>4</v>
      </c>
      <c r="H1488" s="11">
        <v>10</v>
      </c>
      <c r="I1488" s="11">
        <f>SUM(CEDRITOS!$B1488:$H1488)</f>
        <v>35</v>
      </c>
      <c r="J1488" s="60">
        <f t="shared" si="702"/>
        <v>5</v>
      </c>
    </row>
    <row r="1489" spans="1:10" x14ac:dyDescent="0.25">
      <c r="A1489" s="212" t="s">
        <v>14</v>
      </c>
      <c r="B1489" s="11">
        <v>30</v>
      </c>
      <c r="C1489" s="13">
        <v>24</v>
      </c>
      <c r="D1489" s="320">
        <v>39</v>
      </c>
      <c r="E1489" s="11">
        <v>48</v>
      </c>
      <c r="F1489" s="125">
        <v>79</v>
      </c>
      <c r="G1489" s="11">
        <v>111</v>
      </c>
      <c r="H1489" s="11">
        <v>73</v>
      </c>
      <c r="I1489" s="11">
        <f>SUM(CEDRITOS!$B1489:$H1489)</f>
        <v>404</v>
      </c>
      <c r="J1489" s="60">
        <f t="shared" si="702"/>
        <v>57.714285714285715</v>
      </c>
    </row>
    <row r="1490" spans="1:10" x14ac:dyDescent="0.25">
      <c r="A1490" s="212" t="s">
        <v>15</v>
      </c>
      <c r="B1490" s="11">
        <v>0</v>
      </c>
      <c r="C1490" s="13">
        <v>0</v>
      </c>
      <c r="D1490" s="13">
        <v>2</v>
      </c>
      <c r="E1490" s="11">
        <v>0</v>
      </c>
      <c r="F1490" s="125">
        <v>2</v>
      </c>
      <c r="G1490" s="11">
        <v>3</v>
      </c>
      <c r="H1490" s="11">
        <v>1</v>
      </c>
      <c r="I1490" s="11">
        <f>SUM(CEDRITOS!$B1490:$H1490)</f>
        <v>8</v>
      </c>
      <c r="J1490" s="60">
        <f t="shared" si="702"/>
        <v>1.1428571428571428</v>
      </c>
    </row>
    <row r="1491" spans="1:10" x14ac:dyDescent="0.25">
      <c r="A1491" s="212" t="s">
        <v>16</v>
      </c>
      <c r="B1491" s="11">
        <v>0</v>
      </c>
      <c r="C1491" s="13">
        <v>2</v>
      </c>
      <c r="D1491" s="13">
        <v>0</v>
      </c>
      <c r="E1491" s="11">
        <v>1</v>
      </c>
      <c r="F1491" s="125">
        <v>1</v>
      </c>
      <c r="G1491" s="11">
        <v>1</v>
      </c>
      <c r="H1491" s="11">
        <v>0</v>
      </c>
      <c r="I1491" s="11">
        <f>SUM(CEDRITOS!$B1491:$H1491)</f>
        <v>5</v>
      </c>
      <c r="J1491" s="60">
        <f t="shared" si="702"/>
        <v>0.7142857142857143</v>
      </c>
    </row>
    <row r="1492" spans="1:10" x14ac:dyDescent="0.25">
      <c r="A1492" s="213" t="s">
        <v>17</v>
      </c>
      <c r="B1492" s="192">
        <f>SUM(B1487:B1491)</f>
        <v>77</v>
      </c>
      <c r="C1492" s="192">
        <f t="shared" ref="C1492:I1492" si="703">SUM(C1487:C1491)</f>
        <v>70</v>
      </c>
      <c r="D1492" s="192">
        <f t="shared" si="703"/>
        <v>98</v>
      </c>
      <c r="E1492" s="192">
        <f t="shared" si="703"/>
        <v>109</v>
      </c>
      <c r="F1492" s="192">
        <f t="shared" si="703"/>
        <v>227</v>
      </c>
      <c r="G1492" s="192">
        <f t="shared" si="703"/>
        <v>318</v>
      </c>
      <c r="H1492" s="192">
        <f t="shared" si="703"/>
        <v>289</v>
      </c>
      <c r="I1492" s="192">
        <f t="shared" si="703"/>
        <v>1188</v>
      </c>
      <c r="J1492" s="214">
        <f t="shared" si="702"/>
        <v>169.71428571428572</v>
      </c>
    </row>
    <row r="1493" spans="1:10" x14ac:dyDescent="0.25">
      <c r="A1493" s="212" t="s">
        <v>18</v>
      </c>
      <c r="B1493" s="325">
        <v>0.68</v>
      </c>
      <c r="C1493" s="326">
        <v>0.67</v>
      </c>
      <c r="D1493" s="326">
        <v>0.64</v>
      </c>
      <c r="E1493" s="327">
        <v>0.57999999999999996</v>
      </c>
      <c r="F1493" s="328">
        <v>0.63</v>
      </c>
      <c r="G1493" s="327">
        <v>0.67</v>
      </c>
      <c r="H1493" s="327">
        <v>0.74</v>
      </c>
      <c r="I1493" s="30">
        <f>I1500/I1505</f>
        <v>0.67103791458947482</v>
      </c>
      <c r="J1493" s="160">
        <f>J1500/J1505</f>
        <v>0.67103791458947482</v>
      </c>
    </row>
    <row r="1494" spans="1:10" x14ac:dyDescent="0.25">
      <c r="A1494" s="212" t="s">
        <v>19</v>
      </c>
      <c r="B1494" s="325">
        <v>0.01</v>
      </c>
      <c r="C1494" s="326">
        <v>0.01</v>
      </c>
      <c r="D1494" s="326">
        <v>0.03</v>
      </c>
      <c r="E1494" s="327">
        <v>0.01</v>
      </c>
      <c r="F1494" s="327">
        <v>0.06</v>
      </c>
      <c r="G1494" s="327">
        <v>0.02</v>
      </c>
      <c r="H1494" s="327">
        <v>0.03</v>
      </c>
      <c r="I1494" s="30">
        <f>I1501/I1505</f>
        <v>2.9552124845918092E-2</v>
      </c>
      <c r="J1494" s="160">
        <f>J1501/J1505</f>
        <v>2.9552124845918092E-2</v>
      </c>
    </row>
    <row r="1495" spans="1:10" x14ac:dyDescent="0.25">
      <c r="A1495" s="212" t="s">
        <v>20</v>
      </c>
      <c r="B1495" s="325">
        <v>0.31</v>
      </c>
      <c r="C1495" s="326">
        <v>0.28999999999999998</v>
      </c>
      <c r="D1495" s="326">
        <v>0.32</v>
      </c>
      <c r="E1495" s="327">
        <v>0.4</v>
      </c>
      <c r="F1495" s="329">
        <v>0.28999999999999998</v>
      </c>
      <c r="G1495" s="327">
        <v>0.28999999999999998</v>
      </c>
      <c r="H1495" s="327">
        <v>0.23</v>
      </c>
      <c r="I1495" s="30">
        <f>I1502/I1505</f>
        <v>0.28675832903861836</v>
      </c>
      <c r="J1495" s="160">
        <f>J1502/J1505</f>
        <v>0.28675832903861831</v>
      </c>
    </row>
    <row r="1496" spans="1:10" x14ac:dyDescent="0.25">
      <c r="A1496" s="212" t="s">
        <v>21</v>
      </c>
      <c r="B1496" s="325">
        <v>0</v>
      </c>
      <c r="C1496" s="326">
        <v>0</v>
      </c>
      <c r="D1496" s="326">
        <v>0.01</v>
      </c>
      <c r="E1496" s="327">
        <v>0</v>
      </c>
      <c r="F1496" s="329">
        <v>0.01</v>
      </c>
      <c r="G1496" s="327">
        <v>0.01</v>
      </c>
      <c r="H1496" s="327">
        <v>0</v>
      </c>
      <c r="I1496" s="30">
        <f>I1503/I1505</f>
        <v>5.5372176516283907E-3</v>
      </c>
      <c r="J1496" s="160">
        <f>J1503/J1505</f>
        <v>5.5372176516283915E-3</v>
      </c>
    </row>
    <row r="1497" spans="1:10" x14ac:dyDescent="0.25">
      <c r="A1497" s="212" t="s">
        <v>22</v>
      </c>
      <c r="B1497" s="325">
        <v>0</v>
      </c>
      <c r="C1497" s="326">
        <v>0.03</v>
      </c>
      <c r="D1497" s="326">
        <v>0</v>
      </c>
      <c r="E1497" s="327">
        <v>0.01</v>
      </c>
      <c r="F1497" s="329">
        <v>0.01</v>
      </c>
      <c r="G1497" s="327">
        <v>0.01</v>
      </c>
      <c r="H1497" s="327">
        <v>0</v>
      </c>
      <c r="I1497" s="30">
        <f>I1504/I1505</f>
        <v>7.1144138743603437E-3</v>
      </c>
      <c r="J1497" s="160">
        <f>J1504/J1505</f>
        <v>7.1144138743603437E-3</v>
      </c>
    </row>
    <row r="1498" spans="1:10" x14ac:dyDescent="0.25">
      <c r="A1498" s="215" t="s">
        <v>23</v>
      </c>
      <c r="B1498" s="66">
        <f t="shared" ref="B1498:J1498" si="704">B1509/B1492</f>
        <v>36057.142857142862</v>
      </c>
      <c r="C1498" s="66">
        <f t="shared" si="704"/>
        <v>30867.142857142859</v>
      </c>
      <c r="D1498" s="66">
        <f t="shared" si="704"/>
        <v>30992.857142857141</v>
      </c>
      <c r="E1498" s="66">
        <f t="shared" si="704"/>
        <v>29522.018348623853</v>
      </c>
      <c r="F1498" s="66">
        <f t="shared" si="704"/>
        <v>37938.766519823788</v>
      </c>
      <c r="G1498" s="66">
        <f t="shared" si="704"/>
        <v>36363.207547169812</v>
      </c>
      <c r="H1498" s="66">
        <f t="shared" si="704"/>
        <v>36870.069204152256</v>
      </c>
      <c r="I1498" s="66">
        <f t="shared" si="704"/>
        <v>35373.190235690236</v>
      </c>
      <c r="J1498" s="67">
        <f t="shared" si="704"/>
        <v>35373.190235690236</v>
      </c>
    </row>
    <row r="1499" spans="1:10" x14ac:dyDescent="0.25">
      <c r="A1499" s="215" t="s">
        <v>24</v>
      </c>
      <c r="B1499" s="66">
        <f t="shared" ref="B1499:I1499" si="705">+B1509/B1486</f>
        <v>29225.26315789474</v>
      </c>
      <c r="C1499" s="66">
        <f t="shared" si="705"/>
        <v>27701.282051282051</v>
      </c>
      <c r="D1499" s="66">
        <f t="shared" si="705"/>
        <v>29488.349514563106</v>
      </c>
      <c r="E1499" s="66">
        <f t="shared" si="705"/>
        <v>26594.214876033056</v>
      </c>
      <c r="F1499" s="66">
        <f t="shared" si="705"/>
        <v>29493.493150684932</v>
      </c>
      <c r="G1499" s="66">
        <f t="shared" si="705"/>
        <v>28341.911764705881</v>
      </c>
      <c r="H1499" s="66">
        <f t="shared" si="705"/>
        <v>28263.793103448279</v>
      </c>
      <c r="I1499" s="66">
        <f t="shared" si="705"/>
        <v>28509.735413839891</v>
      </c>
      <c r="J1499" s="67">
        <f>J1509/J1486</f>
        <v>28509.735413839891</v>
      </c>
    </row>
    <row r="1500" spans="1:10" x14ac:dyDescent="0.25">
      <c r="A1500" s="212" t="s">
        <v>25</v>
      </c>
      <c r="B1500" s="92">
        <f t="shared" ref="B1500:H1500" si="706">B1505*B1493</f>
        <v>1560136.4275862072</v>
      </c>
      <c r="C1500" s="92">
        <f t="shared" si="706"/>
        <v>1187348.8172413795</v>
      </c>
      <c r="D1500" s="92">
        <f t="shared" si="706"/>
        <v>1601274.9241379313</v>
      </c>
      <c r="E1500" s="92">
        <f t="shared" si="706"/>
        <v>1536455.8</v>
      </c>
      <c r="F1500" s="92">
        <f t="shared" si="706"/>
        <v>4498051.4068965521</v>
      </c>
      <c r="G1500" s="31">
        <f t="shared" si="706"/>
        <v>6391591.953448276</v>
      </c>
      <c r="H1500" s="31">
        <f t="shared" si="706"/>
        <v>6470528.7413793113</v>
      </c>
      <c r="I1500" s="31">
        <f>SUM(B1500:H1500)</f>
        <v>23245388.070689656</v>
      </c>
      <c r="J1500" s="32">
        <f t="shared" ref="J1500:J1509" si="707">I1500/7</f>
        <v>3320769.7243842366</v>
      </c>
    </row>
    <row r="1501" spans="1:10" x14ac:dyDescent="0.25">
      <c r="A1501" s="212" t="s">
        <v>26</v>
      </c>
      <c r="B1501" s="92">
        <f t="shared" ref="B1501:H1501" si="708">B1505*B1494</f>
        <v>22943.182758620693</v>
      </c>
      <c r="C1501" s="92">
        <f t="shared" si="708"/>
        <v>17721.624137931034</v>
      </c>
      <c r="D1501" s="92">
        <f t="shared" si="708"/>
        <v>75059.762068965516</v>
      </c>
      <c r="E1501" s="92">
        <f t="shared" si="708"/>
        <v>26490.61724137931</v>
      </c>
      <c r="F1501" s="92">
        <f t="shared" si="708"/>
        <v>428385.84827586205</v>
      </c>
      <c r="G1501" s="31">
        <f t="shared" si="708"/>
        <v>190793.78965517241</v>
      </c>
      <c r="H1501" s="31">
        <f t="shared" si="708"/>
        <v>262318.7327586207</v>
      </c>
      <c r="I1501" s="31">
        <f>SUM(B1501:H1501)</f>
        <v>1023713.5568965517</v>
      </c>
      <c r="J1501" s="32">
        <f t="shared" si="707"/>
        <v>146244.79384236454</v>
      </c>
    </row>
    <row r="1502" spans="1:10" x14ac:dyDescent="0.25">
      <c r="A1502" s="212" t="s">
        <v>27</v>
      </c>
      <c r="B1502" s="92">
        <f t="shared" ref="B1502:H1502" si="709">B1505*B1495</f>
        <v>711238.66551724146</v>
      </c>
      <c r="C1502" s="92">
        <f t="shared" si="709"/>
        <v>513927.1</v>
      </c>
      <c r="D1502" s="92">
        <f t="shared" si="709"/>
        <v>800637.46206896566</v>
      </c>
      <c r="E1502" s="92">
        <f t="shared" si="709"/>
        <v>1059624.6896551724</v>
      </c>
      <c r="F1502" s="92">
        <f t="shared" si="709"/>
        <v>2070531.6</v>
      </c>
      <c r="G1502" s="31">
        <f t="shared" si="709"/>
        <v>2766509.9499999997</v>
      </c>
      <c r="H1502" s="31">
        <f t="shared" si="709"/>
        <v>2011110.284482759</v>
      </c>
      <c r="I1502" s="31">
        <f>SUM(B1502:H1502)</f>
        <v>9933579.751724137</v>
      </c>
      <c r="J1502" s="32">
        <f t="shared" si="707"/>
        <v>1419082.8216748766</v>
      </c>
    </row>
    <row r="1503" spans="1:10" x14ac:dyDescent="0.25">
      <c r="A1503" s="212" t="s">
        <v>28</v>
      </c>
      <c r="B1503" s="92">
        <f t="shared" ref="B1503:H1503" si="710">B1505*B1496</f>
        <v>0</v>
      </c>
      <c r="C1503" s="92">
        <f t="shared" si="710"/>
        <v>0</v>
      </c>
      <c r="D1503" s="92">
        <f t="shared" si="710"/>
        <v>25019.920689655177</v>
      </c>
      <c r="E1503" s="92">
        <f t="shared" si="710"/>
        <v>0</v>
      </c>
      <c r="F1503" s="92">
        <f t="shared" si="710"/>
        <v>71397.641379310357</v>
      </c>
      <c r="G1503" s="31">
        <f t="shared" si="710"/>
        <v>95396.894827586206</v>
      </c>
      <c r="H1503" s="31">
        <f t="shared" si="710"/>
        <v>0</v>
      </c>
      <c r="I1503" s="31">
        <f>SUM(B1503:H1503)</f>
        <v>191814.45689655174</v>
      </c>
      <c r="J1503" s="32">
        <f t="shared" si="707"/>
        <v>27402.065270935964</v>
      </c>
    </row>
    <row r="1504" spans="1:10" x14ac:dyDescent="0.25">
      <c r="A1504" s="212" t="s">
        <v>29</v>
      </c>
      <c r="B1504" s="92">
        <f t="shared" ref="B1504:H1504" si="711">B1505*B1497</f>
        <v>0</v>
      </c>
      <c r="C1504" s="92">
        <f t="shared" si="711"/>
        <v>53164.872413793106</v>
      </c>
      <c r="D1504" s="92">
        <f t="shared" si="711"/>
        <v>0</v>
      </c>
      <c r="E1504" s="92">
        <f t="shared" si="711"/>
        <v>26490.61724137931</v>
      </c>
      <c r="F1504" s="92">
        <f t="shared" si="711"/>
        <v>71397.641379310357</v>
      </c>
      <c r="G1504" s="31">
        <f t="shared" si="711"/>
        <v>95396.894827586206</v>
      </c>
      <c r="H1504" s="31">
        <f t="shared" si="711"/>
        <v>0</v>
      </c>
      <c r="I1504" s="31">
        <f>SUM(B1504:H1504)</f>
        <v>246450.02586206899</v>
      </c>
      <c r="J1504" s="32">
        <f t="shared" si="707"/>
        <v>35207.146551724138</v>
      </c>
    </row>
    <row r="1505" spans="1:10" x14ac:dyDescent="0.25">
      <c r="A1505" s="216" t="s">
        <v>30</v>
      </c>
      <c r="B1505" s="222">
        <f>(2776400/1.16)-B1506</f>
        <v>2294318.2758620693</v>
      </c>
      <c r="C1505" s="222">
        <f>(2160700/1.16)-C1506</f>
        <v>1772162.4137931035</v>
      </c>
      <c r="D1505" s="222">
        <f>(3037300/1.16)-D1506</f>
        <v>2501992.0689655175</v>
      </c>
      <c r="E1505" s="222">
        <f>(3217900/1.16)-E1506</f>
        <v>2649061.7241379311</v>
      </c>
      <c r="F1505" s="222">
        <f>(8612100/1.16)-F1506</f>
        <v>7139764.1379310349</v>
      </c>
      <c r="G1505" s="222">
        <f>(11563500/1.16)-G1506</f>
        <v>9539689.4827586208</v>
      </c>
      <c r="H1505" s="222">
        <f>(10655450/1.16)-H1506</f>
        <v>8743957.7586206906</v>
      </c>
      <c r="I1505" s="197">
        <f>SUM(I1500:I1504)</f>
        <v>34640945.862068966</v>
      </c>
      <c r="J1505" s="217">
        <f t="shared" si="707"/>
        <v>4948706.5517241377</v>
      </c>
    </row>
    <row r="1506" spans="1:10" x14ac:dyDescent="0.25">
      <c r="A1506" s="212" t="s">
        <v>31</v>
      </c>
      <c r="B1506" s="92">
        <f t="shared" ref="B1506:I1506" si="712">2155*B1487</f>
        <v>99130</v>
      </c>
      <c r="C1506" s="92">
        <f t="shared" si="712"/>
        <v>90510</v>
      </c>
      <c r="D1506" s="92">
        <f t="shared" si="712"/>
        <v>116370</v>
      </c>
      <c r="E1506" s="92">
        <f t="shared" si="712"/>
        <v>124990</v>
      </c>
      <c r="F1506" s="92">
        <f t="shared" si="712"/>
        <v>284460</v>
      </c>
      <c r="G1506" s="31">
        <f t="shared" si="712"/>
        <v>428845</v>
      </c>
      <c r="H1506" s="31">
        <f t="shared" si="712"/>
        <v>441775</v>
      </c>
      <c r="I1506" s="31">
        <f t="shared" si="712"/>
        <v>1586080</v>
      </c>
      <c r="J1506" s="32">
        <f t="shared" si="707"/>
        <v>226582.85714285713</v>
      </c>
    </row>
    <row r="1507" spans="1:10" x14ac:dyDescent="0.25">
      <c r="A1507" s="218" t="s">
        <v>32</v>
      </c>
      <c r="B1507" s="199">
        <f>B1506+B1505</f>
        <v>2393448.2758620693</v>
      </c>
      <c r="C1507" s="199">
        <f>C1506+C1505</f>
        <v>1862672.4137931035</v>
      </c>
      <c r="D1507" s="199">
        <f>D1506+D1505</f>
        <v>2618362.0689655175</v>
      </c>
      <c r="E1507" s="199">
        <f>E1506+E1505</f>
        <v>2774051.7241379311</v>
      </c>
      <c r="F1507" s="199">
        <f>F1505+F1506</f>
        <v>7424224.1379310349</v>
      </c>
      <c r="G1507" s="199">
        <f>G1506+G1505</f>
        <v>9968534.4827586208</v>
      </c>
      <c r="H1507" s="199">
        <f>H1506+H1505</f>
        <v>9185732.7586206906</v>
      </c>
      <c r="I1507" s="199">
        <f>I1505+I1506</f>
        <v>36227025.862068966</v>
      </c>
      <c r="J1507" s="219">
        <f t="shared" si="707"/>
        <v>5175289.408866995</v>
      </c>
    </row>
    <row r="1508" spans="1:10" x14ac:dyDescent="0.25">
      <c r="A1508" s="212" t="s">
        <v>33</v>
      </c>
      <c r="B1508" s="94">
        <f>B1507*16%</f>
        <v>382951.72413793107</v>
      </c>
      <c r="C1508" s="94">
        <f t="shared" ref="C1508:H1508" si="713">C1507*16%</f>
        <v>298027.58620689658</v>
      </c>
      <c r="D1508" s="94">
        <f t="shared" si="713"/>
        <v>418937.93103448278</v>
      </c>
      <c r="E1508" s="94">
        <f t="shared" si="713"/>
        <v>443848.27586206899</v>
      </c>
      <c r="F1508" s="94">
        <f t="shared" si="713"/>
        <v>1187875.8620689656</v>
      </c>
      <c r="G1508" s="94">
        <f t="shared" si="713"/>
        <v>1594965.5172413792</v>
      </c>
      <c r="H1508" s="94">
        <f t="shared" si="713"/>
        <v>1469717.2413793106</v>
      </c>
      <c r="I1508" s="94">
        <f>I1507*16%</f>
        <v>5796324.1379310349</v>
      </c>
      <c r="J1508" s="32">
        <f t="shared" si="707"/>
        <v>828046.3054187193</v>
      </c>
    </row>
    <row r="1509" spans="1:10" x14ac:dyDescent="0.25">
      <c r="A1509" s="220" t="s">
        <v>34</v>
      </c>
      <c r="B1509" s="202">
        <f>B1507+B1508</f>
        <v>2776400.0000000005</v>
      </c>
      <c r="C1509" s="202">
        <f t="shared" ref="C1509:H1509" si="714">C1507+C1508</f>
        <v>2160700</v>
      </c>
      <c r="D1509" s="202">
        <f t="shared" si="714"/>
        <v>3037300</v>
      </c>
      <c r="E1509" s="202">
        <f t="shared" si="714"/>
        <v>3217900</v>
      </c>
      <c r="F1509" s="202">
        <f t="shared" si="714"/>
        <v>8612100</v>
      </c>
      <c r="G1509" s="202">
        <f t="shared" si="714"/>
        <v>11563500</v>
      </c>
      <c r="H1509" s="202">
        <f t="shared" si="714"/>
        <v>10655450.000000002</v>
      </c>
      <c r="I1509" s="202">
        <f>I1507+I1508</f>
        <v>42023350</v>
      </c>
      <c r="J1509" s="221">
        <f t="shared" si="707"/>
        <v>6003335.7142857146</v>
      </c>
    </row>
    <row r="1511" spans="1:10" ht="26.25" x14ac:dyDescent="0.25">
      <c r="B1511" s="1007" t="s">
        <v>395</v>
      </c>
      <c r="C1511" s="1007"/>
      <c r="D1511" s="1007"/>
      <c r="E1511" s="1007"/>
      <c r="F1511" s="1007"/>
      <c r="G1511" s="1007"/>
      <c r="H1511" s="1007"/>
    </row>
    <row r="1512" spans="1:10" ht="15.75" x14ac:dyDescent="0.25">
      <c r="A1512" s="207" t="s">
        <v>2</v>
      </c>
      <c r="B1512" s="232" t="s">
        <v>345</v>
      </c>
      <c r="C1512" s="232" t="s">
        <v>346</v>
      </c>
      <c r="D1512" s="232" t="s">
        <v>347</v>
      </c>
      <c r="E1512" s="232" t="s">
        <v>348</v>
      </c>
      <c r="F1512" s="232" t="s">
        <v>349</v>
      </c>
      <c r="G1512" s="232" t="s">
        <v>350</v>
      </c>
      <c r="H1512" s="232" t="s">
        <v>351</v>
      </c>
      <c r="I1512" s="121" t="s">
        <v>96</v>
      </c>
      <c r="J1512" s="209" t="s">
        <v>97</v>
      </c>
    </row>
    <row r="1513" spans="1:10" x14ac:dyDescent="0.25">
      <c r="A1513" s="332" t="s">
        <v>11</v>
      </c>
      <c r="B1513" s="55">
        <f>43+25+5</f>
        <v>73</v>
      </c>
      <c r="C1513" s="56">
        <f>66+20+13</f>
        <v>99</v>
      </c>
      <c r="D1513" s="54">
        <f>64+38+11</f>
        <v>113</v>
      </c>
      <c r="E1513" s="316">
        <f>76+42+15</f>
        <v>133</v>
      </c>
      <c r="F1513" s="311">
        <f>147+109+26</f>
        <v>282</v>
      </c>
      <c r="G1513" s="58">
        <f>224+137+50</f>
        <v>411</v>
      </c>
      <c r="H1513" s="57">
        <f>185+84+56</f>
        <v>325</v>
      </c>
      <c r="I1513" s="316">
        <f>SUM(B1513:H1513)</f>
        <v>1436</v>
      </c>
      <c r="J1513" s="382">
        <f>+I1513/7</f>
        <v>205.14285714285714</v>
      </c>
    </row>
    <row r="1514" spans="1:10" x14ac:dyDescent="0.25">
      <c r="A1514" s="212" t="s">
        <v>12</v>
      </c>
      <c r="B1514" s="86">
        <v>32</v>
      </c>
      <c r="C1514" s="320">
        <v>38</v>
      </c>
      <c r="D1514" s="320">
        <v>62</v>
      </c>
      <c r="E1514" s="11">
        <v>63</v>
      </c>
      <c r="F1514" s="388">
        <v>151</v>
      </c>
      <c r="G1514" s="11">
        <v>220</v>
      </c>
      <c r="H1514" s="11">
        <v>169</v>
      </c>
      <c r="I1514" s="11">
        <f>SUM(CEDRITOS!$B1514:$H1514)</f>
        <v>735</v>
      </c>
      <c r="J1514" s="60">
        <f t="shared" ref="J1514:J1519" si="715">I1514/7</f>
        <v>105</v>
      </c>
    </row>
    <row r="1515" spans="1:10" x14ac:dyDescent="0.25">
      <c r="A1515" s="212" t="s">
        <v>13</v>
      </c>
      <c r="B1515" s="11">
        <v>0</v>
      </c>
      <c r="C1515" s="13">
        <v>1</v>
      </c>
      <c r="D1515" s="13">
        <v>2</v>
      </c>
      <c r="E1515" s="11">
        <v>1</v>
      </c>
      <c r="F1515" s="125">
        <v>12</v>
      </c>
      <c r="G1515" s="11">
        <v>13</v>
      </c>
      <c r="H1515" s="11">
        <v>9</v>
      </c>
      <c r="I1515" s="11">
        <f>SUM(CEDRITOS!$B1515:$H1515)</f>
        <v>38</v>
      </c>
      <c r="J1515" s="60">
        <f t="shared" si="715"/>
        <v>5.4285714285714288</v>
      </c>
    </row>
    <row r="1516" spans="1:10" x14ac:dyDescent="0.25">
      <c r="A1516" s="212" t="s">
        <v>14</v>
      </c>
      <c r="B1516" s="11">
        <v>28</v>
      </c>
      <c r="C1516" s="13">
        <v>43</v>
      </c>
      <c r="D1516" s="320">
        <v>32</v>
      </c>
      <c r="E1516" s="11">
        <v>39</v>
      </c>
      <c r="F1516" s="125">
        <v>53</v>
      </c>
      <c r="G1516" s="11">
        <v>83</v>
      </c>
      <c r="H1516" s="11">
        <v>66</v>
      </c>
      <c r="I1516" s="11">
        <f>SUM(CEDRITOS!$B1516:$H1516)</f>
        <v>344</v>
      </c>
      <c r="J1516" s="60">
        <f t="shared" si="715"/>
        <v>49.142857142857146</v>
      </c>
    </row>
    <row r="1517" spans="1:10" x14ac:dyDescent="0.25">
      <c r="A1517" s="212" t="s">
        <v>15</v>
      </c>
      <c r="B1517" s="11">
        <v>0</v>
      </c>
      <c r="C1517" s="13">
        <v>1</v>
      </c>
      <c r="D1517" s="13">
        <v>0</v>
      </c>
      <c r="E1517" s="11">
        <v>0</v>
      </c>
      <c r="F1517" s="125">
        <v>24</v>
      </c>
      <c r="G1517" s="11">
        <v>13</v>
      </c>
      <c r="H1517" s="11">
        <v>2</v>
      </c>
      <c r="I1517" s="11">
        <f>SUM(CEDRITOS!$B1517:$H1517)</f>
        <v>40</v>
      </c>
      <c r="J1517" s="60">
        <f t="shared" si="715"/>
        <v>5.7142857142857144</v>
      </c>
    </row>
    <row r="1518" spans="1:10" x14ac:dyDescent="0.25">
      <c r="A1518" s="212" t="s">
        <v>16</v>
      </c>
      <c r="B1518" s="11">
        <v>1</v>
      </c>
      <c r="C1518" s="13">
        <v>0</v>
      </c>
      <c r="D1518" s="13">
        <v>0</v>
      </c>
      <c r="E1518" s="11">
        <v>0</v>
      </c>
      <c r="F1518" s="125">
        <v>0</v>
      </c>
      <c r="G1518" s="11">
        <v>1</v>
      </c>
      <c r="H1518" s="11">
        <v>3</v>
      </c>
      <c r="I1518" s="11">
        <f>SUM(CEDRITOS!$B1518:$H1518)</f>
        <v>5</v>
      </c>
      <c r="J1518" s="60">
        <f t="shared" si="715"/>
        <v>0.7142857142857143</v>
      </c>
    </row>
    <row r="1519" spans="1:10" x14ac:dyDescent="0.25">
      <c r="A1519" s="213" t="s">
        <v>17</v>
      </c>
      <c r="B1519" s="192">
        <f>SUM(B1514:B1518)</f>
        <v>61</v>
      </c>
      <c r="C1519" s="192">
        <f t="shared" ref="C1519:I1519" si="716">SUM(C1514:C1518)</f>
        <v>83</v>
      </c>
      <c r="D1519" s="192">
        <f t="shared" si="716"/>
        <v>96</v>
      </c>
      <c r="E1519" s="192">
        <f t="shared" si="716"/>
        <v>103</v>
      </c>
      <c r="F1519" s="192">
        <f t="shared" si="716"/>
        <v>240</v>
      </c>
      <c r="G1519" s="192">
        <f t="shared" si="716"/>
        <v>330</v>
      </c>
      <c r="H1519" s="192">
        <f t="shared" si="716"/>
        <v>249</v>
      </c>
      <c r="I1519" s="192">
        <f t="shared" si="716"/>
        <v>1162</v>
      </c>
      <c r="J1519" s="214">
        <f t="shared" si="715"/>
        <v>166</v>
      </c>
    </row>
    <row r="1520" spans="1:10" x14ac:dyDescent="0.25">
      <c r="A1520" s="212" t="s">
        <v>18</v>
      </c>
      <c r="B1520" s="325">
        <v>0.59</v>
      </c>
      <c r="C1520" s="326">
        <v>0.56000000000000005</v>
      </c>
      <c r="D1520" s="326">
        <v>0.73</v>
      </c>
      <c r="E1520" s="327">
        <v>0.7</v>
      </c>
      <c r="F1520" s="328">
        <v>0.67</v>
      </c>
      <c r="G1520" s="327">
        <v>0.71</v>
      </c>
      <c r="H1520" s="327">
        <v>0.68</v>
      </c>
      <c r="I1520" s="30">
        <f>I1527/I1532</f>
        <v>0.68042287669809498</v>
      </c>
      <c r="J1520" s="160">
        <f>J1527/J1532</f>
        <v>0.68042287669809498</v>
      </c>
    </row>
    <row r="1521" spans="1:10" x14ac:dyDescent="0.25">
      <c r="A1521" s="212" t="s">
        <v>19</v>
      </c>
      <c r="B1521" s="325">
        <v>0</v>
      </c>
      <c r="C1521" s="326">
        <v>0.01</v>
      </c>
      <c r="D1521" s="326">
        <v>0.02</v>
      </c>
      <c r="E1521" s="327">
        <v>0.01</v>
      </c>
      <c r="F1521" s="327">
        <v>0.04</v>
      </c>
      <c r="G1521" s="327">
        <v>0.04</v>
      </c>
      <c r="H1521" s="327">
        <v>0.04</v>
      </c>
      <c r="I1521" s="30">
        <f>I1528/I1532</f>
        <v>3.1834514285586507E-2</v>
      </c>
      <c r="J1521" s="160">
        <f>J1528/J1532</f>
        <v>3.1834514285586507E-2</v>
      </c>
    </row>
    <row r="1522" spans="1:10" x14ac:dyDescent="0.25">
      <c r="A1522" s="212" t="s">
        <v>20</v>
      </c>
      <c r="B1522" s="325">
        <v>0.35</v>
      </c>
      <c r="C1522" s="326">
        <v>0.42</v>
      </c>
      <c r="D1522" s="326">
        <v>0.25</v>
      </c>
      <c r="E1522" s="327">
        <v>0.28999999999999998</v>
      </c>
      <c r="F1522" s="329">
        <v>0.2</v>
      </c>
      <c r="G1522" s="327">
        <v>0.19</v>
      </c>
      <c r="H1522" s="327">
        <v>0.26</v>
      </c>
      <c r="I1522" s="30">
        <f>I1529/I1532</f>
        <v>0.24374186635086401</v>
      </c>
      <c r="J1522" s="160">
        <f>J1529/J1532</f>
        <v>0.24374186635086403</v>
      </c>
    </row>
    <row r="1523" spans="1:10" x14ac:dyDescent="0.25">
      <c r="A1523" s="212" t="s">
        <v>21</v>
      </c>
      <c r="B1523" s="325">
        <v>0</v>
      </c>
      <c r="C1523" s="326">
        <v>0.01</v>
      </c>
      <c r="D1523" s="326">
        <v>0</v>
      </c>
      <c r="E1523" s="327">
        <v>0</v>
      </c>
      <c r="F1523" s="329">
        <v>0.09</v>
      </c>
      <c r="G1523" s="327">
        <v>0.05</v>
      </c>
      <c r="H1523" s="327">
        <v>0.01</v>
      </c>
      <c r="I1523" s="30">
        <f>I1530/I1532</f>
        <v>3.6057043903329283E-2</v>
      </c>
      <c r="J1523" s="160">
        <f>J1530/J1532</f>
        <v>3.6057043903329283E-2</v>
      </c>
    </row>
    <row r="1524" spans="1:10" x14ac:dyDescent="0.25">
      <c r="A1524" s="212" t="s">
        <v>22</v>
      </c>
      <c r="B1524" s="325">
        <v>0.06</v>
      </c>
      <c r="C1524" s="326">
        <v>0</v>
      </c>
      <c r="D1524" s="326">
        <v>0</v>
      </c>
      <c r="E1524" s="327">
        <v>0</v>
      </c>
      <c r="F1524" s="329">
        <v>0</v>
      </c>
      <c r="G1524" s="327">
        <v>0.01</v>
      </c>
      <c r="H1524" s="327">
        <v>0.01</v>
      </c>
      <c r="I1524" s="30">
        <f>I1531/I1532</f>
        <v>7.9436987621251398E-3</v>
      </c>
      <c r="J1524" s="160">
        <f>J1531/J1532</f>
        <v>7.9436987621251398E-3</v>
      </c>
    </row>
    <row r="1525" spans="1:10" x14ac:dyDescent="0.25">
      <c r="A1525" s="215" t="s">
        <v>23</v>
      </c>
      <c r="B1525" s="66">
        <f t="shared" ref="B1525:J1525" si="717">B1536/B1519</f>
        <v>32016.393442622953</v>
      </c>
      <c r="C1525" s="66">
        <f t="shared" si="717"/>
        <v>31463.855421686749</v>
      </c>
      <c r="D1525" s="66">
        <f t="shared" si="717"/>
        <v>34020.833333333336</v>
      </c>
      <c r="E1525" s="66">
        <f t="shared" si="717"/>
        <v>36706.796116504855</v>
      </c>
      <c r="F1525" s="66">
        <f t="shared" si="717"/>
        <v>35765.833333333336</v>
      </c>
      <c r="G1525" s="66">
        <f t="shared" si="717"/>
        <v>36135.15151515152</v>
      </c>
      <c r="H1525" s="66">
        <f t="shared" si="717"/>
        <v>36427.710843373497</v>
      </c>
      <c r="I1525" s="66">
        <f t="shared" si="717"/>
        <v>35447.676419965574</v>
      </c>
      <c r="J1525" s="67">
        <f t="shared" si="717"/>
        <v>35447.676419965574</v>
      </c>
    </row>
    <row r="1526" spans="1:10" x14ac:dyDescent="0.25">
      <c r="A1526" s="215" t="s">
        <v>24</v>
      </c>
      <c r="B1526" s="66">
        <f t="shared" ref="B1526:I1526" si="718">+B1536/B1513</f>
        <v>26753.424657534251</v>
      </c>
      <c r="C1526" s="66">
        <f t="shared" si="718"/>
        <v>26378.78787878788</v>
      </c>
      <c r="D1526" s="66">
        <f t="shared" si="718"/>
        <v>28902.654867256639</v>
      </c>
      <c r="E1526" s="66">
        <f t="shared" si="718"/>
        <v>28427.067669172931</v>
      </c>
      <c r="F1526" s="66">
        <f t="shared" si="718"/>
        <v>30439.007092198583</v>
      </c>
      <c r="G1526" s="66">
        <f t="shared" si="718"/>
        <v>29013.625304136258</v>
      </c>
      <c r="H1526" s="66">
        <f t="shared" si="718"/>
        <v>27909.23076923077</v>
      </c>
      <c r="I1526" s="66">
        <f t="shared" si="718"/>
        <v>28683.983286908078</v>
      </c>
      <c r="J1526" s="67">
        <f>J1536/J1513</f>
        <v>28683.983286908078</v>
      </c>
    </row>
    <row r="1527" spans="1:10" x14ac:dyDescent="0.25">
      <c r="A1527" s="212" t="s">
        <v>25</v>
      </c>
      <c r="B1527" s="92">
        <f t="shared" ref="B1527:H1527" si="719">B1532*B1520</f>
        <v>952649.80689655186</v>
      </c>
      <c r="C1527" s="92">
        <f t="shared" si="719"/>
        <v>1214865.7379310345</v>
      </c>
      <c r="D1527" s="92">
        <f t="shared" si="719"/>
        <v>1957792.2862068964</v>
      </c>
      <c r="E1527" s="92">
        <f t="shared" si="719"/>
        <v>2186481.7413793104</v>
      </c>
      <c r="F1527" s="92">
        <f t="shared" si="719"/>
        <v>4739863.1327586211</v>
      </c>
      <c r="G1527" s="31">
        <f t="shared" si="719"/>
        <v>6962066.5862068972</v>
      </c>
      <c r="H1527" s="31">
        <f t="shared" si="719"/>
        <v>5069537.0551724145</v>
      </c>
      <c r="I1527" s="31">
        <f>SUM(B1527:H1527)</f>
        <v>23083256.346551724</v>
      </c>
      <c r="J1527" s="32">
        <f t="shared" ref="J1527:J1536" si="720">I1527/7</f>
        <v>3297608.0495073893</v>
      </c>
    </row>
    <row r="1528" spans="1:10" x14ac:dyDescent="0.25">
      <c r="A1528" s="212" t="s">
        <v>26</v>
      </c>
      <c r="B1528" s="92">
        <f t="shared" ref="B1528:H1528" si="721">B1532*B1521</f>
        <v>0</v>
      </c>
      <c r="C1528" s="92">
        <f t="shared" si="721"/>
        <v>21694.031034482759</v>
      </c>
      <c r="D1528" s="92">
        <f t="shared" si="721"/>
        <v>53638.144827586206</v>
      </c>
      <c r="E1528" s="92">
        <f t="shared" si="721"/>
        <v>31235.453448275865</v>
      </c>
      <c r="F1528" s="92">
        <f t="shared" si="721"/>
        <v>282976.90344827587</v>
      </c>
      <c r="G1528" s="31">
        <f t="shared" si="721"/>
        <v>392229.10344827594</v>
      </c>
      <c r="H1528" s="31">
        <f t="shared" si="721"/>
        <v>298208.06206896558</v>
      </c>
      <c r="I1528" s="31">
        <f>SUM(B1528:H1528)</f>
        <v>1079981.6982758623</v>
      </c>
      <c r="J1528" s="32">
        <f t="shared" si="720"/>
        <v>154283.09975369461</v>
      </c>
    </row>
    <row r="1529" spans="1:10" x14ac:dyDescent="0.25">
      <c r="A1529" s="212" t="s">
        <v>27</v>
      </c>
      <c r="B1529" s="92">
        <f t="shared" ref="B1529:H1529" si="722">B1532*B1522</f>
        <v>565131.24137931038</v>
      </c>
      <c r="C1529" s="92">
        <f t="shared" si="722"/>
        <v>911149.3034482759</v>
      </c>
      <c r="D1529" s="92">
        <f t="shared" si="722"/>
        <v>670476.81034482759</v>
      </c>
      <c r="E1529" s="92">
        <f t="shared" si="722"/>
        <v>905828.15</v>
      </c>
      <c r="F1529" s="92">
        <f t="shared" si="722"/>
        <v>1414884.5172413795</v>
      </c>
      <c r="G1529" s="31">
        <f t="shared" si="722"/>
        <v>1863088.2413793106</v>
      </c>
      <c r="H1529" s="31">
        <f t="shared" si="722"/>
        <v>1938352.4034482762</v>
      </c>
      <c r="I1529" s="31">
        <f>SUM(B1529:H1529)</f>
        <v>8268910.6672413796</v>
      </c>
      <c r="J1529" s="32">
        <f t="shared" si="720"/>
        <v>1181272.9524630543</v>
      </c>
    </row>
    <row r="1530" spans="1:10" x14ac:dyDescent="0.25">
      <c r="A1530" s="212" t="s">
        <v>28</v>
      </c>
      <c r="B1530" s="92">
        <f t="shared" ref="B1530:H1530" si="723">B1532*B1523</f>
        <v>0</v>
      </c>
      <c r="C1530" s="92">
        <f t="shared" si="723"/>
        <v>21694.031034482759</v>
      </c>
      <c r="D1530" s="92">
        <f t="shared" si="723"/>
        <v>0</v>
      </c>
      <c r="E1530" s="92">
        <f t="shared" si="723"/>
        <v>0</v>
      </c>
      <c r="F1530" s="92">
        <f t="shared" si="723"/>
        <v>636698.03275862068</v>
      </c>
      <c r="G1530" s="31">
        <f t="shared" si="723"/>
        <v>490286.37931034493</v>
      </c>
      <c r="H1530" s="31">
        <f t="shared" si="723"/>
        <v>74552.015517241394</v>
      </c>
      <c r="I1530" s="31">
        <f>SUM(B1530:H1530)</f>
        <v>1223230.4586206898</v>
      </c>
      <c r="J1530" s="32">
        <f t="shared" si="720"/>
        <v>174747.20837438427</v>
      </c>
    </row>
    <row r="1531" spans="1:10" x14ac:dyDescent="0.25">
      <c r="A1531" s="212" t="s">
        <v>29</v>
      </c>
      <c r="B1531" s="92">
        <f t="shared" ref="B1531:H1531" si="724">B1532*B1524</f>
        <v>96879.641379310357</v>
      </c>
      <c r="C1531" s="92">
        <f t="shared" si="724"/>
        <v>0</v>
      </c>
      <c r="D1531" s="92">
        <f t="shared" si="724"/>
        <v>0</v>
      </c>
      <c r="E1531" s="92">
        <f t="shared" si="724"/>
        <v>0</v>
      </c>
      <c r="F1531" s="92">
        <f t="shared" si="724"/>
        <v>0</v>
      </c>
      <c r="G1531" s="31">
        <f t="shared" si="724"/>
        <v>98057.275862068986</v>
      </c>
      <c r="H1531" s="31">
        <f t="shared" si="724"/>
        <v>74552.015517241394</v>
      </c>
      <c r="I1531" s="31">
        <f>SUM(B1531:H1531)</f>
        <v>269488.93275862071</v>
      </c>
      <c r="J1531" s="32">
        <f t="shared" si="720"/>
        <v>38498.418965517245</v>
      </c>
    </row>
    <row r="1532" spans="1:10" x14ac:dyDescent="0.25">
      <c r="A1532" s="216" t="s">
        <v>30</v>
      </c>
      <c r="B1532" s="222">
        <f>(1953000/1.16)-B1533</f>
        <v>1614660.6896551726</v>
      </c>
      <c r="C1532" s="222">
        <f>(2611500/1.16)-C1533</f>
        <v>2169403.1034482759</v>
      </c>
      <c r="D1532" s="222">
        <f>(3266000/1.16)-D1533</f>
        <v>2681907.2413793104</v>
      </c>
      <c r="E1532" s="222">
        <f>(3780800/1.16)-E1533</f>
        <v>3123545.3448275863</v>
      </c>
      <c r="F1532" s="222">
        <f>(8583800/1.16)-F1533</f>
        <v>7074422.5862068972</v>
      </c>
      <c r="G1532" s="222">
        <f>(11924600/1.16)-G1533</f>
        <v>9805727.5862068981</v>
      </c>
      <c r="H1532" s="222">
        <f>(9070500/1.16)-H1533</f>
        <v>7455201.5517241387</v>
      </c>
      <c r="I1532" s="197">
        <f>SUM(I1527:I1531)</f>
        <v>33924868.103448279</v>
      </c>
      <c r="J1532" s="217">
        <f t="shared" si="720"/>
        <v>4846409.7290640399</v>
      </c>
    </row>
    <row r="1533" spans="1:10" x14ac:dyDescent="0.25">
      <c r="A1533" s="212" t="s">
        <v>31</v>
      </c>
      <c r="B1533" s="92">
        <f t="shared" ref="B1533:I1533" si="725">2155*B1514</f>
        <v>68960</v>
      </c>
      <c r="C1533" s="92">
        <f t="shared" si="725"/>
        <v>81890</v>
      </c>
      <c r="D1533" s="92">
        <f t="shared" si="725"/>
        <v>133610</v>
      </c>
      <c r="E1533" s="92">
        <f t="shared" si="725"/>
        <v>135765</v>
      </c>
      <c r="F1533" s="92">
        <f t="shared" si="725"/>
        <v>325405</v>
      </c>
      <c r="G1533" s="31">
        <f t="shared" si="725"/>
        <v>474100</v>
      </c>
      <c r="H1533" s="31">
        <f t="shared" si="725"/>
        <v>364195</v>
      </c>
      <c r="I1533" s="31">
        <f t="shared" si="725"/>
        <v>1583925</v>
      </c>
      <c r="J1533" s="32">
        <f t="shared" si="720"/>
        <v>226275</v>
      </c>
    </row>
    <row r="1534" spans="1:10" x14ac:dyDescent="0.25">
      <c r="A1534" s="218" t="s">
        <v>32</v>
      </c>
      <c r="B1534" s="199">
        <f>B1533+B1532</f>
        <v>1683620.6896551726</v>
      </c>
      <c r="C1534" s="199">
        <f>C1533+C1532</f>
        <v>2251293.1034482759</v>
      </c>
      <c r="D1534" s="199">
        <f>D1533+D1532</f>
        <v>2815517.2413793104</v>
      </c>
      <c r="E1534" s="199">
        <f>E1533+E1532</f>
        <v>3259310.3448275863</v>
      </c>
      <c r="F1534" s="199">
        <f>F1532+F1533</f>
        <v>7399827.5862068972</v>
      </c>
      <c r="G1534" s="199">
        <f>G1533+G1532</f>
        <v>10279827.586206898</v>
      </c>
      <c r="H1534" s="199">
        <f>H1533+H1532</f>
        <v>7819396.5517241387</v>
      </c>
      <c r="I1534" s="199">
        <f>I1532+I1533</f>
        <v>35508793.103448279</v>
      </c>
      <c r="J1534" s="219">
        <f t="shared" si="720"/>
        <v>5072684.7290640399</v>
      </c>
    </row>
    <row r="1535" spans="1:10" x14ac:dyDescent="0.25">
      <c r="A1535" s="212" t="s">
        <v>33</v>
      </c>
      <c r="B1535" s="94">
        <f>B1534*16%</f>
        <v>269379.31034482765</v>
      </c>
      <c r="C1535" s="94">
        <f t="shared" ref="C1535:H1535" si="726">C1534*16%</f>
        <v>360206.89655172417</v>
      </c>
      <c r="D1535" s="94">
        <f t="shared" si="726"/>
        <v>450482.75862068968</v>
      </c>
      <c r="E1535" s="94">
        <f t="shared" si="726"/>
        <v>521489.6551724138</v>
      </c>
      <c r="F1535" s="94">
        <f t="shared" si="726"/>
        <v>1183972.4137931035</v>
      </c>
      <c r="G1535" s="94">
        <f t="shared" si="726"/>
        <v>1644772.4137931038</v>
      </c>
      <c r="H1535" s="94">
        <f t="shared" si="726"/>
        <v>1251103.4482758623</v>
      </c>
      <c r="I1535" s="94">
        <f>I1534*16%</f>
        <v>5681406.8965517245</v>
      </c>
      <c r="J1535" s="32">
        <f t="shared" si="720"/>
        <v>811629.55665024638</v>
      </c>
    </row>
    <row r="1536" spans="1:10" x14ac:dyDescent="0.25">
      <c r="A1536" s="220" t="s">
        <v>34</v>
      </c>
      <c r="B1536" s="202">
        <f>B1534+B1535</f>
        <v>1953000.0000000002</v>
      </c>
      <c r="C1536" s="202">
        <f t="shared" ref="C1536:H1536" si="727">C1534+C1535</f>
        <v>2611500</v>
      </c>
      <c r="D1536" s="202">
        <f t="shared" si="727"/>
        <v>3266000</v>
      </c>
      <c r="E1536" s="202">
        <f t="shared" si="727"/>
        <v>3780800</v>
      </c>
      <c r="F1536" s="202">
        <f t="shared" si="727"/>
        <v>8583800</v>
      </c>
      <c r="G1536" s="202">
        <f t="shared" si="727"/>
        <v>11924600.000000002</v>
      </c>
      <c r="H1536" s="202">
        <f t="shared" si="727"/>
        <v>9070500</v>
      </c>
      <c r="I1536" s="202">
        <f>I1534+I1535</f>
        <v>41190200</v>
      </c>
      <c r="J1536" s="221">
        <f t="shared" si="720"/>
        <v>5884314.2857142854</v>
      </c>
    </row>
    <row r="1537" spans="1:10" ht="15.75" thickBot="1" x14ac:dyDescent="0.3"/>
    <row r="1538" spans="1:10" ht="26.25" x14ac:dyDescent="0.25">
      <c r="B1538" s="1007" t="s">
        <v>396</v>
      </c>
      <c r="C1538" s="1007"/>
      <c r="D1538" s="1007"/>
      <c r="E1538" s="1007"/>
      <c r="F1538" s="1007"/>
      <c r="G1538" s="1007"/>
      <c r="H1538" s="1007"/>
    </row>
    <row r="1539" spans="1:10" ht="15.75" x14ac:dyDescent="0.25">
      <c r="A1539" s="207" t="s">
        <v>2</v>
      </c>
      <c r="B1539" s="121" t="s">
        <v>600</v>
      </c>
      <c r="C1539" s="121" t="s">
        <v>601</v>
      </c>
      <c r="D1539" s="121" t="s">
        <v>602</v>
      </c>
      <c r="E1539" s="121" t="s">
        <v>603</v>
      </c>
      <c r="F1539" s="121" t="s">
        <v>604</v>
      </c>
      <c r="G1539" s="121" t="s">
        <v>605</v>
      </c>
      <c r="H1539" s="121" t="s">
        <v>606</v>
      </c>
      <c r="I1539" s="121" t="s">
        <v>96</v>
      </c>
      <c r="J1539" s="209" t="s">
        <v>97</v>
      </c>
    </row>
    <row r="1540" spans="1:10" x14ac:dyDescent="0.25">
      <c r="A1540" s="332" t="s">
        <v>11</v>
      </c>
      <c r="B1540" s="55">
        <f>48+24+5</f>
        <v>77</v>
      </c>
      <c r="C1540" s="56">
        <f>57+21+14</f>
        <v>92</v>
      </c>
      <c r="D1540" s="54">
        <f>63+38+10</f>
        <v>111</v>
      </c>
      <c r="E1540" s="316">
        <f>79+38+13</f>
        <v>130</v>
      </c>
      <c r="F1540" s="311">
        <f>159+72+24</f>
        <v>255</v>
      </c>
      <c r="G1540" s="58">
        <f>187+137+37</f>
        <v>361</v>
      </c>
      <c r="H1540" s="57">
        <f>187+110+41</f>
        <v>338</v>
      </c>
      <c r="I1540" s="316">
        <f>SUM(B1540:H1540)</f>
        <v>1364</v>
      </c>
      <c r="J1540" s="382">
        <f>+I1540/7</f>
        <v>194.85714285714286</v>
      </c>
    </row>
    <row r="1541" spans="1:10" x14ac:dyDescent="0.25">
      <c r="A1541" s="212" t="s">
        <v>12</v>
      </c>
      <c r="B1541" s="86">
        <v>49</v>
      </c>
      <c r="C1541" s="320">
        <v>37</v>
      </c>
      <c r="D1541" s="320">
        <v>55</v>
      </c>
      <c r="E1541" s="11">
        <v>66</v>
      </c>
      <c r="F1541" s="388">
        <v>141</v>
      </c>
      <c r="G1541" s="11">
        <v>173</v>
      </c>
      <c r="H1541" s="11">
        <v>161</v>
      </c>
      <c r="I1541" s="11">
        <f>SUM(CEDRITOS!$B1541:$H1541)</f>
        <v>682</v>
      </c>
      <c r="J1541" s="60">
        <f t="shared" ref="J1541:J1546" si="728">I1541/7</f>
        <v>97.428571428571431</v>
      </c>
    </row>
    <row r="1542" spans="1:10" x14ac:dyDescent="0.25">
      <c r="A1542" s="212" t="s">
        <v>13</v>
      </c>
      <c r="B1542" s="11">
        <v>1</v>
      </c>
      <c r="C1542" s="13">
        <v>2</v>
      </c>
      <c r="D1542" s="13">
        <v>0</v>
      </c>
      <c r="E1542" s="11">
        <v>4</v>
      </c>
      <c r="F1542" s="125">
        <v>4</v>
      </c>
      <c r="G1542" s="11">
        <v>10</v>
      </c>
      <c r="H1542" s="11">
        <v>8</v>
      </c>
      <c r="I1542" s="11">
        <f>SUM(CEDRITOS!$B1542:$H1542)</f>
        <v>29</v>
      </c>
      <c r="J1542" s="60">
        <f t="shared" si="728"/>
        <v>4.1428571428571432</v>
      </c>
    </row>
    <row r="1543" spans="1:10" x14ac:dyDescent="0.25">
      <c r="A1543" s="212" t="s">
        <v>14</v>
      </c>
      <c r="B1543" s="11">
        <v>17</v>
      </c>
      <c r="C1543" s="13">
        <v>34</v>
      </c>
      <c r="D1543" s="320">
        <v>28</v>
      </c>
      <c r="E1543" s="11">
        <v>41</v>
      </c>
      <c r="F1543" s="125">
        <v>55</v>
      </c>
      <c r="G1543" s="11">
        <v>81</v>
      </c>
      <c r="H1543" s="11">
        <v>84</v>
      </c>
      <c r="I1543" s="11">
        <f>SUM(CEDRITOS!$B1543:$H1543)</f>
        <v>340</v>
      </c>
      <c r="J1543" s="60">
        <f t="shared" si="728"/>
        <v>48.571428571428569</v>
      </c>
    </row>
    <row r="1544" spans="1:10" x14ac:dyDescent="0.25">
      <c r="A1544" s="212" t="s">
        <v>15</v>
      </c>
      <c r="B1544" s="11">
        <v>0</v>
      </c>
      <c r="C1544" s="13">
        <v>3</v>
      </c>
      <c r="D1544" s="13">
        <v>9</v>
      </c>
      <c r="E1544" s="11">
        <v>3</v>
      </c>
      <c r="F1544" s="125">
        <v>4</v>
      </c>
      <c r="G1544" s="11">
        <v>9</v>
      </c>
      <c r="H1544" s="11">
        <v>2</v>
      </c>
      <c r="I1544" s="11">
        <f>SUM(CEDRITOS!$B1544:$H1544)</f>
        <v>30</v>
      </c>
      <c r="J1544" s="60">
        <f t="shared" si="728"/>
        <v>4.2857142857142856</v>
      </c>
    </row>
    <row r="1545" spans="1:10" x14ac:dyDescent="0.25">
      <c r="A1545" s="212" t="s">
        <v>16</v>
      </c>
      <c r="B1545" s="11">
        <v>0</v>
      </c>
      <c r="C1545" s="13">
        <v>1</v>
      </c>
      <c r="D1545" s="13">
        <v>1</v>
      </c>
      <c r="E1545" s="11">
        <v>0</v>
      </c>
      <c r="F1545" s="125">
        <v>0</v>
      </c>
      <c r="G1545" s="11">
        <v>4</v>
      </c>
      <c r="H1545" s="11">
        <v>0</v>
      </c>
      <c r="I1545" s="11">
        <f>SUM(CEDRITOS!$B1545:$H1545)</f>
        <v>6</v>
      </c>
      <c r="J1545" s="60">
        <f t="shared" si="728"/>
        <v>0.8571428571428571</v>
      </c>
    </row>
    <row r="1546" spans="1:10" x14ac:dyDescent="0.25">
      <c r="A1546" s="213" t="s">
        <v>17</v>
      </c>
      <c r="B1546" s="192">
        <f>SUM(B1541:B1545)</f>
        <v>67</v>
      </c>
      <c r="C1546" s="192">
        <f t="shared" ref="C1546:I1546" si="729">SUM(C1541:C1545)</f>
        <v>77</v>
      </c>
      <c r="D1546" s="192">
        <f t="shared" si="729"/>
        <v>93</v>
      </c>
      <c r="E1546" s="192">
        <f t="shared" si="729"/>
        <v>114</v>
      </c>
      <c r="F1546" s="192">
        <f t="shared" si="729"/>
        <v>204</v>
      </c>
      <c r="G1546" s="192">
        <f t="shared" si="729"/>
        <v>277</v>
      </c>
      <c r="H1546" s="192">
        <f t="shared" si="729"/>
        <v>255</v>
      </c>
      <c r="I1546" s="192">
        <f t="shared" si="729"/>
        <v>1087</v>
      </c>
      <c r="J1546" s="214">
        <f t="shared" si="728"/>
        <v>155.28571428571428</v>
      </c>
    </row>
    <row r="1547" spans="1:10" x14ac:dyDescent="0.25">
      <c r="A1547" s="212" t="s">
        <v>18</v>
      </c>
      <c r="B1547" s="325">
        <v>0.75</v>
      </c>
      <c r="C1547" s="326">
        <v>0.56999999999999995</v>
      </c>
      <c r="D1547" s="326">
        <v>0.67</v>
      </c>
      <c r="E1547" s="327">
        <v>0.63</v>
      </c>
      <c r="F1547" s="328">
        <v>0.74</v>
      </c>
      <c r="G1547" s="327">
        <v>0.65</v>
      </c>
      <c r="H1547" s="327">
        <v>0.66</v>
      </c>
      <c r="I1547" s="30">
        <f>I1554/I1559</f>
        <v>0.66972309327174362</v>
      </c>
      <c r="J1547" s="160">
        <f>J1554/J1559</f>
        <v>0.66972309327174373</v>
      </c>
    </row>
    <row r="1548" spans="1:10" x14ac:dyDescent="0.25">
      <c r="A1548" s="212" t="s">
        <v>19</v>
      </c>
      <c r="B1548" s="325">
        <v>0.01</v>
      </c>
      <c r="C1548" s="326">
        <v>0.02</v>
      </c>
      <c r="D1548" s="326">
        <v>0</v>
      </c>
      <c r="E1548" s="327">
        <v>0.04</v>
      </c>
      <c r="F1548" s="327">
        <v>0.01</v>
      </c>
      <c r="G1548" s="327">
        <v>0.03</v>
      </c>
      <c r="H1548" s="327">
        <v>0.04</v>
      </c>
      <c r="I1548" s="30">
        <f>I1555/I1559</f>
        <v>2.5627073976777884E-2</v>
      </c>
      <c r="J1548" s="160">
        <f>J1555/J1559</f>
        <v>2.5627073976777884E-2</v>
      </c>
    </row>
    <row r="1549" spans="1:10" x14ac:dyDescent="0.25">
      <c r="A1549" s="212" t="s">
        <v>20</v>
      </c>
      <c r="B1549" s="325">
        <v>0.24</v>
      </c>
      <c r="C1549" s="326">
        <v>0.36</v>
      </c>
      <c r="D1549" s="326">
        <v>0.24</v>
      </c>
      <c r="E1549" s="327">
        <v>0.3</v>
      </c>
      <c r="F1549" s="329">
        <v>0.23</v>
      </c>
      <c r="G1549" s="327">
        <v>0.26</v>
      </c>
      <c r="H1549" s="327">
        <v>0.28999999999999998</v>
      </c>
      <c r="I1549" s="30">
        <f>I1556/I1559</f>
        <v>0.26895251809658322</v>
      </c>
      <c r="J1549" s="160">
        <f>J1556/J1559</f>
        <v>0.26895251809658322</v>
      </c>
    </row>
    <row r="1550" spans="1:10" x14ac:dyDescent="0.25">
      <c r="A1550" s="212" t="s">
        <v>21</v>
      </c>
      <c r="B1550" s="325">
        <v>0</v>
      </c>
      <c r="C1550" s="326">
        <v>0.04</v>
      </c>
      <c r="D1550" s="326">
        <v>0.08</v>
      </c>
      <c r="E1550" s="327">
        <v>0.03</v>
      </c>
      <c r="F1550" s="329">
        <v>0.02</v>
      </c>
      <c r="G1550" s="327">
        <v>0.03</v>
      </c>
      <c r="H1550" s="327">
        <v>0.01</v>
      </c>
      <c r="I1550" s="30">
        <f>I1557/I1559</f>
        <v>2.5943837863091162E-2</v>
      </c>
      <c r="J1550" s="160">
        <f>J1557/J1559</f>
        <v>2.5943837863091165E-2</v>
      </c>
    </row>
    <row r="1551" spans="1:10" x14ac:dyDescent="0.25">
      <c r="A1551" s="212" t="s">
        <v>22</v>
      </c>
      <c r="B1551" s="325">
        <v>0</v>
      </c>
      <c r="C1551" s="326">
        <v>0.01</v>
      </c>
      <c r="D1551" s="326">
        <v>0.01</v>
      </c>
      <c r="E1551" s="327">
        <v>0</v>
      </c>
      <c r="F1551" s="329">
        <v>0</v>
      </c>
      <c r="G1551" s="327">
        <v>0.03</v>
      </c>
      <c r="H1551" s="327">
        <v>0</v>
      </c>
      <c r="I1551" s="30">
        <f>I1558/I1559</f>
        <v>9.7534767918042078E-3</v>
      </c>
      <c r="J1551" s="160">
        <f>J1558/J1559</f>
        <v>9.7534767918042078E-3</v>
      </c>
    </row>
    <row r="1552" spans="1:10" x14ac:dyDescent="0.25">
      <c r="A1552" s="215" t="s">
        <v>23</v>
      </c>
      <c r="B1552" s="66">
        <f t="shared" ref="B1552:J1552" si="730">B1563/B1546</f>
        <v>33561.194029850747</v>
      </c>
      <c r="C1552" s="66">
        <f t="shared" si="730"/>
        <v>30368.83116883117</v>
      </c>
      <c r="D1552" s="66">
        <f t="shared" si="730"/>
        <v>32635.483870967746</v>
      </c>
      <c r="E1552" s="66">
        <f t="shared" si="730"/>
        <v>30866.666666666672</v>
      </c>
      <c r="F1552" s="66">
        <f t="shared" si="730"/>
        <v>35199.509803921574</v>
      </c>
      <c r="G1552" s="66">
        <f t="shared" si="730"/>
        <v>38883.393501805062</v>
      </c>
      <c r="H1552" s="66">
        <f t="shared" si="730"/>
        <v>37979.215686274511</v>
      </c>
      <c r="I1552" s="66">
        <f t="shared" si="730"/>
        <v>35673.413063477463</v>
      </c>
      <c r="J1552" s="67">
        <f t="shared" si="730"/>
        <v>35673.413063477463</v>
      </c>
    </row>
    <row r="1553" spans="1:10" x14ac:dyDescent="0.25">
      <c r="A1553" s="215" t="s">
        <v>24</v>
      </c>
      <c r="B1553" s="66">
        <f t="shared" ref="B1553:I1553" si="731">+B1563/B1540</f>
        <v>29202.597402597403</v>
      </c>
      <c r="C1553" s="66">
        <f t="shared" si="731"/>
        <v>25417.391304347828</v>
      </c>
      <c r="D1553" s="66">
        <f t="shared" si="731"/>
        <v>27343.243243243247</v>
      </c>
      <c r="E1553" s="66">
        <f t="shared" si="731"/>
        <v>27067.692307692312</v>
      </c>
      <c r="F1553" s="66">
        <f t="shared" si="731"/>
        <v>28159.607843137259</v>
      </c>
      <c r="G1553" s="66">
        <f t="shared" si="731"/>
        <v>29835.734072022165</v>
      </c>
      <c r="H1553" s="66">
        <f t="shared" si="731"/>
        <v>28652.958579881655</v>
      </c>
      <c r="I1553" s="66">
        <f t="shared" si="731"/>
        <v>28428.885630498535</v>
      </c>
      <c r="J1553" s="67">
        <f>J1563/J1540</f>
        <v>28428.885630498531</v>
      </c>
    </row>
    <row r="1554" spans="1:10" x14ac:dyDescent="0.25">
      <c r="A1554" s="212" t="s">
        <v>25</v>
      </c>
      <c r="B1554" s="92">
        <f t="shared" ref="B1554:H1554" si="732">B1559*B1547</f>
        <v>1374639.9568965519</v>
      </c>
      <c r="C1554" s="92">
        <f t="shared" si="732"/>
        <v>1103592.4293103449</v>
      </c>
      <c r="D1554" s="92">
        <f t="shared" si="732"/>
        <v>1673620.1465517245</v>
      </c>
      <c r="E1554" s="92">
        <f t="shared" si="732"/>
        <v>1821467.5137931036</v>
      </c>
      <c r="F1554" s="92">
        <f t="shared" si="732"/>
        <v>4355938.6793103451</v>
      </c>
      <c r="G1554" s="31">
        <f t="shared" si="732"/>
        <v>5792976.2844827594</v>
      </c>
      <c r="H1554" s="31">
        <f t="shared" si="732"/>
        <v>5281270.044827587</v>
      </c>
      <c r="I1554" s="31">
        <f>SUM(B1554:H1554)</f>
        <v>21403505.055172417</v>
      </c>
      <c r="J1554" s="32">
        <f t="shared" ref="J1554:J1563" si="733">I1554/7</f>
        <v>3057643.5793103455</v>
      </c>
    </row>
    <row r="1555" spans="1:10" x14ac:dyDescent="0.25">
      <c r="A1555" s="212" t="s">
        <v>26</v>
      </c>
      <c r="B1555" s="92">
        <f t="shared" ref="B1555:H1555" si="734">B1559*B1548</f>
        <v>18328.532758620691</v>
      </c>
      <c r="C1555" s="92">
        <f t="shared" si="734"/>
        <v>38722.541379310351</v>
      </c>
      <c r="D1555" s="92">
        <f t="shared" si="734"/>
        <v>0</v>
      </c>
      <c r="E1555" s="92">
        <f t="shared" si="734"/>
        <v>115648.73103448277</v>
      </c>
      <c r="F1555" s="92">
        <f t="shared" si="734"/>
        <v>58864.036206896555</v>
      </c>
      <c r="G1555" s="31">
        <f t="shared" si="734"/>
        <v>267368.13620689657</v>
      </c>
      <c r="H1555" s="31">
        <f t="shared" si="734"/>
        <v>320076.97241379315</v>
      </c>
      <c r="I1555" s="31">
        <f>SUM(B1555:H1555)</f>
        <v>819008.95000000019</v>
      </c>
      <c r="J1555" s="32">
        <f t="shared" si="733"/>
        <v>117001.2785714286</v>
      </c>
    </row>
    <row r="1556" spans="1:10" x14ac:dyDescent="0.25">
      <c r="A1556" s="212" t="s">
        <v>27</v>
      </c>
      <c r="B1556" s="92">
        <f t="shared" ref="B1556:H1556" si="735">B1559*B1549</f>
        <v>439884.78620689659</v>
      </c>
      <c r="C1556" s="92">
        <f t="shared" si="735"/>
        <v>697005.74482758623</v>
      </c>
      <c r="D1556" s="92">
        <f t="shared" si="735"/>
        <v>599505.72413793113</v>
      </c>
      <c r="E1556" s="92">
        <f t="shared" si="735"/>
        <v>867365.48275862075</v>
      </c>
      <c r="F1556" s="92">
        <f t="shared" si="735"/>
        <v>1353872.8327586208</v>
      </c>
      <c r="G1556" s="31">
        <f t="shared" si="735"/>
        <v>2317190.5137931039</v>
      </c>
      <c r="H1556" s="31">
        <f t="shared" si="735"/>
        <v>2320558.0499999998</v>
      </c>
      <c r="I1556" s="31">
        <f>SUM(B1556:H1556)</f>
        <v>8595383.13448276</v>
      </c>
      <c r="J1556" s="32">
        <f t="shared" si="733"/>
        <v>1227911.8763546799</v>
      </c>
    </row>
    <row r="1557" spans="1:10" x14ac:dyDescent="0.25">
      <c r="A1557" s="212" t="s">
        <v>28</v>
      </c>
      <c r="B1557" s="92">
        <f t="shared" ref="B1557:H1557" si="736">B1559*B1550</f>
        <v>0</v>
      </c>
      <c r="C1557" s="92">
        <f t="shared" si="736"/>
        <v>77445.082758620701</v>
      </c>
      <c r="D1557" s="92">
        <f t="shared" si="736"/>
        <v>199835.24137931038</v>
      </c>
      <c r="E1557" s="92">
        <f t="shared" si="736"/>
        <v>86736.548275862078</v>
      </c>
      <c r="F1557" s="92">
        <f t="shared" si="736"/>
        <v>117728.07241379311</v>
      </c>
      <c r="G1557" s="31">
        <f t="shared" si="736"/>
        <v>267368.13620689657</v>
      </c>
      <c r="H1557" s="31">
        <f t="shared" si="736"/>
        <v>80019.243103448287</v>
      </c>
      <c r="I1557" s="31">
        <f>SUM(B1557:H1557)</f>
        <v>829132.32413793122</v>
      </c>
      <c r="J1557" s="32">
        <f t="shared" si="733"/>
        <v>118447.47487684732</v>
      </c>
    </row>
    <row r="1558" spans="1:10" x14ac:dyDescent="0.25">
      <c r="A1558" s="212" t="s">
        <v>29</v>
      </c>
      <c r="B1558" s="92">
        <f t="shared" ref="B1558:H1558" si="737">B1559*B1551</f>
        <v>0</v>
      </c>
      <c r="C1558" s="92">
        <f t="shared" si="737"/>
        <v>19361.270689655175</v>
      </c>
      <c r="D1558" s="92">
        <f t="shared" si="737"/>
        <v>24979.405172413797</v>
      </c>
      <c r="E1558" s="92">
        <f t="shared" si="737"/>
        <v>0</v>
      </c>
      <c r="F1558" s="92">
        <f t="shared" si="737"/>
        <v>0</v>
      </c>
      <c r="G1558" s="31">
        <f t="shared" si="737"/>
        <v>267368.13620689657</v>
      </c>
      <c r="H1558" s="31">
        <f t="shared" si="737"/>
        <v>0</v>
      </c>
      <c r="I1558" s="31">
        <f>SUM(B1558:H1558)</f>
        <v>311708.81206896552</v>
      </c>
      <c r="J1558" s="32">
        <f t="shared" si="733"/>
        <v>44529.830295566506</v>
      </c>
    </row>
    <row r="1559" spans="1:10" x14ac:dyDescent="0.25">
      <c r="A1559" s="216" t="s">
        <v>30</v>
      </c>
      <c r="B1559" s="222">
        <f>(2248600/1.16)-B1560</f>
        <v>1832853.2758620691</v>
      </c>
      <c r="C1559" s="222">
        <f>(2338400/1.16)-C1560</f>
        <v>1936127.0689655175</v>
      </c>
      <c r="D1559" s="222">
        <f>(3035100/1.16)-D1560</f>
        <v>2497940.5172413797</v>
      </c>
      <c r="E1559" s="222">
        <f>(3518800/1.16)-E1560</f>
        <v>2891218.2758620693</v>
      </c>
      <c r="F1559" s="222">
        <f>(7180700/1.16)-F1560</f>
        <v>5886403.6206896557</v>
      </c>
      <c r="G1559" s="222">
        <f>(10770700/1.16)-G1560</f>
        <v>8912271.2068965528</v>
      </c>
      <c r="H1559" s="222">
        <f>(9684700/1.16)-H1560</f>
        <v>8001924.3103448283</v>
      </c>
      <c r="I1559" s="197">
        <f>SUM(I1554:I1558)</f>
        <v>31958738.275862072</v>
      </c>
      <c r="J1559" s="217">
        <f t="shared" si="733"/>
        <v>4565534.0394088672</v>
      </c>
    </row>
    <row r="1560" spans="1:10" x14ac:dyDescent="0.25">
      <c r="A1560" s="212" t="s">
        <v>31</v>
      </c>
      <c r="B1560" s="92">
        <f t="shared" ref="B1560:I1560" si="738">2155*B1541</f>
        <v>105595</v>
      </c>
      <c r="C1560" s="92">
        <f t="shared" si="738"/>
        <v>79735</v>
      </c>
      <c r="D1560" s="92">
        <f t="shared" si="738"/>
        <v>118525</v>
      </c>
      <c r="E1560" s="92">
        <f t="shared" si="738"/>
        <v>142230</v>
      </c>
      <c r="F1560" s="92">
        <f t="shared" si="738"/>
        <v>303855</v>
      </c>
      <c r="G1560" s="31">
        <f t="shared" si="738"/>
        <v>372815</v>
      </c>
      <c r="H1560" s="31">
        <f t="shared" si="738"/>
        <v>346955</v>
      </c>
      <c r="I1560" s="31">
        <f t="shared" si="738"/>
        <v>1469710</v>
      </c>
      <c r="J1560" s="32">
        <f t="shared" si="733"/>
        <v>209958.57142857142</v>
      </c>
    </row>
    <row r="1561" spans="1:10" x14ac:dyDescent="0.25">
      <c r="A1561" s="218" t="s">
        <v>32</v>
      </c>
      <c r="B1561" s="199">
        <f>B1560+B1559</f>
        <v>1938448.2758620691</v>
      </c>
      <c r="C1561" s="199">
        <f>C1560+C1559</f>
        <v>2015862.0689655175</v>
      </c>
      <c r="D1561" s="199">
        <f>D1560+D1559</f>
        <v>2616465.5172413797</v>
      </c>
      <c r="E1561" s="199">
        <f>E1560+E1559</f>
        <v>3033448.2758620693</v>
      </c>
      <c r="F1561" s="199">
        <f>F1559+F1560</f>
        <v>6190258.6206896557</v>
      </c>
      <c r="G1561" s="199">
        <f>G1560+G1559</f>
        <v>9285086.2068965528</v>
      </c>
      <c r="H1561" s="199">
        <f>H1560+H1559</f>
        <v>8348879.3103448283</v>
      </c>
      <c r="I1561" s="199">
        <f>I1559+I1560</f>
        <v>33428448.275862072</v>
      </c>
      <c r="J1561" s="219">
        <f t="shared" si="733"/>
        <v>4775492.6108374391</v>
      </c>
    </row>
    <row r="1562" spans="1:10" x14ac:dyDescent="0.25">
      <c r="A1562" s="212" t="s">
        <v>33</v>
      </c>
      <c r="B1562" s="94">
        <f>B1561*16%</f>
        <v>310151.72413793107</v>
      </c>
      <c r="C1562" s="94">
        <f t="shared" ref="C1562:H1562" si="739">C1561*16%</f>
        <v>322537.93103448278</v>
      </c>
      <c r="D1562" s="94">
        <f t="shared" si="739"/>
        <v>418634.48275862075</v>
      </c>
      <c r="E1562" s="94">
        <f t="shared" si="739"/>
        <v>485351.72413793113</v>
      </c>
      <c r="F1562" s="94">
        <f t="shared" si="739"/>
        <v>990441.37931034493</v>
      </c>
      <c r="G1562" s="94">
        <f t="shared" si="739"/>
        <v>1485613.7931034486</v>
      </c>
      <c r="H1562" s="94">
        <f t="shared" si="739"/>
        <v>1335820.6896551726</v>
      </c>
      <c r="I1562" s="94">
        <f>I1561*16%</f>
        <v>5348551.7241379311</v>
      </c>
      <c r="J1562" s="32">
        <f t="shared" si="733"/>
        <v>764078.81773399014</v>
      </c>
    </row>
    <row r="1563" spans="1:10" x14ac:dyDescent="0.25">
      <c r="A1563" s="220" t="s">
        <v>34</v>
      </c>
      <c r="B1563" s="202">
        <f>B1561+B1562</f>
        <v>2248600</v>
      </c>
      <c r="C1563" s="202">
        <f t="shared" ref="C1563:H1563" si="740">C1561+C1562</f>
        <v>2338400</v>
      </c>
      <c r="D1563" s="202">
        <f t="shared" si="740"/>
        <v>3035100.0000000005</v>
      </c>
      <c r="E1563" s="202">
        <f t="shared" si="740"/>
        <v>3518800.0000000005</v>
      </c>
      <c r="F1563" s="202">
        <f t="shared" si="740"/>
        <v>7180700.0000000009</v>
      </c>
      <c r="G1563" s="202">
        <f t="shared" si="740"/>
        <v>10770700.000000002</v>
      </c>
      <c r="H1563" s="202">
        <f t="shared" si="740"/>
        <v>9684700</v>
      </c>
      <c r="I1563" s="202">
        <f>I1561+I1562</f>
        <v>38777000</v>
      </c>
      <c r="J1563" s="221">
        <f t="shared" si="733"/>
        <v>5539571.4285714282</v>
      </c>
    </row>
    <row r="1564" spans="1:10" ht="15.75" thickBot="1" x14ac:dyDescent="0.3"/>
    <row r="1565" spans="1:10" ht="26.25" x14ac:dyDescent="0.25">
      <c r="B1565" s="1007" t="s">
        <v>397</v>
      </c>
      <c r="C1565" s="1007"/>
      <c r="D1565" s="1007"/>
      <c r="E1565" s="1007"/>
      <c r="F1565" s="1007"/>
      <c r="G1565" s="1007"/>
      <c r="H1565" s="1007"/>
    </row>
    <row r="1566" spans="1:10" ht="15.75" x14ac:dyDescent="0.25">
      <c r="A1566" s="207" t="s">
        <v>2</v>
      </c>
      <c r="B1566" s="121" t="s">
        <v>608</v>
      </c>
      <c r="C1566" s="121" t="s">
        <v>609</v>
      </c>
      <c r="D1566" s="121" t="s">
        <v>610</v>
      </c>
      <c r="E1566" s="121" t="s">
        <v>611</v>
      </c>
      <c r="F1566" s="121" t="s">
        <v>612</v>
      </c>
      <c r="G1566" s="121" t="s">
        <v>613</v>
      </c>
      <c r="H1566" s="121" t="s">
        <v>614</v>
      </c>
      <c r="I1566" s="121" t="s">
        <v>96</v>
      </c>
      <c r="J1566" s="209" t="s">
        <v>97</v>
      </c>
    </row>
    <row r="1567" spans="1:10" x14ac:dyDescent="0.25">
      <c r="A1567" s="332" t="s">
        <v>11</v>
      </c>
      <c r="B1567" s="55">
        <f>51+22+11</f>
        <v>84</v>
      </c>
      <c r="C1567" s="56">
        <f>60+38+13</f>
        <v>111</v>
      </c>
      <c r="D1567" s="54">
        <f>68+24+12</f>
        <v>104</v>
      </c>
      <c r="E1567" s="316">
        <f>79+34+23</f>
        <v>136</v>
      </c>
      <c r="F1567" s="311">
        <f>181+115+52</f>
        <v>348</v>
      </c>
      <c r="G1567" s="58">
        <f>197+145+37</f>
        <v>379</v>
      </c>
      <c r="H1567" s="57">
        <f>168+110+45</f>
        <v>323</v>
      </c>
      <c r="I1567" s="316">
        <f>SUM(B1567:H1567)</f>
        <v>1485</v>
      </c>
      <c r="J1567" s="382">
        <f>+I1567/7</f>
        <v>212.14285714285714</v>
      </c>
    </row>
    <row r="1568" spans="1:10" x14ac:dyDescent="0.25">
      <c r="A1568" s="212" t="s">
        <v>12</v>
      </c>
      <c r="B1568" s="86">
        <v>39</v>
      </c>
      <c r="C1568" s="320">
        <v>59</v>
      </c>
      <c r="D1568" s="320">
        <v>52</v>
      </c>
      <c r="E1568" s="11">
        <v>59</v>
      </c>
      <c r="F1568" s="388">
        <v>179</v>
      </c>
      <c r="G1568" s="11">
        <v>194</v>
      </c>
      <c r="H1568" s="11">
        <v>159</v>
      </c>
      <c r="I1568" s="11">
        <f>SUM(CEDRITOS!$B1568:$H1568)</f>
        <v>741</v>
      </c>
      <c r="J1568" s="60">
        <f t="shared" ref="J1568:J1573" si="741">I1568/7</f>
        <v>105.85714285714286</v>
      </c>
    </row>
    <row r="1569" spans="1:10" x14ac:dyDescent="0.25">
      <c r="A1569" s="212" t="s">
        <v>13</v>
      </c>
      <c r="B1569" s="11">
        <v>2</v>
      </c>
      <c r="C1569" s="13">
        <v>1</v>
      </c>
      <c r="D1569" s="13">
        <v>3</v>
      </c>
      <c r="E1569" s="11">
        <v>3</v>
      </c>
      <c r="F1569" s="125">
        <v>10</v>
      </c>
      <c r="G1569" s="11">
        <v>10</v>
      </c>
      <c r="H1569" s="11">
        <v>8</v>
      </c>
      <c r="I1569" s="11">
        <f>SUM(CEDRITOS!$B1569:$H1569)</f>
        <v>37</v>
      </c>
      <c r="J1569" s="60">
        <f t="shared" si="741"/>
        <v>5.2857142857142856</v>
      </c>
    </row>
    <row r="1570" spans="1:10" x14ac:dyDescent="0.25">
      <c r="A1570" s="212" t="s">
        <v>14</v>
      </c>
      <c r="B1570" s="11">
        <v>28</v>
      </c>
      <c r="C1570" s="13">
        <v>32</v>
      </c>
      <c r="D1570" s="320">
        <v>19</v>
      </c>
      <c r="E1570" s="11">
        <v>45</v>
      </c>
      <c r="F1570" s="125">
        <v>79</v>
      </c>
      <c r="G1570" s="11">
        <v>97</v>
      </c>
      <c r="H1570" s="11">
        <v>84</v>
      </c>
      <c r="I1570" s="11">
        <f>SUM(CEDRITOS!$B1570:$H1570)</f>
        <v>384</v>
      </c>
      <c r="J1570" s="60">
        <f t="shared" si="741"/>
        <v>54.857142857142854</v>
      </c>
    </row>
    <row r="1571" spans="1:10" x14ac:dyDescent="0.25">
      <c r="A1571" s="212" t="s">
        <v>15</v>
      </c>
      <c r="B1571" s="11">
        <v>0</v>
      </c>
      <c r="C1571" s="13">
        <v>0</v>
      </c>
      <c r="D1571" s="13">
        <v>0</v>
      </c>
      <c r="E1571" s="11">
        <v>3</v>
      </c>
      <c r="F1571" s="125">
        <v>2</v>
      </c>
      <c r="G1571" s="11">
        <v>2</v>
      </c>
      <c r="H1571" s="11">
        <v>0</v>
      </c>
      <c r="I1571" s="11">
        <f>SUM(CEDRITOS!$B1571:$H1571)</f>
        <v>7</v>
      </c>
      <c r="J1571" s="60">
        <f t="shared" si="741"/>
        <v>1</v>
      </c>
    </row>
    <row r="1572" spans="1:10" x14ac:dyDescent="0.25">
      <c r="A1572" s="212" t="s">
        <v>16</v>
      </c>
      <c r="B1572" s="11">
        <v>0</v>
      </c>
      <c r="C1572" s="13">
        <v>0</v>
      </c>
      <c r="D1572" s="13">
        <v>1</v>
      </c>
      <c r="E1572" s="11">
        <v>1</v>
      </c>
      <c r="F1572" s="125">
        <v>0</v>
      </c>
      <c r="G1572" s="11">
        <v>1</v>
      </c>
      <c r="H1572" s="11">
        <v>3</v>
      </c>
      <c r="I1572" s="11">
        <f>SUM(CEDRITOS!$B1572:$H1572)</f>
        <v>6</v>
      </c>
      <c r="J1572" s="60">
        <f t="shared" si="741"/>
        <v>0.8571428571428571</v>
      </c>
    </row>
    <row r="1573" spans="1:10" x14ac:dyDescent="0.25">
      <c r="A1573" s="213" t="s">
        <v>17</v>
      </c>
      <c r="B1573" s="192">
        <f>SUM(B1568:B1572)</f>
        <v>69</v>
      </c>
      <c r="C1573" s="192">
        <f t="shared" ref="C1573:I1573" si="742">SUM(C1568:C1572)</f>
        <v>92</v>
      </c>
      <c r="D1573" s="192">
        <f t="shared" si="742"/>
        <v>75</v>
      </c>
      <c r="E1573" s="192">
        <f t="shared" si="742"/>
        <v>111</v>
      </c>
      <c r="F1573" s="192">
        <f t="shared" si="742"/>
        <v>270</v>
      </c>
      <c r="G1573" s="192">
        <f t="shared" si="742"/>
        <v>304</v>
      </c>
      <c r="H1573" s="192">
        <f t="shared" si="742"/>
        <v>254</v>
      </c>
      <c r="I1573" s="192">
        <f t="shared" si="742"/>
        <v>1175</v>
      </c>
      <c r="J1573" s="214">
        <f t="shared" si="741"/>
        <v>167.85714285714286</v>
      </c>
    </row>
    <row r="1574" spans="1:10" x14ac:dyDescent="0.25">
      <c r="A1574" s="212" t="s">
        <v>18</v>
      </c>
      <c r="B1574" s="325">
        <v>0.65</v>
      </c>
      <c r="C1574" s="326">
        <v>0.65</v>
      </c>
      <c r="D1574" s="326">
        <v>0.71</v>
      </c>
      <c r="E1574" s="327">
        <v>0.6</v>
      </c>
      <c r="F1574" s="328">
        <v>0.71</v>
      </c>
      <c r="G1574" s="327">
        <v>0.71</v>
      </c>
      <c r="H1574" s="327">
        <v>0.66</v>
      </c>
      <c r="I1574" s="30">
        <f>I1581/I1586</f>
        <v>0.68163916619476517</v>
      </c>
      <c r="J1574" s="160">
        <f>J1581/J1586</f>
        <v>0.68163916619476528</v>
      </c>
    </row>
    <row r="1575" spans="1:10" x14ac:dyDescent="0.25">
      <c r="A1575" s="212" t="s">
        <v>19</v>
      </c>
      <c r="B1575" s="325">
        <v>0.02</v>
      </c>
      <c r="C1575" s="326">
        <v>0.02</v>
      </c>
      <c r="D1575" s="326">
        <v>0.03</v>
      </c>
      <c r="E1575" s="327">
        <v>0.03</v>
      </c>
      <c r="F1575" s="327">
        <v>0.03</v>
      </c>
      <c r="G1575" s="327">
        <v>0.03</v>
      </c>
      <c r="H1575" s="327">
        <v>0.03</v>
      </c>
      <c r="I1575" s="30">
        <f>I1582/I1586</f>
        <v>2.8689121610765315E-2</v>
      </c>
      <c r="J1575" s="160">
        <f>J1582/J1586</f>
        <v>2.8689121610765315E-2</v>
      </c>
    </row>
    <row r="1576" spans="1:10" x14ac:dyDescent="0.25">
      <c r="A1576" s="212" t="s">
        <v>20</v>
      </c>
      <c r="B1576" s="325">
        <v>0.33</v>
      </c>
      <c r="C1576" s="326">
        <v>0.33</v>
      </c>
      <c r="D1576" s="326">
        <v>0.25</v>
      </c>
      <c r="E1576" s="327">
        <v>0.34</v>
      </c>
      <c r="F1576" s="329">
        <v>0.25</v>
      </c>
      <c r="G1576" s="327">
        <v>0.26</v>
      </c>
      <c r="H1576" s="327">
        <v>0.3</v>
      </c>
      <c r="I1576" s="30">
        <f>I1583/I1586</f>
        <v>0.28192300416371724</v>
      </c>
      <c r="J1576" s="160">
        <f>J1583/J1586</f>
        <v>0.28192300416371724</v>
      </c>
    </row>
    <row r="1577" spans="1:10" x14ac:dyDescent="0.25">
      <c r="A1577" s="212" t="s">
        <v>21</v>
      </c>
      <c r="B1577" s="325">
        <v>0</v>
      </c>
      <c r="C1577" s="326">
        <v>0</v>
      </c>
      <c r="D1577" s="326">
        <v>0</v>
      </c>
      <c r="E1577" s="327">
        <v>0.02</v>
      </c>
      <c r="F1577" s="329">
        <v>0.01</v>
      </c>
      <c r="G1577" s="327">
        <v>0</v>
      </c>
      <c r="H1577" s="327">
        <v>0</v>
      </c>
      <c r="I1577" s="30">
        <f>I1584/I1586</f>
        <v>4.0412272143649395E-3</v>
      </c>
      <c r="J1577" s="160">
        <f>J1584/J1586</f>
        <v>4.0412272143649395E-3</v>
      </c>
    </row>
    <row r="1578" spans="1:10" x14ac:dyDescent="0.25">
      <c r="A1578" s="212" t="s">
        <v>22</v>
      </c>
      <c r="B1578" s="325">
        <v>0</v>
      </c>
      <c r="C1578" s="326">
        <v>0</v>
      </c>
      <c r="D1578" s="326">
        <v>0.01</v>
      </c>
      <c r="E1578" s="327">
        <v>0.01</v>
      </c>
      <c r="F1578" s="329">
        <v>0</v>
      </c>
      <c r="G1578" s="327">
        <v>0</v>
      </c>
      <c r="H1578" s="327">
        <v>0.01</v>
      </c>
      <c r="I1578" s="30">
        <f>I1585/I1586</f>
        <v>3.7074808163872334E-3</v>
      </c>
      <c r="J1578" s="160">
        <f>J1585/J1586</f>
        <v>3.7074808163872334E-3</v>
      </c>
    </row>
    <row r="1579" spans="1:10" x14ac:dyDescent="0.25">
      <c r="A1579" s="215" t="s">
        <v>23</v>
      </c>
      <c r="B1579" s="66">
        <f t="shared" ref="B1579:J1579" si="743">B1590/B1573</f>
        <v>35192.753623188408</v>
      </c>
      <c r="C1579" s="66">
        <f t="shared" si="743"/>
        <v>33660.869565217399</v>
      </c>
      <c r="D1579" s="66">
        <f t="shared" si="743"/>
        <v>37249.333333333336</v>
      </c>
      <c r="E1579" s="66">
        <f t="shared" si="743"/>
        <v>33169.369369369371</v>
      </c>
      <c r="F1579" s="66">
        <f t="shared" si="743"/>
        <v>35765.185185185182</v>
      </c>
      <c r="G1579" s="66">
        <f t="shared" si="743"/>
        <v>37307.565789473687</v>
      </c>
      <c r="H1579" s="66">
        <f t="shared" si="743"/>
        <v>35956.299212598424</v>
      </c>
      <c r="I1579" s="66">
        <f t="shared" si="743"/>
        <v>35856.680851063837</v>
      </c>
      <c r="J1579" s="67">
        <f t="shared" si="743"/>
        <v>35856.680851063837</v>
      </c>
    </row>
    <row r="1580" spans="1:10" x14ac:dyDescent="0.25">
      <c r="A1580" s="215" t="s">
        <v>24</v>
      </c>
      <c r="B1580" s="66">
        <f t="shared" ref="B1580:I1580" si="744">+B1590/B1567</f>
        <v>28908.333333333332</v>
      </c>
      <c r="C1580" s="66">
        <f t="shared" si="744"/>
        <v>27899.099099099105</v>
      </c>
      <c r="D1580" s="66">
        <f t="shared" si="744"/>
        <v>26862.5</v>
      </c>
      <c r="E1580" s="66">
        <f t="shared" si="744"/>
        <v>27072.058823529416</v>
      </c>
      <c r="F1580" s="66">
        <f t="shared" si="744"/>
        <v>27748.850574712644</v>
      </c>
      <c r="G1580" s="66">
        <f t="shared" si="744"/>
        <v>29924.802110817946</v>
      </c>
      <c r="H1580" s="66">
        <f t="shared" si="744"/>
        <v>28275.232198142414</v>
      </c>
      <c r="I1580" s="66">
        <f t="shared" si="744"/>
        <v>28371.447811447815</v>
      </c>
      <c r="J1580" s="67">
        <f>J1590/J1567</f>
        <v>28371.447811447815</v>
      </c>
    </row>
    <row r="1581" spans="1:10" x14ac:dyDescent="0.25">
      <c r="A1581" s="212" t="s">
        <v>25</v>
      </c>
      <c r="B1581" s="92">
        <f t="shared" ref="B1581:H1581" si="745">B1586*B1574</f>
        <v>1306056.0948275863</v>
      </c>
      <c r="C1581" s="92">
        <f t="shared" si="745"/>
        <v>1652631.6120689658</v>
      </c>
      <c r="D1581" s="92">
        <f t="shared" si="745"/>
        <v>1630374.4689655174</v>
      </c>
      <c r="E1581" s="92">
        <f t="shared" si="745"/>
        <v>1828092.3103448278</v>
      </c>
      <c r="F1581" s="92">
        <f t="shared" si="745"/>
        <v>5636626.2224137932</v>
      </c>
      <c r="G1581" s="31">
        <f t="shared" si="745"/>
        <v>6644950.4724137932</v>
      </c>
      <c r="H1581" s="31">
        <f t="shared" si="745"/>
        <v>4970159.4724137932</v>
      </c>
      <c r="I1581" s="31">
        <f>SUM(B1581:H1581)</f>
        <v>23668890.653448276</v>
      </c>
      <c r="J1581" s="32">
        <f t="shared" ref="J1581:J1590" si="746">I1581/7</f>
        <v>3381270.0933497539</v>
      </c>
    </row>
    <row r="1582" spans="1:10" x14ac:dyDescent="0.25">
      <c r="A1582" s="212" t="s">
        <v>26</v>
      </c>
      <c r="B1582" s="92">
        <f t="shared" ref="B1582:H1582" si="747">B1586*B1575</f>
        <v>40186.341379310346</v>
      </c>
      <c r="C1582" s="92">
        <f t="shared" si="747"/>
        <v>50850.203448275868</v>
      </c>
      <c r="D1582" s="92">
        <f t="shared" si="747"/>
        <v>68889.062068965519</v>
      </c>
      <c r="E1582" s="92">
        <f t="shared" si="747"/>
        <v>91404.615517241386</v>
      </c>
      <c r="F1582" s="92">
        <f t="shared" si="747"/>
        <v>238167.30517241379</v>
      </c>
      <c r="G1582" s="31">
        <f t="shared" si="747"/>
        <v>280772.55517241382</v>
      </c>
      <c r="H1582" s="31">
        <f t="shared" si="747"/>
        <v>225916.33965517243</v>
      </c>
      <c r="I1582" s="31">
        <f>SUM(B1582:H1582)</f>
        <v>996186.42241379316</v>
      </c>
      <c r="J1582" s="32">
        <f t="shared" si="746"/>
        <v>142312.3460591133</v>
      </c>
    </row>
    <row r="1583" spans="1:10" x14ac:dyDescent="0.25">
      <c r="A1583" s="212" t="s">
        <v>27</v>
      </c>
      <c r="B1583" s="92">
        <f t="shared" ref="B1583:H1583" si="748">B1586*B1576</f>
        <v>663074.63275862078</v>
      </c>
      <c r="C1583" s="92">
        <f t="shared" si="748"/>
        <v>839028.35689655191</v>
      </c>
      <c r="D1583" s="92">
        <f t="shared" si="748"/>
        <v>574075.51724137936</v>
      </c>
      <c r="E1583" s="92">
        <f t="shared" si="748"/>
        <v>1035918.9758620692</v>
      </c>
      <c r="F1583" s="92">
        <f t="shared" si="748"/>
        <v>1984727.5431034483</v>
      </c>
      <c r="G1583" s="31">
        <f t="shared" si="748"/>
        <v>2433362.1448275866</v>
      </c>
      <c r="H1583" s="31">
        <f t="shared" si="748"/>
        <v>2259163.3965517241</v>
      </c>
      <c r="I1583" s="31">
        <f>SUM(B1583:H1583)</f>
        <v>9789350.56724138</v>
      </c>
      <c r="J1583" s="32">
        <f t="shared" si="746"/>
        <v>1398478.6524630543</v>
      </c>
    </row>
    <row r="1584" spans="1:10" x14ac:dyDescent="0.25">
      <c r="A1584" s="212" t="s">
        <v>28</v>
      </c>
      <c r="B1584" s="92">
        <f t="shared" ref="B1584:H1584" si="749">B1586*B1577</f>
        <v>0</v>
      </c>
      <c r="C1584" s="92">
        <f t="shared" si="749"/>
        <v>0</v>
      </c>
      <c r="D1584" s="92">
        <f t="shared" si="749"/>
        <v>0</v>
      </c>
      <c r="E1584" s="92">
        <f t="shared" si="749"/>
        <v>60936.410344827593</v>
      </c>
      <c r="F1584" s="92">
        <f t="shared" si="749"/>
        <v>79389.10172413793</v>
      </c>
      <c r="G1584" s="31">
        <f t="shared" si="749"/>
        <v>0</v>
      </c>
      <c r="H1584" s="31">
        <f t="shared" si="749"/>
        <v>0</v>
      </c>
      <c r="I1584" s="31">
        <f>SUM(B1584:H1584)</f>
        <v>140325.51206896553</v>
      </c>
      <c r="J1584" s="32">
        <f t="shared" si="746"/>
        <v>20046.501724137932</v>
      </c>
    </row>
    <row r="1585" spans="1:10" x14ac:dyDescent="0.25">
      <c r="A1585" s="212" t="s">
        <v>29</v>
      </c>
      <c r="B1585" s="92">
        <f t="shared" ref="B1585:H1585" si="750">B1586*B1578</f>
        <v>0</v>
      </c>
      <c r="C1585" s="92">
        <f t="shared" si="750"/>
        <v>0</v>
      </c>
      <c r="D1585" s="92">
        <f t="shared" si="750"/>
        <v>22963.020689655175</v>
      </c>
      <c r="E1585" s="92">
        <f t="shared" si="750"/>
        <v>30468.205172413796</v>
      </c>
      <c r="F1585" s="92">
        <f t="shared" si="750"/>
        <v>0</v>
      </c>
      <c r="G1585" s="31">
        <f t="shared" si="750"/>
        <v>0</v>
      </c>
      <c r="H1585" s="31">
        <f t="shared" si="750"/>
        <v>75305.446551724148</v>
      </c>
      <c r="I1585" s="31">
        <f>SUM(B1585:H1585)</f>
        <v>128736.67241379312</v>
      </c>
      <c r="J1585" s="32">
        <f t="shared" si="746"/>
        <v>18390.953201970446</v>
      </c>
    </row>
    <row r="1586" spans="1:10" x14ac:dyDescent="0.25">
      <c r="A1586" s="216" t="s">
        <v>30</v>
      </c>
      <c r="B1586" s="222">
        <f>(2428300/1.16)-B1587</f>
        <v>2009317.0689655175</v>
      </c>
      <c r="C1586" s="222">
        <f>(3096800/1.16)-C1587</f>
        <v>2542510.1724137934</v>
      </c>
      <c r="D1586" s="222">
        <f>(2793700/1.16)-D1587</f>
        <v>2296302.0689655175</v>
      </c>
      <c r="E1586" s="222">
        <f>(3681800/1.16)-E1587</f>
        <v>3046820.5172413797</v>
      </c>
      <c r="F1586" s="222">
        <f>(9656600/1.16)-F1587</f>
        <v>7938910.1724137934</v>
      </c>
      <c r="G1586" s="222">
        <f>(11341500/1.16)-G1587</f>
        <v>9359085.1724137943</v>
      </c>
      <c r="H1586" s="222">
        <f>(9132900/1.16)-H1587</f>
        <v>7530544.6551724141</v>
      </c>
      <c r="I1586" s="197">
        <f>SUM(I1581:I1585)</f>
        <v>34723489.827586211</v>
      </c>
      <c r="J1586" s="217">
        <f t="shared" si="746"/>
        <v>4960498.5467980299</v>
      </c>
    </row>
    <row r="1587" spans="1:10" x14ac:dyDescent="0.25">
      <c r="A1587" s="212" t="s">
        <v>31</v>
      </c>
      <c r="B1587" s="92">
        <f t="shared" ref="B1587:I1587" si="751">2155*B1568</f>
        <v>84045</v>
      </c>
      <c r="C1587" s="92">
        <f t="shared" si="751"/>
        <v>127145</v>
      </c>
      <c r="D1587" s="92">
        <f t="shared" si="751"/>
        <v>112060</v>
      </c>
      <c r="E1587" s="92">
        <f t="shared" si="751"/>
        <v>127145</v>
      </c>
      <c r="F1587" s="92">
        <f t="shared" si="751"/>
        <v>385745</v>
      </c>
      <c r="G1587" s="31">
        <f t="shared" si="751"/>
        <v>418070</v>
      </c>
      <c r="H1587" s="31">
        <f t="shared" si="751"/>
        <v>342645</v>
      </c>
      <c r="I1587" s="31">
        <f t="shared" si="751"/>
        <v>1596855</v>
      </c>
      <c r="J1587" s="32">
        <f t="shared" si="746"/>
        <v>228122.14285714287</v>
      </c>
    </row>
    <row r="1588" spans="1:10" x14ac:dyDescent="0.25">
      <c r="A1588" s="218" t="s">
        <v>32</v>
      </c>
      <c r="B1588" s="199">
        <f>B1587+B1586</f>
        <v>2093362.0689655175</v>
      </c>
      <c r="C1588" s="199">
        <f>C1587+C1586</f>
        <v>2669655.1724137934</v>
      </c>
      <c r="D1588" s="199">
        <f>D1587+D1586</f>
        <v>2408362.0689655175</v>
      </c>
      <c r="E1588" s="199">
        <f>E1587+E1586</f>
        <v>3173965.5172413797</v>
      </c>
      <c r="F1588" s="199">
        <f>F1586+F1587</f>
        <v>8324655.1724137934</v>
      </c>
      <c r="G1588" s="199">
        <f>G1587+G1586</f>
        <v>9777155.1724137943</v>
      </c>
      <c r="H1588" s="199">
        <f>H1587+H1586</f>
        <v>7873189.6551724141</v>
      </c>
      <c r="I1588" s="199">
        <f>I1586+I1587</f>
        <v>36320344.827586211</v>
      </c>
      <c r="J1588" s="219">
        <f t="shared" si="746"/>
        <v>5188620.6896551726</v>
      </c>
    </row>
    <row r="1589" spans="1:10" x14ac:dyDescent="0.25">
      <c r="A1589" s="212" t="s">
        <v>33</v>
      </c>
      <c r="B1589" s="94">
        <f>B1588*16%</f>
        <v>334937.93103448278</v>
      </c>
      <c r="C1589" s="94">
        <f t="shared" ref="C1589:H1589" si="752">C1588*16%</f>
        <v>427144.82758620696</v>
      </c>
      <c r="D1589" s="94">
        <f t="shared" si="752"/>
        <v>385337.93103448278</v>
      </c>
      <c r="E1589" s="94">
        <f t="shared" si="752"/>
        <v>507834.48275862075</v>
      </c>
      <c r="F1589" s="94">
        <f t="shared" si="752"/>
        <v>1331944.8275862071</v>
      </c>
      <c r="G1589" s="94">
        <f t="shared" si="752"/>
        <v>1564344.8275862071</v>
      </c>
      <c r="H1589" s="94">
        <f t="shared" si="752"/>
        <v>1259710.3448275863</v>
      </c>
      <c r="I1589" s="94">
        <f>I1588*16%</f>
        <v>5811255.1724137943</v>
      </c>
      <c r="J1589" s="32">
        <f t="shared" si="746"/>
        <v>830179.31034482771</v>
      </c>
    </row>
    <row r="1590" spans="1:10" x14ac:dyDescent="0.25">
      <c r="A1590" s="220" t="s">
        <v>34</v>
      </c>
      <c r="B1590" s="202">
        <f>B1588+B1589</f>
        <v>2428300</v>
      </c>
      <c r="C1590" s="202">
        <f t="shared" ref="C1590:H1590" si="753">C1588+C1589</f>
        <v>3096800.0000000005</v>
      </c>
      <c r="D1590" s="202">
        <f t="shared" si="753"/>
        <v>2793700</v>
      </c>
      <c r="E1590" s="202">
        <f t="shared" si="753"/>
        <v>3681800.0000000005</v>
      </c>
      <c r="F1590" s="202">
        <f t="shared" si="753"/>
        <v>9656600</v>
      </c>
      <c r="G1590" s="202">
        <f t="shared" si="753"/>
        <v>11341500.000000002</v>
      </c>
      <c r="H1590" s="202">
        <f t="shared" si="753"/>
        <v>9132900</v>
      </c>
      <c r="I1590" s="202">
        <f>I1588+I1589</f>
        <v>42131600.000000007</v>
      </c>
      <c r="J1590" s="221">
        <f t="shared" si="746"/>
        <v>6018800.0000000009</v>
      </c>
    </row>
    <row r="1591" spans="1:10" ht="15.75" thickBot="1" x14ac:dyDescent="0.3"/>
    <row r="1592" spans="1:10" ht="26.25" x14ac:dyDescent="0.25">
      <c r="B1592" s="1007" t="s">
        <v>398</v>
      </c>
      <c r="C1592" s="1007"/>
      <c r="D1592" s="1007"/>
      <c r="E1592" s="1007"/>
      <c r="F1592" s="1007"/>
      <c r="G1592" s="1007"/>
      <c r="H1592" s="1007"/>
    </row>
    <row r="1593" spans="1:10" ht="15.75" x14ac:dyDescent="0.25">
      <c r="A1593" s="207" t="s">
        <v>2</v>
      </c>
      <c r="B1593" s="121" t="s">
        <v>185</v>
      </c>
      <c r="C1593" s="121" t="s">
        <v>186</v>
      </c>
      <c r="D1593" s="121" t="s">
        <v>187</v>
      </c>
      <c r="E1593" s="121" t="s">
        <v>188</v>
      </c>
      <c r="F1593" s="121" t="s">
        <v>189</v>
      </c>
      <c r="G1593" s="121" t="s">
        <v>190</v>
      </c>
      <c r="H1593" s="121" t="s">
        <v>191</v>
      </c>
      <c r="I1593" s="121" t="s">
        <v>96</v>
      </c>
      <c r="J1593" s="209" t="s">
        <v>97</v>
      </c>
    </row>
    <row r="1594" spans="1:10" x14ac:dyDescent="0.25">
      <c r="A1594" s="332" t="s">
        <v>11</v>
      </c>
      <c r="B1594" s="55">
        <f>47+35+13</f>
        <v>95</v>
      </c>
      <c r="C1594" s="56">
        <f>88+39+13</f>
        <v>140</v>
      </c>
      <c r="D1594" s="54">
        <f>85+44+18</f>
        <v>147</v>
      </c>
      <c r="E1594" s="316">
        <f>71+53+18</f>
        <v>142</v>
      </c>
      <c r="F1594" s="311">
        <f>144+92+30</f>
        <v>266</v>
      </c>
      <c r="G1594" s="58">
        <f>175+119+34</f>
        <v>328</v>
      </c>
      <c r="H1594" s="57">
        <f>136+107+39</f>
        <v>282</v>
      </c>
      <c r="I1594" s="316">
        <f>SUM(B1594:H1594)</f>
        <v>1400</v>
      </c>
      <c r="J1594" s="382">
        <f>+I1594/7</f>
        <v>200</v>
      </c>
    </row>
    <row r="1595" spans="1:10" x14ac:dyDescent="0.25">
      <c r="A1595" s="212" t="s">
        <v>12</v>
      </c>
      <c r="B1595" s="86">
        <v>43</v>
      </c>
      <c r="C1595" s="320">
        <v>78</v>
      </c>
      <c r="D1595" s="320">
        <v>82</v>
      </c>
      <c r="E1595" s="11">
        <v>68</v>
      </c>
      <c r="F1595" s="388">
        <v>144</v>
      </c>
      <c r="G1595" s="11">
        <v>161</v>
      </c>
      <c r="H1595" s="11">
        <v>142</v>
      </c>
      <c r="I1595" s="11">
        <f>SUM(CEDRITOS!$B1595:$H1595)</f>
        <v>718</v>
      </c>
      <c r="J1595" s="60">
        <f t="shared" ref="J1595:J1600" si="754">I1595/7</f>
        <v>102.57142857142857</v>
      </c>
    </row>
    <row r="1596" spans="1:10" x14ac:dyDescent="0.25">
      <c r="A1596" s="212" t="s">
        <v>13</v>
      </c>
      <c r="B1596" s="11">
        <v>0</v>
      </c>
      <c r="C1596" s="13">
        <v>2</v>
      </c>
      <c r="D1596" s="13">
        <v>2</v>
      </c>
      <c r="E1596" s="11">
        <v>1</v>
      </c>
      <c r="F1596" s="125">
        <v>9</v>
      </c>
      <c r="G1596" s="11">
        <v>10</v>
      </c>
      <c r="H1596" s="11">
        <v>10</v>
      </c>
      <c r="I1596" s="11">
        <f>SUM(CEDRITOS!$B1596:$H1596)</f>
        <v>34</v>
      </c>
      <c r="J1596" s="60">
        <f t="shared" si="754"/>
        <v>4.8571428571428568</v>
      </c>
    </row>
    <row r="1597" spans="1:10" x14ac:dyDescent="0.25">
      <c r="A1597" s="212" t="s">
        <v>14</v>
      </c>
      <c r="B1597" s="11">
        <v>32</v>
      </c>
      <c r="C1597" s="13">
        <v>33</v>
      </c>
      <c r="D1597" s="320">
        <v>33</v>
      </c>
      <c r="E1597" s="11">
        <v>48</v>
      </c>
      <c r="F1597" s="125">
        <v>65</v>
      </c>
      <c r="G1597" s="11">
        <v>87</v>
      </c>
      <c r="H1597" s="11">
        <v>78</v>
      </c>
      <c r="I1597" s="11">
        <f>SUM(CEDRITOS!$B1597:$H1597)</f>
        <v>376</v>
      </c>
      <c r="J1597" s="60">
        <f t="shared" si="754"/>
        <v>53.714285714285715</v>
      </c>
    </row>
    <row r="1598" spans="1:10" x14ac:dyDescent="0.25">
      <c r="A1598" s="212" t="s">
        <v>15</v>
      </c>
      <c r="B1598" s="11">
        <v>0</v>
      </c>
      <c r="C1598" s="13">
        <v>0</v>
      </c>
      <c r="D1598" s="13">
        <v>0</v>
      </c>
      <c r="E1598" s="11">
        <v>2</v>
      </c>
      <c r="F1598" s="125">
        <v>1</v>
      </c>
      <c r="G1598" s="11">
        <v>4</v>
      </c>
      <c r="H1598" s="11">
        <v>6</v>
      </c>
      <c r="I1598" s="11">
        <f>SUM(CEDRITOS!$B1598:$H1598)</f>
        <v>13</v>
      </c>
      <c r="J1598" s="60">
        <f t="shared" si="754"/>
        <v>1.8571428571428572</v>
      </c>
    </row>
    <row r="1599" spans="1:10" x14ac:dyDescent="0.25">
      <c r="A1599" s="212" t="s">
        <v>16</v>
      </c>
      <c r="B1599" s="11">
        <v>0</v>
      </c>
      <c r="C1599" s="13">
        <v>0</v>
      </c>
      <c r="D1599" s="13">
        <v>1</v>
      </c>
      <c r="E1599" s="11">
        <v>1</v>
      </c>
      <c r="F1599" s="125">
        <v>4</v>
      </c>
      <c r="G1599" s="11">
        <v>3</v>
      </c>
      <c r="H1599" s="11">
        <v>0</v>
      </c>
      <c r="I1599" s="11">
        <f>SUM(CEDRITOS!$B1599:$H1599)</f>
        <v>9</v>
      </c>
      <c r="J1599" s="60">
        <f t="shared" si="754"/>
        <v>1.2857142857142858</v>
      </c>
    </row>
    <row r="1600" spans="1:10" x14ac:dyDescent="0.25">
      <c r="A1600" s="213" t="s">
        <v>17</v>
      </c>
      <c r="B1600" s="192">
        <f>SUM(B1595:B1599)</f>
        <v>75</v>
      </c>
      <c r="C1600" s="192">
        <f t="shared" ref="C1600:I1600" si="755">SUM(C1595:C1599)</f>
        <v>113</v>
      </c>
      <c r="D1600" s="192">
        <f t="shared" si="755"/>
        <v>118</v>
      </c>
      <c r="E1600" s="192">
        <f t="shared" si="755"/>
        <v>120</v>
      </c>
      <c r="F1600" s="192">
        <f t="shared" si="755"/>
        <v>223</v>
      </c>
      <c r="G1600" s="192">
        <f t="shared" si="755"/>
        <v>265</v>
      </c>
      <c r="H1600" s="192">
        <f t="shared" si="755"/>
        <v>236</v>
      </c>
      <c r="I1600" s="192">
        <f t="shared" si="755"/>
        <v>1150</v>
      </c>
      <c r="J1600" s="214">
        <f t="shared" si="754"/>
        <v>164.28571428571428</v>
      </c>
    </row>
    <row r="1601" spans="1:10" x14ac:dyDescent="0.25">
      <c r="A1601" s="212" t="s">
        <v>18</v>
      </c>
      <c r="B1601" s="325">
        <v>0.62</v>
      </c>
      <c r="C1601" s="326">
        <v>0.75</v>
      </c>
      <c r="D1601" s="326">
        <v>0.71</v>
      </c>
      <c r="E1601" s="327">
        <v>0.66</v>
      </c>
      <c r="F1601" s="328">
        <v>0.7</v>
      </c>
      <c r="G1601" s="327">
        <v>0.66</v>
      </c>
      <c r="H1601" s="327">
        <v>0.64</v>
      </c>
      <c r="I1601" s="30">
        <f>I1608/I1613</f>
        <v>0.67517116849003067</v>
      </c>
      <c r="J1601" s="160">
        <f>J1608/J1613</f>
        <v>0.67517116849003067</v>
      </c>
    </row>
    <row r="1602" spans="1:10" x14ac:dyDescent="0.25">
      <c r="A1602" s="212" t="s">
        <v>19</v>
      </c>
      <c r="B1602" s="325">
        <v>0</v>
      </c>
      <c r="C1602" s="326">
        <v>0.02</v>
      </c>
      <c r="D1602" s="326">
        <v>0.02</v>
      </c>
      <c r="E1602" s="327">
        <v>0</v>
      </c>
      <c r="F1602" s="327">
        <v>0.04</v>
      </c>
      <c r="G1602" s="327">
        <v>0.04</v>
      </c>
      <c r="H1602" s="327">
        <v>0.05</v>
      </c>
      <c r="I1602" s="30">
        <f>I1609/I1613</f>
        <v>3.1234417084272055E-2</v>
      </c>
      <c r="J1602" s="160">
        <f>J1609/J1613</f>
        <v>3.1234417084272055E-2</v>
      </c>
    </row>
    <row r="1603" spans="1:10" x14ac:dyDescent="0.25">
      <c r="A1603" s="212" t="s">
        <v>20</v>
      </c>
      <c r="B1603" s="325">
        <v>0.38</v>
      </c>
      <c r="C1603" s="326">
        <v>0.23</v>
      </c>
      <c r="D1603" s="326">
        <v>0.26</v>
      </c>
      <c r="E1603" s="327">
        <v>0.31</v>
      </c>
      <c r="F1603" s="329">
        <v>0.24</v>
      </c>
      <c r="G1603" s="327">
        <v>0.28000000000000003</v>
      </c>
      <c r="H1603" s="327">
        <v>0.28999999999999998</v>
      </c>
      <c r="I1603" s="30">
        <f>I1610/I1613</f>
        <v>0.27698345425780152</v>
      </c>
      <c r="J1603" s="160">
        <f>J1610/J1613</f>
        <v>0.27698345425780146</v>
      </c>
    </row>
    <row r="1604" spans="1:10" x14ac:dyDescent="0.25">
      <c r="A1604" s="212" t="s">
        <v>21</v>
      </c>
      <c r="B1604" s="325">
        <v>0</v>
      </c>
      <c r="C1604" s="326">
        <v>0</v>
      </c>
      <c r="D1604" s="326">
        <v>0</v>
      </c>
      <c r="E1604" s="327">
        <v>0.02</v>
      </c>
      <c r="F1604" s="329">
        <v>0</v>
      </c>
      <c r="G1604" s="327">
        <v>0.01</v>
      </c>
      <c r="H1604" s="327">
        <v>0.02</v>
      </c>
      <c r="I1604" s="30">
        <f>I1611/I1613</f>
        <v>8.437728832997175E-3</v>
      </c>
      <c r="J1604" s="160">
        <f>J1611/J1613</f>
        <v>8.437728832997175E-3</v>
      </c>
    </row>
    <row r="1605" spans="1:10" x14ac:dyDescent="0.25">
      <c r="A1605" s="212" t="s">
        <v>22</v>
      </c>
      <c r="B1605" s="325">
        <v>0</v>
      </c>
      <c r="C1605" s="326">
        <v>0</v>
      </c>
      <c r="D1605" s="326">
        <v>0.01</v>
      </c>
      <c r="E1605" s="327">
        <v>0.01</v>
      </c>
      <c r="F1605" s="329">
        <v>0.02</v>
      </c>
      <c r="G1605" s="327">
        <v>0.01</v>
      </c>
      <c r="H1605" s="327">
        <v>0</v>
      </c>
      <c r="I1605" s="30">
        <f>I1612/I1613</f>
        <v>8.1732313348985824E-3</v>
      </c>
      <c r="J1605" s="160">
        <f>J1612/J1613</f>
        <v>8.1732313348985824E-3</v>
      </c>
    </row>
    <row r="1606" spans="1:10" x14ac:dyDescent="0.25">
      <c r="A1606" s="215" t="s">
        <v>23</v>
      </c>
      <c r="B1606" s="66">
        <f t="shared" ref="B1606:J1606" si="756">B1617/B1600</f>
        <v>35665.333333333343</v>
      </c>
      <c r="C1606" s="66">
        <f t="shared" si="756"/>
        <v>37034.513274336285</v>
      </c>
      <c r="D1606" s="66">
        <f t="shared" si="756"/>
        <v>34887.288135593226</v>
      </c>
      <c r="E1606" s="66">
        <f t="shared" si="756"/>
        <v>33996.666666666672</v>
      </c>
      <c r="F1606" s="66">
        <f t="shared" si="756"/>
        <v>34226.905829596413</v>
      </c>
      <c r="G1606" s="66">
        <f t="shared" si="756"/>
        <v>36487.169811320753</v>
      </c>
      <c r="H1606" s="66">
        <f t="shared" si="756"/>
        <v>34493.644067796609</v>
      </c>
      <c r="I1606" s="66">
        <f t="shared" si="756"/>
        <v>35215.913043478264</v>
      </c>
      <c r="J1606" s="67">
        <f t="shared" si="756"/>
        <v>35215.913043478264</v>
      </c>
    </row>
    <row r="1607" spans="1:10" x14ac:dyDescent="0.25">
      <c r="A1607" s="215" t="s">
        <v>24</v>
      </c>
      <c r="B1607" s="66">
        <f t="shared" ref="B1607:I1607" si="757">+B1617/B1594</f>
        <v>28156.842105263164</v>
      </c>
      <c r="C1607" s="66">
        <f t="shared" si="757"/>
        <v>29892.142857142859</v>
      </c>
      <c r="D1607" s="66">
        <f t="shared" si="757"/>
        <v>28004.761904761908</v>
      </c>
      <c r="E1607" s="66">
        <f t="shared" si="757"/>
        <v>28729.577464788737</v>
      </c>
      <c r="F1607" s="66">
        <f t="shared" si="757"/>
        <v>28693.984962406019</v>
      </c>
      <c r="G1607" s="66">
        <f t="shared" si="757"/>
        <v>29478.963414634145</v>
      </c>
      <c r="H1607" s="66">
        <f t="shared" si="757"/>
        <v>28867.021276595744</v>
      </c>
      <c r="I1607" s="66">
        <f t="shared" si="757"/>
        <v>28927.357142857141</v>
      </c>
      <c r="J1607" s="67">
        <f>J1617/J1594</f>
        <v>28927.357142857141</v>
      </c>
    </row>
    <row r="1608" spans="1:10" x14ac:dyDescent="0.25">
      <c r="A1608" s="212" t="s">
        <v>25</v>
      </c>
      <c r="B1608" s="92">
        <f t="shared" ref="B1608:H1608" si="758">B1613*B1601</f>
        <v>1372235.631034483</v>
      </c>
      <c r="C1608" s="92">
        <f t="shared" si="758"/>
        <v>2579686.8103448278</v>
      </c>
      <c r="D1608" s="92">
        <f t="shared" si="758"/>
        <v>2394240.2103448277</v>
      </c>
      <c r="E1608" s="92">
        <f t="shared" si="758"/>
        <v>2224435.3241379312</v>
      </c>
      <c r="F1608" s="92">
        <f t="shared" si="758"/>
        <v>4388655.3103448274</v>
      </c>
      <c r="G1608" s="31">
        <f t="shared" si="758"/>
        <v>5272394.1827586219</v>
      </c>
      <c r="H1608" s="31">
        <f t="shared" si="758"/>
        <v>4295463.9448275864</v>
      </c>
      <c r="I1608" s="31">
        <f>SUM(B1608:H1608)</f>
        <v>22527111.413793106</v>
      </c>
      <c r="J1608" s="32">
        <f t="shared" ref="J1608:J1617" si="759">I1608/7</f>
        <v>3218158.773399015</v>
      </c>
    </row>
    <row r="1609" spans="1:10" x14ac:dyDescent="0.25">
      <c r="A1609" s="212" t="s">
        <v>26</v>
      </c>
      <c r="B1609" s="92">
        <f t="shared" ref="B1609:H1609" si="760">B1613*B1602</f>
        <v>0</v>
      </c>
      <c r="C1609" s="92">
        <f t="shared" si="760"/>
        <v>68791.64827586207</v>
      </c>
      <c r="D1609" s="92">
        <f t="shared" si="760"/>
        <v>67443.386206896554</v>
      </c>
      <c r="E1609" s="92">
        <f t="shared" si="760"/>
        <v>0</v>
      </c>
      <c r="F1609" s="92">
        <f t="shared" si="760"/>
        <v>250780.3034482759</v>
      </c>
      <c r="G1609" s="31">
        <f t="shared" si="760"/>
        <v>319539.04137931037</v>
      </c>
      <c r="H1609" s="31">
        <f t="shared" si="760"/>
        <v>335583.12068965519</v>
      </c>
      <c r="I1609" s="31">
        <f>SUM(B1609:H1609)</f>
        <v>1042137.5</v>
      </c>
      <c r="J1609" s="32">
        <f t="shared" si="759"/>
        <v>148876.78571428571</v>
      </c>
    </row>
    <row r="1610" spans="1:10" x14ac:dyDescent="0.25">
      <c r="A1610" s="212" t="s">
        <v>27</v>
      </c>
      <c r="B1610" s="92">
        <f t="shared" ref="B1610:H1610" si="761">B1613*B1603</f>
        <v>841047.64482758637</v>
      </c>
      <c r="C1610" s="92">
        <f t="shared" si="761"/>
        <v>791103.95517241384</v>
      </c>
      <c r="D1610" s="92">
        <f t="shared" si="761"/>
        <v>876764.02068965521</v>
      </c>
      <c r="E1610" s="92">
        <f t="shared" si="761"/>
        <v>1044810.5310344829</v>
      </c>
      <c r="F1610" s="92">
        <f t="shared" si="761"/>
        <v>1504681.8206896554</v>
      </c>
      <c r="G1610" s="31">
        <f t="shared" si="761"/>
        <v>2236773.2896551727</v>
      </c>
      <c r="H1610" s="31">
        <f t="shared" si="761"/>
        <v>1946382.0999999999</v>
      </c>
      <c r="I1610" s="31">
        <f>SUM(B1610:H1610)</f>
        <v>9241563.362068966</v>
      </c>
      <c r="J1610" s="32">
        <f t="shared" si="759"/>
        <v>1320223.3374384237</v>
      </c>
    </row>
    <row r="1611" spans="1:10" x14ac:dyDescent="0.25">
      <c r="A1611" s="212" t="s">
        <v>28</v>
      </c>
      <c r="B1611" s="92">
        <f t="shared" ref="B1611:H1611" si="762">B1613*B1604</f>
        <v>0</v>
      </c>
      <c r="C1611" s="92">
        <f t="shared" si="762"/>
        <v>0</v>
      </c>
      <c r="D1611" s="92">
        <f t="shared" si="762"/>
        <v>0</v>
      </c>
      <c r="E1611" s="92">
        <f t="shared" si="762"/>
        <v>67407.131034482765</v>
      </c>
      <c r="F1611" s="92">
        <f t="shared" si="762"/>
        <v>0</v>
      </c>
      <c r="G1611" s="31">
        <f t="shared" si="762"/>
        <v>79884.760344827591</v>
      </c>
      <c r="H1611" s="31">
        <f t="shared" si="762"/>
        <v>134233.24827586208</v>
      </c>
      <c r="I1611" s="31">
        <f>SUM(B1611:H1611)</f>
        <v>281525.13965517242</v>
      </c>
      <c r="J1611" s="32">
        <f t="shared" si="759"/>
        <v>40217.877093596057</v>
      </c>
    </row>
    <row r="1612" spans="1:10" x14ac:dyDescent="0.25">
      <c r="A1612" s="212" t="s">
        <v>29</v>
      </c>
      <c r="B1612" s="92">
        <f t="shared" ref="B1612:H1612" si="763">B1613*B1605</f>
        <v>0</v>
      </c>
      <c r="C1612" s="92">
        <f t="shared" si="763"/>
        <v>0</v>
      </c>
      <c r="D1612" s="92">
        <f t="shared" si="763"/>
        <v>33721.693103448277</v>
      </c>
      <c r="E1612" s="92">
        <f t="shared" si="763"/>
        <v>33703.565517241383</v>
      </c>
      <c r="F1612" s="92">
        <f t="shared" si="763"/>
        <v>125390.15172413795</v>
      </c>
      <c r="G1612" s="31">
        <f t="shared" si="763"/>
        <v>79884.760344827591</v>
      </c>
      <c r="H1612" s="31">
        <f t="shared" si="763"/>
        <v>0</v>
      </c>
      <c r="I1612" s="31">
        <f>SUM(B1612:H1612)</f>
        <v>272700.17068965518</v>
      </c>
      <c r="J1612" s="32">
        <f t="shared" si="759"/>
        <v>38957.167241379313</v>
      </c>
    </row>
    <row r="1613" spans="1:10" x14ac:dyDescent="0.25">
      <c r="A1613" s="216" t="s">
        <v>30</v>
      </c>
      <c r="B1613" s="222">
        <f>(2674900/1.16)-B1614</f>
        <v>2213283.2758620693</v>
      </c>
      <c r="C1613" s="222">
        <f>(4184900/1.16)-C1614</f>
        <v>3439582.4137931038</v>
      </c>
      <c r="D1613" s="222">
        <f>(4116700/1.16)-D1614</f>
        <v>3372169.3103448278</v>
      </c>
      <c r="E1613" s="222">
        <f>(4079600/1.16)-E1614</f>
        <v>3370356.5517241382</v>
      </c>
      <c r="F1613" s="222">
        <f>(7632600/1.16)-F1614</f>
        <v>6269507.5862068972</v>
      </c>
      <c r="G1613" s="222">
        <f>(9669100/1.16)-G1614</f>
        <v>7988476.0344827594</v>
      </c>
      <c r="H1613" s="222">
        <f>(8140500/1.16)-H1614</f>
        <v>6711662.4137931038</v>
      </c>
      <c r="I1613" s="197">
        <f>SUM(I1608:I1612)</f>
        <v>33365037.586206898</v>
      </c>
      <c r="J1613" s="217">
        <f t="shared" si="759"/>
        <v>4766433.9408866996</v>
      </c>
    </row>
    <row r="1614" spans="1:10" x14ac:dyDescent="0.25">
      <c r="A1614" s="212" t="s">
        <v>31</v>
      </c>
      <c r="B1614" s="92">
        <f t="shared" ref="B1614:I1614" si="764">2155*B1595</f>
        <v>92665</v>
      </c>
      <c r="C1614" s="92">
        <f t="shared" si="764"/>
        <v>168090</v>
      </c>
      <c r="D1614" s="92">
        <f t="shared" si="764"/>
        <v>176710</v>
      </c>
      <c r="E1614" s="92">
        <f t="shared" si="764"/>
        <v>146540</v>
      </c>
      <c r="F1614" s="92">
        <f t="shared" si="764"/>
        <v>310320</v>
      </c>
      <c r="G1614" s="31">
        <f t="shared" si="764"/>
        <v>346955</v>
      </c>
      <c r="H1614" s="31">
        <f t="shared" si="764"/>
        <v>306010</v>
      </c>
      <c r="I1614" s="31">
        <f t="shared" si="764"/>
        <v>1547290</v>
      </c>
      <c r="J1614" s="32">
        <f t="shared" si="759"/>
        <v>221041.42857142858</v>
      </c>
    </row>
    <row r="1615" spans="1:10" x14ac:dyDescent="0.25">
      <c r="A1615" s="218" t="s">
        <v>32</v>
      </c>
      <c r="B1615" s="199">
        <f>B1614+B1613</f>
        <v>2305948.2758620693</v>
      </c>
      <c r="C1615" s="199">
        <f>C1614+C1613</f>
        <v>3607672.4137931038</v>
      </c>
      <c r="D1615" s="199">
        <f>D1614+D1613</f>
        <v>3548879.3103448278</v>
      </c>
      <c r="E1615" s="199">
        <f>E1614+E1613</f>
        <v>3516896.5517241382</v>
      </c>
      <c r="F1615" s="199">
        <f>F1613+F1614</f>
        <v>6579827.5862068972</v>
      </c>
      <c r="G1615" s="199">
        <f>G1614+G1613</f>
        <v>8335431.0344827594</v>
      </c>
      <c r="H1615" s="199">
        <f>H1614+H1613</f>
        <v>7017672.4137931038</v>
      </c>
      <c r="I1615" s="199">
        <f>I1613+I1614</f>
        <v>34912327.586206898</v>
      </c>
      <c r="J1615" s="219">
        <f t="shared" si="759"/>
        <v>4987475.3694581287</v>
      </c>
    </row>
    <row r="1616" spans="1:10" x14ac:dyDescent="0.25">
      <c r="A1616" s="212" t="s">
        <v>33</v>
      </c>
      <c r="B1616" s="94">
        <f>B1615*16%</f>
        <v>368951.72413793107</v>
      </c>
      <c r="C1616" s="94">
        <f t="shared" ref="C1616:H1616" si="765">C1615*16%</f>
        <v>577227.58620689658</v>
      </c>
      <c r="D1616" s="94">
        <f t="shared" si="765"/>
        <v>567820.68965517252</v>
      </c>
      <c r="E1616" s="94">
        <f t="shared" si="765"/>
        <v>562703.44827586215</v>
      </c>
      <c r="F1616" s="94">
        <f t="shared" si="765"/>
        <v>1052772.4137931035</v>
      </c>
      <c r="G1616" s="94">
        <f t="shared" si="765"/>
        <v>1333668.9655172415</v>
      </c>
      <c r="H1616" s="94">
        <f t="shared" si="765"/>
        <v>1122827.5862068967</v>
      </c>
      <c r="I1616" s="94">
        <f>I1615*16%</f>
        <v>5585972.4137931038</v>
      </c>
      <c r="J1616" s="32">
        <f t="shared" si="759"/>
        <v>797996.05911330052</v>
      </c>
    </row>
    <row r="1617" spans="1:10" x14ac:dyDescent="0.25">
      <c r="A1617" s="220" t="s">
        <v>34</v>
      </c>
      <c r="B1617" s="202">
        <f>B1615+B1616</f>
        <v>2674900.0000000005</v>
      </c>
      <c r="C1617" s="202">
        <f t="shared" ref="C1617:H1617" si="766">C1615+C1616</f>
        <v>4184900.0000000005</v>
      </c>
      <c r="D1617" s="202">
        <f t="shared" si="766"/>
        <v>4116700.0000000005</v>
      </c>
      <c r="E1617" s="202">
        <f t="shared" si="766"/>
        <v>4079600.0000000005</v>
      </c>
      <c r="F1617" s="202">
        <f t="shared" si="766"/>
        <v>7632600.0000000009</v>
      </c>
      <c r="G1617" s="202">
        <f t="shared" si="766"/>
        <v>9669100</v>
      </c>
      <c r="H1617" s="202">
        <f t="shared" si="766"/>
        <v>8140500</v>
      </c>
      <c r="I1617" s="202">
        <f>I1615+I1616</f>
        <v>40498300</v>
      </c>
      <c r="J1617" s="221">
        <f t="shared" si="759"/>
        <v>5785471.4285714282</v>
      </c>
    </row>
    <row r="1618" spans="1:10" ht="15.75" thickBot="1" x14ac:dyDescent="0.3"/>
    <row r="1619" spans="1:10" ht="27" thickBot="1" x14ac:dyDescent="0.3">
      <c r="B1619" s="1007" t="s">
        <v>399</v>
      </c>
      <c r="C1619" s="1007"/>
      <c r="D1619" s="1007"/>
      <c r="E1619" s="1007"/>
      <c r="F1619" s="1007"/>
      <c r="G1619" s="1007"/>
      <c r="H1619" s="1007"/>
    </row>
    <row r="1620" spans="1:10" ht="15.75" x14ac:dyDescent="0.25">
      <c r="A1620" s="709" t="s">
        <v>2</v>
      </c>
      <c r="B1620" s="706" t="s">
        <v>193</v>
      </c>
      <c r="C1620" s="641" t="s">
        <v>194</v>
      </c>
      <c r="D1620" s="641" t="s">
        <v>195</v>
      </c>
      <c r="E1620" s="641" t="s">
        <v>196</v>
      </c>
      <c r="F1620" s="641" t="s">
        <v>197</v>
      </c>
      <c r="G1620" s="641" t="s">
        <v>198</v>
      </c>
      <c r="H1620" s="641" t="s">
        <v>199</v>
      </c>
      <c r="I1620" s="641" t="s">
        <v>96</v>
      </c>
      <c r="J1620" s="642" t="s">
        <v>97</v>
      </c>
    </row>
    <row r="1621" spans="1:10" x14ac:dyDescent="0.25">
      <c r="A1621" s="710" t="s">
        <v>11</v>
      </c>
      <c r="B1621" s="688">
        <f>165+121+57</f>
        <v>343</v>
      </c>
      <c r="C1621" s="56">
        <f>38+29+14</f>
        <v>81</v>
      </c>
      <c r="D1621" s="54">
        <f>61+30+9</f>
        <v>100</v>
      </c>
      <c r="E1621" s="316">
        <f>56+28+15</f>
        <v>99</v>
      </c>
      <c r="F1621" s="311">
        <f>145+111+35</f>
        <v>291</v>
      </c>
      <c r="G1621" s="58">
        <f>177+123+46</f>
        <v>346</v>
      </c>
      <c r="H1621" s="57">
        <f>193+141+52</f>
        <v>386</v>
      </c>
      <c r="I1621" s="316">
        <f>SUM(B1621:H1621)</f>
        <v>1646</v>
      </c>
      <c r="J1621" s="700">
        <f>+I1621/7</f>
        <v>235.14285714285714</v>
      </c>
    </row>
    <row r="1622" spans="1:10" x14ac:dyDescent="0.25">
      <c r="A1622" s="694" t="s">
        <v>12</v>
      </c>
      <c r="B1622" s="689">
        <v>169</v>
      </c>
      <c r="C1622" s="320">
        <v>43</v>
      </c>
      <c r="D1622" s="320">
        <v>50</v>
      </c>
      <c r="E1622" s="11">
        <v>49</v>
      </c>
      <c r="F1622" s="388">
        <v>152</v>
      </c>
      <c r="G1622" s="11">
        <v>187</v>
      </c>
      <c r="H1622" s="11">
        <v>213</v>
      </c>
      <c r="I1622" s="11">
        <f>SUM(CEDRITOS!$B1622:$H1622)</f>
        <v>863</v>
      </c>
      <c r="J1622" s="623">
        <f t="shared" ref="J1622:J1627" si="767">I1622/7</f>
        <v>123.28571428571429</v>
      </c>
    </row>
    <row r="1623" spans="1:10" x14ac:dyDescent="0.25">
      <c r="A1623" s="694" t="s">
        <v>13</v>
      </c>
      <c r="B1623" s="313">
        <v>11</v>
      </c>
      <c r="C1623" s="13">
        <v>2</v>
      </c>
      <c r="D1623" s="13">
        <v>3</v>
      </c>
      <c r="E1623" s="11">
        <v>0</v>
      </c>
      <c r="F1623" s="125">
        <v>5</v>
      </c>
      <c r="G1623" s="11">
        <v>3</v>
      </c>
      <c r="H1623" s="11">
        <v>6</v>
      </c>
      <c r="I1623" s="11">
        <f>SUM(CEDRITOS!$B1623:$H1623)</f>
        <v>30</v>
      </c>
      <c r="J1623" s="623">
        <f t="shared" si="767"/>
        <v>4.2857142857142856</v>
      </c>
    </row>
    <row r="1624" spans="1:10" x14ac:dyDescent="0.25">
      <c r="A1624" s="694" t="s">
        <v>14</v>
      </c>
      <c r="B1624" s="313">
        <v>80</v>
      </c>
      <c r="C1624" s="13">
        <v>20</v>
      </c>
      <c r="D1624" s="320">
        <v>29</v>
      </c>
      <c r="E1624" s="11">
        <v>35</v>
      </c>
      <c r="F1624" s="125">
        <v>56</v>
      </c>
      <c r="G1624" s="11">
        <v>80</v>
      </c>
      <c r="H1624" s="11">
        <v>63</v>
      </c>
      <c r="I1624" s="11">
        <f>SUM(CEDRITOS!$B1624:$H1624)</f>
        <v>363</v>
      </c>
      <c r="J1624" s="623">
        <f t="shared" si="767"/>
        <v>51.857142857142854</v>
      </c>
    </row>
    <row r="1625" spans="1:10" x14ac:dyDescent="0.25">
      <c r="A1625" s="694" t="s">
        <v>15</v>
      </c>
      <c r="B1625" s="313">
        <v>0</v>
      </c>
      <c r="C1625" s="13">
        <v>0</v>
      </c>
      <c r="D1625" s="13">
        <v>0</v>
      </c>
      <c r="E1625" s="11">
        <v>1</v>
      </c>
      <c r="F1625" s="125">
        <v>20</v>
      </c>
      <c r="G1625" s="11">
        <v>9</v>
      </c>
      <c r="H1625" s="11">
        <v>2</v>
      </c>
      <c r="I1625" s="11">
        <f>SUM(CEDRITOS!$B1625:$H1625)</f>
        <v>32</v>
      </c>
      <c r="J1625" s="623">
        <f t="shared" si="767"/>
        <v>4.5714285714285712</v>
      </c>
    </row>
    <row r="1626" spans="1:10" x14ac:dyDescent="0.25">
      <c r="A1626" s="694" t="s">
        <v>16</v>
      </c>
      <c r="B1626" s="313">
        <v>0</v>
      </c>
      <c r="C1626" s="13">
        <v>0</v>
      </c>
      <c r="D1626" s="13">
        <v>0</v>
      </c>
      <c r="E1626" s="11">
        <v>0</v>
      </c>
      <c r="F1626" s="125">
        <v>0</v>
      </c>
      <c r="G1626" s="11">
        <v>0</v>
      </c>
      <c r="H1626" s="11">
        <v>0</v>
      </c>
      <c r="I1626" s="11">
        <f>SUM(CEDRITOS!$B1626:$H1626)</f>
        <v>0</v>
      </c>
      <c r="J1626" s="623">
        <f t="shared" si="767"/>
        <v>0</v>
      </c>
    </row>
    <row r="1627" spans="1:10" x14ac:dyDescent="0.25">
      <c r="A1627" s="695" t="s">
        <v>17</v>
      </c>
      <c r="B1627" s="707">
        <f>SUM(B1622:B1626)</f>
        <v>260</v>
      </c>
      <c r="C1627" s="192">
        <f t="shared" ref="C1627:I1627" si="768">SUM(C1622:C1626)</f>
        <v>65</v>
      </c>
      <c r="D1627" s="192">
        <f t="shared" si="768"/>
        <v>82</v>
      </c>
      <c r="E1627" s="192">
        <f t="shared" si="768"/>
        <v>85</v>
      </c>
      <c r="F1627" s="192">
        <f t="shared" si="768"/>
        <v>233</v>
      </c>
      <c r="G1627" s="192">
        <f t="shared" si="768"/>
        <v>279</v>
      </c>
      <c r="H1627" s="192">
        <f t="shared" si="768"/>
        <v>284</v>
      </c>
      <c r="I1627" s="192">
        <f t="shared" si="768"/>
        <v>1288</v>
      </c>
      <c r="J1627" s="647">
        <f t="shared" si="767"/>
        <v>184</v>
      </c>
    </row>
    <row r="1628" spans="1:10" x14ac:dyDescent="0.25">
      <c r="A1628" s="694" t="s">
        <v>18</v>
      </c>
      <c r="B1628" s="690">
        <v>0.69</v>
      </c>
      <c r="C1628" s="326">
        <v>0.68</v>
      </c>
      <c r="D1628" s="326">
        <v>0.64</v>
      </c>
      <c r="E1628" s="327">
        <v>0.68</v>
      </c>
      <c r="F1628" s="328">
        <v>0.68</v>
      </c>
      <c r="G1628" s="327">
        <v>0.71</v>
      </c>
      <c r="H1628" s="327">
        <v>0.78</v>
      </c>
      <c r="I1628" s="30">
        <f>I1635/I1640</f>
        <v>0.7101314260517162</v>
      </c>
      <c r="J1628" s="648">
        <f>J1635/J1640</f>
        <v>0.7101314260517162</v>
      </c>
    </row>
    <row r="1629" spans="1:10" x14ac:dyDescent="0.25">
      <c r="A1629" s="694" t="s">
        <v>19</v>
      </c>
      <c r="B1629" s="690">
        <v>0.04</v>
      </c>
      <c r="C1629" s="326">
        <v>0.01</v>
      </c>
      <c r="D1629" s="326">
        <v>0.03</v>
      </c>
      <c r="E1629" s="327">
        <v>0</v>
      </c>
      <c r="F1629" s="327">
        <v>0.02</v>
      </c>
      <c r="G1629" s="327">
        <v>0.01</v>
      </c>
      <c r="H1629" s="327">
        <v>0.01</v>
      </c>
      <c r="I1629" s="30">
        <f>I1636/I1640</f>
        <v>1.8628077078577259E-2</v>
      </c>
      <c r="J1629" s="648">
        <f>J1636/J1640</f>
        <v>1.8628077078577259E-2</v>
      </c>
    </row>
    <row r="1630" spans="1:10" x14ac:dyDescent="0.25">
      <c r="A1630" s="694" t="s">
        <v>20</v>
      </c>
      <c r="B1630" s="690">
        <v>0.27</v>
      </c>
      <c r="C1630" s="326">
        <v>0.31</v>
      </c>
      <c r="D1630" s="326">
        <v>0.33</v>
      </c>
      <c r="E1630" s="327">
        <v>0.31</v>
      </c>
      <c r="F1630" s="329">
        <v>0.22</v>
      </c>
      <c r="G1630" s="327">
        <v>0.26</v>
      </c>
      <c r="H1630" s="327">
        <v>0.2</v>
      </c>
      <c r="I1630" s="30">
        <f>I1637/I1640</f>
        <v>0.24980103744894111</v>
      </c>
      <c r="J1630" s="648">
        <f>J1637/J1640</f>
        <v>0.24980103744894108</v>
      </c>
    </row>
    <row r="1631" spans="1:10" x14ac:dyDescent="0.25">
      <c r="A1631" s="694" t="s">
        <v>21</v>
      </c>
      <c r="B1631" s="690">
        <v>0</v>
      </c>
      <c r="C1631" s="326">
        <v>0</v>
      </c>
      <c r="D1631" s="326">
        <v>0</v>
      </c>
      <c r="E1631" s="327">
        <v>0.01</v>
      </c>
      <c r="F1631" s="329">
        <v>0.08</v>
      </c>
      <c r="G1631" s="327">
        <v>0.02</v>
      </c>
      <c r="H1631" s="327">
        <v>0.01</v>
      </c>
      <c r="I1631" s="30">
        <f>I1638/I1640</f>
        <v>2.1439459420765295E-2</v>
      </c>
      <c r="J1631" s="648">
        <f>J1638/J1640</f>
        <v>2.1439459420765295E-2</v>
      </c>
    </row>
    <row r="1632" spans="1:10" x14ac:dyDescent="0.25">
      <c r="A1632" s="694" t="s">
        <v>22</v>
      </c>
      <c r="B1632" s="690">
        <v>0</v>
      </c>
      <c r="C1632" s="326">
        <v>0</v>
      </c>
      <c r="D1632" s="326">
        <v>0</v>
      </c>
      <c r="E1632" s="327">
        <v>0</v>
      </c>
      <c r="F1632" s="329">
        <v>0</v>
      </c>
      <c r="G1632" s="327">
        <v>0</v>
      </c>
      <c r="H1632" s="327">
        <v>0</v>
      </c>
      <c r="I1632" s="30">
        <f>I1639/I1640</f>
        <v>0</v>
      </c>
      <c r="J1632" s="648">
        <f>J1639/J1640</f>
        <v>0</v>
      </c>
    </row>
    <row r="1633" spans="1:10" x14ac:dyDescent="0.25">
      <c r="A1633" s="696" t="s">
        <v>23</v>
      </c>
      <c r="B1633" s="164">
        <f t="shared" ref="B1633:J1633" si="769">B1644/B1627</f>
        <v>38148.846153846156</v>
      </c>
      <c r="C1633" s="66">
        <f t="shared" si="769"/>
        <v>32547.692307692309</v>
      </c>
      <c r="D1633" s="66">
        <f t="shared" si="769"/>
        <v>32589.024390243907</v>
      </c>
      <c r="E1633" s="66">
        <f t="shared" si="769"/>
        <v>31998.823529411766</v>
      </c>
      <c r="F1633" s="66">
        <f t="shared" si="769"/>
        <v>35927.896995708157</v>
      </c>
      <c r="G1633" s="66">
        <f t="shared" si="769"/>
        <v>36767.025089605733</v>
      </c>
      <c r="H1633" s="66">
        <f t="shared" si="769"/>
        <v>39705.633802816905</v>
      </c>
      <c r="I1633" s="66">
        <f t="shared" si="769"/>
        <v>36748.524844720501</v>
      </c>
      <c r="J1633" s="701">
        <f t="shared" si="769"/>
        <v>36748.524844720501</v>
      </c>
    </row>
    <row r="1634" spans="1:10" x14ac:dyDescent="0.25">
      <c r="A1634" s="696" t="s">
        <v>24</v>
      </c>
      <c r="B1634" s="164">
        <f t="shared" ref="B1634:I1634" si="770">+B1644/B1621</f>
        <v>28917.492711370262</v>
      </c>
      <c r="C1634" s="66">
        <f t="shared" si="770"/>
        <v>26118.518518518518</v>
      </c>
      <c r="D1634" s="66">
        <f t="shared" si="770"/>
        <v>26723.000000000004</v>
      </c>
      <c r="E1634" s="66">
        <f t="shared" si="770"/>
        <v>27473.737373737375</v>
      </c>
      <c r="F1634" s="66">
        <f t="shared" si="770"/>
        <v>28767.01030927835</v>
      </c>
      <c r="G1634" s="66">
        <f t="shared" si="770"/>
        <v>29647.398843930634</v>
      </c>
      <c r="H1634" s="66">
        <f t="shared" si="770"/>
        <v>29213.471502590673</v>
      </c>
      <c r="I1634" s="66">
        <f t="shared" si="770"/>
        <v>28755.832320777648</v>
      </c>
      <c r="J1634" s="701">
        <f>J1644/J1621</f>
        <v>28755.832320777648</v>
      </c>
    </row>
    <row r="1635" spans="1:10" x14ac:dyDescent="0.25">
      <c r="A1635" s="694" t="s">
        <v>25</v>
      </c>
      <c r="B1635" s="300">
        <f t="shared" ref="B1635:H1635" si="771">B1640*B1628</f>
        <v>5648621.8293103445</v>
      </c>
      <c r="C1635" s="92">
        <f t="shared" si="771"/>
        <v>1177167.1103448276</v>
      </c>
      <c r="D1635" s="92">
        <f t="shared" si="771"/>
        <v>1405412.4137931038</v>
      </c>
      <c r="E1635" s="92">
        <f t="shared" si="771"/>
        <v>1522619.5379310346</v>
      </c>
      <c r="F1635" s="92">
        <f t="shared" si="771"/>
        <v>4684514.3724137936</v>
      </c>
      <c r="G1635" s="31">
        <f t="shared" si="771"/>
        <v>5992484.0982758617</v>
      </c>
      <c r="H1635" s="31">
        <f t="shared" si="771"/>
        <v>7224375.1965517243</v>
      </c>
      <c r="I1635" s="31">
        <f>SUM(B1635:H1635)</f>
        <v>27655194.558620691</v>
      </c>
      <c r="J1635" s="702">
        <f t="shared" ref="J1635:J1644" si="772">I1635/7</f>
        <v>3950742.079802956</v>
      </c>
    </row>
    <row r="1636" spans="1:10" x14ac:dyDescent="0.25">
      <c r="A1636" s="694" t="s">
        <v>26</v>
      </c>
      <c r="B1636" s="300">
        <f t="shared" ref="B1636:H1636" si="773">B1640*B1629</f>
        <v>327456.3379310345</v>
      </c>
      <c r="C1636" s="92">
        <f t="shared" si="773"/>
        <v>17311.281034482759</v>
      </c>
      <c r="D1636" s="92">
        <f t="shared" si="773"/>
        <v>65878.706896551739</v>
      </c>
      <c r="E1636" s="92">
        <f t="shared" si="773"/>
        <v>0</v>
      </c>
      <c r="F1636" s="92">
        <f t="shared" si="773"/>
        <v>137779.83448275863</v>
      </c>
      <c r="G1636" s="31">
        <f t="shared" si="773"/>
        <v>84401.184482758617</v>
      </c>
      <c r="H1636" s="31">
        <f t="shared" si="773"/>
        <v>92620.194827586209</v>
      </c>
      <c r="I1636" s="31">
        <f>SUM(B1636:H1636)</f>
        <v>725447.5396551725</v>
      </c>
      <c r="J1636" s="702">
        <f t="shared" si="772"/>
        <v>103635.36280788179</v>
      </c>
    </row>
    <row r="1637" spans="1:10" x14ac:dyDescent="0.25">
      <c r="A1637" s="694" t="s">
        <v>27</v>
      </c>
      <c r="B1637" s="300">
        <f t="shared" ref="B1637:H1637" si="774">B1640*B1630</f>
        <v>2210330.2810344831</v>
      </c>
      <c r="C1637" s="92">
        <f t="shared" si="774"/>
        <v>536649.71206896554</v>
      </c>
      <c r="D1637" s="92">
        <f t="shared" si="774"/>
        <v>724665.7758620691</v>
      </c>
      <c r="E1637" s="92">
        <f t="shared" si="774"/>
        <v>694135.37758620689</v>
      </c>
      <c r="F1637" s="92">
        <f t="shared" si="774"/>
        <v>1515578.1793103449</v>
      </c>
      <c r="G1637" s="31">
        <f t="shared" si="774"/>
        <v>2194430.7965517244</v>
      </c>
      <c r="H1637" s="31">
        <f t="shared" si="774"/>
        <v>1852403.8965517243</v>
      </c>
      <c r="I1637" s="31">
        <f>SUM(B1637:H1637)</f>
        <v>9728194.0189655181</v>
      </c>
      <c r="J1637" s="702">
        <f t="shared" si="772"/>
        <v>1389742.0027093596</v>
      </c>
    </row>
    <row r="1638" spans="1:10" x14ac:dyDescent="0.25">
      <c r="A1638" s="694" t="s">
        <v>28</v>
      </c>
      <c r="B1638" s="300">
        <f t="shared" ref="B1638:H1638" si="775">B1640*B1631</f>
        <v>0</v>
      </c>
      <c r="C1638" s="92">
        <f t="shared" si="775"/>
        <v>0</v>
      </c>
      <c r="D1638" s="92">
        <f t="shared" si="775"/>
        <v>0</v>
      </c>
      <c r="E1638" s="92">
        <f t="shared" si="775"/>
        <v>22391.463793103449</v>
      </c>
      <c r="F1638" s="92">
        <f t="shared" si="775"/>
        <v>551119.3379310345</v>
      </c>
      <c r="G1638" s="31">
        <f t="shared" si="775"/>
        <v>168802.36896551723</v>
      </c>
      <c r="H1638" s="31">
        <f t="shared" si="775"/>
        <v>92620.194827586209</v>
      </c>
      <c r="I1638" s="31">
        <f>SUM(B1638:H1638)</f>
        <v>834933.36551724141</v>
      </c>
      <c r="J1638" s="702">
        <f t="shared" si="772"/>
        <v>119276.19507389163</v>
      </c>
    </row>
    <row r="1639" spans="1:10" x14ac:dyDescent="0.25">
      <c r="A1639" s="694" t="s">
        <v>29</v>
      </c>
      <c r="B1639" s="300">
        <f t="shared" ref="B1639:H1639" si="776">B1640*B1632</f>
        <v>0</v>
      </c>
      <c r="C1639" s="92">
        <f t="shared" si="776"/>
        <v>0</v>
      </c>
      <c r="D1639" s="92">
        <f t="shared" si="776"/>
        <v>0</v>
      </c>
      <c r="E1639" s="92">
        <f t="shared" si="776"/>
        <v>0</v>
      </c>
      <c r="F1639" s="92">
        <f t="shared" si="776"/>
        <v>0</v>
      </c>
      <c r="G1639" s="31">
        <f t="shared" si="776"/>
        <v>0</v>
      </c>
      <c r="H1639" s="31">
        <f t="shared" si="776"/>
        <v>0</v>
      </c>
      <c r="I1639" s="31">
        <f>SUM(B1639:H1639)</f>
        <v>0</v>
      </c>
      <c r="J1639" s="702">
        <f t="shared" si="772"/>
        <v>0</v>
      </c>
    </row>
    <row r="1640" spans="1:10" x14ac:dyDescent="0.25">
      <c r="A1640" s="697" t="s">
        <v>30</v>
      </c>
      <c r="B1640" s="691">
        <f>(9918700/1.16)-B1641</f>
        <v>8186408.4482758623</v>
      </c>
      <c r="C1640" s="222">
        <f>(2115600/1.16)-C1641</f>
        <v>1731128.1034482759</v>
      </c>
      <c r="D1640" s="222">
        <f>(2672300/1.16)-D1641</f>
        <v>2195956.8965517245</v>
      </c>
      <c r="E1640" s="222">
        <f>(2719900/1.16)-E1641</f>
        <v>2239146.3793103448</v>
      </c>
      <c r="F1640" s="222">
        <f>(8371200/1.16)-F1641</f>
        <v>6888991.7241379311</v>
      </c>
      <c r="G1640" s="222">
        <f>(10258000/1.16)-G1641</f>
        <v>8440118.4482758623</v>
      </c>
      <c r="H1640" s="222">
        <f>(11276400/1.16)-H1641</f>
        <v>9262019.4827586208</v>
      </c>
      <c r="I1640" s="197">
        <f>SUM(I1635:I1639)</f>
        <v>38943769.482758626</v>
      </c>
      <c r="J1640" s="703">
        <f t="shared" si="772"/>
        <v>5563395.6403940897</v>
      </c>
    </row>
    <row r="1641" spans="1:10" x14ac:dyDescent="0.25">
      <c r="A1641" s="694" t="s">
        <v>31</v>
      </c>
      <c r="B1641" s="300">
        <f t="shared" ref="B1641:I1641" si="777">2155*B1622</f>
        <v>364195</v>
      </c>
      <c r="C1641" s="92">
        <f t="shared" si="777"/>
        <v>92665</v>
      </c>
      <c r="D1641" s="92">
        <f t="shared" si="777"/>
        <v>107750</v>
      </c>
      <c r="E1641" s="92">
        <f t="shared" si="777"/>
        <v>105595</v>
      </c>
      <c r="F1641" s="92">
        <f t="shared" si="777"/>
        <v>327560</v>
      </c>
      <c r="G1641" s="31">
        <f t="shared" si="777"/>
        <v>402985</v>
      </c>
      <c r="H1641" s="31">
        <f t="shared" si="777"/>
        <v>459015</v>
      </c>
      <c r="I1641" s="31">
        <f t="shared" si="777"/>
        <v>1859765</v>
      </c>
      <c r="J1641" s="702">
        <f t="shared" si="772"/>
        <v>265680.71428571426</v>
      </c>
    </row>
    <row r="1642" spans="1:10" x14ac:dyDescent="0.25">
      <c r="A1642" s="698" t="s">
        <v>32</v>
      </c>
      <c r="B1642" s="342">
        <f>B1641+B1640</f>
        <v>8550603.4482758623</v>
      </c>
      <c r="C1642" s="199">
        <f>C1641+C1640</f>
        <v>1823793.1034482759</v>
      </c>
      <c r="D1642" s="199">
        <f>D1641+D1640</f>
        <v>2303706.8965517245</v>
      </c>
      <c r="E1642" s="199">
        <f>E1641+E1640</f>
        <v>2344741.3793103448</v>
      </c>
      <c r="F1642" s="199">
        <f>F1640+F1641</f>
        <v>7216551.7241379311</v>
      </c>
      <c r="G1642" s="199">
        <f>G1641+G1640</f>
        <v>8843103.4482758623</v>
      </c>
      <c r="H1642" s="199">
        <f>H1641+H1640</f>
        <v>9721034.4827586208</v>
      </c>
      <c r="I1642" s="199">
        <f>I1640+I1641</f>
        <v>40803534.482758626</v>
      </c>
      <c r="J1642" s="704">
        <f t="shared" si="772"/>
        <v>5829076.3546798034</v>
      </c>
    </row>
    <row r="1643" spans="1:10" x14ac:dyDescent="0.25">
      <c r="A1643" s="694" t="s">
        <v>33</v>
      </c>
      <c r="B1643" s="302">
        <f>B1642*16%</f>
        <v>1368096.551724138</v>
      </c>
      <c r="C1643" s="94">
        <f t="shared" ref="C1643:H1643" si="778">C1642*16%</f>
        <v>291806.89655172417</v>
      </c>
      <c r="D1643" s="94">
        <f t="shared" si="778"/>
        <v>368593.10344827594</v>
      </c>
      <c r="E1643" s="94">
        <f t="shared" si="778"/>
        <v>375158.62068965519</v>
      </c>
      <c r="F1643" s="94">
        <f t="shared" si="778"/>
        <v>1154648.2758620691</v>
      </c>
      <c r="G1643" s="94">
        <f t="shared" si="778"/>
        <v>1414896.551724138</v>
      </c>
      <c r="H1643" s="94">
        <f t="shared" si="778"/>
        <v>1555365.5172413792</v>
      </c>
      <c r="I1643" s="94">
        <f>I1642*16%</f>
        <v>6528565.5172413802</v>
      </c>
      <c r="J1643" s="702">
        <f t="shared" si="772"/>
        <v>932652.21674876858</v>
      </c>
    </row>
    <row r="1644" spans="1:10" ht="15.75" thickBot="1" x14ac:dyDescent="0.3">
      <c r="A1644" s="699" t="s">
        <v>34</v>
      </c>
      <c r="B1644" s="708">
        <f>B1642+B1643</f>
        <v>9918700</v>
      </c>
      <c r="C1644" s="656">
        <f t="shared" ref="C1644:H1644" si="779">C1642+C1643</f>
        <v>2115600</v>
      </c>
      <c r="D1644" s="656">
        <f t="shared" si="779"/>
        <v>2672300.0000000005</v>
      </c>
      <c r="E1644" s="656">
        <f t="shared" si="779"/>
        <v>2719900</v>
      </c>
      <c r="F1644" s="656">
        <f t="shared" si="779"/>
        <v>8371200</v>
      </c>
      <c r="G1644" s="656">
        <f t="shared" si="779"/>
        <v>10258000</v>
      </c>
      <c r="H1644" s="656">
        <f t="shared" si="779"/>
        <v>11276400</v>
      </c>
      <c r="I1644" s="656">
        <f>I1642+I1643</f>
        <v>47332100.000000007</v>
      </c>
      <c r="J1644" s="705">
        <f t="shared" si="772"/>
        <v>6761728.5714285728</v>
      </c>
    </row>
    <row r="1645" spans="1:10" ht="15.75" thickBot="1" x14ac:dyDescent="0.3"/>
    <row r="1646" spans="1:10" ht="27" thickBot="1" x14ac:dyDescent="0.3">
      <c r="B1646" s="1007" t="s">
        <v>607</v>
      </c>
      <c r="C1646" s="1007"/>
      <c r="D1646" s="1007"/>
      <c r="E1646" s="1007"/>
      <c r="F1646" s="1007"/>
      <c r="G1646" s="1007"/>
      <c r="H1646" s="1007"/>
    </row>
    <row r="1647" spans="1:10" ht="15.75" x14ac:dyDescent="0.25">
      <c r="A1647" s="709" t="s">
        <v>2</v>
      </c>
      <c r="B1647" s="706" t="s">
        <v>201</v>
      </c>
      <c r="C1647" s="641" t="s">
        <v>202</v>
      </c>
      <c r="D1647" s="641" t="s">
        <v>203</v>
      </c>
      <c r="E1647" s="641" t="s">
        <v>204</v>
      </c>
      <c r="F1647" s="641" t="s">
        <v>205</v>
      </c>
      <c r="G1647" s="641" t="s">
        <v>206</v>
      </c>
      <c r="H1647" s="641" t="s">
        <v>207</v>
      </c>
      <c r="I1647" s="641" t="s">
        <v>96</v>
      </c>
      <c r="J1647" s="642" t="s">
        <v>97</v>
      </c>
    </row>
    <row r="1648" spans="1:10" x14ac:dyDescent="0.25">
      <c r="A1648" s="710" t="s">
        <v>11</v>
      </c>
      <c r="B1648" s="688">
        <f>52+20+6</f>
        <v>78</v>
      </c>
      <c r="C1648" s="56">
        <f>50+30+3</f>
        <v>83</v>
      </c>
      <c r="D1648" s="54">
        <f>56+29+10</f>
        <v>95</v>
      </c>
      <c r="E1648" s="316">
        <f>79+48+22</f>
        <v>149</v>
      </c>
      <c r="F1648" s="311">
        <f>142+89+28</f>
        <v>259</v>
      </c>
      <c r="G1648" s="58">
        <f>207+141+40</f>
        <v>388</v>
      </c>
      <c r="H1648" s="57">
        <f>190+106+61</f>
        <v>357</v>
      </c>
      <c r="I1648" s="316">
        <f>SUM(B1648:H1648)</f>
        <v>1409</v>
      </c>
      <c r="J1648" s="700">
        <f>+I1648/7</f>
        <v>201.28571428571428</v>
      </c>
    </row>
    <row r="1649" spans="1:10" x14ac:dyDescent="0.25">
      <c r="A1649" s="694" t="s">
        <v>12</v>
      </c>
      <c r="B1649" s="689">
        <v>43</v>
      </c>
      <c r="C1649" s="320">
        <v>46</v>
      </c>
      <c r="D1649" s="320">
        <v>41</v>
      </c>
      <c r="E1649" s="11">
        <v>64</v>
      </c>
      <c r="F1649" s="388">
        <v>120</v>
      </c>
      <c r="G1649" s="11">
        <v>193</v>
      </c>
      <c r="H1649" s="11">
        <v>167</v>
      </c>
      <c r="I1649" s="11">
        <f>SUM(CEDRITOS!$B1649:$H1649)</f>
        <v>674</v>
      </c>
      <c r="J1649" s="623">
        <f t="shared" ref="J1649:J1654" si="780">I1649/7</f>
        <v>96.285714285714292</v>
      </c>
    </row>
    <row r="1650" spans="1:10" x14ac:dyDescent="0.25">
      <c r="A1650" s="694" t="s">
        <v>13</v>
      </c>
      <c r="B1650" s="313">
        <v>2</v>
      </c>
      <c r="C1650" s="13">
        <v>2</v>
      </c>
      <c r="D1650" s="13">
        <v>2</v>
      </c>
      <c r="E1650" s="11">
        <v>2</v>
      </c>
      <c r="F1650" s="125">
        <v>6</v>
      </c>
      <c r="G1650" s="11">
        <v>8</v>
      </c>
      <c r="H1650" s="11">
        <v>10</v>
      </c>
      <c r="I1650" s="11">
        <f>SUM(CEDRITOS!$B1650:$H1650)</f>
        <v>32</v>
      </c>
      <c r="J1650" s="623">
        <f t="shared" si="780"/>
        <v>4.5714285714285712</v>
      </c>
    </row>
    <row r="1651" spans="1:10" x14ac:dyDescent="0.25">
      <c r="A1651" s="694" t="s">
        <v>14</v>
      </c>
      <c r="B1651" s="313">
        <v>11</v>
      </c>
      <c r="C1651" s="13">
        <v>25</v>
      </c>
      <c r="D1651" s="320">
        <v>38</v>
      </c>
      <c r="E1651" s="11">
        <v>62</v>
      </c>
      <c r="F1651" s="125">
        <v>75</v>
      </c>
      <c r="G1651" s="11">
        <v>80</v>
      </c>
      <c r="H1651" s="11">
        <v>77</v>
      </c>
      <c r="I1651" s="11">
        <f>SUM(CEDRITOS!$B1651:$H1651)</f>
        <v>368</v>
      </c>
      <c r="J1651" s="623">
        <f t="shared" si="780"/>
        <v>52.571428571428569</v>
      </c>
    </row>
    <row r="1652" spans="1:10" x14ac:dyDescent="0.25">
      <c r="A1652" s="694" t="s">
        <v>15</v>
      </c>
      <c r="B1652" s="313">
        <v>1</v>
      </c>
      <c r="C1652" s="13">
        <v>0</v>
      </c>
      <c r="D1652" s="13">
        <v>2</v>
      </c>
      <c r="E1652" s="11">
        <v>0</v>
      </c>
      <c r="F1652" s="125">
        <v>5</v>
      </c>
      <c r="G1652" s="11">
        <v>24</v>
      </c>
      <c r="H1652" s="11">
        <v>15</v>
      </c>
      <c r="I1652" s="11">
        <f>SUM(CEDRITOS!$B1652:$H1652)</f>
        <v>47</v>
      </c>
      <c r="J1652" s="623">
        <f t="shared" si="780"/>
        <v>6.7142857142857144</v>
      </c>
    </row>
    <row r="1653" spans="1:10" x14ac:dyDescent="0.25">
      <c r="A1653" s="694" t="s">
        <v>16</v>
      </c>
      <c r="B1653" s="313">
        <v>0</v>
      </c>
      <c r="C1653" s="13">
        <v>0</v>
      </c>
      <c r="D1653" s="13">
        <v>0</v>
      </c>
      <c r="E1653" s="11">
        <v>0</v>
      </c>
      <c r="F1653" s="125">
        <v>0</v>
      </c>
      <c r="G1653" s="11">
        <v>0</v>
      </c>
      <c r="H1653" s="11">
        <v>1</v>
      </c>
      <c r="I1653" s="11">
        <f>SUM(CEDRITOS!$B1653:$H1653)</f>
        <v>1</v>
      </c>
      <c r="J1653" s="623">
        <f t="shared" si="780"/>
        <v>0.14285714285714285</v>
      </c>
    </row>
    <row r="1654" spans="1:10" x14ac:dyDescent="0.25">
      <c r="A1654" s="695" t="s">
        <v>17</v>
      </c>
      <c r="B1654" s="707">
        <f>SUM(B1649:B1653)</f>
        <v>57</v>
      </c>
      <c r="C1654" s="192">
        <f t="shared" ref="C1654:I1654" si="781">SUM(C1649:C1653)</f>
        <v>73</v>
      </c>
      <c r="D1654" s="192">
        <f t="shared" si="781"/>
        <v>83</v>
      </c>
      <c r="E1654" s="192">
        <f t="shared" si="781"/>
        <v>128</v>
      </c>
      <c r="F1654" s="192">
        <f t="shared" si="781"/>
        <v>206</v>
      </c>
      <c r="G1654" s="192">
        <f t="shared" si="781"/>
        <v>305</v>
      </c>
      <c r="H1654" s="192">
        <f t="shared" si="781"/>
        <v>270</v>
      </c>
      <c r="I1654" s="192">
        <f t="shared" si="781"/>
        <v>1122</v>
      </c>
      <c r="J1654" s="647">
        <f t="shared" si="780"/>
        <v>160.28571428571428</v>
      </c>
    </row>
    <row r="1655" spans="1:10" x14ac:dyDescent="0.25">
      <c r="A1655" s="694" t="s">
        <v>18</v>
      </c>
      <c r="B1655" s="690">
        <v>0.68</v>
      </c>
      <c r="C1655" s="326">
        <v>0.75</v>
      </c>
      <c r="D1655" s="326">
        <v>0.52</v>
      </c>
      <c r="E1655" s="327">
        <v>0.57999999999999996</v>
      </c>
      <c r="F1655" s="328">
        <v>0.66</v>
      </c>
      <c r="G1655" s="327">
        <v>0.68</v>
      </c>
      <c r="H1655" s="327">
        <v>0.64</v>
      </c>
      <c r="I1655" s="30">
        <f>I1662/I1667</f>
        <v>0.65026751971784902</v>
      </c>
      <c r="J1655" s="648">
        <f>J1662/J1667</f>
        <v>0.65026751971784902</v>
      </c>
    </row>
    <row r="1656" spans="1:10" x14ac:dyDescent="0.25">
      <c r="A1656" s="694" t="s">
        <v>19</v>
      </c>
      <c r="B1656" s="690">
        <v>0.15</v>
      </c>
      <c r="C1656" s="326">
        <v>0.03</v>
      </c>
      <c r="D1656" s="326">
        <v>0.04</v>
      </c>
      <c r="E1656" s="327">
        <v>0.03</v>
      </c>
      <c r="F1656" s="327">
        <v>0.02</v>
      </c>
      <c r="G1656" s="327">
        <v>0.02</v>
      </c>
      <c r="H1656" s="327">
        <v>0.04</v>
      </c>
      <c r="I1656" s="30">
        <f>I1663/I1667</f>
        <v>3.4796150166469579E-2</v>
      </c>
      <c r="J1656" s="648">
        <f>J1663/J1667</f>
        <v>3.4796150166469579E-2</v>
      </c>
    </row>
    <row r="1657" spans="1:10" x14ac:dyDescent="0.25">
      <c r="A1657" s="694" t="s">
        <v>20</v>
      </c>
      <c r="B1657" s="690">
        <v>0.16</v>
      </c>
      <c r="C1657" s="326">
        <v>0.22</v>
      </c>
      <c r="D1657" s="326">
        <v>0.42</v>
      </c>
      <c r="E1657" s="327">
        <v>0.39</v>
      </c>
      <c r="F1657" s="329">
        <v>0.31</v>
      </c>
      <c r="G1657" s="327">
        <v>0.22</v>
      </c>
      <c r="H1657" s="327">
        <v>0.25</v>
      </c>
      <c r="I1657" s="30">
        <f>I1664/I1667</f>
        <v>0.27129400579533441</v>
      </c>
      <c r="J1657" s="648">
        <f>J1664/J1667</f>
        <v>0.27129400579533436</v>
      </c>
    </row>
    <row r="1658" spans="1:10" x14ac:dyDescent="0.25">
      <c r="A1658" s="694" t="s">
        <v>21</v>
      </c>
      <c r="B1658" s="690">
        <v>0.01</v>
      </c>
      <c r="C1658" s="326">
        <v>0</v>
      </c>
      <c r="D1658" s="326">
        <v>0.02</v>
      </c>
      <c r="E1658" s="327">
        <v>0</v>
      </c>
      <c r="F1658" s="329">
        <v>0.01</v>
      </c>
      <c r="G1658" s="327">
        <v>0.08</v>
      </c>
      <c r="H1658" s="327">
        <v>0.06</v>
      </c>
      <c r="I1658" s="30">
        <f>I1665/I1667</f>
        <v>4.1222112459656818E-2</v>
      </c>
      <c r="J1658" s="648">
        <f>J1665/J1667</f>
        <v>4.1222112459656818E-2</v>
      </c>
    </row>
    <row r="1659" spans="1:10" x14ac:dyDescent="0.25">
      <c r="A1659" s="694" t="s">
        <v>22</v>
      </c>
      <c r="B1659" s="690">
        <v>0</v>
      </c>
      <c r="C1659" s="326">
        <v>0</v>
      </c>
      <c r="D1659" s="326">
        <v>0</v>
      </c>
      <c r="E1659" s="327">
        <v>0</v>
      </c>
      <c r="F1659" s="329">
        <v>0</v>
      </c>
      <c r="G1659" s="327">
        <v>0</v>
      </c>
      <c r="H1659" s="327">
        <v>0.01</v>
      </c>
      <c r="I1659" s="30">
        <f>I1666/I1667</f>
        <v>2.4202118606901596E-3</v>
      </c>
      <c r="J1659" s="648">
        <f>J1666/J1667</f>
        <v>2.4202118606901596E-3</v>
      </c>
    </row>
    <row r="1660" spans="1:10" x14ac:dyDescent="0.25">
      <c r="A1660" s="696" t="s">
        <v>23</v>
      </c>
      <c r="B1660" s="164">
        <f t="shared" ref="B1660:J1660" si="782">B1671/B1654</f>
        <v>38077.192982456138</v>
      </c>
      <c r="C1660" s="66">
        <f t="shared" si="782"/>
        <v>35006.849315068495</v>
      </c>
      <c r="D1660" s="66">
        <f t="shared" si="782"/>
        <v>32014.457831325308</v>
      </c>
      <c r="E1660" s="66">
        <f t="shared" si="782"/>
        <v>31729.687500000004</v>
      </c>
      <c r="F1660" s="66">
        <f t="shared" si="782"/>
        <v>36095.145631067964</v>
      </c>
      <c r="G1660" s="66">
        <f t="shared" si="782"/>
        <v>37781.96721311476</v>
      </c>
      <c r="H1660" s="66">
        <f t="shared" si="782"/>
        <v>36002.222222222219</v>
      </c>
      <c r="I1660" s="66">
        <f t="shared" si="782"/>
        <v>35761.319073083781</v>
      </c>
      <c r="J1660" s="701">
        <f t="shared" si="782"/>
        <v>35761.319073083781</v>
      </c>
    </row>
    <row r="1661" spans="1:10" x14ac:dyDescent="0.25">
      <c r="A1661" s="696" t="s">
        <v>24</v>
      </c>
      <c r="B1661" s="164">
        <f t="shared" ref="B1661:I1661" si="783">+B1671/B1648</f>
        <v>27825.641025641027</v>
      </c>
      <c r="C1661" s="66">
        <f t="shared" si="783"/>
        <v>30789.156626506025</v>
      </c>
      <c r="D1661" s="66">
        <f t="shared" si="783"/>
        <v>27970.526315789477</v>
      </c>
      <c r="E1661" s="66">
        <f t="shared" si="783"/>
        <v>27257.718120805373</v>
      </c>
      <c r="F1661" s="66">
        <f t="shared" si="783"/>
        <v>28708.880308880311</v>
      </c>
      <c r="G1661" s="66">
        <f t="shared" si="783"/>
        <v>29699.742268041242</v>
      </c>
      <c r="H1661" s="66">
        <f t="shared" si="783"/>
        <v>27228.571428571428</v>
      </c>
      <c r="I1661" s="66">
        <f t="shared" si="783"/>
        <v>28477.075940383249</v>
      </c>
      <c r="J1661" s="701">
        <f>J1671/J1648</f>
        <v>28477.075940383253</v>
      </c>
    </row>
    <row r="1662" spans="1:10" x14ac:dyDescent="0.25">
      <c r="A1662" s="694" t="s">
        <v>25</v>
      </c>
      <c r="B1662" s="300">
        <f t="shared" ref="B1662:H1662" si="784">B1667*B1655</f>
        <v>1209291.2482758623</v>
      </c>
      <c r="C1662" s="92">
        <f t="shared" si="784"/>
        <v>1577915.4310344828</v>
      </c>
      <c r="D1662" s="92">
        <f t="shared" si="784"/>
        <v>1145214.0206896553</v>
      </c>
      <c r="E1662" s="92">
        <f t="shared" si="784"/>
        <v>1950706.4000000001</v>
      </c>
      <c r="F1662" s="92">
        <f t="shared" si="784"/>
        <v>4059924</v>
      </c>
      <c r="G1662" s="31">
        <f t="shared" si="784"/>
        <v>6472332.9724137941</v>
      </c>
      <c r="H1662" s="31">
        <f t="shared" si="784"/>
        <v>5132763.2551724147</v>
      </c>
      <c r="I1662" s="31">
        <f>SUM(B1662:H1662)</f>
        <v>21548147.327586211</v>
      </c>
      <c r="J1662" s="702">
        <f t="shared" ref="J1662:J1671" si="785">I1662/7</f>
        <v>3078306.7610837445</v>
      </c>
    </row>
    <row r="1663" spans="1:10" x14ac:dyDescent="0.25">
      <c r="A1663" s="694" t="s">
        <v>26</v>
      </c>
      <c r="B1663" s="300">
        <f t="shared" ref="B1663:H1663" si="786">B1667*B1656</f>
        <v>266755.4224137931</v>
      </c>
      <c r="C1663" s="92">
        <f t="shared" si="786"/>
        <v>63116.61724137931</v>
      </c>
      <c r="D1663" s="92">
        <f t="shared" si="786"/>
        <v>88093.386206896568</v>
      </c>
      <c r="E1663" s="92">
        <f t="shared" si="786"/>
        <v>100898.60689655173</v>
      </c>
      <c r="F1663" s="92">
        <f t="shared" si="786"/>
        <v>123028</v>
      </c>
      <c r="G1663" s="31">
        <f t="shared" si="786"/>
        <v>190362.73448275865</v>
      </c>
      <c r="H1663" s="31">
        <f t="shared" si="786"/>
        <v>320797.70344827592</v>
      </c>
      <c r="I1663" s="31">
        <f>SUM(B1663:H1663)</f>
        <v>1153052.4706896553</v>
      </c>
      <c r="J1663" s="702">
        <f t="shared" si="785"/>
        <v>164721.78152709361</v>
      </c>
    </row>
    <row r="1664" spans="1:10" x14ac:dyDescent="0.25">
      <c r="A1664" s="694" t="s">
        <v>27</v>
      </c>
      <c r="B1664" s="300">
        <f t="shared" ref="B1664:H1664" si="787">B1667*B1657</f>
        <v>284539.11724137934</v>
      </c>
      <c r="C1664" s="92">
        <f t="shared" si="787"/>
        <v>462855.19310344831</v>
      </c>
      <c r="D1664" s="92">
        <f t="shared" si="787"/>
        <v>924980.55517241394</v>
      </c>
      <c r="E1664" s="92">
        <f t="shared" si="787"/>
        <v>1311681.8896551726</v>
      </c>
      <c r="F1664" s="92">
        <f t="shared" si="787"/>
        <v>1906934</v>
      </c>
      <c r="G1664" s="31">
        <f t="shared" si="787"/>
        <v>2093990.079310345</v>
      </c>
      <c r="H1664" s="31">
        <f t="shared" si="787"/>
        <v>2004985.6465517243</v>
      </c>
      <c r="I1664" s="31">
        <f>SUM(B1664:H1664)</f>
        <v>8989966.4810344838</v>
      </c>
      <c r="J1664" s="702">
        <f t="shared" si="785"/>
        <v>1284280.925862069</v>
      </c>
    </row>
    <row r="1665" spans="1:10" x14ac:dyDescent="0.25">
      <c r="A1665" s="694" t="s">
        <v>28</v>
      </c>
      <c r="B1665" s="300">
        <f t="shared" ref="B1665:H1665" si="788">B1667*B1658</f>
        <v>17783.694827586209</v>
      </c>
      <c r="C1665" s="92">
        <f t="shared" si="788"/>
        <v>0</v>
      </c>
      <c r="D1665" s="92">
        <f t="shared" si="788"/>
        <v>44046.693103448284</v>
      </c>
      <c r="E1665" s="92">
        <f t="shared" si="788"/>
        <v>0</v>
      </c>
      <c r="F1665" s="92">
        <f t="shared" si="788"/>
        <v>61514</v>
      </c>
      <c r="G1665" s="31">
        <f t="shared" si="788"/>
        <v>761450.9379310346</v>
      </c>
      <c r="H1665" s="31">
        <f t="shared" si="788"/>
        <v>481196.55517241382</v>
      </c>
      <c r="I1665" s="31">
        <f>SUM(B1665:H1665)</f>
        <v>1365991.881034483</v>
      </c>
      <c r="J1665" s="702">
        <f t="shared" si="785"/>
        <v>195141.69729064041</v>
      </c>
    </row>
    <row r="1666" spans="1:10" x14ac:dyDescent="0.25">
      <c r="A1666" s="694" t="s">
        <v>29</v>
      </c>
      <c r="B1666" s="300">
        <f t="shared" ref="B1666:H1666" si="789">B1667*B1659</f>
        <v>0</v>
      </c>
      <c r="C1666" s="92">
        <f t="shared" si="789"/>
        <v>0</v>
      </c>
      <c r="D1666" s="92">
        <f t="shared" si="789"/>
        <v>0</v>
      </c>
      <c r="E1666" s="92">
        <f t="shared" si="789"/>
        <v>0</v>
      </c>
      <c r="F1666" s="92">
        <f t="shared" si="789"/>
        <v>0</v>
      </c>
      <c r="G1666" s="31">
        <f t="shared" si="789"/>
        <v>0</v>
      </c>
      <c r="H1666" s="31">
        <f t="shared" si="789"/>
        <v>80199.42586206898</v>
      </c>
      <c r="I1666" s="31">
        <f>SUM(B1666:H1666)</f>
        <v>80199.42586206898</v>
      </c>
      <c r="J1666" s="702">
        <f t="shared" si="785"/>
        <v>11457.060837438426</v>
      </c>
    </row>
    <row r="1667" spans="1:10" x14ac:dyDescent="0.25">
      <c r="A1667" s="697" t="s">
        <v>30</v>
      </c>
      <c r="B1667" s="691">
        <f>(2170400/1.16)-B1668</f>
        <v>1778369.4827586208</v>
      </c>
      <c r="C1667" s="222">
        <f>(2555500/1.16)-C1668</f>
        <v>2103887.2413793104</v>
      </c>
      <c r="D1667" s="222">
        <f>(2657200/1.16)-D1668</f>
        <v>2202334.6551724141</v>
      </c>
      <c r="E1667" s="222">
        <f>(4061400/1.16)-E1668</f>
        <v>3363286.8965517245</v>
      </c>
      <c r="F1667" s="222">
        <f>(7435600/1.16)-F1668</f>
        <v>6151400</v>
      </c>
      <c r="G1667" s="222">
        <f>(11523500/1.16)-G1668</f>
        <v>9518136.7241379321</v>
      </c>
      <c r="H1667" s="222">
        <f>(9720600/1.16)-H1668</f>
        <v>8019942.5862068972</v>
      </c>
      <c r="I1667" s="197">
        <f>SUM(I1662:I1666)</f>
        <v>33137357.586206902</v>
      </c>
      <c r="J1667" s="703">
        <f t="shared" si="785"/>
        <v>4733908.226600986</v>
      </c>
    </row>
    <row r="1668" spans="1:10" x14ac:dyDescent="0.25">
      <c r="A1668" s="694" t="s">
        <v>31</v>
      </c>
      <c r="B1668" s="300">
        <f t="shared" ref="B1668:I1668" si="790">2155*B1649</f>
        <v>92665</v>
      </c>
      <c r="C1668" s="92">
        <f t="shared" si="790"/>
        <v>99130</v>
      </c>
      <c r="D1668" s="92">
        <f t="shared" si="790"/>
        <v>88355</v>
      </c>
      <c r="E1668" s="92">
        <f t="shared" si="790"/>
        <v>137920</v>
      </c>
      <c r="F1668" s="92">
        <f t="shared" si="790"/>
        <v>258600</v>
      </c>
      <c r="G1668" s="31">
        <f t="shared" si="790"/>
        <v>415915</v>
      </c>
      <c r="H1668" s="31">
        <f t="shared" si="790"/>
        <v>359885</v>
      </c>
      <c r="I1668" s="31">
        <f t="shared" si="790"/>
        <v>1452470</v>
      </c>
      <c r="J1668" s="702">
        <f t="shared" si="785"/>
        <v>207495.71428571429</v>
      </c>
    </row>
    <row r="1669" spans="1:10" x14ac:dyDescent="0.25">
      <c r="A1669" s="698" t="s">
        <v>32</v>
      </c>
      <c r="B1669" s="342">
        <f>B1668+B1667</f>
        <v>1871034.4827586208</v>
      </c>
      <c r="C1669" s="199">
        <f>C1668+C1667</f>
        <v>2203017.2413793104</v>
      </c>
      <c r="D1669" s="199">
        <f>D1668+D1667</f>
        <v>2290689.6551724141</v>
      </c>
      <c r="E1669" s="199">
        <f>E1668+E1667</f>
        <v>3501206.8965517245</v>
      </c>
      <c r="F1669" s="199">
        <f>F1667+F1668</f>
        <v>6410000</v>
      </c>
      <c r="G1669" s="199">
        <f>G1668+G1667</f>
        <v>9934051.7241379321</v>
      </c>
      <c r="H1669" s="199">
        <f>H1668+H1667</f>
        <v>8379827.5862068972</v>
      </c>
      <c r="I1669" s="199">
        <f>I1667+I1668</f>
        <v>34589827.586206898</v>
      </c>
      <c r="J1669" s="704">
        <f t="shared" si="785"/>
        <v>4941403.9408866996</v>
      </c>
    </row>
    <row r="1670" spans="1:10" x14ac:dyDescent="0.25">
      <c r="A1670" s="694" t="s">
        <v>33</v>
      </c>
      <c r="B1670" s="302">
        <f>B1669*16%</f>
        <v>299365.5172413793</v>
      </c>
      <c r="C1670" s="94">
        <f t="shared" ref="C1670:H1670" si="791">C1669*16%</f>
        <v>352482.75862068968</v>
      </c>
      <c r="D1670" s="94">
        <f t="shared" si="791"/>
        <v>366510.34482758626</v>
      </c>
      <c r="E1670" s="94">
        <f t="shared" si="791"/>
        <v>560193.10344827594</v>
      </c>
      <c r="F1670" s="94">
        <f t="shared" si="791"/>
        <v>1025600</v>
      </c>
      <c r="G1670" s="94">
        <f t="shared" si="791"/>
        <v>1589448.2758620691</v>
      </c>
      <c r="H1670" s="94">
        <f t="shared" si="791"/>
        <v>1340772.4137931035</v>
      </c>
      <c r="I1670" s="94">
        <f>I1669*16%</f>
        <v>5534372.4137931038</v>
      </c>
      <c r="J1670" s="702">
        <f t="shared" si="785"/>
        <v>790624.630541872</v>
      </c>
    </row>
    <row r="1671" spans="1:10" ht="15.75" thickBot="1" x14ac:dyDescent="0.3">
      <c r="A1671" s="699" t="s">
        <v>34</v>
      </c>
      <c r="B1671" s="708">
        <f>B1669+B1670</f>
        <v>2170400</v>
      </c>
      <c r="C1671" s="656">
        <f t="shared" ref="C1671:H1671" si="792">C1669+C1670</f>
        <v>2555500</v>
      </c>
      <c r="D1671" s="656">
        <f t="shared" si="792"/>
        <v>2657200.0000000005</v>
      </c>
      <c r="E1671" s="656">
        <f t="shared" si="792"/>
        <v>4061400.0000000005</v>
      </c>
      <c r="F1671" s="656">
        <f t="shared" si="792"/>
        <v>7435600</v>
      </c>
      <c r="G1671" s="656">
        <f t="shared" si="792"/>
        <v>11523500.000000002</v>
      </c>
      <c r="H1671" s="656">
        <f t="shared" si="792"/>
        <v>9720600</v>
      </c>
      <c r="I1671" s="656">
        <f>I1669+I1670</f>
        <v>40124200</v>
      </c>
      <c r="J1671" s="705">
        <f t="shared" si="785"/>
        <v>5732028.5714285718</v>
      </c>
    </row>
    <row r="1672" spans="1:10" ht="15.75" thickBot="1" x14ac:dyDescent="0.3"/>
    <row r="1673" spans="1:10" ht="27" thickBot="1" x14ac:dyDescent="0.3">
      <c r="B1673" s="1007" t="s">
        <v>618</v>
      </c>
      <c r="C1673" s="1007"/>
      <c r="D1673" s="1007"/>
      <c r="E1673" s="1007"/>
      <c r="F1673" s="1007"/>
      <c r="G1673" s="1007"/>
      <c r="H1673" s="1007"/>
    </row>
    <row r="1674" spans="1:10" ht="15.75" x14ac:dyDescent="0.25">
      <c r="A1674" s="709" t="s">
        <v>2</v>
      </c>
      <c r="B1674" s="706" t="s">
        <v>209</v>
      </c>
      <c r="C1674" s="641" t="s">
        <v>242</v>
      </c>
      <c r="D1674" s="641" t="s">
        <v>243</v>
      </c>
      <c r="E1674" s="641" t="s">
        <v>244</v>
      </c>
      <c r="F1674" s="641" t="s">
        <v>245</v>
      </c>
      <c r="G1674" s="641" t="s">
        <v>246</v>
      </c>
      <c r="H1674" s="641" t="s">
        <v>247</v>
      </c>
      <c r="I1674" s="641" t="s">
        <v>96</v>
      </c>
      <c r="J1674" s="642" t="s">
        <v>97</v>
      </c>
    </row>
    <row r="1675" spans="1:10" x14ac:dyDescent="0.25">
      <c r="A1675" s="710" t="s">
        <v>11</v>
      </c>
      <c r="B1675" s="688">
        <f>92+57+20</f>
        <v>169</v>
      </c>
      <c r="C1675" s="56">
        <f>41+36+9</f>
        <v>86</v>
      </c>
      <c r="D1675" s="54">
        <f>56+36+6</f>
        <v>98</v>
      </c>
      <c r="E1675" s="316">
        <f>76+47+19</f>
        <v>142</v>
      </c>
      <c r="F1675" s="311">
        <f>140+84+25</f>
        <v>249</v>
      </c>
      <c r="G1675" s="58">
        <f>201+130+53</f>
        <v>384</v>
      </c>
      <c r="H1675" s="57">
        <f>200+117+57</f>
        <v>374</v>
      </c>
      <c r="I1675" s="316">
        <f>SUM(B1675:H1675)</f>
        <v>1502</v>
      </c>
      <c r="J1675" s="700">
        <f>+I1675/7</f>
        <v>214.57142857142858</v>
      </c>
    </row>
    <row r="1676" spans="1:10" x14ac:dyDescent="0.25">
      <c r="A1676" s="694" t="s">
        <v>12</v>
      </c>
      <c r="B1676" s="689">
        <v>75</v>
      </c>
      <c r="C1676" s="320">
        <v>46</v>
      </c>
      <c r="D1676" s="320">
        <v>41</v>
      </c>
      <c r="E1676" s="11">
        <v>79</v>
      </c>
      <c r="F1676" s="388">
        <v>129</v>
      </c>
      <c r="G1676" s="11">
        <v>194</v>
      </c>
      <c r="H1676" s="11">
        <v>214</v>
      </c>
      <c r="I1676" s="11">
        <f>SUM(CEDRITOS!$B1676:$H1676)</f>
        <v>778</v>
      </c>
      <c r="J1676" s="623">
        <f t="shared" ref="J1676:J1681" si="793">I1676/7</f>
        <v>111.14285714285714</v>
      </c>
    </row>
    <row r="1677" spans="1:10" x14ac:dyDescent="0.25">
      <c r="A1677" s="694" t="s">
        <v>13</v>
      </c>
      <c r="B1677" s="313">
        <v>5</v>
      </c>
      <c r="C1677" s="13">
        <v>3</v>
      </c>
      <c r="D1677" s="13">
        <v>3</v>
      </c>
      <c r="E1677" s="11">
        <v>0</v>
      </c>
      <c r="F1677" s="125">
        <v>3</v>
      </c>
      <c r="G1677" s="11">
        <v>5</v>
      </c>
      <c r="H1677" s="11">
        <v>6</v>
      </c>
      <c r="I1677" s="11">
        <f>SUM(CEDRITOS!$B1677:$H1677)</f>
        <v>25</v>
      </c>
      <c r="J1677" s="623">
        <f t="shared" si="793"/>
        <v>3.5714285714285716</v>
      </c>
    </row>
    <row r="1678" spans="1:10" x14ac:dyDescent="0.25">
      <c r="A1678" s="694" t="s">
        <v>14</v>
      </c>
      <c r="B1678" s="313">
        <v>44</v>
      </c>
      <c r="C1678" s="13">
        <v>25</v>
      </c>
      <c r="D1678" s="320">
        <v>41</v>
      </c>
      <c r="E1678" s="11">
        <v>42</v>
      </c>
      <c r="F1678" s="125">
        <v>62</v>
      </c>
      <c r="G1678" s="11">
        <v>100</v>
      </c>
      <c r="H1678" s="11">
        <v>70</v>
      </c>
      <c r="I1678" s="11">
        <f>SUM(CEDRITOS!$B1678:$H1678)</f>
        <v>384</v>
      </c>
      <c r="J1678" s="623">
        <f t="shared" si="793"/>
        <v>54.857142857142854</v>
      </c>
    </row>
    <row r="1679" spans="1:10" x14ac:dyDescent="0.25">
      <c r="A1679" s="694" t="s">
        <v>15</v>
      </c>
      <c r="B1679" s="313">
        <v>0</v>
      </c>
      <c r="C1679" s="13">
        <v>0</v>
      </c>
      <c r="D1679" s="13">
        <v>0</v>
      </c>
      <c r="E1679" s="11">
        <v>1</v>
      </c>
      <c r="F1679" s="125">
        <v>0</v>
      </c>
      <c r="G1679" s="11">
        <v>3</v>
      </c>
      <c r="H1679" s="11">
        <v>0</v>
      </c>
      <c r="I1679" s="11">
        <f>SUM(CEDRITOS!$B1679:$H1679)</f>
        <v>4</v>
      </c>
      <c r="J1679" s="623">
        <f t="shared" si="793"/>
        <v>0.5714285714285714</v>
      </c>
    </row>
    <row r="1680" spans="1:10" x14ac:dyDescent="0.25">
      <c r="A1680" s="694" t="s">
        <v>16</v>
      </c>
      <c r="B1680" s="313">
        <v>0</v>
      </c>
      <c r="C1680" s="13">
        <v>2</v>
      </c>
      <c r="D1680" s="13">
        <v>2</v>
      </c>
      <c r="E1680" s="11">
        <v>0</v>
      </c>
      <c r="F1680" s="125">
        <v>1</v>
      </c>
      <c r="G1680" s="11">
        <v>0</v>
      </c>
      <c r="H1680" s="11">
        <v>1</v>
      </c>
      <c r="I1680" s="11">
        <f>SUM(CEDRITOS!$B1680:$H1680)</f>
        <v>6</v>
      </c>
      <c r="J1680" s="623">
        <f t="shared" si="793"/>
        <v>0.8571428571428571</v>
      </c>
    </row>
    <row r="1681" spans="1:10" x14ac:dyDescent="0.25">
      <c r="A1681" s="695" t="s">
        <v>17</v>
      </c>
      <c r="B1681" s="707">
        <f>SUM(B1676:B1680)</f>
        <v>124</v>
      </c>
      <c r="C1681" s="192">
        <f t="shared" ref="C1681:I1681" si="794">SUM(C1676:C1680)</f>
        <v>76</v>
      </c>
      <c r="D1681" s="192">
        <f t="shared" si="794"/>
        <v>87</v>
      </c>
      <c r="E1681" s="192">
        <f t="shared" si="794"/>
        <v>122</v>
      </c>
      <c r="F1681" s="192">
        <f t="shared" si="794"/>
        <v>195</v>
      </c>
      <c r="G1681" s="192">
        <f t="shared" si="794"/>
        <v>302</v>
      </c>
      <c r="H1681" s="192">
        <f t="shared" si="794"/>
        <v>291</v>
      </c>
      <c r="I1681" s="192">
        <f t="shared" si="794"/>
        <v>1197</v>
      </c>
      <c r="J1681" s="647">
        <f t="shared" si="793"/>
        <v>171</v>
      </c>
    </row>
    <row r="1682" spans="1:10" x14ac:dyDescent="0.25">
      <c r="A1682" s="694" t="s">
        <v>18</v>
      </c>
      <c r="B1682" s="690">
        <v>0.65</v>
      </c>
      <c r="C1682" s="326">
        <v>0.65</v>
      </c>
      <c r="D1682" s="326">
        <v>0.55000000000000004</v>
      </c>
      <c r="E1682" s="327">
        <v>0.73</v>
      </c>
      <c r="F1682" s="328">
        <v>0.7</v>
      </c>
      <c r="G1682" s="327">
        <v>0.69</v>
      </c>
      <c r="H1682" s="327">
        <v>0.77</v>
      </c>
      <c r="I1682" s="30">
        <f>I1689/I1694</f>
        <v>0.69875136409324812</v>
      </c>
      <c r="J1682" s="648">
        <f>J1689/J1694</f>
        <v>0.69875136409324812</v>
      </c>
    </row>
    <row r="1683" spans="1:10" x14ac:dyDescent="0.25">
      <c r="A1683" s="694" t="s">
        <v>19</v>
      </c>
      <c r="B1683" s="690">
        <v>0.03</v>
      </c>
      <c r="C1683" s="326">
        <v>0.03</v>
      </c>
      <c r="D1683" s="326">
        <v>0.03</v>
      </c>
      <c r="E1683" s="327">
        <v>0</v>
      </c>
      <c r="F1683" s="327">
        <v>0.03</v>
      </c>
      <c r="G1683" s="327">
        <v>0.02</v>
      </c>
      <c r="H1683" s="327">
        <v>0.01</v>
      </c>
      <c r="I1683" s="30">
        <f>I1690/I1694</f>
        <v>1.9758784046096545E-2</v>
      </c>
      <c r="J1683" s="648">
        <f>J1690/J1694</f>
        <v>1.9758784046096541E-2</v>
      </c>
    </row>
    <row r="1684" spans="1:10" x14ac:dyDescent="0.25">
      <c r="A1684" s="694" t="s">
        <v>20</v>
      </c>
      <c r="B1684" s="690">
        <v>0.32</v>
      </c>
      <c r="C1684" s="326">
        <v>0.28999999999999998</v>
      </c>
      <c r="D1684" s="326">
        <v>0.4</v>
      </c>
      <c r="E1684" s="327">
        <v>0.26</v>
      </c>
      <c r="F1684" s="329">
        <v>0.27</v>
      </c>
      <c r="G1684" s="327">
        <v>0.28000000000000003</v>
      </c>
      <c r="H1684" s="327">
        <v>0.22</v>
      </c>
      <c r="I1684" s="30">
        <f>I1691/I1694</f>
        <v>0.27487071978065092</v>
      </c>
      <c r="J1684" s="648">
        <f>J1691/J1694</f>
        <v>0.27487071978065086</v>
      </c>
    </row>
    <row r="1685" spans="1:10" x14ac:dyDescent="0.25">
      <c r="A1685" s="694" t="s">
        <v>21</v>
      </c>
      <c r="B1685" s="690">
        <v>0</v>
      </c>
      <c r="C1685" s="326">
        <v>0</v>
      </c>
      <c r="D1685" s="326">
        <v>0</v>
      </c>
      <c r="E1685" s="327">
        <v>0.01</v>
      </c>
      <c r="F1685" s="329">
        <v>0</v>
      </c>
      <c r="G1685" s="327">
        <v>0.01</v>
      </c>
      <c r="H1685" s="327">
        <v>0</v>
      </c>
      <c r="I1685" s="30">
        <f>I1692/I1694</f>
        <v>3.4280296144711692E-3</v>
      </c>
      <c r="J1685" s="648">
        <f>J1692/J1694</f>
        <v>3.4280296144711692E-3</v>
      </c>
    </row>
    <row r="1686" spans="1:10" x14ac:dyDescent="0.25">
      <c r="A1686" s="694" t="s">
        <v>22</v>
      </c>
      <c r="B1686" s="690">
        <v>0</v>
      </c>
      <c r="C1686" s="326">
        <v>0.03</v>
      </c>
      <c r="D1686" s="326">
        <v>0.02</v>
      </c>
      <c r="E1686" s="327">
        <v>0</v>
      </c>
      <c r="F1686" s="329">
        <v>0</v>
      </c>
      <c r="G1686" s="327">
        <v>0</v>
      </c>
      <c r="H1686" s="327">
        <v>0</v>
      </c>
      <c r="I1686" s="30">
        <f>I1693/I1694</f>
        <v>3.1911024655331978E-3</v>
      </c>
      <c r="J1686" s="648">
        <f>J1693/J1694</f>
        <v>3.1911024655331978E-3</v>
      </c>
    </row>
    <row r="1687" spans="1:10" x14ac:dyDescent="0.25">
      <c r="A1687" s="696" t="s">
        <v>23</v>
      </c>
      <c r="B1687" s="164">
        <f t="shared" ref="B1687:J1687" si="795">B1698/B1681</f>
        <v>39837.903225806454</v>
      </c>
      <c r="C1687" s="66">
        <f t="shared" si="795"/>
        <v>35161.842105263167</v>
      </c>
      <c r="D1687" s="66">
        <f t="shared" si="795"/>
        <v>34509.195402298858</v>
      </c>
      <c r="E1687" s="66">
        <f t="shared" si="795"/>
        <v>32827.868852459018</v>
      </c>
      <c r="F1687" s="66">
        <f t="shared" si="795"/>
        <v>37350.769230769234</v>
      </c>
      <c r="G1687" s="66">
        <f t="shared" si="795"/>
        <v>36917.880794701989</v>
      </c>
      <c r="H1687" s="66">
        <f t="shared" si="795"/>
        <v>38174.226804123711</v>
      </c>
      <c r="I1687" s="66">
        <f t="shared" si="795"/>
        <v>36892.898913951547</v>
      </c>
      <c r="J1687" s="701">
        <f t="shared" si="795"/>
        <v>36892.898913951547</v>
      </c>
    </row>
    <row r="1688" spans="1:10" x14ac:dyDescent="0.25">
      <c r="A1688" s="696" t="s">
        <v>24</v>
      </c>
      <c r="B1688" s="164">
        <f t="shared" ref="B1688:I1688" si="796">+B1698/B1675</f>
        <v>29230.1775147929</v>
      </c>
      <c r="C1688" s="66">
        <f t="shared" si="796"/>
        <v>31073.255813953492</v>
      </c>
      <c r="D1688" s="66">
        <f t="shared" si="796"/>
        <v>30635.71428571429</v>
      </c>
      <c r="E1688" s="66">
        <f t="shared" si="796"/>
        <v>28204.225352112677</v>
      </c>
      <c r="F1688" s="66">
        <f t="shared" si="796"/>
        <v>29250.602409638559</v>
      </c>
      <c r="G1688" s="66">
        <f t="shared" si="796"/>
        <v>29034.375</v>
      </c>
      <c r="H1688" s="66">
        <f t="shared" si="796"/>
        <v>29702.406417112299</v>
      </c>
      <c r="I1688" s="66">
        <f t="shared" si="796"/>
        <v>29401.331557922771</v>
      </c>
      <c r="J1688" s="701">
        <f>J1698/J1675</f>
        <v>29401.331557922771</v>
      </c>
    </row>
    <row r="1689" spans="1:10" x14ac:dyDescent="0.25">
      <c r="A1689" s="694" t="s">
        <v>25</v>
      </c>
      <c r="B1689" s="300">
        <f t="shared" ref="B1689:H1689" si="797">B1694*B1682</f>
        <v>2662991.1637931038</v>
      </c>
      <c r="C1689" s="92">
        <f t="shared" si="797"/>
        <v>1432974.982758621</v>
      </c>
      <c r="D1689" s="92">
        <f t="shared" si="797"/>
        <v>1374909.0603448278</v>
      </c>
      <c r="E1689" s="92">
        <f t="shared" si="797"/>
        <v>2396109.0810344829</v>
      </c>
      <c r="F1689" s="92">
        <f t="shared" si="797"/>
        <v>4200558.6724137934</v>
      </c>
      <c r="G1689" s="31">
        <f t="shared" si="797"/>
        <v>6343383.4241379313</v>
      </c>
      <c r="H1689" s="31">
        <f t="shared" si="797"/>
        <v>7018777.5482758619</v>
      </c>
      <c r="I1689" s="31">
        <f>SUM(B1689:H1689)</f>
        <v>25429703.932758622</v>
      </c>
      <c r="J1689" s="702">
        <f t="shared" ref="J1689:J1698" si="798">I1689/7</f>
        <v>3632814.8475369462</v>
      </c>
    </row>
    <row r="1690" spans="1:10" x14ac:dyDescent="0.25">
      <c r="A1690" s="694" t="s">
        <v>26</v>
      </c>
      <c r="B1690" s="300">
        <f t="shared" ref="B1690:H1690" si="799">B1694*B1683</f>
        <v>122907.28448275862</v>
      </c>
      <c r="C1690" s="92">
        <f t="shared" si="799"/>
        <v>66137.30689655173</v>
      </c>
      <c r="D1690" s="92">
        <f t="shared" si="799"/>
        <v>74995.039655172426</v>
      </c>
      <c r="E1690" s="92">
        <f t="shared" si="799"/>
        <v>0</v>
      </c>
      <c r="F1690" s="92">
        <f t="shared" si="799"/>
        <v>180023.94310344828</v>
      </c>
      <c r="G1690" s="31">
        <f t="shared" si="799"/>
        <v>183866.18620689656</v>
      </c>
      <c r="H1690" s="31">
        <f t="shared" si="799"/>
        <v>91152.9551724138</v>
      </c>
      <c r="I1690" s="31">
        <f>SUM(B1690:H1690)</f>
        <v>719082.71551724151</v>
      </c>
      <c r="J1690" s="702">
        <f t="shared" si="798"/>
        <v>102726.10221674878</v>
      </c>
    </row>
    <row r="1691" spans="1:10" x14ac:dyDescent="0.25">
      <c r="A1691" s="694" t="s">
        <v>27</v>
      </c>
      <c r="B1691" s="300">
        <f t="shared" ref="B1691:H1691" si="800">B1694*B1684</f>
        <v>1311011.0344827587</v>
      </c>
      <c r="C1691" s="92">
        <f t="shared" si="800"/>
        <v>639327.30000000005</v>
      </c>
      <c r="D1691" s="92">
        <f t="shared" si="800"/>
        <v>999933.86206896568</v>
      </c>
      <c r="E1691" s="92">
        <f t="shared" si="800"/>
        <v>853408.71379310347</v>
      </c>
      <c r="F1691" s="92">
        <f t="shared" si="800"/>
        <v>1620215.4879310348</v>
      </c>
      <c r="G1691" s="31">
        <f t="shared" si="800"/>
        <v>2574126.6068965523</v>
      </c>
      <c r="H1691" s="31">
        <f t="shared" si="800"/>
        <v>2005365.0137931034</v>
      </c>
      <c r="I1691" s="31">
        <f>SUM(B1691:H1691)</f>
        <v>10003388.018965518</v>
      </c>
      <c r="J1691" s="702">
        <f t="shared" si="798"/>
        <v>1429055.4312807883</v>
      </c>
    </row>
    <row r="1692" spans="1:10" x14ac:dyDescent="0.25">
      <c r="A1692" s="694" t="s">
        <v>28</v>
      </c>
      <c r="B1692" s="300">
        <f t="shared" ref="B1692:H1692" si="801">B1694*B1685</f>
        <v>0</v>
      </c>
      <c r="C1692" s="92">
        <f t="shared" si="801"/>
        <v>0</v>
      </c>
      <c r="D1692" s="92">
        <f t="shared" si="801"/>
        <v>0</v>
      </c>
      <c r="E1692" s="92">
        <f t="shared" si="801"/>
        <v>32823.412068965517</v>
      </c>
      <c r="F1692" s="92">
        <f t="shared" si="801"/>
        <v>0</v>
      </c>
      <c r="G1692" s="31">
        <f t="shared" si="801"/>
        <v>91933.093103448278</v>
      </c>
      <c r="H1692" s="31">
        <f t="shared" si="801"/>
        <v>0</v>
      </c>
      <c r="I1692" s="31">
        <f>SUM(B1692:H1692)</f>
        <v>124756.5051724138</v>
      </c>
      <c r="J1692" s="702">
        <f t="shared" si="798"/>
        <v>17822.357881773401</v>
      </c>
    </row>
    <row r="1693" spans="1:10" x14ac:dyDescent="0.25">
      <c r="A1693" s="694" t="s">
        <v>29</v>
      </c>
      <c r="B1693" s="300">
        <f t="shared" ref="B1693:H1693" si="802">B1694*B1686</f>
        <v>0</v>
      </c>
      <c r="C1693" s="92">
        <f t="shared" si="802"/>
        <v>66137.30689655173</v>
      </c>
      <c r="D1693" s="92">
        <f t="shared" si="802"/>
        <v>49996.693103448284</v>
      </c>
      <c r="E1693" s="92">
        <f t="shared" si="802"/>
        <v>0</v>
      </c>
      <c r="F1693" s="92">
        <f t="shared" si="802"/>
        <v>0</v>
      </c>
      <c r="G1693" s="31">
        <f t="shared" si="802"/>
        <v>0</v>
      </c>
      <c r="H1693" s="31">
        <f t="shared" si="802"/>
        <v>0</v>
      </c>
      <c r="I1693" s="31">
        <f>SUM(B1693:H1693)</f>
        <v>116134.00000000001</v>
      </c>
      <c r="J1693" s="702">
        <f t="shared" si="798"/>
        <v>16590.571428571431</v>
      </c>
    </row>
    <row r="1694" spans="1:10" x14ac:dyDescent="0.25">
      <c r="A1694" s="697" t="s">
        <v>30</v>
      </c>
      <c r="B1694" s="691">
        <f>(4939900/1.16)-B1695</f>
        <v>4096909.4827586208</v>
      </c>
      <c r="C1694" s="222">
        <f>(2672300/1.16)-C1695</f>
        <v>2204576.8965517245</v>
      </c>
      <c r="D1694" s="222">
        <f>(3002300/1.16)-D1695</f>
        <v>2499834.6551724141</v>
      </c>
      <c r="E1694" s="222">
        <f>(4005000/1.16)-E1695</f>
        <v>3282341.2068965519</v>
      </c>
      <c r="F1694" s="222">
        <f>(7283400/1.16)-F1695</f>
        <v>6000798.1034482764</v>
      </c>
      <c r="G1694" s="222">
        <f>(11149200/1.16)-G1695</f>
        <v>9193309.3103448283</v>
      </c>
      <c r="H1694" s="222">
        <f>(11108700/1.16)-H1695</f>
        <v>9115295.5172413792</v>
      </c>
      <c r="I1694" s="197">
        <f>SUM(I1689:I1693)</f>
        <v>36393065.172413796</v>
      </c>
      <c r="J1694" s="703">
        <f t="shared" si="798"/>
        <v>5199009.3103448283</v>
      </c>
    </row>
    <row r="1695" spans="1:10" x14ac:dyDescent="0.25">
      <c r="A1695" s="694" t="s">
        <v>31</v>
      </c>
      <c r="B1695" s="300">
        <f t="shared" ref="B1695:I1695" si="803">2155*B1676</f>
        <v>161625</v>
      </c>
      <c r="C1695" s="92">
        <f t="shared" si="803"/>
        <v>99130</v>
      </c>
      <c r="D1695" s="92">
        <f t="shared" si="803"/>
        <v>88355</v>
      </c>
      <c r="E1695" s="92">
        <f t="shared" si="803"/>
        <v>170245</v>
      </c>
      <c r="F1695" s="92">
        <f t="shared" si="803"/>
        <v>277995</v>
      </c>
      <c r="G1695" s="31">
        <f t="shared" si="803"/>
        <v>418070</v>
      </c>
      <c r="H1695" s="31">
        <f t="shared" si="803"/>
        <v>461170</v>
      </c>
      <c r="I1695" s="31">
        <f t="shared" si="803"/>
        <v>1676590</v>
      </c>
      <c r="J1695" s="702">
        <f t="shared" si="798"/>
        <v>239512.85714285713</v>
      </c>
    </row>
    <row r="1696" spans="1:10" x14ac:dyDescent="0.25">
      <c r="A1696" s="698" t="s">
        <v>32</v>
      </c>
      <c r="B1696" s="342">
        <f>B1695+B1694</f>
        <v>4258534.4827586208</v>
      </c>
      <c r="C1696" s="199">
        <f>C1695+C1694</f>
        <v>2303706.8965517245</v>
      </c>
      <c r="D1696" s="199">
        <f>D1695+D1694</f>
        <v>2588189.6551724141</v>
      </c>
      <c r="E1696" s="199">
        <f>E1695+E1694</f>
        <v>3452586.2068965519</v>
      </c>
      <c r="F1696" s="199">
        <f>F1694+F1695</f>
        <v>6278793.1034482764</v>
      </c>
      <c r="G1696" s="199">
        <f>G1695+G1694</f>
        <v>9611379.3103448283</v>
      </c>
      <c r="H1696" s="199">
        <f>H1695+H1694</f>
        <v>9576465.5172413792</v>
      </c>
      <c r="I1696" s="199">
        <f>I1694+I1695</f>
        <v>38069655.172413796</v>
      </c>
      <c r="J1696" s="704">
        <f t="shared" si="798"/>
        <v>5438522.1674876856</v>
      </c>
    </row>
    <row r="1697" spans="1:10" x14ac:dyDescent="0.25">
      <c r="A1697" s="694" t="s">
        <v>33</v>
      </c>
      <c r="B1697" s="302">
        <f>B1696*16%</f>
        <v>681365.51724137936</v>
      </c>
      <c r="C1697" s="94">
        <f t="shared" ref="C1697:H1697" si="804">C1696*16%</f>
        <v>368593.10344827594</v>
      </c>
      <c r="D1697" s="94">
        <f t="shared" si="804"/>
        <v>414110.34482758626</v>
      </c>
      <c r="E1697" s="94">
        <f t="shared" si="804"/>
        <v>552413.79310344835</v>
      </c>
      <c r="F1697" s="94">
        <f t="shared" si="804"/>
        <v>1004606.8965517243</v>
      </c>
      <c r="G1697" s="94">
        <f t="shared" si="804"/>
        <v>1537820.6896551726</v>
      </c>
      <c r="H1697" s="94">
        <f t="shared" si="804"/>
        <v>1532234.4827586208</v>
      </c>
      <c r="I1697" s="94">
        <f>I1696*16%</f>
        <v>6091144.8275862075</v>
      </c>
      <c r="J1697" s="702">
        <f t="shared" si="798"/>
        <v>870163.54679802968</v>
      </c>
    </row>
    <row r="1698" spans="1:10" ht="15.75" thickBot="1" x14ac:dyDescent="0.3">
      <c r="A1698" s="699" t="s">
        <v>34</v>
      </c>
      <c r="B1698" s="708">
        <f>B1696+B1697</f>
        <v>4939900</v>
      </c>
      <c r="C1698" s="656">
        <f t="shared" ref="C1698:H1698" si="805">C1696+C1697</f>
        <v>2672300.0000000005</v>
      </c>
      <c r="D1698" s="656">
        <f t="shared" si="805"/>
        <v>3002300.0000000005</v>
      </c>
      <c r="E1698" s="656">
        <f t="shared" si="805"/>
        <v>4005000</v>
      </c>
      <c r="F1698" s="656">
        <f t="shared" si="805"/>
        <v>7283400.0000000009</v>
      </c>
      <c r="G1698" s="656">
        <f t="shared" si="805"/>
        <v>11149200</v>
      </c>
      <c r="H1698" s="656">
        <f t="shared" si="805"/>
        <v>11108700</v>
      </c>
      <c r="I1698" s="656">
        <f>I1696+I1697</f>
        <v>44160800</v>
      </c>
      <c r="J1698" s="705">
        <f t="shared" si="798"/>
        <v>6308685.7142857146</v>
      </c>
    </row>
    <row r="1699" spans="1:10" ht="15.75" thickBot="1" x14ac:dyDescent="0.3"/>
    <row r="1700" spans="1:10" ht="27" thickBot="1" x14ac:dyDescent="0.3">
      <c r="B1700" s="1007" t="s">
        <v>620</v>
      </c>
      <c r="C1700" s="1007"/>
      <c r="D1700" s="1007"/>
      <c r="E1700" s="1007"/>
      <c r="F1700" s="1007"/>
      <c r="G1700" s="1007"/>
      <c r="H1700" s="1007"/>
    </row>
    <row r="1701" spans="1:10" ht="15.75" x14ac:dyDescent="0.25">
      <c r="A1701" s="709" t="s">
        <v>2</v>
      </c>
      <c r="B1701" s="706" t="s">
        <v>249</v>
      </c>
      <c r="C1701" s="641" t="s">
        <v>250</v>
      </c>
      <c r="D1701" s="641" t="s">
        <v>251</v>
      </c>
      <c r="E1701" s="641" t="s">
        <v>220</v>
      </c>
      <c r="F1701" s="641" t="s">
        <v>221</v>
      </c>
      <c r="G1701" s="641" t="s">
        <v>222</v>
      </c>
      <c r="H1701" s="641" t="s">
        <v>223</v>
      </c>
      <c r="I1701" s="641" t="s">
        <v>96</v>
      </c>
      <c r="J1701" s="642" t="s">
        <v>97</v>
      </c>
    </row>
    <row r="1702" spans="1:10" x14ac:dyDescent="0.25">
      <c r="A1702" s="710" t="s">
        <v>11</v>
      </c>
      <c r="B1702" s="688">
        <f>135+89+42</f>
        <v>266</v>
      </c>
      <c r="C1702" s="56">
        <f>48+25+3</f>
        <v>76</v>
      </c>
      <c r="D1702" s="54">
        <f>62+25+21</f>
        <v>108</v>
      </c>
      <c r="E1702" s="316">
        <f>80+41+24</f>
        <v>145</v>
      </c>
      <c r="F1702" s="311">
        <f>167+117+37</f>
        <v>321</v>
      </c>
      <c r="G1702" s="58">
        <f>200+101+28</f>
        <v>329</v>
      </c>
      <c r="H1702" s="57">
        <f>171+92+32</f>
        <v>295</v>
      </c>
      <c r="I1702" s="316">
        <f>SUM(B1702:H1702)</f>
        <v>1540</v>
      </c>
      <c r="J1702" s="700">
        <f>+I1702/7</f>
        <v>220</v>
      </c>
    </row>
    <row r="1703" spans="1:10" x14ac:dyDescent="0.25">
      <c r="A1703" s="694" t="s">
        <v>12</v>
      </c>
      <c r="B1703" s="689">
        <v>151</v>
      </c>
      <c r="C1703" s="320">
        <v>46</v>
      </c>
      <c r="D1703" s="320">
        <v>51</v>
      </c>
      <c r="E1703" s="11">
        <v>81</v>
      </c>
      <c r="F1703" s="388">
        <v>195</v>
      </c>
      <c r="G1703" s="11">
        <v>163</v>
      </c>
      <c r="H1703" s="11">
        <v>161</v>
      </c>
      <c r="I1703" s="11">
        <f>SUM(CEDRITOS!$B1703:$H1703)</f>
        <v>848</v>
      </c>
      <c r="J1703" s="623">
        <f t="shared" ref="J1703:J1708" si="806">I1703/7</f>
        <v>121.14285714285714</v>
      </c>
    </row>
    <row r="1704" spans="1:10" x14ac:dyDescent="0.25">
      <c r="A1704" s="694" t="s">
        <v>13</v>
      </c>
      <c r="B1704" s="313">
        <v>6</v>
      </c>
      <c r="C1704" s="13">
        <v>1</v>
      </c>
      <c r="D1704" s="13">
        <v>3</v>
      </c>
      <c r="E1704" s="11">
        <v>1</v>
      </c>
      <c r="F1704" s="125">
        <v>2</v>
      </c>
      <c r="G1704" s="11">
        <v>5</v>
      </c>
      <c r="H1704" s="11">
        <v>1</v>
      </c>
      <c r="I1704" s="11">
        <f>SUM(CEDRITOS!$B1704:$H1704)</f>
        <v>19</v>
      </c>
      <c r="J1704" s="623">
        <f t="shared" si="806"/>
        <v>2.7142857142857144</v>
      </c>
    </row>
    <row r="1705" spans="1:10" x14ac:dyDescent="0.25">
      <c r="A1705" s="694" t="s">
        <v>14</v>
      </c>
      <c r="B1705" s="313">
        <v>43</v>
      </c>
      <c r="C1705" s="13">
        <v>19</v>
      </c>
      <c r="D1705" s="320">
        <v>28</v>
      </c>
      <c r="E1705" s="11">
        <v>29</v>
      </c>
      <c r="F1705" s="125">
        <v>55</v>
      </c>
      <c r="G1705" s="11">
        <v>76</v>
      </c>
      <c r="H1705" s="11">
        <v>67</v>
      </c>
      <c r="I1705" s="11">
        <f>SUM(CEDRITOS!$B1705:$H1705)</f>
        <v>317</v>
      </c>
      <c r="J1705" s="623">
        <f t="shared" si="806"/>
        <v>45.285714285714285</v>
      </c>
    </row>
    <row r="1706" spans="1:10" x14ac:dyDescent="0.25">
      <c r="A1706" s="694" t="s">
        <v>15</v>
      </c>
      <c r="B1706" s="313">
        <v>5</v>
      </c>
      <c r="C1706" s="13">
        <v>0</v>
      </c>
      <c r="D1706" s="13">
        <v>0</v>
      </c>
      <c r="E1706" s="11">
        <v>2</v>
      </c>
      <c r="F1706" s="125">
        <v>0</v>
      </c>
      <c r="G1706" s="11">
        <v>18</v>
      </c>
      <c r="H1706" s="11">
        <v>4</v>
      </c>
      <c r="I1706" s="11">
        <f>SUM(CEDRITOS!$B1706:$H1706)</f>
        <v>29</v>
      </c>
      <c r="J1706" s="623">
        <f t="shared" si="806"/>
        <v>4.1428571428571432</v>
      </c>
    </row>
    <row r="1707" spans="1:10" x14ac:dyDescent="0.25">
      <c r="A1707" s="694" t="s">
        <v>16</v>
      </c>
      <c r="B1707" s="313">
        <v>0</v>
      </c>
      <c r="C1707" s="13">
        <v>0</v>
      </c>
      <c r="D1707" s="13">
        <v>0</v>
      </c>
      <c r="E1707" s="11">
        <v>0</v>
      </c>
      <c r="F1707" s="125">
        <v>2</v>
      </c>
      <c r="G1707" s="11">
        <v>1</v>
      </c>
      <c r="H1707" s="11">
        <v>1</v>
      </c>
      <c r="I1707" s="11">
        <f>SUM(CEDRITOS!$B1707:$H1707)</f>
        <v>4</v>
      </c>
      <c r="J1707" s="623">
        <f t="shared" si="806"/>
        <v>0.5714285714285714</v>
      </c>
    </row>
    <row r="1708" spans="1:10" x14ac:dyDescent="0.25">
      <c r="A1708" s="695" t="s">
        <v>17</v>
      </c>
      <c r="B1708" s="707">
        <f>SUM(B1703:B1707)</f>
        <v>205</v>
      </c>
      <c r="C1708" s="192">
        <f t="shared" ref="C1708:I1708" si="807">SUM(C1703:C1707)</f>
        <v>66</v>
      </c>
      <c r="D1708" s="192">
        <f t="shared" si="807"/>
        <v>82</v>
      </c>
      <c r="E1708" s="192">
        <f t="shared" si="807"/>
        <v>113</v>
      </c>
      <c r="F1708" s="192">
        <f t="shared" si="807"/>
        <v>254</v>
      </c>
      <c r="G1708" s="192">
        <f t="shared" si="807"/>
        <v>263</v>
      </c>
      <c r="H1708" s="192">
        <f t="shared" si="807"/>
        <v>234</v>
      </c>
      <c r="I1708" s="192">
        <f t="shared" si="807"/>
        <v>1217</v>
      </c>
      <c r="J1708" s="647">
        <f t="shared" si="806"/>
        <v>173.85714285714286</v>
      </c>
    </row>
    <row r="1709" spans="1:10" x14ac:dyDescent="0.25">
      <c r="A1709" s="694" t="s">
        <v>18</v>
      </c>
      <c r="B1709" s="690">
        <v>0.78</v>
      </c>
      <c r="C1709" s="326">
        <v>0.76</v>
      </c>
      <c r="D1709" s="326">
        <v>0.75</v>
      </c>
      <c r="E1709" s="327">
        <v>0.76</v>
      </c>
      <c r="F1709" s="328">
        <v>0.83</v>
      </c>
      <c r="G1709" s="327">
        <v>0.67</v>
      </c>
      <c r="H1709" s="327">
        <v>0.75</v>
      </c>
      <c r="I1709" s="30">
        <f>I1716/I1721</f>
        <v>0.7564322239198753</v>
      </c>
      <c r="J1709" s="648">
        <f>J1716/J1721</f>
        <v>0.7564322239198753</v>
      </c>
    </row>
    <row r="1710" spans="1:10" x14ac:dyDescent="0.25">
      <c r="A1710" s="694" t="s">
        <v>19</v>
      </c>
      <c r="B1710" s="690">
        <v>0.03</v>
      </c>
      <c r="C1710" s="326">
        <v>0.02</v>
      </c>
      <c r="D1710" s="326">
        <v>0.03</v>
      </c>
      <c r="E1710" s="327">
        <v>0.01</v>
      </c>
      <c r="F1710" s="327">
        <v>0</v>
      </c>
      <c r="G1710" s="327">
        <v>0.02</v>
      </c>
      <c r="H1710" s="327">
        <v>0</v>
      </c>
      <c r="I1710" s="30">
        <f>I1717/I1721</f>
        <v>1.3132146834214811E-2</v>
      </c>
      <c r="J1710" s="648">
        <f>J1717/J1721</f>
        <v>1.3132146834214811E-2</v>
      </c>
    </row>
    <row r="1711" spans="1:10" x14ac:dyDescent="0.25">
      <c r="A1711" s="694" t="s">
        <v>20</v>
      </c>
      <c r="B1711" s="690">
        <v>0.17</v>
      </c>
      <c r="C1711" s="326">
        <v>0.22</v>
      </c>
      <c r="D1711" s="326">
        <v>0.22</v>
      </c>
      <c r="E1711" s="327">
        <v>0.22</v>
      </c>
      <c r="F1711" s="329">
        <v>0.16</v>
      </c>
      <c r="G1711" s="327">
        <v>0.25</v>
      </c>
      <c r="H1711" s="327">
        <v>0.23</v>
      </c>
      <c r="I1711" s="30">
        <f>I1718/I1721</f>
        <v>0.20681580906179556</v>
      </c>
      <c r="J1711" s="648">
        <f>J1718/J1721</f>
        <v>0.20681580906179556</v>
      </c>
    </row>
    <row r="1712" spans="1:10" x14ac:dyDescent="0.25">
      <c r="A1712" s="694" t="s">
        <v>21</v>
      </c>
      <c r="B1712" s="690">
        <v>0.02</v>
      </c>
      <c r="C1712" s="326">
        <v>0</v>
      </c>
      <c r="D1712" s="326">
        <v>0</v>
      </c>
      <c r="E1712" s="327">
        <v>0.01</v>
      </c>
      <c r="F1712" s="329">
        <v>0</v>
      </c>
      <c r="G1712" s="327">
        <v>0.06</v>
      </c>
      <c r="H1712" s="327">
        <v>0.02</v>
      </c>
      <c r="I1712" s="30">
        <f>I1719/I1721</f>
        <v>2.1394497812221393E-2</v>
      </c>
      <c r="J1712" s="648">
        <f>J1719/J1721</f>
        <v>2.1394497812221393E-2</v>
      </c>
    </row>
    <row r="1713" spans="1:10" x14ac:dyDescent="0.25">
      <c r="A1713" s="694" t="s">
        <v>22</v>
      </c>
      <c r="B1713" s="690">
        <v>0</v>
      </c>
      <c r="C1713" s="326">
        <v>0</v>
      </c>
      <c r="D1713" s="326">
        <v>0</v>
      </c>
      <c r="E1713" s="327">
        <v>0</v>
      </c>
      <c r="F1713" s="329">
        <v>0.01</v>
      </c>
      <c r="G1713" s="327">
        <v>0</v>
      </c>
      <c r="H1713" s="327">
        <v>0</v>
      </c>
      <c r="I1713" s="30">
        <f>I1720/I1721</f>
        <v>2.2253223718929596E-3</v>
      </c>
      <c r="J1713" s="648">
        <f>J1720/J1721</f>
        <v>2.2253223718929601E-3</v>
      </c>
    </row>
    <row r="1714" spans="1:10" x14ac:dyDescent="0.25">
      <c r="A1714" s="696" t="s">
        <v>23</v>
      </c>
      <c r="B1714" s="164">
        <f t="shared" ref="B1714:J1714" si="808">B1725/B1708</f>
        <v>36274.634146341465</v>
      </c>
      <c r="C1714" s="66">
        <f t="shared" si="808"/>
        <v>30603.030303030308</v>
      </c>
      <c r="D1714" s="66">
        <f t="shared" si="808"/>
        <v>33129.268292682929</v>
      </c>
      <c r="E1714" s="66">
        <f t="shared" si="808"/>
        <v>35080.530973451328</v>
      </c>
      <c r="F1714" s="66">
        <f t="shared" si="808"/>
        <v>38724.015748031503</v>
      </c>
      <c r="G1714" s="66">
        <f t="shared" si="808"/>
        <v>37009.885931558936</v>
      </c>
      <c r="H1714" s="66">
        <f t="shared" si="808"/>
        <v>35995.299145299148</v>
      </c>
      <c r="I1714" s="66">
        <f t="shared" si="808"/>
        <v>36260.640920295817</v>
      </c>
      <c r="J1714" s="701">
        <f t="shared" si="808"/>
        <v>36260.640920295817</v>
      </c>
    </row>
    <row r="1715" spans="1:10" x14ac:dyDescent="0.25">
      <c r="A1715" s="696" t="s">
        <v>24</v>
      </c>
      <c r="B1715" s="164">
        <f t="shared" ref="B1715:I1715" si="809">+B1725/B1702</f>
        <v>27956.015037593985</v>
      </c>
      <c r="C1715" s="66">
        <f t="shared" si="809"/>
        <v>26576.315789473687</v>
      </c>
      <c r="D1715" s="66">
        <f t="shared" si="809"/>
        <v>25153.703703703708</v>
      </c>
      <c r="E1715" s="66">
        <f t="shared" si="809"/>
        <v>27338.620689655174</v>
      </c>
      <c r="F1715" s="66">
        <f t="shared" si="809"/>
        <v>30641.433021806861</v>
      </c>
      <c r="G1715" s="66">
        <f t="shared" si="809"/>
        <v>29585.410334346503</v>
      </c>
      <c r="H1715" s="66">
        <f t="shared" si="809"/>
        <v>28552.203389830509</v>
      </c>
      <c r="I1715" s="66">
        <f t="shared" si="809"/>
        <v>28655.324675324679</v>
      </c>
      <c r="J1715" s="701">
        <f>J1725/J1702</f>
        <v>28655.324675324682</v>
      </c>
    </row>
    <row r="1716" spans="1:10" x14ac:dyDescent="0.25">
      <c r="A1716" s="694" t="s">
        <v>25</v>
      </c>
      <c r="B1716" s="300">
        <f t="shared" ref="B1716:H1716" si="810">B1721*B1709</f>
        <v>4746454.7896551723</v>
      </c>
      <c r="C1716" s="92">
        <f t="shared" si="810"/>
        <v>1247978.4413793106</v>
      </c>
      <c r="D1716" s="92">
        <f t="shared" si="810"/>
        <v>1673993.6637931038</v>
      </c>
      <c r="E1716" s="92">
        <f t="shared" si="810"/>
        <v>2464507.1655172417</v>
      </c>
      <c r="F1716" s="92">
        <f t="shared" si="810"/>
        <v>6688969.2844827594</v>
      </c>
      <c r="G1716" s="31">
        <f t="shared" si="810"/>
        <v>5386645.5534482766</v>
      </c>
      <c r="H1716" s="31">
        <f t="shared" si="810"/>
        <v>5185624.2672413792</v>
      </c>
      <c r="I1716" s="31">
        <f>SUM(B1716:H1716)</f>
        <v>27394173.165517248</v>
      </c>
      <c r="J1716" s="702">
        <f t="shared" ref="J1716:J1725" si="811">I1716/7</f>
        <v>3913453.3093596068</v>
      </c>
    </row>
    <row r="1717" spans="1:10" x14ac:dyDescent="0.25">
      <c r="A1717" s="694" t="s">
        <v>26</v>
      </c>
      <c r="B1717" s="300">
        <f t="shared" ref="B1717:H1717" si="812">B1721*B1710</f>
        <v>182555.95344827586</v>
      </c>
      <c r="C1717" s="92">
        <f t="shared" si="812"/>
        <v>32841.537931034487</v>
      </c>
      <c r="D1717" s="92">
        <f t="shared" si="812"/>
        <v>66959.746551724151</v>
      </c>
      <c r="E1717" s="92">
        <f t="shared" si="812"/>
        <v>32427.725862068968</v>
      </c>
      <c r="F1717" s="92">
        <f t="shared" si="812"/>
        <v>0</v>
      </c>
      <c r="G1717" s="31">
        <f t="shared" si="812"/>
        <v>160795.38965517242</v>
      </c>
      <c r="H1717" s="31">
        <f t="shared" si="812"/>
        <v>0</v>
      </c>
      <c r="I1717" s="31">
        <f>SUM(B1717:H1717)</f>
        <v>475580.35344827588</v>
      </c>
      <c r="J1717" s="702">
        <f t="shared" si="811"/>
        <v>67940.050492610841</v>
      </c>
    </row>
    <row r="1718" spans="1:10" x14ac:dyDescent="0.25">
      <c r="A1718" s="694" t="s">
        <v>27</v>
      </c>
      <c r="B1718" s="300">
        <f t="shared" ref="B1718:H1718" si="813">B1721*B1711</f>
        <v>1034483.7362068966</v>
      </c>
      <c r="C1718" s="92">
        <f t="shared" si="813"/>
        <v>361256.91724137933</v>
      </c>
      <c r="D1718" s="92">
        <f t="shared" si="813"/>
        <v>491038.1413793104</v>
      </c>
      <c r="E1718" s="92">
        <f t="shared" si="813"/>
        <v>713409.96896551724</v>
      </c>
      <c r="F1718" s="92">
        <f t="shared" si="813"/>
        <v>1289439.8620689658</v>
      </c>
      <c r="G1718" s="31">
        <f t="shared" si="813"/>
        <v>2009942.3706896552</v>
      </c>
      <c r="H1718" s="31">
        <f t="shared" si="813"/>
        <v>1590258.1086206897</v>
      </c>
      <c r="I1718" s="31">
        <f>SUM(B1718:H1718)</f>
        <v>7489829.1051724143</v>
      </c>
      <c r="J1718" s="702">
        <f t="shared" si="811"/>
        <v>1069975.5864532019</v>
      </c>
    </row>
    <row r="1719" spans="1:10" x14ac:dyDescent="0.25">
      <c r="A1719" s="694" t="s">
        <v>28</v>
      </c>
      <c r="B1719" s="300">
        <f t="shared" ref="B1719:H1719" si="814">B1721*B1712</f>
        <v>121703.96896551724</v>
      </c>
      <c r="C1719" s="92">
        <f t="shared" si="814"/>
        <v>0</v>
      </c>
      <c r="D1719" s="92">
        <f t="shared" si="814"/>
        <v>0</v>
      </c>
      <c r="E1719" s="92">
        <f t="shared" si="814"/>
        <v>32427.725862068968</v>
      </c>
      <c r="F1719" s="92">
        <f t="shared" si="814"/>
        <v>0</v>
      </c>
      <c r="G1719" s="31">
        <f t="shared" si="814"/>
        <v>482386.16896551725</v>
      </c>
      <c r="H1719" s="31">
        <f t="shared" si="814"/>
        <v>138283.31379310344</v>
      </c>
      <c r="I1719" s="31">
        <f>SUM(B1719:H1719)</f>
        <v>774801.17758620693</v>
      </c>
      <c r="J1719" s="702">
        <f t="shared" si="811"/>
        <v>110685.88251231528</v>
      </c>
    </row>
    <row r="1720" spans="1:10" x14ac:dyDescent="0.25">
      <c r="A1720" s="694" t="s">
        <v>29</v>
      </c>
      <c r="B1720" s="300">
        <f t="shared" ref="B1720:H1720" si="815">B1721*B1713</f>
        <v>0</v>
      </c>
      <c r="C1720" s="92">
        <f t="shared" si="815"/>
        <v>0</v>
      </c>
      <c r="D1720" s="92">
        <f t="shared" si="815"/>
        <v>0</v>
      </c>
      <c r="E1720" s="92">
        <f t="shared" si="815"/>
        <v>0</v>
      </c>
      <c r="F1720" s="92">
        <f t="shared" si="815"/>
        <v>80589.991379310362</v>
      </c>
      <c r="G1720" s="31">
        <f t="shared" si="815"/>
        <v>0</v>
      </c>
      <c r="H1720" s="31">
        <f t="shared" si="815"/>
        <v>0</v>
      </c>
      <c r="I1720" s="31">
        <f>SUM(B1720:H1720)</f>
        <v>80589.991379310362</v>
      </c>
      <c r="J1720" s="702">
        <f t="shared" si="811"/>
        <v>11512.855911330053</v>
      </c>
    </row>
    <row r="1721" spans="1:10" x14ac:dyDescent="0.25">
      <c r="A1721" s="697" t="s">
        <v>30</v>
      </c>
      <c r="B1721" s="691">
        <f>(7436300/1.16)-B1722</f>
        <v>6085198.4482758623</v>
      </c>
      <c r="C1721" s="222">
        <f>(2019800/1.16)-C1722</f>
        <v>1642076.8965517243</v>
      </c>
      <c r="D1721" s="222">
        <f>(2716600/1.16)-D1722</f>
        <v>2231991.5517241382</v>
      </c>
      <c r="E1721" s="222">
        <f>(3964100/1.16)-E1722</f>
        <v>3242772.5862068967</v>
      </c>
      <c r="F1721" s="222">
        <f>(9835900/1.16)-F1722</f>
        <v>8058999.1379310358</v>
      </c>
      <c r="G1721" s="222">
        <f>(9733600/1.16)-G1722</f>
        <v>8039769.4827586208</v>
      </c>
      <c r="H1721" s="222">
        <f>(8422900/1.16)-H1722</f>
        <v>6914165.6896551726</v>
      </c>
      <c r="I1721" s="197">
        <f>SUM(I1716:I1720)</f>
        <v>36214973.793103456</v>
      </c>
      <c r="J1721" s="703">
        <f t="shared" si="811"/>
        <v>5173567.6847290648</v>
      </c>
    </row>
    <row r="1722" spans="1:10" x14ac:dyDescent="0.25">
      <c r="A1722" s="694" t="s">
        <v>31</v>
      </c>
      <c r="B1722" s="300">
        <f t="shared" ref="B1722:I1722" si="816">2155*B1703</f>
        <v>325405</v>
      </c>
      <c r="C1722" s="92">
        <f t="shared" si="816"/>
        <v>99130</v>
      </c>
      <c r="D1722" s="92">
        <f t="shared" si="816"/>
        <v>109905</v>
      </c>
      <c r="E1722" s="92">
        <f t="shared" si="816"/>
        <v>174555</v>
      </c>
      <c r="F1722" s="92">
        <f t="shared" si="816"/>
        <v>420225</v>
      </c>
      <c r="G1722" s="31">
        <f t="shared" si="816"/>
        <v>351265</v>
      </c>
      <c r="H1722" s="31">
        <f t="shared" si="816"/>
        <v>346955</v>
      </c>
      <c r="I1722" s="31">
        <f t="shared" si="816"/>
        <v>1827440</v>
      </c>
      <c r="J1722" s="702">
        <f t="shared" si="811"/>
        <v>261062.85714285713</v>
      </c>
    </row>
    <row r="1723" spans="1:10" x14ac:dyDescent="0.25">
      <c r="A1723" s="698" t="s">
        <v>32</v>
      </c>
      <c r="B1723" s="342">
        <f>B1722+B1721</f>
        <v>6410603.4482758623</v>
      </c>
      <c r="C1723" s="199">
        <f>C1722+C1721</f>
        <v>1741206.8965517243</v>
      </c>
      <c r="D1723" s="199">
        <f>D1722+D1721</f>
        <v>2341896.5517241382</v>
      </c>
      <c r="E1723" s="199">
        <f>E1722+E1721</f>
        <v>3417327.5862068967</v>
      </c>
      <c r="F1723" s="199">
        <f>F1721+F1722</f>
        <v>8479224.1379310358</v>
      </c>
      <c r="G1723" s="199">
        <f>G1722+G1721</f>
        <v>8391034.4827586208</v>
      </c>
      <c r="H1723" s="199">
        <f>H1722+H1721</f>
        <v>7261120.6896551726</v>
      </c>
      <c r="I1723" s="199">
        <f>I1721+I1722</f>
        <v>38042413.793103456</v>
      </c>
      <c r="J1723" s="704">
        <f t="shared" si="811"/>
        <v>5434630.5418719221</v>
      </c>
    </row>
    <row r="1724" spans="1:10" x14ac:dyDescent="0.25">
      <c r="A1724" s="694" t="s">
        <v>33</v>
      </c>
      <c r="B1724" s="302">
        <f>B1723*16%</f>
        <v>1025696.551724138</v>
      </c>
      <c r="C1724" s="94">
        <f t="shared" ref="C1724:H1724" si="817">C1723*16%</f>
        <v>278593.10344827588</v>
      </c>
      <c r="D1724" s="94">
        <f t="shared" si="817"/>
        <v>374703.44827586215</v>
      </c>
      <c r="E1724" s="94">
        <f t="shared" si="817"/>
        <v>546772.41379310354</v>
      </c>
      <c r="F1724" s="94">
        <f t="shared" si="817"/>
        <v>1356675.8620689658</v>
      </c>
      <c r="G1724" s="94">
        <f t="shared" si="817"/>
        <v>1342565.5172413792</v>
      </c>
      <c r="H1724" s="94">
        <f t="shared" si="817"/>
        <v>1161779.3103448276</v>
      </c>
      <c r="I1724" s="94">
        <f>I1723*16%</f>
        <v>6086786.2068965528</v>
      </c>
      <c r="J1724" s="702">
        <f t="shared" si="811"/>
        <v>869540.8866995076</v>
      </c>
    </row>
    <row r="1725" spans="1:10" ht="15.75" thickBot="1" x14ac:dyDescent="0.3">
      <c r="A1725" s="699" t="s">
        <v>34</v>
      </c>
      <c r="B1725" s="708">
        <f>B1723+B1724</f>
        <v>7436300</v>
      </c>
      <c r="C1725" s="656">
        <f t="shared" ref="C1725:H1725" si="818">C1723+C1724</f>
        <v>2019800.0000000002</v>
      </c>
      <c r="D1725" s="656">
        <f t="shared" si="818"/>
        <v>2716600.0000000005</v>
      </c>
      <c r="E1725" s="656">
        <f t="shared" si="818"/>
        <v>3964100</v>
      </c>
      <c r="F1725" s="656">
        <f t="shared" si="818"/>
        <v>9835900.0000000019</v>
      </c>
      <c r="G1725" s="656">
        <f t="shared" si="818"/>
        <v>9733600</v>
      </c>
      <c r="H1725" s="656">
        <f t="shared" si="818"/>
        <v>8422900</v>
      </c>
      <c r="I1725" s="656">
        <f>I1723+I1724</f>
        <v>44129200.000000007</v>
      </c>
      <c r="J1725" s="705">
        <f t="shared" si="811"/>
        <v>6304171.42857143</v>
      </c>
    </row>
    <row r="1726" spans="1:10" ht="15.75" thickBot="1" x14ac:dyDescent="0.3"/>
    <row r="1727" spans="1:10" ht="27" thickBot="1" x14ac:dyDescent="0.3">
      <c r="B1727" s="1007" t="s">
        <v>624</v>
      </c>
      <c r="C1727" s="1007"/>
      <c r="D1727" s="1007"/>
      <c r="E1727" s="1007"/>
      <c r="F1727" s="1007"/>
      <c r="G1727" s="1007"/>
      <c r="H1727" s="1007"/>
    </row>
    <row r="1728" spans="1:10" ht="15.75" x14ac:dyDescent="0.25">
      <c r="A1728" s="709" t="s">
        <v>2</v>
      </c>
      <c r="B1728" s="706" t="s">
        <v>225</v>
      </c>
      <c r="C1728" s="641" t="s">
        <v>226</v>
      </c>
      <c r="D1728" s="641" t="s">
        <v>227</v>
      </c>
      <c r="E1728" s="641" t="s">
        <v>228</v>
      </c>
      <c r="F1728" s="641" t="s">
        <v>229</v>
      </c>
      <c r="G1728" s="641" t="s">
        <v>230</v>
      </c>
      <c r="H1728" s="641" t="s">
        <v>231</v>
      </c>
      <c r="I1728" s="641" t="s">
        <v>96</v>
      </c>
      <c r="J1728" s="642" t="s">
        <v>97</v>
      </c>
    </row>
    <row r="1729" spans="1:10" x14ac:dyDescent="0.25">
      <c r="A1729" s="710" t="s">
        <v>11</v>
      </c>
      <c r="B1729" s="688">
        <f>160+107+43</f>
        <v>310</v>
      </c>
      <c r="C1729" s="56">
        <f>50+32+6</f>
        <v>88</v>
      </c>
      <c r="D1729" s="54">
        <f>58+37+6</f>
        <v>101</v>
      </c>
      <c r="E1729" s="316">
        <f>74+34+12</f>
        <v>120</v>
      </c>
      <c r="F1729" s="311">
        <f>160+97+37</f>
        <v>294</v>
      </c>
      <c r="G1729" s="58">
        <f>168+121+38</f>
        <v>327</v>
      </c>
      <c r="H1729" s="57">
        <f>162+130+41</f>
        <v>333</v>
      </c>
      <c r="I1729" s="316">
        <f>SUM(B1729:H1729)</f>
        <v>1573</v>
      </c>
      <c r="J1729" s="700">
        <f>+I1729/7</f>
        <v>224.71428571428572</v>
      </c>
    </row>
    <row r="1730" spans="1:10" x14ac:dyDescent="0.25">
      <c r="A1730" s="694" t="s">
        <v>12</v>
      </c>
      <c r="B1730" s="689">
        <v>172</v>
      </c>
      <c r="C1730" s="320">
        <v>52</v>
      </c>
      <c r="D1730" s="320">
        <v>57</v>
      </c>
      <c r="E1730" s="11">
        <v>62</v>
      </c>
      <c r="F1730" s="388">
        <v>169</v>
      </c>
      <c r="G1730" s="11">
        <v>170</v>
      </c>
      <c r="H1730" s="11">
        <v>185</v>
      </c>
      <c r="I1730" s="11">
        <f>SUM(CEDRITOS!$B1730:$H1730)</f>
        <v>867</v>
      </c>
      <c r="J1730" s="623">
        <f t="shared" ref="J1730:J1735" si="819">I1730/7</f>
        <v>123.85714285714286</v>
      </c>
    </row>
    <row r="1731" spans="1:10" x14ac:dyDescent="0.25">
      <c r="A1731" s="694" t="s">
        <v>13</v>
      </c>
      <c r="B1731" s="313">
        <v>6</v>
      </c>
      <c r="C1731" s="13">
        <v>1</v>
      </c>
      <c r="D1731" s="13">
        <v>3</v>
      </c>
      <c r="E1731" s="11">
        <v>1</v>
      </c>
      <c r="F1731" s="125">
        <v>2</v>
      </c>
      <c r="G1731" s="11">
        <v>9</v>
      </c>
      <c r="H1731" s="11">
        <v>3</v>
      </c>
      <c r="I1731" s="11">
        <f>SUM(CEDRITOS!$B1731:$H1731)</f>
        <v>25</v>
      </c>
      <c r="J1731" s="623">
        <f t="shared" si="819"/>
        <v>3.5714285714285716</v>
      </c>
    </row>
    <row r="1732" spans="1:10" x14ac:dyDescent="0.25">
      <c r="A1732" s="694" t="s">
        <v>14</v>
      </c>
      <c r="B1732" s="313">
        <v>66</v>
      </c>
      <c r="C1732" s="13">
        <v>22</v>
      </c>
      <c r="D1732" s="320">
        <v>28</v>
      </c>
      <c r="E1732" s="11">
        <v>38</v>
      </c>
      <c r="F1732" s="125">
        <v>62</v>
      </c>
      <c r="G1732" s="11">
        <v>82</v>
      </c>
      <c r="H1732" s="11">
        <v>73</v>
      </c>
      <c r="I1732" s="11">
        <f>SUM(CEDRITOS!$B1732:$H1732)</f>
        <v>371</v>
      </c>
      <c r="J1732" s="623">
        <f t="shared" si="819"/>
        <v>53</v>
      </c>
    </row>
    <row r="1733" spans="1:10" x14ac:dyDescent="0.25">
      <c r="A1733" s="694" t="s">
        <v>15</v>
      </c>
      <c r="B1733" s="313">
        <v>0</v>
      </c>
      <c r="C1733" s="13">
        <v>0</v>
      </c>
      <c r="D1733" s="13">
        <v>0</v>
      </c>
      <c r="E1733" s="11">
        <v>0</v>
      </c>
      <c r="F1733" s="125">
        <v>1</v>
      </c>
      <c r="G1733" s="11">
        <v>0</v>
      </c>
      <c r="H1733" s="11">
        <v>1</v>
      </c>
      <c r="I1733" s="11">
        <f>SUM(CEDRITOS!$B1733:$H1733)</f>
        <v>2</v>
      </c>
      <c r="J1733" s="623">
        <f t="shared" si="819"/>
        <v>0.2857142857142857</v>
      </c>
    </row>
    <row r="1734" spans="1:10" x14ac:dyDescent="0.25">
      <c r="A1734" s="694" t="s">
        <v>16</v>
      </c>
      <c r="B1734" s="313">
        <v>0</v>
      </c>
      <c r="C1734" s="13">
        <v>0</v>
      </c>
      <c r="D1734" s="13">
        <v>0</v>
      </c>
      <c r="E1734" s="11">
        <v>0</v>
      </c>
      <c r="F1734" s="125">
        <v>0</v>
      </c>
      <c r="G1734" s="11">
        <v>1</v>
      </c>
      <c r="H1734" s="11">
        <v>0</v>
      </c>
      <c r="I1734" s="11">
        <f>SUM(CEDRITOS!$B1734:$H1734)</f>
        <v>1</v>
      </c>
      <c r="J1734" s="623">
        <f t="shared" si="819"/>
        <v>0.14285714285714285</v>
      </c>
    </row>
    <row r="1735" spans="1:10" x14ac:dyDescent="0.25">
      <c r="A1735" s="695" t="s">
        <v>17</v>
      </c>
      <c r="B1735" s="707">
        <f>SUM(B1730:B1734)</f>
        <v>244</v>
      </c>
      <c r="C1735" s="192">
        <f t="shared" ref="C1735:I1735" si="820">SUM(C1730:C1734)</f>
        <v>75</v>
      </c>
      <c r="D1735" s="192">
        <f t="shared" si="820"/>
        <v>88</v>
      </c>
      <c r="E1735" s="192">
        <f t="shared" si="820"/>
        <v>101</v>
      </c>
      <c r="F1735" s="192">
        <f t="shared" si="820"/>
        <v>234</v>
      </c>
      <c r="G1735" s="192">
        <f t="shared" si="820"/>
        <v>262</v>
      </c>
      <c r="H1735" s="192">
        <f t="shared" si="820"/>
        <v>262</v>
      </c>
      <c r="I1735" s="192">
        <f t="shared" si="820"/>
        <v>1266</v>
      </c>
      <c r="J1735" s="647">
        <f t="shared" si="819"/>
        <v>180.85714285714286</v>
      </c>
    </row>
    <row r="1736" spans="1:10" x14ac:dyDescent="0.25">
      <c r="A1736" s="694" t="s">
        <v>18</v>
      </c>
      <c r="B1736" s="690">
        <v>0.76</v>
      </c>
      <c r="C1736" s="326">
        <v>0.71</v>
      </c>
      <c r="D1736" s="326">
        <v>0.68</v>
      </c>
      <c r="E1736" s="327">
        <v>0.65</v>
      </c>
      <c r="F1736" s="328">
        <v>0.74</v>
      </c>
      <c r="G1736" s="327">
        <v>0.7</v>
      </c>
      <c r="H1736" s="327">
        <v>0.74</v>
      </c>
      <c r="I1736" s="30">
        <f>I1743/I1748</f>
        <v>0.72329780221705242</v>
      </c>
      <c r="J1736" s="648">
        <f>J1743/J1748</f>
        <v>0.72329780221705242</v>
      </c>
    </row>
    <row r="1737" spans="1:10" x14ac:dyDescent="0.25">
      <c r="A1737" s="694" t="s">
        <v>19</v>
      </c>
      <c r="B1737" s="690">
        <v>0.02</v>
      </c>
      <c r="C1737" s="326">
        <v>0.02</v>
      </c>
      <c r="D1737" s="326">
        <v>0.02</v>
      </c>
      <c r="E1737" s="327">
        <v>0.01</v>
      </c>
      <c r="F1737" s="327">
        <v>0.01</v>
      </c>
      <c r="G1737" s="327">
        <v>0.03</v>
      </c>
      <c r="H1737" s="327">
        <v>0.01</v>
      </c>
      <c r="I1737" s="30">
        <f>I1744/I1748</f>
        <v>1.7321993916228604E-2</v>
      </c>
      <c r="J1737" s="648">
        <f>J1744/J1748</f>
        <v>1.7321993916228604E-2</v>
      </c>
    </row>
    <row r="1738" spans="1:10" x14ac:dyDescent="0.25">
      <c r="A1738" s="694" t="s">
        <v>20</v>
      </c>
      <c r="B1738" s="690">
        <v>0.22</v>
      </c>
      <c r="C1738" s="326">
        <v>0.27</v>
      </c>
      <c r="D1738" s="326">
        <v>0.3</v>
      </c>
      <c r="E1738" s="327">
        <v>0.34</v>
      </c>
      <c r="F1738" s="329">
        <v>0.25</v>
      </c>
      <c r="G1738" s="327">
        <v>0.27</v>
      </c>
      <c r="H1738" s="327">
        <v>0.25</v>
      </c>
      <c r="I1738" s="30">
        <f>I1745/I1748</f>
        <v>0.25938020386671895</v>
      </c>
      <c r="J1738" s="648">
        <f>J1745/J1748</f>
        <v>0.25938020386671895</v>
      </c>
    </row>
    <row r="1739" spans="1:10" x14ac:dyDescent="0.25">
      <c r="A1739" s="694" t="s">
        <v>21</v>
      </c>
      <c r="B1739" s="690">
        <v>0</v>
      </c>
      <c r="C1739" s="326">
        <v>0</v>
      </c>
      <c r="D1739" s="326">
        <v>0</v>
      </c>
      <c r="E1739" s="327">
        <v>0</v>
      </c>
      <c r="F1739" s="329">
        <v>0</v>
      </c>
      <c r="G1739" s="327">
        <v>0</v>
      </c>
      <c r="H1739" s="327">
        <v>0</v>
      </c>
      <c r="I1739" s="30">
        <f>I1746/I1748</f>
        <v>0</v>
      </c>
      <c r="J1739" s="648">
        <f>J1746/J1748</f>
        <v>0</v>
      </c>
    </row>
    <row r="1740" spans="1:10" x14ac:dyDescent="0.25">
      <c r="A1740" s="694" t="s">
        <v>22</v>
      </c>
      <c r="B1740" s="690">
        <v>0</v>
      </c>
      <c r="C1740" s="326">
        <v>0</v>
      </c>
      <c r="D1740" s="326">
        <v>0</v>
      </c>
      <c r="E1740" s="327">
        <v>0</v>
      </c>
      <c r="F1740" s="329">
        <v>0</v>
      </c>
      <c r="G1740" s="327">
        <v>0</v>
      </c>
      <c r="H1740" s="327">
        <v>0</v>
      </c>
      <c r="I1740" s="30">
        <f>I1747/I1748</f>
        <v>0</v>
      </c>
      <c r="J1740" s="648">
        <f>J1747/J1748</f>
        <v>0</v>
      </c>
    </row>
    <row r="1741" spans="1:10" x14ac:dyDescent="0.25">
      <c r="A1741" s="696" t="s">
        <v>23</v>
      </c>
      <c r="B1741" s="164">
        <f t="shared" ref="B1741:J1741" si="821">B1752/B1735</f>
        <v>37054.918032786882</v>
      </c>
      <c r="C1741" s="66">
        <f t="shared" si="821"/>
        <v>32561.333333333332</v>
      </c>
      <c r="D1741" s="66">
        <f t="shared" si="821"/>
        <v>34056.818181818184</v>
      </c>
      <c r="E1741" s="66">
        <f t="shared" si="821"/>
        <v>34232.673267326732</v>
      </c>
      <c r="F1741" s="66">
        <f t="shared" si="821"/>
        <v>37764.957264957266</v>
      </c>
      <c r="G1741" s="66">
        <f t="shared" si="821"/>
        <v>36477.099236641225</v>
      </c>
      <c r="H1741" s="66">
        <f t="shared" si="821"/>
        <v>36629.007633587789</v>
      </c>
      <c r="I1741" s="66">
        <f t="shared" si="821"/>
        <v>36278.672985781988</v>
      </c>
      <c r="J1741" s="701">
        <f t="shared" si="821"/>
        <v>36278.672985781988</v>
      </c>
    </row>
    <row r="1742" spans="1:10" x14ac:dyDescent="0.25">
      <c r="A1742" s="696" t="s">
        <v>24</v>
      </c>
      <c r="B1742" s="164">
        <f t="shared" ref="B1742:I1742" si="822">+B1752/B1729</f>
        <v>29165.806451612902</v>
      </c>
      <c r="C1742" s="66">
        <f t="shared" si="822"/>
        <v>27751.136363636364</v>
      </c>
      <c r="D1742" s="66">
        <f t="shared" si="822"/>
        <v>29673.267326732679</v>
      </c>
      <c r="E1742" s="66">
        <f t="shared" si="822"/>
        <v>28812.5</v>
      </c>
      <c r="F1742" s="66">
        <f t="shared" si="822"/>
        <v>30057.823129251701</v>
      </c>
      <c r="G1742" s="66">
        <f t="shared" si="822"/>
        <v>29226.299694189602</v>
      </c>
      <c r="H1742" s="66">
        <f t="shared" si="822"/>
        <v>28819.21921921922</v>
      </c>
      <c r="I1742" s="66">
        <f t="shared" si="822"/>
        <v>29198.219961856325</v>
      </c>
      <c r="J1742" s="701">
        <f>J1752/J1729</f>
        <v>29198.219961856325</v>
      </c>
    </row>
    <row r="1743" spans="1:10" x14ac:dyDescent="0.25">
      <c r="A1743" s="694" t="s">
        <v>25</v>
      </c>
      <c r="B1743" s="300">
        <f t="shared" ref="B1743:H1743" si="823">B1748*B1736</f>
        <v>5641974.2620689664</v>
      </c>
      <c r="C1743" s="92">
        <f t="shared" si="823"/>
        <v>1415171.0206896551</v>
      </c>
      <c r="D1743" s="92">
        <f t="shared" si="823"/>
        <v>1673334.2689655174</v>
      </c>
      <c r="E1743" s="92">
        <f t="shared" si="823"/>
        <v>1850545.7413793106</v>
      </c>
      <c r="F1743" s="92">
        <f t="shared" si="823"/>
        <v>5367892.2517241379</v>
      </c>
      <c r="G1743" s="31">
        <f t="shared" si="823"/>
        <v>5510710.1724137934</v>
      </c>
      <c r="H1743" s="31">
        <f t="shared" si="823"/>
        <v>5827077.0517241377</v>
      </c>
      <c r="I1743" s="31">
        <f>SUM(B1743:H1743)</f>
        <v>27286704.76896552</v>
      </c>
      <c r="J1743" s="702">
        <f t="shared" ref="J1743:J1752" si="824">I1743/7</f>
        <v>3898100.6812807885</v>
      </c>
    </row>
    <row r="1744" spans="1:10" x14ac:dyDescent="0.25">
      <c r="A1744" s="694" t="s">
        <v>26</v>
      </c>
      <c r="B1744" s="300">
        <f t="shared" ref="B1744:H1744" si="825">B1748*B1737</f>
        <v>148473.00689655173</v>
      </c>
      <c r="C1744" s="92">
        <f t="shared" si="825"/>
        <v>39863.972413793104</v>
      </c>
      <c r="D1744" s="92">
        <f t="shared" si="825"/>
        <v>49215.713793103452</v>
      </c>
      <c r="E1744" s="92">
        <f t="shared" si="825"/>
        <v>28469.934482758625</v>
      </c>
      <c r="F1744" s="92">
        <f t="shared" si="825"/>
        <v>72539.084482758626</v>
      </c>
      <c r="G1744" s="31">
        <f t="shared" si="825"/>
        <v>236173.29310344829</v>
      </c>
      <c r="H1744" s="31">
        <f t="shared" si="825"/>
        <v>78744.284482758623</v>
      </c>
      <c r="I1744" s="31">
        <f>SUM(B1744:H1744)</f>
        <v>653479.28965517238</v>
      </c>
      <c r="J1744" s="702">
        <f t="shared" si="824"/>
        <v>93354.184236453191</v>
      </c>
    </row>
    <row r="1745" spans="1:10" x14ac:dyDescent="0.25">
      <c r="A1745" s="694" t="s">
        <v>27</v>
      </c>
      <c r="B1745" s="300">
        <f t="shared" ref="B1745:H1745" si="826">B1748*B1738</f>
        <v>1633203.0758620691</v>
      </c>
      <c r="C1745" s="92">
        <f t="shared" si="826"/>
        <v>538163.62758620689</v>
      </c>
      <c r="D1745" s="92">
        <f t="shared" si="826"/>
        <v>738235.70689655177</v>
      </c>
      <c r="E1745" s="92">
        <f t="shared" si="826"/>
        <v>967977.77241379325</v>
      </c>
      <c r="F1745" s="92">
        <f t="shared" si="826"/>
        <v>1813477.1120689656</v>
      </c>
      <c r="G1745" s="31">
        <f t="shared" si="826"/>
        <v>2125559.6379310349</v>
      </c>
      <c r="H1745" s="31">
        <f t="shared" si="826"/>
        <v>1968607.1120689656</v>
      </c>
      <c r="I1745" s="31">
        <f>SUM(B1745:H1745)</f>
        <v>9785224.044827586</v>
      </c>
      <c r="J1745" s="702">
        <f t="shared" si="824"/>
        <v>1397889.1492610837</v>
      </c>
    </row>
    <row r="1746" spans="1:10" x14ac:dyDescent="0.25">
      <c r="A1746" s="694" t="s">
        <v>28</v>
      </c>
      <c r="B1746" s="300">
        <f t="shared" ref="B1746:H1746" si="827">B1748*B1739</f>
        <v>0</v>
      </c>
      <c r="C1746" s="92">
        <f t="shared" si="827"/>
        <v>0</v>
      </c>
      <c r="D1746" s="92">
        <f t="shared" si="827"/>
        <v>0</v>
      </c>
      <c r="E1746" s="92">
        <f t="shared" si="827"/>
        <v>0</v>
      </c>
      <c r="F1746" s="92">
        <f t="shared" si="827"/>
        <v>0</v>
      </c>
      <c r="G1746" s="31">
        <f t="shared" si="827"/>
        <v>0</v>
      </c>
      <c r="H1746" s="31">
        <f t="shared" si="827"/>
        <v>0</v>
      </c>
      <c r="I1746" s="31">
        <f>SUM(B1746:H1746)</f>
        <v>0</v>
      </c>
      <c r="J1746" s="702">
        <f t="shared" si="824"/>
        <v>0</v>
      </c>
    </row>
    <row r="1747" spans="1:10" x14ac:dyDescent="0.25">
      <c r="A1747" s="694" t="s">
        <v>29</v>
      </c>
      <c r="B1747" s="300">
        <f t="shared" ref="B1747:H1747" si="828">B1748*B1740</f>
        <v>0</v>
      </c>
      <c r="C1747" s="92">
        <f t="shared" si="828"/>
        <v>0</v>
      </c>
      <c r="D1747" s="92">
        <f t="shared" si="828"/>
        <v>0</v>
      </c>
      <c r="E1747" s="92">
        <f t="shared" si="828"/>
        <v>0</v>
      </c>
      <c r="F1747" s="92">
        <f t="shared" si="828"/>
        <v>0</v>
      </c>
      <c r="G1747" s="31">
        <f t="shared" si="828"/>
        <v>0</v>
      </c>
      <c r="H1747" s="31">
        <f t="shared" si="828"/>
        <v>0</v>
      </c>
      <c r="I1747" s="31">
        <f>SUM(B1747:H1747)</f>
        <v>0</v>
      </c>
      <c r="J1747" s="702">
        <f t="shared" si="824"/>
        <v>0</v>
      </c>
    </row>
    <row r="1748" spans="1:10" x14ac:dyDescent="0.25">
      <c r="A1748" s="697" t="s">
        <v>30</v>
      </c>
      <c r="B1748" s="691">
        <f>(9041400/1.16)-B1749</f>
        <v>7423650.3448275868</v>
      </c>
      <c r="C1748" s="222">
        <f>(2442100/1.16)-C1749</f>
        <v>1993198.6206896552</v>
      </c>
      <c r="D1748" s="222">
        <f>(2997000/1.16)-D1749</f>
        <v>2460785.6896551726</v>
      </c>
      <c r="E1748" s="222">
        <f>(3457500/1.16)-E1749</f>
        <v>2846993.4482758623</v>
      </c>
      <c r="F1748" s="222">
        <f>(8837000/1.16)-F1749</f>
        <v>7253908.4482758623</v>
      </c>
      <c r="G1748" s="222">
        <f>(9557000/1.16)-G1749</f>
        <v>7872443.1034482764</v>
      </c>
      <c r="H1748" s="222">
        <f>(9596800/1.16)-H1749</f>
        <v>7874428.4482758623</v>
      </c>
      <c r="I1748" s="197">
        <f>SUM(I1743:I1747)</f>
        <v>37725408.103448279</v>
      </c>
      <c r="J1748" s="703">
        <f t="shared" si="824"/>
        <v>5389344.0147783253</v>
      </c>
    </row>
    <row r="1749" spans="1:10" x14ac:dyDescent="0.25">
      <c r="A1749" s="694" t="s">
        <v>31</v>
      </c>
      <c r="B1749" s="300">
        <f t="shared" ref="B1749:I1749" si="829">2155*B1730</f>
        <v>370660</v>
      </c>
      <c r="C1749" s="92">
        <f t="shared" si="829"/>
        <v>112060</v>
      </c>
      <c r="D1749" s="92">
        <f t="shared" si="829"/>
        <v>122835</v>
      </c>
      <c r="E1749" s="92">
        <f t="shared" si="829"/>
        <v>133610</v>
      </c>
      <c r="F1749" s="92">
        <f t="shared" si="829"/>
        <v>364195</v>
      </c>
      <c r="G1749" s="31">
        <f t="shared" si="829"/>
        <v>366350</v>
      </c>
      <c r="H1749" s="31">
        <f t="shared" si="829"/>
        <v>398675</v>
      </c>
      <c r="I1749" s="31">
        <f t="shared" si="829"/>
        <v>1868385</v>
      </c>
      <c r="J1749" s="702">
        <f t="shared" si="824"/>
        <v>266912.14285714284</v>
      </c>
    </row>
    <row r="1750" spans="1:10" x14ac:dyDescent="0.25">
      <c r="A1750" s="698" t="s">
        <v>32</v>
      </c>
      <c r="B1750" s="342">
        <f>B1749+B1748</f>
        <v>7794310.3448275868</v>
      </c>
      <c r="C1750" s="199">
        <f>C1749+C1748</f>
        <v>2105258.6206896552</v>
      </c>
      <c r="D1750" s="199">
        <f>D1749+D1748</f>
        <v>2583620.6896551726</v>
      </c>
      <c r="E1750" s="199">
        <f>E1749+E1748</f>
        <v>2980603.4482758623</v>
      </c>
      <c r="F1750" s="199">
        <f>F1748+F1749</f>
        <v>7618103.4482758623</v>
      </c>
      <c r="G1750" s="199">
        <f>G1749+G1748</f>
        <v>8238793.1034482764</v>
      </c>
      <c r="H1750" s="199">
        <f>H1749+H1748</f>
        <v>8273103.4482758623</v>
      </c>
      <c r="I1750" s="199">
        <f>I1748+I1749</f>
        <v>39593793.103448279</v>
      </c>
      <c r="J1750" s="704">
        <f t="shared" si="824"/>
        <v>5656256.1576354681</v>
      </c>
    </row>
    <row r="1751" spans="1:10" x14ac:dyDescent="0.25">
      <c r="A1751" s="694" t="s">
        <v>33</v>
      </c>
      <c r="B1751" s="302">
        <f>B1750*16%</f>
        <v>1247089.6551724139</v>
      </c>
      <c r="C1751" s="94">
        <f t="shared" ref="C1751:H1751" si="830">C1750*16%</f>
        <v>336841.37931034481</v>
      </c>
      <c r="D1751" s="94">
        <f t="shared" si="830"/>
        <v>413379.31034482765</v>
      </c>
      <c r="E1751" s="94">
        <f t="shared" si="830"/>
        <v>476896.55172413797</v>
      </c>
      <c r="F1751" s="94">
        <f t="shared" si="830"/>
        <v>1218896.551724138</v>
      </c>
      <c r="G1751" s="94">
        <f t="shared" si="830"/>
        <v>1318206.8965517243</v>
      </c>
      <c r="H1751" s="94">
        <f t="shared" si="830"/>
        <v>1323696.551724138</v>
      </c>
      <c r="I1751" s="94">
        <f>I1750*16%</f>
        <v>6335006.8965517245</v>
      </c>
      <c r="J1751" s="702">
        <f t="shared" si="824"/>
        <v>905000.9852216749</v>
      </c>
    </row>
    <row r="1752" spans="1:10" ht="15.75" thickBot="1" x14ac:dyDescent="0.3">
      <c r="A1752" s="699" t="s">
        <v>34</v>
      </c>
      <c r="B1752" s="708">
        <f>B1750+B1751</f>
        <v>9041400</v>
      </c>
      <c r="C1752" s="656">
        <f t="shared" ref="C1752:H1752" si="831">C1750+C1751</f>
        <v>2442100</v>
      </c>
      <c r="D1752" s="656">
        <f t="shared" si="831"/>
        <v>2997000.0000000005</v>
      </c>
      <c r="E1752" s="656">
        <f t="shared" si="831"/>
        <v>3457500</v>
      </c>
      <c r="F1752" s="656">
        <f t="shared" si="831"/>
        <v>8837000</v>
      </c>
      <c r="G1752" s="656">
        <f t="shared" si="831"/>
        <v>9557000</v>
      </c>
      <c r="H1752" s="656">
        <f t="shared" si="831"/>
        <v>9596800</v>
      </c>
      <c r="I1752" s="656">
        <f>I1750+I1751</f>
        <v>45928800</v>
      </c>
      <c r="J1752" s="705">
        <f t="shared" si="824"/>
        <v>6561257.1428571427</v>
      </c>
    </row>
    <row r="1753" spans="1:10" ht="15.75" thickBot="1" x14ac:dyDescent="0.3"/>
    <row r="1754" spans="1:10" ht="27" thickBot="1" x14ac:dyDescent="0.3">
      <c r="B1754" s="1007" t="s">
        <v>627</v>
      </c>
      <c r="C1754" s="1007"/>
      <c r="D1754" s="1007"/>
      <c r="E1754" s="1007"/>
      <c r="F1754" s="1007"/>
      <c r="G1754" s="1007"/>
      <c r="H1754" s="1007"/>
    </row>
    <row r="1755" spans="1:10" ht="15.75" x14ac:dyDescent="0.25">
      <c r="A1755" s="709" t="s">
        <v>2</v>
      </c>
      <c r="B1755" s="706" t="s">
        <v>233</v>
      </c>
      <c r="C1755" s="641" t="s">
        <v>234</v>
      </c>
      <c r="D1755" s="641" t="s">
        <v>235</v>
      </c>
      <c r="E1755" s="641" t="s">
        <v>236</v>
      </c>
      <c r="F1755" s="641" t="s">
        <v>237</v>
      </c>
      <c r="G1755" s="641" t="s">
        <v>238</v>
      </c>
      <c r="H1755" s="641" t="s">
        <v>239</v>
      </c>
      <c r="I1755" s="641" t="s">
        <v>96</v>
      </c>
      <c r="J1755" s="642" t="s">
        <v>97</v>
      </c>
    </row>
    <row r="1756" spans="1:10" x14ac:dyDescent="0.25">
      <c r="A1756" s="710" t="s">
        <v>11</v>
      </c>
      <c r="B1756" s="688">
        <f>66+36+12</f>
        <v>114</v>
      </c>
      <c r="C1756" s="56">
        <f>62+32+8</f>
        <v>102</v>
      </c>
      <c r="D1756" s="54">
        <f>98+50+15</f>
        <v>163</v>
      </c>
      <c r="E1756" s="316">
        <f>86+54+26</f>
        <v>166</v>
      </c>
      <c r="F1756" s="311">
        <f>161+89+35</f>
        <v>285</v>
      </c>
      <c r="G1756" s="58">
        <f>192+145+46</f>
        <v>383</v>
      </c>
      <c r="H1756" s="57">
        <f>157+137+55</f>
        <v>349</v>
      </c>
      <c r="I1756" s="316">
        <f>SUM(B1756:H1756)</f>
        <v>1562</v>
      </c>
      <c r="J1756" s="700">
        <f>+I1756/7</f>
        <v>223.14285714285714</v>
      </c>
    </row>
    <row r="1757" spans="1:10" x14ac:dyDescent="0.25">
      <c r="A1757" s="694" t="s">
        <v>12</v>
      </c>
      <c r="B1757" s="689">
        <v>60</v>
      </c>
      <c r="C1757" s="320">
        <v>62</v>
      </c>
      <c r="D1757" s="320">
        <v>86</v>
      </c>
      <c r="E1757" s="11">
        <v>86</v>
      </c>
      <c r="F1757" s="388">
        <v>169</v>
      </c>
      <c r="G1757" s="11">
        <v>200</v>
      </c>
      <c r="H1757" s="11">
        <v>197</v>
      </c>
      <c r="I1757" s="11">
        <f>SUM(CEDRITOS!$B1757:$H1757)</f>
        <v>860</v>
      </c>
      <c r="J1757" s="623">
        <f t="shared" ref="J1757:J1762" si="832">I1757/7</f>
        <v>122.85714285714286</v>
      </c>
    </row>
    <row r="1758" spans="1:10" x14ac:dyDescent="0.25">
      <c r="A1758" s="694" t="s">
        <v>13</v>
      </c>
      <c r="B1758" s="313">
        <v>1</v>
      </c>
      <c r="C1758" s="13">
        <v>1</v>
      </c>
      <c r="D1758" s="13">
        <v>1</v>
      </c>
      <c r="E1758" s="11">
        <v>0</v>
      </c>
      <c r="F1758" s="125">
        <v>8</v>
      </c>
      <c r="G1758" s="11">
        <v>8</v>
      </c>
      <c r="H1758" s="11">
        <v>2</v>
      </c>
      <c r="I1758" s="11">
        <f>SUM(CEDRITOS!$B1758:$H1758)</f>
        <v>21</v>
      </c>
      <c r="J1758" s="623">
        <f t="shared" si="832"/>
        <v>3</v>
      </c>
    </row>
    <row r="1759" spans="1:10" x14ac:dyDescent="0.25">
      <c r="A1759" s="694" t="s">
        <v>14</v>
      </c>
      <c r="B1759" s="313">
        <v>31</v>
      </c>
      <c r="C1759" s="13">
        <v>31</v>
      </c>
      <c r="D1759" s="320">
        <v>50</v>
      </c>
      <c r="E1759" s="11">
        <v>42</v>
      </c>
      <c r="F1759" s="125">
        <v>45</v>
      </c>
      <c r="G1759" s="11">
        <v>96</v>
      </c>
      <c r="H1759" s="11">
        <v>64</v>
      </c>
      <c r="I1759" s="11">
        <f>SUM(CEDRITOS!$B1759:$H1759)</f>
        <v>359</v>
      </c>
      <c r="J1759" s="623">
        <f t="shared" si="832"/>
        <v>51.285714285714285</v>
      </c>
    </row>
    <row r="1760" spans="1:10" x14ac:dyDescent="0.25">
      <c r="A1760" s="694" t="s">
        <v>15</v>
      </c>
      <c r="B1760" s="313">
        <v>0</v>
      </c>
      <c r="C1760" s="13">
        <v>0</v>
      </c>
      <c r="D1760" s="13">
        <v>0</v>
      </c>
      <c r="E1760" s="11">
        <v>0</v>
      </c>
      <c r="F1760" s="125">
        <v>0</v>
      </c>
      <c r="G1760" s="11">
        <v>2</v>
      </c>
      <c r="H1760" s="11">
        <v>0</v>
      </c>
      <c r="I1760" s="11">
        <f>SUM(CEDRITOS!$B1760:$H1760)</f>
        <v>2</v>
      </c>
      <c r="J1760" s="623">
        <f t="shared" si="832"/>
        <v>0.2857142857142857</v>
      </c>
    </row>
    <row r="1761" spans="1:10" x14ac:dyDescent="0.25">
      <c r="A1761" s="694" t="s">
        <v>16</v>
      </c>
      <c r="B1761" s="313">
        <v>0</v>
      </c>
      <c r="C1761" s="13">
        <v>0</v>
      </c>
      <c r="D1761" s="13">
        <v>0</v>
      </c>
      <c r="E1761" s="11">
        <v>0</v>
      </c>
      <c r="F1761" s="125">
        <v>0</v>
      </c>
      <c r="G1761" s="11">
        <v>0</v>
      </c>
      <c r="H1761" s="11">
        <v>1</v>
      </c>
      <c r="I1761" s="11">
        <f>SUM(CEDRITOS!$B1761:$H1761)</f>
        <v>1</v>
      </c>
      <c r="J1761" s="623">
        <f t="shared" si="832"/>
        <v>0.14285714285714285</v>
      </c>
    </row>
    <row r="1762" spans="1:10" x14ac:dyDescent="0.25">
      <c r="A1762" s="695" t="s">
        <v>17</v>
      </c>
      <c r="B1762" s="707">
        <f>SUM(B1757:B1761)</f>
        <v>92</v>
      </c>
      <c r="C1762" s="192">
        <f t="shared" ref="C1762:I1762" si="833">SUM(C1757:C1761)</f>
        <v>94</v>
      </c>
      <c r="D1762" s="192">
        <f t="shared" si="833"/>
        <v>137</v>
      </c>
      <c r="E1762" s="192">
        <f t="shared" si="833"/>
        <v>128</v>
      </c>
      <c r="F1762" s="192">
        <f t="shared" si="833"/>
        <v>222</v>
      </c>
      <c r="G1762" s="192">
        <f t="shared" si="833"/>
        <v>306</v>
      </c>
      <c r="H1762" s="192">
        <f t="shared" si="833"/>
        <v>264</v>
      </c>
      <c r="I1762" s="192">
        <f t="shared" si="833"/>
        <v>1243</v>
      </c>
      <c r="J1762" s="647">
        <f t="shared" si="832"/>
        <v>177.57142857142858</v>
      </c>
    </row>
    <row r="1763" spans="1:10" x14ac:dyDescent="0.25">
      <c r="A1763" s="694" t="s">
        <v>18</v>
      </c>
      <c r="B1763" s="690">
        <v>0.71</v>
      </c>
      <c r="C1763" s="326">
        <v>0.71</v>
      </c>
      <c r="D1763" s="326">
        <v>0.66</v>
      </c>
      <c r="E1763" s="327">
        <v>0.72</v>
      </c>
      <c r="F1763" s="328">
        <v>0.8</v>
      </c>
      <c r="G1763" s="327">
        <v>0.69</v>
      </c>
      <c r="H1763" s="327">
        <v>0.79</v>
      </c>
      <c r="I1763" s="30">
        <f>I1770/I1775</f>
        <v>0.73469784953672923</v>
      </c>
      <c r="J1763" s="648">
        <f>J1770/J1775</f>
        <v>0.73469784953672912</v>
      </c>
    </row>
    <row r="1764" spans="1:10" x14ac:dyDescent="0.25">
      <c r="A1764" s="694" t="s">
        <v>19</v>
      </c>
      <c r="B1764" s="690">
        <v>0.01</v>
      </c>
      <c r="C1764" s="326">
        <v>0</v>
      </c>
      <c r="D1764" s="326">
        <v>0.01</v>
      </c>
      <c r="E1764" s="327">
        <v>0</v>
      </c>
      <c r="F1764" s="327">
        <v>0.04</v>
      </c>
      <c r="G1764" s="327">
        <v>0.02</v>
      </c>
      <c r="H1764" s="327">
        <v>0.01</v>
      </c>
      <c r="I1764" s="30">
        <f>I1771/I1775</f>
        <v>1.6131573379272277E-2</v>
      </c>
      <c r="J1764" s="648">
        <f>J1771/J1775</f>
        <v>1.6131573379272277E-2</v>
      </c>
    </row>
    <row r="1765" spans="1:10" x14ac:dyDescent="0.25">
      <c r="A1765" s="694" t="s">
        <v>20</v>
      </c>
      <c r="B1765" s="690">
        <v>0.28000000000000003</v>
      </c>
      <c r="C1765" s="326">
        <v>0.28999999999999998</v>
      </c>
      <c r="D1765" s="326">
        <v>0.33</v>
      </c>
      <c r="E1765" s="327">
        <v>0.28000000000000003</v>
      </c>
      <c r="F1765" s="329">
        <v>0.16</v>
      </c>
      <c r="G1765" s="327">
        <v>0.28000000000000003</v>
      </c>
      <c r="H1765" s="327">
        <v>0.2</v>
      </c>
      <c r="I1765" s="30">
        <f>I1772/I1775</f>
        <v>0.24662942307594901</v>
      </c>
      <c r="J1765" s="648">
        <f>J1772/J1775</f>
        <v>0.24662942307594898</v>
      </c>
    </row>
    <row r="1766" spans="1:10" x14ac:dyDescent="0.25">
      <c r="A1766" s="694" t="s">
        <v>21</v>
      </c>
      <c r="B1766" s="690">
        <v>0</v>
      </c>
      <c r="C1766" s="326">
        <v>0</v>
      </c>
      <c r="D1766" s="326">
        <v>0</v>
      </c>
      <c r="E1766" s="327">
        <v>0</v>
      </c>
      <c r="F1766" s="329">
        <v>0</v>
      </c>
      <c r="G1766" s="327">
        <v>0.01</v>
      </c>
      <c r="H1766" s="327">
        <v>0</v>
      </c>
      <c r="I1766" s="30">
        <f>I1773/I1775</f>
        <v>2.5411540080493939E-3</v>
      </c>
      <c r="J1766" s="648">
        <f>J1773/J1775</f>
        <v>2.5411540080493939E-3</v>
      </c>
    </row>
    <row r="1767" spans="1:10" x14ac:dyDescent="0.25">
      <c r="A1767" s="694" t="s">
        <v>22</v>
      </c>
      <c r="B1767" s="690">
        <v>0</v>
      </c>
      <c r="C1767" s="326">
        <v>0</v>
      </c>
      <c r="D1767" s="326">
        <v>0</v>
      </c>
      <c r="E1767" s="327">
        <v>0</v>
      </c>
      <c r="F1767" s="329">
        <v>0</v>
      </c>
      <c r="G1767" s="327">
        <v>0</v>
      </c>
      <c r="H1767" s="327">
        <v>0</v>
      </c>
      <c r="I1767" s="30">
        <f>I1774/I1775</f>
        <v>0</v>
      </c>
      <c r="J1767" s="648">
        <f>J1774/J1775</f>
        <v>0</v>
      </c>
    </row>
    <row r="1768" spans="1:10" x14ac:dyDescent="0.25">
      <c r="A1768" s="696" t="s">
        <v>23</v>
      </c>
      <c r="B1768" s="164">
        <f t="shared" ref="B1768:J1768" si="834">B1779/B1762</f>
        <v>34755.434782608703</v>
      </c>
      <c r="C1768" s="66">
        <f t="shared" si="834"/>
        <v>30497.872340425536</v>
      </c>
      <c r="D1768" s="66">
        <f t="shared" si="834"/>
        <v>33710.948905109486</v>
      </c>
      <c r="E1768" s="66">
        <f t="shared" si="834"/>
        <v>35652.34375</v>
      </c>
      <c r="F1768" s="66">
        <f t="shared" si="834"/>
        <v>35315.765765765769</v>
      </c>
      <c r="G1768" s="66">
        <f t="shared" si="834"/>
        <v>36720.261437908506</v>
      </c>
      <c r="H1768" s="66">
        <f t="shared" si="834"/>
        <v>38254.924242424247</v>
      </c>
      <c r="I1768" s="66">
        <f t="shared" si="834"/>
        <v>35737.731295253427</v>
      </c>
      <c r="J1768" s="701">
        <f t="shared" si="834"/>
        <v>35737.731295253419</v>
      </c>
    </row>
    <row r="1769" spans="1:10" x14ac:dyDescent="0.25">
      <c r="A1769" s="696" t="s">
        <v>24</v>
      </c>
      <c r="B1769" s="164">
        <f t="shared" ref="B1769:I1769" si="835">+B1779/B1756</f>
        <v>28048.245614035091</v>
      </c>
      <c r="C1769" s="66">
        <f t="shared" si="835"/>
        <v>28105.882352941182</v>
      </c>
      <c r="D1769" s="66">
        <f t="shared" si="835"/>
        <v>28333.742331288344</v>
      </c>
      <c r="E1769" s="66">
        <f t="shared" si="835"/>
        <v>27490.963855421687</v>
      </c>
      <c r="F1769" s="66">
        <f t="shared" si="835"/>
        <v>27509.122807017542</v>
      </c>
      <c r="G1769" s="66">
        <f t="shared" si="835"/>
        <v>29337.859007832903</v>
      </c>
      <c r="H1769" s="66">
        <f t="shared" si="835"/>
        <v>28937.822349570204</v>
      </c>
      <c r="I1769" s="66">
        <f t="shared" si="835"/>
        <v>28439.180537772092</v>
      </c>
      <c r="J1769" s="701">
        <f>J1779/J1756</f>
        <v>28439.180537772092</v>
      </c>
    </row>
    <row r="1770" spans="1:10" x14ac:dyDescent="0.25">
      <c r="A1770" s="694" t="s">
        <v>25</v>
      </c>
      <c r="B1770" s="300">
        <f t="shared" ref="B1770:H1770" si="836">B1775*B1763</f>
        <v>1854254.1172413796</v>
      </c>
      <c r="C1770" s="92">
        <f t="shared" si="836"/>
        <v>1648415.0303448276</v>
      </c>
      <c r="D1770" s="92">
        <f t="shared" si="836"/>
        <v>2490691.7048275867</v>
      </c>
      <c r="E1770" s="92">
        <f t="shared" si="836"/>
        <v>2683042.3613793105</v>
      </c>
      <c r="F1770" s="92">
        <f t="shared" si="836"/>
        <v>5080592.7172413804</v>
      </c>
      <c r="G1770" s="31">
        <f t="shared" si="836"/>
        <v>6350588.6896551726</v>
      </c>
      <c r="H1770" s="31">
        <f t="shared" si="836"/>
        <v>6502280.7317241393</v>
      </c>
      <c r="I1770" s="31">
        <f>SUM(B1770:H1770)</f>
        <v>26609865.352413796</v>
      </c>
      <c r="J1770" s="702">
        <f t="shared" ref="J1770:J1779" si="837">I1770/7</f>
        <v>3801409.3360591135</v>
      </c>
    </row>
    <row r="1771" spans="1:10" x14ac:dyDescent="0.25">
      <c r="A1771" s="694" t="s">
        <v>26</v>
      </c>
      <c r="B1771" s="300">
        <f t="shared" ref="B1771:H1771" si="838">B1775*B1764</f>
        <v>26116.255172413799</v>
      </c>
      <c r="C1771" s="92">
        <f t="shared" si="838"/>
        <v>0</v>
      </c>
      <c r="D1771" s="92">
        <f t="shared" si="838"/>
        <v>37737.753103448282</v>
      </c>
      <c r="E1771" s="92">
        <f t="shared" si="838"/>
        <v>0</v>
      </c>
      <c r="F1771" s="92">
        <f t="shared" si="838"/>
        <v>254029.635862069</v>
      </c>
      <c r="G1771" s="31">
        <f t="shared" si="838"/>
        <v>184075.03448275864</v>
      </c>
      <c r="H1771" s="31">
        <f t="shared" si="838"/>
        <v>82307.351034482781</v>
      </c>
      <c r="I1771" s="31">
        <f>SUM(B1771:H1771)</f>
        <v>584266.02965517249</v>
      </c>
      <c r="J1771" s="702">
        <f t="shared" si="837"/>
        <v>83466.575665024648</v>
      </c>
    </row>
    <row r="1772" spans="1:10" x14ac:dyDescent="0.25">
      <c r="A1772" s="694" t="s">
        <v>27</v>
      </c>
      <c r="B1772" s="300">
        <f t="shared" ref="B1772:H1772" si="839">B1775*B1765</f>
        <v>731255.14482758637</v>
      </c>
      <c r="C1772" s="92">
        <f t="shared" si="839"/>
        <v>673296.28</v>
      </c>
      <c r="D1772" s="92">
        <f t="shared" si="839"/>
        <v>1245345.8524137933</v>
      </c>
      <c r="E1772" s="92">
        <f t="shared" si="839"/>
        <v>1043405.3627586208</v>
      </c>
      <c r="F1772" s="92">
        <f t="shared" si="839"/>
        <v>1016118.543448276</v>
      </c>
      <c r="G1772" s="31">
        <f t="shared" si="839"/>
        <v>2577050.4827586212</v>
      </c>
      <c r="H1772" s="31">
        <f t="shared" si="839"/>
        <v>1646147.0206896556</v>
      </c>
      <c r="I1772" s="31">
        <f>SUM(B1772:H1772)</f>
        <v>8932618.6868965533</v>
      </c>
      <c r="J1772" s="702">
        <f t="shared" si="837"/>
        <v>1276088.3838423647</v>
      </c>
    </row>
    <row r="1773" spans="1:10" x14ac:dyDescent="0.25">
      <c r="A1773" s="694" t="s">
        <v>28</v>
      </c>
      <c r="B1773" s="300">
        <f t="shared" ref="B1773:H1773" si="840">B1775*B1766</f>
        <v>0</v>
      </c>
      <c r="C1773" s="92">
        <f t="shared" si="840"/>
        <v>0</v>
      </c>
      <c r="D1773" s="92">
        <f t="shared" si="840"/>
        <v>0</v>
      </c>
      <c r="E1773" s="92">
        <f t="shared" si="840"/>
        <v>0</v>
      </c>
      <c r="F1773" s="92">
        <f t="shared" si="840"/>
        <v>0</v>
      </c>
      <c r="G1773" s="31">
        <f t="shared" si="840"/>
        <v>92037.517241379319</v>
      </c>
      <c r="H1773" s="31">
        <f t="shared" si="840"/>
        <v>0</v>
      </c>
      <c r="I1773" s="31">
        <f>SUM(B1773:H1773)</f>
        <v>92037.517241379319</v>
      </c>
      <c r="J1773" s="702">
        <f t="shared" si="837"/>
        <v>13148.216748768475</v>
      </c>
    </row>
    <row r="1774" spans="1:10" x14ac:dyDescent="0.25">
      <c r="A1774" s="694" t="s">
        <v>29</v>
      </c>
      <c r="B1774" s="300">
        <f t="shared" ref="B1774:H1774" si="841">B1775*B1767</f>
        <v>0</v>
      </c>
      <c r="C1774" s="92">
        <f t="shared" si="841"/>
        <v>0</v>
      </c>
      <c r="D1774" s="92">
        <f t="shared" si="841"/>
        <v>0</v>
      </c>
      <c r="E1774" s="92">
        <f t="shared" si="841"/>
        <v>0</v>
      </c>
      <c r="F1774" s="92">
        <f t="shared" si="841"/>
        <v>0</v>
      </c>
      <c r="G1774" s="31">
        <f t="shared" si="841"/>
        <v>0</v>
      </c>
      <c r="H1774" s="31">
        <f t="shared" si="841"/>
        <v>0</v>
      </c>
      <c r="I1774" s="31">
        <f>SUM(B1774:H1774)</f>
        <v>0</v>
      </c>
      <c r="J1774" s="702">
        <f t="shared" si="837"/>
        <v>0</v>
      </c>
    </row>
    <row r="1775" spans="1:10" x14ac:dyDescent="0.25">
      <c r="A1775" s="697" t="s">
        <v>30</v>
      </c>
      <c r="B1775" s="691">
        <f>(3197500/1.16)-B1776</f>
        <v>2611625.5172413797</v>
      </c>
      <c r="C1775" s="222">
        <f>(2866800/1.16)-C1776</f>
        <v>2321711.3103448278</v>
      </c>
      <c r="D1775" s="222">
        <f>(4618400/1.16)-D1776</f>
        <v>3773775.3103448278</v>
      </c>
      <c r="E1775" s="222">
        <f>(4563500/1.16)-E1776</f>
        <v>3726447.7241379311</v>
      </c>
      <c r="F1775" s="222">
        <f>(7840100/1.16)-F1776</f>
        <v>6350740.8965517245</v>
      </c>
      <c r="G1775" s="222">
        <f>(11236400/1.16)-G1776</f>
        <v>9203751.7241379321</v>
      </c>
      <c r="H1775" s="222">
        <f>(10099300/1.16)-H1776</f>
        <v>8230735.1034482773</v>
      </c>
      <c r="I1775" s="197">
        <f>SUM(I1770:I1774)</f>
        <v>36218787.586206906</v>
      </c>
      <c r="J1775" s="703">
        <f t="shared" si="837"/>
        <v>5174112.5123152724</v>
      </c>
    </row>
    <row r="1776" spans="1:10" x14ac:dyDescent="0.25">
      <c r="A1776" s="694" t="s">
        <v>31</v>
      </c>
      <c r="B1776" s="300">
        <f t="shared" ref="B1776:I1776" si="842">2414*B1757</f>
        <v>144840</v>
      </c>
      <c r="C1776" s="92">
        <f t="shared" si="842"/>
        <v>149668</v>
      </c>
      <c r="D1776" s="92">
        <f t="shared" si="842"/>
        <v>207604</v>
      </c>
      <c r="E1776" s="92">
        <f t="shared" si="842"/>
        <v>207604</v>
      </c>
      <c r="F1776" s="92">
        <f t="shared" si="842"/>
        <v>407966</v>
      </c>
      <c r="G1776" s="92">
        <f t="shared" si="842"/>
        <v>482800</v>
      </c>
      <c r="H1776" s="92">
        <f t="shared" si="842"/>
        <v>475558</v>
      </c>
      <c r="I1776" s="31">
        <f t="shared" si="842"/>
        <v>2076040</v>
      </c>
      <c r="J1776" s="702">
        <f t="shared" si="837"/>
        <v>296577.14285714284</v>
      </c>
    </row>
    <row r="1777" spans="1:10" x14ac:dyDescent="0.25">
      <c r="A1777" s="698" t="s">
        <v>32</v>
      </c>
      <c r="B1777" s="342">
        <f>B1776+B1775</f>
        <v>2756465.5172413797</v>
      </c>
      <c r="C1777" s="199">
        <f>C1776+C1775</f>
        <v>2471379.3103448278</v>
      </c>
      <c r="D1777" s="199">
        <f>D1776+D1775</f>
        <v>3981379.3103448278</v>
      </c>
      <c r="E1777" s="199">
        <f>E1776+E1775</f>
        <v>3934051.7241379311</v>
      </c>
      <c r="F1777" s="199">
        <f>F1775+F1776</f>
        <v>6758706.8965517245</v>
      </c>
      <c r="G1777" s="199">
        <f>G1776+G1775</f>
        <v>9686551.7241379321</v>
      </c>
      <c r="H1777" s="199">
        <f>H1776+H1775</f>
        <v>8706293.1034482773</v>
      </c>
      <c r="I1777" s="199">
        <f>I1775+I1776</f>
        <v>38294827.586206906</v>
      </c>
      <c r="J1777" s="704">
        <f t="shared" si="837"/>
        <v>5470689.6551724151</v>
      </c>
    </row>
    <row r="1778" spans="1:10" x14ac:dyDescent="0.25">
      <c r="A1778" s="694" t="s">
        <v>33</v>
      </c>
      <c r="B1778" s="302">
        <f>B1777*16%</f>
        <v>441034.48275862075</v>
      </c>
      <c r="C1778" s="94">
        <f t="shared" ref="C1778:H1778" si="843">C1777*16%</f>
        <v>395420.68965517246</v>
      </c>
      <c r="D1778" s="94">
        <f t="shared" si="843"/>
        <v>637020.68965517252</v>
      </c>
      <c r="E1778" s="94">
        <f t="shared" si="843"/>
        <v>629448.27586206899</v>
      </c>
      <c r="F1778" s="94">
        <f t="shared" si="843"/>
        <v>1081393.1034482759</v>
      </c>
      <c r="G1778" s="94">
        <f t="shared" si="843"/>
        <v>1549848.2758620691</v>
      </c>
      <c r="H1778" s="94">
        <f t="shared" si="843"/>
        <v>1393006.8965517243</v>
      </c>
      <c r="I1778" s="94">
        <f>I1777*16%</f>
        <v>6127172.4137931047</v>
      </c>
      <c r="J1778" s="702">
        <f t="shared" si="837"/>
        <v>875310.34482758644</v>
      </c>
    </row>
    <row r="1779" spans="1:10" ht="15.75" thickBot="1" x14ac:dyDescent="0.3">
      <c r="A1779" s="699" t="s">
        <v>34</v>
      </c>
      <c r="B1779" s="708">
        <f>B1777+B1778</f>
        <v>3197500.0000000005</v>
      </c>
      <c r="C1779" s="656">
        <f t="shared" ref="C1779:H1779" si="844">C1777+C1778</f>
        <v>2866800.0000000005</v>
      </c>
      <c r="D1779" s="656">
        <f t="shared" si="844"/>
        <v>4618400</v>
      </c>
      <c r="E1779" s="656">
        <f t="shared" si="844"/>
        <v>4563500</v>
      </c>
      <c r="F1779" s="656">
        <f t="shared" si="844"/>
        <v>7840100</v>
      </c>
      <c r="G1779" s="656">
        <f t="shared" si="844"/>
        <v>11236400.000000002</v>
      </c>
      <c r="H1779" s="656">
        <f t="shared" si="844"/>
        <v>10099300.000000002</v>
      </c>
      <c r="I1779" s="656">
        <f>I1777+I1778</f>
        <v>44422000.000000007</v>
      </c>
      <c r="J1779" s="705">
        <f t="shared" si="837"/>
        <v>6346000.0000000009</v>
      </c>
    </row>
    <row r="1780" spans="1:10" ht="15.75" thickBot="1" x14ac:dyDescent="0.3"/>
    <row r="1781" spans="1:10" ht="27" thickBot="1" x14ac:dyDescent="0.3">
      <c r="B1781" s="1007" t="s">
        <v>631</v>
      </c>
      <c r="C1781" s="1007"/>
      <c r="D1781" s="1007"/>
      <c r="E1781" s="1007"/>
      <c r="F1781" s="1007"/>
      <c r="G1781" s="1007"/>
      <c r="H1781" s="1007"/>
    </row>
    <row r="1782" spans="1:10" ht="15.75" x14ac:dyDescent="0.25">
      <c r="A1782" s="709" t="s">
        <v>2</v>
      </c>
      <c r="B1782" s="706" t="s">
        <v>241</v>
      </c>
      <c r="C1782" s="641" t="s">
        <v>255</v>
      </c>
      <c r="D1782" s="641" t="s">
        <v>256</v>
      </c>
      <c r="E1782" s="641" t="s">
        <v>324</v>
      </c>
      <c r="F1782" s="641" t="s">
        <v>325</v>
      </c>
      <c r="G1782" s="641" t="s">
        <v>326</v>
      </c>
      <c r="H1782" s="641" t="s">
        <v>327</v>
      </c>
      <c r="I1782" s="641" t="s">
        <v>96</v>
      </c>
      <c r="J1782" s="642" t="s">
        <v>97</v>
      </c>
    </row>
    <row r="1783" spans="1:10" x14ac:dyDescent="0.25">
      <c r="A1783" s="710" t="s">
        <v>11</v>
      </c>
      <c r="B1783" s="688">
        <f>54+38+13</f>
        <v>105</v>
      </c>
      <c r="C1783" s="56">
        <f>73+37+14</f>
        <v>124</v>
      </c>
      <c r="D1783" s="54">
        <f>53+51+11</f>
        <v>115</v>
      </c>
      <c r="E1783" s="316">
        <f>76+51+8</f>
        <v>135</v>
      </c>
      <c r="F1783" s="311">
        <f>163+98+25</f>
        <v>286</v>
      </c>
      <c r="G1783" s="58">
        <f>191+150+43</f>
        <v>384</v>
      </c>
      <c r="H1783" s="57">
        <f>205+112+47</f>
        <v>364</v>
      </c>
      <c r="I1783" s="316">
        <f>SUM(B1783:H1783)</f>
        <v>1513</v>
      </c>
      <c r="J1783" s="700">
        <f>+I1783/7</f>
        <v>216.14285714285714</v>
      </c>
    </row>
    <row r="1784" spans="1:10" x14ac:dyDescent="0.25">
      <c r="A1784" s="694" t="s">
        <v>12</v>
      </c>
      <c r="B1784" s="689">
        <v>55</v>
      </c>
      <c r="C1784" s="320">
        <v>66</v>
      </c>
      <c r="D1784" s="320">
        <v>61</v>
      </c>
      <c r="E1784" s="11">
        <v>83</v>
      </c>
      <c r="F1784" s="388">
        <v>170</v>
      </c>
      <c r="G1784" s="11">
        <v>206</v>
      </c>
      <c r="H1784" s="11">
        <v>217</v>
      </c>
      <c r="I1784" s="11">
        <f>SUM(CEDRITOS!$B1784:$H1784)</f>
        <v>858</v>
      </c>
      <c r="J1784" s="623">
        <f t="shared" ref="J1784:J1789" si="845">I1784/7</f>
        <v>122.57142857142857</v>
      </c>
    </row>
    <row r="1785" spans="1:10" x14ac:dyDescent="0.25">
      <c r="A1785" s="694" t="s">
        <v>13</v>
      </c>
      <c r="B1785" s="313">
        <v>2</v>
      </c>
      <c r="C1785" s="13">
        <v>0</v>
      </c>
      <c r="D1785" s="13">
        <v>0</v>
      </c>
      <c r="E1785" s="11">
        <v>1</v>
      </c>
      <c r="F1785" s="125">
        <v>5</v>
      </c>
      <c r="G1785" s="11">
        <v>5</v>
      </c>
      <c r="H1785" s="11">
        <v>4</v>
      </c>
      <c r="I1785" s="11">
        <f>SUM(CEDRITOS!$B1785:$H1785)</f>
        <v>17</v>
      </c>
      <c r="J1785" s="623">
        <f t="shared" si="845"/>
        <v>2.4285714285714284</v>
      </c>
    </row>
    <row r="1786" spans="1:10" x14ac:dyDescent="0.25">
      <c r="A1786" s="694" t="s">
        <v>14</v>
      </c>
      <c r="B1786" s="313">
        <v>31</v>
      </c>
      <c r="C1786" s="13">
        <v>33</v>
      </c>
      <c r="D1786" s="320">
        <v>46</v>
      </c>
      <c r="E1786" s="11">
        <v>28</v>
      </c>
      <c r="F1786" s="125">
        <v>58</v>
      </c>
      <c r="G1786" s="11">
        <v>92</v>
      </c>
      <c r="H1786" s="11">
        <v>59</v>
      </c>
      <c r="I1786" s="11">
        <f>SUM(CEDRITOS!$B1786:$H1786)</f>
        <v>347</v>
      </c>
      <c r="J1786" s="623">
        <f t="shared" si="845"/>
        <v>49.571428571428569</v>
      </c>
    </row>
    <row r="1787" spans="1:10" x14ac:dyDescent="0.25">
      <c r="A1787" s="694" t="s">
        <v>15</v>
      </c>
      <c r="B1787" s="313">
        <v>2</v>
      </c>
      <c r="C1787" s="13">
        <v>0</v>
      </c>
      <c r="D1787" s="13">
        <v>1</v>
      </c>
      <c r="E1787" s="11">
        <v>0</v>
      </c>
      <c r="F1787" s="125">
        <v>2</v>
      </c>
      <c r="G1787" s="11">
        <v>2</v>
      </c>
      <c r="H1787" s="11">
        <v>0</v>
      </c>
      <c r="I1787" s="11">
        <f>SUM(CEDRITOS!$B1787:$H1787)</f>
        <v>7</v>
      </c>
      <c r="J1787" s="623">
        <f t="shared" si="845"/>
        <v>1</v>
      </c>
    </row>
    <row r="1788" spans="1:10" x14ac:dyDescent="0.25">
      <c r="A1788" s="694" t="s">
        <v>16</v>
      </c>
      <c r="B1788" s="313">
        <v>1</v>
      </c>
      <c r="C1788" s="13">
        <v>0</v>
      </c>
      <c r="D1788" s="13">
        <v>0</v>
      </c>
      <c r="E1788" s="11">
        <v>0</v>
      </c>
      <c r="F1788" s="125">
        <v>0</v>
      </c>
      <c r="G1788" s="11">
        <v>3</v>
      </c>
      <c r="H1788" s="11">
        <v>0</v>
      </c>
      <c r="I1788" s="11">
        <f>SUM(CEDRITOS!$B1788:$H1788)</f>
        <v>4</v>
      </c>
      <c r="J1788" s="623">
        <f t="shared" si="845"/>
        <v>0.5714285714285714</v>
      </c>
    </row>
    <row r="1789" spans="1:10" x14ac:dyDescent="0.25">
      <c r="A1789" s="695" t="s">
        <v>17</v>
      </c>
      <c r="B1789" s="707">
        <f>SUM(B1784:B1788)</f>
        <v>91</v>
      </c>
      <c r="C1789" s="192">
        <f t="shared" ref="C1789:I1789" si="846">SUM(C1784:C1788)</f>
        <v>99</v>
      </c>
      <c r="D1789" s="192">
        <f t="shared" si="846"/>
        <v>108</v>
      </c>
      <c r="E1789" s="192">
        <f t="shared" si="846"/>
        <v>112</v>
      </c>
      <c r="F1789" s="192">
        <f t="shared" si="846"/>
        <v>235</v>
      </c>
      <c r="G1789" s="192">
        <f t="shared" si="846"/>
        <v>308</v>
      </c>
      <c r="H1789" s="192">
        <f t="shared" si="846"/>
        <v>280</v>
      </c>
      <c r="I1789" s="192">
        <f t="shared" si="846"/>
        <v>1233</v>
      </c>
      <c r="J1789" s="647">
        <f t="shared" si="845"/>
        <v>176.14285714285714</v>
      </c>
    </row>
    <row r="1790" spans="1:10" x14ac:dyDescent="0.25">
      <c r="A1790" s="694" t="s">
        <v>18</v>
      </c>
      <c r="B1790" s="690">
        <v>0.65</v>
      </c>
      <c r="C1790" s="326">
        <v>0.74</v>
      </c>
      <c r="D1790" s="326">
        <v>0.6</v>
      </c>
      <c r="E1790" s="327">
        <v>0.78</v>
      </c>
      <c r="F1790" s="328">
        <v>0.74</v>
      </c>
      <c r="G1790" s="327">
        <v>0.72</v>
      </c>
      <c r="H1790" s="327">
        <v>0.81</v>
      </c>
      <c r="I1790" s="30">
        <f>I1797/I1802</f>
        <v>0.73830859932907833</v>
      </c>
      <c r="J1790" s="648">
        <f>J1797/J1802</f>
        <v>0.73830859932907833</v>
      </c>
    </row>
    <row r="1791" spans="1:10" x14ac:dyDescent="0.25">
      <c r="A1791" s="694" t="s">
        <v>19</v>
      </c>
      <c r="B1791" s="690">
        <v>0.03</v>
      </c>
      <c r="C1791" s="326">
        <v>0</v>
      </c>
      <c r="D1791" s="326">
        <v>0</v>
      </c>
      <c r="E1791" s="327">
        <v>0</v>
      </c>
      <c r="F1791" s="327">
        <v>0.02</v>
      </c>
      <c r="G1791" s="327">
        <v>0.01</v>
      </c>
      <c r="H1791" s="327">
        <v>0.01</v>
      </c>
      <c r="I1791" s="30">
        <f>I1798/I1802</f>
        <v>1.0817665380631652E-2</v>
      </c>
      <c r="J1791" s="648">
        <f>J1798/J1802</f>
        <v>1.0817665380631652E-2</v>
      </c>
    </row>
    <row r="1792" spans="1:10" x14ac:dyDescent="0.25">
      <c r="A1792" s="694" t="s">
        <v>20</v>
      </c>
      <c r="B1792" s="690">
        <v>0.28000000000000003</v>
      </c>
      <c r="C1792" s="326">
        <v>0.26</v>
      </c>
      <c r="D1792" s="326">
        <v>0.38</v>
      </c>
      <c r="E1792" s="327">
        <v>0.22</v>
      </c>
      <c r="F1792" s="329">
        <v>0.23</v>
      </c>
      <c r="G1792" s="327">
        <v>0.25</v>
      </c>
      <c r="H1792" s="327">
        <v>0.18</v>
      </c>
      <c r="I1792" s="30">
        <f>I1799/I1802</f>
        <v>0.23959557517143457</v>
      </c>
      <c r="J1792" s="648">
        <f>J1799/J1802</f>
        <v>0.23959557517143457</v>
      </c>
    </row>
    <row r="1793" spans="1:10" x14ac:dyDescent="0.25">
      <c r="A1793" s="694" t="s">
        <v>21</v>
      </c>
      <c r="B1793" s="690">
        <v>0.02</v>
      </c>
      <c r="C1793" s="326">
        <v>0</v>
      </c>
      <c r="D1793" s="326">
        <v>0.02</v>
      </c>
      <c r="E1793" s="327">
        <v>0</v>
      </c>
      <c r="F1793" s="329">
        <v>0.01</v>
      </c>
      <c r="G1793" s="327">
        <v>0</v>
      </c>
      <c r="H1793" s="327">
        <v>0</v>
      </c>
      <c r="I1793" s="30">
        <f>I1800/I1802</f>
        <v>4.8397784023656801E-3</v>
      </c>
      <c r="J1793" s="648">
        <f>J1800/J1802</f>
        <v>4.8397784023656801E-3</v>
      </c>
    </row>
    <row r="1794" spans="1:10" x14ac:dyDescent="0.25">
      <c r="A1794" s="694" t="s">
        <v>22</v>
      </c>
      <c r="B1794" s="690">
        <v>0.02</v>
      </c>
      <c r="C1794" s="326">
        <v>0</v>
      </c>
      <c r="D1794" s="326">
        <v>0</v>
      </c>
      <c r="E1794" s="327">
        <v>0</v>
      </c>
      <c r="F1794" s="329">
        <v>0</v>
      </c>
      <c r="G1794" s="327">
        <v>0.02</v>
      </c>
      <c r="H1794" s="327">
        <v>0</v>
      </c>
      <c r="I1794" s="30">
        <f>I1801/I1802</f>
        <v>6.4383817164897581E-3</v>
      </c>
      <c r="J1794" s="648">
        <f>J1801/J1802</f>
        <v>6.438381716489759E-3</v>
      </c>
    </row>
    <row r="1795" spans="1:10" x14ac:dyDescent="0.25">
      <c r="A1795" s="696" t="s">
        <v>23</v>
      </c>
      <c r="B1795" s="164">
        <f t="shared" ref="B1795:J1795" si="847">B1806/B1789</f>
        <v>32963.736263736268</v>
      </c>
      <c r="C1795" s="66">
        <f t="shared" si="847"/>
        <v>34447.474747474749</v>
      </c>
      <c r="D1795" s="66">
        <f t="shared" si="847"/>
        <v>32610.18518518519</v>
      </c>
      <c r="E1795" s="66">
        <f t="shared" si="847"/>
        <v>36241.071428571435</v>
      </c>
      <c r="F1795" s="66">
        <f t="shared" si="847"/>
        <v>36873.191489361707</v>
      </c>
      <c r="G1795" s="66">
        <f t="shared" si="847"/>
        <v>37083.766233766233</v>
      </c>
      <c r="H1795" s="66">
        <f t="shared" si="847"/>
        <v>38760.357142857145</v>
      </c>
      <c r="I1795" s="66">
        <f t="shared" si="847"/>
        <v>36440.22708840228</v>
      </c>
      <c r="J1795" s="701">
        <f t="shared" si="847"/>
        <v>36440.22708840228</v>
      </c>
    </row>
    <row r="1796" spans="1:10" x14ac:dyDescent="0.25">
      <c r="A1796" s="696" t="s">
        <v>24</v>
      </c>
      <c r="B1796" s="164">
        <f t="shared" ref="B1796:I1796" si="848">+B1806/B1783</f>
        <v>28568.571428571435</v>
      </c>
      <c r="C1796" s="66">
        <f t="shared" si="848"/>
        <v>27502.419354838712</v>
      </c>
      <c r="D1796" s="66">
        <f t="shared" si="848"/>
        <v>30625.217391304352</v>
      </c>
      <c r="E1796" s="66">
        <f t="shared" si="848"/>
        <v>30066.666666666672</v>
      </c>
      <c r="F1796" s="66">
        <f t="shared" si="848"/>
        <v>30297.902097902104</v>
      </c>
      <c r="G1796" s="66">
        <f t="shared" si="848"/>
        <v>29744.270833333332</v>
      </c>
      <c r="H1796" s="66">
        <f t="shared" si="848"/>
        <v>29815.659340659342</v>
      </c>
      <c r="I1796" s="66">
        <f t="shared" si="848"/>
        <v>29696.497025776607</v>
      </c>
      <c r="J1796" s="701">
        <f>J1806/J1783</f>
        <v>29696.497025776607</v>
      </c>
    </row>
    <row r="1797" spans="1:10" x14ac:dyDescent="0.25">
      <c r="A1797" s="694" t="s">
        <v>25</v>
      </c>
      <c r="B1797" s="300">
        <f t="shared" ref="B1797:H1797" si="849">B1802*B1790</f>
        <v>1594565.879310345</v>
      </c>
      <c r="C1797" s="92">
        <f t="shared" si="849"/>
        <v>2057636.4468965519</v>
      </c>
      <c r="D1797" s="92">
        <f t="shared" si="849"/>
        <v>1733320.0137931036</v>
      </c>
      <c r="E1797" s="92">
        <f t="shared" si="849"/>
        <v>2573045.2262068968</v>
      </c>
      <c r="F1797" s="92">
        <f t="shared" si="849"/>
        <v>5224118.8000000007</v>
      </c>
      <c r="G1797" s="31">
        <f t="shared" si="849"/>
        <v>6731348.623448276</v>
      </c>
      <c r="H1797" s="31">
        <f t="shared" si="849"/>
        <v>7154009.3234482771</v>
      </c>
      <c r="I1797" s="31">
        <f>SUM(B1797:H1797)</f>
        <v>27068044.313103452</v>
      </c>
      <c r="J1797" s="702">
        <f t="shared" ref="J1797:J1806" si="850">I1797/7</f>
        <v>3866863.4733004933</v>
      </c>
    </row>
    <row r="1798" spans="1:10" x14ac:dyDescent="0.25">
      <c r="A1798" s="694" t="s">
        <v>26</v>
      </c>
      <c r="B1798" s="300">
        <f t="shared" ref="B1798:H1798" si="851">B1802*B1791</f>
        <v>73595.348275862081</v>
      </c>
      <c r="C1798" s="92">
        <f t="shared" si="851"/>
        <v>0</v>
      </c>
      <c r="D1798" s="92">
        <f t="shared" si="851"/>
        <v>0</v>
      </c>
      <c r="E1798" s="92">
        <f t="shared" si="851"/>
        <v>0</v>
      </c>
      <c r="F1798" s="92">
        <f t="shared" si="851"/>
        <v>141192.40000000002</v>
      </c>
      <c r="G1798" s="31">
        <f t="shared" si="851"/>
        <v>93490.953103448279</v>
      </c>
      <c r="H1798" s="31">
        <f t="shared" si="851"/>
        <v>88321.102758620706</v>
      </c>
      <c r="I1798" s="31">
        <f>SUM(B1798:H1798)</f>
        <v>396599.80413793109</v>
      </c>
      <c r="J1798" s="702">
        <f t="shared" si="850"/>
        <v>56657.114876847299</v>
      </c>
    </row>
    <row r="1799" spans="1:10" x14ac:dyDescent="0.25">
      <c r="A1799" s="694" t="s">
        <v>27</v>
      </c>
      <c r="B1799" s="300">
        <f t="shared" ref="B1799:H1799" si="852">B1802*B1792</f>
        <v>686889.9172413795</v>
      </c>
      <c r="C1799" s="92">
        <f t="shared" si="852"/>
        <v>722953.34620689671</v>
      </c>
      <c r="D1799" s="92">
        <f t="shared" si="852"/>
        <v>1097769.3420689655</v>
      </c>
      <c r="E1799" s="92">
        <f t="shared" si="852"/>
        <v>725730.70482758631</v>
      </c>
      <c r="F1799" s="92">
        <f t="shared" si="852"/>
        <v>1623712.6000000003</v>
      </c>
      <c r="G1799" s="31">
        <f t="shared" si="852"/>
        <v>2337273.8275862071</v>
      </c>
      <c r="H1799" s="31">
        <f t="shared" si="852"/>
        <v>1589779.8496551726</v>
      </c>
      <c r="I1799" s="31">
        <f>SUM(B1799:H1799)</f>
        <v>8784109.5875862073</v>
      </c>
      <c r="J1799" s="702">
        <f t="shared" si="850"/>
        <v>1254872.798226601</v>
      </c>
    </row>
    <row r="1800" spans="1:10" x14ac:dyDescent="0.25">
      <c r="A1800" s="694" t="s">
        <v>28</v>
      </c>
      <c r="B1800" s="300">
        <f t="shared" ref="B1800:H1800" si="853">B1802*B1793</f>
        <v>49063.56551724139</v>
      </c>
      <c r="C1800" s="92">
        <f t="shared" si="853"/>
        <v>0</v>
      </c>
      <c r="D1800" s="92">
        <f t="shared" si="853"/>
        <v>57777.333793103455</v>
      </c>
      <c r="E1800" s="92">
        <f t="shared" si="853"/>
        <v>0</v>
      </c>
      <c r="F1800" s="92">
        <f t="shared" si="853"/>
        <v>70596.200000000012</v>
      </c>
      <c r="G1800" s="31">
        <f t="shared" si="853"/>
        <v>0</v>
      </c>
      <c r="H1800" s="31">
        <f t="shared" si="853"/>
        <v>0</v>
      </c>
      <c r="I1800" s="31">
        <f>SUM(B1800:H1800)</f>
        <v>177437.09931034484</v>
      </c>
      <c r="J1800" s="702">
        <f t="shared" si="850"/>
        <v>25348.157044334977</v>
      </c>
    </row>
    <row r="1801" spans="1:10" x14ac:dyDescent="0.25">
      <c r="A1801" s="694" t="s">
        <v>29</v>
      </c>
      <c r="B1801" s="300">
        <f t="shared" ref="B1801:H1801" si="854">B1802*B1794</f>
        <v>49063.56551724139</v>
      </c>
      <c r="C1801" s="92">
        <f t="shared" si="854"/>
        <v>0</v>
      </c>
      <c r="D1801" s="92">
        <f t="shared" si="854"/>
        <v>0</v>
      </c>
      <c r="E1801" s="92">
        <f t="shared" si="854"/>
        <v>0</v>
      </c>
      <c r="F1801" s="92">
        <f t="shared" si="854"/>
        <v>0</v>
      </c>
      <c r="G1801" s="31">
        <f t="shared" si="854"/>
        <v>186981.90620689656</v>
      </c>
      <c r="H1801" s="31">
        <f t="shared" si="854"/>
        <v>0</v>
      </c>
      <c r="I1801" s="31">
        <f>SUM(B1801:H1801)</f>
        <v>236045.47172413795</v>
      </c>
      <c r="J1801" s="702">
        <f t="shared" si="850"/>
        <v>33720.781674876853</v>
      </c>
    </row>
    <row r="1802" spans="1:10" x14ac:dyDescent="0.25">
      <c r="A1802" s="697" t="s">
        <v>30</v>
      </c>
      <c r="B1802" s="691">
        <f>(2999700/1.16)-B1803</f>
        <v>2453178.2758620693</v>
      </c>
      <c r="C1802" s="222">
        <f>(3410300/1.16)-C1803</f>
        <v>2780589.7931034486</v>
      </c>
      <c r="D1802" s="222">
        <f>(3521900/1.16)-D1803</f>
        <v>2888866.6896551726</v>
      </c>
      <c r="E1802" s="222">
        <f>(4059000/1.16)-E1803</f>
        <v>3298775.931034483</v>
      </c>
      <c r="F1802" s="222">
        <f>(8665200/1.16)-F1803</f>
        <v>7059620.0000000009</v>
      </c>
      <c r="G1802" s="222">
        <f>(11421800/1.16)-G1803</f>
        <v>9349095.3103448283</v>
      </c>
      <c r="H1802" s="222">
        <f>(10852900/1.16)-H1803</f>
        <v>8832110.2758620698</v>
      </c>
      <c r="I1802" s="197">
        <f>SUM(I1797:I1801)</f>
        <v>36662236.275862075</v>
      </c>
      <c r="J1802" s="703">
        <f t="shared" si="850"/>
        <v>5237462.3251231536</v>
      </c>
    </row>
    <row r="1803" spans="1:10" x14ac:dyDescent="0.25">
      <c r="A1803" s="694" t="s">
        <v>31</v>
      </c>
      <c r="B1803" s="300">
        <f t="shared" ref="B1803:I1803" si="855">2414*B1784</f>
        <v>132770</v>
      </c>
      <c r="C1803" s="92">
        <f t="shared" si="855"/>
        <v>159324</v>
      </c>
      <c r="D1803" s="92">
        <f t="shared" si="855"/>
        <v>147254</v>
      </c>
      <c r="E1803" s="92">
        <f t="shared" si="855"/>
        <v>200362</v>
      </c>
      <c r="F1803" s="92">
        <f t="shared" si="855"/>
        <v>410380</v>
      </c>
      <c r="G1803" s="92">
        <f t="shared" si="855"/>
        <v>497284</v>
      </c>
      <c r="H1803" s="92">
        <f t="shared" si="855"/>
        <v>523838</v>
      </c>
      <c r="I1803" s="31">
        <f t="shared" si="855"/>
        <v>2071212</v>
      </c>
      <c r="J1803" s="702">
        <f t="shared" si="850"/>
        <v>295887.42857142858</v>
      </c>
    </row>
    <row r="1804" spans="1:10" x14ac:dyDescent="0.25">
      <c r="A1804" s="698" t="s">
        <v>32</v>
      </c>
      <c r="B1804" s="342">
        <f>B1803+B1802</f>
        <v>2585948.2758620693</v>
      </c>
      <c r="C1804" s="199">
        <f>C1803+C1802</f>
        <v>2939913.7931034486</v>
      </c>
      <c r="D1804" s="199">
        <f>D1803+D1802</f>
        <v>3036120.6896551726</v>
      </c>
      <c r="E1804" s="199">
        <f>E1803+E1802</f>
        <v>3499137.931034483</v>
      </c>
      <c r="F1804" s="199">
        <f>F1802+F1803</f>
        <v>7470000.0000000009</v>
      </c>
      <c r="G1804" s="199">
        <f>G1803+G1802</f>
        <v>9846379.3103448283</v>
      </c>
      <c r="H1804" s="199">
        <f>H1803+H1802</f>
        <v>9355948.2758620698</v>
      </c>
      <c r="I1804" s="199">
        <f>I1802+I1803</f>
        <v>38733448.275862075</v>
      </c>
      <c r="J1804" s="704">
        <f t="shared" si="850"/>
        <v>5533349.7536945818</v>
      </c>
    </row>
    <row r="1805" spans="1:10" x14ac:dyDescent="0.25">
      <c r="A1805" s="694" t="s">
        <v>33</v>
      </c>
      <c r="B1805" s="302">
        <f>B1804*16%</f>
        <v>413751.72413793113</v>
      </c>
      <c r="C1805" s="94">
        <f t="shared" ref="C1805:H1805" si="856">C1804*16%</f>
        <v>470386.20689655177</v>
      </c>
      <c r="D1805" s="94">
        <f t="shared" si="856"/>
        <v>485779.31034482765</v>
      </c>
      <c r="E1805" s="94">
        <f t="shared" si="856"/>
        <v>559862.06896551733</v>
      </c>
      <c r="F1805" s="94">
        <f t="shared" si="856"/>
        <v>1195200.0000000002</v>
      </c>
      <c r="G1805" s="94">
        <f t="shared" si="856"/>
        <v>1575420.6896551726</v>
      </c>
      <c r="H1805" s="94">
        <f t="shared" si="856"/>
        <v>1496951.7241379311</v>
      </c>
      <c r="I1805" s="94">
        <f>I1804*16%</f>
        <v>6197351.7241379321</v>
      </c>
      <c r="J1805" s="702">
        <f t="shared" si="850"/>
        <v>885335.9605911331</v>
      </c>
    </row>
    <row r="1806" spans="1:10" ht="15.75" thickBot="1" x14ac:dyDescent="0.3">
      <c r="A1806" s="699" t="s">
        <v>34</v>
      </c>
      <c r="B1806" s="708">
        <f>B1804+B1805</f>
        <v>2999700.0000000005</v>
      </c>
      <c r="C1806" s="656">
        <f t="shared" ref="C1806:H1806" si="857">C1804+C1805</f>
        <v>3410300.0000000005</v>
      </c>
      <c r="D1806" s="656">
        <f t="shared" si="857"/>
        <v>3521900.0000000005</v>
      </c>
      <c r="E1806" s="656">
        <f t="shared" si="857"/>
        <v>4059000.0000000005</v>
      </c>
      <c r="F1806" s="656">
        <f t="shared" si="857"/>
        <v>8665200.0000000019</v>
      </c>
      <c r="G1806" s="656">
        <f t="shared" si="857"/>
        <v>11421800</v>
      </c>
      <c r="H1806" s="656">
        <f t="shared" si="857"/>
        <v>10852900</v>
      </c>
      <c r="I1806" s="656">
        <f>I1804+I1805</f>
        <v>44930800.000000007</v>
      </c>
      <c r="J1806" s="705">
        <f t="shared" si="850"/>
        <v>6418685.7142857155</v>
      </c>
    </row>
    <row r="1807" spans="1:10" ht="15.75" thickBot="1" x14ac:dyDescent="0.3"/>
    <row r="1808" spans="1:10" ht="27" thickBot="1" x14ac:dyDescent="0.3">
      <c r="B1808" s="1007" t="s">
        <v>634</v>
      </c>
      <c r="C1808" s="1007"/>
      <c r="D1808" s="1007"/>
      <c r="E1808" s="1007"/>
      <c r="F1808" s="1007"/>
      <c r="G1808" s="1007"/>
      <c r="H1808" s="1007"/>
    </row>
    <row r="1809" spans="1:10" ht="15.75" x14ac:dyDescent="0.25">
      <c r="A1809" s="709" t="s">
        <v>2</v>
      </c>
      <c r="B1809" s="706" t="s">
        <v>329</v>
      </c>
      <c r="C1809" s="641" t="s">
        <v>330</v>
      </c>
      <c r="D1809" s="641" t="s">
        <v>331</v>
      </c>
      <c r="E1809" s="641" t="s">
        <v>332</v>
      </c>
      <c r="F1809" s="641" t="s">
        <v>333</v>
      </c>
      <c r="G1809" s="641" t="s">
        <v>334</v>
      </c>
      <c r="H1809" s="641" t="s">
        <v>335</v>
      </c>
      <c r="I1809" s="641" t="s">
        <v>96</v>
      </c>
      <c r="J1809" s="642" t="s">
        <v>97</v>
      </c>
    </row>
    <row r="1810" spans="1:10" x14ac:dyDescent="0.25">
      <c r="A1810" s="710" t="s">
        <v>11</v>
      </c>
      <c r="B1810" s="688">
        <f>45+41+10</f>
        <v>96</v>
      </c>
      <c r="C1810" s="56">
        <f>62+50+14</f>
        <v>126</v>
      </c>
      <c r="D1810" s="54">
        <f>137+92+18</f>
        <v>247</v>
      </c>
      <c r="E1810" s="316">
        <f>152+106+49</f>
        <v>307</v>
      </c>
      <c r="F1810" s="311">
        <f>105+77+19</f>
        <v>201</v>
      </c>
      <c r="G1810" s="58">
        <f>178+129+35</f>
        <v>342</v>
      </c>
      <c r="H1810" s="57">
        <f>170+94+34</f>
        <v>298</v>
      </c>
      <c r="I1810" s="316">
        <f>SUM(B1810:H1810)</f>
        <v>1617</v>
      </c>
      <c r="J1810" s="700">
        <f>+I1810/7</f>
        <v>231</v>
      </c>
    </row>
    <row r="1811" spans="1:10" x14ac:dyDescent="0.25">
      <c r="A1811" s="694" t="s">
        <v>12</v>
      </c>
      <c r="B1811" s="689">
        <v>56</v>
      </c>
      <c r="C1811" s="320">
        <v>55</v>
      </c>
      <c r="D1811" s="320">
        <v>134</v>
      </c>
      <c r="E1811" s="11">
        <v>165</v>
      </c>
      <c r="F1811" s="388">
        <v>103</v>
      </c>
      <c r="G1811" s="11">
        <v>173</v>
      </c>
      <c r="H1811" s="11">
        <v>156</v>
      </c>
      <c r="I1811" s="11">
        <f>SUM(CEDRITOS!$B1811:$H1811)</f>
        <v>842</v>
      </c>
      <c r="J1811" s="623">
        <f t="shared" ref="J1811:J1816" si="858">I1811/7</f>
        <v>120.28571428571429</v>
      </c>
    </row>
    <row r="1812" spans="1:10" x14ac:dyDescent="0.25">
      <c r="A1812" s="694" t="s">
        <v>13</v>
      </c>
      <c r="B1812" s="313">
        <v>0</v>
      </c>
      <c r="C1812" s="13">
        <v>2</v>
      </c>
      <c r="D1812" s="13">
        <v>4</v>
      </c>
      <c r="E1812" s="11">
        <v>2</v>
      </c>
      <c r="F1812" s="125">
        <v>6</v>
      </c>
      <c r="G1812" s="11">
        <v>4</v>
      </c>
      <c r="H1812" s="11">
        <v>0</v>
      </c>
      <c r="I1812" s="11">
        <f>SUM(CEDRITOS!$B1812:$H1812)</f>
        <v>18</v>
      </c>
      <c r="J1812" s="623">
        <f t="shared" si="858"/>
        <v>2.5714285714285716</v>
      </c>
    </row>
    <row r="1813" spans="1:10" x14ac:dyDescent="0.25">
      <c r="A1813" s="694" t="s">
        <v>14</v>
      </c>
      <c r="B1813" s="313">
        <v>28</v>
      </c>
      <c r="C1813" s="13">
        <v>55</v>
      </c>
      <c r="D1813" s="320">
        <v>46</v>
      </c>
      <c r="E1813" s="11">
        <v>67</v>
      </c>
      <c r="F1813" s="125">
        <v>50</v>
      </c>
      <c r="G1813" s="11">
        <v>100</v>
      </c>
      <c r="H1813" s="11">
        <v>60</v>
      </c>
      <c r="I1813" s="11">
        <f>SUM(CEDRITOS!$B1813:$H1813)</f>
        <v>406</v>
      </c>
      <c r="J1813" s="623">
        <f t="shared" si="858"/>
        <v>58</v>
      </c>
    </row>
    <row r="1814" spans="1:10" x14ac:dyDescent="0.25">
      <c r="A1814" s="694" t="s">
        <v>15</v>
      </c>
      <c r="B1814" s="313">
        <v>0</v>
      </c>
      <c r="C1814" s="13">
        <v>0</v>
      </c>
      <c r="D1814" s="13">
        <v>0</v>
      </c>
      <c r="E1814" s="11">
        <v>0</v>
      </c>
      <c r="F1814" s="125">
        <v>0</v>
      </c>
      <c r="G1814" s="11">
        <v>0</v>
      </c>
      <c r="H1814" s="11">
        <v>4</v>
      </c>
      <c r="I1814" s="11">
        <f>SUM(CEDRITOS!$B1814:$H1814)</f>
        <v>4</v>
      </c>
      <c r="J1814" s="623">
        <f t="shared" si="858"/>
        <v>0.5714285714285714</v>
      </c>
    </row>
    <row r="1815" spans="1:10" x14ac:dyDescent="0.25">
      <c r="A1815" s="694" t="s">
        <v>16</v>
      </c>
      <c r="B1815" s="313">
        <v>0</v>
      </c>
      <c r="C1815" s="13">
        <v>0</v>
      </c>
      <c r="D1815" s="13">
        <v>0</v>
      </c>
      <c r="E1815" s="11">
        <v>2</v>
      </c>
      <c r="F1815" s="125">
        <v>0</v>
      </c>
      <c r="G1815" s="11">
        <v>0</v>
      </c>
      <c r="H1815" s="11">
        <v>1</v>
      </c>
      <c r="I1815" s="11">
        <f>SUM(CEDRITOS!$B1815:$H1815)</f>
        <v>3</v>
      </c>
      <c r="J1815" s="623">
        <f t="shared" si="858"/>
        <v>0.42857142857142855</v>
      </c>
    </row>
    <row r="1816" spans="1:10" x14ac:dyDescent="0.25">
      <c r="A1816" s="695" t="s">
        <v>17</v>
      </c>
      <c r="B1816" s="707">
        <f>SUM(B1811:B1815)</f>
        <v>84</v>
      </c>
      <c r="C1816" s="192">
        <f t="shared" ref="C1816:I1816" si="859">SUM(C1811:C1815)</f>
        <v>112</v>
      </c>
      <c r="D1816" s="192">
        <f t="shared" si="859"/>
        <v>184</v>
      </c>
      <c r="E1816" s="192">
        <f t="shared" si="859"/>
        <v>236</v>
      </c>
      <c r="F1816" s="192">
        <f t="shared" si="859"/>
        <v>159</v>
      </c>
      <c r="G1816" s="192">
        <f t="shared" si="859"/>
        <v>277</v>
      </c>
      <c r="H1816" s="192">
        <f t="shared" si="859"/>
        <v>221</v>
      </c>
      <c r="I1816" s="192">
        <f t="shared" si="859"/>
        <v>1273</v>
      </c>
      <c r="J1816" s="647">
        <f t="shared" si="858"/>
        <v>181.85714285714286</v>
      </c>
    </row>
    <row r="1817" spans="1:10" x14ac:dyDescent="0.25">
      <c r="A1817" s="694" t="s">
        <v>18</v>
      </c>
      <c r="B1817" s="690">
        <v>0.73</v>
      </c>
      <c r="C1817" s="326">
        <v>0.56999999999999995</v>
      </c>
      <c r="D1817" s="326">
        <v>0.8</v>
      </c>
      <c r="E1817" s="327">
        <v>0.73</v>
      </c>
      <c r="F1817" s="328">
        <v>0.72</v>
      </c>
      <c r="G1817" s="327">
        <v>0.67</v>
      </c>
      <c r="H1817" s="327">
        <v>0.74</v>
      </c>
      <c r="I1817" s="30">
        <f>I1824/I1829</f>
        <v>0.715488214831561</v>
      </c>
      <c r="J1817" s="648">
        <f>J1824/J1829</f>
        <v>0.715488214831561</v>
      </c>
    </row>
    <row r="1818" spans="1:10" x14ac:dyDescent="0.25">
      <c r="A1818" s="694" t="s">
        <v>19</v>
      </c>
      <c r="B1818" s="690">
        <v>0</v>
      </c>
      <c r="C1818" s="326">
        <v>0.01</v>
      </c>
      <c r="D1818" s="326">
        <v>0.02</v>
      </c>
      <c r="E1818" s="327">
        <v>0.01</v>
      </c>
      <c r="F1818" s="327">
        <v>0.02</v>
      </c>
      <c r="G1818" s="327">
        <v>0.01</v>
      </c>
      <c r="H1818" s="327">
        <v>0</v>
      </c>
      <c r="I1818" s="30">
        <f>I1825/I1829</f>
        <v>1.0523703848522407E-2</v>
      </c>
      <c r="J1818" s="648">
        <f>J1825/J1829</f>
        <v>1.0523703848522407E-2</v>
      </c>
    </row>
    <row r="1819" spans="1:10" x14ac:dyDescent="0.25">
      <c r="A1819" s="694" t="s">
        <v>20</v>
      </c>
      <c r="B1819" s="690">
        <v>0.27</v>
      </c>
      <c r="C1819" s="326">
        <v>0.42</v>
      </c>
      <c r="D1819" s="326">
        <v>0.18</v>
      </c>
      <c r="E1819" s="327">
        <v>0.25</v>
      </c>
      <c r="F1819" s="329">
        <v>0.26</v>
      </c>
      <c r="G1819" s="327">
        <v>0.32</v>
      </c>
      <c r="H1819" s="327">
        <v>0.23</v>
      </c>
      <c r="I1819" s="30">
        <f>I1826/I1829</f>
        <v>0.26693906813286017</v>
      </c>
      <c r="J1819" s="648">
        <f>J1826/J1829</f>
        <v>0.26693906813286017</v>
      </c>
    </row>
    <row r="1820" spans="1:10" x14ac:dyDescent="0.25">
      <c r="A1820" s="694" t="s">
        <v>21</v>
      </c>
      <c r="B1820" s="690">
        <v>0</v>
      </c>
      <c r="C1820" s="326">
        <v>0</v>
      </c>
      <c r="D1820" s="326">
        <v>0</v>
      </c>
      <c r="E1820" s="327">
        <v>0</v>
      </c>
      <c r="F1820" s="329">
        <v>0</v>
      </c>
      <c r="G1820" s="327">
        <v>0</v>
      </c>
      <c r="H1820" s="327">
        <v>0.02</v>
      </c>
      <c r="I1820" s="30">
        <f>I1827/I1829</f>
        <v>3.4768386777750261E-3</v>
      </c>
      <c r="J1820" s="648">
        <f>J1827/J1829</f>
        <v>3.4768386777750261E-3</v>
      </c>
    </row>
    <row r="1821" spans="1:10" x14ac:dyDescent="0.25">
      <c r="A1821" s="694" t="s">
        <v>22</v>
      </c>
      <c r="B1821" s="690">
        <v>0</v>
      </c>
      <c r="C1821" s="326">
        <v>0</v>
      </c>
      <c r="D1821" s="326">
        <v>0</v>
      </c>
      <c r="E1821" s="327">
        <v>0.01</v>
      </c>
      <c r="F1821" s="329">
        <v>0</v>
      </c>
      <c r="G1821" s="327">
        <v>0</v>
      </c>
      <c r="H1821" s="327">
        <v>0.01</v>
      </c>
      <c r="I1821" s="30">
        <f>I1828/I1829</f>
        <v>3.5721745092813745E-3</v>
      </c>
      <c r="J1821" s="648">
        <f>J1828/J1829</f>
        <v>3.572174509281374E-3</v>
      </c>
    </row>
    <row r="1822" spans="1:10" x14ac:dyDescent="0.25">
      <c r="A1822" s="696" t="s">
        <v>23</v>
      </c>
      <c r="B1822" s="164">
        <f t="shared" ref="B1822:J1822" si="860">B1833/B1816</f>
        <v>32764.285714285714</v>
      </c>
      <c r="C1822" s="66">
        <f t="shared" si="860"/>
        <v>32582.142857142859</v>
      </c>
      <c r="D1822" s="66">
        <f t="shared" si="860"/>
        <v>39740.217391304344</v>
      </c>
      <c r="E1822" s="66">
        <f t="shared" si="860"/>
        <v>36616.737288135591</v>
      </c>
      <c r="F1822" s="66">
        <f t="shared" si="860"/>
        <v>37969.182389937116</v>
      </c>
      <c r="G1822" s="66">
        <f t="shared" si="860"/>
        <v>37471.841155234666</v>
      </c>
      <c r="H1822" s="66">
        <f t="shared" si="860"/>
        <v>37063.800904977383</v>
      </c>
      <c r="I1822" s="66">
        <f t="shared" si="860"/>
        <v>36891.633935585232</v>
      </c>
      <c r="J1822" s="701">
        <f t="shared" si="860"/>
        <v>36891.633935585232</v>
      </c>
    </row>
    <row r="1823" spans="1:10" x14ac:dyDescent="0.25">
      <c r="A1823" s="696" t="s">
        <v>24</v>
      </c>
      <c r="B1823" s="164">
        <f t="shared" ref="B1823:I1823" si="861">+B1833/B1810</f>
        <v>28668.75</v>
      </c>
      <c r="C1823" s="66">
        <f t="shared" si="861"/>
        <v>28961.904761904763</v>
      </c>
      <c r="D1823" s="66">
        <f t="shared" si="861"/>
        <v>29604.048582995951</v>
      </c>
      <c r="E1823" s="66">
        <f t="shared" si="861"/>
        <v>28148.371335504886</v>
      </c>
      <c r="F1823" s="66">
        <f t="shared" si="861"/>
        <v>30035.323383084582</v>
      </c>
      <c r="G1823" s="66">
        <f t="shared" si="861"/>
        <v>30350.000000000004</v>
      </c>
      <c r="H1823" s="66">
        <f t="shared" si="861"/>
        <v>27486.912751677857</v>
      </c>
      <c r="I1823" s="66">
        <f t="shared" si="861"/>
        <v>29043.320964749535</v>
      </c>
      <c r="J1823" s="701">
        <f>J1833/J1810</f>
        <v>29043.320964749535</v>
      </c>
    </row>
    <row r="1824" spans="1:10" x14ac:dyDescent="0.25">
      <c r="A1824" s="694" t="s">
        <v>25</v>
      </c>
      <c r="B1824" s="300">
        <f t="shared" ref="B1824:H1824" si="862">B1829*B1817</f>
        <v>1633303.611034483</v>
      </c>
      <c r="C1824" s="92">
        <f t="shared" si="862"/>
        <v>1717462.4793103449</v>
      </c>
      <c r="D1824" s="92">
        <f t="shared" si="862"/>
        <v>4784115.7517241379</v>
      </c>
      <c r="E1824" s="92">
        <f t="shared" si="862"/>
        <v>5147450.5103448275</v>
      </c>
      <c r="F1824" s="92">
        <f t="shared" si="862"/>
        <v>3568143.2772413795</v>
      </c>
      <c r="G1824" s="31">
        <f t="shared" si="862"/>
        <v>5715364.8117241394</v>
      </c>
      <c r="H1824" s="31">
        <f t="shared" si="862"/>
        <v>4946684.7365517244</v>
      </c>
      <c r="I1824" s="31">
        <f>SUM(B1824:H1824)</f>
        <v>27512525.177931033</v>
      </c>
      <c r="J1824" s="702">
        <f t="shared" ref="J1824:J1833" si="863">I1824/7</f>
        <v>3930360.7397044334</v>
      </c>
    </row>
    <row r="1825" spans="1:10" x14ac:dyDescent="0.25">
      <c r="A1825" s="694" t="s">
        <v>26</v>
      </c>
      <c r="B1825" s="300">
        <f t="shared" ref="B1825:H1825" si="864">B1829*B1818</f>
        <v>0</v>
      </c>
      <c r="C1825" s="92">
        <f t="shared" si="864"/>
        <v>30130.920689655177</v>
      </c>
      <c r="D1825" s="92">
        <f t="shared" si="864"/>
        <v>119602.89379310346</v>
      </c>
      <c r="E1825" s="92">
        <f t="shared" si="864"/>
        <v>70513.020689655183</v>
      </c>
      <c r="F1825" s="92">
        <f t="shared" si="864"/>
        <v>99115.091034482772</v>
      </c>
      <c r="G1825" s="31">
        <f t="shared" si="864"/>
        <v>85303.952413793115</v>
      </c>
      <c r="H1825" s="31">
        <f t="shared" si="864"/>
        <v>0</v>
      </c>
      <c r="I1825" s="31">
        <f>SUM(B1825:H1825)</f>
        <v>404665.87862068973</v>
      </c>
      <c r="J1825" s="702">
        <f t="shared" si="863"/>
        <v>57809.411231527105</v>
      </c>
    </row>
    <row r="1826" spans="1:10" x14ac:dyDescent="0.25">
      <c r="A1826" s="694" t="s">
        <v>27</v>
      </c>
      <c r="B1826" s="300">
        <f t="shared" ref="B1826:H1826" si="865">B1829*B1819</f>
        <v>604098.59586206905</v>
      </c>
      <c r="C1826" s="92">
        <f t="shared" si="865"/>
        <v>1265498.6689655173</v>
      </c>
      <c r="D1826" s="92">
        <f t="shared" si="865"/>
        <v>1076426.044137931</v>
      </c>
      <c r="E1826" s="92">
        <f t="shared" si="865"/>
        <v>1762825.5172413795</v>
      </c>
      <c r="F1826" s="92">
        <f t="shared" si="865"/>
        <v>1288496.183448276</v>
      </c>
      <c r="G1826" s="31">
        <f t="shared" si="865"/>
        <v>2729726.4772413797</v>
      </c>
      <c r="H1826" s="31">
        <f t="shared" si="865"/>
        <v>1537483.0937931037</v>
      </c>
      <c r="I1826" s="31">
        <f>SUM(B1826:H1826)</f>
        <v>10264554.580689656</v>
      </c>
      <c r="J1826" s="702">
        <f t="shared" si="863"/>
        <v>1466364.9400985222</v>
      </c>
    </row>
    <row r="1827" spans="1:10" x14ac:dyDescent="0.25">
      <c r="A1827" s="694" t="s">
        <v>28</v>
      </c>
      <c r="B1827" s="300">
        <f t="shared" ref="B1827:H1827" si="866">B1829*B1820</f>
        <v>0</v>
      </c>
      <c r="C1827" s="92">
        <f t="shared" si="866"/>
        <v>0</v>
      </c>
      <c r="D1827" s="92">
        <f t="shared" si="866"/>
        <v>0</v>
      </c>
      <c r="E1827" s="92">
        <f t="shared" si="866"/>
        <v>0</v>
      </c>
      <c r="F1827" s="92">
        <f t="shared" si="866"/>
        <v>0</v>
      </c>
      <c r="G1827" s="31">
        <f t="shared" si="866"/>
        <v>0</v>
      </c>
      <c r="H1827" s="31">
        <f t="shared" si="866"/>
        <v>133694.18206896554</v>
      </c>
      <c r="I1827" s="31">
        <f>SUM(B1827:H1827)</f>
        <v>133694.18206896554</v>
      </c>
      <c r="J1827" s="702">
        <f t="shared" si="863"/>
        <v>19099.168866995078</v>
      </c>
    </row>
    <row r="1828" spans="1:10" x14ac:dyDescent="0.25">
      <c r="A1828" s="694" t="s">
        <v>29</v>
      </c>
      <c r="B1828" s="300">
        <f t="shared" ref="B1828:H1828" si="867">B1829*B1821</f>
        <v>0</v>
      </c>
      <c r="C1828" s="92">
        <f t="shared" si="867"/>
        <v>0</v>
      </c>
      <c r="D1828" s="92">
        <f t="shared" si="867"/>
        <v>0</v>
      </c>
      <c r="E1828" s="92">
        <f t="shared" si="867"/>
        <v>70513.020689655183</v>
      </c>
      <c r="F1828" s="92">
        <f t="shared" si="867"/>
        <v>0</v>
      </c>
      <c r="G1828" s="31">
        <f t="shared" si="867"/>
        <v>0</v>
      </c>
      <c r="H1828" s="31">
        <f t="shared" si="867"/>
        <v>66847.091034482772</v>
      </c>
      <c r="I1828" s="31">
        <f>SUM(B1828:H1828)</f>
        <v>137360.11172413797</v>
      </c>
      <c r="J1828" s="702">
        <f t="shared" si="863"/>
        <v>19622.873103448281</v>
      </c>
    </row>
    <row r="1829" spans="1:10" x14ac:dyDescent="0.25">
      <c r="A1829" s="697" t="s">
        <v>30</v>
      </c>
      <c r="B1829" s="691">
        <f>(2752200/1.16)-B1830</f>
        <v>2237402.2068965519</v>
      </c>
      <c r="C1829" s="222">
        <f>(3649200/1.16)-C1830</f>
        <v>3013092.0689655175</v>
      </c>
      <c r="D1829" s="222">
        <f>(7312200/1.16)-D1830</f>
        <v>5980144.6896551726</v>
      </c>
      <c r="E1829" s="222">
        <f>(8641550/1.16)-E1830</f>
        <v>7051302.0689655179</v>
      </c>
      <c r="F1829" s="222">
        <f>(6037100/1.16)-F1830</f>
        <v>4955754.5517241387</v>
      </c>
      <c r="G1829" s="222">
        <f>(10379700/1.16)-G1830</f>
        <v>8530395.2413793113</v>
      </c>
      <c r="H1829" s="222">
        <f>(8191100/1.16)-H1830</f>
        <v>6684709.1034482764</v>
      </c>
      <c r="I1829" s="197">
        <f>SUM(I1824:I1828)</f>
        <v>38452799.931034483</v>
      </c>
      <c r="J1829" s="703">
        <f t="shared" si="863"/>
        <v>5493257.1330049261</v>
      </c>
    </row>
    <row r="1830" spans="1:10" x14ac:dyDescent="0.25">
      <c r="A1830" s="694" t="s">
        <v>31</v>
      </c>
      <c r="B1830" s="300">
        <f t="shared" ref="B1830:I1830" si="868">2414*B1811</f>
        <v>135184</v>
      </c>
      <c r="C1830" s="92">
        <f t="shared" si="868"/>
        <v>132770</v>
      </c>
      <c r="D1830" s="92">
        <f t="shared" si="868"/>
        <v>323476</v>
      </c>
      <c r="E1830" s="92">
        <f t="shared" si="868"/>
        <v>398310</v>
      </c>
      <c r="F1830" s="92">
        <f t="shared" si="868"/>
        <v>248642</v>
      </c>
      <c r="G1830" s="92">
        <f t="shared" si="868"/>
        <v>417622</v>
      </c>
      <c r="H1830" s="92">
        <f t="shared" si="868"/>
        <v>376584</v>
      </c>
      <c r="I1830" s="31">
        <f t="shared" si="868"/>
        <v>2032588</v>
      </c>
      <c r="J1830" s="702">
        <f t="shared" si="863"/>
        <v>290369.71428571426</v>
      </c>
    </row>
    <row r="1831" spans="1:10" x14ac:dyDescent="0.25">
      <c r="A1831" s="698" t="s">
        <v>32</v>
      </c>
      <c r="B1831" s="342">
        <f>B1830+B1829</f>
        <v>2372586.2068965519</v>
      </c>
      <c r="C1831" s="199">
        <f>C1830+C1829</f>
        <v>3145862.0689655175</v>
      </c>
      <c r="D1831" s="199">
        <f>D1830+D1829</f>
        <v>6303620.6896551726</v>
      </c>
      <c r="E1831" s="199">
        <f>E1830+E1829</f>
        <v>7449612.0689655179</v>
      </c>
      <c r="F1831" s="199">
        <f>F1829+F1830</f>
        <v>5204396.5517241387</v>
      </c>
      <c r="G1831" s="199">
        <f>G1830+G1829</f>
        <v>8948017.2413793113</v>
      </c>
      <c r="H1831" s="199">
        <f>H1830+H1829</f>
        <v>7061293.1034482764</v>
      </c>
      <c r="I1831" s="199">
        <f>I1829+I1830</f>
        <v>40485387.931034483</v>
      </c>
      <c r="J1831" s="704">
        <f t="shared" si="863"/>
        <v>5783626.8472906407</v>
      </c>
    </row>
    <row r="1832" spans="1:10" x14ac:dyDescent="0.25">
      <c r="A1832" s="694" t="s">
        <v>33</v>
      </c>
      <c r="B1832" s="302">
        <f>B1831*16%</f>
        <v>379613.79310344829</v>
      </c>
      <c r="C1832" s="94">
        <f t="shared" ref="C1832:H1832" si="869">C1831*16%</f>
        <v>503337.93103448278</v>
      </c>
      <c r="D1832" s="94">
        <f t="shared" si="869"/>
        <v>1008579.3103448276</v>
      </c>
      <c r="E1832" s="94">
        <f t="shared" si="869"/>
        <v>1191937.9310344828</v>
      </c>
      <c r="F1832" s="94">
        <f t="shared" si="869"/>
        <v>832703.44827586226</v>
      </c>
      <c r="G1832" s="94">
        <f t="shared" si="869"/>
        <v>1431682.7586206899</v>
      </c>
      <c r="H1832" s="94">
        <f t="shared" si="869"/>
        <v>1129806.8965517243</v>
      </c>
      <c r="I1832" s="94">
        <f>I1831*16%</f>
        <v>6477662.068965517</v>
      </c>
      <c r="J1832" s="702">
        <f t="shared" si="863"/>
        <v>925380.29556650238</v>
      </c>
    </row>
    <row r="1833" spans="1:10" ht="15.75" thickBot="1" x14ac:dyDescent="0.3">
      <c r="A1833" s="699" t="s">
        <v>34</v>
      </c>
      <c r="B1833" s="708">
        <f>B1831+B1832</f>
        <v>2752200</v>
      </c>
      <c r="C1833" s="656">
        <f t="shared" ref="C1833:H1833" si="870">C1831+C1832</f>
        <v>3649200</v>
      </c>
      <c r="D1833" s="656">
        <f t="shared" si="870"/>
        <v>7312200</v>
      </c>
      <c r="E1833" s="656">
        <f t="shared" si="870"/>
        <v>8641550</v>
      </c>
      <c r="F1833" s="656">
        <f t="shared" si="870"/>
        <v>6037100.0000000009</v>
      </c>
      <c r="G1833" s="656">
        <f t="shared" si="870"/>
        <v>10379700.000000002</v>
      </c>
      <c r="H1833" s="656">
        <f t="shared" si="870"/>
        <v>8191100.0000000009</v>
      </c>
      <c r="I1833" s="656">
        <f>I1831+I1832</f>
        <v>46963050</v>
      </c>
      <c r="J1833" s="705">
        <f t="shared" si="863"/>
        <v>6709007.1428571427</v>
      </c>
    </row>
    <row r="1834" spans="1:10" ht="15.75" thickBot="1" x14ac:dyDescent="0.3"/>
    <row r="1835" spans="1:10" ht="27" thickBot="1" x14ac:dyDescent="0.3">
      <c r="B1835" s="1007" t="s">
        <v>637</v>
      </c>
      <c r="C1835" s="1007"/>
      <c r="D1835" s="1007"/>
      <c r="E1835" s="1007"/>
      <c r="F1835" s="1007"/>
      <c r="G1835" s="1007"/>
      <c r="H1835" s="1007"/>
    </row>
    <row r="1836" spans="1:10" ht="15.75" x14ac:dyDescent="0.25">
      <c r="A1836" s="709" t="s">
        <v>2</v>
      </c>
      <c r="B1836" s="706" t="s">
        <v>337</v>
      </c>
      <c r="C1836" s="617" t="s">
        <v>338</v>
      </c>
      <c r="D1836" s="617" t="s">
        <v>339</v>
      </c>
      <c r="E1836" s="617" t="s">
        <v>340</v>
      </c>
      <c r="F1836" s="617" t="s">
        <v>341</v>
      </c>
      <c r="G1836" s="617" t="s">
        <v>342</v>
      </c>
      <c r="H1836" s="617" t="s">
        <v>343</v>
      </c>
      <c r="I1836" s="641" t="s">
        <v>96</v>
      </c>
      <c r="J1836" s="642" t="s">
        <v>97</v>
      </c>
    </row>
    <row r="1837" spans="1:10" x14ac:dyDescent="0.25">
      <c r="A1837" s="710" t="s">
        <v>11</v>
      </c>
      <c r="B1837" s="56">
        <f>56+38+14</f>
        <v>108</v>
      </c>
      <c r="C1837" s="673">
        <f>65+50+11</f>
        <v>126</v>
      </c>
      <c r="D1837" s="673">
        <f>75+53+9</f>
        <v>137</v>
      </c>
      <c r="E1837" s="738">
        <f>117+64+20</f>
        <v>201</v>
      </c>
      <c r="F1837" s="738">
        <f>142+81+24</f>
        <v>247</v>
      </c>
      <c r="G1837" s="738">
        <f>151+96+33</f>
        <v>280</v>
      </c>
      <c r="H1837" s="738">
        <f>148+100+38</f>
        <v>286</v>
      </c>
      <c r="I1837" s="741">
        <f>SUM(B1837:H1837)</f>
        <v>1385</v>
      </c>
      <c r="J1837" s="700">
        <f>+I1837/7</f>
        <v>197.85714285714286</v>
      </c>
    </row>
    <row r="1838" spans="1:10" x14ac:dyDescent="0.25">
      <c r="A1838" s="694" t="s">
        <v>12</v>
      </c>
      <c r="B1838" s="689">
        <v>50</v>
      </c>
      <c r="C1838" s="675">
        <v>74</v>
      </c>
      <c r="D1838" s="675">
        <v>78</v>
      </c>
      <c r="E1838" s="734">
        <v>97</v>
      </c>
      <c r="F1838" s="742">
        <v>127</v>
      </c>
      <c r="G1838" s="734">
        <v>138</v>
      </c>
      <c r="H1838" s="734">
        <v>157</v>
      </c>
      <c r="I1838" s="11">
        <f>SUM(CEDRITOS!$B1838:$H1838)</f>
        <v>721</v>
      </c>
      <c r="J1838" s="623">
        <f t="shared" ref="J1838:J1843" si="871">I1838/7</f>
        <v>103</v>
      </c>
    </row>
    <row r="1839" spans="1:10" x14ac:dyDescent="0.25">
      <c r="A1839" s="694" t="s">
        <v>13</v>
      </c>
      <c r="B1839" s="313">
        <v>1</v>
      </c>
      <c r="C1839" s="13">
        <v>1</v>
      </c>
      <c r="D1839" s="13">
        <v>1</v>
      </c>
      <c r="E1839" s="11">
        <v>1</v>
      </c>
      <c r="F1839" s="125">
        <v>4</v>
      </c>
      <c r="G1839" s="11">
        <v>4</v>
      </c>
      <c r="H1839" s="11">
        <v>1</v>
      </c>
      <c r="I1839" s="11">
        <f>SUM(CEDRITOS!$B1839:$H1839)</f>
        <v>13</v>
      </c>
      <c r="J1839" s="623">
        <f t="shared" si="871"/>
        <v>1.8571428571428572</v>
      </c>
    </row>
    <row r="1840" spans="1:10" x14ac:dyDescent="0.25">
      <c r="A1840" s="694" t="s">
        <v>14</v>
      </c>
      <c r="B1840" s="313">
        <v>33</v>
      </c>
      <c r="C1840" s="13">
        <v>35</v>
      </c>
      <c r="D1840" s="320">
        <v>38</v>
      </c>
      <c r="E1840" s="11">
        <v>57</v>
      </c>
      <c r="F1840" s="125">
        <v>57</v>
      </c>
      <c r="G1840" s="11">
        <v>90</v>
      </c>
      <c r="H1840" s="11">
        <v>51</v>
      </c>
      <c r="I1840" s="11">
        <f>SUM(CEDRITOS!$B1840:$H1840)</f>
        <v>361</v>
      </c>
      <c r="J1840" s="623">
        <f t="shared" si="871"/>
        <v>51.571428571428569</v>
      </c>
    </row>
    <row r="1841" spans="1:10" x14ac:dyDescent="0.25">
      <c r="A1841" s="694" t="s">
        <v>15</v>
      </c>
      <c r="B1841" s="313">
        <v>0</v>
      </c>
      <c r="C1841" s="13">
        <v>0</v>
      </c>
      <c r="D1841" s="13">
        <v>0</v>
      </c>
      <c r="E1841" s="11">
        <v>0</v>
      </c>
      <c r="F1841" s="125">
        <v>0</v>
      </c>
      <c r="G1841" s="11">
        <v>0</v>
      </c>
      <c r="H1841" s="11">
        <v>12</v>
      </c>
      <c r="I1841" s="11">
        <f>SUM(CEDRITOS!$B1841:$H1841)</f>
        <v>12</v>
      </c>
      <c r="J1841" s="623">
        <f t="shared" si="871"/>
        <v>1.7142857142857142</v>
      </c>
    </row>
    <row r="1842" spans="1:10" x14ac:dyDescent="0.25">
      <c r="A1842" s="694" t="s">
        <v>16</v>
      </c>
      <c r="B1842" s="313">
        <v>0</v>
      </c>
      <c r="C1842" s="13">
        <v>0</v>
      </c>
      <c r="D1842" s="13">
        <v>0</v>
      </c>
      <c r="E1842" s="11">
        <v>0</v>
      </c>
      <c r="F1842" s="125">
        <v>1</v>
      </c>
      <c r="G1842" s="11">
        <v>1</v>
      </c>
      <c r="H1842" s="11">
        <v>2</v>
      </c>
      <c r="I1842" s="11">
        <f>SUM(CEDRITOS!$B1842:$H1842)</f>
        <v>4</v>
      </c>
      <c r="J1842" s="623">
        <f t="shared" si="871"/>
        <v>0.5714285714285714</v>
      </c>
    </row>
    <row r="1843" spans="1:10" x14ac:dyDescent="0.25">
      <c r="A1843" s="695" t="s">
        <v>17</v>
      </c>
      <c r="B1843" s="707">
        <f>SUM(B1838:B1842)</f>
        <v>84</v>
      </c>
      <c r="C1843" s="192">
        <f t="shared" ref="C1843:I1843" si="872">SUM(C1838:C1842)</f>
        <v>110</v>
      </c>
      <c r="D1843" s="192">
        <f t="shared" si="872"/>
        <v>117</v>
      </c>
      <c r="E1843" s="192">
        <f t="shared" si="872"/>
        <v>155</v>
      </c>
      <c r="F1843" s="192">
        <f t="shared" si="872"/>
        <v>189</v>
      </c>
      <c r="G1843" s="192">
        <f t="shared" si="872"/>
        <v>233</v>
      </c>
      <c r="H1843" s="192">
        <f t="shared" si="872"/>
        <v>223</v>
      </c>
      <c r="I1843" s="192">
        <f t="shared" si="872"/>
        <v>1111</v>
      </c>
      <c r="J1843" s="647">
        <f t="shared" si="871"/>
        <v>158.71428571428572</v>
      </c>
    </row>
    <row r="1844" spans="1:10" x14ac:dyDescent="0.25">
      <c r="A1844" s="694" t="s">
        <v>18</v>
      </c>
      <c r="B1844" s="690">
        <v>0.63</v>
      </c>
      <c r="C1844" s="326">
        <v>0.72</v>
      </c>
      <c r="D1844" s="326">
        <v>0.72</v>
      </c>
      <c r="E1844" s="327">
        <v>0.68</v>
      </c>
      <c r="F1844" s="328">
        <v>0.73</v>
      </c>
      <c r="G1844" s="327">
        <v>0.65</v>
      </c>
      <c r="H1844" s="327">
        <v>0.73</v>
      </c>
      <c r="I1844" s="30">
        <f>I1851/I1856</f>
        <v>0.69822690307182211</v>
      </c>
      <c r="J1844" s="648">
        <f>J1851/J1856</f>
        <v>0.69822690307182211</v>
      </c>
    </row>
    <row r="1845" spans="1:10" x14ac:dyDescent="0.25">
      <c r="A1845" s="694" t="s">
        <v>19</v>
      </c>
      <c r="B1845" s="690">
        <v>0.01</v>
      </c>
      <c r="C1845" s="326">
        <v>0.01</v>
      </c>
      <c r="D1845" s="326">
        <v>0.01</v>
      </c>
      <c r="E1845" s="327">
        <v>0</v>
      </c>
      <c r="F1845" s="327">
        <v>0.02</v>
      </c>
      <c r="G1845" s="327">
        <v>0.01</v>
      </c>
      <c r="H1845" s="327">
        <v>0.01</v>
      </c>
      <c r="I1845" s="30">
        <f>I1852/I1856</f>
        <v>1.0420673440664547E-2</v>
      </c>
      <c r="J1845" s="648">
        <f>J1852/J1856</f>
        <v>1.0420673440664548E-2</v>
      </c>
    </row>
    <row r="1846" spans="1:10" x14ac:dyDescent="0.25">
      <c r="A1846" s="694" t="s">
        <v>20</v>
      </c>
      <c r="B1846" s="690">
        <v>0.36</v>
      </c>
      <c r="C1846" s="326">
        <v>0.27</v>
      </c>
      <c r="D1846" s="326">
        <v>0.27</v>
      </c>
      <c r="E1846" s="327">
        <v>0.32</v>
      </c>
      <c r="F1846" s="329">
        <v>0.24</v>
      </c>
      <c r="G1846" s="327">
        <v>0.33</v>
      </c>
      <c r="H1846" s="327">
        <v>0.22</v>
      </c>
      <c r="I1846" s="30">
        <f>I1853/I1856</f>
        <v>0.27947434527094622</v>
      </c>
      <c r="J1846" s="648">
        <f>J1853/J1856</f>
        <v>0.27947434527094628</v>
      </c>
    </row>
    <row r="1847" spans="1:10" x14ac:dyDescent="0.25">
      <c r="A1847" s="694" t="s">
        <v>21</v>
      </c>
      <c r="B1847" s="690">
        <v>0</v>
      </c>
      <c r="C1847" s="326">
        <v>0</v>
      </c>
      <c r="D1847" s="326">
        <v>0</v>
      </c>
      <c r="E1847" s="327">
        <v>0</v>
      </c>
      <c r="F1847" s="329">
        <v>0</v>
      </c>
      <c r="G1847" s="327">
        <v>0</v>
      </c>
      <c r="H1847" s="327">
        <v>0.03</v>
      </c>
      <c r="I1847" s="30">
        <f>I1854/I1856</f>
        <v>6.0352390279911185E-3</v>
      </c>
      <c r="J1847" s="648">
        <f>J1854/J1856</f>
        <v>6.0352390279911185E-3</v>
      </c>
    </row>
    <row r="1848" spans="1:10" x14ac:dyDescent="0.25">
      <c r="A1848" s="694" t="s">
        <v>22</v>
      </c>
      <c r="B1848" s="690">
        <v>0</v>
      </c>
      <c r="C1848" s="326">
        <v>0</v>
      </c>
      <c r="D1848" s="326">
        <v>0</v>
      </c>
      <c r="E1848" s="327">
        <v>0</v>
      </c>
      <c r="F1848" s="329">
        <v>0.01</v>
      </c>
      <c r="G1848" s="327">
        <v>0.01</v>
      </c>
      <c r="H1848" s="327">
        <v>0.01</v>
      </c>
      <c r="I1848" s="30">
        <f>I1855/I1856</f>
        <v>5.8428391885761311E-3</v>
      </c>
      <c r="J1848" s="648">
        <f>J1855/J1856</f>
        <v>5.842839188576132E-3</v>
      </c>
    </row>
    <row r="1849" spans="1:10" x14ac:dyDescent="0.25">
      <c r="A1849" s="696" t="s">
        <v>23</v>
      </c>
      <c r="B1849" s="164">
        <f t="shared" ref="B1849:J1849" si="873">B1860/B1843</f>
        <v>33464.285714285717</v>
      </c>
      <c r="C1849" s="66">
        <f t="shared" si="873"/>
        <v>35265.454545454551</v>
      </c>
      <c r="D1849" s="66">
        <f t="shared" si="873"/>
        <v>35923.076923076922</v>
      </c>
      <c r="E1849" s="66">
        <f t="shared" si="873"/>
        <v>38458.064516129038</v>
      </c>
      <c r="F1849" s="66">
        <f t="shared" si="873"/>
        <v>40559.788359788363</v>
      </c>
      <c r="G1849" s="66">
        <f t="shared" si="873"/>
        <v>33634.763948497857</v>
      </c>
      <c r="H1849" s="66">
        <f t="shared" si="873"/>
        <v>36729.147982062786</v>
      </c>
      <c r="I1849" s="66">
        <f t="shared" si="873"/>
        <v>36496.399639963995</v>
      </c>
      <c r="J1849" s="701">
        <f t="shared" si="873"/>
        <v>36496.399639963995</v>
      </c>
    </row>
    <row r="1850" spans="1:10" x14ac:dyDescent="0.25">
      <c r="A1850" s="696" t="s">
        <v>24</v>
      </c>
      <c r="B1850" s="164">
        <f t="shared" ref="B1850:I1850" si="874">+B1860/B1837</f>
        <v>26027.777777777777</v>
      </c>
      <c r="C1850" s="66">
        <f t="shared" si="874"/>
        <v>30787.30158730159</v>
      </c>
      <c r="D1850" s="66">
        <f t="shared" si="874"/>
        <v>30678.832116788322</v>
      </c>
      <c r="E1850" s="66">
        <f t="shared" si="874"/>
        <v>29656.716417910451</v>
      </c>
      <c r="F1850" s="66">
        <f t="shared" si="874"/>
        <v>31035.627530364378</v>
      </c>
      <c r="G1850" s="66">
        <f t="shared" si="874"/>
        <v>27988.928571428576</v>
      </c>
      <c r="H1850" s="66">
        <f t="shared" si="874"/>
        <v>28638.461538461543</v>
      </c>
      <c r="I1850" s="66">
        <f t="shared" si="874"/>
        <v>29276.173285198554</v>
      </c>
      <c r="J1850" s="701">
        <f>J1860/J1837</f>
        <v>29276.173285198554</v>
      </c>
    </row>
    <row r="1851" spans="1:10" x14ac:dyDescent="0.25">
      <c r="A1851" s="694" t="s">
        <v>25</v>
      </c>
      <c r="B1851" s="300">
        <f t="shared" ref="B1851:H1851" si="875">B1856*B1844</f>
        <v>1450622.7931034483</v>
      </c>
      <c r="C1851" s="92">
        <f t="shared" si="875"/>
        <v>2279161.3903448279</v>
      </c>
      <c r="D1851" s="92">
        <f t="shared" si="875"/>
        <v>2473188.380689655</v>
      </c>
      <c r="E1851" s="92">
        <f t="shared" si="875"/>
        <v>3335151.8703448283</v>
      </c>
      <c r="F1851" s="92">
        <f t="shared" si="875"/>
        <v>4600365.3013793109</v>
      </c>
      <c r="G1851" s="31">
        <f t="shared" si="875"/>
        <v>4174830.5793103455</v>
      </c>
      <c r="H1851" s="31">
        <f t="shared" si="875"/>
        <v>4877760.7703448283</v>
      </c>
      <c r="I1851" s="31">
        <f>SUM(B1851:H1851)</f>
        <v>23191081.085517246</v>
      </c>
      <c r="J1851" s="702">
        <f t="shared" ref="J1851:J1860" si="876">I1851/7</f>
        <v>3313011.583645321</v>
      </c>
    </row>
    <row r="1852" spans="1:10" x14ac:dyDescent="0.25">
      <c r="A1852" s="694" t="s">
        <v>26</v>
      </c>
      <c r="B1852" s="300">
        <f t="shared" ref="B1852:H1852" si="877">B1856*B1845</f>
        <v>23025.758620689656</v>
      </c>
      <c r="C1852" s="92">
        <f t="shared" si="877"/>
        <v>31655.019310344829</v>
      </c>
      <c r="D1852" s="92">
        <f t="shared" si="877"/>
        <v>34349.838620689654</v>
      </c>
      <c r="E1852" s="92">
        <f t="shared" si="877"/>
        <v>0</v>
      </c>
      <c r="F1852" s="92">
        <f t="shared" si="877"/>
        <v>126037.40551724139</v>
      </c>
      <c r="G1852" s="31">
        <f t="shared" si="877"/>
        <v>64228.162758620696</v>
      </c>
      <c r="H1852" s="31">
        <f t="shared" si="877"/>
        <v>66818.640689655178</v>
      </c>
      <c r="I1852" s="31">
        <f>SUM(B1852:H1852)</f>
        <v>346114.82551724138</v>
      </c>
      <c r="J1852" s="702">
        <f t="shared" si="876"/>
        <v>49444.975073891626</v>
      </c>
    </row>
    <row r="1853" spans="1:10" x14ac:dyDescent="0.25">
      <c r="A1853" s="694" t="s">
        <v>27</v>
      </c>
      <c r="B1853" s="300">
        <f t="shared" ref="B1853:H1853" si="878">B1856*B1846</f>
        <v>828927.31034482759</v>
      </c>
      <c r="C1853" s="92">
        <f t="shared" si="878"/>
        <v>854685.52137931052</v>
      </c>
      <c r="D1853" s="92">
        <f t="shared" si="878"/>
        <v>927445.64275862079</v>
      </c>
      <c r="E1853" s="92">
        <f t="shared" si="878"/>
        <v>1569483.2331034485</v>
      </c>
      <c r="F1853" s="92">
        <f t="shared" si="878"/>
        <v>1512448.8662068967</v>
      </c>
      <c r="G1853" s="31">
        <f t="shared" si="878"/>
        <v>2119529.371034483</v>
      </c>
      <c r="H1853" s="31">
        <f t="shared" si="878"/>
        <v>1470010.0951724139</v>
      </c>
      <c r="I1853" s="31">
        <f>SUM(B1853:H1853)</f>
        <v>9282530.040000001</v>
      </c>
      <c r="J1853" s="702">
        <f t="shared" si="876"/>
        <v>1326075.7200000002</v>
      </c>
    </row>
    <row r="1854" spans="1:10" x14ac:dyDescent="0.25">
      <c r="A1854" s="694" t="s">
        <v>28</v>
      </c>
      <c r="B1854" s="300">
        <f t="shared" ref="B1854:H1854" si="879">B1856*B1847</f>
        <v>0</v>
      </c>
      <c r="C1854" s="92">
        <f t="shared" si="879"/>
        <v>0</v>
      </c>
      <c r="D1854" s="92">
        <f t="shared" si="879"/>
        <v>0</v>
      </c>
      <c r="E1854" s="92">
        <f t="shared" si="879"/>
        <v>0</v>
      </c>
      <c r="F1854" s="92">
        <f t="shared" si="879"/>
        <v>0</v>
      </c>
      <c r="G1854" s="31">
        <f t="shared" si="879"/>
        <v>0</v>
      </c>
      <c r="H1854" s="31">
        <f t="shared" si="879"/>
        <v>200455.92206896553</v>
      </c>
      <c r="I1854" s="31">
        <f>SUM(B1854:H1854)</f>
        <v>200455.92206896553</v>
      </c>
      <c r="J1854" s="702">
        <f t="shared" si="876"/>
        <v>28636.560295566505</v>
      </c>
    </row>
    <row r="1855" spans="1:10" x14ac:dyDescent="0.25">
      <c r="A1855" s="694" t="s">
        <v>29</v>
      </c>
      <c r="B1855" s="300">
        <f t="shared" ref="B1855:H1855" si="880">B1856*B1848</f>
        <v>0</v>
      </c>
      <c r="C1855" s="92">
        <f t="shared" si="880"/>
        <v>0</v>
      </c>
      <c r="D1855" s="92">
        <f t="shared" si="880"/>
        <v>0</v>
      </c>
      <c r="E1855" s="92">
        <f t="shared" si="880"/>
        <v>0</v>
      </c>
      <c r="F1855" s="92">
        <f t="shared" si="880"/>
        <v>63018.702758620697</v>
      </c>
      <c r="G1855" s="31">
        <f t="shared" si="880"/>
        <v>64228.162758620696</v>
      </c>
      <c r="H1855" s="31">
        <f t="shared" si="880"/>
        <v>66818.640689655178</v>
      </c>
      <c r="I1855" s="31">
        <f>SUM(B1855:H1855)</f>
        <v>194065.50620689656</v>
      </c>
      <c r="J1855" s="702">
        <f t="shared" si="876"/>
        <v>27723.643743842367</v>
      </c>
    </row>
    <row r="1856" spans="1:10" x14ac:dyDescent="0.25">
      <c r="A1856" s="697" t="s">
        <v>30</v>
      </c>
      <c r="B1856" s="691">
        <f>(2811000/1.16)-B1857</f>
        <v>2302575.8620689656</v>
      </c>
      <c r="C1856" s="222">
        <f>(3879200/1.16)-C1857</f>
        <v>3165501.931034483</v>
      </c>
      <c r="D1856" s="222">
        <f>(4203000/1.16)-D1857</f>
        <v>3434983.8620689656</v>
      </c>
      <c r="E1856" s="222">
        <f>(5961000/1.16)-E1857</f>
        <v>4904635.1034482764</v>
      </c>
      <c r="F1856" s="222">
        <f>(7665800/1.16)-F1857</f>
        <v>6301870.2758620698</v>
      </c>
      <c r="G1856" s="222">
        <f>(7836900/1.16)-G1857</f>
        <v>6422816.2758620698</v>
      </c>
      <c r="H1856" s="222">
        <f>(8190600/1.16)-H1857</f>
        <v>6681864.0689655179</v>
      </c>
      <c r="I1856" s="197">
        <f>SUM(I1851:I1855)</f>
        <v>33214247.379310347</v>
      </c>
      <c r="J1856" s="703">
        <f t="shared" si="876"/>
        <v>4744892.4827586208</v>
      </c>
    </row>
    <row r="1857" spans="1:10" x14ac:dyDescent="0.25">
      <c r="A1857" s="694" t="s">
        <v>31</v>
      </c>
      <c r="B1857" s="300">
        <f t="shared" ref="B1857:I1857" si="881">2414*B1838</f>
        <v>120700</v>
      </c>
      <c r="C1857" s="92">
        <f t="shared" si="881"/>
        <v>178636</v>
      </c>
      <c r="D1857" s="92">
        <f t="shared" si="881"/>
        <v>188292</v>
      </c>
      <c r="E1857" s="92">
        <f t="shared" si="881"/>
        <v>234158</v>
      </c>
      <c r="F1857" s="92">
        <f t="shared" si="881"/>
        <v>306578</v>
      </c>
      <c r="G1857" s="92">
        <f t="shared" si="881"/>
        <v>333132</v>
      </c>
      <c r="H1857" s="92">
        <f t="shared" si="881"/>
        <v>378998</v>
      </c>
      <c r="I1857" s="31">
        <f t="shared" si="881"/>
        <v>1740494</v>
      </c>
      <c r="J1857" s="702">
        <f t="shared" si="876"/>
        <v>248642</v>
      </c>
    </row>
    <row r="1858" spans="1:10" x14ac:dyDescent="0.25">
      <c r="A1858" s="698" t="s">
        <v>32</v>
      </c>
      <c r="B1858" s="342">
        <f>B1857+B1856</f>
        <v>2423275.8620689656</v>
      </c>
      <c r="C1858" s="199">
        <f>C1857+C1856</f>
        <v>3344137.931034483</v>
      </c>
      <c r="D1858" s="199">
        <f>D1857+D1856</f>
        <v>3623275.8620689656</v>
      </c>
      <c r="E1858" s="199">
        <f>E1857+E1856</f>
        <v>5138793.1034482764</v>
      </c>
      <c r="F1858" s="199">
        <f>F1856+F1857</f>
        <v>6608448.2758620698</v>
      </c>
      <c r="G1858" s="199">
        <f>G1857+G1856</f>
        <v>6755948.2758620698</v>
      </c>
      <c r="H1858" s="199">
        <f>H1857+H1856</f>
        <v>7060862.0689655179</v>
      </c>
      <c r="I1858" s="199">
        <f>I1856+I1857</f>
        <v>34954741.379310347</v>
      </c>
      <c r="J1858" s="704">
        <f t="shared" si="876"/>
        <v>4993534.4827586208</v>
      </c>
    </row>
    <row r="1859" spans="1:10" x14ac:dyDescent="0.25">
      <c r="A1859" s="694" t="s">
        <v>33</v>
      </c>
      <c r="B1859" s="302">
        <f>B1858*16%</f>
        <v>387724.13793103449</v>
      </c>
      <c r="C1859" s="94">
        <f t="shared" ref="C1859:H1859" si="882">C1858*16%</f>
        <v>535062.06896551733</v>
      </c>
      <c r="D1859" s="94">
        <f t="shared" si="882"/>
        <v>579724.13793103455</v>
      </c>
      <c r="E1859" s="94">
        <f t="shared" si="882"/>
        <v>822206.89655172429</v>
      </c>
      <c r="F1859" s="94">
        <f t="shared" si="882"/>
        <v>1057351.7241379311</v>
      </c>
      <c r="G1859" s="94">
        <f t="shared" si="882"/>
        <v>1080951.7241379311</v>
      </c>
      <c r="H1859" s="94">
        <f t="shared" si="882"/>
        <v>1129737.9310344828</v>
      </c>
      <c r="I1859" s="94">
        <f>I1858*16%</f>
        <v>5592758.6206896557</v>
      </c>
      <c r="J1859" s="702">
        <f t="shared" si="876"/>
        <v>798965.51724137936</v>
      </c>
    </row>
    <row r="1860" spans="1:10" ht="15.75" thickBot="1" x14ac:dyDescent="0.3">
      <c r="A1860" s="699" t="s">
        <v>34</v>
      </c>
      <c r="B1860" s="708">
        <f>B1858+B1859</f>
        <v>2811000</v>
      </c>
      <c r="C1860" s="656">
        <f t="shared" ref="C1860:H1860" si="883">C1858+C1859</f>
        <v>3879200.0000000005</v>
      </c>
      <c r="D1860" s="656">
        <f t="shared" si="883"/>
        <v>4203000</v>
      </c>
      <c r="E1860" s="656">
        <f t="shared" si="883"/>
        <v>5961000.0000000009</v>
      </c>
      <c r="F1860" s="656">
        <f t="shared" si="883"/>
        <v>7665800.0000000009</v>
      </c>
      <c r="G1860" s="656">
        <f t="shared" si="883"/>
        <v>7836900.0000000009</v>
      </c>
      <c r="H1860" s="656">
        <f t="shared" si="883"/>
        <v>8190600.0000000009</v>
      </c>
      <c r="I1860" s="656">
        <f>I1858+I1859</f>
        <v>40547500</v>
      </c>
      <c r="J1860" s="705">
        <f t="shared" si="876"/>
        <v>5792500</v>
      </c>
    </row>
    <row r="1861" spans="1:10" ht="15.75" thickBot="1" x14ac:dyDescent="0.3"/>
    <row r="1862" spans="1:10" ht="27" thickBot="1" x14ac:dyDescent="0.3">
      <c r="B1862" s="1007" t="s">
        <v>640</v>
      </c>
      <c r="C1862" s="1007"/>
      <c r="D1862" s="1007"/>
      <c r="E1862" s="1007"/>
      <c r="F1862" s="1007"/>
      <c r="G1862" s="1007"/>
      <c r="H1862" s="1007"/>
    </row>
    <row r="1863" spans="1:10" ht="15.75" x14ac:dyDescent="0.25">
      <c r="A1863" s="709" t="s">
        <v>2</v>
      </c>
      <c r="B1863" s="706" t="s">
        <v>345</v>
      </c>
      <c r="C1863" s="617" t="s">
        <v>346</v>
      </c>
      <c r="D1863" s="617" t="s">
        <v>347</v>
      </c>
      <c r="E1863" s="617" t="s">
        <v>348</v>
      </c>
      <c r="F1863" s="617" t="s">
        <v>349</v>
      </c>
      <c r="G1863" s="617" t="s">
        <v>350</v>
      </c>
      <c r="H1863" s="617" t="s">
        <v>351</v>
      </c>
      <c r="I1863" s="641" t="s">
        <v>96</v>
      </c>
      <c r="J1863" s="642" t="s">
        <v>97</v>
      </c>
    </row>
    <row r="1864" spans="1:10" x14ac:dyDescent="0.25">
      <c r="A1864" s="710" t="s">
        <v>11</v>
      </c>
      <c r="B1864" s="56">
        <f>60+47+11</f>
        <v>118</v>
      </c>
      <c r="C1864" s="673">
        <f>73+42+10</f>
        <v>125</v>
      </c>
      <c r="D1864" s="673">
        <f>64+57+13</f>
        <v>134</v>
      </c>
      <c r="E1864" s="738">
        <f>94+57+15</f>
        <v>166</v>
      </c>
      <c r="F1864" s="738">
        <f>96+73+21</f>
        <v>190</v>
      </c>
      <c r="G1864" s="738">
        <f>64+42+10</f>
        <v>116</v>
      </c>
      <c r="H1864" s="738">
        <f>163+93+33</f>
        <v>289</v>
      </c>
      <c r="I1864" s="741">
        <f>SUM(B1864:H1864)</f>
        <v>1138</v>
      </c>
      <c r="J1864" s="700">
        <f>+I1864/7</f>
        <v>162.57142857142858</v>
      </c>
    </row>
    <row r="1865" spans="1:10" x14ac:dyDescent="0.25">
      <c r="A1865" s="694" t="s">
        <v>12</v>
      </c>
      <c r="B1865" s="689">
        <v>63</v>
      </c>
      <c r="C1865" s="675">
        <v>58</v>
      </c>
      <c r="D1865" s="675">
        <v>78</v>
      </c>
      <c r="E1865" s="734">
        <v>73</v>
      </c>
      <c r="F1865" s="742">
        <v>94</v>
      </c>
      <c r="G1865" s="734">
        <v>53</v>
      </c>
      <c r="H1865" s="734">
        <v>146</v>
      </c>
      <c r="I1865" s="11">
        <f>SUM(CEDRITOS!$B1865:$H1865)</f>
        <v>565</v>
      </c>
      <c r="J1865" s="623">
        <f t="shared" ref="J1865:J1870" si="884">I1865/7</f>
        <v>80.714285714285708</v>
      </c>
    </row>
    <row r="1866" spans="1:10" x14ac:dyDescent="0.25">
      <c r="A1866" s="694" t="s">
        <v>13</v>
      </c>
      <c r="B1866" s="313">
        <v>1</v>
      </c>
      <c r="C1866" s="13">
        <v>2</v>
      </c>
      <c r="D1866" s="13">
        <v>1</v>
      </c>
      <c r="E1866" s="11">
        <v>3</v>
      </c>
      <c r="F1866" s="125">
        <v>4</v>
      </c>
      <c r="G1866" s="11">
        <v>3</v>
      </c>
      <c r="H1866" s="11">
        <v>3</v>
      </c>
      <c r="I1866" s="11">
        <f>SUM(CEDRITOS!$B1866:$H1866)</f>
        <v>17</v>
      </c>
      <c r="J1866" s="623">
        <f t="shared" si="884"/>
        <v>2.4285714285714284</v>
      </c>
    </row>
    <row r="1867" spans="1:10" x14ac:dyDescent="0.25">
      <c r="A1867" s="694" t="s">
        <v>14</v>
      </c>
      <c r="B1867" s="313">
        <v>27</v>
      </c>
      <c r="C1867" s="13">
        <v>41</v>
      </c>
      <c r="D1867" s="320">
        <v>30</v>
      </c>
      <c r="E1867" s="11">
        <v>55</v>
      </c>
      <c r="F1867" s="125">
        <v>53</v>
      </c>
      <c r="G1867" s="11">
        <v>29</v>
      </c>
      <c r="H1867" s="11">
        <v>81</v>
      </c>
      <c r="I1867" s="11">
        <f>SUM(CEDRITOS!$B1867:$H1867)</f>
        <v>316</v>
      </c>
      <c r="J1867" s="623">
        <f t="shared" si="884"/>
        <v>45.142857142857146</v>
      </c>
    </row>
    <row r="1868" spans="1:10" x14ac:dyDescent="0.25">
      <c r="A1868" s="694" t="s">
        <v>15</v>
      </c>
      <c r="B1868" s="313">
        <v>0</v>
      </c>
      <c r="C1868" s="13">
        <v>0</v>
      </c>
      <c r="D1868" s="13">
        <v>1</v>
      </c>
      <c r="E1868" s="11">
        <v>0</v>
      </c>
      <c r="F1868" s="125">
        <v>1</v>
      </c>
      <c r="G1868" s="11">
        <v>0</v>
      </c>
      <c r="H1868" s="11">
        <v>0</v>
      </c>
      <c r="I1868" s="11">
        <f>SUM(CEDRITOS!$B1868:$H1868)</f>
        <v>2</v>
      </c>
      <c r="J1868" s="623">
        <f t="shared" si="884"/>
        <v>0.2857142857142857</v>
      </c>
    </row>
    <row r="1869" spans="1:10" x14ac:dyDescent="0.25">
      <c r="A1869" s="694" t="s">
        <v>16</v>
      </c>
      <c r="B1869" s="313">
        <v>0</v>
      </c>
      <c r="C1869" s="13">
        <v>0</v>
      </c>
      <c r="D1869" s="13">
        <v>0</v>
      </c>
      <c r="E1869" s="11">
        <v>0</v>
      </c>
      <c r="F1869" s="125">
        <v>1</v>
      </c>
      <c r="G1869" s="11">
        <v>0</v>
      </c>
      <c r="H1869" s="11">
        <v>0</v>
      </c>
      <c r="I1869" s="11">
        <f>SUM(CEDRITOS!$B1869:$H1869)</f>
        <v>1</v>
      </c>
      <c r="J1869" s="623">
        <f t="shared" si="884"/>
        <v>0.14285714285714285</v>
      </c>
    </row>
    <row r="1870" spans="1:10" x14ac:dyDescent="0.25">
      <c r="A1870" s="695" t="s">
        <v>17</v>
      </c>
      <c r="B1870" s="707">
        <f>SUM(B1865:B1869)</f>
        <v>91</v>
      </c>
      <c r="C1870" s="192">
        <f t="shared" ref="C1870:I1870" si="885">SUM(C1865:C1869)</f>
        <v>101</v>
      </c>
      <c r="D1870" s="192">
        <f t="shared" si="885"/>
        <v>110</v>
      </c>
      <c r="E1870" s="192">
        <f t="shared" si="885"/>
        <v>131</v>
      </c>
      <c r="F1870" s="192">
        <f t="shared" si="885"/>
        <v>153</v>
      </c>
      <c r="G1870" s="192">
        <f t="shared" si="885"/>
        <v>85</v>
      </c>
      <c r="H1870" s="192">
        <f t="shared" si="885"/>
        <v>230</v>
      </c>
      <c r="I1870" s="192">
        <f t="shared" si="885"/>
        <v>901</v>
      </c>
      <c r="J1870" s="647">
        <f t="shared" si="884"/>
        <v>128.71428571428572</v>
      </c>
    </row>
    <row r="1871" spans="1:10" x14ac:dyDescent="0.25">
      <c r="A1871" s="694" t="s">
        <v>18</v>
      </c>
      <c r="B1871" s="690">
        <v>0.72</v>
      </c>
      <c r="C1871" s="326">
        <v>0.64</v>
      </c>
      <c r="D1871" s="326">
        <v>0.76</v>
      </c>
      <c r="E1871" s="327">
        <v>0.6</v>
      </c>
      <c r="F1871" s="328">
        <v>0.69</v>
      </c>
      <c r="G1871" s="327">
        <v>0.71</v>
      </c>
      <c r="H1871" s="327">
        <v>0.67</v>
      </c>
      <c r="I1871" s="30">
        <f>I1878/I1883</f>
        <v>0.67926003873939511</v>
      </c>
      <c r="J1871" s="648">
        <f>J1878/J1883</f>
        <v>0.67926003873939522</v>
      </c>
    </row>
    <row r="1872" spans="1:10" x14ac:dyDescent="0.25">
      <c r="A1872" s="694" t="s">
        <v>19</v>
      </c>
      <c r="B1872" s="690">
        <v>0.02</v>
      </c>
      <c r="C1872" s="326">
        <v>0.02</v>
      </c>
      <c r="D1872" s="326">
        <v>0.01</v>
      </c>
      <c r="E1872" s="327">
        <v>0.04</v>
      </c>
      <c r="F1872" s="327">
        <v>0.02</v>
      </c>
      <c r="G1872" s="327">
        <v>0.02</v>
      </c>
      <c r="H1872" s="327">
        <v>0.01</v>
      </c>
      <c r="I1872" s="30">
        <f>I1879/I1883</f>
        <v>1.9363818563281805E-2</v>
      </c>
      <c r="J1872" s="648">
        <f>J1879/J1883</f>
        <v>1.9363818563281805E-2</v>
      </c>
    </row>
    <row r="1873" spans="1:10" x14ac:dyDescent="0.25">
      <c r="A1873" s="694" t="s">
        <v>20</v>
      </c>
      <c r="B1873" s="690">
        <v>0.26</v>
      </c>
      <c r="C1873" s="326">
        <v>0.34</v>
      </c>
      <c r="D1873" s="326">
        <v>0.22</v>
      </c>
      <c r="E1873" s="327">
        <v>0.36</v>
      </c>
      <c r="F1873" s="329">
        <v>0.28000000000000003</v>
      </c>
      <c r="G1873" s="327">
        <v>0.27</v>
      </c>
      <c r="H1873" s="327">
        <v>0.32</v>
      </c>
      <c r="I1873" s="30">
        <f>I1880/I1883</f>
        <v>0.29855005598410522</v>
      </c>
      <c r="J1873" s="648">
        <f>J1880/J1883</f>
        <v>0.29855005598410517</v>
      </c>
    </row>
    <row r="1874" spans="1:10" x14ac:dyDescent="0.25">
      <c r="A1874" s="694" t="s">
        <v>21</v>
      </c>
      <c r="B1874" s="690">
        <v>0</v>
      </c>
      <c r="C1874" s="326">
        <v>0</v>
      </c>
      <c r="D1874" s="326">
        <v>0.01</v>
      </c>
      <c r="E1874" s="327">
        <v>0</v>
      </c>
      <c r="F1874" s="329">
        <v>0</v>
      </c>
      <c r="G1874" s="327">
        <v>0</v>
      </c>
      <c r="H1874" s="327">
        <v>0</v>
      </c>
      <c r="I1874" s="30">
        <f>I1881/I1883</f>
        <v>1.1690723947643809E-3</v>
      </c>
      <c r="J1874" s="648">
        <f>J1881/J1883</f>
        <v>1.1690723947643809E-3</v>
      </c>
    </row>
    <row r="1875" spans="1:10" x14ac:dyDescent="0.25">
      <c r="A1875" s="694" t="s">
        <v>22</v>
      </c>
      <c r="B1875" s="690">
        <v>0</v>
      </c>
      <c r="C1875" s="326">
        <v>0</v>
      </c>
      <c r="D1875" s="326">
        <v>0</v>
      </c>
      <c r="E1875" s="327">
        <v>0</v>
      </c>
      <c r="F1875" s="329">
        <v>0.01</v>
      </c>
      <c r="G1875" s="327">
        <v>0</v>
      </c>
      <c r="H1875" s="327">
        <v>0</v>
      </c>
      <c r="I1875" s="30">
        <f>I1882/I1883</f>
        <v>1.657014318453403E-3</v>
      </c>
      <c r="J1875" s="648">
        <f>J1882/J1883</f>
        <v>1.657014318453403E-3</v>
      </c>
    </row>
    <row r="1876" spans="1:10" x14ac:dyDescent="0.25">
      <c r="A1876" s="696" t="s">
        <v>23</v>
      </c>
      <c r="B1876" s="164">
        <f t="shared" ref="B1876:J1876" si="886">B1887/B1870</f>
        <v>38831.868131868134</v>
      </c>
      <c r="C1876" s="66">
        <f t="shared" si="886"/>
        <v>34962.376237623765</v>
      </c>
      <c r="D1876" s="66">
        <f t="shared" si="886"/>
        <v>36247.272727272728</v>
      </c>
      <c r="E1876" s="66">
        <f t="shared" si="886"/>
        <v>39288.54961832062</v>
      </c>
      <c r="F1876" s="66">
        <f t="shared" si="886"/>
        <v>36633.986928104583</v>
      </c>
      <c r="G1876" s="66">
        <f t="shared" si="886"/>
        <v>40469.411764705888</v>
      </c>
      <c r="H1876" s="66">
        <f t="shared" si="886"/>
        <v>37285.65217391304</v>
      </c>
      <c r="I1876" s="66">
        <f t="shared" si="886"/>
        <v>37535.516093229751</v>
      </c>
      <c r="J1876" s="701">
        <f t="shared" si="886"/>
        <v>37535.516093229751</v>
      </c>
    </row>
    <row r="1877" spans="1:10" x14ac:dyDescent="0.25">
      <c r="A1877" s="696" t="s">
        <v>24</v>
      </c>
      <c r="B1877" s="164">
        <f t="shared" ref="B1877:I1877" si="887">+B1887/B1864</f>
        <v>29946.610169491527</v>
      </c>
      <c r="C1877" s="66">
        <f t="shared" si="887"/>
        <v>28249.600000000002</v>
      </c>
      <c r="D1877" s="66">
        <f t="shared" si="887"/>
        <v>29755.223880597019</v>
      </c>
      <c r="E1877" s="66">
        <f t="shared" si="887"/>
        <v>31004.81927710844</v>
      </c>
      <c r="F1877" s="66">
        <f t="shared" si="887"/>
        <v>29500.000000000004</v>
      </c>
      <c r="G1877" s="66">
        <f t="shared" si="887"/>
        <v>29654.310344827591</v>
      </c>
      <c r="H1877" s="66">
        <f t="shared" si="887"/>
        <v>29673.702422145328</v>
      </c>
      <c r="I1877" s="66">
        <f t="shared" si="887"/>
        <v>29718.36555360282</v>
      </c>
      <c r="J1877" s="701">
        <f>J1887/J1864</f>
        <v>29718.365553602816</v>
      </c>
    </row>
    <row r="1878" spans="1:10" x14ac:dyDescent="0.25">
      <c r="A1878" s="694" t="s">
        <v>25</v>
      </c>
      <c r="B1878" s="300">
        <f t="shared" ref="B1878:H1878" si="888">B1883*B1871</f>
        <v>2083831.9944827587</v>
      </c>
      <c r="C1878" s="92">
        <f t="shared" si="888"/>
        <v>1858640.5958620692</v>
      </c>
      <c r="D1878" s="92">
        <f t="shared" si="888"/>
        <v>2469201.5282758623</v>
      </c>
      <c r="E1878" s="92">
        <f t="shared" si="888"/>
        <v>2556404.7310344833</v>
      </c>
      <c r="F1878" s="92">
        <f t="shared" si="888"/>
        <v>3177436.5806896556</v>
      </c>
      <c r="G1878" s="31">
        <f t="shared" si="888"/>
        <v>2014617.2144827587</v>
      </c>
      <c r="H1878" s="31">
        <f t="shared" si="888"/>
        <v>4717068.554482759</v>
      </c>
      <c r="I1878" s="31">
        <f>SUM(B1878:H1878)</f>
        <v>18877201.199310347</v>
      </c>
      <c r="J1878" s="702">
        <f t="shared" ref="J1878:J1887" si="889">I1878/7</f>
        <v>2696743.0284729069</v>
      </c>
    </row>
    <row r="1879" spans="1:10" x14ac:dyDescent="0.25">
      <c r="A1879" s="694" t="s">
        <v>26</v>
      </c>
      <c r="B1879" s="300">
        <f t="shared" ref="B1879:H1879" si="890">B1883*B1872</f>
        <v>57884.222068965522</v>
      </c>
      <c r="C1879" s="92">
        <f t="shared" si="890"/>
        <v>58082.518620689661</v>
      </c>
      <c r="D1879" s="92">
        <f t="shared" si="890"/>
        <v>32489.493793103455</v>
      </c>
      <c r="E1879" s="92">
        <f t="shared" si="890"/>
        <v>170426.98206896556</v>
      </c>
      <c r="F1879" s="92">
        <f t="shared" si="890"/>
        <v>92099.611034482776</v>
      </c>
      <c r="G1879" s="31">
        <f t="shared" si="890"/>
        <v>56749.780689655177</v>
      </c>
      <c r="H1879" s="31">
        <f t="shared" si="890"/>
        <v>70404.00827586207</v>
      </c>
      <c r="I1879" s="31">
        <f>SUM(B1879:H1879)</f>
        <v>538136.61655172426</v>
      </c>
      <c r="J1879" s="702">
        <f t="shared" si="889"/>
        <v>76876.65950738918</v>
      </c>
    </row>
    <row r="1880" spans="1:10" x14ac:dyDescent="0.25">
      <c r="A1880" s="694" t="s">
        <v>27</v>
      </c>
      <c r="B1880" s="300">
        <f t="shared" ref="B1880:H1880" si="891">B1883*B1873</f>
        <v>752494.88689655182</v>
      </c>
      <c r="C1880" s="92">
        <f t="shared" si="891"/>
        <v>987402.81655172433</v>
      </c>
      <c r="D1880" s="92">
        <f t="shared" si="891"/>
        <v>714768.86344827595</v>
      </c>
      <c r="E1880" s="92">
        <f t="shared" si="891"/>
        <v>1533842.8386206899</v>
      </c>
      <c r="F1880" s="92">
        <f t="shared" si="891"/>
        <v>1289394.554482759</v>
      </c>
      <c r="G1880" s="31">
        <f t="shared" si="891"/>
        <v>766122.03931034496</v>
      </c>
      <c r="H1880" s="31">
        <f t="shared" si="891"/>
        <v>2252928.2648275862</v>
      </c>
      <c r="I1880" s="31">
        <f>SUM(B1880:H1880)</f>
        <v>8296954.264137933</v>
      </c>
      <c r="J1880" s="702">
        <f t="shared" si="889"/>
        <v>1185279.1805911332</v>
      </c>
    </row>
    <row r="1881" spans="1:10" x14ac:dyDescent="0.25">
      <c r="A1881" s="694" t="s">
        <v>28</v>
      </c>
      <c r="B1881" s="300">
        <f t="shared" ref="B1881:H1881" si="892">B1883*B1874</f>
        <v>0</v>
      </c>
      <c r="C1881" s="92">
        <f t="shared" si="892"/>
        <v>0</v>
      </c>
      <c r="D1881" s="92">
        <f t="shared" si="892"/>
        <v>32489.493793103455</v>
      </c>
      <c r="E1881" s="92">
        <f t="shared" si="892"/>
        <v>0</v>
      </c>
      <c r="F1881" s="92">
        <f t="shared" si="892"/>
        <v>0</v>
      </c>
      <c r="G1881" s="31">
        <f t="shared" si="892"/>
        <v>0</v>
      </c>
      <c r="H1881" s="31">
        <f t="shared" si="892"/>
        <v>0</v>
      </c>
      <c r="I1881" s="31">
        <f>SUM(B1881:H1881)</f>
        <v>32489.493793103455</v>
      </c>
      <c r="J1881" s="702">
        <f t="shared" si="889"/>
        <v>4641.3562561576364</v>
      </c>
    </row>
    <row r="1882" spans="1:10" x14ac:dyDescent="0.25">
      <c r="A1882" s="694" t="s">
        <v>29</v>
      </c>
      <c r="B1882" s="300">
        <f t="shared" ref="B1882:H1882" si="893">B1883*B1875</f>
        <v>0</v>
      </c>
      <c r="C1882" s="92">
        <f t="shared" si="893"/>
        <v>0</v>
      </c>
      <c r="D1882" s="92">
        <f t="shared" si="893"/>
        <v>0</v>
      </c>
      <c r="E1882" s="92">
        <f t="shared" si="893"/>
        <v>0</v>
      </c>
      <c r="F1882" s="92">
        <f t="shared" si="893"/>
        <v>46049.805517241388</v>
      </c>
      <c r="G1882" s="31">
        <f t="shared" si="893"/>
        <v>0</v>
      </c>
      <c r="H1882" s="31">
        <f t="shared" si="893"/>
        <v>0</v>
      </c>
      <c r="I1882" s="31">
        <f>SUM(B1882:H1882)</f>
        <v>46049.805517241388</v>
      </c>
      <c r="J1882" s="702">
        <f t="shared" si="889"/>
        <v>6578.5436453201983</v>
      </c>
    </row>
    <row r="1883" spans="1:10" x14ac:dyDescent="0.25">
      <c r="A1883" s="697" t="s">
        <v>30</v>
      </c>
      <c r="B1883" s="691">
        <f>(3533700/1.16)-B1884</f>
        <v>2894211.1034482759</v>
      </c>
      <c r="C1883" s="222">
        <f>(3531200/1.16)-C1884</f>
        <v>2904125.931034483</v>
      </c>
      <c r="D1883" s="222">
        <f>(3987200/1.16)-D1884</f>
        <v>3248949.3793103453</v>
      </c>
      <c r="E1883" s="222">
        <f>(5146800/1.16)-E1884</f>
        <v>4260674.5517241387</v>
      </c>
      <c r="F1883" s="222">
        <f>(5605000/1.16)-F1884</f>
        <v>4604980.5517241387</v>
      </c>
      <c r="G1883" s="222">
        <f>(3439900/1.16)-G1884</f>
        <v>2837489.034482759</v>
      </c>
      <c r="H1883" s="222">
        <f>(8575700/1.16)-H1884</f>
        <v>7040400.8275862075</v>
      </c>
      <c r="I1883" s="197">
        <f>SUM(I1878:I1882)</f>
        <v>27790831.379310351</v>
      </c>
      <c r="J1883" s="703">
        <f t="shared" si="889"/>
        <v>3970118.7684729071</v>
      </c>
    </row>
    <row r="1884" spans="1:10" x14ac:dyDescent="0.25">
      <c r="A1884" s="694" t="s">
        <v>31</v>
      </c>
      <c r="B1884" s="300">
        <f t="shared" ref="B1884:I1884" si="894">2414*B1865</f>
        <v>152082</v>
      </c>
      <c r="C1884" s="92">
        <f t="shared" si="894"/>
        <v>140012</v>
      </c>
      <c r="D1884" s="92">
        <f t="shared" si="894"/>
        <v>188292</v>
      </c>
      <c r="E1884" s="92">
        <f t="shared" si="894"/>
        <v>176222</v>
      </c>
      <c r="F1884" s="92">
        <f t="shared" si="894"/>
        <v>226916</v>
      </c>
      <c r="G1884" s="92">
        <f t="shared" si="894"/>
        <v>127942</v>
      </c>
      <c r="H1884" s="92">
        <f t="shared" si="894"/>
        <v>352444</v>
      </c>
      <c r="I1884" s="31">
        <f t="shared" si="894"/>
        <v>1363910</v>
      </c>
      <c r="J1884" s="702">
        <f t="shared" si="889"/>
        <v>194844.28571428571</v>
      </c>
    </row>
    <row r="1885" spans="1:10" x14ac:dyDescent="0.25">
      <c r="A1885" s="698" t="s">
        <v>32</v>
      </c>
      <c r="B1885" s="342">
        <f>B1884+B1883</f>
        <v>3046293.1034482759</v>
      </c>
      <c r="C1885" s="199">
        <f>C1884+C1883</f>
        <v>3044137.931034483</v>
      </c>
      <c r="D1885" s="199">
        <f>D1884+D1883</f>
        <v>3437241.3793103453</v>
      </c>
      <c r="E1885" s="199">
        <f>E1884+E1883</f>
        <v>4436896.5517241387</v>
      </c>
      <c r="F1885" s="199">
        <f>F1883+F1884</f>
        <v>4831896.5517241387</v>
      </c>
      <c r="G1885" s="199">
        <f>G1884+G1883</f>
        <v>2965431.034482759</v>
      </c>
      <c r="H1885" s="199">
        <f>H1884+H1883</f>
        <v>7392844.8275862075</v>
      </c>
      <c r="I1885" s="199">
        <f>I1883+I1884</f>
        <v>29154741.379310351</v>
      </c>
      <c r="J1885" s="704">
        <f t="shared" si="889"/>
        <v>4164963.054187193</v>
      </c>
    </row>
    <row r="1886" spans="1:10" x14ac:dyDescent="0.25">
      <c r="A1886" s="694" t="s">
        <v>33</v>
      </c>
      <c r="B1886" s="302">
        <f>B1885*16%</f>
        <v>487406.89655172417</v>
      </c>
      <c r="C1886" s="94">
        <f t="shared" ref="C1886:H1886" si="895">C1885*16%</f>
        <v>487062.06896551728</v>
      </c>
      <c r="D1886" s="94">
        <f t="shared" si="895"/>
        <v>549958.6206896553</v>
      </c>
      <c r="E1886" s="94">
        <f t="shared" si="895"/>
        <v>709903.44827586215</v>
      </c>
      <c r="F1886" s="94">
        <f t="shared" si="895"/>
        <v>773103.44827586215</v>
      </c>
      <c r="G1886" s="94">
        <f t="shared" si="895"/>
        <v>474468.96551724145</v>
      </c>
      <c r="H1886" s="94">
        <f t="shared" si="895"/>
        <v>1182855.1724137932</v>
      </c>
      <c r="I1886" s="94">
        <f>I1885*16%</f>
        <v>4664758.6206896566</v>
      </c>
      <c r="J1886" s="702">
        <f t="shared" si="889"/>
        <v>666394.08866995096</v>
      </c>
    </row>
    <row r="1887" spans="1:10" ht="15.75" thickBot="1" x14ac:dyDescent="0.3">
      <c r="A1887" s="699" t="s">
        <v>34</v>
      </c>
      <c r="B1887" s="708">
        <f>B1885+B1886</f>
        <v>3533700</v>
      </c>
      <c r="C1887" s="656">
        <f t="shared" ref="C1887:H1887" si="896">C1885+C1886</f>
        <v>3531200.0000000005</v>
      </c>
      <c r="D1887" s="656">
        <f t="shared" si="896"/>
        <v>3987200.0000000005</v>
      </c>
      <c r="E1887" s="656">
        <f t="shared" si="896"/>
        <v>5146800.0000000009</v>
      </c>
      <c r="F1887" s="656">
        <f t="shared" si="896"/>
        <v>5605000.0000000009</v>
      </c>
      <c r="G1887" s="656">
        <f t="shared" si="896"/>
        <v>3439900.0000000005</v>
      </c>
      <c r="H1887" s="656">
        <f t="shared" si="896"/>
        <v>8575700</v>
      </c>
      <c r="I1887" s="656">
        <f>I1885+I1886</f>
        <v>33819500.000000007</v>
      </c>
      <c r="J1887" s="705">
        <f t="shared" si="889"/>
        <v>4831357.1428571437</v>
      </c>
    </row>
    <row r="1888" spans="1:10" ht="15.75" thickBot="1" x14ac:dyDescent="0.3"/>
    <row r="1889" spans="1:10" ht="27" thickBot="1" x14ac:dyDescent="0.3">
      <c r="B1889" s="1007" t="s">
        <v>643</v>
      </c>
      <c r="C1889" s="1007"/>
      <c r="D1889" s="1007"/>
      <c r="E1889" s="1007"/>
      <c r="F1889" s="1007"/>
      <c r="G1889" s="1007"/>
      <c r="H1889" s="1007"/>
    </row>
    <row r="1890" spans="1:10" ht="15.75" x14ac:dyDescent="0.25">
      <c r="A1890" s="709" t="s">
        <v>2</v>
      </c>
      <c r="B1890" s="706" t="s">
        <v>600</v>
      </c>
      <c r="C1890" s="617" t="s">
        <v>601</v>
      </c>
      <c r="D1890" s="617" t="s">
        <v>602</v>
      </c>
      <c r="E1890" s="617" t="s">
        <v>603</v>
      </c>
      <c r="F1890" s="617" t="s">
        <v>604</v>
      </c>
      <c r="G1890" s="617" t="s">
        <v>653</v>
      </c>
      <c r="H1890" s="617" t="s">
        <v>272</v>
      </c>
      <c r="I1890" s="641" t="s">
        <v>96</v>
      </c>
      <c r="J1890" s="642" t="s">
        <v>97</v>
      </c>
    </row>
    <row r="1891" spans="1:10" x14ac:dyDescent="0.25">
      <c r="A1891" s="710" t="s">
        <v>11</v>
      </c>
      <c r="B1891" s="56">
        <f>83+52+17</f>
        <v>152</v>
      </c>
      <c r="C1891" s="673">
        <f>88+53+14</f>
        <v>155</v>
      </c>
      <c r="D1891" s="673">
        <f>74+48+9</f>
        <v>131</v>
      </c>
      <c r="E1891" s="738">
        <f>103+52+17</f>
        <v>172</v>
      </c>
      <c r="F1891" s="738">
        <f>99+75+14</f>
        <v>188</v>
      </c>
      <c r="G1891" s="738">
        <f>43+34+11</f>
        <v>88</v>
      </c>
      <c r="H1891" s="738">
        <f>105+68+19</f>
        <v>192</v>
      </c>
      <c r="I1891" s="741">
        <f>SUM(B1891:H1891)</f>
        <v>1078</v>
      </c>
      <c r="J1891" s="700">
        <f>+I1891/7</f>
        <v>154</v>
      </c>
    </row>
    <row r="1892" spans="1:10" x14ac:dyDescent="0.25">
      <c r="A1892" s="694" t="s">
        <v>12</v>
      </c>
      <c r="B1892" s="689">
        <v>76</v>
      </c>
      <c r="C1892" s="675">
        <v>57</v>
      </c>
      <c r="D1892" s="675">
        <v>65</v>
      </c>
      <c r="E1892" s="734">
        <v>69</v>
      </c>
      <c r="F1892" s="742">
        <v>79</v>
      </c>
      <c r="G1892" s="734">
        <v>37</v>
      </c>
      <c r="H1892" s="734">
        <v>94</v>
      </c>
      <c r="I1892" s="11">
        <f>SUM(CEDRITOS!$B1892:$H1892)</f>
        <v>477</v>
      </c>
      <c r="J1892" s="623">
        <f t="shared" ref="J1892:J1897" si="897">I1892/7</f>
        <v>68.142857142857139</v>
      </c>
    </row>
    <row r="1893" spans="1:10" x14ac:dyDescent="0.25">
      <c r="A1893" s="694" t="s">
        <v>13</v>
      </c>
      <c r="B1893" s="313">
        <v>1</v>
      </c>
      <c r="C1893" s="13">
        <v>1</v>
      </c>
      <c r="D1893" s="13">
        <v>2</v>
      </c>
      <c r="E1893" s="11">
        <v>1</v>
      </c>
      <c r="F1893" s="125">
        <v>4</v>
      </c>
      <c r="G1893" s="11">
        <v>3</v>
      </c>
      <c r="H1893" s="11">
        <v>1</v>
      </c>
      <c r="I1893" s="11">
        <f>SUM(CEDRITOS!$B1893:$H1893)</f>
        <v>13</v>
      </c>
      <c r="J1893" s="623">
        <f t="shared" si="897"/>
        <v>1.8571428571428572</v>
      </c>
    </row>
    <row r="1894" spans="1:10" x14ac:dyDescent="0.25">
      <c r="A1894" s="694" t="s">
        <v>14</v>
      </c>
      <c r="B1894" s="313">
        <v>46</v>
      </c>
      <c r="C1894" s="13">
        <v>32</v>
      </c>
      <c r="D1894" s="320">
        <v>37</v>
      </c>
      <c r="E1894" s="11">
        <v>65</v>
      </c>
      <c r="F1894" s="125">
        <v>55</v>
      </c>
      <c r="G1894" s="11">
        <v>22</v>
      </c>
      <c r="H1894" s="11">
        <v>64</v>
      </c>
      <c r="I1894" s="11">
        <f>SUM(CEDRITOS!$B1894:$H1894)</f>
        <v>321</v>
      </c>
      <c r="J1894" s="623">
        <f t="shared" si="897"/>
        <v>45.857142857142854</v>
      </c>
    </row>
    <row r="1895" spans="1:10" x14ac:dyDescent="0.25">
      <c r="A1895" s="694" t="s">
        <v>15</v>
      </c>
      <c r="B1895" s="313">
        <v>1</v>
      </c>
      <c r="C1895" s="13">
        <v>17</v>
      </c>
      <c r="D1895" s="13">
        <v>10</v>
      </c>
      <c r="E1895" s="11">
        <v>1</v>
      </c>
      <c r="F1895" s="125">
        <v>15</v>
      </c>
      <c r="G1895" s="11">
        <v>9</v>
      </c>
      <c r="H1895" s="11">
        <v>3</v>
      </c>
      <c r="I1895" s="11">
        <f>SUM(CEDRITOS!$B1895:$H1895)</f>
        <v>56</v>
      </c>
      <c r="J1895" s="623">
        <f t="shared" si="897"/>
        <v>8</v>
      </c>
    </row>
    <row r="1896" spans="1:10" x14ac:dyDescent="0.25">
      <c r="A1896" s="694" t="s">
        <v>16</v>
      </c>
      <c r="B1896" s="313">
        <v>1</v>
      </c>
      <c r="C1896" s="13">
        <v>0</v>
      </c>
      <c r="D1896" s="13">
        <v>1</v>
      </c>
      <c r="E1896" s="11">
        <v>1</v>
      </c>
      <c r="F1896" s="125">
        <v>1</v>
      </c>
      <c r="G1896" s="11">
        <v>0</v>
      </c>
      <c r="H1896" s="11">
        <v>1</v>
      </c>
      <c r="I1896" s="11">
        <f>SUM(CEDRITOS!$B1896:$H1896)</f>
        <v>5</v>
      </c>
      <c r="J1896" s="623">
        <f t="shared" si="897"/>
        <v>0.7142857142857143</v>
      </c>
    </row>
    <row r="1897" spans="1:10" x14ac:dyDescent="0.25">
      <c r="A1897" s="695" t="s">
        <v>17</v>
      </c>
      <c r="B1897" s="707">
        <f>SUM(B1892:B1896)</f>
        <v>125</v>
      </c>
      <c r="C1897" s="192">
        <f t="shared" ref="C1897:I1897" si="898">SUM(C1892:C1896)</f>
        <v>107</v>
      </c>
      <c r="D1897" s="192">
        <f t="shared" si="898"/>
        <v>115</v>
      </c>
      <c r="E1897" s="192">
        <f t="shared" si="898"/>
        <v>137</v>
      </c>
      <c r="F1897" s="192">
        <f t="shared" si="898"/>
        <v>154</v>
      </c>
      <c r="G1897" s="192">
        <f t="shared" si="898"/>
        <v>71</v>
      </c>
      <c r="H1897" s="192">
        <f t="shared" si="898"/>
        <v>163</v>
      </c>
      <c r="I1897" s="192">
        <f t="shared" si="898"/>
        <v>872</v>
      </c>
      <c r="J1897" s="647">
        <f t="shared" si="897"/>
        <v>124.57142857142857</v>
      </c>
    </row>
    <row r="1898" spans="1:10" x14ac:dyDescent="0.25">
      <c r="A1898" s="694" t="s">
        <v>18</v>
      </c>
      <c r="B1898" s="690">
        <v>0.67</v>
      </c>
      <c r="C1898" s="326">
        <v>0.5</v>
      </c>
      <c r="D1898" s="326">
        <v>0.63</v>
      </c>
      <c r="E1898" s="327">
        <v>0.54</v>
      </c>
      <c r="F1898" s="328">
        <v>0.59</v>
      </c>
      <c r="G1898" s="327">
        <v>0.54</v>
      </c>
      <c r="H1898" s="327">
        <v>0.62</v>
      </c>
      <c r="I1898" s="30">
        <f>I1905/I1910</f>
        <v>0.58621612077518614</v>
      </c>
      <c r="J1898" s="648">
        <f>J1905/J1910</f>
        <v>0.58621612077518614</v>
      </c>
    </row>
    <row r="1899" spans="1:10" x14ac:dyDescent="0.25">
      <c r="A1899" s="694" t="s">
        <v>19</v>
      </c>
      <c r="B1899" s="690">
        <v>0</v>
      </c>
      <c r="C1899" s="326">
        <v>0.01</v>
      </c>
      <c r="D1899" s="326">
        <v>0.02</v>
      </c>
      <c r="E1899" s="327">
        <v>0.01</v>
      </c>
      <c r="F1899" s="327">
        <v>0.03</v>
      </c>
      <c r="G1899" s="327">
        <v>0.08</v>
      </c>
      <c r="H1899" s="327">
        <v>0.01</v>
      </c>
      <c r="I1899" s="30">
        <f>I1906/I1910</f>
        <v>1.915914556177541E-2</v>
      </c>
      <c r="J1899" s="648">
        <f>J1906/J1910</f>
        <v>1.9159145561775406E-2</v>
      </c>
    </row>
    <row r="1900" spans="1:10" x14ac:dyDescent="0.25">
      <c r="A1900" s="694" t="s">
        <v>20</v>
      </c>
      <c r="B1900" s="690">
        <v>0.31</v>
      </c>
      <c r="C1900" s="326">
        <v>0.32</v>
      </c>
      <c r="D1900" s="326">
        <v>0.26</v>
      </c>
      <c r="E1900" s="327">
        <v>0.43</v>
      </c>
      <c r="F1900" s="329">
        <v>0.28000000000000003</v>
      </c>
      <c r="G1900" s="327">
        <v>0.28000000000000003</v>
      </c>
      <c r="H1900" s="327">
        <v>0.34</v>
      </c>
      <c r="I1900" s="30">
        <f>I1907/I1910</f>
        <v>0.32199252395291572</v>
      </c>
      <c r="J1900" s="648">
        <f>J1907/J1910</f>
        <v>0.32199252395291572</v>
      </c>
    </row>
    <row r="1901" spans="1:10" x14ac:dyDescent="0.25">
      <c r="A1901" s="694" t="s">
        <v>21</v>
      </c>
      <c r="B1901" s="690">
        <v>0.01</v>
      </c>
      <c r="C1901" s="326">
        <v>0.17</v>
      </c>
      <c r="D1901" s="326">
        <v>0.08</v>
      </c>
      <c r="E1901" s="327">
        <v>0.01</v>
      </c>
      <c r="F1901" s="329">
        <v>0.1</v>
      </c>
      <c r="G1901" s="327">
        <v>0.1</v>
      </c>
      <c r="H1901" s="327">
        <v>0.02</v>
      </c>
      <c r="I1901" s="30">
        <f>I1908/I1910</f>
        <v>6.6662020046582268E-2</v>
      </c>
      <c r="J1901" s="648">
        <f>J1908/J1910</f>
        <v>6.6662020046582268E-2</v>
      </c>
    </row>
    <row r="1902" spans="1:10" x14ac:dyDescent="0.25">
      <c r="A1902" s="694" t="s">
        <v>22</v>
      </c>
      <c r="B1902" s="690">
        <v>0.01</v>
      </c>
      <c r="C1902" s="326">
        <v>0</v>
      </c>
      <c r="D1902" s="326">
        <v>0.01</v>
      </c>
      <c r="E1902" s="327">
        <v>0.01</v>
      </c>
      <c r="F1902" s="329">
        <v>0</v>
      </c>
      <c r="G1902" s="327">
        <v>0</v>
      </c>
      <c r="H1902" s="327">
        <v>0.01</v>
      </c>
      <c r="I1902" s="30">
        <f>I1909/I1910</f>
        <v>5.9701896635405358E-3</v>
      </c>
      <c r="J1902" s="648">
        <f>J1909/J1910</f>
        <v>5.9701896635405358E-3</v>
      </c>
    </row>
    <row r="1903" spans="1:10" x14ac:dyDescent="0.25">
      <c r="A1903" s="696" t="s">
        <v>23</v>
      </c>
      <c r="B1903" s="164">
        <f t="shared" ref="B1903:J1903" si="899">B1914/B1897</f>
        <v>35308.800000000003</v>
      </c>
      <c r="C1903" s="66">
        <f t="shared" si="899"/>
        <v>42272.897196261685</v>
      </c>
      <c r="D1903" s="66">
        <f t="shared" si="899"/>
        <v>32663.478260869568</v>
      </c>
      <c r="E1903" s="66">
        <f t="shared" si="899"/>
        <v>35623.357664233583</v>
      </c>
      <c r="F1903" s="66">
        <f t="shared" si="899"/>
        <v>34885.06493506494</v>
      </c>
      <c r="G1903" s="66">
        <f t="shared" si="899"/>
        <v>37063.380281690144</v>
      </c>
      <c r="H1903" s="66">
        <f t="shared" si="899"/>
        <v>34614.110429447857</v>
      </c>
      <c r="I1903" s="66">
        <f t="shared" si="899"/>
        <v>35802.064220183493</v>
      </c>
      <c r="J1903" s="701">
        <f t="shared" si="899"/>
        <v>35802.064220183493</v>
      </c>
    </row>
    <row r="1904" spans="1:10" x14ac:dyDescent="0.25">
      <c r="A1904" s="696" t="s">
        <v>24</v>
      </c>
      <c r="B1904" s="164">
        <f t="shared" ref="B1904:I1904" si="900">+B1914/B1891</f>
        <v>29036.842105263157</v>
      </c>
      <c r="C1904" s="66">
        <f t="shared" si="900"/>
        <v>29181.935483870966</v>
      </c>
      <c r="D1904" s="66">
        <f t="shared" si="900"/>
        <v>28674.045801526721</v>
      </c>
      <c r="E1904" s="66">
        <f t="shared" si="900"/>
        <v>28374.418604651168</v>
      </c>
      <c r="F1904" s="66">
        <f t="shared" si="900"/>
        <v>28576.063829787239</v>
      </c>
      <c r="G1904" s="66">
        <f t="shared" si="900"/>
        <v>29903.409090909092</v>
      </c>
      <c r="H1904" s="66">
        <f t="shared" si="900"/>
        <v>29385.937500000004</v>
      </c>
      <c r="I1904" s="66">
        <f t="shared" si="900"/>
        <v>28960.482374768093</v>
      </c>
      <c r="J1904" s="701">
        <f>J1914/J1891</f>
        <v>28960.482374768093</v>
      </c>
    </row>
    <row r="1905" spans="1:10" x14ac:dyDescent="0.25">
      <c r="A1905" s="694" t="s">
        <v>25</v>
      </c>
      <c r="B1905" s="300">
        <f t="shared" ref="B1905:H1905" si="901">B1910*B1898</f>
        <v>2426313.6027586209</v>
      </c>
      <c r="C1905" s="92">
        <f t="shared" si="901"/>
        <v>1880856.1724137932</v>
      </c>
      <c r="D1905" s="92">
        <f t="shared" si="901"/>
        <v>1941206.1827586209</v>
      </c>
      <c r="E1905" s="92">
        <f t="shared" si="901"/>
        <v>2181964.7048275867</v>
      </c>
      <c r="F1905" s="92">
        <f t="shared" si="901"/>
        <v>2619946.391034483</v>
      </c>
      <c r="G1905" s="31">
        <f t="shared" si="901"/>
        <v>1176776.9006896552</v>
      </c>
      <c r="H1905" s="31">
        <f t="shared" si="901"/>
        <v>2874917.2524137935</v>
      </c>
      <c r="I1905" s="31">
        <f>SUM(B1905:H1905)</f>
        <v>15101981.206896555</v>
      </c>
      <c r="J1905" s="702">
        <f t="shared" ref="J1905:J1914" si="902">I1905/7</f>
        <v>2157425.8866995079</v>
      </c>
    </row>
    <row r="1906" spans="1:10" x14ac:dyDescent="0.25">
      <c r="A1906" s="694" t="s">
        <v>26</v>
      </c>
      <c r="B1906" s="300">
        <f t="shared" ref="B1906:H1906" si="903">B1910*B1899</f>
        <v>0</v>
      </c>
      <c r="C1906" s="92">
        <f t="shared" si="903"/>
        <v>37617.123448275866</v>
      </c>
      <c r="D1906" s="92">
        <f t="shared" si="903"/>
        <v>61625.593103448286</v>
      </c>
      <c r="E1906" s="92">
        <f t="shared" si="903"/>
        <v>40406.753793103453</v>
      </c>
      <c r="F1906" s="92">
        <f t="shared" si="903"/>
        <v>133217.6131034483</v>
      </c>
      <c r="G1906" s="31">
        <f t="shared" si="903"/>
        <v>174337.31862068965</v>
      </c>
      <c r="H1906" s="31">
        <f t="shared" si="903"/>
        <v>46369.633103448286</v>
      </c>
      <c r="I1906" s="31">
        <f>SUM(B1906:H1906)</f>
        <v>493574.03517241392</v>
      </c>
      <c r="J1906" s="702">
        <f t="shared" si="902"/>
        <v>70510.576453201982</v>
      </c>
    </row>
    <row r="1907" spans="1:10" x14ac:dyDescent="0.25">
      <c r="A1907" s="694" t="s">
        <v>27</v>
      </c>
      <c r="B1907" s="300">
        <f t="shared" ref="B1907:H1907" si="904">B1910*B1900</f>
        <v>1122622.7117241379</v>
      </c>
      <c r="C1907" s="92">
        <f t="shared" si="904"/>
        <v>1203747.9503448277</v>
      </c>
      <c r="D1907" s="92">
        <f t="shared" si="904"/>
        <v>801132.71034482773</v>
      </c>
      <c r="E1907" s="92">
        <f t="shared" si="904"/>
        <v>1737490.4131034485</v>
      </c>
      <c r="F1907" s="92">
        <f t="shared" si="904"/>
        <v>1243364.3889655175</v>
      </c>
      <c r="G1907" s="31">
        <f t="shared" si="904"/>
        <v>610180.61517241388</v>
      </c>
      <c r="H1907" s="31">
        <f t="shared" si="904"/>
        <v>1576567.5255172418</v>
      </c>
      <c r="I1907" s="31">
        <f>SUM(B1907:H1907)</f>
        <v>8295106.3151724152</v>
      </c>
      <c r="J1907" s="702">
        <f t="shared" si="902"/>
        <v>1185015.1878817736</v>
      </c>
    </row>
    <row r="1908" spans="1:10" x14ac:dyDescent="0.25">
      <c r="A1908" s="694" t="s">
        <v>28</v>
      </c>
      <c r="B1908" s="300">
        <f t="shared" ref="B1908:H1908" si="905">B1910*B1901</f>
        <v>36213.635862068964</v>
      </c>
      <c r="C1908" s="92">
        <f t="shared" si="905"/>
        <v>639491.09862068971</v>
      </c>
      <c r="D1908" s="92">
        <f t="shared" si="905"/>
        <v>246502.37241379314</v>
      </c>
      <c r="E1908" s="92">
        <f t="shared" si="905"/>
        <v>40406.753793103453</v>
      </c>
      <c r="F1908" s="92">
        <f t="shared" si="905"/>
        <v>444058.71034482768</v>
      </c>
      <c r="G1908" s="31">
        <f t="shared" si="905"/>
        <v>217921.6482758621</v>
      </c>
      <c r="H1908" s="31">
        <f t="shared" si="905"/>
        <v>92739.266206896573</v>
      </c>
      <c r="I1908" s="31">
        <f>SUM(B1908:H1908)</f>
        <v>1717333.4855172418</v>
      </c>
      <c r="J1908" s="702">
        <f t="shared" si="902"/>
        <v>245333.35507389167</v>
      </c>
    </row>
    <row r="1909" spans="1:10" x14ac:dyDescent="0.25">
      <c r="A1909" s="694" t="s">
        <v>29</v>
      </c>
      <c r="B1909" s="300">
        <f t="shared" ref="B1909:H1909" si="906">B1910*B1902</f>
        <v>36213.635862068964</v>
      </c>
      <c r="C1909" s="92">
        <f t="shared" si="906"/>
        <v>0</v>
      </c>
      <c r="D1909" s="92">
        <f t="shared" si="906"/>
        <v>30812.796551724143</v>
      </c>
      <c r="E1909" s="92">
        <f t="shared" si="906"/>
        <v>40406.753793103453</v>
      </c>
      <c r="F1909" s="92">
        <f t="shared" si="906"/>
        <v>0</v>
      </c>
      <c r="G1909" s="31">
        <f t="shared" si="906"/>
        <v>0</v>
      </c>
      <c r="H1909" s="31">
        <f t="shared" si="906"/>
        <v>46369.633103448286</v>
      </c>
      <c r="I1909" s="31">
        <f>SUM(B1909:H1909)</f>
        <v>153802.81931034484</v>
      </c>
      <c r="J1909" s="702">
        <f t="shared" si="902"/>
        <v>21971.831330049263</v>
      </c>
    </row>
    <row r="1910" spans="1:10" x14ac:dyDescent="0.25">
      <c r="A1910" s="697" t="s">
        <v>30</v>
      </c>
      <c r="B1910" s="691">
        <f>(4413600/1.16)-B1911</f>
        <v>3621363.5862068967</v>
      </c>
      <c r="C1910" s="222">
        <f>(4523200/1.16)-C1911</f>
        <v>3761712.3448275863</v>
      </c>
      <c r="D1910" s="222">
        <f>(3756300/1.16)-D1911</f>
        <v>3081279.6551724141</v>
      </c>
      <c r="E1910" s="222">
        <f>(4880400/1.16)-E1911</f>
        <v>4040675.3793103453</v>
      </c>
      <c r="F1910" s="222">
        <f>(5372300/1.16)-F1911</f>
        <v>4440587.1034482764</v>
      </c>
      <c r="G1910" s="222">
        <f>(2631500/1.16)-G1911</f>
        <v>2179216.4827586208</v>
      </c>
      <c r="H1910" s="222">
        <f>(5642100/1.16)-H1911</f>
        <v>4636963.3103448283</v>
      </c>
      <c r="I1910" s="197">
        <f>SUM(I1905:I1909)</f>
        <v>25761797.86206897</v>
      </c>
      <c r="J1910" s="703">
        <f t="shared" si="902"/>
        <v>3680256.8374384241</v>
      </c>
    </row>
    <row r="1911" spans="1:10" x14ac:dyDescent="0.25">
      <c r="A1911" s="694" t="s">
        <v>31</v>
      </c>
      <c r="B1911" s="300">
        <f t="shared" ref="B1911:I1911" si="907">2414*B1892</f>
        <v>183464</v>
      </c>
      <c r="C1911" s="92">
        <f t="shared" si="907"/>
        <v>137598</v>
      </c>
      <c r="D1911" s="92">
        <f t="shared" si="907"/>
        <v>156910</v>
      </c>
      <c r="E1911" s="92">
        <f t="shared" si="907"/>
        <v>166566</v>
      </c>
      <c r="F1911" s="92">
        <f t="shared" si="907"/>
        <v>190706</v>
      </c>
      <c r="G1911" s="92">
        <f t="shared" si="907"/>
        <v>89318</v>
      </c>
      <c r="H1911" s="92">
        <f t="shared" si="907"/>
        <v>226916</v>
      </c>
      <c r="I1911" s="31">
        <f t="shared" si="907"/>
        <v>1151478</v>
      </c>
      <c r="J1911" s="702">
        <f t="shared" si="902"/>
        <v>164496.85714285713</v>
      </c>
    </row>
    <row r="1912" spans="1:10" x14ac:dyDescent="0.25">
      <c r="A1912" s="698" t="s">
        <v>32</v>
      </c>
      <c r="B1912" s="342">
        <f>B1911+B1910</f>
        <v>3804827.5862068967</v>
      </c>
      <c r="C1912" s="199">
        <f>C1911+C1910</f>
        <v>3899310.3448275863</v>
      </c>
      <c r="D1912" s="199">
        <f>D1911+D1910</f>
        <v>3238189.6551724141</v>
      </c>
      <c r="E1912" s="199">
        <f>E1911+E1910</f>
        <v>4207241.3793103453</v>
      </c>
      <c r="F1912" s="199">
        <f>F1910+F1911</f>
        <v>4631293.1034482764</v>
      </c>
      <c r="G1912" s="199">
        <f>G1911+G1910</f>
        <v>2268534.4827586208</v>
      </c>
      <c r="H1912" s="199">
        <f>H1911+H1910</f>
        <v>4863879.3103448283</v>
      </c>
      <c r="I1912" s="199">
        <f>I1910+I1911</f>
        <v>26913275.86206897</v>
      </c>
      <c r="J1912" s="704">
        <f t="shared" si="902"/>
        <v>3844753.6945812814</v>
      </c>
    </row>
    <row r="1913" spans="1:10" x14ac:dyDescent="0.25">
      <c r="A1913" s="694" t="s">
        <v>33</v>
      </c>
      <c r="B1913" s="302">
        <f>B1912*16%</f>
        <v>608772.41379310354</v>
      </c>
      <c r="C1913" s="94">
        <f t="shared" ref="C1913:H1913" si="908">C1912*16%</f>
        <v>623889.6551724138</v>
      </c>
      <c r="D1913" s="94">
        <f t="shared" si="908"/>
        <v>518110.34482758626</v>
      </c>
      <c r="E1913" s="94">
        <f t="shared" si="908"/>
        <v>673158.6206896553</v>
      </c>
      <c r="F1913" s="94">
        <f t="shared" si="908"/>
        <v>741006.89655172429</v>
      </c>
      <c r="G1913" s="94">
        <f t="shared" si="908"/>
        <v>362965.5172413793</v>
      </c>
      <c r="H1913" s="94">
        <f t="shared" si="908"/>
        <v>778220.68965517252</v>
      </c>
      <c r="I1913" s="94">
        <f>I1912*16%</f>
        <v>4306124.1379310349</v>
      </c>
      <c r="J1913" s="702">
        <f t="shared" si="902"/>
        <v>615160.59113300499</v>
      </c>
    </row>
    <row r="1914" spans="1:10" ht="15.75" thickBot="1" x14ac:dyDescent="0.3">
      <c r="A1914" s="699" t="s">
        <v>34</v>
      </c>
      <c r="B1914" s="708">
        <f>B1912+B1913</f>
        <v>4413600</v>
      </c>
      <c r="C1914" s="656">
        <f t="shared" ref="C1914:H1914" si="909">C1912+C1913</f>
        <v>4523200</v>
      </c>
      <c r="D1914" s="656">
        <f t="shared" si="909"/>
        <v>3756300.0000000005</v>
      </c>
      <c r="E1914" s="656">
        <f t="shared" si="909"/>
        <v>4880400.0000000009</v>
      </c>
      <c r="F1914" s="656">
        <f t="shared" si="909"/>
        <v>5372300.0000000009</v>
      </c>
      <c r="G1914" s="656">
        <f t="shared" si="909"/>
        <v>2631500</v>
      </c>
      <c r="H1914" s="656">
        <f t="shared" si="909"/>
        <v>5642100.0000000009</v>
      </c>
      <c r="I1914" s="656">
        <f>I1912+I1913</f>
        <v>31219400.000000004</v>
      </c>
      <c r="J1914" s="705">
        <f t="shared" si="902"/>
        <v>4459914.2857142864</v>
      </c>
    </row>
    <row r="1915" spans="1:10" ht="15.75" thickBot="1" x14ac:dyDescent="0.3"/>
    <row r="1916" spans="1:10" ht="27" thickBot="1" x14ac:dyDescent="0.3">
      <c r="B1916" s="1007" t="s">
        <v>646</v>
      </c>
      <c r="C1916" s="1007"/>
      <c r="D1916" s="1007"/>
      <c r="E1916" s="1007"/>
      <c r="F1916" s="1007"/>
      <c r="G1916" s="1007"/>
      <c r="H1916" s="1007"/>
    </row>
    <row r="1917" spans="1:10" ht="15.75" x14ac:dyDescent="0.25">
      <c r="A1917" s="709" t="s">
        <v>2</v>
      </c>
      <c r="B1917" s="706" t="s">
        <v>274</v>
      </c>
      <c r="C1917" s="617" t="s">
        <v>275</v>
      </c>
      <c r="D1917" s="617" t="s">
        <v>658</v>
      </c>
      <c r="E1917" s="617" t="s">
        <v>277</v>
      </c>
      <c r="F1917" s="617" t="s">
        <v>278</v>
      </c>
      <c r="G1917" s="617" t="s">
        <v>279</v>
      </c>
      <c r="H1917" s="617" t="s">
        <v>280</v>
      </c>
      <c r="I1917" s="641" t="s">
        <v>96</v>
      </c>
      <c r="J1917" s="642" t="s">
        <v>97</v>
      </c>
    </row>
    <row r="1918" spans="1:10" x14ac:dyDescent="0.25">
      <c r="A1918" s="710" t="s">
        <v>11</v>
      </c>
      <c r="B1918" s="56">
        <f>70+42+19</f>
        <v>131</v>
      </c>
      <c r="C1918" s="673">
        <f>66+52+11</f>
        <v>129</v>
      </c>
      <c r="D1918" s="673">
        <f>80+51+16</f>
        <v>147</v>
      </c>
      <c r="E1918" s="738">
        <f>72+53+7</f>
        <v>132</v>
      </c>
      <c r="F1918" s="738">
        <f>110+63+15</f>
        <v>188</v>
      </c>
      <c r="G1918" s="738">
        <f>111+79+19</f>
        <v>209</v>
      </c>
      <c r="H1918" s="738">
        <f>130+88+18</f>
        <v>236</v>
      </c>
      <c r="I1918" s="741">
        <f>SUM(B1918:H1918)</f>
        <v>1172</v>
      </c>
      <c r="J1918" s="700">
        <f>+I1918/7</f>
        <v>167.42857142857142</v>
      </c>
    </row>
    <row r="1919" spans="1:10" x14ac:dyDescent="0.25">
      <c r="A1919" s="694" t="s">
        <v>12</v>
      </c>
      <c r="B1919" s="689">
        <v>69</v>
      </c>
      <c r="C1919" s="675">
        <v>66</v>
      </c>
      <c r="D1919" s="675">
        <v>64</v>
      </c>
      <c r="E1919" s="734">
        <v>66</v>
      </c>
      <c r="F1919" s="742">
        <v>80</v>
      </c>
      <c r="G1919" s="734">
        <v>94</v>
      </c>
      <c r="H1919" s="734">
        <v>126</v>
      </c>
      <c r="I1919" s="11">
        <f>SUM(CEDRITOS!$B1919:$H1919)</f>
        <v>565</v>
      </c>
      <c r="J1919" s="623">
        <f t="shared" ref="J1919:J1924" si="910">I1919/7</f>
        <v>80.714285714285708</v>
      </c>
    </row>
    <row r="1920" spans="1:10" x14ac:dyDescent="0.25">
      <c r="A1920" s="694" t="s">
        <v>13</v>
      </c>
      <c r="B1920" s="313">
        <v>2</v>
      </c>
      <c r="C1920" s="13">
        <v>0</v>
      </c>
      <c r="D1920" s="13">
        <v>1</v>
      </c>
      <c r="E1920" s="11">
        <v>3</v>
      </c>
      <c r="F1920" s="125">
        <v>3</v>
      </c>
      <c r="G1920" s="11">
        <v>5</v>
      </c>
      <c r="H1920" s="11">
        <v>0</v>
      </c>
      <c r="I1920" s="11">
        <f>SUM(CEDRITOS!$B1920:$H1920)</f>
        <v>14</v>
      </c>
      <c r="J1920" s="623">
        <f t="shared" si="910"/>
        <v>2</v>
      </c>
    </row>
    <row r="1921" spans="1:10" x14ac:dyDescent="0.25">
      <c r="A1921" s="694" t="s">
        <v>14</v>
      </c>
      <c r="B1921" s="313">
        <v>33</v>
      </c>
      <c r="C1921" s="13">
        <v>31</v>
      </c>
      <c r="D1921" s="320">
        <v>50</v>
      </c>
      <c r="E1921" s="11">
        <v>34</v>
      </c>
      <c r="F1921" s="125">
        <v>52</v>
      </c>
      <c r="G1921" s="11">
        <v>51</v>
      </c>
      <c r="H1921" s="11">
        <v>43</v>
      </c>
      <c r="I1921" s="11">
        <f>SUM(CEDRITOS!$B1921:$H1921)</f>
        <v>294</v>
      </c>
      <c r="J1921" s="623">
        <f t="shared" si="910"/>
        <v>42</v>
      </c>
    </row>
    <row r="1922" spans="1:10" x14ac:dyDescent="0.25">
      <c r="A1922" s="694" t="s">
        <v>15</v>
      </c>
      <c r="B1922" s="313">
        <v>6</v>
      </c>
      <c r="C1922" s="13">
        <v>2</v>
      </c>
      <c r="D1922" s="13">
        <v>3</v>
      </c>
      <c r="E1922" s="11">
        <v>3</v>
      </c>
      <c r="F1922" s="125">
        <v>14</v>
      </c>
      <c r="G1922" s="11">
        <v>17</v>
      </c>
      <c r="H1922" s="11">
        <v>17</v>
      </c>
      <c r="I1922" s="11">
        <f>SUM(CEDRITOS!$B1922:$H1922)</f>
        <v>62</v>
      </c>
      <c r="J1922" s="623">
        <f t="shared" si="910"/>
        <v>8.8571428571428577</v>
      </c>
    </row>
    <row r="1923" spans="1:10" x14ac:dyDescent="0.25">
      <c r="A1923" s="694" t="s">
        <v>16</v>
      </c>
      <c r="B1923" s="313">
        <v>0</v>
      </c>
      <c r="C1923" s="13">
        <v>0</v>
      </c>
      <c r="D1923" s="13">
        <v>0</v>
      </c>
      <c r="E1923" s="11">
        <v>1</v>
      </c>
      <c r="F1923" s="125">
        <v>0</v>
      </c>
      <c r="G1923" s="11">
        <v>1</v>
      </c>
      <c r="H1923" s="11">
        <v>0</v>
      </c>
      <c r="I1923" s="11">
        <f>SUM(CEDRITOS!$B1923:$H1923)</f>
        <v>2</v>
      </c>
      <c r="J1923" s="623">
        <f t="shared" si="910"/>
        <v>0.2857142857142857</v>
      </c>
    </row>
    <row r="1924" spans="1:10" x14ac:dyDescent="0.25">
      <c r="A1924" s="695" t="s">
        <v>17</v>
      </c>
      <c r="B1924" s="707">
        <f>SUM(B1919:B1923)</f>
        <v>110</v>
      </c>
      <c r="C1924" s="192">
        <f t="shared" ref="C1924:I1924" si="911">SUM(C1919:C1923)</f>
        <v>99</v>
      </c>
      <c r="D1924" s="192">
        <f t="shared" si="911"/>
        <v>118</v>
      </c>
      <c r="E1924" s="192">
        <f t="shared" si="911"/>
        <v>107</v>
      </c>
      <c r="F1924" s="192">
        <f t="shared" si="911"/>
        <v>149</v>
      </c>
      <c r="G1924" s="192">
        <f t="shared" si="911"/>
        <v>168</v>
      </c>
      <c r="H1924" s="192">
        <f t="shared" si="911"/>
        <v>186</v>
      </c>
      <c r="I1924" s="192">
        <f t="shared" si="911"/>
        <v>937</v>
      </c>
      <c r="J1924" s="647">
        <f t="shared" si="910"/>
        <v>133.85714285714286</v>
      </c>
    </row>
    <row r="1925" spans="1:10" x14ac:dyDescent="0.25">
      <c r="A1925" s="694" t="s">
        <v>18</v>
      </c>
      <c r="B1925" s="690">
        <v>0.69</v>
      </c>
      <c r="C1925" s="326">
        <v>0.7</v>
      </c>
      <c r="D1925" s="326">
        <v>0.62</v>
      </c>
      <c r="E1925" s="327">
        <v>0.65</v>
      </c>
      <c r="F1925" s="328">
        <v>0.55000000000000004</v>
      </c>
      <c r="G1925" s="327">
        <v>0.61</v>
      </c>
      <c r="H1925" s="327">
        <v>0.71</v>
      </c>
      <c r="I1925" s="30">
        <f>I1932/I1937</f>
        <v>0.64565096285606061</v>
      </c>
      <c r="J1925" s="648">
        <f>J1932/J1937</f>
        <v>0.6456509628560605</v>
      </c>
    </row>
    <row r="1926" spans="1:10" x14ac:dyDescent="0.25">
      <c r="A1926" s="694" t="s">
        <v>19</v>
      </c>
      <c r="B1926" s="690">
        <v>0.02</v>
      </c>
      <c r="C1926" s="326">
        <v>0</v>
      </c>
      <c r="D1926" s="326">
        <v>0.01</v>
      </c>
      <c r="E1926" s="327">
        <v>0.03</v>
      </c>
      <c r="F1926" s="327">
        <v>0.03</v>
      </c>
      <c r="G1926" s="327">
        <v>0.02</v>
      </c>
      <c r="H1926" s="327">
        <v>0</v>
      </c>
      <c r="I1926" s="30">
        <f>I1933/I1937</f>
        <v>1.5103496961796841E-2</v>
      </c>
      <c r="J1926" s="648">
        <f>J1933/J1937</f>
        <v>1.5103496961796841E-2</v>
      </c>
    </row>
    <row r="1927" spans="1:10" x14ac:dyDescent="0.25">
      <c r="A1927" s="694" t="s">
        <v>20</v>
      </c>
      <c r="B1927" s="690">
        <v>0.24</v>
      </c>
      <c r="C1927" s="326">
        <v>0.28999999999999998</v>
      </c>
      <c r="D1927" s="326">
        <v>0.36</v>
      </c>
      <c r="E1927" s="327">
        <v>0.28000000000000003</v>
      </c>
      <c r="F1927" s="329">
        <v>0.33</v>
      </c>
      <c r="G1927" s="327">
        <v>0.27</v>
      </c>
      <c r="H1927" s="327">
        <v>0.2</v>
      </c>
      <c r="I1927" s="30">
        <f>I1934/I1937</f>
        <v>0.27710715387820134</v>
      </c>
      <c r="J1927" s="648">
        <f>J1934/J1937</f>
        <v>0.27710715387820134</v>
      </c>
    </row>
    <row r="1928" spans="1:10" x14ac:dyDescent="0.25">
      <c r="A1928" s="694" t="s">
        <v>21</v>
      </c>
      <c r="B1928" s="690">
        <v>0.05</v>
      </c>
      <c r="C1928" s="326">
        <v>0.01</v>
      </c>
      <c r="D1928" s="326">
        <v>0.01</v>
      </c>
      <c r="E1928" s="327">
        <v>0.03</v>
      </c>
      <c r="F1928" s="329">
        <v>0.09</v>
      </c>
      <c r="G1928" s="327">
        <v>0.09</v>
      </c>
      <c r="H1928" s="327">
        <v>0.09</v>
      </c>
      <c r="I1928" s="30">
        <f>I1935/I1937</f>
        <v>5.9226713171820392E-2</v>
      </c>
      <c r="J1928" s="648">
        <f>J1935/J1937</f>
        <v>5.9226713171820392E-2</v>
      </c>
    </row>
    <row r="1929" spans="1:10" x14ac:dyDescent="0.25">
      <c r="A1929" s="694" t="s">
        <v>22</v>
      </c>
      <c r="B1929" s="690">
        <v>0</v>
      </c>
      <c r="C1929" s="326">
        <v>0</v>
      </c>
      <c r="D1929" s="326">
        <v>0</v>
      </c>
      <c r="E1929" s="327">
        <v>0.01</v>
      </c>
      <c r="F1929" s="329">
        <v>0</v>
      </c>
      <c r="G1929" s="327">
        <v>0.01</v>
      </c>
      <c r="H1929" s="327">
        <v>0</v>
      </c>
      <c r="I1929" s="30">
        <f>I1936/I1937</f>
        <v>2.9116731321209071E-3</v>
      </c>
      <c r="J1929" s="648">
        <f>J1936/J1937</f>
        <v>2.9116731321209067E-3</v>
      </c>
    </row>
    <row r="1930" spans="1:10" x14ac:dyDescent="0.25">
      <c r="A1930" s="696" t="s">
        <v>23</v>
      </c>
      <c r="B1930" s="164">
        <f t="shared" ref="B1930:J1930" si="912">B1941/B1924</f>
        <v>31733.636363636368</v>
      </c>
      <c r="C1930" s="66">
        <f t="shared" si="912"/>
        <v>38502.020202020205</v>
      </c>
      <c r="D1930" s="66">
        <f t="shared" si="912"/>
        <v>35656.779661016946</v>
      </c>
      <c r="E1930" s="66">
        <f t="shared" si="912"/>
        <v>36405.607476635516</v>
      </c>
      <c r="F1930" s="66">
        <f t="shared" si="912"/>
        <v>34671.140939597317</v>
      </c>
      <c r="G1930" s="66">
        <f t="shared" si="912"/>
        <v>33938.095238095237</v>
      </c>
      <c r="H1930" s="66">
        <f t="shared" si="912"/>
        <v>36187.634408602149</v>
      </c>
      <c r="I1930" s="66">
        <f t="shared" si="912"/>
        <v>35222.838847385276</v>
      </c>
      <c r="J1930" s="701">
        <f t="shared" si="912"/>
        <v>35222.838847385276</v>
      </c>
    </row>
    <row r="1931" spans="1:10" x14ac:dyDescent="0.25">
      <c r="A1931" s="696" t="s">
        <v>24</v>
      </c>
      <c r="B1931" s="164">
        <f t="shared" ref="B1931:I1931" si="913">+B1941/B1918</f>
        <v>26646.564885496187</v>
      </c>
      <c r="C1931" s="66">
        <f t="shared" si="913"/>
        <v>29548.062015503878</v>
      </c>
      <c r="D1931" s="66">
        <f t="shared" si="913"/>
        <v>28622.448979591838</v>
      </c>
      <c r="E1931" s="66">
        <f t="shared" si="913"/>
        <v>29510.60606060606</v>
      </c>
      <c r="F1931" s="66">
        <f t="shared" si="913"/>
        <v>27478.723404255321</v>
      </c>
      <c r="G1931" s="66">
        <f t="shared" si="913"/>
        <v>27280.382775119619</v>
      </c>
      <c r="H1931" s="66">
        <f t="shared" si="913"/>
        <v>28520.762711864405</v>
      </c>
      <c r="I1931" s="66">
        <f t="shared" si="913"/>
        <v>28160.238907849831</v>
      </c>
      <c r="J1931" s="701">
        <f>J1941/J1918</f>
        <v>28160.238907849835</v>
      </c>
    </row>
    <row r="1932" spans="1:10" x14ac:dyDescent="0.25">
      <c r="A1932" s="694" t="s">
        <v>25</v>
      </c>
      <c r="B1932" s="300">
        <f t="shared" ref="B1932:H1932" si="914">B1937*B1925</f>
        <v>1961434.1151724139</v>
      </c>
      <c r="C1932" s="92">
        <f t="shared" si="914"/>
        <v>2188636.9931034483</v>
      </c>
      <c r="D1932" s="92">
        <f t="shared" si="914"/>
        <v>2153048.6868965519</v>
      </c>
      <c r="E1932" s="92">
        <f t="shared" si="914"/>
        <v>2079206.6413793105</v>
      </c>
      <c r="F1932" s="92">
        <f t="shared" si="914"/>
        <v>2343180.5517241382</v>
      </c>
      <c r="G1932" s="31">
        <f t="shared" si="914"/>
        <v>2859836.4124137932</v>
      </c>
      <c r="H1932" s="31">
        <f t="shared" si="914"/>
        <v>3903818.5599999996</v>
      </c>
      <c r="I1932" s="31">
        <f>SUM(B1932:H1932)</f>
        <v>17489161.960689656</v>
      </c>
      <c r="J1932" s="702">
        <f t="shared" ref="J1932:J1941" si="915">I1932/7</f>
        <v>2498451.7086699507</v>
      </c>
    </row>
    <row r="1933" spans="1:10" x14ac:dyDescent="0.25">
      <c r="A1933" s="694" t="s">
        <v>26</v>
      </c>
      <c r="B1933" s="300">
        <f t="shared" ref="B1933:H1933" si="916">B1937*B1926</f>
        <v>56853.162758620696</v>
      </c>
      <c r="C1933" s="92">
        <f t="shared" si="916"/>
        <v>0</v>
      </c>
      <c r="D1933" s="92">
        <f t="shared" si="916"/>
        <v>34726.591724137936</v>
      </c>
      <c r="E1933" s="92">
        <f t="shared" si="916"/>
        <v>95963.383448275868</v>
      </c>
      <c r="F1933" s="92">
        <f t="shared" si="916"/>
        <v>127809.84827586207</v>
      </c>
      <c r="G1933" s="31">
        <f t="shared" si="916"/>
        <v>93765.12827586208</v>
      </c>
      <c r="H1933" s="31">
        <f t="shared" si="916"/>
        <v>0</v>
      </c>
      <c r="I1933" s="31">
        <f>SUM(B1933:H1933)</f>
        <v>409118.11448275862</v>
      </c>
      <c r="J1933" s="702">
        <f t="shared" si="915"/>
        <v>58445.444926108372</v>
      </c>
    </row>
    <row r="1934" spans="1:10" x14ac:dyDescent="0.25">
      <c r="A1934" s="694" t="s">
        <v>27</v>
      </c>
      <c r="B1934" s="300">
        <f t="shared" ref="B1934:H1934" si="917">B1937*B1927</f>
        <v>682237.95310344838</v>
      </c>
      <c r="C1934" s="92">
        <f t="shared" si="917"/>
        <v>906721.04</v>
      </c>
      <c r="D1934" s="92">
        <f t="shared" si="917"/>
        <v>1250157.3020689655</v>
      </c>
      <c r="E1934" s="92">
        <f t="shared" si="917"/>
        <v>895658.24551724154</v>
      </c>
      <c r="F1934" s="92">
        <f t="shared" si="917"/>
        <v>1405908.3310344827</v>
      </c>
      <c r="G1934" s="31">
        <f t="shared" si="917"/>
        <v>1265829.2317241381</v>
      </c>
      <c r="H1934" s="31">
        <f t="shared" si="917"/>
        <v>1099667.2</v>
      </c>
      <c r="I1934" s="31">
        <f>SUM(B1934:H1934)</f>
        <v>7506179.3034482766</v>
      </c>
      <c r="J1934" s="702">
        <f t="shared" si="915"/>
        <v>1072311.3290640395</v>
      </c>
    </row>
    <row r="1935" spans="1:10" x14ac:dyDescent="0.25">
      <c r="A1935" s="694" t="s">
        <v>28</v>
      </c>
      <c r="B1935" s="300">
        <f t="shared" ref="B1935:H1935" si="918">B1937*B1928</f>
        <v>142132.90689655175</v>
      </c>
      <c r="C1935" s="92">
        <f t="shared" si="918"/>
        <v>31266.242758620694</v>
      </c>
      <c r="D1935" s="92">
        <f t="shared" si="918"/>
        <v>34726.591724137936</v>
      </c>
      <c r="E1935" s="92">
        <f t="shared" si="918"/>
        <v>95963.383448275868</v>
      </c>
      <c r="F1935" s="92">
        <f t="shared" si="918"/>
        <v>383429.54482758616</v>
      </c>
      <c r="G1935" s="31">
        <f t="shared" si="918"/>
        <v>421943.0772413793</v>
      </c>
      <c r="H1935" s="31">
        <f t="shared" si="918"/>
        <v>494850.24</v>
      </c>
      <c r="I1935" s="31">
        <f>SUM(B1935:H1935)</f>
        <v>1604311.9868965517</v>
      </c>
      <c r="J1935" s="702">
        <f t="shared" si="915"/>
        <v>229187.42669950737</v>
      </c>
    </row>
    <row r="1936" spans="1:10" x14ac:dyDescent="0.25">
      <c r="A1936" s="694" t="s">
        <v>29</v>
      </c>
      <c r="B1936" s="300">
        <f t="shared" ref="B1936:H1936" si="919">B1937*B1929</f>
        <v>0</v>
      </c>
      <c r="C1936" s="92">
        <f t="shared" si="919"/>
        <v>0</v>
      </c>
      <c r="D1936" s="92">
        <f t="shared" si="919"/>
        <v>0</v>
      </c>
      <c r="E1936" s="92">
        <f t="shared" si="919"/>
        <v>31987.794482758622</v>
      </c>
      <c r="F1936" s="92">
        <f t="shared" si="919"/>
        <v>0</v>
      </c>
      <c r="G1936" s="31">
        <f t="shared" si="919"/>
        <v>46882.56413793104</v>
      </c>
      <c r="H1936" s="31">
        <f t="shared" si="919"/>
        <v>0</v>
      </c>
      <c r="I1936" s="31">
        <f>SUM(B1936:H1936)</f>
        <v>78870.358620689658</v>
      </c>
      <c r="J1936" s="702">
        <f t="shared" si="915"/>
        <v>11267.19408866995</v>
      </c>
    </row>
    <row r="1937" spans="1:10" x14ac:dyDescent="0.25">
      <c r="A1937" s="697" t="s">
        <v>30</v>
      </c>
      <c r="B1937" s="691">
        <f>(3490700/1.16)-B1938</f>
        <v>2842658.1379310349</v>
      </c>
      <c r="C1937" s="222">
        <f>(3811700/1.16)-C1938</f>
        <v>3126624.2758620693</v>
      </c>
      <c r="D1937" s="222">
        <f>(4207500/1.16)-D1938</f>
        <v>3472659.1724137934</v>
      </c>
      <c r="E1937" s="222">
        <f>(3895400/1.16)-E1938</f>
        <v>3198779.4482758623</v>
      </c>
      <c r="F1937" s="222">
        <f>(5166000/1.16)-F1938</f>
        <v>4260328.2758620689</v>
      </c>
      <c r="G1937" s="222">
        <f>(5701600/1.16)-G1938</f>
        <v>4688256.4137931038</v>
      </c>
      <c r="H1937" s="222">
        <f>(6730900/1.16)-H1938</f>
        <v>5498336</v>
      </c>
      <c r="I1937" s="197">
        <f>SUM(I1932:I1936)</f>
        <v>27087641.724137932</v>
      </c>
      <c r="J1937" s="703">
        <f t="shared" si="915"/>
        <v>3869663.1034482759</v>
      </c>
    </row>
    <row r="1938" spans="1:10" x14ac:dyDescent="0.25">
      <c r="A1938" s="694" t="s">
        <v>31</v>
      </c>
      <c r="B1938" s="300">
        <f t="shared" ref="B1938:I1938" si="920">2414*B1919</f>
        <v>166566</v>
      </c>
      <c r="C1938" s="92">
        <f t="shared" si="920"/>
        <v>159324</v>
      </c>
      <c r="D1938" s="92">
        <f t="shared" si="920"/>
        <v>154496</v>
      </c>
      <c r="E1938" s="92">
        <f t="shared" si="920"/>
        <v>159324</v>
      </c>
      <c r="F1938" s="92">
        <f t="shared" si="920"/>
        <v>193120</v>
      </c>
      <c r="G1938" s="92">
        <f t="shared" si="920"/>
        <v>226916</v>
      </c>
      <c r="H1938" s="92">
        <f t="shared" si="920"/>
        <v>304164</v>
      </c>
      <c r="I1938" s="31">
        <f t="shared" si="920"/>
        <v>1363910</v>
      </c>
      <c r="J1938" s="702">
        <f t="shared" si="915"/>
        <v>194844.28571428571</v>
      </c>
    </row>
    <row r="1939" spans="1:10" x14ac:dyDescent="0.25">
      <c r="A1939" s="698" t="s">
        <v>32</v>
      </c>
      <c r="B1939" s="342">
        <f>B1938+B1937</f>
        <v>3009224.1379310349</v>
      </c>
      <c r="C1939" s="199">
        <f>C1938+C1937</f>
        <v>3285948.2758620693</v>
      </c>
      <c r="D1939" s="199">
        <f>D1938+D1937</f>
        <v>3627155.1724137934</v>
      </c>
      <c r="E1939" s="199">
        <f>E1938+E1937</f>
        <v>3358103.4482758623</v>
      </c>
      <c r="F1939" s="199">
        <f>F1937+F1938</f>
        <v>4453448.2758620689</v>
      </c>
      <c r="G1939" s="199">
        <f>G1938+G1937</f>
        <v>4915172.4137931038</v>
      </c>
      <c r="H1939" s="199">
        <f>H1938+H1937</f>
        <v>5802500</v>
      </c>
      <c r="I1939" s="199">
        <f>I1937+I1938</f>
        <v>28451551.724137932</v>
      </c>
      <c r="J1939" s="704">
        <f t="shared" si="915"/>
        <v>4064507.3891625619</v>
      </c>
    </row>
    <row r="1940" spans="1:10" x14ac:dyDescent="0.25">
      <c r="A1940" s="694" t="s">
        <v>33</v>
      </c>
      <c r="B1940" s="302">
        <f>B1939*16%</f>
        <v>481475.86206896557</v>
      </c>
      <c r="C1940" s="94">
        <f t="shared" ref="C1940:H1940" si="921">C1939*16%</f>
        <v>525751.72413793113</v>
      </c>
      <c r="D1940" s="94">
        <f t="shared" si="921"/>
        <v>580344.82758620696</v>
      </c>
      <c r="E1940" s="94">
        <f t="shared" si="921"/>
        <v>537296.55172413797</v>
      </c>
      <c r="F1940" s="94">
        <f t="shared" si="921"/>
        <v>712551.72413793101</v>
      </c>
      <c r="G1940" s="94">
        <f t="shared" si="921"/>
        <v>786427.58620689658</v>
      </c>
      <c r="H1940" s="94">
        <f t="shared" si="921"/>
        <v>928400</v>
      </c>
      <c r="I1940" s="94">
        <f>I1939*16%</f>
        <v>4552248.2758620689</v>
      </c>
      <c r="J1940" s="702">
        <f t="shared" si="915"/>
        <v>650321.18226600986</v>
      </c>
    </row>
    <row r="1941" spans="1:10" ht="15.75" thickBot="1" x14ac:dyDescent="0.3">
      <c r="A1941" s="699" t="s">
        <v>34</v>
      </c>
      <c r="B1941" s="708">
        <f>B1939+B1940</f>
        <v>3490700.0000000005</v>
      </c>
      <c r="C1941" s="656">
        <f t="shared" ref="C1941:H1941" si="922">C1939+C1940</f>
        <v>3811700.0000000005</v>
      </c>
      <c r="D1941" s="656">
        <f t="shared" si="922"/>
        <v>4207500</v>
      </c>
      <c r="E1941" s="656">
        <f t="shared" si="922"/>
        <v>3895400</v>
      </c>
      <c r="F1941" s="656">
        <f t="shared" si="922"/>
        <v>5166000</v>
      </c>
      <c r="G1941" s="656">
        <f t="shared" si="922"/>
        <v>5701600</v>
      </c>
      <c r="H1941" s="656">
        <f t="shared" si="922"/>
        <v>6730900</v>
      </c>
      <c r="I1941" s="656">
        <f>I1939+I1940</f>
        <v>33003800</v>
      </c>
      <c r="J1941" s="705">
        <f t="shared" si="915"/>
        <v>4714828.5714285718</v>
      </c>
    </row>
    <row r="1942" spans="1:10" ht="15.75" thickBot="1" x14ac:dyDescent="0.3"/>
    <row r="1943" spans="1:10" ht="27" thickBot="1" x14ac:dyDescent="0.3">
      <c r="B1943" s="1007" t="s">
        <v>649</v>
      </c>
      <c r="C1943" s="1007"/>
      <c r="D1943" s="1007"/>
      <c r="E1943" s="1007"/>
      <c r="F1943" s="1007"/>
      <c r="G1943" s="1007"/>
      <c r="H1943" s="1007"/>
    </row>
    <row r="1944" spans="1:10" ht="15.75" x14ac:dyDescent="0.25">
      <c r="A1944" s="709" t="s">
        <v>2</v>
      </c>
      <c r="B1944" s="706" t="s">
        <v>282</v>
      </c>
      <c r="C1944" s="617" t="s">
        <v>4</v>
      </c>
      <c r="D1944" s="617" t="s">
        <v>5</v>
      </c>
      <c r="E1944" s="617" t="s">
        <v>6</v>
      </c>
      <c r="F1944" s="617" t="s">
        <v>7</v>
      </c>
      <c r="G1944" s="617" t="s">
        <v>283</v>
      </c>
      <c r="H1944" s="617" t="s">
        <v>9</v>
      </c>
      <c r="I1944" s="641" t="s">
        <v>96</v>
      </c>
      <c r="J1944" s="642" t="s">
        <v>97</v>
      </c>
    </row>
    <row r="1945" spans="1:10" x14ac:dyDescent="0.25">
      <c r="A1945" s="710" t="s">
        <v>11</v>
      </c>
      <c r="B1945" s="56">
        <f>124+88+29</f>
        <v>241</v>
      </c>
      <c r="C1945" s="673">
        <f>61+39+10</f>
        <v>110</v>
      </c>
      <c r="D1945" s="673">
        <f>63+30+18</f>
        <v>111</v>
      </c>
      <c r="E1945" s="738">
        <f>76+54+18</f>
        <v>148</v>
      </c>
      <c r="F1945" s="738">
        <f>122+97+14</f>
        <v>233</v>
      </c>
      <c r="G1945" s="738">
        <f>156+104+30</f>
        <v>290</v>
      </c>
      <c r="H1945" s="738">
        <f>107+77+33</f>
        <v>217</v>
      </c>
      <c r="I1945" s="741">
        <f>SUM(B1945:H1945)</f>
        <v>1350</v>
      </c>
      <c r="J1945" s="700">
        <f>+I1945/7</f>
        <v>192.85714285714286</v>
      </c>
    </row>
    <row r="1946" spans="1:10" x14ac:dyDescent="0.25">
      <c r="A1946" s="694" t="s">
        <v>12</v>
      </c>
      <c r="B1946" s="689">
        <v>128</v>
      </c>
      <c r="C1946" s="675">
        <v>57</v>
      </c>
      <c r="D1946" s="675">
        <v>52</v>
      </c>
      <c r="E1946" s="734">
        <v>69</v>
      </c>
      <c r="F1946" s="742">
        <v>126</v>
      </c>
      <c r="G1946" s="734">
        <v>150</v>
      </c>
      <c r="H1946" s="734">
        <v>108</v>
      </c>
      <c r="I1946" s="11">
        <f>SUM(CEDRITOS!$B1946:$H1946)</f>
        <v>690</v>
      </c>
      <c r="J1946" s="623">
        <f t="shared" ref="J1946:J1951" si="923">I1946/7</f>
        <v>98.571428571428569</v>
      </c>
    </row>
    <row r="1947" spans="1:10" x14ac:dyDescent="0.25">
      <c r="A1947" s="694" t="s">
        <v>13</v>
      </c>
      <c r="B1947" s="313">
        <v>1</v>
      </c>
      <c r="C1947" s="13">
        <v>2</v>
      </c>
      <c r="D1947" s="13">
        <v>1</v>
      </c>
      <c r="E1947" s="11">
        <v>1</v>
      </c>
      <c r="F1947" s="125">
        <v>2</v>
      </c>
      <c r="G1947" s="11">
        <v>4</v>
      </c>
      <c r="H1947" s="11">
        <v>2</v>
      </c>
      <c r="I1947" s="11">
        <f>SUM(CEDRITOS!$B1947:$H1947)</f>
        <v>13</v>
      </c>
      <c r="J1947" s="623">
        <f t="shared" si="923"/>
        <v>1.8571428571428572</v>
      </c>
    </row>
    <row r="1948" spans="1:10" x14ac:dyDescent="0.25">
      <c r="A1948" s="694" t="s">
        <v>14</v>
      </c>
      <c r="B1948" s="313">
        <v>54</v>
      </c>
      <c r="C1948" s="13">
        <v>28</v>
      </c>
      <c r="D1948" s="320">
        <v>37</v>
      </c>
      <c r="E1948" s="11">
        <v>41</v>
      </c>
      <c r="F1948" s="125">
        <v>57</v>
      </c>
      <c r="G1948" s="11">
        <v>62</v>
      </c>
      <c r="H1948" s="11">
        <v>58</v>
      </c>
      <c r="I1948" s="11">
        <f>SUM(CEDRITOS!$B1948:$H1948)</f>
        <v>337</v>
      </c>
      <c r="J1948" s="623">
        <f t="shared" si="923"/>
        <v>48.142857142857146</v>
      </c>
    </row>
    <row r="1949" spans="1:10" x14ac:dyDescent="0.25">
      <c r="A1949" s="694" t="s">
        <v>15</v>
      </c>
      <c r="B1949" s="313">
        <v>4</v>
      </c>
      <c r="C1949" s="13">
        <v>6</v>
      </c>
      <c r="D1949" s="13">
        <v>0</v>
      </c>
      <c r="E1949" s="11">
        <v>5</v>
      </c>
      <c r="F1949" s="125">
        <v>11</v>
      </c>
      <c r="G1949" s="11">
        <v>15</v>
      </c>
      <c r="H1949" s="11">
        <v>7</v>
      </c>
      <c r="I1949" s="11">
        <f>SUM(CEDRITOS!$B1949:$H1949)</f>
        <v>48</v>
      </c>
      <c r="J1949" s="623">
        <f t="shared" si="923"/>
        <v>6.8571428571428568</v>
      </c>
    </row>
    <row r="1950" spans="1:10" x14ac:dyDescent="0.25">
      <c r="A1950" s="694" t="s">
        <v>16</v>
      </c>
      <c r="B1950" s="313">
        <v>0</v>
      </c>
      <c r="C1950" s="13">
        <v>0</v>
      </c>
      <c r="D1950" s="13">
        <v>0</v>
      </c>
      <c r="E1950" s="11">
        <v>0</v>
      </c>
      <c r="F1950" s="125">
        <v>0</v>
      </c>
      <c r="G1950" s="11">
        <v>0</v>
      </c>
      <c r="H1950" s="11">
        <v>1</v>
      </c>
      <c r="I1950" s="11">
        <f>SUM(CEDRITOS!$B1950:$H1950)</f>
        <v>1</v>
      </c>
      <c r="J1950" s="623">
        <f t="shared" si="923"/>
        <v>0.14285714285714285</v>
      </c>
    </row>
    <row r="1951" spans="1:10" x14ac:dyDescent="0.25">
      <c r="A1951" s="695" t="s">
        <v>17</v>
      </c>
      <c r="B1951" s="707">
        <f>SUM(B1946:B1950)</f>
        <v>187</v>
      </c>
      <c r="C1951" s="192">
        <f t="shared" ref="C1951:I1951" si="924">SUM(C1946:C1950)</f>
        <v>93</v>
      </c>
      <c r="D1951" s="192">
        <f t="shared" si="924"/>
        <v>90</v>
      </c>
      <c r="E1951" s="192">
        <f t="shared" si="924"/>
        <v>116</v>
      </c>
      <c r="F1951" s="192">
        <f t="shared" si="924"/>
        <v>196</v>
      </c>
      <c r="G1951" s="192">
        <f t="shared" si="924"/>
        <v>231</v>
      </c>
      <c r="H1951" s="192">
        <f t="shared" si="924"/>
        <v>176</v>
      </c>
      <c r="I1951" s="192">
        <f t="shared" si="924"/>
        <v>1089</v>
      </c>
      <c r="J1951" s="647">
        <f t="shared" si="923"/>
        <v>155.57142857142858</v>
      </c>
    </row>
    <row r="1952" spans="1:10" x14ac:dyDescent="0.25">
      <c r="A1952" s="694" t="s">
        <v>18</v>
      </c>
      <c r="B1952" s="690">
        <v>0.73</v>
      </c>
      <c r="C1952" s="326">
        <v>0.67</v>
      </c>
      <c r="D1952" s="326">
        <v>0.62</v>
      </c>
      <c r="E1952" s="327">
        <v>0.67</v>
      </c>
      <c r="F1952" s="328">
        <v>0.69</v>
      </c>
      <c r="G1952" s="327">
        <v>0.68</v>
      </c>
      <c r="H1952" s="327">
        <v>0.68</v>
      </c>
      <c r="I1952" s="30">
        <f>I1959/I1964</f>
        <v>0.6841105798679592</v>
      </c>
      <c r="J1952" s="648">
        <f>J1959/J1964</f>
        <v>0.68411057986795909</v>
      </c>
    </row>
    <row r="1953" spans="1:10" x14ac:dyDescent="0.25">
      <c r="A1953" s="694" t="s">
        <v>19</v>
      </c>
      <c r="B1953" s="690">
        <v>0</v>
      </c>
      <c r="C1953" s="326">
        <v>0.02</v>
      </c>
      <c r="D1953" s="326">
        <v>0.01</v>
      </c>
      <c r="E1953" s="327">
        <v>0</v>
      </c>
      <c r="F1953" s="327">
        <v>0</v>
      </c>
      <c r="G1953" s="327">
        <v>0.02</v>
      </c>
      <c r="H1953" s="327">
        <v>0.02</v>
      </c>
      <c r="I1953" s="30">
        <f>I1960/I1964</f>
        <v>9.8172297828974086E-3</v>
      </c>
      <c r="J1953" s="648">
        <f>J1960/J1964</f>
        <v>9.8172297828974086E-3</v>
      </c>
    </row>
    <row r="1954" spans="1:10" x14ac:dyDescent="0.25">
      <c r="A1954" s="694" t="s">
        <v>20</v>
      </c>
      <c r="B1954" s="690">
        <v>0.25</v>
      </c>
      <c r="C1954" s="326">
        <v>0.24</v>
      </c>
      <c r="D1954" s="326">
        <v>0.37</v>
      </c>
      <c r="E1954" s="327">
        <v>0.3</v>
      </c>
      <c r="F1954" s="329">
        <v>0.24</v>
      </c>
      <c r="G1954" s="327">
        <v>0.24</v>
      </c>
      <c r="H1954" s="327">
        <v>0.24</v>
      </c>
      <c r="I1954" s="30">
        <f>I1961/I1964</f>
        <v>0.25893024409467152</v>
      </c>
      <c r="J1954" s="648">
        <f>J1961/J1964</f>
        <v>0.25893024409467152</v>
      </c>
    </row>
    <row r="1955" spans="1:10" x14ac:dyDescent="0.25">
      <c r="A1955" s="694" t="s">
        <v>21</v>
      </c>
      <c r="B1955" s="690">
        <v>0.02</v>
      </c>
      <c r="C1955" s="326">
        <v>7.0000000000000007E-2</v>
      </c>
      <c r="D1955" s="326">
        <v>0</v>
      </c>
      <c r="E1955" s="327">
        <v>0.03</v>
      </c>
      <c r="F1955" s="329">
        <v>7.0000000000000007E-2</v>
      </c>
      <c r="G1955" s="327">
        <v>0.06</v>
      </c>
      <c r="H1955" s="327">
        <v>0.05</v>
      </c>
      <c r="I1955" s="30">
        <f>I1962/I1964</f>
        <v>4.5614972175874388E-2</v>
      </c>
      <c r="J1955" s="648">
        <f>J1962/J1964</f>
        <v>4.5614972175874381E-2</v>
      </c>
    </row>
    <row r="1956" spans="1:10" x14ac:dyDescent="0.25">
      <c r="A1956" s="694" t="s">
        <v>22</v>
      </c>
      <c r="B1956" s="690">
        <v>0</v>
      </c>
      <c r="C1956" s="326">
        <v>0</v>
      </c>
      <c r="D1956" s="326">
        <v>0</v>
      </c>
      <c r="E1956" s="327">
        <v>0</v>
      </c>
      <c r="F1956" s="329">
        <v>0</v>
      </c>
      <c r="G1956" s="327">
        <v>0</v>
      </c>
      <c r="H1956" s="327">
        <v>0.01</v>
      </c>
      <c r="I1956" s="30">
        <f>I1963/I1964</f>
        <v>1.52697407859757E-3</v>
      </c>
      <c r="J1956" s="648">
        <f>J1963/J1964</f>
        <v>1.5269740785975698E-3</v>
      </c>
    </row>
    <row r="1957" spans="1:10" x14ac:dyDescent="0.25">
      <c r="A1957" s="696" t="s">
        <v>23</v>
      </c>
      <c r="B1957" s="164">
        <f t="shared" ref="B1957:J1957" si="925">B1968/B1951</f>
        <v>37423.529411764714</v>
      </c>
      <c r="C1957" s="66">
        <f t="shared" si="925"/>
        <v>31589.247311827956</v>
      </c>
      <c r="D1957" s="66">
        <f t="shared" si="925"/>
        <v>35200</v>
      </c>
      <c r="E1957" s="66">
        <f t="shared" si="925"/>
        <v>34916.379310344833</v>
      </c>
      <c r="F1957" s="66">
        <f t="shared" si="925"/>
        <v>35318.367346938772</v>
      </c>
      <c r="G1957" s="66">
        <f t="shared" si="925"/>
        <v>36665.367965367965</v>
      </c>
      <c r="H1957" s="66">
        <f t="shared" si="925"/>
        <v>33375.568181818184</v>
      </c>
      <c r="I1957" s="66">
        <f t="shared" si="925"/>
        <v>35280.532598714417</v>
      </c>
      <c r="J1957" s="701">
        <f t="shared" si="925"/>
        <v>35280.532598714417</v>
      </c>
    </row>
    <row r="1958" spans="1:10" x14ac:dyDescent="0.25">
      <c r="A1958" s="696" t="s">
        <v>24</v>
      </c>
      <c r="B1958" s="164">
        <f t="shared" ref="B1958:I1958" si="926">+B1968/B1945</f>
        <v>29038.174273858924</v>
      </c>
      <c r="C1958" s="66">
        <f t="shared" si="926"/>
        <v>26707.272727272728</v>
      </c>
      <c r="D1958" s="66">
        <f t="shared" si="926"/>
        <v>28540.54054054054</v>
      </c>
      <c r="E1958" s="66">
        <f t="shared" si="926"/>
        <v>27366.891891891893</v>
      </c>
      <c r="F1958" s="66">
        <f t="shared" si="926"/>
        <v>29709.871244635193</v>
      </c>
      <c r="G1958" s="66">
        <f t="shared" si="926"/>
        <v>29205.862068965518</v>
      </c>
      <c r="H1958" s="66">
        <f t="shared" si="926"/>
        <v>27069.585253456225</v>
      </c>
      <c r="I1958" s="66">
        <f t="shared" si="926"/>
        <v>28459.629629629631</v>
      </c>
      <c r="J1958" s="701">
        <f>J1968/J1945</f>
        <v>28459.629629629631</v>
      </c>
    </row>
    <row r="1959" spans="1:10" x14ac:dyDescent="0.25">
      <c r="A1959" s="694" t="s">
        <v>25</v>
      </c>
      <c r="B1959" s="300">
        <f t="shared" ref="B1959:H1959" si="927">B1964*B1952</f>
        <v>4178475.4951724145</v>
      </c>
      <c r="C1959" s="92">
        <f t="shared" si="927"/>
        <v>1604642.0986206899</v>
      </c>
      <c r="D1959" s="92">
        <f t="shared" si="927"/>
        <v>1615414.0193103449</v>
      </c>
      <c r="E1959" s="92">
        <f t="shared" si="927"/>
        <v>2227798.1937931036</v>
      </c>
      <c r="F1959" s="92">
        <f t="shared" si="927"/>
        <v>3907761.3227586206</v>
      </c>
      <c r="G1959" s="31">
        <f t="shared" si="927"/>
        <v>4718768.5517241387</v>
      </c>
      <c r="H1959" s="31">
        <f t="shared" si="927"/>
        <v>3266153.7710344833</v>
      </c>
      <c r="I1959" s="31">
        <f>SUM(B1959:H1959)</f>
        <v>21519013.452413794</v>
      </c>
      <c r="J1959" s="702">
        <f t="shared" ref="J1959:J1968" si="928">I1959/7</f>
        <v>3074144.778916256</v>
      </c>
    </row>
    <row r="1960" spans="1:10" x14ac:dyDescent="0.25">
      <c r="A1960" s="694" t="s">
        <v>26</v>
      </c>
      <c r="B1960" s="300">
        <f t="shared" ref="B1960:H1960" si="929">B1964*B1953</f>
        <v>0</v>
      </c>
      <c r="C1960" s="92">
        <f t="shared" si="929"/>
        <v>47899.764137931037</v>
      </c>
      <c r="D1960" s="92">
        <f t="shared" si="929"/>
        <v>26055.064827586208</v>
      </c>
      <c r="E1960" s="92">
        <f t="shared" si="929"/>
        <v>0</v>
      </c>
      <c r="F1960" s="92">
        <f t="shared" si="929"/>
        <v>0</v>
      </c>
      <c r="G1960" s="31">
        <f t="shared" si="929"/>
        <v>138787.31034482759</v>
      </c>
      <c r="H1960" s="31">
        <f t="shared" si="929"/>
        <v>96063.346206896575</v>
      </c>
      <c r="I1960" s="31">
        <f>SUM(B1960:H1960)</f>
        <v>308805.48551724141</v>
      </c>
      <c r="J1960" s="702">
        <f t="shared" si="928"/>
        <v>44115.069359605914</v>
      </c>
    </row>
    <row r="1961" spans="1:10" x14ac:dyDescent="0.25">
      <c r="A1961" s="694" t="s">
        <v>27</v>
      </c>
      <c r="B1961" s="300">
        <f t="shared" ref="B1961:H1961" si="930">B1964*B1954</f>
        <v>1430984.7586206899</v>
      </c>
      <c r="C1961" s="92">
        <f t="shared" si="930"/>
        <v>574797.16965517239</v>
      </c>
      <c r="D1961" s="92">
        <f t="shared" si="930"/>
        <v>964037.39862068964</v>
      </c>
      <c r="E1961" s="92">
        <f t="shared" si="930"/>
        <v>997521.57931034488</v>
      </c>
      <c r="F1961" s="92">
        <f t="shared" si="930"/>
        <v>1359221.3296551723</v>
      </c>
      <c r="G1961" s="31">
        <f t="shared" si="930"/>
        <v>1665447.7241379311</v>
      </c>
      <c r="H1961" s="31">
        <f t="shared" si="930"/>
        <v>1152760.1544827588</v>
      </c>
      <c r="I1961" s="31">
        <f>SUM(B1961:H1961)</f>
        <v>8144770.1144827586</v>
      </c>
      <c r="J1961" s="702">
        <f t="shared" si="928"/>
        <v>1163538.5877832512</v>
      </c>
    </row>
    <row r="1962" spans="1:10" x14ac:dyDescent="0.25">
      <c r="A1962" s="694" t="s">
        <v>28</v>
      </c>
      <c r="B1962" s="300">
        <f t="shared" ref="B1962:H1962" si="931">B1964*B1955</f>
        <v>114478.78068965519</v>
      </c>
      <c r="C1962" s="92">
        <f t="shared" si="931"/>
        <v>167649.17448275865</v>
      </c>
      <c r="D1962" s="92">
        <f t="shared" si="931"/>
        <v>0</v>
      </c>
      <c r="E1962" s="92">
        <f t="shared" si="931"/>
        <v>99752.157931034482</v>
      </c>
      <c r="F1962" s="92">
        <f t="shared" si="931"/>
        <v>396439.55448275869</v>
      </c>
      <c r="G1962" s="31">
        <f t="shared" si="931"/>
        <v>416361.93103448278</v>
      </c>
      <c r="H1962" s="31">
        <f t="shared" si="931"/>
        <v>240158.36551724141</v>
      </c>
      <c r="I1962" s="31">
        <f>SUM(B1962:H1962)</f>
        <v>1434839.9641379311</v>
      </c>
      <c r="J1962" s="702">
        <f t="shared" si="928"/>
        <v>204977.13773399015</v>
      </c>
    </row>
    <row r="1963" spans="1:10" x14ac:dyDescent="0.25">
      <c r="A1963" s="694" t="s">
        <v>29</v>
      </c>
      <c r="B1963" s="300">
        <f t="shared" ref="B1963:H1963" si="932">B1964*B1956</f>
        <v>0</v>
      </c>
      <c r="C1963" s="92">
        <f t="shared" si="932"/>
        <v>0</v>
      </c>
      <c r="D1963" s="92">
        <f t="shared" si="932"/>
        <v>0</v>
      </c>
      <c r="E1963" s="92">
        <f t="shared" si="932"/>
        <v>0</v>
      </c>
      <c r="F1963" s="92">
        <f t="shared" si="932"/>
        <v>0</v>
      </c>
      <c r="G1963" s="31">
        <f t="shared" si="932"/>
        <v>0</v>
      </c>
      <c r="H1963" s="31">
        <f t="shared" si="932"/>
        <v>48031.673103448287</v>
      </c>
      <c r="I1963" s="31">
        <f>SUM(B1963:H1963)</f>
        <v>48031.673103448287</v>
      </c>
      <c r="J1963" s="702">
        <f t="shared" si="928"/>
        <v>6861.6675862068978</v>
      </c>
    </row>
    <row r="1964" spans="1:10" x14ac:dyDescent="0.25">
      <c r="A1964" s="697" t="s">
        <v>30</v>
      </c>
      <c r="B1964" s="691">
        <f>(6998200/1.16)-B1965</f>
        <v>5723939.0344827594</v>
      </c>
      <c r="C1964" s="691">
        <f>(2937800/1.16)-C1965</f>
        <v>2394988.2068965519</v>
      </c>
      <c r="D1964" s="691">
        <f>(3168000/1.16)-D1965</f>
        <v>2605506.4827586208</v>
      </c>
      <c r="E1964" s="691">
        <f>(4050300/1.16)-E1965</f>
        <v>3325071.931034483</v>
      </c>
      <c r="F1964" s="691">
        <f>(6922400/1.16)-F1965</f>
        <v>5663422.2068965519</v>
      </c>
      <c r="G1964" s="691">
        <f>(8469700/1.16)-G1965</f>
        <v>6939365.5172413802</v>
      </c>
      <c r="H1964" s="691">
        <f>(5874100/1.16)-H1965</f>
        <v>4803167.3103448283</v>
      </c>
      <c r="I1964" s="197">
        <f>SUM(I1959:I1963)</f>
        <v>31455460.68965517</v>
      </c>
      <c r="J1964" s="703">
        <f t="shared" si="928"/>
        <v>4493637.2413793104</v>
      </c>
    </row>
    <row r="1965" spans="1:10" x14ac:dyDescent="0.25">
      <c r="A1965" s="694" t="s">
        <v>31</v>
      </c>
      <c r="B1965" s="300">
        <f t="shared" ref="B1965:I1965" si="933">2414*B1946</f>
        <v>308992</v>
      </c>
      <c r="C1965" s="92">
        <f t="shared" si="933"/>
        <v>137598</v>
      </c>
      <c r="D1965" s="92">
        <f t="shared" si="933"/>
        <v>125528</v>
      </c>
      <c r="E1965" s="92">
        <f t="shared" si="933"/>
        <v>166566</v>
      </c>
      <c r="F1965" s="92">
        <f t="shared" si="933"/>
        <v>304164</v>
      </c>
      <c r="G1965" s="92">
        <f t="shared" si="933"/>
        <v>362100</v>
      </c>
      <c r="H1965" s="92">
        <f t="shared" si="933"/>
        <v>260712</v>
      </c>
      <c r="I1965" s="31">
        <f t="shared" si="933"/>
        <v>1665660</v>
      </c>
      <c r="J1965" s="702">
        <f t="shared" si="928"/>
        <v>237951.42857142858</v>
      </c>
    </row>
    <row r="1966" spans="1:10" x14ac:dyDescent="0.25">
      <c r="A1966" s="698" t="s">
        <v>32</v>
      </c>
      <c r="B1966" s="342">
        <f>B1965+B1964</f>
        <v>6032931.0344827594</v>
      </c>
      <c r="C1966" s="199">
        <f>C1965+C1964</f>
        <v>2532586.2068965519</v>
      </c>
      <c r="D1966" s="199">
        <f>D1965+D1964</f>
        <v>2731034.4827586208</v>
      </c>
      <c r="E1966" s="199">
        <f>E1965+E1964</f>
        <v>3491637.931034483</v>
      </c>
      <c r="F1966" s="199">
        <f>F1964+F1965</f>
        <v>5967586.2068965519</v>
      </c>
      <c r="G1966" s="199">
        <f>G1965+G1964</f>
        <v>7301465.5172413802</v>
      </c>
      <c r="H1966" s="199">
        <f>H1965+H1964</f>
        <v>5063879.3103448283</v>
      </c>
      <c r="I1966" s="199">
        <f>I1964+I1965</f>
        <v>33121120.68965517</v>
      </c>
      <c r="J1966" s="704">
        <f t="shared" si="928"/>
        <v>4731588.6699507385</v>
      </c>
    </row>
    <row r="1967" spans="1:10" x14ac:dyDescent="0.25">
      <c r="A1967" s="694" t="s">
        <v>33</v>
      </c>
      <c r="B1967" s="302">
        <f>B1966*16%</f>
        <v>965268.96551724151</v>
      </c>
      <c r="C1967" s="94">
        <f t="shared" ref="C1967:H1967" si="934">C1966*16%</f>
        <v>405213.79310344829</v>
      </c>
      <c r="D1967" s="94">
        <f t="shared" si="934"/>
        <v>436965.5172413793</v>
      </c>
      <c r="E1967" s="94">
        <f t="shared" si="934"/>
        <v>558662.06896551733</v>
      </c>
      <c r="F1967" s="94">
        <f t="shared" si="934"/>
        <v>954813.79310344835</v>
      </c>
      <c r="G1967" s="94">
        <f t="shared" si="934"/>
        <v>1168234.4827586208</v>
      </c>
      <c r="H1967" s="94">
        <f t="shared" si="934"/>
        <v>810220.68965517252</v>
      </c>
      <c r="I1967" s="94">
        <f>I1966*16%</f>
        <v>5299379.3103448274</v>
      </c>
      <c r="J1967" s="702">
        <f t="shared" si="928"/>
        <v>757054.18719211814</v>
      </c>
    </row>
    <row r="1968" spans="1:10" ht="15.75" thickBot="1" x14ac:dyDescent="0.3">
      <c r="A1968" s="699" t="s">
        <v>34</v>
      </c>
      <c r="B1968" s="708">
        <f>B1966+B1967</f>
        <v>6998200.0000000009</v>
      </c>
      <c r="C1968" s="656">
        <f t="shared" ref="C1968:H1968" si="935">C1966+C1967</f>
        <v>2937800</v>
      </c>
      <c r="D1968" s="656">
        <f t="shared" si="935"/>
        <v>3168000</v>
      </c>
      <c r="E1968" s="656">
        <f t="shared" si="935"/>
        <v>4050300.0000000005</v>
      </c>
      <c r="F1968" s="656">
        <f t="shared" si="935"/>
        <v>6922400</v>
      </c>
      <c r="G1968" s="656">
        <f t="shared" si="935"/>
        <v>8469700</v>
      </c>
      <c r="H1968" s="656">
        <f t="shared" si="935"/>
        <v>5874100.0000000009</v>
      </c>
      <c r="I1968" s="656">
        <f>I1966+I1967</f>
        <v>38420500</v>
      </c>
      <c r="J1968" s="705">
        <f t="shared" si="928"/>
        <v>5488642.8571428573</v>
      </c>
    </row>
    <row r="1969" spans="1:10" ht="15.75" thickBot="1" x14ac:dyDescent="0.3"/>
    <row r="1970" spans="1:10" ht="27" thickBot="1" x14ac:dyDescent="0.3">
      <c r="B1970" s="1007" t="s">
        <v>652</v>
      </c>
      <c r="C1970" s="1007"/>
      <c r="D1970" s="1007"/>
      <c r="E1970" s="1007"/>
      <c r="F1970" s="1007"/>
      <c r="G1970" s="1007"/>
      <c r="H1970" s="1007"/>
    </row>
    <row r="1971" spans="1:10" ht="15.75" x14ac:dyDescent="0.25">
      <c r="A1971" s="709" t="s">
        <v>2</v>
      </c>
      <c r="B1971" s="706" t="s">
        <v>285</v>
      </c>
      <c r="C1971" s="617" t="s">
        <v>37</v>
      </c>
      <c r="D1971" s="617" t="s">
        <v>286</v>
      </c>
      <c r="E1971" s="617" t="s">
        <v>39</v>
      </c>
      <c r="F1971" s="617" t="s">
        <v>40</v>
      </c>
      <c r="G1971" s="617" t="s">
        <v>287</v>
      </c>
      <c r="H1971" s="617" t="s">
        <v>42</v>
      </c>
      <c r="I1971" s="641" t="s">
        <v>96</v>
      </c>
      <c r="J1971" s="642" t="s">
        <v>97</v>
      </c>
    </row>
    <row r="1972" spans="1:10" x14ac:dyDescent="0.25">
      <c r="A1972" s="710" t="s">
        <v>11</v>
      </c>
      <c r="B1972" s="56">
        <f>55+40+4</f>
        <v>99</v>
      </c>
      <c r="C1972" s="673">
        <f>60+28+8</f>
        <v>96</v>
      </c>
      <c r="D1972" s="673">
        <f>64+45+23</f>
        <v>132</v>
      </c>
      <c r="E1972" s="738">
        <f>89+44+20</f>
        <v>153</v>
      </c>
      <c r="F1972" s="738">
        <f>155+102+40</f>
        <v>297</v>
      </c>
      <c r="G1972" s="738">
        <f>162+150+40</f>
        <v>352</v>
      </c>
      <c r="H1972" s="738">
        <f>133+124+33</f>
        <v>290</v>
      </c>
      <c r="I1972" s="741">
        <f>SUM(B1972:H1972)</f>
        <v>1419</v>
      </c>
      <c r="J1972" s="700">
        <f>+I1972/7</f>
        <v>202.71428571428572</v>
      </c>
    </row>
    <row r="1973" spans="1:10" x14ac:dyDescent="0.25">
      <c r="A1973" s="694" t="s">
        <v>12</v>
      </c>
      <c r="B1973" s="689">
        <v>48</v>
      </c>
      <c r="C1973" s="675">
        <v>50</v>
      </c>
      <c r="D1973" s="675">
        <v>64</v>
      </c>
      <c r="E1973" s="734">
        <v>76</v>
      </c>
      <c r="F1973" s="742">
        <v>153</v>
      </c>
      <c r="G1973" s="734">
        <v>178</v>
      </c>
      <c r="H1973" s="734">
        <v>152</v>
      </c>
      <c r="I1973" s="11">
        <f>SUM(CEDRITOS!$B1973:$H1973)</f>
        <v>721</v>
      </c>
      <c r="J1973" s="623">
        <f t="shared" ref="J1973:J1978" si="936">I1973/7</f>
        <v>103</v>
      </c>
    </row>
    <row r="1974" spans="1:10" x14ac:dyDescent="0.25">
      <c r="A1974" s="694" t="s">
        <v>13</v>
      </c>
      <c r="B1974" s="313">
        <v>0</v>
      </c>
      <c r="C1974" s="13">
        <v>0</v>
      </c>
      <c r="D1974" s="13">
        <v>0</v>
      </c>
      <c r="E1974" s="11">
        <v>2</v>
      </c>
      <c r="F1974" s="125">
        <v>5</v>
      </c>
      <c r="G1974" s="11">
        <v>5</v>
      </c>
      <c r="H1974" s="11">
        <v>5</v>
      </c>
      <c r="I1974" s="11">
        <f>SUM(CEDRITOS!$B1974:$H1974)</f>
        <v>17</v>
      </c>
      <c r="J1974" s="623">
        <f t="shared" si="936"/>
        <v>2.4285714285714284</v>
      </c>
    </row>
    <row r="1975" spans="1:10" x14ac:dyDescent="0.25">
      <c r="A1975" s="694" t="s">
        <v>14</v>
      </c>
      <c r="B1975" s="313">
        <v>28</v>
      </c>
      <c r="C1975" s="13">
        <v>32</v>
      </c>
      <c r="D1975" s="320">
        <v>39</v>
      </c>
      <c r="E1975" s="11">
        <v>29</v>
      </c>
      <c r="F1975" s="125">
        <v>63</v>
      </c>
      <c r="G1975" s="11">
        <v>64</v>
      </c>
      <c r="H1975" s="11">
        <v>73</v>
      </c>
      <c r="I1975" s="11">
        <f>SUM(CEDRITOS!$B1975:$H1975)</f>
        <v>328</v>
      </c>
      <c r="J1975" s="623">
        <f t="shared" si="936"/>
        <v>46.857142857142854</v>
      </c>
    </row>
    <row r="1976" spans="1:10" x14ac:dyDescent="0.25">
      <c r="A1976" s="694" t="s">
        <v>15</v>
      </c>
      <c r="B1976" s="313">
        <v>5</v>
      </c>
      <c r="C1976" s="13">
        <v>4</v>
      </c>
      <c r="D1976" s="13">
        <v>4</v>
      </c>
      <c r="E1976" s="11">
        <v>10</v>
      </c>
      <c r="F1976" s="125">
        <v>10</v>
      </c>
      <c r="G1976" s="11">
        <v>25</v>
      </c>
      <c r="H1976" s="11">
        <v>8</v>
      </c>
      <c r="I1976" s="11">
        <f>SUM(CEDRITOS!$B1976:$H1976)</f>
        <v>66</v>
      </c>
      <c r="J1976" s="623">
        <f t="shared" si="936"/>
        <v>9.4285714285714288</v>
      </c>
    </row>
    <row r="1977" spans="1:10" x14ac:dyDescent="0.25">
      <c r="A1977" s="694" t="s">
        <v>16</v>
      </c>
      <c r="B1977" s="313">
        <v>0</v>
      </c>
      <c r="C1977" s="13">
        <v>0</v>
      </c>
      <c r="D1977" s="13">
        <v>2</v>
      </c>
      <c r="E1977" s="11">
        <v>2</v>
      </c>
      <c r="F1977" s="125">
        <v>0</v>
      </c>
      <c r="G1977" s="11">
        <v>4</v>
      </c>
      <c r="H1977" s="11">
        <v>1</v>
      </c>
      <c r="I1977" s="11">
        <f>SUM(CEDRITOS!$B1977:$H1977)</f>
        <v>9</v>
      </c>
      <c r="J1977" s="623">
        <f t="shared" si="936"/>
        <v>1.2857142857142858</v>
      </c>
    </row>
    <row r="1978" spans="1:10" x14ac:dyDescent="0.25">
      <c r="A1978" s="695" t="s">
        <v>17</v>
      </c>
      <c r="B1978" s="707">
        <f>SUM(B1973:B1977)</f>
        <v>81</v>
      </c>
      <c r="C1978" s="192">
        <f t="shared" ref="C1978:I1978" si="937">SUM(C1973:C1977)</f>
        <v>86</v>
      </c>
      <c r="D1978" s="192">
        <f t="shared" si="937"/>
        <v>109</v>
      </c>
      <c r="E1978" s="192">
        <f t="shared" si="937"/>
        <v>119</v>
      </c>
      <c r="F1978" s="192">
        <f t="shared" si="937"/>
        <v>231</v>
      </c>
      <c r="G1978" s="192">
        <f t="shared" si="937"/>
        <v>276</v>
      </c>
      <c r="H1978" s="192">
        <f t="shared" si="937"/>
        <v>239</v>
      </c>
      <c r="I1978" s="192">
        <f t="shared" si="937"/>
        <v>1141</v>
      </c>
      <c r="J1978" s="647">
        <f t="shared" si="936"/>
        <v>163</v>
      </c>
    </row>
    <row r="1979" spans="1:10" x14ac:dyDescent="0.25">
      <c r="A1979" s="694" t="s">
        <v>18</v>
      </c>
      <c r="B1979" s="690">
        <v>0.61</v>
      </c>
      <c r="C1979" s="326">
        <v>0.63</v>
      </c>
      <c r="D1979" s="326">
        <v>0.66</v>
      </c>
      <c r="E1979" s="327">
        <v>0.71</v>
      </c>
      <c r="F1979" s="328">
        <v>0.7</v>
      </c>
      <c r="G1979" s="327">
        <v>0.7</v>
      </c>
      <c r="H1979" s="327">
        <v>0.67</v>
      </c>
      <c r="I1979" s="30">
        <f>I1986/I1991</f>
        <v>0.67998879469175544</v>
      </c>
      <c r="J1979" s="648">
        <f>J1986/J1991</f>
        <v>0.67998879469175544</v>
      </c>
    </row>
    <row r="1980" spans="1:10" x14ac:dyDescent="0.25">
      <c r="A1980" s="694" t="s">
        <v>19</v>
      </c>
      <c r="B1980" s="690">
        <v>0</v>
      </c>
      <c r="C1980" s="326">
        <v>0</v>
      </c>
      <c r="D1980" s="326">
        <v>0</v>
      </c>
      <c r="E1980" s="327">
        <v>0.01</v>
      </c>
      <c r="F1980" s="327">
        <v>0.02</v>
      </c>
      <c r="G1980" s="327">
        <v>0.02</v>
      </c>
      <c r="H1980" s="327">
        <v>0.02</v>
      </c>
      <c r="I1980" s="30">
        <f>I1987/I1991</f>
        <v>1.4394197474178026E-2</v>
      </c>
      <c r="J1980" s="648">
        <f>J1987/J1991</f>
        <v>1.4394197474178026E-2</v>
      </c>
    </row>
    <row r="1981" spans="1:10" x14ac:dyDescent="0.25">
      <c r="A1981" s="694" t="s">
        <v>20</v>
      </c>
      <c r="B1981" s="690">
        <v>0.31</v>
      </c>
      <c r="C1981" s="326">
        <v>0.33</v>
      </c>
      <c r="D1981" s="326">
        <v>0.28999999999999998</v>
      </c>
      <c r="E1981" s="327">
        <v>0.19</v>
      </c>
      <c r="F1981" s="329">
        <v>0.23</v>
      </c>
      <c r="G1981" s="327">
        <v>0.19</v>
      </c>
      <c r="H1981" s="327">
        <v>0.27</v>
      </c>
      <c r="I1981" s="30">
        <f>I1988/I1991</f>
        <v>0.24209034178242378</v>
      </c>
      <c r="J1981" s="648">
        <f>J1988/J1991</f>
        <v>0.24209034178242378</v>
      </c>
    </row>
    <row r="1982" spans="1:10" x14ac:dyDescent="0.25">
      <c r="A1982" s="694" t="s">
        <v>21</v>
      </c>
      <c r="B1982" s="690">
        <v>0.08</v>
      </c>
      <c r="C1982" s="326">
        <v>0.04</v>
      </c>
      <c r="D1982" s="326">
        <v>0.03</v>
      </c>
      <c r="E1982" s="327">
        <v>0.08</v>
      </c>
      <c r="F1982" s="329">
        <v>0.05</v>
      </c>
      <c r="G1982" s="327">
        <v>7.0000000000000007E-2</v>
      </c>
      <c r="H1982" s="327">
        <v>0.03</v>
      </c>
      <c r="I1982" s="30">
        <f>I1989/I1991</f>
        <v>5.3488855806429904E-2</v>
      </c>
      <c r="J1982" s="648">
        <f>J1989/J1991</f>
        <v>5.3488855806429904E-2</v>
      </c>
    </row>
    <row r="1983" spans="1:10" x14ac:dyDescent="0.25">
      <c r="A1983" s="694" t="s">
        <v>22</v>
      </c>
      <c r="B1983" s="690">
        <v>0</v>
      </c>
      <c r="C1983" s="326">
        <v>0</v>
      </c>
      <c r="D1983" s="326">
        <v>0.02</v>
      </c>
      <c r="E1983" s="327">
        <v>0.01</v>
      </c>
      <c r="F1983" s="329">
        <v>0</v>
      </c>
      <c r="G1983" s="327">
        <v>0.02</v>
      </c>
      <c r="H1983" s="327">
        <v>0.01</v>
      </c>
      <c r="I1983" s="30">
        <f>I1990/I1991</f>
        <v>1.0037810245212895E-2</v>
      </c>
      <c r="J1983" s="648">
        <f>J1990/J1991</f>
        <v>1.0037810245212895E-2</v>
      </c>
    </row>
    <row r="1984" spans="1:10" x14ac:dyDescent="0.25">
      <c r="A1984" s="696" t="s">
        <v>23</v>
      </c>
      <c r="B1984" s="164">
        <f t="shared" ref="B1984:J1984" si="938">B1995/B1978</f>
        <v>35225.925925925927</v>
      </c>
      <c r="C1984" s="66">
        <f t="shared" si="938"/>
        <v>31858.139534883725</v>
      </c>
      <c r="D1984" s="66">
        <f t="shared" si="938"/>
        <v>34142.20183486239</v>
      </c>
      <c r="E1984" s="66">
        <f t="shared" si="938"/>
        <v>35764.705882352944</v>
      </c>
      <c r="F1984" s="66">
        <f t="shared" si="938"/>
        <v>35833.76623376624</v>
      </c>
      <c r="G1984" s="66">
        <f t="shared" si="938"/>
        <v>37213.043478260872</v>
      </c>
      <c r="H1984" s="66">
        <f t="shared" si="938"/>
        <v>36510.460251046024</v>
      </c>
      <c r="I1984" s="66">
        <f t="shared" si="938"/>
        <v>35797.546012269944</v>
      </c>
      <c r="J1984" s="701">
        <f t="shared" si="938"/>
        <v>35797.546012269944</v>
      </c>
    </row>
    <row r="1985" spans="1:10" x14ac:dyDescent="0.25">
      <c r="A1985" s="696" t="s">
        <v>24</v>
      </c>
      <c r="B1985" s="164">
        <f t="shared" ref="B1985:I1985" si="939">+B1995/B1972</f>
        <v>28821.21212121212</v>
      </c>
      <c r="C1985" s="66">
        <f t="shared" si="939"/>
        <v>28539.583333333339</v>
      </c>
      <c r="D1985" s="66">
        <f t="shared" si="939"/>
        <v>28193.181818181823</v>
      </c>
      <c r="E1985" s="66">
        <f t="shared" si="939"/>
        <v>27816.993464052288</v>
      </c>
      <c r="F1985" s="66">
        <f t="shared" si="939"/>
        <v>27870.707070707074</v>
      </c>
      <c r="G1985" s="66">
        <f t="shared" si="939"/>
        <v>29178.409090909092</v>
      </c>
      <c r="H1985" s="66">
        <f t="shared" si="939"/>
        <v>30089.655172413793</v>
      </c>
      <c r="I1985" s="66">
        <f t="shared" si="939"/>
        <v>28784.355179704024</v>
      </c>
      <c r="J1985" s="701">
        <f>J1995/J1972</f>
        <v>28784.35517970402</v>
      </c>
    </row>
    <row r="1986" spans="1:10" x14ac:dyDescent="0.25">
      <c r="A1986" s="694" t="s">
        <v>25</v>
      </c>
      <c r="B1986" s="300">
        <f t="shared" ref="B1986:H1986" si="940">B1991*B1979</f>
        <v>1429760.3213793102</v>
      </c>
      <c r="C1986" s="92">
        <f t="shared" si="940"/>
        <v>1411953.8275862071</v>
      </c>
      <c r="D1986" s="92">
        <f t="shared" si="940"/>
        <v>2015437.8124137935</v>
      </c>
      <c r="E1986" s="92">
        <f t="shared" si="940"/>
        <v>2474706.0772413793</v>
      </c>
      <c r="F1986" s="92">
        <f t="shared" si="940"/>
        <v>4736564.0482758619</v>
      </c>
      <c r="G1986" s="31">
        <f t="shared" si="940"/>
        <v>5897112.1517241374</v>
      </c>
      <c r="H1986" s="31">
        <f t="shared" si="940"/>
        <v>4794175.4813793115</v>
      </c>
      <c r="I1986" s="31">
        <f>SUM(B1986:H1986)</f>
        <v>22759709.720000003</v>
      </c>
      <c r="J1986" s="702">
        <f t="shared" ref="J1986:J1995" si="941">I1986/7</f>
        <v>3251387.1028571432</v>
      </c>
    </row>
    <row r="1987" spans="1:10" x14ac:dyDescent="0.25">
      <c r="A1987" s="694" t="s">
        <v>26</v>
      </c>
      <c r="B1987" s="300">
        <f t="shared" ref="B1987:H1987" si="942">B1991*B1980</f>
        <v>0</v>
      </c>
      <c r="C1987" s="92">
        <f t="shared" si="942"/>
        <v>0</v>
      </c>
      <c r="D1987" s="92">
        <f t="shared" si="942"/>
        <v>0</v>
      </c>
      <c r="E1987" s="92">
        <f t="shared" si="942"/>
        <v>34855.015172413798</v>
      </c>
      <c r="F1987" s="92">
        <f t="shared" si="942"/>
        <v>135330.40137931035</v>
      </c>
      <c r="G1987" s="31">
        <f t="shared" si="942"/>
        <v>168488.91862068966</v>
      </c>
      <c r="H1987" s="31">
        <f t="shared" si="942"/>
        <v>143109.71586206899</v>
      </c>
      <c r="I1987" s="31">
        <f>SUM(B1987:H1987)</f>
        <v>481784.05103448278</v>
      </c>
      <c r="J1987" s="702">
        <f t="shared" si="941"/>
        <v>68826.293004926105</v>
      </c>
    </row>
    <row r="1988" spans="1:10" x14ac:dyDescent="0.25">
      <c r="A1988" s="694" t="s">
        <v>27</v>
      </c>
      <c r="B1988" s="300">
        <f t="shared" ref="B1988:H1988" si="943">B1991*B1981</f>
        <v>726599.50758620689</v>
      </c>
      <c r="C1988" s="92">
        <f t="shared" si="943"/>
        <v>739594.86206896568</v>
      </c>
      <c r="D1988" s="92">
        <f t="shared" si="943"/>
        <v>885571.16</v>
      </c>
      <c r="E1988" s="92">
        <f t="shared" si="943"/>
        <v>662245.28827586211</v>
      </c>
      <c r="F1988" s="92">
        <f t="shared" si="943"/>
        <v>1556299.6158620692</v>
      </c>
      <c r="G1988" s="31">
        <f t="shared" si="943"/>
        <v>1600644.7268965519</v>
      </c>
      <c r="H1988" s="31">
        <f t="shared" si="943"/>
        <v>1931981.1641379313</v>
      </c>
      <c r="I1988" s="31">
        <f>SUM(B1988:H1988)</f>
        <v>8102936.3248275872</v>
      </c>
      <c r="J1988" s="702">
        <f t="shared" si="941"/>
        <v>1157562.3321182267</v>
      </c>
    </row>
    <row r="1989" spans="1:10" x14ac:dyDescent="0.25">
      <c r="A1989" s="694" t="s">
        <v>28</v>
      </c>
      <c r="B1989" s="300">
        <f t="shared" ref="B1989:H1989" si="944">B1991*B1982</f>
        <v>187509.55034482758</v>
      </c>
      <c r="C1989" s="92">
        <f t="shared" si="944"/>
        <v>89647.862068965536</v>
      </c>
      <c r="D1989" s="92">
        <f t="shared" si="944"/>
        <v>91610.809655172416</v>
      </c>
      <c r="E1989" s="92">
        <f t="shared" si="944"/>
        <v>278840.12137931038</v>
      </c>
      <c r="F1989" s="92">
        <f t="shared" si="944"/>
        <v>338326.00344827591</v>
      </c>
      <c r="G1989" s="31">
        <f t="shared" si="944"/>
        <v>589711.21517241385</v>
      </c>
      <c r="H1989" s="31">
        <f t="shared" si="944"/>
        <v>214664.57379310345</v>
      </c>
      <c r="I1989" s="31">
        <f>SUM(B1989:H1989)</f>
        <v>1790310.1358620692</v>
      </c>
      <c r="J1989" s="702">
        <f t="shared" si="941"/>
        <v>255758.59083743845</v>
      </c>
    </row>
    <row r="1990" spans="1:10" x14ac:dyDescent="0.25">
      <c r="A1990" s="694" t="s">
        <v>29</v>
      </c>
      <c r="B1990" s="300">
        <f t="shared" ref="B1990:H1990" si="945">B1991*B1983</f>
        <v>0</v>
      </c>
      <c r="C1990" s="92">
        <f t="shared" si="945"/>
        <v>0</v>
      </c>
      <c r="D1990" s="92">
        <f t="shared" si="945"/>
        <v>61073.873103448284</v>
      </c>
      <c r="E1990" s="92">
        <f t="shared" si="945"/>
        <v>34855.015172413798</v>
      </c>
      <c r="F1990" s="92">
        <f t="shared" si="945"/>
        <v>0</v>
      </c>
      <c r="G1990" s="31">
        <f t="shared" si="945"/>
        <v>168488.91862068966</v>
      </c>
      <c r="H1990" s="31">
        <f t="shared" si="945"/>
        <v>71554.857931034494</v>
      </c>
      <c r="I1990" s="31">
        <f>SUM(B1990:H1990)</f>
        <v>335972.66482758627</v>
      </c>
      <c r="J1990" s="702">
        <f t="shared" si="941"/>
        <v>47996.094975369466</v>
      </c>
    </row>
    <row r="1991" spans="1:10" x14ac:dyDescent="0.25">
      <c r="A1991" s="697" t="s">
        <v>30</v>
      </c>
      <c r="B1991" s="691">
        <f>(2853300/1.16)-B1992</f>
        <v>2343869.3793103448</v>
      </c>
      <c r="C1991" s="691">
        <f>(2739800/1.16)-C1992</f>
        <v>2241196.5517241382</v>
      </c>
      <c r="D1991" s="691">
        <f>(3721500/1.16)-D1992</f>
        <v>3053693.6551724141</v>
      </c>
      <c r="E1991" s="691">
        <f>(4256000/1.16)-E1992</f>
        <v>3485501.5172413797</v>
      </c>
      <c r="F1991" s="691">
        <f>(8277600/1.16)-F1992</f>
        <v>6766520.0689655179</v>
      </c>
      <c r="G1991" s="691">
        <f>(10270800/1.16)-G1992</f>
        <v>8424445.931034483</v>
      </c>
      <c r="H1991" s="691">
        <f>(8726000/1.16)-H1992</f>
        <v>7155485.793103449</v>
      </c>
      <c r="I1991" s="197">
        <f>SUM(I1986:I1990)</f>
        <v>33470712.896551728</v>
      </c>
      <c r="J1991" s="703">
        <f t="shared" si="941"/>
        <v>4781530.4137931038</v>
      </c>
    </row>
    <row r="1992" spans="1:10" x14ac:dyDescent="0.25">
      <c r="A1992" s="694" t="s">
        <v>31</v>
      </c>
      <c r="B1992" s="300">
        <f t="shared" ref="B1992:I1992" si="946">2414*B1973</f>
        <v>115872</v>
      </c>
      <c r="C1992" s="92">
        <f t="shared" si="946"/>
        <v>120700</v>
      </c>
      <c r="D1992" s="92">
        <f t="shared" si="946"/>
        <v>154496</v>
      </c>
      <c r="E1992" s="92">
        <f t="shared" si="946"/>
        <v>183464</v>
      </c>
      <c r="F1992" s="92">
        <f t="shared" si="946"/>
        <v>369342</v>
      </c>
      <c r="G1992" s="92">
        <f t="shared" si="946"/>
        <v>429692</v>
      </c>
      <c r="H1992" s="92">
        <f t="shared" si="946"/>
        <v>366928</v>
      </c>
      <c r="I1992" s="31">
        <f t="shared" si="946"/>
        <v>1740494</v>
      </c>
      <c r="J1992" s="702">
        <f t="shared" si="941"/>
        <v>248642</v>
      </c>
    </row>
    <row r="1993" spans="1:10" x14ac:dyDescent="0.25">
      <c r="A1993" s="698" t="s">
        <v>32</v>
      </c>
      <c r="B1993" s="342">
        <f>B1992+B1991</f>
        <v>2459741.3793103448</v>
      </c>
      <c r="C1993" s="199">
        <f>C1992+C1991</f>
        <v>2361896.5517241382</v>
      </c>
      <c r="D1993" s="199">
        <f>D1992+D1991</f>
        <v>3208189.6551724141</v>
      </c>
      <c r="E1993" s="199">
        <f>E1992+E1991</f>
        <v>3668965.5172413797</v>
      </c>
      <c r="F1993" s="199">
        <f>F1991+F1992</f>
        <v>7135862.0689655179</v>
      </c>
      <c r="G1993" s="199">
        <f>G1992+G1991</f>
        <v>8854137.931034483</v>
      </c>
      <c r="H1993" s="199">
        <f>H1992+H1991</f>
        <v>7522413.793103449</v>
      </c>
      <c r="I1993" s="199">
        <f>I1991+I1992</f>
        <v>35211206.896551728</v>
      </c>
      <c r="J1993" s="704">
        <f t="shared" si="941"/>
        <v>5030172.4137931038</v>
      </c>
    </row>
    <row r="1994" spans="1:10" x14ac:dyDescent="0.25">
      <c r="A1994" s="694" t="s">
        <v>33</v>
      </c>
      <c r="B1994" s="302">
        <f>B1993*16%</f>
        <v>393558.62068965519</v>
      </c>
      <c r="C1994" s="94">
        <f t="shared" ref="C1994:H1994" si="947">C1993*16%</f>
        <v>377903.44827586215</v>
      </c>
      <c r="D1994" s="94">
        <f t="shared" si="947"/>
        <v>513310.34482758626</v>
      </c>
      <c r="E1994" s="94">
        <f t="shared" si="947"/>
        <v>587034.48275862075</v>
      </c>
      <c r="F1994" s="94">
        <f t="shared" si="947"/>
        <v>1141737.9310344828</v>
      </c>
      <c r="G1994" s="94">
        <f t="shared" si="947"/>
        <v>1416662.0689655172</v>
      </c>
      <c r="H1994" s="94">
        <f t="shared" si="947"/>
        <v>1203586.2068965519</v>
      </c>
      <c r="I1994" s="94">
        <f>I1993*16%</f>
        <v>5633793.1034482764</v>
      </c>
      <c r="J1994" s="702">
        <f t="shared" si="941"/>
        <v>804827.58620689658</v>
      </c>
    </row>
    <row r="1995" spans="1:10" ht="15.75" thickBot="1" x14ac:dyDescent="0.3">
      <c r="A1995" s="699" t="s">
        <v>34</v>
      </c>
      <c r="B1995" s="708">
        <f>B1993+B1994</f>
        <v>2853300</v>
      </c>
      <c r="C1995" s="656">
        <f t="shared" ref="C1995:H1995" si="948">C1993+C1994</f>
        <v>2739800.0000000005</v>
      </c>
      <c r="D1995" s="656">
        <f t="shared" si="948"/>
        <v>3721500.0000000005</v>
      </c>
      <c r="E1995" s="656">
        <f t="shared" si="948"/>
        <v>4256000</v>
      </c>
      <c r="F1995" s="656">
        <f t="shared" si="948"/>
        <v>8277600.0000000009</v>
      </c>
      <c r="G1995" s="656">
        <f t="shared" si="948"/>
        <v>10270800</v>
      </c>
      <c r="H1995" s="656">
        <f t="shared" si="948"/>
        <v>8726000</v>
      </c>
      <c r="I1995" s="656">
        <f>I1993+I1994</f>
        <v>40845000.000000007</v>
      </c>
      <c r="J1995" s="705">
        <f t="shared" si="941"/>
        <v>5835000.0000000009</v>
      </c>
    </row>
    <row r="1996" spans="1:10" ht="15.75" thickBot="1" x14ac:dyDescent="0.3"/>
    <row r="1997" spans="1:10" ht="27" thickBot="1" x14ac:dyDescent="0.3">
      <c r="B1997" s="1007" t="s">
        <v>656</v>
      </c>
      <c r="C1997" s="1007"/>
      <c r="D1997" s="1007"/>
      <c r="E1997" s="1007"/>
      <c r="F1997" s="1007"/>
      <c r="G1997" s="1007"/>
      <c r="H1997" s="1007"/>
    </row>
    <row r="1998" spans="1:10" ht="15.75" x14ac:dyDescent="0.25">
      <c r="A1998" s="709" t="s">
        <v>2</v>
      </c>
      <c r="B1998" s="706" t="s">
        <v>45</v>
      </c>
      <c r="C1998" s="617" t="s">
        <v>289</v>
      </c>
      <c r="D1998" s="617" t="s">
        <v>47</v>
      </c>
      <c r="E1998" s="617" t="s">
        <v>48</v>
      </c>
      <c r="F1998" s="617" t="s">
        <v>49</v>
      </c>
      <c r="G1998" s="617" t="s">
        <v>50</v>
      </c>
      <c r="H1998" s="617" t="s">
        <v>290</v>
      </c>
      <c r="I1998" s="641" t="s">
        <v>96</v>
      </c>
      <c r="J1998" s="642" t="s">
        <v>97</v>
      </c>
    </row>
    <row r="1999" spans="1:10" x14ac:dyDescent="0.25">
      <c r="A1999" s="710" t="s">
        <v>11</v>
      </c>
      <c r="B1999" s="56">
        <f>49+24+9</f>
        <v>82</v>
      </c>
      <c r="C1999" s="673">
        <f>62+36+8</f>
        <v>106</v>
      </c>
      <c r="D1999" s="673">
        <f>65+42+14</f>
        <v>121</v>
      </c>
      <c r="E1999" s="738">
        <f>57+36+14</f>
        <v>107</v>
      </c>
      <c r="F1999" s="738">
        <f>167+98+23</f>
        <v>288</v>
      </c>
      <c r="G1999" s="738">
        <f>193+120+49</f>
        <v>362</v>
      </c>
      <c r="H1999" s="738">
        <f>102+86+29</f>
        <v>217</v>
      </c>
      <c r="I1999" s="741">
        <f>SUM(B1999:H1999)</f>
        <v>1283</v>
      </c>
      <c r="J1999" s="700">
        <f>+I1999/7</f>
        <v>183.28571428571428</v>
      </c>
    </row>
    <row r="2000" spans="1:10" x14ac:dyDescent="0.25">
      <c r="A2000" s="694" t="s">
        <v>12</v>
      </c>
      <c r="B2000" s="689">
        <v>44</v>
      </c>
      <c r="C2000" s="675">
        <v>63</v>
      </c>
      <c r="D2000" s="675">
        <v>60</v>
      </c>
      <c r="E2000" s="734">
        <v>50</v>
      </c>
      <c r="F2000" s="742">
        <v>151</v>
      </c>
      <c r="G2000" s="734">
        <v>180</v>
      </c>
      <c r="H2000" s="734">
        <v>108</v>
      </c>
      <c r="I2000" s="11">
        <f>SUM(CEDRITOS!$B2000:$H2000)</f>
        <v>656</v>
      </c>
      <c r="J2000" s="623">
        <f t="shared" ref="J2000:J2005" si="949">I2000/7</f>
        <v>93.714285714285708</v>
      </c>
    </row>
    <row r="2001" spans="1:10" x14ac:dyDescent="0.25">
      <c r="A2001" s="694" t="s">
        <v>13</v>
      </c>
      <c r="B2001" s="313">
        <v>0</v>
      </c>
      <c r="C2001" s="13">
        <v>3</v>
      </c>
      <c r="D2001" s="13">
        <v>2</v>
      </c>
      <c r="E2001" s="11">
        <v>0</v>
      </c>
      <c r="F2001" s="125">
        <v>2</v>
      </c>
      <c r="G2001" s="11">
        <v>6</v>
      </c>
      <c r="H2001" s="11">
        <v>0</v>
      </c>
      <c r="I2001" s="11">
        <f>SUM(CEDRITOS!$B2001:$H2001)</f>
        <v>13</v>
      </c>
      <c r="J2001" s="623">
        <f t="shared" si="949"/>
        <v>1.8571428571428572</v>
      </c>
    </row>
    <row r="2002" spans="1:10" x14ac:dyDescent="0.25">
      <c r="A2002" s="694" t="s">
        <v>14</v>
      </c>
      <c r="B2002" s="313">
        <v>31</v>
      </c>
      <c r="C2002" s="13">
        <v>12</v>
      </c>
      <c r="D2002" s="320">
        <v>28</v>
      </c>
      <c r="E2002" s="11">
        <v>26</v>
      </c>
      <c r="F2002" s="125">
        <v>68</v>
      </c>
      <c r="G2002" s="11">
        <v>82</v>
      </c>
      <c r="H2002" s="11">
        <v>60</v>
      </c>
      <c r="I2002" s="11">
        <f>SUM(CEDRITOS!$B2002:$H2002)</f>
        <v>307</v>
      </c>
      <c r="J2002" s="623">
        <f t="shared" si="949"/>
        <v>43.857142857142854</v>
      </c>
    </row>
    <row r="2003" spans="1:10" x14ac:dyDescent="0.25">
      <c r="A2003" s="694" t="s">
        <v>15</v>
      </c>
      <c r="B2003" s="313">
        <v>1</v>
      </c>
      <c r="C2003" s="13">
        <v>9</v>
      </c>
      <c r="D2003" s="13">
        <v>12</v>
      </c>
      <c r="E2003" s="11">
        <v>9</v>
      </c>
      <c r="F2003" s="125">
        <v>1</v>
      </c>
      <c r="G2003" s="11">
        <v>11</v>
      </c>
      <c r="H2003" s="11">
        <v>1</v>
      </c>
      <c r="I2003" s="11">
        <f>SUM(CEDRITOS!$B2003:$H2003)</f>
        <v>44</v>
      </c>
      <c r="J2003" s="623">
        <f t="shared" si="949"/>
        <v>6.2857142857142856</v>
      </c>
    </row>
    <row r="2004" spans="1:10" x14ac:dyDescent="0.25">
      <c r="A2004" s="694" t="s">
        <v>16</v>
      </c>
      <c r="B2004" s="313">
        <v>0</v>
      </c>
      <c r="C2004" s="13">
        <v>1</v>
      </c>
      <c r="D2004" s="13">
        <v>0</v>
      </c>
      <c r="E2004" s="11">
        <v>0</v>
      </c>
      <c r="F2004" s="125">
        <v>0</v>
      </c>
      <c r="G2004" s="11">
        <v>0</v>
      </c>
      <c r="H2004" s="11">
        <v>1</v>
      </c>
      <c r="I2004" s="11">
        <f>SUM(CEDRITOS!$B2004:$H2004)</f>
        <v>2</v>
      </c>
      <c r="J2004" s="623">
        <f t="shared" si="949"/>
        <v>0.2857142857142857</v>
      </c>
    </row>
    <row r="2005" spans="1:10" x14ac:dyDescent="0.25">
      <c r="A2005" s="695" t="s">
        <v>17</v>
      </c>
      <c r="B2005" s="707">
        <f>SUM(B2000:B2004)</f>
        <v>76</v>
      </c>
      <c r="C2005" s="192">
        <f t="shared" ref="C2005:I2005" si="950">SUM(C2000:C2004)</f>
        <v>88</v>
      </c>
      <c r="D2005" s="192">
        <f t="shared" si="950"/>
        <v>102</v>
      </c>
      <c r="E2005" s="192">
        <f t="shared" si="950"/>
        <v>85</v>
      </c>
      <c r="F2005" s="192">
        <f t="shared" si="950"/>
        <v>222</v>
      </c>
      <c r="G2005" s="192">
        <f t="shared" si="950"/>
        <v>279</v>
      </c>
      <c r="H2005" s="192">
        <f t="shared" si="950"/>
        <v>170</v>
      </c>
      <c r="I2005" s="192">
        <f t="shared" si="950"/>
        <v>1022</v>
      </c>
      <c r="J2005" s="647">
        <f t="shared" si="949"/>
        <v>146</v>
      </c>
    </row>
    <row r="2006" spans="1:10" x14ac:dyDescent="0.25">
      <c r="A2006" s="694" t="s">
        <v>18</v>
      </c>
      <c r="B2006" s="690">
        <v>0.7</v>
      </c>
      <c r="C2006" s="326">
        <v>0.76</v>
      </c>
      <c r="D2006" s="326">
        <v>0.66</v>
      </c>
      <c r="E2006" s="327">
        <v>0.63</v>
      </c>
      <c r="F2006" s="328">
        <v>0.74</v>
      </c>
      <c r="G2006" s="327">
        <v>0.68</v>
      </c>
      <c r="H2006" s="327">
        <v>0.65</v>
      </c>
      <c r="I2006" s="30">
        <f>I2013/I2018</f>
        <v>0.69112615622171392</v>
      </c>
      <c r="J2006" s="648">
        <f>J2013/J2018</f>
        <v>0.69112615622171392</v>
      </c>
    </row>
    <row r="2007" spans="1:10" x14ac:dyDescent="0.25">
      <c r="A2007" s="694" t="s">
        <v>19</v>
      </c>
      <c r="B2007" s="690">
        <v>0</v>
      </c>
      <c r="C2007" s="326">
        <v>0.03</v>
      </c>
      <c r="D2007" s="326">
        <v>0.02</v>
      </c>
      <c r="E2007" s="327">
        <v>0</v>
      </c>
      <c r="F2007" s="327">
        <v>0</v>
      </c>
      <c r="G2007" s="327">
        <v>0.03</v>
      </c>
      <c r="H2007" s="327">
        <v>0</v>
      </c>
      <c r="I2007" s="30">
        <f>I2014/I2018</f>
        <v>1.2721596044832466E-2</v>
      </c>
      <c r="J2007" s="648">
        <f>J2014/J2018</f>
        <v>1.2721596044832466E-2</v>
      </c>
    </row>
    <row r="2008" spans="1:10" x14ac:dyDescent="0.25">
      <c r="A2008" s="694" t="s">
        <v>20</v>
      </c>
      <c r="B2008" s="690">
        <v>0.28000000000000003</v>
      </c>
      <c r="C2008" s="326">
        <v>0.1</v>
      </c>
      <c r="D2008" s="326">
        <v>0.23</v>
      </c>
      <c r="E2008" s="327">
        <v>0.26</v>
      </c>
      <c r="F2008" s="329">
        <v>0.25</v>
      </c>
      <c r="G2008" s="327">
        <v>0.25</v>
      </c>
      <c r="H2008" s="327">
        <v>0.34</v>
      </c>
      <c r="I2008" s="30">
        <f>I2015/I2018</f>
        <v>0.25381978637262026</v>
      </c>
      <c r="J2008" s="648">
        <f>J2015/J2018</f>
        <v>0.25381978637262032</v>
      </c>
    </row>
    <row r="2009" spans="1:10" x14ac:dyDescent="0.25">
      <c r="A2009" s="694" t="s">
        <v>21</v>
      </c>
      <c r="B2009" s="690">
        <v>0.02</v>
      </c>
      <c r="C2009" s="326">
        <v>0.09</v>
      </c>
      <c r="D2009" s="326">
        <v>0.09</v>
      </c>
      <c r="E2009" s="327">
        <v>0.11</v>
      </c>
      <c r="F2009" s="329">
        <v>0.01</v>
      </c>
      <c r="G2009" s="327">
        <v>0.04</v>
      </c>
      <c r="H2009" s="327">
        <v>0</v>
      </c>
      <c r="I2009" s="30">
        <f>I2016/I2018</f>
        <v>3.8981188931475383E-2</v>
      </c>
      <c r="J2009" s="648">
        <f>J2016/J2018</f>
        <v>3.8981188931475383E-2</v>
      </c>
    </row>
    <row r="2010" spans="1:10" x14ac:dyDescent="0.25">
      <c r="A2010" s="694" t="s">
        <v>22</v>
      </c>
      <c r="B2010" s="690">
        <v>0</v>
      </c>
      <c r="C2010" s="326">
        <v>0.02</v>
      </c>
      <c r="D2010" s="326">
        <v>0</v>
      </c>
      <c r="E2010" s="327">
        <v>0</v>
      </c>
      <c r="F2010" s="329">
        <v>0</v>
      </c>
      <c r="G2010" s="327">
        <v>0</v>
      </c>
      <c r="H2010" s="327">
        <v>0.01</v>
      </c>
      <c r="I2010" s="30">
        <f>I2017/I2018</f>
        <v>3.3512724293579422E-3</v>
      </c>
      <c r="J2010" s="648">
        <f>J2017/J2018</f>
        <v>3.3512724293579426E-3</v>
      </c>
    </row>
    <row r="2011" spans="1:10" x14ac:dyDescent="0.25">
      <c r="A2011" s="696" t="s">
        <v>23</v>
      </c>
      <c r="B2011" s="164">
        <f t="shared" ref="B2011:J2011" si="951">B2022/B2005</f>
        <v>29415.78947368421</v>
      </c>
      <c r="C2011" s="66">
        <f t="shared" si="951"/>
        <v>34602.272727272728</v>
      </c>
      <c r="D2011" s="66">
        <f t="shared" si="951"/>
        <v>33213.725490196077</v>
      </c>
      <c r="E2011" s="66">
        <f t="shared" si="951"/>
        <v>33444.705882352944</v>
      </c>
      <c r="F2011" s="66">
        <f t="shared" si="951"/>
        <v>39135.585585585584</v>
      </c>
      <c r="G2011" s="66">
        <f t="shared" si="951"/>
        <v>36951.254480286741</v>
      </c>
      <c r="H2011" s="66">
        <f t="shared" si="951"/>
        <v>36928.23529411765</v>
      </c>
      <c r="I2011" s="66">
        <f t="shared" si="951"/>
        <v>35994.618395303332</v>
      </c>
      <c r="J2011" s="701">
        <f t="shared" si="951"/>
        <v>35994.618395303332</v>
      </c>
    </row>
    <row r="2012" spans="1:10" x14ac:dyDescent="0.25">
      <c r="A2012" s="696" t="s">
        <v>24</v>
      </c>
      <c r="B2012" s="164">
        <f t="shared" ref="B2012:I2012" si="952">+B2022/B1999</f>
        <v>27263.414634146342</v>
      </c>
      <c r="C2012" s="66">
        <f t="shared" si="952"/>
        <v>28726.415094339623</v>
      </c>
      <c r="D2012" s="66">
        <f t="shared" si="952"/>
        <v>27998.347107438018</v>
      </c>
      <c r="E2012" s="66">
        <f t="shared" si="952"/>
        <v>26568.224299065423</v>
      </c>
      <c r="F2012" s="66">
        <f t="shared" si="952"/>
        <v>30167.013888888891</v>
      </c>
      <c r="G2012" s="66">
        <f t="shared" si="952"/>
        <v>28479.005524861877</v>
      </c>
      <c r="H2012" s="66">
        <f t="shared" si="952"/>
        <v>28929.953917050694</v>
      </c>
      <c r="I2012" s="66">
        <f t="shared" si="952"/>
        <v>28672.252533125495</v>
      </c>
      <c r="J2012" s="701">
        <f>J2022/J1999</f>
        <v>28672.252533125491</v>
      </c>
    </row>
    <row r="2013" spans="1:10" x14ac:dyDescent="0.25">
      <c r="A2013" s="694" t="s">
        <v>25</v>
      </c>
      <c r="B2013" s="300">
        <f t="shared" ref="B2013:H2013" si="953">B2018*B2006</f>
        <v>1274717.7655172416</v>
      </c>
      <c r="C2013" s="92">
        <f t="shared" si="953"/>
        <v>1879417.68</v>
      </c>
      <c r="D2013" s="92">
        <f t="shared" si="953"/>
        <v>1831946.9793103449</v>
      </c>
      <c r="E2013" s="92">
        <f t="shared" si="953"/>
        <v>1467893.482758621</v>
      </c>
      <c r="F2013" s="92">
        <f t="shared" si="953"/>
        <v>5272668.2606896553</v>
      </c>
      <c r="G2013" s="31">
        <f t="shared" si="953"/>
        <v>5747967.7793103456</v>
      </c>
      <c r="H2013" s="31">
        <f t="shared" si="953"/>
        <v>3348269.9586206903</v>
      </c>
      <c r="I2013" s="31">
        <f>SUM(B2013:H2013)</f>
        <v>20822881.906206898</v>
      </c>
      <c r="J2013" s="702">
        <f t="shared" ref="J2013:J2022" si="954">I2013/7</f>
        <v>2974697.4151724139</v>
      </c>
    </row>
    <row r="2014" spans="1:10" x14ac:dyDescent="0.25">
      <c r="A2014" s="694" t="s">
        <v>26</v>
      </c>
      <c r="B2014" s="300">
        <f t="shared" ref="B2014:H2014" si="955">B2018*B2007</f>
        <v>0</v>
      </c>
      <c r="C2014" s="92">
        <f t="shared" si="955"/>
        <v>74187.539999999994</v>
      </c>
      <c r="D2014" s="92">
        <f t="shared" si="955"/>
        <v>55513.544827586207</v>
      </c>
      <c r="E2014" s="92">
        <f t="shared" si="955"/>
        <v>0</v>
      </c>
      <c r="F2014" s="92">
        <f t="shared" si="955"/>
        <v>0</v>
      </c>
      <c r="G2014" s="31">
        <f t="shared" si="955"/>
        <v>253586.81379310347</v>
      </c>
      <c r="H2014" s="31">
        <f t="shared" si="955"/>
        <v>0</v>
      </c>
      <c r="I2014" s="31">
        <f>SUM(B2014:H2014)</f>
        <v>383287.89862068964</v>
      </c>
      <c r="J2014" s="702">
        <f t="shared" si="954"/>
        <v>54755.414088669946</v>
      </c>
    </row>
    <row r="2015" spans="1:10" x14ac:dyDescent="0.25">
      <c r="A2015" s="694" t="s">
        <v>27</v>
      </c>
      <c r="B2015" s="300">
        <f t="shared" ref="B2015:H2015" si="956">B2018*B2008</f>
        <v>509887.10620689666</v>
      </c>
      <c r="C2015" s="92">
        <f t="shared" si="956"/>
        <v>247291.80000000002</v>
      </c>
      <c r="D2015" s="92">
        <f t="shared" si="956"/>
        <v>638405.76551724144</v>
      </c>
      <c r="E2015" s="92">
        <f t="shared" si="956"/>
        <v>605797.31034482771</v>
      </c>
      <c r="F2015" s="92">
        <f t="shared" si="956"/>
        <v>1781306.8448275863</v>
      </c>
      <c r="G2015" s="31">
        <f t="shared" si="956"/>
        <v>2113223.4482758623</v>
      </c>
      <c r="H2015" s="31">
        <f t="shared" si="956"/>
        <v>1751402.7475862072</v>
      </c>
      <c r="I2015" s="31">
        <f>SUM(B2015:H2015)</f>
        <v>7647315.0227586217</v>
      </c>
      <c r="J2015" s="702">
        <f t="shared" si="954"/>
        <v>1092473.5746798031</v>
      </c>
    </row>
    <row r="2016" spans="1:10" x14ac:dyDescent="0.25">
      <c r="A2016" s="694" t="s">
        <v>28</v>
      </c>
      <c r="B2016" s="300">
        <f t="shared" ref="B2016:H2016" si="957">B2018*B2009</f>
        <v>36420.507586206899</v>
      </c>
      <c r="C2016" s="92">
        <f t="shared" si="957"/>
        <v>222562.62</v>
      </c>
      <c r="D2016" s="92">
        <f t="shared" si="957"/>
        <v>249810.95172413794</v>
      </c>
      <c r="E2016" s="92">
        <f t="shared" si="957"/>
        <v>256298.86206896557</v>
      </c>
      <c r="F2016" s="92">
        <f t="shared" si="957"/>
        <v>71252.27379310345</v>
      </c>
      <c r="G2016" s="31">
        <f t="shared" si="957"/>
        <v>338115.75172413798</v>
      </c>
      <c r="H2016" s="31">
        <f t="shared" si="957"/>
        <v>0</v>
      </c>
      <c r="I2016" s="31">
        <f>SUM(B2016:H2016)</f>
        <v>1174460.9668965517</v>
      </c>
      <c r="J2016" s="702">
        <f t="shared" si="954"/>
        <v>167780.1381280788</v>
      </c>
    </row>
    <row r="2017" spans="1:10" x14ac:dyDescent="0.25">
      <c r="A2017" s="694" t="s">
        <v>29</v>
      </c>
      <c r="B2017" s="300">
        <f t="shared" ref="B2017:H2017" si="958">B2018*B2010</f>
        <v>0</v>
      </c>
      <c r="C2017" s="92">
        <f t="shared" si="958"/>
        <v>49458.36</v>
      </c>
      <c r="D2017" s="92">
        <f t="shared" si="958"/>
        <v>0</v>
      </c>
      <c r="E2017" s="92">
        <f t="shared" si="958"/>
        <v>0</v>
      </c>
      <c r="F2017" s="92">
        <f t="shared" si="958"/>
        <v>0</v>
      </c>
      <c r="G2017" s="31">
        <f t="shared" si="958"/>
        <v>0</v>
      </c>
      <c r="H2017" s="31">
        <f t="shared" si="958"/>
        <v>51511.845517241389</v>
      </c>
      <c r="I2017" s="31">
        <f>SUM(B2017:H2017)</f>
        <v>100970.20551724138</v>
      </c>
      <c r="J2017" s="702">
        <f t="shared" si="954"/>
        <v>14424.315073891627</v>
      </c>
    </row>
    <row r="2018" spans="1:10" x14ac:dyDescent="0.25">
      <c r="A2018" s="697" t="s">
        <v>30</v>
      </c>
      <c r="B2018" s="691">
        <f>(2235600/1.16)-B2019</f>
        <v>1821025.379310345</v>
      </c>
      <c r="C2018" s="691">
        <f>(3045000/1.16)-C2019</f>
        <v>2472918</v>
      </c>
      <c r="D2018" s="691">
        <f>(3387800/1.16)-D2019</f>
        <v>2775677.2413793104</v>
      </c>
      <c r="E2018" s="691">
        <f>(2842800/1.16)-E2019</f>
        <v>2329989.6551724141</v>
      </c>
      <c r="F2018" s="691">
        <f>(8688100/1.16)-F2019</f>
        <v>7125227.3793103453</v>
      </c>
      <c r="G2018" s="691">
        <f>(10309400/1.16)-G2019</f>
        <v>8452893.793103449</v>
      </c>
      <c r="H2018" s="691">
        <f>(6277800/1.16)-H2019</f>
        <v>5151184.5517241387</v>
      </c>
      <c r="I2018" s="197">
        <f>SUM(I2013:I2017)</f>
        <v>30128916.000000004</v>
      </c>
      <c r="J2018" s="703">
        <f t="shared" si="954"/>
        <v>4304130.8571428573</v>
      </c>
    </row>
    <row r="2019" spans="1:10" x14ac:dyDescent="0.25">
      <c r="A2019" s="694" t="s">
        <v>31</v>
      </c>
      <c r="B2019" s="300">
        <f t="shared" ref="B2019:I2019" si="959">2414*B2000</f>
        <v>106216</v>
      </c>
      <c r="C2019" s="92">
        <f t="shared" si="959"/>
        <v>152082</v>
      </c>
      <c r="D2019" s="92">
        <f t="shared" si="959"/>
        <v>144840</v>
      </c>
      <c r="E2019" s="92">
        <f t="shared" si="959"/>
        <v>120700</v>
      </c>
      <c r="F2019" s="92">
        <f t="shared" si="959"/>
        <v>364514</v>
      </c>
      <c r="G2019" s="92">
        <f t="shared" si="959"/>
        <v>434520</v>
      </c>
      <c r="H2019" s="92">
        <f t="shared" si="959"/>
        <v>260712</v>
      </c>
      <c r="I2019" s="31">
        <f t="shared" si="959"/>
        <v>1583584</v>
      </c>
      <c r="J2019" s="702">
        <f t="shared" si="954"/>
        <v>226226.28571428571</v>
      </c>
    </row>
    <row r="2020" spans="1:10" x14ac:dyDescent="0.25">
      <c r="A2020" s="698" t="s">
        <v>32</v>
      </c>
      <c r="B2020" s="342">
        <f>B2019+B2018</f>
        <v>1927241.379310345</v>
      </c>
      <c r="C2020" s="199">
        <f>C2019+C2018</f>
        <v>2625000</v>
      </c>
      <c r="D2020" s="199">
        <f>D2019+D2018</f>
        <v>2920517.2413793104</v>
      </c>
      <c r="E2020" s="199">
        <f>E2019+E2018</f>
        <v>2450689.6551724141</v>
      </c>
      <c r="F2020" s="199">
        <f>F2018+F2019</f>
        <v>7489741.3793103453</v>
      </c>
      <c r="G2020" s="199">
        <f>G2019+G2018</f>
        <v>8887413.793103449</v>
      </c>
      <c r="H2020" s="199">
        <f>H2019+H2018</f>
        <v>5411896.5517241387</v>
      </c>
      <c r="I2020" s="199">
        <f>I2018+I2019</f>
        <v>31712500.000000004</v>
      </c>
      <c r="J2020" s="704">
        <f t="shared" si="954"/>
        <v>4530357.1428571437</v>
      </c>
    </row>
    <row r="2021" spans="1:10" x14ac:dyDescent="0.25">
      <c r="A2021" s="694" t="s">
        <v>33</v>
      </c>
      <c r="B2021" s="302">
        <f>B2020*16%</f>
        <v>308358.62068965519</v>
      </c>
      <c r="C2021" s="94">
        <f t="shared" ref="C2021:H2021" si="960">C2020*16%</f>
        <v>420000</v>
      </c>
      <c r="D2021" s="94">
        <f t="shared" si="960"/>
        <v>467282.75862068968</v>
      </c>
      <c r="E2021" s="94">
        <f t="shared" si="960"/>
        <v>392110.34482758626</v>
      </c>
      <c r="F2021" s="94">
        <f t="shared" si="960"/>
        <v>1198358.6206896552</v>
      </c>
      <c r="G2021" s="94">
        <f t="shared" si="960"/>
        <v>1421986.2068965519</v>
      </c>
      <c r="H2021" s="94">
        <f t="shared" si="960"/>
        <v>865903.44827586226</v>
      </c>
      <c r="I2021" s="94">
        <f>I2020*16%</f>
        <v>5074000.0000000009</v>
      </c>
      <c r="J2021" s="702">
        <f t="shared" si="954"/>
        <v>724857.14285714296</v>
      </c>
    </row>
    <row r="2022" spans="1:10" ht="15.75" thickBot="1" x14ac:dyDescent="0.3">
      <c r="A2022" s="699" t="s">
        <v>34</v>
      </c>
      <c r="B2022" s="708">
        <f>B2020+B2021</f>
        <v>2235600</v>
      </c>
      <c r="C2022" s="656">
        <f t="shared" ref="C2022:H2022" si="961">C2020+C2021</f>
        <v>3045000</v>
      </c>
      <c r="D2022" s="656">
        <f t="shared" si="961"/>
        <v>3387800</v>
      </c>
      <c r="E2022" s="656">
        <f t="shared" si="961"/>
        <v>2842800.0000000005</v>
      </c>
      <c r="F2022" s="656">
        <f t="shared" si="961"/>
        <v>8688100</v>
      </c>
      <c r="G2022" s="656">
        <f t="shared" si="961"/>
        <v>10309400</v>
      </c>
      <c r="H2022" s="656">
        <f t="shared" si="961"/>
        <v>6277800.0000000009</v>
      </c>
      <c r="I2022" s="656">
        <f>I2020+I2021</f>
        <v>36786500.000000007</v>
      </c>
      <c r="J2022" s="705">
        <f t="shared" si="954"/>
        <v>5255214.2857142864</v>
      </c>
    </row>
    <row r="2023" spans="1:10" ht="15.75" thickBot="1" x14ac:dyDescent="0.3"/>
    <row r="2024" spans="1:10" ht="27" thickBot="1" x14ac:dyDescent="0.3">
      <c r="B2024" s="1007" t="s">
        <v>660</v>
      </c>
      <c r="C2024" s="1007"/>
      <c r="D2024" s="1007"/>
      <c r="E2024" s="1007"/>
      <c r="F2024" s="1007"/>
      <c r="G2024" s="1007"/>
      <c r="H2024" s="1007"/>
    </row>
    <row r="2025" spans="1:10" ht="15.75" x14ac:dyDescent="0.25">
      <c r="A2025" s="709" t="s">
        <v>2</v>
      </c>
      <c r="B2025" s="706" t="s">
        <v>53</v>
      </c>
      <c r="C2025" s="617" t="s">
        <v>54</v>
      </c>
      <c r="D2025" s="617" t="s">
        <v>292</v>
      </c>
      <c r="E2025" s="617" t="s">
        <v>293</v>
      </c>
      <c r="F2025" s="617" t="s">
        <v>294</v>
      </c>
      <c r="G2025" s="617" t="s">
        <v>295</v>
      </c>
      <c r="H2025" s="617" t="s">
        <v>296</v>
      </c>
      <c r="I2025" s="641" t="s">
        <v>96</v>
      </c>
      <c r="J2025" s="642" t="s">
        <v>97</v>
      </c>
    </row>
    <row r="2026" spans="1:10" x14ac:dyDescent="0.25">
      <c r="A2026" s="710" t="s">
        <v>11</v>
      </c>
      <c r="B2026" s="56">
        <f>42+24+10</f>
        <v>76</v>
      </c>
      <c r="C2026" s="673">
        <f>48+28+13</f>
        <v>89</v>
      </c>
      <c r="D2026" s="673">
        <f>59+34+8</f>
        <v>101</v>
      </c>
      <c r="E2026" s="738">
        <f>63+48+16</f>
        <v>127</v>
      </c>
      <c r="F2026" s="738">
        <f>144+126+33</f>
        <v>303</v>
      </c>
      <c r="G2026" s="738">
        <f>156+133+40</f>
        <v>329</v>
      </c>
      <c r="H2026" s="738">
        <f>171+100+36</f>
        <v>307</v>
      </c>
      <c r="I2026" s="741">
        <f>SUM(B2026:H2026)</f>
        <v>1332</v>
      </c>
      <c r="J2026" s="700">
        <f>+I2026/7</f>
        <v>190.28571428571428</v>
      </c>
    </row>
    <row r="2027" spans="1:10" x14ac:dyDescent="0.25">
      <c r="A2027" s="694" t="s">
        <v>12</v>
      </c>
      <c r="B2027" s="689">
        <v>41</v>
      </c>
      <c r="C2027" s="675">
        <v>43</v>
      </c>
      <c r="D2027" s="675">
        <v>47</v>
      </c>
      <c r="E2027" s="734">
        <v>65</v>
      </c>
      <c r="F2027" s="742">
        <v>167</v>
      </c>
      <c r="G2027" s="734">
        <v>176</v>
      </c>
      <c r="H2027" s="734">
        <v>181</v>
      </c>
      <c r="I2027" s="11">
        <f>SUM(CEDRITOS!$B2027:$H2027)</f>
        <v>720</v>
      </c>
      <c r="J2027" s="623">
        <f t="shared" ref="J2027:J2032" si="962">I2027/7</f>
        <v>102.85714285714286</v>
      </c>
    </row>
    <row r="2028" spans="1:10" x14ac:dyDescent="0.25">
      <c r="A2028" s="694" t="s">
        <v>13</v>
      </c>
      <c r="B2028" s="313">
        <v>0</v>
      </c>
      <c r="C2028" s="13">
        <v>1</v>
      </c>
      <c r="D2028" s="13">
        <v>2</v>
      </c>
      <c r="E2028" s="11">
        <v>0</v>
      </c>
      <c r="F2028" s="125">
        <v>1</v>
      </c>
      <c r="G2028" s="11">
        <v>3</v>
      </c>
      <c r="H2028" s="11">
        <v>3</v>
      </c>
      <c r="I2028" s="11">
        <f>SUM(CEDRITOS!$B2028:$H2028)</f>
        <v>10</v>
      </c>
      <c r="J2028" s="623">
        <f t="shared" si="962"/>
        <v>1.4285714285714286</v>
      </c>
    </row>
    <row r="2029" spans="1:10" x14ac:dyDescent="0.25">
      <c r="A2029" s="694" t="s">
        <v>14</v>
      </c>
      <c r="B2029" s="313">
        <v>27</v>
      </c>
      <c r="C2029" s="13">
        <v>20</v>
      </c>
      <c r="D2029" s="320">
        <v>36</v>
      </c>
      <c r="E2029" s="11">
        <v>30</v>
      </c>
      <c r="F2029" s="125">
        <v>64</v>
      </c>
      <c r="G2029" s="11">
        <v>58</v>
      </c>
      <c r="H2029" s="11">
        <v>49</v>
      </c>
      <c r="I2029" s="11">
        <f>SUM(CEDRITOS!$B2029:$H2029)</f>
        <v>284</v>
      </c>
      <c r="J2029" s="623">
        <f t="shared" si="962"/>
        <v>40.571428571428569</v>
      </c>
    </row>
    <row r="2030" spans="1:10" x14ac:dyDescent="0.25">
      <c r="A2030" s="694" t="s">
        <v>15</v>
      </c>
      <c r="B2030" s="313">
        <v>2</v>
      </c>
      <c r="C2030" s="13">
        <v>11</v>
      </c>
      <c r="D2030" s="13">
        <v>1</v>
      </c>
      <c r="E2030" s="11">
        <v>3</v>
      </c>
      <c r="F2030" s="125">
        <v>12</v>
      </c>
      <c r="G2030" s="11">
        <v>14</v>
      </c>
      <c r="H2030" s="11">
        <v>13</v>
      </c>
      <c r="I2030" s="11">
        <f>SUM(CEDRITOS!$B2030:$H2030)</f>
        <v>56</v>
      </c>
      <c r="J2030" s="623">
        <f t="shared" si="962"/>
        <v>8</v>
      </c>
    </row>
    <row r="2031" spans="1:10" x14ac:dyDescent="0.25">
      <c r="A2031" s="694" t="s">
        <v>16</v>
      </c>
      <c r="B2031" s="313">
        <v>0</v>
      </c>
      <c r="C2031" s="13">
        <v>1</v>
      </c>
      <c r="D2031" s="13">
        <v>0</v>
      </c>
      <c r="E2031" s="11">
        <v>0</v>
      </c>
      <c r="F2031" s="125">
        <v>1</v>
      </c>
      <c r="G2031" s="11">
        <v>0</v>
      </c>
      <c r="H2031" s="11">
        <v>0</v>
      </c>
      <c r="I2031" s="11">
        <f>SUM(CEDRITOS!$B2031:$H2031)</f>
        <v>2</v>
      </c>
      <c r="J2031" s="623">
        <f t="shared" si="962"/>
        <v>0.2857142857142857</v>
      </c>
    </row>
    <row r="2032" spans="1:10" x14ac:dyDescent="0.25">
      <c r="A2032" s="695" t="s">
        <v>17</v>
      </c>
      <c r="B2032" s="707">
        <f>SUM(B2027:B2031)</f>
        <v>70</v>
      </c>
      <c r="C2032" s="192">
        <f t="shared" ref="C2032:I2032" si="963">SUM(C2027:C2031)</f>
        <v>76</v>
      </c>
      <c r="D2032" s="192">
        <f t="shared" si="963"/>
        <v>86</v>
      </c>
      <c r="E2032" s="192">
        <f t="shared" si="963"/>
        <v>98</v>
      </c>
      <c r="F2032" s="192">
        <f t="shared" si="963"/>
        <v>245</v>
      </c>
      <c r="G2032" s="192">
        <f t="shared" si="963"/>
        <v>251</v>
      </c>
      <c r="H2032" s="192">
        <f t="shared" si="963"/>
        <v>246</v>
      </c>
      <c r="I2032" s="192">
        <f t="shared" si="963"/>
        <v>1072</v>
      </c>
      <c r="J2032" s="647">
        <f t="shared" si="962"/>
        <v>153.14285714285714</v>
      </c>
    </row>
    <row r="2033" spans="1:10" x14ac:dyDescent="0.25">
      <c r="A2033" s="694" t="s">
        <v>18</v>
      </c>
      <c r="B2033" s="690">
        <v>0.73</v>
      </c>
      <c r="C2033" s="326">
        <v>0.65</v>
      </c>
      <c r="D2033" s="326">
        <v>0.64</v>
      </c>
      <c r="E2033" s="327">
        <v>0.7</v>
      </c>
      <c r="F2033" s="328">
        <v>0.74</v>
      </c>
      <c r="G2033" s="327">
        <v>0.75</v>
      </c>
      <c r="H2033" s="327">
        <v>0.78</v>
      </c>
      <c r="I2033" s="30">
        <f>I2040/I2045</f>
        <v>0.73329826106312856</v>
      </c>
      <c r="J2033" s="648">
        <f>J2040/J2045</f>
        <v>0.73329826106312845</v>
      </c>
    </row>
    <row r="2034" spans="1:10" x14ac:dyDescent="0.25">
      <c r="A2034" s="694" t="s">
        <v>19</v>
      </c>
      <c r="B2034" s="690">
        <v>0</v>
      </c>
      <c r="C2034" s="326">
        <v>0.04</v>
      </c>
      <c r="D2034" s="326">
        <v>0.02</v>
      </c>
      <c r="E2034" s="327">
        <v>0</v>
      </c>
      <c r="F2034" s="327">
        <v>0</v>
      </c>
      <c r="G2034" s="327">
        <v>0.01</v>
      </c>
      <c r="H2034" s="327">
        <v>0.01</v>
      </c>
      <c r="I2034" s="30">
        <f>I2041/I2045</f>
        <v>8.8943456567769138E-3</v>
      </c>
      <c r="J2034" s="648">
        <f>J2041/J2045</f>
        <v>8.8943456567769121E-3</v>
      </c>
    </row>
    <row r="2035" spans="1:10" x14ac:dyDescent="0.25">
      <c r="A2035" s="694" t="s">
        <v>20</v>
      </c>
      <c r="B2035" s="690">
        <v>0.24</v>
      </c>
      <c r="C2035" s="326">
        <v>0.16</v>
      </c>
      <c r="D2035" s="326">
        <v>0.33</v>
      </c>
      <c r="E2035" s="327">
        <v>0.26</v>
      </c>
      <c r="F2035" s="329">
        <v>0.23</v>
      </c>
      <c r="G2035" s="327">
        <v>0.2</v>
      </c>
      <c r="H2035" s="327">
        <v>0.16</v>
      </c>
      <c r="I2035" s="30">
        <f>I2042/I2045</f>
        <v>0.21324496069013124</v>
      </c>
      <c r="J2035" s="648">
        <f>J2042/J2045</f>
        <v>0.21324496069013124</v>
      </c>
    </row>
    <row r="2036" spans="1:10" x14ac:dyDescent="0.25">
      <c r="A2036" s="694" t="s">
        <v>21</v>
      </c>
      <c r="B2036" s="690">
        <v>0.03</v>
      </c>
      <c r="C2036" s="326">
        <v>0.14000000000000001</v>
      </c>
      <c r="D2036" s="326">
        <v>0.01</v>
      </c>
      <c r="E2036" s="327">
        <v>0.04</v>
      </c>
      <c r="F2036" s="329">
        <v>0.03</v>
      </c>
      <c r="G2036" s="327">
        <v>0.04</v>
      </c>
      <c r="H2036" s="327">
        <v>0.05</v>
      </c>
      <c r="I2036" s="30">
        <f>I2043/I2045</f>
        <v>4.3884767080579638E-2</v>
      </c>
      <c r="J2036" s="648">
        <f>J2043/J2045</f>
        <v>4.3884767080579638E-2</v>
      </c>
    </row>
    <row r="2037" spans="1:10" x14ac:dyDescent="0.25">
      <c r="A2037" s="694" t="s">
        <v>22</v>
      </c>
      <c r="B2037" s="690">
        <v>0</v>
      </c>
      <c r="C2037" s="326">
        <v>0.01</v>
      </c>
      <c r="D2037" s="326">
        <v>0</v>
      </c>
      <c r="E2037" s="327">
        <v>0</v>
      </c>
      <c r="F2037" s="329">
        <v>0</v>
      </c>
      <c r="G2037" s="327">
        <v>0</v>
      </c>
      <c r="H2037" s="327">
        <v>0</v>
      </c>
      <c r="I2037" s="30">
        <f>I2044/I2045</f>
        <v>6.7766550938373185E-4</v>
      </c>
      <c r="J2037" s="648">
        <f>J2044/J2045</f>
        <v>6.7766550938373174E-4</v>
      </c>
    </row>
    <row r="2038" spans="1:10" x14ac:dyDescent="0.25">
      <c r="A2038" s="696" t="s">
        <v>23</v>
      </c>
      <c r="B2038" s="164">
        <f t="shared" ref="B2038:J2038" si="964">B2049/B2032</f>
        <v>28490.000000000004</v>
      </c>
      <c r="C2038" s="66">
        <f t="shared" si="964"/>
        <v>34072.368421052633</v>
      </c>
      <c r="D2038" s="66">
        <f t="shared" si="964"/>
        <v>32991.860465116282</v>
      </c>
      <c r="E2038" s="66">
        <f t="shared" si="964"/>
        <v>39093.877551020407</v>
      </c>
      <c r="F2038" s="66">
        <f t="shared" si="964"/>
        <v>37062.857142857145</v>
      </c>
      <c r="G2038" s="66">
        <f t="shared" si="964"/>
        <v>38004.780876494027</v>
      </c>
      <c r="H2038" s="66">
        <f t="shared" si="964"/>
        <v>34876.0162601626</v>
      </c>
      <c r="I2038" s="66">
        <f t="shared" si="964"/>
        <v>35868.843283582093</v>
      </c>
      <c r="J2038" s="701">
        <f t="shared" si="964"/>
        <v>35868.843283582093</v>
      </c>
    </row>
    <row r="2039" spans="1:10" x14ac:dyDescent="0.25">
      <c r="A2039" s="696" t="s">
        <v>24</v>
      </c>
      <c r="B2039" s="164">
        <f t="shared" ref="B2039:I2039" si="965">+B2049/B2026</f>
        <v>26240.789473684214</v>
      </c>
      <c r="C2039" s="66">
        <f t="shared" si="965"/>
        <v>29095.505617977527</v>
      </c>
      <c r="D2039" s="66">
        <f t="shared" si="965"/>
        <v>28092.079207920797</v>
      </c>
      <c r="E2039" s="66">
        <f t="shared" si="965"/>
        <v>30166.929133858266</v>
      </c>
      <c r="F2039" s="66">
        <f t="shared" si="965"/>
        <v>29968.316831683169</v>
      </c>
      <c r="G2039" s="66">
        <f t="shared" si="965"/>
        <v>28994.52887537994</v>
      </c>
      <c r="H2039" s="66">
        <f t="shared" si="965"/>
        <v>27946.254071661238</v>
      </c>
      <c r="I2039" s="66">
        <f t="shared" si="965"/>
        <v>28867.417417417419</v>
      </c>
      <c r="J2039" s="701">
        <f>J2049/J2026</f>
        <v>28867.417417417419</v>
      </c>
    </row>
    <row r="2040" spans="1:10" x14ac:dyDescent="0.25">
      <c r="A2040" s="694" t="s">
        <v>25</v>
      </c>
      <c r="B2040" s="300">
        <f t="shared" ref="B2040:H2040" si="966">B2045*B2033</f>
        <v>1182782.6006896552</v>
      </c>
      <c r="C2040" s="92">
        <f t="shared" si="966"/>
        <v>1383541.631034483</v>
      </c>
      <c r="D2040" s="92">
        <f t="shared" si="966"/>
        <v>1492793.7765517244</v>
      </c>
      <c r="E2040" s="92">
        <f t="shared" si="966"/>
        <v>2202094.0344827585</v>
      </c>
      <c r="F2040" s="92">
        <f t="shared" si="966"/>
        <v>5494346.8455172423</v>
      </c>
      <c r="G2040" s="31">
        <f t="shared" si="966"/>
        <v>5848938.2068965528</v>
      </c>
      <c r="H2040" s="31">
        <f t="shared" si="966"/>
        <v>5428165.6179310344</v>
      </c>
      <c r="I2040" s="31">
        <f>SUM(B2040:H2040)</f>
        <v>23032662.713103451</v>
      </c>
      <c r="J2040" s="702">
        <f t="shared" ref="J2040:J2049" si="967">I2040/7</f>
        <v>3290380.3875862071</v>
      </c>
    </row>
    <row r="2041" spans="1:10" x14ac:dyDescent="0.25">
      <c r="A2041" s="694" t="s">
        <v>26</v>
      </c>
      <c r="B2041" s="300">
        <f t="shared" ref="B2041:H2041" si="968">B2045*B2034</f>
        <v>0</v>
      </c>
      <c r="C2041" s="92">
        <f t="shared" si="968"/>
        <v>85141.023448275868</v>
      </c>
      <c r="D2041" s="92">
        <f t="shared" si="968"/>
        <v>46649.805517241388</v>
      </c>
      <c r="E2041" s="92">
        <f t="shared" si="968"/>
        <v>0</v>
      </c>
      <c r="F2041" s="92">
        <f t="shared" si="968"/>
        <v>0</v>
      </c>
      <c r="G2041" s="31">
        <f t="shared" si="968"/>
        <v>77985.842758620696</v>
      </c>
      <c r="H2041" s="31">
        <f t="shared" si="968"/>
        <v>69591.866896551728</v>
      </c>
      <c r="I2041" s="31">
        <f>SUM(B2041:H2041)</f>
        <v>279368.53862068971</v>
      </c>
      <c r="J2041" s="702">
        <f t="shared" si="967"/>
        <v>39909.791231527102</v>
      </c>
    </row>
    <row r="2042" spans="1:10" x14ac:dyDescent="0.25">
      <c r="A2042" s="694" t="s">
        <v>27</v>
      </c>
      <c r="B2042" s="300">
        <f t="shared" ref="B2042:H2042" si="969">B2045*B2035</f>
        <v>388860.03310344828</v>
      </c>
      <c r="C2042" s="92">
        <f t="shared" si="969"/>
        <v>340564.09379310347</v>
      </c>
      <c r="D2042" s="92">
        <f t="shared" si="969"/>
        <v>769721.79103448289</v>
      </c>
      <c r="E2042" s="92">
        <f t="shared" si="969"/>
        <v>817920.6413793104</v>
      </c>
      <c r="F2042" s="92">
        <f t="shared" si="969"/>
        <v>1707702.3979310347</v>
      </c>
      <c r="G2042" s="31">
        <f t="shared" si="969"/>
        <v>1559716.8551724141</v>
      </c>
      <c r="H2042" s="31">
        <f t="shared" si="969"/>
        <v>1113469.8703448277</v>
      </c>
      <c r="I2042" s="31">
        <f>SUM(B2042:H2042)</f>
        <v>6697955.6827586219</v>
      </c>
      <c r="J2042" s="702">
        <f t="shared" si="967"/>
        <v>956850.81182266027</v>
      </c>
    </row>
    <row r="2043" spans="1:10" x14ac:dyDescent="0.25">
      <c r="A2043" s="694" t="s">
        <v>28</v>
      </c>
      <c r="B2043" s="300">
        <f t="shared" ref="B2043:H2043" si="970">B2045*B2036</f>
        <v>48607.504137931035</v>
      </c>
      <c r="C2043" s="92">
        <f t="shared" si="970"/>
        <v>297993.58206896554</v>
      </c>
      <c r="D2043" s="92">
        <f t="shared" si="970"/>
        <v>23324.902758620694</v>
      </c>
      <c r="E2043" s="92">
        <f t="shared" si="970"/>
        <v>125833.94482758621</v>
      </c>
      <c r="F2043" s="92">
        <f t="shared" si="970"/>
        <v>222743.79103448277</v>
      </c>
      <c r="G2043" s="31">
        <f t="shared" si="970"/>
        <v>311943.37103448279</v>
      </c>
      <c r="H2043" s="31">
        <f t="shared" si="970"/>
        <v>347959.33448275866</v>
      </c>
      <c r="I2043" s="31">
        <f>SUM(B2043:H2043)</f>
        <v>1378406.4303448275</v>
      </c>
      <c r="J2043" s="702">
        <f t="shared" si="967"/>
        <v>196915.20433497537</v>
      </c>
    </row>
    <row r="2044" spans="1:10" x14ac:dyDescent="0.25">
      <c r="A2044" s="694" t="s">
        <v>29</v>
      </c>
      <c r="B2044" s="300">
        <f t="shared" ref="B2044:H2044" si="971">B2045*B2037</f>
        <v>0</v>
      </c>
      <c r="C2044" s="92">
        <f t="shared" si="971"/>
        <v>21285.255862068967</v>
      </c>
      <c r="D2044" s="92">
        <f t="shared" si="971"/>
        <v>0</v>
      </c>
      <c r="E2044" s="92">
        <f t="shared" si="971"/>
        <v>0</v>
      </c>
      <c r="F2044" s="92">
        <f t="shared" si="971"/>
        <v>0</v>
      </c>
      <c r="G2044" s="31">
        <f t="shared" si="971"/>
        <v>0</v>
      </c>
      <c r="H2044" s="31">
        <f t="shared" si="971"/>
        <v>0</v>
      </c>
      <c r="I2044" s="31">
        <f>SUM(B2044:H2044)</f>
        <v>21285.255862068967</v>
      </c>
      <c r="J2044" s="702">
        <f t="shared" si="967"/>
        <v>3040.7508374384238</v>
      </c>
    </row>
    <row r="2045" spans="1:10" x14ac:dyDescent="0.25">
      <c r="A2045" s="697" t="s">
        <v>30</v>
      </c>
      <c r="B2045" s="691">
        <f>(1994300/1.16)-B2046</f>
        <v>1620250.1379310347</v>
      </c>
      <c r="C2045" s="691">
        <f>(2589500/1.16)-C2046</f>
        <v>2128525.5862068967</v>
      </c>
      <c r="D2045" s="691">
        <f>(2837300/1.16)-D2046</f>
        <v>2332490.2758620693</v>
      </c>
      <c r="E2045" s="691">
        <f>(3831200/1.16)-E2046</f>
        <v>3145848.6206896552</v>
      </c>
      <c r="F2045" s="691">
        <f>(9080400/1.16)-F2046</f>
        <v>7424793.0344827594</v>
      </c>
      <c r="G2045" s="691">
        <f>(9539200/1.16)-G2046</f>
        <v>7798584.2758620698</v>
      </c>
      <c r="H2045" s="691">
        <f>(8579500/1.16)-H2046</f>
        <v>6959186.6896551726</v>
      </c>
      <c r="I2045" s="197">
        <f>SUM(I2040:I2044)</f>
        <v>31409678.620689657</v>
      </c>
      <c r="J2045" s="703">
        <f t="shared" si="967"/>
        <v>4487096.9458128083</v>
      </c>
    </row>
    <row r="2046" spans="1:10" x14ac:dyDescent="0.25">
      <c r="A2046" s="694" t="s">
        <v>31</v>
      </c>
      <c r="B2046" s="300">
        <f t="shared" ref="B2046:I2046" si="972">2414*B2027</f>
        <v>98974</v>
      </c>
      <c r="C2046" s="92">
        <f t="shared" si="972"/>
        <v>103802</v>
      </c>
      <c r="D2046" s="92">
        <f t="shared" si="972"/>
        <v>113458</v>
      </c>
      <c r="E2046" s="92">
        <f t="shared" si="972"/>
        <v>156910</v>
      </c>
      <c r="F2046" s="92">
        <f t="shared" si="972"/>
        <v>403138</v>
      </c>
      <c r="G2046" s="92">
        <f t="shared" si="972"/>
        <v>424864</v>
      </c>
      <c r="H2046" s="92">
        <f t="shared" si="972"/>
        <v>436934</v>
      </c>
      <c r="I2046" s="31">
        <f t="shared" si="972"/>
        <v>1738080</v>
      </c>
      <c r="J2046" s="702">
        <f t="shared" si="967"/>
        <v>248297.14285714287</v>
      </c>
    </row>
    <row r="2047" spans="1:10" x14ac:dyDescent="0.25">
      <c r="A2047" s="698" t="s">
        <v>32</v>
      </c>
      <c r="B2047" s="342">
        <f>B2046+B2045</f>
        <v>1719224.1379310347</v>
      </c>
      <c r="C2047" s="199">
        <f>C2046+C2045</f>
        <v>2232327.5862068967</v>
      </c>
      <c r="D2047" s="199">
        <f>D2046+D2045</f>
        <v>2445948.2758620693</v>
      </c>
      <c r="E2047" s="199">
        <f>E2046+E2045</f>
        <v>3302758.6206896552</v>
      </c>
      <c r="F2047" s="199">
        <f>F2045+F2046</f>
        <v>7827931.0344827594</v>
      </c>
      <c r="G2047" s="199">
        <f>G2046+G2045</f>
        <v>8223448.2758620698</v>
      </c>
      <c r="H2047" s="199">
        <f>H2046+H2045</f>
        <v>7396120.6896551726</v>
      </c>
      <c r="I2047" s="199">
        <f>I2045+I2046</f>
        <v>33147758.620689657</v>
      </c>
      <c r="J2047" s="704">
        <f t="shared" si="967"/>
        <v>4735394.0886699511</v>
      </c>
    </row>
    <row r="2048" spans="1:10" x14ac:dyDescent="0.25">
      <c r="A2048" s="694" t="s">
        <v>33</v>
      </c>
      <c r="B2048" s="302">
        <f>B2047*16%</f>
        <v>275075.86206896557</v>
      </c>
      <c r="C2048" s="94">
        <f t="shared" ref="C2048:H2048" si="973">C2047*16%</f>
        <v>357172.41379310348</v>
      </c>
      <c r="D2048" s="94">
        <f t="shared" si="973"/>
        <v>391351.72413793113</v>
      </c>
      <c r="E2048" s="94">
        <f t="shared" si="973"/>
        <v>528441.37931034481</v>
      </c>
      <c r="F2048" s="94">
        <f t="shared" si="973"/>
        <v>1252468.9655172415</v>
      </c>
      <c r="G2048" s="94">
        <f t="shared" si="973"/>
        <v>1315751.7241379311</v>
      </c>
      <c r="H2048" s="94">
        <f t="shared" si="973"/>
        <v>1183379.3103448276</v>
      </c>
      <c r="I2048" s="94">
        <f>I2047*16%</f>
        <v>5303641.3793103453</v>
      </c>
      <c r="J2048" s="702">
        <f t="shared" si="967"/>
        <v>757663.05418719223</v>
      </c>
    </row>
    <row r="2049" spans="1:10" ht="15.75" thickBot="1" x14ac:dyDescent="0.3">
      <c r="A2049" s="699" t="s">
        <v>34</v>
      </c>
      <c r="B2049" s="708">
        <f>B2047+B2048</f>
        <v>1994300.0000000002</v>
      </c>
      <c r="C2049" s="656">
        <f t="shared" ref="C2049:H2049" si="974">C2047+C2048</f>
        <v>2589500</v>
      </c>
      <c r="D2049" s="656">
        <f t="shared" si="974"/>
        <v>2837300.0000000005</v>
      </c>
      <c r="E2049" s="656">
        <f t="shared" si="974"/>
        <v>3831200</v>
      </c>
      <c r="F2049" s="656">
        <f t="shared" si="974"/>
        <v>9080400</v>
      </c>
      <c r="G2049" s="656">
        <f t="shared" si="974"/>
        <v>9539200</v>
      </c>
      <c r="H2049" s="656">
        <f t="shared" si="974"/>
        <v>8579500</v>
      </c>
      <c r="I2049" s="656">
        <f>I2047+I2048</f>
        <v>38451400</v>
      </c>
      <c r="J2049" s="705">
        <f t="shared" si="967"/>
        <v>5493057.1428571427</v>
      </c>
    </row>
    <row r="2050" spans="1:10" ht="15.75" thickBot="1" x14ac:dyDescent="0.3"/>
    <row r="2051" spans="1:10" ht="27" thickBot="1" x14ac:dyDescent="0.3">
      <c r="B2051" s="1007" t="s">
        <v>663</v>
      </c>
      <c r="C2051" s="1007"/>
      <c r="D2051" s="1007"/>
      <c r="E2051" s="1007"/>
      <c r="F2051" s="1007"/>
      <c r="G2051" s="1007"/>
      <c r="H2051" s="1007"/>
    </row>
    <row r="2052" spans="1:10" ht="15.75" x14ac:dyDescent="0.25">
      <c r="A2052" s="709" t="s">
        <v>2</v>
      </c>
      <c r="B2052" s="706" t="s">
        <v>298</v>
      </c>
      <c r="C2052" s="617" t="s">
        <v>299</v>
      </c>
      <c r="D2052" s="617" t="s">
        <v>300</v>
      </c>
      <c r="E2052" s="617" t="s">
        <v>301</v>
      </c>
      <c r="F2052" s="617" t="s">
        <v>65</v>
      </c>
      <c r="G2052" s="617" t="s">
        <v>66</v>
      </c>
      <c r="H2052" s="617" t="s">
        <v>67</v>
      </c>
      <c r="I2052" s="641" t="s">
        <v>96</v>
      </c>
      <c r="J2052" s="642" t="s">
        <v>97</v>
      </c>
    </row>
    <row r="2053" spans="1:10" x14ac:dyDescent="0.25">
      <c r="A2053" s="710" t="s">
        <v>11</v>
      </c>
      <c r="B2053" s="56">
        <f>34+17+9</f>
        <v>60</v>
      </c>
      <c r="C2053" s="673">
        <f>61+33+15</f>
        <v>109</v>
      </c>
      <c r="D2053" s="673">
        <f>55+24+4</f>
        <v>83</v>
      </c>
      <c r="E2053" s="738">
        <f>71+25+8</f>
        <v>104</v>
      </c>
      <c r="F2053" s="738">
        <f>162+91+27</f>
        <v>280</v>
      </c>
      <c r="G2053" s="738">
        <f>179+159+51</f>
        <v>389</v>
      </c>
      <c r="H2053" s="738">
        <f>156+133+34</f>
        <v>323</v>
      </c>
      <c r="I2053" s="741">
        <f>SUM(B2053:H2053)</f>
        <v>1348</v>
      </c>
      <c r="J2053" s="700">
        <f>+I2053/7</f>
        <v>192.57142857142858</v>
      </c>
    </row>
    <row r="2054" spans="1:10" x14ac:dyDescent="0.25">
      <c r="A2054" s="694" t="s">
        <v>12</v>
      </c>
      <c r="B2054" s="689">
        <v>29</v>
      </c>
      <c r="C2054" s="675">
        <v>50</v>
      </c>
      <c r="D2054" s="675">
        <v>47</v>
      </c>
      <c r="E2054" s="734">
        <v>62</v>
      </c>
      <c r="F2054" s="742">
        <v>140</v>
      </c>
      <c r="G2054" s="734">
        <v>207</v>
      </c>
      <c r="H2054" s="734">
        <v>188</v>
      </c>
      <c r="I2054" s="11">
        <f>SUM(CEDRITOS!$B2054:$H2054)</f>
        <v>723</v>
      </c>
      <c r="J2054" s="623">
        <f t="shared" ref="J2054:J2059" si="975">I2054/7</f>
        <v>103.28571428571429</v>
      </c>
    </row>
    <row r="2055" spans="1:10" x14ac:dyDescent="0.25">
      <c r="A2055" s="694" t="s">
        <v>13</v>
      </c>
      <c r="B2055" s="313">
        <v>1</v>
      </c>
      <c r="C2055" s="13">
        <v>2</v>
      </c>
      <c r="D2055" s="13">
        <v>2</v>
      </c>
      <c r="E2055" s="11">
        <v>0</v>
      </c>
      <c r="F2055" s="125">
        <v>2</v>
      </c>
      <c r="G2055" s="11">
        <v>4</v>
      </c>
      <c r="H2055" s="11">
        <v>1</v>
      </c>
      <c r="I2055" s="11">
        <f>SUM(CEDRITOS!$B2055:$H2055)</f>
        <v>12</v>
      </c>
      <c r="J2055" s="623">
        <f t="shared" si="975"/>
        <v>1.7142857142857142</v>
      </c>
    </row>
    <row r="2056" spans="1:10" x14ac:dyDescent="0.25">
      <c r="A2056" s="694" t="s">
        <v>14</v>
      </c>
      <c r="B2056" s="313">
        <v>22</v>
      </c>
      <c r="C2056" s="13">
        <v>30</v>
      </c>
      <c r="D2056" s="320">
        <v>25</v>
      </c>
      <c r="E2056" s="11">
        <v>19</v>
      </c>
      <c r="F2056" s="125">
        <v>67</v>
      </c>
      <c r="G2056" s="11">
        <v>64</v>
      </c>
      <c r="H2056" s="11">
        <v>50</v>
      </c>
      <c r="I2056" s="11">
        <f>SUM(CEDRITOS!$B2056:$H2056)</f>
        <v>277</v>
      </c>
      <c r="J2056" s="623">
        <f t="shared" si="975"/>
        <v>39.571428571428569</v>
      </c>
    </row>
    <row r="2057" spans="1:10" x14ac:dyDescent="0.25">
      <c r="A2057" s="694" t="s">
        <v>15</v>
      </c>
      <c r="B2057" s="313">
        <v>4</v>
      </c>
      <c r="C2057" s="13">
        <v>1</v>
      </c>
      <c r="D2057" s="13">
        <v>0</v>
      </c>
      <c r="E2057" s="11">
        <v>2</v>
      </c>
      <c r="F2057" s="125">
        <v>4</v>
      </c>
      <c r="G2057" s="11">
        <v>19</v>
      </c>
      <c r="H2057" s="11">
        <v>17</v>
      </c>
      <c r="I2057" s="11">
        <f>SUM(CEDRITOS!$B2057:$H2057)</f>
        <v>47</v>
      </c>
      <c r="J2057" s="623">
        <f t="shared" si="975"/>
        <v>6.7142857142857144</v>
      </c>
    </row>
    <row r="2058" spans="1:10" x14ac:dyDescent="0.25">
      <c r="A2058" s="694" t="s">
        <v>16</v>
      </c>
      <c r="B2058" s="313">
        <v>0</v>
      </c>
      <c r="C2058" s="13">
        <v>0</v>
      </c>
      <c r="D2058" s="13">
        <v>0</v>
      </c>
      <c r="E2058" s="11">
        <v>1</v>
      </c>
      <c r="F2058" s="125">
        <v>0</v>
      </c>
      <c r="G2058" s="11">
        <v>0</v>
      </c>
      <c r="H2058" s="11">
        <v>0</v>
      </c>
      <c r="I2058" s="11">
        <f>SUM(CEDRITOS!$B2058:$H2058)</f>
        <v>1</v>
      </c>
      <c r="J2058" s="623">
        <f t="shared" si="975"/>
        <v>0.14285714285714285</v>
      </c>
    </row>
    <row r="2059" spans="1:10" x14ac:dyDescent="0.25">
      <c r="A2059" s="695" t="s">
        <v>17</v>
      </c>
      <c r="B2059" s="707">
        <f>SUM(B2054:B2058)</f>
        <v>56</v>
      </c>
      <c r="C2059" s="192">
        <f t="shared" ref="C2059:I2059" si="976">SUM(C2054:C2058)</f>
        <v>83</v>
      </c>
      <c r="D2059" s="192">
        <f t="shared" si="976"/>
        <v>74</v>
      </c>
      <c r="E2059" s="192">
        <f t="shared" si="976"/>
        <v>84</v>
      </c>
      <c r="F2059" s="192">
        <f t="shared" si="976"/>
        <v>213</v>
      </c>
      <c r="G2059" s="192">
        <f t="shared" si="976"/>
        <v>294</v>
      </c>
      <c r="H2059" s="192">
        <f t="shared" si="976"/>
        <v>256</v>
      </c>
      <c r="I2059" s="192">
        <f t="shared" si="976"/>
        <v>1060</v>
      </c>
      <c r="J2059" s="647">
        <f t="shared" si="975"/>
        <v>151.42857142857142</v>
      </c>
    </row>
    <row r="2060" spans="1:10" x14ac:dyDescent="0.25">
      <c r="A2060" s="694" t="s">
        <v>18</v>
      </c>
      <c r="B2060" s="690">
        <v>0.61</v>
      </c>
      <c r="C2060" s="326">
        <v>0.66</v>
      </c>
      <c r="D2060" s="326">
        <v>0.69</v>
      </c>
      <c r="E2060" s="327">
        <v>0.77</v>
      </c>
      <c r="F2060" s="328">
        <v>0.71</v>
      </c>
      <c r="G2060" s="327">
        <v>0.77</v>
      </c>
      <c r="H2060" s="327">
        <v>0.74</v>
      </c>
      <c r="I2060" s="30">
        <f>I2067/I2072</f>
        <v>0.73063574490618555</v>
      </c>
      <c r="J2060" s="648">
        <f>J2067/J2072</f>
        <v>0.73063574490618566</v>
      </c>
    </row>
    <row r="2061" spans="1:10" x14ac:dyDescent="0.25">
      <c r="A2061" s="694" t="s">
        <v>19</v>
      </c>
      <c r="B2061" s="690">
        <v>0.01</v>
      </c>
      <c r="C2061" s="326">
        <v>0.02</v>
      </c>
      <c r="D2061" s="326">
        <v>0.02</v>
      </c>
      <c r="E2061" s="327">
        <v>0</v>
      </c>
      <c r="F2061" s="327">
        <v>0.01</v>
      </c>
      <c r="G2061" s="327">
        <v>0.01</v>
      </c>
      <c r="H2061" s="327">
        <v>0</v>
      </c>
      <c r="I2061" s="30">
        <f>I2068/I2072</f>
        <v>8.1432982467712547E-3</v>
      </c>
      <c r="J2061" s="648">
        <f>J2068/J2072</f>
        <v>8.1432982467712547E-3</v>
      </c>
    </row>
    <row r="2062" spans="1:10" x14ac:dyDescent="0.25">
      <c r="A2062" s="694" t="s">
        <v>20</v>
      </c>
      <c r="B2062" s="690">
        <v>0.32</v>
      </c>
      <c r="C2062" s="326">
        <v>0.31</v>
      </c>
      <c r="D2062" s="326">
        <v>0.28999999999999998</v>
      </c>
      <c r="E2062" s="327">
        <v>0.21</v>
      </c>
      <c r="F2062" s="329">
        <v>0.27</v>
      </c>
      <c r="G2062" s="327">
        <v>0.17</v>
      </c>
      <c r="H2062" s="327">
        <v>0.19</v>
      </c>
      <c r="I2062" s="30">
        <f>I2069/I2072</f>
        <v>0.22250216830960634</v>
      </c>
      <c r="J2062" s="648">
        <f>J2069/J2072</f>
        <v>0.22250216830960634</v>
      </c>
    </row>
    <row r="2063" spans="1:10" x14ac:dyDescent="0.25">
      <c r="A2063" s="694" t="s">
        <v>21</v>
      </c>
      <c r="B2063" s="690">
        <v>0.06</v>
      </c>
      <c r="C2063" s="326">
        <v>0.01</v>
      </c>
      <c r="D2063" s="326">
        <v>0</v>
      </c>
      <c r="E2063" s="327">
        <v>0.02</v>
      </c>
      <c r="F2063" s="329">
        <v>0.01</v>
      </c>
      <c r="G2063" s="327">
        <v>0.05</v>
      </c>
      <c r="H2063" s="327">
        <v>7.0000000000000007E-2</v>
      </c>
      <c r="I2063" s="30">
        <f>I2070/I2072</f>
        <v>3.8718788537436745E-2</v>
      </c>
      <c r="J2063" s="648">
        <f>J2070/J2072</f>
        <v>3.8718788537436745E-2</v>
      </c>
    </row>
    <row r="2064" spans="1:10" x14ac:dyDescent="0.25">
      <c r="A2064" s="694" t="s">
        <v>22</v>
      </c>
      <c r="B2064" s="690">
        <v>0</v>
      </c>
      <c r="C2064" s="326">
        <v>0</v>
      </c>
      <c r="D2064" s="326">
        <v>0</v>
      </c>
      <c r="E2064" s="327">
        <v>0</v>
      </c>
      <c r="F2064" s="329">
        <v>0</v>
      </c>
      <c r="G2064" s="327">
        <v>0</v>
      </c>
      <c r="H2064" s="327">
        <v>0</v>
      </c>
      <c r="I2064" s="30">
        <f>I2071/I2072</f>
        <v>0</v>
      </c>
      <c r="J2064" s="648">
        <f>J2071/J2072</f>
        <v>0</v>
      </c>
    </row>
    <row r="2065" spans="1:10" x14ac:dyDescent="0.25">
      <c r="A2065" s="696" t="s">
        <v>23</v>
      </c>
      <c r="B2065" s="164">
        <f t="shared" ref="B2065:J2065" si="977">B2076/B2059</f>
        <v>26207.142857142859</v>
      </c>
      <c r="C2065" s="66">
        <f t="shared" si="977"/>
        <v>36909.638554216872</v>
      </c>
      <c r="D2065" s="66">
        <f t="shared" si="977"/>
        <v>32051.35135135135</v>
      </c>
      <c r="E2065" s="66">
        <f t="shared" si="977"/>
        <v>35310.714285714283</v>
      </c>
      <c r="F2065" s="66">
        <f t="shared" si="977"/>
        <v>37200.938967136157</v>
      </c>
      <c r="G2065" s="66">
        <f t="shared" si="977"/>
        <v>38607.482993197278</v>
      </c>
      <c r="H2065" s="66">
        <f t="shared" si="977"/>
        <v>38052.734375</v>
      </c>
      <c r="I2065" s="66">
        <f t="shared" si="977"/>
        <v>36683.867924528298</v>
      </c>
      <c r="J2065" s="701">
        <f t="shared" si="977"/>
        <v>36683.867924528306</v>
      </c>
    </row>
    <row r="2066" spans="1:10" x14ac:dyDescent="0.25">
      <c r="A2066" s="696" t="s">
        <v>24</v>
      </c>
      <c r="B2066" s="164">
        <f t="shared" ref="B2066:I2066" si="978">+B2076/B2053</f>
        <v>24460</v>
      </c>
      <c r="C2066" s="66">
        <f t="shared" si="978"/>
        <v>28105.504587155967</v>
      </c>
      <c r="D2066" s="66">
        <f t="shared" si="978"/>
        <v>28575.903614457831</v>
      </c>
      <c r="E2066" s="66">
        <f t="shared" si="978"/>
        <v>28520.192307692309</v>
      </c>
      <c r="F2066" s="66">
        <f t="shared" si="978"/>
        <v>28299.285714285717</v>
      </c>
      <c r="G2066" s="66">
        <f t="shared" si="978"/>
        <v>29178.920308483292</v>
      </c>
      <c r="H2066" s="66">
        <f t="shared" si="978"/>
        <v>30159.442724458204</v>
      </c>
      <c r="I2066" s="66">
        <f t="shared" si="978"/>
        <v>28846.364985163204</v>
      </c>
      <c r="J2066" s="701">
        <f>J2076/J2053</f>
        <v>28846.364985163204</v>
      </c>
    </row>
    <row r="2067" spans="1:10" x14ac:dyDescent="0.25">
      <c r="A2067" s="694" t="s">
        <v>25</v>
      </c>
      <c r="B2067" s="300">
        <f t="shared" ref="B2067:H2067" si="979">B2072*B2060</f>
        <v>729051.51241379313</v>
      </c>
      <c r="C2067" s="92">
        <f t="shared" si="979"/>
        <v>1663363.8620689658</v>
      </c>
      <c r="D2067" s="92">
        <f t="shared" si="979"/>
        <v>1332526.0489655172</v>
      </c>
      <c r="E2067" s="92">
        <f t="shared" si="979"/>
        <v>1853632.364137931</v>
      </c>
      <c r="F2067" s="92">
        <f t="shared" si="979"/>
        <v>4609960.4689655174</v>
      </c>
      <c r="G2067" s="31">
        <f t="shared" si="979"/>
        <v>7149682.54</v>
      </c>
      <c r="H2067" s="31">
        <f t="shared" si="979"/>
        <v>5878569.4924137937</v>
      </c>
      <c r="I2067" s="31">
        <f>SUM(B2067:H2067)</f>
        <v>23216786.288965516</v>
      </c>
      <c r="J2067" s="702">
        <f t="shared" ref="J2067:J2076" si="980">I2067/7</f>
        <v>3316683.7555665025</v>
      </c>
    </row>
    <row r="2068" spans="1:10" x14ac:dyDescent="0.25">
      <c r="A2068" s="694" t="s">
        <v>26</v>
      </c>
      <c r="B2068" s="300">
        <f t="shared" ref="B2068:H2068" si="981">B2072*B2061</f>
        <v>11951.664137931035</v>
      </c>
      <c r="C2068" s="92">
        <f t="shared" si="981"/>
        <v>50404.965517241391</v>
      </c>
      <c r="D2068" s="92">
        <f t="shared" si="981"/>
        <v>38623.943448275866</v>
      </c>
      <c r="E2068" s="92">
        <f t="shared" si="981"/>
        <v>0</v>
      </c>
      <c r="F2068" s="92">
        <f t="shared" si="981"/>
        <v>64929.020689655183</v>
      </c>
      <c r="G2068" s="31">
        <f t="shared" si="981"/>
        <v>92853.02</v>
      </c>
      <c r="H2068" s="31">
        <f t="shared" si="981"/>
        <v>0</v>
      </c>
      <c r="I2068" s="31">
        <f>SUM(B2068:H2068)</f>
        <v>258762.61379310349</v>
      </c>
      <c r="J2068" s="702">
        <f t="shared" si="980"/>
        <v>36966.087684729071</v>
      </c>
    </row>
    <row r="2069" spans="1:10" x14ac:dyDescent="0.25">
      <c r="A2069" s="694" t="s">
        <v>27</v>
      </c>
      <c r="B2069" s="300">
        <f t="shared" ref="B2069:H2069" si="982">B2072*B2062</f>
        <v>382453.25241379312</v>
      </c>
      <c r="C2069" s="92">
        <f t="shared" si="982"/>
        <v>781276.96551724151</v>
      </c>
      <c r="D2069" s="92">
        <f t="shared" si="982"/>
        <v>560047.17999999993</v>
      </c>
      <c r="E2069" s="92">
        <f t="shared" si="982"/>
        <v>505536.09931034478</v>
      </c>
      <c r="F2069" s="92">
        <f t="shared" si="982"/>
        <v>1753083.5586206899</v>
      </c>
      <c r="G2069" s="31">
        <f t="shared" si="982"/>
        <v>1578501.34</v>
      </c>
      <c r="H2069" s="31">
        <f t="shared" si="982"/>
        <v>1509362.4372413794</v>
      </c>
      <c r="I2069" s="31">
        <f>SUM(B2069:H2069)</f>
        <v>7070260.8331034482</v>
      </c>
      <c r="J2069" s="702">
        <f t="shared" si="980"/>
        <v>1010037.2618719211</v>
      </c>
    </row>
    <row r="2070" spans="1:10" x14ac:dyDescent="0.25">
      <c r="A2070" s="694" t="s">
        <v>28</v>
      </c>
      <c r="B2070" s="300">
        <f t="shared" ref="B2070:H2070" si="983">B2072*B2063</f>
        <v>71709.984827586202</v>
      </c>
      <c r="C2070" s="92">
        <f t="shared" si="983"/>
        <v>25202.482758620696</v>
      </c>
      <c r="D2070" s="92">
        <f t="shared" si="983"/>
        <v>0</v>
      </c>
      <c r="E2070" s="92">
        <f t="shared" si="983"/>
        <v>48146.295172413797</v>
      </c>
      <c r="F2070" s="92">
        <f t="shared" si="983"/>
        <v>64929.020689655183</v>
      </c>
      <c r="G2070" s="31">
        <f t="shared" si="983"/>
        <v>464265.10000000003</v>
      </c>
      <c r="H2070" s="31">
        <f t="shared" si="983"/>
        <v>556080.89793103456</v>
      </c>
      <c r="I2070" s="31">
        <f>SUM(B2070:H2070)</f>
        <v>1230333.7813793104</v>
      </c>
      <c r="J2070" s="702">
        <f t="shared" si="980"/>
        <v>175761.96876847293</v>
      </c>
    </row>
    <row r="2071" spans="1:10" x14ac:dyDescent="0.25">
      <c r="A2071" s="694" t="s">
        <v>29</v>
      </c>
      <c r="B2071" s="300">
        <f t="shared" ref="B2071:H2071" si="984">B2072*B2064</f>
        <v>0</v>
      </c>
      <c r="C2071" s="92">
        <f t="shared" si="984"/>
        <v>0</v>
      </c>
      <c r="D2071" s="92">
        <f t="shared" si="984"/>
        <v>0</v>
      </c>
      <c r="E2071" s="92">
        <f t="shared" si="984"/>
        <v>0</v>
      </c>
      <c r="F2071" s="92">
        <f t="shared" si="984"/>
        <v>0</v>
      </c>
      <c r="G2071" s="31">
        <f t="shared" si="984"/>
        <v>0</v>
      </c>
      <c r="H2071" s="31">
        <f t="shared" si="984"/>
        <v>0</v>
      </c>
      <c r="I2071" s="31">
        <f>SUM(B2071:H2071)</f>
        <v>0</v>
      </c>
      <c r="J2071" s="702">
        <f t="shared" si="980"/>
        <v>0</v>
      </c>
    </row>
    <row r="2072" spans="1:10" x14ac:dyDescent="0.25">
      <c r="A2072" s="697" t="s">
        <v>30</v>
      </c>
      <c r="B2072" s="691">
        <f>(1467600/1.16)-B2073</f>
        <v>1195166.4137931035</v>
      </c>
      <c r="C2072" s="691">
        <f>(3063500/1.16)-C2073</f>
        <v>2520248.2758620693</v>
      </c>
      <c r="D2072" s="691">
        <f>(2371800/1.16)-D2073</f>
        <v>1931197.1724137932</v>
      </c>
      <c r="E2072" s="691">
        <f>(2966100/1.16)-E2073</f>
        <v>2407314.7586206896</v>
      </c>
      <c r="F2072" s="691">
        <f>(7923800/1.16)-F2073</f>
        <v>6492902.0689655179</v>
      </c>
      <c r="G2072" s="691">
        <f>(11350600/1.16)-G2073</f>
        <v>9285302</v>
      </c>
      <c r="H2072" s="691">
        <f>(9741500/1.16)-H2073</f>
        <v>7944012.8275862075</v>
      </c>
      <c r="I2072" s="197">
        <f>SUM(I2067:I2071)</f>
        <v>31776143.517241381</v>
      </c>
      <c r="J2072" s="703">
        <f t="shared" si="980"/>
        <v>4539449.0738916257</v>
      </c>
    </row>
    <row r="2073" spans="1:10" x14ac:dyDescent="0.25">
      <c r="A2073" s="694" t="s">
        <v>31</v>
      </c>
      <c r="B2073" s="300">
        <f t="shared" ref="B2073:I2073" si="985">2414*B2054</f>
        <v>70006</v>
      </c>
      <c r="C2073" s="92">
        <f t="shared" si="985"/>
        <v>120700</v>
      </c>
      <c r="D2073" s="92">
        <f t="shared" si="985"/>
        <v>113458</v>
      </c>
      <c r="E2073" s="92">
        <f t="shared" si="985"/>
        <v>149668</v>
      </c>
      <c r="F2073" s="92">
        <f t="shared" si="985"/>
        <v>337960</v>
      </c>
      <c r="G2073" s="92">
        <f t="shared" si="985"/>
        <v>499698</v>
      </c>
      <c r="H2073" s="92">
        <f t="shared" si="985"/>
        <v>453832</v>
      </c>
      <c r="I2073" s="31">
        <f t="shared" si="985"/>
        <v>1745322</v>
      </c>
      <c r="J2073" s="702">
        <f t="shared" si="980"/>
        <v>249331.71428571429</v>
      </c>
    </row>
    <row r="2074" spans="1:10" x14ac:dyDescent="0.25">
      <c r="A2074" s="698" t="s">
        <v>32</v>
      </c>
      <c r="B2074" s="342">
        <f>B2073+B2072</f>
        <v>1265172.4137931035</v>
      </c>
      <c r="C2074" s="199">
        <f>C2073+C2072</f>
        <v>2640948.2758620693</v>
      </c>
      <c r="D2074" s="199">
        <f>D2073+D2072</f>
        <v>2044655.1724137932</v>
      </c>
      <c r="E2074" s="199">
        <f>E2073+E2072</f>
        <v>2556982.7586206896</v>
      </c>
      <c r="F2074" s="199">
        <f>F2072+F2073</f>
        <v>6830862.0689655179</v>
      </c>
      <c r="G2074" s="199">
        <f>G2073+G2072</f>
        <v>9785000</v>
      </c>
      <c r="H2074" s="199">
        <f>H2073+H2072</f>
        <v>8397844.8275862075</v>
      </c>
      <c r="I2074" s="199">
        <f>I2072+I2073</f>
        <v>33521465.517241381</v>
      </c>
      <c r="J2074" s="704">
        <f t="shared" si="980"/>
        <v>4788780.7881773403</v>
      </c>
    </row>
    <row r="2075" spans="1:10" x14ac:dyDescent="0.25">
      <c r="A2075" s="694" t="s">
        <v>33</v>
      </c>
      <c r="B2075" s="302">
        <f>B2074*16%</f>
        <v>202427.58620689658</v>
      </c>
      <c r="C2075" s="94">
        <f t="shared" ref="C2075:H2075" si="986">C2074*16%</f>
        <v>422551.72413793113</v>
      </c>
      <c r="D2075" s="94">
        <f t="shared" si="986"/>
        <v>327144.8275862069</v>
      </c>
      <c r="E2075" s="94">
        <f t="shared" si="986"/>
        <v>409117.24137931038</v>
      </c>
      <c r="F2075" s="94">
        <f t="shared" si="986"/>
        <v>1092937.9310344828</v>
      </c>
      <c r="G2075" s="94">
        <f t="shared" si="986"/>
        <v>1565600</v>
      </c>
      <c r="H2075" s="94">
        <f t="shared" si="986"/>
        <v>1343655.1724137932</v>
      </c>
      <c r="I2075" s="94">
        <f>I2074*16%</f>
        <v>5363434.4827586208</v>
      </c>
      <c r="J2075" s="702">
        <f t="shared" si="980"/>
        <v>766204.92610837438</v>
      </c>
    </row>
    <row r="2076" spans="1:10" ht="15.75" thickBot="1" x14ac:dyDescent="0.3">
      <c r="A2076" s="699" t="s">
        <v>34</v>
      </c>
      <c r="B2076" s="708">
        <f>B2074+B2075</f>
        <v>1467600</v>
      </c>
      <c r="C2076" s="656">
        <f t="shared" ref="C2076:H2076" si="987">C2074+C2075</f>
        <v>3063500.0000000005</v>
      </c>
      <c r="D2076" s="656">
        <f t="shared" si="987"/>
        <v>2371800</v>
      </c>
      <c r="E2076" s="656">
        <f t="shared" si="987"/>
        <v>2966100</v>
      </c>
      <c r="F2076" s="656">
        <f t="shared" si="987"/>
        <v>7923800.0000000009</v>
      </c>
      <c r="G2076" s="656">
        <f t="shared" si="987"/>
        <v>11350600</v>
      </c>
      <c r="H2076" s="656">
        <f t="shared" si="987"/>
        <v>9741500</v>
      </c>
      <c r="I2076" s="656">
        <f>I2074+I2075</f>
        <v>38884900</v>
      </c>
      <c r="J2076" s="705">
        <f t="shared" si="980"/>
        <v>5554985.7142857146</v>
      </c>
    </row>
    <row r="2077" spans="1:10" ht="15.75" thickBot="1" x14ac:dyDescent="0.3"/>
    <row r="2078" spans="1:10" ht="27" thickBot="1" x14ac:dyDescent="0.3">
      <c r="B2078" s="1007" t="s">
        <v>667</v>
      </c>
      <c r="C2078" s="1007"/>
      <c r="D2078" s="1007"/>
      <c r="E2078" s="1007"/>
      <c r="F2078" s="1007"/>
      <c r="G2078" s="1007"/>
      <c r="H2078" s="1007"/>
    </row>
    <row r="2079" spans="1:10" ht="15.75" x14ac:dyDescent="0.25">
      <c r="A2079" s="709" t="s">
        <v>2</v>
      </c>
      <c r="B2079" s="706" t="s">
        <v>70</v>
      </c>
      <c r="C2079" s="617" t="s">
        <v>71</v>
      </c>
      <c r="D2079" s="617" t="s">
        <v>72</v>
      </c>
      <c r="E2079" s="617" t="s">
        <v>73</v>
      </c>
      <c r="F2079" s="617" t="s">
        <v>74</v>
      </c>
      <c r="G2079" s="617" t="s">
        <v>75</v>
      </c>
      <c r="H2079" s="617" t="s">
        <v>76</v>
      </c>
      <c r="I2079" s="641" t="s">
        <v>96</v>
      </c>
      <c r="J2079" s="642" t="s">
        <v>97</v>
      </c>
    </row>
    <row r="2080" spans="1:10" x14ac:dyDescent="0.25">
      <c r="A2080" s="710" t="s">
        <v>11</v>
      </c>
      <c r="B2080" s="56">
        <f>37+20+7</f>
        <v>64</v>
      </c>
      <c r="C2080" s="673">
        <f>64+41+14</f>
        <v>119</v>
      </c>
      <c r="D2080" s="673">
        <f>60+31+3</f>
        <v>94</v>
      </c>
      <c r="E2080" s="738">
        <f>64+47+11</f>
        <v>122</v>
      </c>
      <c r="F2080" s="738">
        <f>143+103+26</f>
        <v>272</v>
      </c>
      <c r="G2080" s="738">
        <f>176+132+45</f>
        <v>353</v>
      </c>
      <c r="H2080" s="738">
        <f>144+102+38</f>
        <v>284</v>
      </c>
      <c r="I2080" s="741">
        <f>SUM(B2080:H2080)</f>
        <v>1308</v>
      </c>
      <c r="J2080" s="700">
        <f>+I2080/7</f>
        <v>186.85714285714286</v>
      </c>
    </row>
    <row r="2081" spans="1:10" x14ac:dyDescent="0.25">
      <c r="A2081" s="694" t="s">
        <v>12</v>
      </c>
      <c r="B2081" s="689">
        <v>33</v>
      </c>
      <c r="C2081" s="675">
        <v>58</v>
      </c>
      <c r="D2081" s="675">
        <v>63</v>
      </c>
      <c r="E2081" s="734">
        <v>58</v>
      </c>
      <c r="F2081" s="742">
        <v>149</v>
      </c>
      <c r="G2081" s="734">
        <v>175</v>
      </c>
      <c r="H2081" s="734">
        <v>137</v>
      </c>
      <c r="I2081" s="11">
        <f>SUM(CEDRITOS!$B2081:$H2081)</f>
        <v>673</v>
      </c>
      <c r="J2081" s="623">
        <f t="shared" ref="J2081:J2086" si="988">I2081/7</f>
        <v>96.142857142857139</v>
      </c>
    </row>
    <row r="2082" spans="1:10" x14ac:dyDescent="0.25">
      <c r="A2082" s="694" t="s">
        <v>13</v>
      </c>
      <c r="B2082" s="313">
        <v>1</v>
      </c>
      <c r="C2082" s="13">
        <v>0</v>
      </c>
      <c r="D2082" s="13">
        <v>0</v>
      </c>
      <c r="E2082" s="11">
        <v>3</v>
      </c>
      <c r="F2082" s="125">
        <v>6</v>
      </c>
      <c r="G2082" s="11">
        <v>3</v>
      </c>
      <c r="H2082" s="11">
        <v>2</v>
      </c>
      <c r="I2082" s="11">
        <f>SUM(CEDRITOS!$B2082:$H2082)</f>
        <v>15</v>
      </c>
      <c r="J2082" s="623">
        <f t="shared" si="988"/>
        <v>2.1428571428571428</v>
      </c>
    </row>
    <row r="2083" spans="1:10" x14ac:dyDescent="0.25">
      <c r="A2083" s="694" t="s">
        <v>14</v>
      </c>
      <c r="B2083" s="313">
        <v>15</v>
      </c>
      <c r="C2083" s="13">
        <v>32</v>
      </c>
      <c r="D2083" s="320">
        <v>18</v>
      </c>
      <c r="E2083" s="11">
        <v>29</v>
      </c>
      <c r="F2083" s="125">
        <v>58</v>
      </c>
      <c r="G2083" s="11">
        <v>74</v>
      </c>
      <c r="H2083" s="11">
        <v>68</v>
      </c>
      <c r="I2083" s="11">
        <f>SUM(CEDRITOS!$B2083:$H2083)</f>
        <v>294</v>
      </c>
      <c r="J2083" s="623">
        <f t="shared" si="988"/>
        <v>42</v>
      </c>
    </row>
    <row r="2084" spans="1:10" x14ac:dyDescent="0.25">
      <c r="A2084" s="694" t="s">
        <v>15</v>
      </c>
      <c r="B2084" s="313">
        <v>3</v>
      </c>
      <c r="C2084" s="13">
        <v>3</v>
      </c>
      <c r="D2084" s="13">
        <v>2</v>
      </c>
      <c r="E2084" s="11">
        <v>10</v>
      </c>
      <c r="F2084" s="125">
        <v>9</v>
      </c>
      <c r="G2084" s="11">
        <v>24</v>
      </c>
      <c r="H2084" s="11">
        <v>15</v>
      </c>
      <c r="I2084" s="11">
        <f>SUM(CEDRITOS!$B2084:$H2084)</f>
        <v>66</v>
      </c>
      <c r="J2084" s="623">
        <f t="shared" si="988"/>
        <v>9.4285714285714288</v>
      </c>
    </row>
    <row r="2085" spans="1:10" x14ac:dyDescent="0.25">
      <c r="A2085" s="694" t="s">
        <v>16</v>
      </c>
      <c r="B2085" s="313">
        <v>0</v>
      </c>
      <c r="C2085" s="13">
        <v>1</v>
      </c>
      <c r="D2085" s="13">
        <v>0</v>
      </c>
      <c r="E2085" s="11">
        <v>1</v>
      </c>
      <c r="F2085" s="125">
        <v>0</v>
      </c>
      <c r="G2085" s="11">
        <v>0</v>
      </c>
      <c r="H2085" s="11">
        <v>2</v>
      </c>
      <c r="I2085" s="11">
        <f>SUM(CEDRITOS!$B2085:$H2085)</f>
        <v>4</v>
      </c>
      <c r="J2085" s="623">
        <f t="shared" si="988"/>
        <v>0.5714285714285714</v>
      </c>
    </row>
    <row r="2086" spans="1:10" x14ac:dyDescent="0.25">
      <c r="A2086" s="695" t="s">
        <v>17</v>
      </c>
      <c r="B2086" s="707">
        <f>SUM(B2081:B2085)</f>
        <v>52</v>
      </c>
      <c r="C2086" s="192">
        <f t="shared" ref="C2086:I2086" si="989">SUM(C2081:C2085)</f>
        <v>94</v>
      </c>
      <c r="D2086" s="192">
        <f t="shared" si="989"/>
        <v>83</v>
      </c>
      <c r="E2086" s="192">
        <f t="shared" si="989"/>
        <v>101</v>
      </c>
      <c r="F2086" s="192">
        <f t="shared" si="989"/>
        <v>222</v>
      </c>
      <c r="G2086" s="192">
        <f t="shared" si="989"/>
        <v>276</v>
      </c>
      <c r="H2086" s="192">
        <f t="shared" si="989"/>
        <v>224</v>
      </c>
      <c r="I2086" s="192">
        <f t="shared" si="989"/>
        <v>1052</v>
      </c>
      <c r="J2086" s="647">
        <f t="shared" si="988"/>
        <v>150.28571428571428</v>
      </c>
    </row>
    <row r="2087" spans="1:10" x14ac:dyDescent="0.25">
      <c r="A2087" s="694" t="s">
        <v>18</v>
      </c>
      <c r="B2087" s="690">
        <v>0.67</v>
      </c>
      <c r="C2087" s="326">
        <v>0.68</v>
      </c>
      <c r="D2087" s="326">
        <v>0.8</v>
      </c>
      <c r="E2087" s="327">
        <v>0.59</v>
      </c>
      <c r="F2087" s="328">
        <v>0.72</v>
      </c>
      <c r="G2087" s="327">
        <v>0.68</v>
      </c>
      <c r="H2087" s="327">
        <v>0.67</v>
      </c>
      <c r="I2087" s="30">
        <f>I2094/I2099</f>
        <v>0.68635249221487371</v>
      </c>
      <c r="J2087" s="648">
        <f>J2094/J2099</f>
        <v>0.6863524922148736</v>
      </c>
    </row>
    <row r="2088" spans="1:10" x14ac:dyDescent="0.25">
      <c r="A2088" s="694" t="s">
        <v>19</v>
      </c>
      <c r="B2088" s="690">
        <v>0.03</v>
      </c>
      <c r="C2088" s="326">
        <v>0</v>
      </c>
      <c r="D2088" s="326">
        <v>0</v>
      </c>
      <c r="E2088" s="327">
        <v>0.03</v>
      </c>
      <c r="F2088" s="327">
        <v>0.03</v>
      </c>
      <c r="G2088" s="327">
        <v>0.01</v>
      </c>
      <c r="H2088" s="327">
        <v>0.01</v>
      </c>
      <c r="I2088" s="30">
        <f>I2095/I2099</f>
        <v>1.539808743936801E-2</v>
      </c>
      <c r="J2088" s="648">
        <f>J2095/J2099</f>
        <v>1.539808743936801E-2</v>
      </c>
    </row>
    <row r="2089" spans="1:10" x14ac:dyDescent="0.25">
      <c r="A2089" s="694" t="s">
        <v>20</v>
      </c>
      <c r="B2089" s="690">
        <v>0.27</v>
      </c>
      <c r="C2089" s="326">
        <v>0.28000000000000003</v>
      </c>
      <c r="D2089" s="326">
        <v>0.18</v>
      </c>
      <c r="E2089" s="327">
        <v>0.28000000000000003</v>
      </c>
      <c r="F2089" s="329">
        <v>0.22</v>
      </c>
      <c r="G2089" s="327">
        <v>0.23</v>
      </c>
      <c r="H2089" s="327">
        <v>0.26</v>
      </c>
      <c r="I2089" s="30">
        <f>I2096/I2099</f>
        <v>0.24155443281361952</v>
      </c>
      <c r="J2089" s="648">
        <f>J2096/J2099</f>
        <v>0.24155443281361949</v>
      </c>
    </row>
    <row r="2090" spans="1:10" x14ac:dyDescent="0.25">
      <c r="A2090" s="694" t="s">
        <v>21</v>
      </c>
      <c r="B2090" s="690">
        <v>0.03</v>
      </c>
      <c r="C2090" s="326">
        <v>0.03</v>
      </c>
      <c r="D2090" s="326">
        <v>0.02</v>
      </c>
      <c r="E2090" s="327">
        <v>0.1</v>
      </c>
      <c r="F2090" s="329">
        <v>0.03</v>
      </c>
      <c r="G2090" s="327">
        <v>0.08</v>
      </c>
      <c r="H2090" s="327">
        <v>0.05</v>
      </c>
      <c r="I2090" s="30">
        <f>I2097/I2099</f>
        <v>5.3678617341330552E-2</v>
      </c>
      <c r="J2090" s="648">
        <f>J2097/J2099</f>
        <v>5.3678617341330545E-2</v>
      </c>
    </row>
    <row r="2091" spans="1:10" x14ac:dyDescent="0.25">
      <c r="A2091" s="694" t="s">
        <v>22</v>
      </c>
      <c r="B2091" s="690">
        <v>0</v>
      </c>
      <c r="C2091" s="326">
        <v>0.01</v>
      </c>
      <c r="D2091" s="326">
        <v>0</v>
      </c>
      <c r="E2091" s="327">
        <v>0</v>
      </c>
      <c r="F2091" s="329">
        <v>0</v>
      </c>
      <c r="G2091" s="327">
        <v>0</v>
      </c>
      <c r="H2091" s="327">
        <v>0.01</v>
      </c>
      <c r="I2091" s="30">
        <f>I2098/I2099</f>
        <v>3.0163701908082949E-3</v>
      </c>
      <c r="J2091" s="648">
        <f>J2098/J2099</f>
        <v>3.0163701908082945E-3</v>
      </c>
    </row>
    <row r="2092" spans="1:10" x14ac:dyDescent="0.25">
      <c r="A2092" s="696" t="s">
        <v>23</v>
      </c>
      <c r="B2092" s="164">
        <f t="shared" ref="B2092:J2092" si="990">B2103/B2086</f>
        <v>34805.769230769234</v>
      </c>
      <c r="C2092" s="66">
        <f t="shared" si="990"/>
        <v>34798.936170212772</v>
      </c>
      <c r="D2092" s="66">
        <f t="shared" si="990"/>
        <v>33525.301204819276</v>
      </c>
      <c r="E2092" s="66">
        <f t="shared" si="990"/>
        <v>33808.910891089115</v>
      </c>
      <c r="F2092" s="66">
        <f t="shared" si="990"/>
        <v>35418.91891891892</v>
      </c>
      <c r="G2092" s="66">
        <f t="shared" si="990"/>
        <v>36954.34782608696</v>
      </c>
      <c r="H2092" s="66">
        <f t="shared" si="990"/>
        <v>35521.428571428572</v>
      </c>
      <c r="I2092" s="66">
        <f t="shared" si="990"/>
        <v>35453.89733840304</v>
      </c>
      <c r="J2092" s="701">
        <f t="shared" si="990"/>
        <v>35453.89733840304</v>
      </c>
    </row>
    <row r="2093" spans="1:10" x14ac:dyDescent="0.25">
      <c r="A2093" s="696" t="s">
        <v>24</v>
      </c>
      <c r="B2093" s="164">
        <f t="shared" ref="B2093:I2093" si="991">+B2103/B2080</f>
        <v>28279.6875</v>
      </c>
      <c r="C2093" s="66">
        <f t="shared" si="991"/>
        <v>27488.23529411765</v>
      </c>
      <c r="D2093" s="66">
        <f t="shared" si="991"/>
        <v>29602.127659574468</v>
      </c>
      <c r="E2093" s="66">
        <f t="shared" si="991"/>
        <v>27989.344262295086</v>
      </c>
      <c r="F2093" s="66">
        <f t="shared" si="991"/>
        <v>28908.088235294123</v>
      </c>
      <c r="G2093" s="66">
        <f t="shared" si="991"/>
        <v>28893.484419263463</v>
      </c>
      <c r="H2093" s="66">
        <f t="shared" si="991"/>
        <v>28016.901408450707</v>
      </c>
      <c r="I2093" s="66">
        <f t="shared" si="991"/>
        <v>28514.908256880735</v>
      </c>
      <c r="J2093" s="701">
        <f>J2103/J2080</f>
        <v>28514.908256880732</v>
      </c>
    </row>
    <row r="2094" spans="1:10" x14ac:dyDescent="0.25">
      <c r="A2094" s="694" t="s">
        <v>25</v>
      </c>
      <c r="B2094" s="300">
        <f t="shared" ref="B2094:H2094" si="992">B2099*B2087</f>
        <v>991999.73586206906</v>
      </c>
      <c r="C2094" s="92">
        <f t="shared" si="992"/>
        <v>1822333.2193103451</v>
      </c>
      <c r="D2094" s="92">
        <f t="shared" si="992"/>
        <v>1797368.8827586209</v>
      </c>
      <c r="E2094" s="92">
        <f t="shared" si="992"/>
        <v>1654179.9889655174</v>
      </c>
      <c r="F2094" s="92">
        <f t="shared" si="992"/>
        <v>4621508.8386206897</v>
      </c>
      <c r="G2094" s="31">
        <f t="shared" si="992"/>
        <v>5691692.6206896566</v>
      </c>
      <c r="H2094" s="31">
        <f t="shared" si="992"/>
        <v>4374156.8710344834</v>
      </c>
      <c r="I2094" s="31">
        <f>SUM(B2094:H2094)</f>
        <v>20953240.157241382</v>
      </c>
      <c r="J2094" s="702">
        <f t="shared" ref="J2094:J2103" si="993">I2094/7</f>
        <v>2993320.0224630544</v>
      </c>
    </row>
    <row r="2095" spans="1:10" x14ac:dyDescent="0.25">
      <c r="A2095" s="694" t="s">
        <v>26</v>
      </c>
      <c r="B2095" s="300">
        <f t="shared" ref="B2095:H2095" si="994">B2099*B2088</f>
        <v>44417.898620689652</v>
      </c>
      <c r="C2095" s="92">
        <f t="shared" si="994"/>
        <v>0</v>
      </c>
      <c r="D2095" s="92">
        <f t="shared" si="994"/>
        <v>0</v>
      </c>
      <c r="E2095" s="92">
        <f t="shared" si="994"/>
        <v>84110.846896551739</v>
      </c>
      <c r="F2095" s="92">
        <f t="shared" si="994"/>
        <v>192562.8682758621</v>
      </c>
      <c r="G2095" s="31">
        <f t="shared" si="994"/>
        <v>83701.362068965536</v>
      </c>
      <c r="H2095" s="31">
        <f t="shared" si="994"/>
        <v>65285.923448275869</v>
      </c>
      <c r="I2095" s="31">
        <f>SUM(B2095:H2095)</f>
        <v>470078.89931034495</v>
      </c>
      <c r="J2095" s="702">
        <f t="shared" si="993"/>
        <v>67154.128472906421</v>
      </c>
    </row>
    <row r="2096" spans="1:10" x14ac:dyDescent="0.25">
      <c r="A2096" s="694" t="s">
        <v>27</v>
      </c>
      <c r="B2096" s="300">
        <f t="shared" ref="B2096:H2096" si="995">B2099*B2089</f>
        <v>399761.08758620691</v>
      </c>
      <c r="C2096" s="92">
        <f t="shared" si="995"/>
        <v>750372.5020689657</v>
      </c>
      <c r="D2096" s="92">
        <f t="shared" si="995"/>
        <v>404407.99862068967</v>
      </c>
      <c r="E2096" s="92">
        <f t="shared" si="995"/>
        <v>785034.57103448291</v>
      </c>
      <c r="F2096" s="92">
        <f t="shared" si="995"/>
        <v>1412127.7006896553</v>
      </c>
      <c r="G2096" s="31">
        <f t="shared" si="995"/>
        <v>1925131.3275862073</v>
      </c>
      <c r="H2096" s="31">
        <f t="shared" si="995"/>
        <v>1697434.0096551727</v>
      </c>
      <c r="I2096" s="31">
        <f>SUM(B2096:H2096)</f>
        <v>7374269.1972413808</v>
      </c>
      <c r="J2096" s="702">
        <f t="shared" si="993"/>
        <v>1053467.02817734</v>
      </c>
    </row>
    <row r="2097" spans="1:10" x14ac:dyDescent="0.25">
      <c r="A2097" s="694" t="s">
        <v>28</v>
      </c>
      <c r="B2097" s="300">
        <f t="shared" ref="B2097:H2097" si="996">B2099*B2090</f>
        <v>44417.898620689652</v>
      </c>
      <c r="C2097" s="92">
        <f t="shared" si="996"/>
        <v>80397.053793103449</v>
      </c>
      <c r="D2097" s="92">
        <f t="shared" si="996"/>
        <v>44934.222068965522</v>
      </c>
      <c r="E2097" s="92">
        <f t="shared" si="996"/>
        <v>280369.48965517245</v>
      </c>
      <c r="F2097" s="92">
        <f t="shared" si="996"/>
        <v>192562.8682758621</v>
      </c>
      <c r="G2097" s="31">
        <f t="shared" si="996"/>
        <v>669610.89655172429</v>
      </c>
      <c r="H2097" s="31">
        <f t="shared" si="996"/>
        <v>326429.61724137934</v>
      </c>
      <c r="I2097" s="31">
        <f>SUM(B2097:H2097)</f>
        <v>1638722.0462068967</v>
      </c>
      <c r="J2097" s="702">
        <f t="shared" si="993"/>
        <v>234103.14945812809</v>
      </c>
    </row>
    <row r="2098" spans="1:10" x14ac:dyDescent="0.25">
      <c r="A2098" s="694" t="s">
        <v>29</v>
      </c>
      <c r="B2098" s="300">
        <f t="shared" ref="B2098:H2098" si="997">B2099*B2091</f>
        <v>0</v>
      </c>
      <c r="C2098" s="92">
        <f t="shared" si="997"/>
        <v>26799.017931034487</v>
      </c>
      <c r="D2098" s="92">
        <f t="shared" si="997"/>
        <v>0</v>
      </c>
      <c r="E2098" s="92">
        <f t="shared" si="997"/>
        <v>0</v>
      </c>
      <c r="F2098" s="92">
        <f t="shared" si="997"/>
        <v>0</v>
      </c>
      <c r="G2098" s="31">
        <f t="shared" si="997"/>
        <v>0</v>
      </c>
      <c r="H2098" s="31">
        <f t="shared" si="997"/>
        <v>65285.923448275869</v>
      </c>
      <c r="I2098" s="31">
        <f>SUM(B2098:H2098)</f>
        <v>92084.941379310359</v>
      </c>
      <c r="J2098" s="702">
        <f t="shared" si="993"/>
        <v>13154.991625615765</v>
      </c>
    </row>
    <row r="2099" spans="1:10" x14ac:dyDescent="0.25">
      <c r="A2099" s="697" t="s">
        <v>30</v>
      </c>
      <c r="B2099" s="691">
        <f>(1809900/1.16)-B2100</f>
        <v>1480596.6206896552</v>
      </c>
      <c r="C2099" s="691">
        <f>(3271100/1.16)-C2100</f>
        <v>2679901.7931034486</v>
      </c>
      <c r="D2099" s="691">
        <f>(2782600/1.16)-D2100</f>
        <v>2246711.1034482759</v>
      </c>
      <c r="E2099" s="691">
        <f>(3414700/1.16)-E2100</f>
        <v>2803694.8965517245</v>
      </c>
      <c r="F2099" s="691">
        <f>(7863000/1.16)-F2100</f>
        <v>6418762.2758620698</v>
      </c>
      <c r="G2099" s="691">
        <f>(10199400/1.16)-G2100</f>
        <v>8370136.2068965528</v>
      </c>
      <c r="H2099" s="691">
        <f>(7956800/1.16)-H2100</f>
        <v>6528592.3448275868</v>
      </c>
      <c r="I2099" s="197">
        <f>SUM(I2094:I2098)</f>
        <v>30528395.241379313</v>
      </c>
      <c r="J2099" s="703">
        <f t="shared" si="993"/>
        <v>4361199.3201970449</v>
      </c>
    </row>
    <row r="2100" spans="1:10" x14ac:dyDescent="0.25">
      <c r="A2100" s="694" t="s">
        <v>31</v>
      </c>
      <c r="B2100" s="300">
        <f t="shared" ref="B2100:I2100" si="998">2414*B2081</f>
        <v>79662</v>
      </c>
      <c r="C2100" s="92">
        <f t="shared" si="998"/>
        <v>140012</v>
      </c>
      <c r="D2100" s="92">
        <f t="shared" si="998"/>
        <v>152082</v>
      </c>
      <c r="E2100" s="92">
        <f t="shared" si="998"/>
        <v>140012</v>
      </c>
      <c r="F2100" s="92">
        <f t="shared" si="998"/>
        <v>359686</v>
      </c>
      <c r="G2100" s="92">
        <f t="shared" si="998"/>
        <v>422450</v>
      </c>
      <c r="H2100" s="92">
        <f t="shared" si="998"/>
        <v>330718</v>
      </c>
      <c r="I2100" s="31">
        <f t="shared" si="998"/>
        <v>1624622</v>
      </c>
      <c r="J2100" s="702">
        <f t="shared" si="993"/>
        <v>232088.85714285713</v>
      </c>
    </row>
    <row r="2101" spans="1:10" x14ac:dyDescent="0.25">
      <c r="A2101" s="698" t="s">
        <v>32</v>
      </c>
      <c r="B2101" s="342">
        <f>B2100+B2099</f>
        <v>1560258.6206896552</v>
      </c>
      <c r="C2101" s="199">
        <f>C2100+C2099</f>
        <v>2819913.7931034486</v>
      </c>
      <c r="D2101" s="199">
        <f>D2100+D2099</f>
        <v>2398793.1034482759</v>
      </c>
      <c r="E2101" s="199">
        <f>E2100+E2099</f>
        <v>2943706.8965517245</v>
      </c>
      <c r="F2101" s="199">
        <f>F2099+F2100</f>
        <v>6778448.2758620698</v>
      </c>
      <c r="G2101" s="199">
        <f>G2100+G2099</f>
        <v>8792586.2068965528</v>
      </c>
      <c r="H2101" s="199">
        <f>H2100+H2099</f>
        <v>6859310.3448275868</v>
      </c>
      <c r="I2101" s="199">
        <f>I2099+I2100</f>
        <v>32153017.241379313</v>
      </c>
      <c r="J2101" s="704">
        <f t="shared" si="993"/>
        <v>4593288.1773399021</v>
      </c>
    </row>
    <row r="2102" spans="1:10" x14ac:dyDescent="0.25">
      <c r="A2102" s="694" t="s">
        <v>33</v>
      </c>
      <c r="B2102" s="302">
        <f>B2101*16%</f>
        <v>249641.37931034484</v>
      </c>
      <c r="C2102" s="94">
        <f t="shared" ref="C2102:H2102" si="999">C2101*16%</f>
        <v>451186.20689655177</v>
      </c>
      <c r="D2102" s="94">
        <f t="shared" si="999"/>
        <v>383806.89655172417</v>
      </c>
      <c r="E2102" s="94">
        <f t="shared" si="999"/>
        <v>470993.10344827594</v>
      </c>
      <c r="F2102" s="94">
        <f t="shared" si="999"/>
        <v>1084551.7241379311</v>
      </c>
      <c r="G2102" s="94">
        <f t="shared" si="999"/>
        <v>1406813.7931034486</v>
      </c>
      <c r="H2102" s="94">
        <f t="shared" si="999"/>
        <v>1097489.6551724139</v>
      </c>
      <c r="I2102" s="94">
        <f>I2101*16%</f>
        <v>5144482.7586206906</v>
      </c>
      <c r="J2102" s="702">
        <f t="shared" si="993"/>
        <v>734926.10837438435</v>
      </c>
    </row>
    <row r="2103" spans="1:10" ht="15.75" thickBot="1" x14ac:dyDescent="0.3">
      <c r="A2103" s="699" t="s">
        <v>34</v>
      </c>
      <c r="B2103" s="708">
        <f>B2101+B2102</f>
        <v>1809900</v>
      </c>
      <c r="C2103" s="656">
        <f t="shared" ref="C2103:H2103" si="1000">C2101+C2102</f>
        <v>3271100.0000000005</v>
      </c>
      <c r="D2103" s="656">
        <f t="shared" si="1000"/>
        <v>2782600</v>
      </c>
      <c r="E2103" s="656">
        <f t="shared" si="1000"/>
        <v>3414700.0000000005</v>
      </c>
      <c r="F2103" s="656">
        <f t="shared" si="1000"/>
        <v>7863000.0000000009</v>
      </c>
      <c r="G2103" s="656">
        <f t="shared" si="1000"/>
        <v>10199400.000000002</v>
      </c>
      <c r="H2103" s="656">
        <f t="shared" si="1000"/>
        <v>7956800.0000000009</v>
      </c>
      <c r="I2103" s="656">
        <f>I2101+I2102</f>
        <v>37297500</v>
      </c>
      <c r="J2103" s="705">
        <f t="shared" si="993"/>
        <v>5328214.2857142854</v>
      </c>
    </row>
    <row r="2104" spans="1:10" ht="15.75" thickBot="1" x14ac:dyDescent="0.3"/>
    <row r="2105" spans="1:10" ht="27" thickBot="1" x14ac:dyDescent="0.3">
      <c r="B2105" s="1007" t="s">
        <v>670</v>
      </c>
      <c r="C2105" s="1007"/>
      <c r="D2105" s="1007"/>
      <c r="E2105" s="1007"/>
      <c r="F2105" s="1007"/>
      <c r="G2105" s="1007"/>
      <c r="H2105" s="1007"/>
    </row>
    <row r="2106" spans="1:10" ht="15.75" x14ac:dyDescent="0.25">
      <c r="A2106" s="709" t="s">
        <v>2</v>
      </c>
      <c r="B2106" s="706" t="s">
        <v>81</v>
      </c>
      <c r="C2106" s="617" t="s">
        <v>82</v>
      </c>
      <c r="D2106" s="617" t="s">
        <v>83</v>
      </c>
      <c r="E2106" s="617" t="s">
        <v>84</v>
      </c>
      <c r="F2106" s="617" t="s">
        <v>85</v>
      </c>
      <c r="G2106" s="617" t="s">
        <v>86</v>
      </c>
      <c r="H2106" s="617" t="s">
        <v>87</v>
      </c>
      <c r="I2106" s="641" t="s">
        <v>96</v>
      </c>
      <c r="J2106" s="642" t="s">
        <v>97</v>
      </c>
    </row>
    <row r="2107" spans="1:10" x14ac:dyDescent="0.25">
      <c r="A2107" s="710" t="s">
        <v>11</v>
      </c>
      <c r="B2107" s="56">
        <f>47+28+13</f>
        <v>88</v>
      </c>
      <c r="C2107" s="673">
        <f>49+30+9</f>
        <v>88</v>
      </c>
      <c r="D2107" s="673">
        <f>39+38+10</f>
        <v>87</v>
      </c>
      <c r="E2107" s="738">
        <f>53+28+10</f>
        <v>91</v>
      </c>
      <c r="F2107" s="738">
        <f>137+125+35</f>
        <v>297</v>
      </c>
      <c r="G2107" s="738">
        <f>205+125+45</f>
        <v>375</v>
      </c>
      <c r="H2107" s="738">
        <f>147+123+38</f>
        <v>308</v>
      </c>
      <c r="I2107" s="741">
        <f>SUM(B2107:H2107)</f>
        <v>1334</v>
      </c>
      <c r="J2107" s="700">
        <f>+I2107/7</f>
        <v>190.57142857142858</v>
      </c>
    </row>
    <row r="2108" spans="1:10" x14ac:dyDescent="0.25">
      <c r="A2108" s="694" t="s">
        <v>12</v>
      </c>
      <c r="B2108" s="689">
        <v>36</v>
      </c>
      <c r="C2108" s="675">
        <v>43</v>
      </c>
      <c r="D2108" s="675">
        <v>55</v>
      </c>
      <c r="E2108" s="734">
        <v>41</v>
      </c>
      <c r="F2108" s="742">
        <v>162</v>
      </c>
      <c r="G2108" s="734">
        <v>206</v>
      </c>
      <c r="H2108" s="734">
        <v>169</v>
      </c>
      <c r="I2108" s="11">
        <f>SUM(CEDRITOS!$B2108:$H2108)</f>
        <v>712</v>
      </c>
      <c r="J2108" s="623">
        <f t="shared" ref="J2108:J2113" si="1001">I2108/7</f>
        <v>101.71428571428571</v>
      </c>
    </row>
    <row r="2109" spans="1:10" x14ac:dyDescent="0.25">
      <c r="A2109" s="694" t="s">
        <v>13</v>
      </c>
      <c r="B2109" s="313">
        <v>1</v>
      </c>
      <c r="C2109" s="13">
        <v>0</v>
      </c>
      <c r="D2109" s="13">
        <v>1</v>
      </c>
      <c r="E2109" s="11">
        <v>1</v>
      </c>
      <c r="F2109" s="125">
        <v>4</v>
      </c>
      <c r="G2109" s="11">
        <v>6</v>
      </c>
      <c r="H2109" s="11">
        <v>10</v>
      </c>
      <c r="I2109" s="11">
        <f>SUM(CEDRITOS!$B2109:$H2109)</f>
        <v>23</v>
      </c>
      <c r="J2109" s="623">
        <f t="shared" si="1001"/>
        <v>3.2857142857142856</v>
      </c>
    </row>
    <row r="2110" spans="1:10" x14ac:dyDescent="0.25">
      <c r="A2110" s="694" t="s">
        <v>14</v>
      </c>
      <c r="B2110" s="313">
        <v>20</v>
      </c>
      <c r="C2110" s="13">
        <v>30</v>
      </c>
      <c r="D2110" s="320">
        <v>18</v>
      </c>
      <c r="E2110" s="11">
        <v>19</v>
      </c>
      <c r="F2110" s="125">
        <v>53</v>
      </c>
      <c r="G2110" s="11">
        <v>69</v>
      </c>
      <c r="H2110" s="11">
        <v>51</v>
      </c>
      <c r="I2110" s="11">
        <f>SUM(CEDRITOS!$B2110:$H2110)</f>
        <v>260</v>
      </c>
      <c r="J2110" s="623">
        <f t="shared" si="1001"/>
        <v>37.142857142857146</v>
      </c>
    </row>
    <row r="2111" spans="1:10" x14ac:dyDescent="0.25">
      <c r="A2111" s="694" t="s">
        <v>15</v>
      </c>
      <c r="B2111" s="313">
        <v>10</v>
      </c>
      <c r="C2111" s="13">
        <v>5</v>
      </c>
      <c r="D2111" s="13">
        <v>1</v>
      </c>
      <c r="E2111" s="11">
        <v>9</v>
      </c>
      <c r="F2111" s="125">
        <v>20</v>
      </c>
      <c r="G2111" s="11">
        <v>11</v>
      </c>
      <c r="H2111" s="11">
        <v>15</v>
      </c>
      <c r="I2111" s="11">
        <f>SUM(CEDRITOS!$B2111:$H2111)</f>
        <v>71</v>
      </c>
      <c r="J2111" s="623">
        <f t="shared" si="1001"/>
        <v>10.142857142857142</v>
      </c>
    </row>
    <row r="2112" spans="1:10" x14ac:dyDescent="0.25">
      <c r="A2112" s="694" t="s">
        <v>16</v>
      </c>
      <c r="B2112" s="313">
        <v>0</v>
      </c>
      <c r="C2112" s="13">
        <v>0</v>
      </c>
      <c r="D2112" s="13">
        <v>0</v>
      </c>
      <c r="E2112" s="11">
        <v>0</v>
      </c>
      <c r="F2112" s="125">
        <v>1</v>
      </c>
      <c r="G2112" s="11">
        <v>1</v>
      </c>
      <c r="H2112" s="11">
        <v>1</v>
      </c>
      <c r="I2112" s="11">
        <f>SUM(CEDRITOS!$B2112:$H2112)</f>
        <v>3</v>
      </c>
      <c r="J2112" s="623">
        <f t="shared" si="1001"/>
        <v>0.42857142857142855</v>
      </c>
    </row>
    <row r="2113" spans="1:10" x14ac:dyDescent="0.25">
      <c r="A2113" s="695" t="s">
        <v>17</v>
      </c>
      <c r="B2113" s="707">
        <f>SUM(B2108:B2112)</f>
        <v>67</v>
      </c>
      <c r="C2113" s="192">
        <f t="shared" ref="C2113:I2113" si="1002">SUM(C2108:C2112)</f>
        <v>78</v>
      </c>
      <c r="D2113" s="192">
        <f t="shared" si="1002"/>
        <v>75</v>
      </c>
      <c r="E2113" s="192">
        <f t="shared" si="1002"/>
        <v>70</v>
      </c>
      <c r="F2113" s="192">
        <f t="shared" si="1002"/>
        <v>240</v>
      </c>
      <c r="G2113" s="192">
        <f t="shared" si="1002"/>
        <v>293</v>
      </c>
      <c r="H2113" s="192">
        <f t="shared" si="1002"/>
        <v>246</v>
      </c>
      <c r="I2113" s="192">
        <f t="shared" si="1002"/>
        <v>1069</v>
      </c>
      <c r="J2113" s="647">
        <f t="shared" si="1001"/>
        <v>152.71428571428572</v>
      </c>
    </row>
    <row r="2114" spans="1:10" x14ac:dyDescent="0.25">
      <c r="A2114" s="694" t="s">
        <v>18</v>
      </c>
      <c r="B2114" s="690">
        <v>0.55000000000000004</v>
      </c>
      <c r="C2114" s="326">
        <v>0.61</v>
      </c>
      <c r="D2114" s="326">
        <v>0.76</v>
      </c>
      <c r="E2114" s="327">
        <v>0.68</v>
      </c>
      <c r="F2114" s="328">
        <v>0.71</v>
      </c>
      <c r="G2114" s="327">
        <v>0.76</v>
      </c>
      <c r="H2114" s="327">
        <v>0.71</v>
      </c>
      <c r="I2114" s="30">
        <f>I2121/I2126</f>
        <v>0.710267642880136</v>
      </c>
      <c r="J2114" s="648">
        <f>J2121/J2126</f>
        <v>0.71026764288013589</v>
      </c>
    </row>
    <row r="2115" spans="1:10" x14ac:dyDescent="0.25">
      <c r="A2115" s="694" t="s">
        <v>19</v>
      </c>
      <c r="B2115" s="690">
        <v>0.02</v>
      </c>
      <c r="C2115" s="326">
        <v>0</v>
      </c>
      <c r="D2115" s="326">
        <v>0.01</v>
      </c>
      <c r="E2115" s="327">
        <v>0.01</v>
      </c>
      <c r="F2115" s="327">
        <v>0.01</v>
      </c>
      <c r="G2115" s="327">
        <v>0.02</v>
      </c>
      <c r="H2115" s="327">
        <v>0.04</v>
      </c>
      <c r="I2115" s="30">
        <f>I2122/I2126</f>
        <v>1.9997888184679891E-2</v>
      </c>
      <c r="J2115" s="648">
        <f>J2122/J2126</f>
        <v>1.9997888184679891E-2</v>
      </c>
    </row>
    <row r="2116" spans="1:10" x14ac:dyDescent="0.25">
      <c r="A2116" s="694" t="s">
        <v>20</v>
      </c>
      <c r="B2116" s="690">
        <v>0.25</v>
      </c>
      <c r="C2116" s="326">
        <v>0.32</v>
      </c>
      <c r="D2116" s="326">
        <v>0.23</v>
      </c>
      <c r="E2116" s="327">
        <v>0.22</v>
      </c>
      <c r="F2116" s="329">
        <v>0.19</v>
      </c>
      <c r="G2116" s="327">
        <v>0.19</v>
      </c>
      <c r="H2116" s="327">
        <v>0.2</v>
      </c>
      <c r="I2116" s="30">
        <f>I2123/I2126</f>
        <v>0.20824525375995068</v>
      </c>
      <c r="J2116" s="648">
        <f>J2123/J2126</f>
        <v>0.20824525375995065</v>
      </c>
    </row>
    <row r="2117" spans="1:10" x14ac:dyDescent="0.25">
      <c r="A2117" s="694" t="s">
        <v>21</v>
      </c>
      <c r="B2117" s="690">
        <v>0.18</v>
      </c>
      <c r="C2117" s="326">
        <v>7.0000000000000007E-2</v>
      </c>
      <c r="D2117" s="326">
        <v>0</v>
      </c>
      <c r="E2117" s="327">
        <v>0.09</v>
      </c>
      <c r="F2117" s="329">
        <v>0.08</v>
      </c>
      <c r="G2117" s="327">
        <v>0.03</v>
      </c>
      <c r="H2117" s="327">
        <v>0.05</v>
      </c>
      <c r="I2117" s="30">
        <f>I2124/I2126</f>
        <v>5.9221069282620394E-2</v>
      </c>
      <c r="J2117" s="648">
        <f>J2124/J2126</f>
        <v>5.9221069282620387E-2</v>
      </c>
    </row>
    <row r="2118" spans="1:10" x14ac:dyDescent="0.25">
      <c r="A2118" s="694" t="s">
        <v>22</v>
      </c>
      <c r="B2118" s="690">
        <v>0</v>
      </c>
      <c r="C2118" s="326">
        <v>0</v>
      </c>
      <c r="D2118" s="326">
        <v>0</v>
      </c>
      <c r="E2118" s="327">
        <v>0</v>
      </c>
      <c r="F2118" s="329">
        <v>0.01</v>
      </c>
      <c r="G2118" s="327">
        <v>0</v>
      </c>
      <c r="H2118" s="327">
        <v>0</v>
      </c>
      <c r="I2118" s="30">
        <f>I2125/I2126</f>
        <v>2.2681458926130061E-3</v>
      </c>
      <c r="J2118" s="648">
        <f>J2125/J2126</f>
        <v>2.2681458926130057E-3</v>
      </c>
    </row>
    <row r="2119" spans="1:10" x14ac:dyDescent="0.25">
      <c r="A2119" s="696" t="s">
        <v>23</v>
      </c>
      <c r="B2119" s="164">
        <f t="shared" ref="B2119:J2119" si="1003">B2130/B2113</f>
        <v>34161.194029850747</v>
      </c>
      <c r="C2119" s="66">
        <f t="shared" si="1003"/>
        <v>29701.282051282051</v>
      </c>
      <c r="D2119" s="66">
        <f t="shared" si="1003"/>
        <v>34744.000000000007</v>
      </c>
      <c r="E2119" s="66">
        <f t="shared" si="1003"/>
        <v>35450</v>
      </c>
      <c r="F2119" s="66">
        <f t="shared" si="1003"/>
        <v>36789.583333333336</v>
      </c>
      <c r="G2119" s="66">
        <f t="shared" si="1003"/>
        <v>38009.8976109215</v>
      </c>
      <c r="H2119" s="66">
        <f t="shared" si="1003"/>
        <v>37653.658536585368</v>
      </c>
      <c r="I2119" s="66">
        <f t="shared" si="1003"/>
        <v>36409.728718428436</v>
      </c>
      <c r="J2119" s="701">
        <f t="shared" si="1003"/>
        <v>36409.728718428436</v>
      </c>
    </row>
    <row r="2120" spans="1:10" x14ac:dyDescent="0.25">
      <c r="A2120" s="696" t="s">
        <v>24</v>
      </c>
      <c r="B2120" s="164">
        <f t="shared" ref="B2120:I2120" si="1004">+B2130/B2107</f>
        <v>26009.090909090908</v>
      </c>
      <c r="C2120" s="66">
        <f t="shared" si="1004"/>
        <v>26326.136363636364</v>
      </c>
      <c r="D2120" s="66">
        <f t="shared" si="1004"/>
        <v>29951.72413793104</v>
      </c>
      <c r="E2120" s="66">
        <f t="shared" si="1004"/>
        <v>27269.23076923077</v>
      </c>
      <c r="F2120" s="66">
        <f t="shared" si="1004"/>
        <v>29728.956228956227</v>
      </c>
      <c r="G2120" s="66">
        <f t="shared" si="1004"/>
        <v>29698.400000000001</v>
      </c>
      <c r="H2120" s="66">
        <f t="shared" si="1004"/>
        <v>30074.025974025975</v>
      </c>
      <c r="I2120" s="66">
        <f t="shared" si="1004"/>
        <v>29176.911544227885</v>
      </c>
      <c r="J2120" s="701">
        <f>J2130/J2107</f>
        <v>29176.911544227885</v>
      </c>
    </row>
    <row r="2121" spans="1:10" x14ac:dyDescent="0.25">
      <c r="A2121" s="694" t="s">
        <v>25</v>
      </c>
      <c r="B2121" s="300">
        <f t="shared" ref="B2121:H2121" si="1005">B2126*B2114</f>
        <v>1037409.6965517243</v>
      </c>
      <c r="C2121" s="92">
        <f t="shared" si="1005"/>
        <v>1154945.4351724137</v>
      </c>
      <c r="D2121" s="92">
        <f t="shared" si="1005"/>
        <v>1606343.0758620691</v>
      </c>
      <c r="E2121" s="92">
        <f t="shared" si="1005"/>
        <v>1387370.0937931035</v>
      </c>
      <c r="F2121" s="92">
        <f t="shared" si="1005"/>
        <v>5126604.6510344828</v>
      </c>
      <c r="G2121" s="31">
        <f t="shared" si="1005"/>
        <v>6918653.8151724143</v>
      </c>
      <c r="H2121" s="31">
        <f t="shared" si="1005"/>
        <v>5379816.5537931034</v>
      </c>
      <c r="I2121" s="31">
        <f>SUM(B2121:H2121)</f>
        <v>22611143.321379311</v>
      </c>
      <c r="J2121" s="702">
        <f t="shared" ref="J2121:J2130" si="1006">I2121/7</f>
        <v>3230163.3316256157</v>
      </c>
    </row>
    <row r="2122" spans="1:10" x14ac:dyDescent="0.25">
      <c r="A2122" s="694" t="s">
        <v>26</v>
      </c>
      <c r="B2122" s="300">
        <f t="shared" ref="B2122:H2122" si="1007">B2126*B2115</f>
        <v>37723.988965517245</v>
      </c>
      <c r="C2122" s="92">
        <f t="shared" si="1007"/>
        <v>0</v>
      </c>
      <c r="D2122" s="92">
        <f t="shared" si="1007"/>
        <v>21136.093103448278</v>
      </c>
      <c r="E2122" s="92">
        <f t="shared" si="1007"/>
        <v>20402.501379310346</v>
      </c>
      <c r="F2122" s="92">
        <f t="shared" si="1007"/>
        <v>72205.699310344833</v>
      </c>
      <c r="G2122" s="31">
        <f t="shared" si="1007"/>
        <v>182069.83724137931</v>
      </c>
      <c r="H2122" s="31">
        <f t="shared" si="1007"/>
        <v>303088.25655172416</v>
      </c>
      <c r="I2122" s="31">
        <f>SUM(B2122:H2122)</f>
        <v>636626.37655172416</v>
      </c>
      <c r="J2122" s="702">
        <f t="shared" si="1006"/>
        <v>90946.625221674884</v>
      </c>
    </row>
    <row r="2123" spans="1:10" x14ac:dyDescent="0.25">
      <c r="A2123" s="694" t="s">
        <v>27</v>
      </c>
      <c r="B2123" s="300">
        <f t="shared" ref="B2123:H2123" si="1008">B2126*B2116</f>
        <v>471549.86206896557</v>
      </c>
      <c r="C2123" s="92">
        <f t="shared" si="1008"/>
        <v>605873.01517241378</v>
      </c>
      <c r="D2123" s="92">
        <f t="shared" si="1008"/>
        <v>486130.1413793104</v>
      </c>
      <c r="E2123" s="92">
        <f t="shared" si="1008"/>
        <v>448855.03034482757</v>
      </c>
      <c r="F2123" s="92">
        <f t="shared" si="1008"/>
        <v>1371908.2868965517</v>
      </c>
      <c r="G2123" s="31">
        <f t="shared" si="1008"/>
        <v>1729663.4537931036</v>
      </c>
      <c r="H2123" s="31">
        <f t="shared" si="1008"/>
        <v>1515441.2827586208</v>
      </c>
      <c r="I2123" s="31">
        <f>SUM(B2123:H2123)</f>
        <v>6629421.0724137938</v>
      </c>
      <c r="J2123" s="702">
        <f t="shared" si="1006"/>
        <v>947060.1532019705</v>
      </c>
    </row>
    <row r="2124" spans="1:10" x14ac:dyDescent="0.25">
      <c r="A2124" s="694" t="s">
        <v>28</v>
      </c>
      <c r="B2124" s="300">
        <f t="shared" ref="B2124:H2124" si="1009">B2126*B2117</f>
        <v>339515.90068965522</v>
      </c>
      <c r="C2124" s="92">
        <f t="shared" si="1009"/>
        <v>132534.72206896552</v>
      </c>
      <c r="D2124" s="92">
        <f t="shared" si="1009"/>
        <v>0</v>
      </c>
      <c r="E2124" s="92">
        <f t="shared" si="1009"/>
        <v>183622.5124137931</v>
      </c>
      <c r="F2124" s="92">
        <f t="shared" si="1009"/>
        <v>577645.59448275866</v>
      </c>
      <c r="G2124" s="31">
        <f t="shared" si="1009"/>
        <v>273104.75586206897</v>
      </c>
      <c r="H2124" s="31">
        <f t="shared" si="1009"/>
        <v>378860.3206896552</v>
      </c>
      <c r="I2124" s="31">
        <f>SUM(B2124:H2124)</f>
        <v>1885283.8062068967</v>
      </c>
      <c r="J2124" s="702">
        <f t="shared" si="1006"/>
        <v>269326.25802955666</v>
      </c>
    </row>
    <row r="2125" spans="1:10" x14ac:dyDescent="0.25">
      <c r="A2125" s="694" t="s">
        <v>29</v>
      </c>
      <c r="B2125" s="300">
        <f t="shared" ref="B2125:H2125" si="1010">B2126*B2118</f>
        <v>0</v>
      </c>
      <c r="C2125" s="92">
        <f t="shared" si="1010"/>
        <v>0</v>
      </c>
      <c r="D2125" s="92">
        <f t="shared" si="1010"/>
        <v>0</v>
      </c>
      <c r="E2125" s="92">
        <f t="shared" si="1010"/>
        <v>0</v>
      </c>
      <c r="F2125" s="92">
        <f t="shared" si="1010"/>
        <v>72205.699310344833</v>
      </c>
      <c r="G2125" s="31">
        <f t="shared" si="1010"/>
        <v>0</v>
      </c>
      <c r="H2125" s="31">
        <f t="shared" si="1010"/>
        <v>0</v>
      </c>
      <c r="I2125" s="31">
        <f>SUM(B2125:H2125)</f>
        <v>72205.699310344833</v>
      </c>
      <c r="J2125" s="702">
        <f t="shared" si="1006"/>
        <v>10315.099901477834</v>
      </c>
    </row>
    <row r="2126" spans="1:10" x14ac:dyDescent="0.25">
      <c r="A2126" s="697" t="s">
        <v>30</v>
      </c>
      <c r="B2126" s="691">
        <f>(2288800/1.16)-B2127</f>
        <v>1886199.4482758623</v>
      </c>
      <c r="C2126" s="691">
        <f>(2316700/1.16)-C2127</f>
        <v>1893353.1724137932</v>
      </c>
      <c r="D2126" s="691">
        <f>(2605800/1.16)-D2127</f>
        <v>2113609.3103448278</v>
      </c>
      <c r="E2126" s="691">
        <f>(2481500/1.16)-E2127</f>
        <v>2040250.1379310344</v>
      </c>
      <c r="F2126" s="691">
        <f>(8829500/1.16)-F2127</f>
        <v>7220569.931034483</v>
      </c>
      <c r="G2126" s="691">
        <f>(11136900/1.16)-G2127</f>
        <v>9103491.862068966</v>
      </c>
      <c r="H2126" s="691">
        <f>(9262800/1.16)-H2127</f>
        <v>7577206.4137931038</v>
      </c>
      <c r="I2126" s="197">
        <f>SUM(I2121:I2125)</f>
        <v>31834680.275862072</v>
      </c>
      <c r="J2126" s="703">
        <f t="shared" si="1006"/>
        <v>4547811.4679802964</v>
      </c>
    </row>
    <row r="2127" spans="1:10" x14ac:dyDescent="0.25">
      <c r="A2127" s="694" t="s">
        <v>31</v>
      </c>
      <c r="B2127" s="300">
        <f t="shared" ref="B2127:I2127" si="1011">2414*B2108</f>
        <v>86904</v>
      </c>
      <c r="C2127" s="92">
        <f t="shared" si="1011"/>
        <v>103802</v>
      </c>
      <c r="D2127" s="92">
        <f t="shared" si="1011"/>
        <v>132770</v>
      </c>
      <c r="E2127" s="92">
        <f t="shared" si="1011"/>
        <v>98974</v>
      </c>
      <c r="F2127" s="92">
        <f t="shared" si="1011"/>
        <v>391068</v>
      </c>
      <c r="G2127" s="92">
        <f t="shared" si="1011"/>
        <v>497284</v>
      </c>
      <c r="H2127" s="92">
        <f t="shared" si="1011"/>
        <v>407966</v>
      </c>
      <c r="I2127" s="31">
        <f t="shared" si="1011"/>
        <v>1718768</v>
      </c>
      <c r="J2127" s="702">
        <f t="shared" si="1006"/>
        <v>245538.28571428571</v>
      </c>
    </row>
    <row r="2128" spans="1:10" x14ac:dyDescent="0.25">
      <c r="A2128" s="698" t="s">
        <v>32</v>
      </c>
      <c r="B2128" s="342">
        <f>B2127+B2126</f>
        <v>1973103.4482758623</v>
      </c>
      <c r="C2128" s="199">
        <f>C2127+C2126</f>
        <v>1997155.1724137932</v>
      </c>
      <c r="D2128" s="199">
        <f>D2127+D2126</f>
        <v>2246379.3103448278</v>
      </c>
      <c r="E2128" s="199">
        <f>E2127+E2126</f>
        <v>2139224.1379310344</v>
      </c>
      <c r="F2128" s="199">
        <f>F2126+F2127</f>
        <v>7611637.931034483</v>
      </c>
      <c r="G2128" s="199">
        <f>G2127+G2126</f>
        <v>9600775.862068966</v>
      </c>
      <c r="H2128" s="199">
        <f>H2127+H2126</f>
        <v>7985172.4137931038</v>
      </c>
      <c r="I2128" s="199">
        <f>I2126+I2127</f>
        <v>33553448.275862072</v>
      </c>
      <c r="J2128" s="704">
        <f t="shared" si="1006"/>
        <v>4793349.7536945818</v>
      </c>
    </row>
    <row r="2129" spans="1:10" x14ac:dyDescent="0.25">
      <c r="A2129" s="694" t="s">
        <v>33</v>
      </c>
      <c r="B2129" s="302">
        <f>B2128*16%</f>
        <v>315696.55172413797</v>
      </c>
      <c r="C2129" s="94">
        <f t="shared" ref="C2129:H2129" si="1012">C2128*16%</f>
        <v>319544.8275862069</v>
      </c>
      <c r="D2129" s="94">
        <f t="shared" si="1012"/>
        <v>359420.68965517246</v>
      </c>
      <c r="E2129" s="94">
        <f t="shared" si="1012"/>
        <v>342275.86206896551</v>
      </c>
      <c r="F2129" s="94">
        <f t="shared" si="1012"/>
        <v>1217862.0689655172</v>
      </c>
      <c r="G2129" s="94">
        <f t="shared" si="1012"/>
        <v>1536124.1379310347</v>
      </c>
      <c r="H2129" s="94">
        <f t="shared" si="1012"/>
        <v>1277627.5862068967</v>
      </c>
      <c r="I2129" s="94">
        <f>I2128*16%</f>
        <v>5368551.7241379311</v>
      </c>
      <c r="J2129" s="702">
        <f t="shared" si="1006"/>
        <v>766935.96059113299</v>
      </c>
    </row>
    <row r="2130" spans="1:10" ht="15.75" thickBot="1" x14ac:dyDescent="0.3">
      <c r="A2130" s="699" t="s">
        <v>34</v>
      </c>
      <c r="B2130" s="708">
        <f>B2128+B2129</f>
        <v>2288800</v>
      </c>
      <c r="C2130" s="656">
        <f t="shared" ref="C2130:H2130" si="1013">C2128+C2129</f>
        <v>2316700</v>
      </c>
      <c r="D2130" s="656">
        <f t="shared" si="1013"/>
        <v>2605800.0000000005</v>
      </c>
      <c r="E2130" s="656">
        <f t="shared" si="1013"/>
        <v>2481500</v>
      </c>
      <c r="F2130" s="656">
        <f t="shared" si="1013"/>
        <v>8829500</v>
      </c>
      <c r="G2130" s="656">
        <f t="shared" si="1013"/>
        <v>11136900</v>
      </c>
      <c r="H2130" s="656">
        <f t="shared" si="1013"/>
        <v>9262800</v>
      </c>
      <c r="I2130" s="656">
        <f>I2128+I2129</f>
        <v>38922000</v>
      </c>
      <c r="J2130" s="705">
        <f t="shared" si="1006"/>
        <v>5560285.7142857146</v>
      </c>
    </row>
    <row r="2131" spans="1:10" ht="15.75" thickBot="1" x14ac:dyDescent="0.3"/>
    <row r="2132" spans="1:10" ht="27" thickBot="1" x14ac:dyDescent="0.3">
      <c r="B2132" s="1007" t="s">
        <v>675</v>
      </c>
      <c r="C2132" s="1007"/>
      <c r="D2132" s="1007"/>
      <c r="E2132" s="1007"/>
      <c r="F2132" s="1007"/>
      <c r="G2132" s="1007"/>
      <c r="H2132" s="1007"/>
    </row>
    <row r="2133" spans="1:10" ht="15.75" x14ac:dyDescent="0.25">
      <c r="A2133" s="709" t="s">
        <v>2</v>
      </c>
      <c r="B2133" s="706" t="s">
        <v>89</v>
      </c>
      <c r="C2133" s="617" t="s">
        <v>90</v>
      </c>
      <c r="D2133" s="617" t="s">
        <v>172</v>
      </c>
      <c r="E2133" s="617" t="s">
        <v>324</v>
      </c>
      <c r="F2133" s="617" t="s">
        <v>325</v>
      </c>
      <c r="G2133" s="617" t="s">
        <v>326</v>
      </c>
      <c r="H2133" s="617" t="s">
        <v>327</v>
      </c>
      <c r="I2133" s="641" t="s">
        <v>96</v>
      </c>
      <c r="J2133" s="642" t="s">
        <v>97</v>
      </c>
    </row>
    <row r="2134" spans="1:10" x14ac:dyDescent="0.25">
      <c r="A2134" s="710" t="s">
        <v>11</v>
      </c>
      <c r="B2134" s="56">
        <f>49+23+9</f>
        <v>81</v>
      </c>
      <c r="C2134" s="673">
        <f>49+41+14</f>
        <v>104</v>
      </c>
      <c r="D2134" s="673">
        <f>81+47+17</f>
        <v>145</v>
      </c>
      <c r="E2134" s="738">
        <f>69+34+6</f>
        <v>109</v>
      </c>
      <c r="F2134" s="738">
        <f>146+121+41</f>
        <v>308</v>
      </c>
      <c r="G2134" s="738">
        <f>226+153+40</f>
        <v>419</v>
      </c>
      <c r="H2134" s="738">
        <f>152+107+37</f>
        <v>296</v>
      </c>
      <c r="I2134" s="741">
        <f>SUM(B2134:H2134)</f>
        <v>1462</v>
      </c>
      <c r="J2134" s="700">
        <f>+I2134/7</f>
        <v>208.85714285714286</v>
      </c>
    </row>
    <row r="2135" spans="1:10" x14ac:dyDescent="0.25">
      <c r="A2135" s="694" t="s">
        <v>12</v>
      </c>
      <c r="B2135" s="689">
        <v>39</v>
      </c>
      <c r="C2135" s="675">
        <v>62</v>
      </c>
      <c r="D2135" s="675">
        <v>94</v>
      </c>
      <c r="E2135" s="734">
        <v>58</v>
      </c>
      <c r="F2135" s="742">
        <v>168</v>
      </c>
      <c r="G2135" s="734">
        <v>211</v>
      </c>
      <c r="H2135" s="734">
        <v>157</v>
      </c>
      <c r="I2135" s="11">
        <f>SUM(CEDRITOS!$B2135:$H2135)</f>
        <v>789</v>
      </c>
      <c r="J2135" s="623">
        <f t="shared" ref="J2135:J2140" si="1014">I2135/7</f>
        <v>112.71428571428571</v>
      </c>
    </row>
    <row r="2136" spans="1:10" x14ac:dyDescent="0.25">
      <c r="A2136" s="694" t="s">
        <v>13</v>
      </c>
      <c r="B2136" s="313">
        <v>1</v>
      </c>
      <c r="C2136" s="13">
        <v>1</v>
      </c>
      <c r="D2136" s="13">
        <v>0</v>
      </c>
      <c r="E2136" s="11">
        <v>3</v>
      </c>
      <c r="F2136" s="125">
        <v>4</v>
      </c>
      <c r="G2136" s="11">
        <v>9</v>
      </c>
      <c r="H2136" s="11">
        <v>5</v>
      </c>
      <c r="I2136" s="11">
        <f>SUM(CEDRITOS!$B2136:$H2136)</f>
        <v>23</v>
      </c>
      <c r="J2136" s="623">
        <f t="shared" si="1014"/>
        <v>3.2857142857142856</v>
      </c>
    </row>
    <row r="2137" spans="1:10" x14ac:dyDescent="0.25">
      <c r="A2137" s="694" t="s">
        <v>14</v>
      </c>
      <c r="B2137" s="313">
        <v>21</v>
      </c>
      <c r="C2137" s="13">
        <v>20</v>
      </c>
      <c r="D2137" s="320">
        <v>27</v>
      </c>
      <c r="E2137" s="11">
        <v>31</v>
      </c>
      <c r="F2137" s="125">
        <v>52</v>
      </c>
      <c r="G2137" s="11">
        <v>84</v>
      </c>
      <c r="H2137" s="11">
        <v>63</v>
      </c>
      <c r="I2137" s="11">
        <f>SUM(CEDRITOS!$B2137:$H2137)</f>
        <v>298</v>
      </c>
      <c r="J2137" s="623">
        <f t="shared" si="1014"/>
        <v>42.571428571428569</v>
      </c>
    </row>
    <row r="2138" spans="1:10" x14ac:dyDescent="0.25">
      <c r="A2138" s="694" t="s">
        <v>15</v>
      </c>
      <c r="B2138" s="313">
        <v>8</v>
      </c>
      <c r="C2138" s="13">
        <v>6</v>
      </c>
      <c r="D2138" s="13">
        <v>3</v>
      </c>
      <c r="E2138" s="11">
        <v>9</v>
      </c>
      <c r="F2138" s="125">
        <v>26</v>
      </c>
      <c r="G2138" s="11">
        <v>27</v>
      </c>
      <c r="H2138" s="11">
        <v>15</v>
      </c>
      <c r="I2138" s="11">
        <f>SUM(CEDRITOS!$B2138:$H2138)</f>
        <v>94</v>
      </c>
      <c r="J2138" s="623">
        <f t="shared" si="1014"/>
        <v>13.428571428571429</v>
      </c>
    </row>
    <row r="2139" spans="1:10" x14ac:dyDescent="0.25">
      <c r="A2139" s="694" t="s">
        <v>16</v>
      </c>
      <c r="B2139" s="313">
        <v>0</v>
      </c>
      <c r="C2139" s="13">
        <v>0</v>
      </c>
      <c r="D2139" s="13">
        <v>1</v>
      </c>
      <c r="E2139" s="11">
        <v>0</v>
      </c>
      <c r="F2139" s="125">
        <v>1</v>
      </c>
      <c r="G2139" s="11">
        <v>0</v>
      </c>
      <c r="H2139" s="11">
        <v>0</v>
      </c>
      <c r="I2139" s="11">
        <f>SUM(CEDRITOS!$B2139:$H2139)</f>
        <v>2</v>
      </c>
      <c r="J2139" s="623">
        <f t="shared" si="1014"/>
        <v>0.2857142857142857</v>
      </c>
    </row>
    <row r="2140" spans="1:10" x14ac:dyDescent="0.25">
      <c r="A2140" s="695" t="s">
        <v>17</v>
      </c>
      <c r="B2140" s="707">
        <f>SUM(B2135:B2139)</f>
        <v>69</v>
      </c>
      <c r="C2140" s="192">
        <f t="shared" ref="C2140:I2140" si="1015">SUM(C2135:C2139)</f>
        <v>89</v>
      </c>
      <c r="D2140" s="192">
        <f t="shared" si="1015"/>
        <v>125</v>
      </c>
      <c r="E2140" s="192">
        <f t="shared" si="1015"/>
        <v>101</v>
      </c>
      <c r="F2140" s="192">
        <f t="shared" si="1015"/>
        <v>251</v>
      </c>
      <c r="G2140" s="192">
        <f t="shared" si="1015"/>
        <v>331</v>
      </c>
      <c r="H2140" s="192">
        <f t="shared" si="1015"/>
        <v>240</v>
      </c>
      <c r="I2140" s="192">
        <f t="shared" si="1015"/>
        <v>1206</v>
      </c>
      <c r="J2140" s="647">
        <f t="shared" si="1014"/>
        <v>172.28571428571428</v>
      </c>
    </row>
    <row r="2141" spans="1:10" x14ac:dyDescent="0.25">
      <c r="A2141" s="694" t="s">
        <v>18</v>
      </c>
      <c r="B2141" s="690">
        <v>0.68</v>
      </c>
      <c r="C2141" s="326">
        <v>0.73</v>
      </c>
      <c r="D2141" s="326">
        <v>0.8</v>
      </c>
      <c r="E2141" s="327">
        <v>0.62</v>
      </c>
      <c r="F2141" s="328">
        <v>0.73</v>
      </c>
      <c r="G2141" s="327">
        <v>0.68</v>
      </c>
      <c r="H2141" s="327">
        <v>0.7</v>
      </c>
      <c r="I2141" s="30">
        <f>I2148/I2153</f>
        <v>0.70581644310862701</v>
      </c>
      <c r="J2141" s="648">
        <f>J2148/J2153</f>
        <v>0.7058164431086269</v>
      </c>
    </row>
    <row r="2142" spans="1:10" x14ac:dyDescent="0.25">
      <c r="A2142" s="694" t="s">
        <v>19</v>
      </c>
      <c r="B2142" s="690">
        <v>0.02</v>
      </c>
      <c r="C2142" s="326">
        <v>0.01</v>
      </c>
      <c r="D2142" s="326">
        <v>0</v>
      </c>
      <c r="E2142" s="327">
        <v>0.03</v>
      </c>
      <c r="F2142" s="327">
        <v>0.02</v>
      </c>
      <c r="G2142" s="327">
        <v>0.03</v>
      </c>
      <c r="H2142" s="327">
        <v>0.04</v>
      </c>
      <c r="I2142" s="30">
        <f>I2149/I2153</f>
        <v>2.4903631900622711E-2</v>
      </c>
      <c r="J2142" s="648">
        <f>J2149/J2153</f>
        <v>2.4903631900622707E-2</v>
      </c>
    </row>
    <row r="2143" spans="1:10" x14ac:dyDescent="0.25">
      <c r="A2143" s="694" t="s">
        <v>20</v>
      </c>
      <c r="B2143" s="690">
        <v>0.2</v>
      </c>
      <c r="C2143" s="326">
        <v>0.2</v>
      </c>
      <c r="D2143" s="326">
        <v>0.17</v>
      </c>
      <c r="E2143" s="327">
        <v>0.27</v>
      </c>
      <c r="F2143" s="329">
        <v>0.16</v>
      </c>
      <c r="G2143" s="327">
        <v>0.22</v>
      </c>
      <c r="H2143" s="327">
        <v>0.2</v>
      </c>
      <c r="I2143" s="30">
        <f>I2150/I2153</f>
        <v>0.19933452206549504</v>
      </c>
      <c r="J2143" s="648">
        <f>J2150/J2153</f>
        <v>0.19933452206549504</v>
      </c>
    </row>
    <row r="2144" spans="1:10" x14ac:dyDescent="0.25">
      <c r="A2144" s="694" t="s">
        <v>21</v>
      </c>
      <c r="B2144" s="690">
        <v>0.1</v>
      </c>
      <c r="C2144" s="326">
        <v>0.06</v>
      </c>
      <c r="D2144" s="326">
        <v>0.01</v>
      </c>
      <c r="E2144" s="327">
        <v>0.08</v>
      </c>
      <c r="F2144" s="329">
        <v>0.09</v>
      </c>
      <c r="G2144" s="327">
        <v>7.0000000000000007E-2</v>
      </c>
      <c r="H2144" s="327">
        <v>0.06</v>
      </c>
      <c r="I2144" s="30">
        <f>I2151/I2153</f>
        <v>6.7946817127323547E-2</v>
      </c>
      <c r="J2144" s="648">
        <f>J2151/J2153</f>
        <v>6.7946817127323547E-2</v>
      </c>
    </row>
    <row r="2145" spans="1:10" x14ac:dyDescent="0.25">
      <c r="A2145" s="694" t="s">
        <v>22</v>
      </c>
      <c r="B2145" s="690">
        <v>0</v>
      </c>
      <c r="C2145" s="326">
        <v>0</v>
      </c>
      <c r="D2145" s="326">
        <v>0.02</v>
      </c>
      <c r="E2145" s="327">
        <v>0</v>
      </c>
      <c r="F2145" s="329">
        <v>0</v>
      </c>
      <c r="G2145" s="327">
        <v>0</v>
      </c>
      <c r="H2145" s="327">
        <v>0</v>
      </c>
      <c r="I2145" s="30">
        <f>I2152/I2153</f>
        <v>1.9985857979317439E-3</v>
      </c>
      <c r="J2145" s="648">
        <f>J2152/J2153</f>
        <v>1.9985857979317439E-3</v>
      </c>
    </row>
    <row r="2146" spans="1:10" x14ac:dyDescent="0.25">
      <c r="A2146" s="696" t="s">
        <v>23</v>
      </c>
      <c r="B2146" s="164">
        <f t="shared" ref="B2146:J2146" si="1016">B2157/B2140</f>
        <v>33063.768115942032</v>
      </c>
      <c r="C2146" s="66">
        <f t="shared" si="1016"/>
        <v>33793.258426966291</v>
      </c>
      <c r="D2146" s="66">
        <f t="shared" si="1016"/>
        <v>34594.400000000001</v>
      </c>
      <c r="E2146" s="66">
        <f t="shared" si="1016"/>
        <v>30681.188118811886</v>
      </c>
      <c r="F2146" s="66">
        <f t="shared" si="1016"/>
        <v>36597.211155378485</v>
      </c>
      <c r="G2146" s="66">
        <f t="shared" si="1016"/>
        <v>37715.4078549849</v>
      </c>
      <c r="H2146" s="66">
        <f t="shared" si="1016"/>
        <v>35279.583333333336</v>
      </c>
      <c r="I2146" s="66">
        <f t="shared" si="1016"/>
        <v>35529.767827529031</v>
      </c>
      <c r="J2146" s="701">
        <f t="shared" si="1016"/>
        <v>35529.767827529031</v>
      </c>
    </row>
    <row r="2147" spans="1:10" x14ac:dyDescent="0.25">
      <c r="A2147" s="696" t="s">
        <v>24</v>
      </c>
      <c r="B2147" s="164">
        <f t="shared" ref="B2147:I2147" si="1017">+B2157/B2134</f>
        <v>28165.432098765432</v>
      </c>
      <c r="C2147" s="66">
        <f t="shared" si="1017"/>
        <v>28919.23076923077</v>
      </c>
      <c r="D2147" s="66">
        <f t="shared" si="1017"/>
        <v>29822.758620689656</v>
      </c>
      <c r="E2147" s="66">
        <f t="shared" si="1017"/>
        <v>28429.357798165143</v>
      </c>
      <c r="F2147" s="66">
        <f t="shared" si="1017"/>
        <v>29824.35064935065</v>
      </c>
      <c r="G2147" s="66">
        <f t="shared" si="1017"/>
        <v>29794.272076372319</v>
      </c>
      <c r="H2147" s="66">
        <f t="shared" si="1017"/>
        <v>28605.067567567567</v>
      </c>
      <c r="I2147" s="66">
        <f t="shared" si="1017"/>
        <v>29308.413132694943</v>
      </c>
      <c r="J2147" s="701">
        <f>J2157/J2134</f>
        <v>29308.413132694946</v>
      </c>
    </row>
    <row r="2148" spans="1:10" x14ac:dyDescent="0.25">
      <c r="A2148" s="694" t="s">
        <v>25</v>
      </c>
      <c r="B2148" s="300">
        <f t="shared" ref="B2148:H2148" si="1018">B2153*B2141</f>
        <v>1273353.1337931037</v>
      </c>
      <c r="C2148" s="92">
        <f t="shared" si="1018"/>
        <v>1783456.1531034482</v>
      </c>
      <c r="D2148" s="92">
        <f t="shared" si="1018"/>
        <v>2800743.0620689658</v>
      </c>
      <c r="E2148" s="92">
        <f t="shared" si="1018"/>
        <v>1569447.7324137932</v>
      </c>
      <c r="F2148" s="92">
        <f t="shared" si="1018"/>
        <v>5484728.9365517246</v>
      </c>
      <c r="G2148" s="31">
        <f t="shared" si="1018"/>
        <v>6971728.9351724153</v>
      </c>
      <c r="H2148" s="31">
        <f t="shared" si="1018"/>
        <v>4844158.296551724</v>
      </c>
      <c r="I2148" s="31">
        <f>SUM(B2148:H2148)</f>
        <v>24727616.249655176</v>
      </c>
      <c r="J2148" s="702">
        <f t="shared" ref="J2148:J2157" si="1019">I2148/7</f>
        <v>3532516.6070935964</v>
      </c>
    </row>
    <row r="2149" spans="1:10" x14ac:dyDescent="0.25">
      <c r="A2149" s="694" t="s">
        <v>26</v>
      </c>
      <c r="B2149" s="300">
        <f t="shared" ref="B2149:H2149" si="1020">B2153*B2142</f>
        <v>37451.562758620697</v>
      </c>
      <c r="C2149" s="92">
        <f t="shared" si="1020"/>
        <v>24430.906206896554</v>
      </c>
      <c r="D2149" s="92">
        <f t="shared" si="1020"/>
        <v>0</v>
      </c>
      <c r="E2149" s="92">
        <f t="shared" si="1020"/>
        <v>75941.019310344825</v>
      </c>
      <c r="F2149" s="92">
        <f t="shared" si="1020"/>
        <v>150266.54620689657</v>
      </c>
      <c r="G2149" s="31">
        <f t="shared" si="1020"/>
        <v>307576.27655172418</v>
      </c>
      <c r="H2149" s="31">
        <f t="shared" si="1020"/>
        <v>276809.04551724141</v>
      </c>
      <c r="I2149" s="31">
        <f>SUM(B2149:H2149)</f>
        <v>872475.35655172425</v>
      </c>
      <c r="J2149" s="702">
        <f t="shared" si="1019"/>
        <v>124639.33665024632</v>
      </c>
    </row>
    <row r="2150" spans="1:10" x14ac:dyDescent="0.25">
      <c r="A2150" s="694" t="s">
        <v>27</v>
      </c>
      <c r="B2150" s="300">
        <f t="shared" ref="B2150:H2150" si="1021">B2153*B2143</f>
        <v>374515.62758620695</v>
      </c>
      <c r="C2150" s="92">
        <f t="shared" si="1021"/>
        <v>488618.12413793104</v>
      </c>
      <c r="D2150" s="92">
        <f t="shared" si="1021"/>
        <v>595157.90068965522</v>
      </c>
      <c r="E2150" s="92">
        <f t="shared" si="1021"/>
        <v>683469.17379310355</v>
      </c>
      <c r="F2150" s="92">
        <f t="shared" si="1021"/>
        <v>1202132.3696551726</v>
      </c>
      <c r="G2150" s="31">
        <f t="shared" si="1021"/>
        <v>2255559.361379311</v>
      </c>
      <c r="H2150" s="31">
        <f t="shared" si="1021"/>
        <v>1384045.227586207</v>
      </c>
      <c r="I2150" s="31">
        <f>SUM(B2150:H2150)</f>
        <v>6983497.7848275872</v>
      </c>
      <c r="J2150" s="702">
        <f t="shared" si="1019"/>
        <v>997642.54068965535</v>
      </c>
    </row>
    <row r="2151" spans="1:10" x14ac:dyDescent="0.25">
      <c r="A2151" s="694" t="s">
        <v>28</v>
      </c>
      <c r="B2151" s="300">
        <f t="shared" ref="B2151:H2151" si="1022">B2153*B2144</f>
        <v>187257.81379310347</v>
      </c>
      <c r="C2151" s="92">
        <f t="shared" si="1022"/>
        <v>146585.43724137932</v>
      </c>
      <c r="D2151" s="92">
        <f t="shared" si="1022"/>
        <v>35009.288275862069</v>
      </c>
      <c r="E2151" s="92">
        <f t="shared" si="1022"/>
        <v>202509.38482758624</v>
      </c>
      <c r="F2151" s="92">
        <f t="shared" si="1022"/>
        <v>676199.4579310345</v>
      </c>
      <c r="G2151" s="31">
        <f t="shared" si="1022"/>
        <v>717677.97862068983</v>
      </c>
      <c r="H2151" s="31">
        <f t="shared" si="1022"/>
        <v>415213.56827586208</v>
      </c>
      <c r="I2151" s="31">
        <f>SUM(B2151:H2151)</f>
        <v>2380452.9289655173</v>
      </c>
      <c r="J2151" s="702">
        <f t="shared" si="1019"/>
        <v>340064.70413793105</v>
      </c>
    </row>
    <row r="2152" spans="1:10" x14ac:dyDescent="0.25">
      <c r="A2152" s="694" t="s">
        <v>29</v>
      </c>
      <c r="B2152" s="300">
        <f t="shared" ref="B2152:H2152" si="1023">B2153*B2145</f>
        <v>0</v>
      </c>
      <c r="C2152" s="92">
        <f t="shared" si="1023"/>
        <v>0</v>
      </c>
      <c r="D2152" s="92">
        <f t="shared" si="1023"/>
        <v>70018.576551724138</v>
      </c>
      <c r="E2152" s="92">
        <f t="shared" si="1023"/>
        <v>0</v>
      </c>
      <c r="F2152" s="92">
        <f t="shared" si="1023"/>
        <v>0</v>
      </c>
      <c r="G2152" s="31">
        <f t="shared" si="1023"/>
        <v>0</v>
      </c>
      <c r="H2152" s="31">
        <f t="shared" si="1023"/>
        <v>0</v>
      </c>
      <c r="I2152" s="31">
        <f>SUM(B2152:H2152)</f>
        <v>70018.576551724138</v>
      </c>
      <c r="J2152" s="702">
        <f t="shared" si="1019"/>
        <v>10002.653793103449</v>
      </c>
    </row>
    <row r="2153" spans="1:10" x14ac:dyDescent="0.25">
      <c r="A2153" s="697" t="s">
        <v>30</v>
      </c>
      <c r="B2153" s="691">
        <f>(2281400/1.16)-B2154</f>
        <v>1872578.1379310347</v>
      </c>
      <c r="C2153" s="691">
        <f>(3007600/1.16)-C2154</f>
        <v>2443090.6206896552</v>
      </c>
      <c r="D2153" s="691">
        <f>(4324300/1.16)-D2154</f>
        <v>3500928.8275862071</v>
      </c>
      <c r="E2153" s="691">
        <f>(3098800/1.16)-E2154</f>
        <v>2531367.3103448278</v>
      </c>
      <c r="F2153" s="691">
        <f>(9185900/1.16)-F2154</f>
        <v>7513327.3103448283</v>
      </c>
      <c r="G2153" s="691">
        <f>(12483800/1.16)-G2154</f>
        <v>10252542.55172414</v>
      </c>
      <c r="H2153" s="691">
        <f>(8467100/1.16)-H2154</f>
        <v>6920226.1379310349</v>
      </c>
      <c r="I2153" s="197">
        <f>SUM(I2148:I2152)</f>
        <v>35034060.896551728</v>
      </c>
      <c r="J2153" s="703">
        <f t="shared" si="1019"/>
        <v>5004865.8423645329</v>
      </c>
    </row>
    <row r="2154" spans="1:10" x14ac:dyDescent="0.25">
      <c r="A2154" s="694" t="s">
        <v>31</v>
      </c>
      <c r="B2154" s="300">
        <f t="shared" ref="B2154:I2154" si="1024">2414*B2135</f>
        <v>94146</v>
      </c>
      <c r="C2154" s="92">
        <f t="shared" si="1024"/>
        <v>149668</v>
      </c>
      <c r="D2154" s="92">
        <f t="shared" si="1024"/>
        <v>226916</v>
      </c>
      <c r="E2154" s="92">
        <f t="shared" si="1024"/>
        <v>140012</v>
      </c>
      <c r="F2154" s="92">
        <f t="shared" si="1024"/>
        <v>405552</v>
      </c>
      <c r="G2154" s="92">
        <f t="shared" si="1024"/>
        <v>509354</v>
      </c>
      <c r="H2154" s="92">
        <f t="shared" si="1024"/>
        <v>378998</v>
      </c>
      <c r="I2154" s="31">
        <f t="shared" si="1024"/>
        <v>1904646</v>
      </c>
      <c r="J2154" s="702">
        <f t="shared" si="1019"/>
        <v>272092.28571428574</v>
      </c>
    </row>
    <row r="2155" spans="1:10" x14ac:dyDescent="0.25">
      <c r="A2155" s="698" t="s">
        <v>32</v>
      </c>
      <c r="B2155" s="342">
        <f>B2154+B2153</f>
        <v>1966724.1379310347</v>
      </c>
      <c r="C2155" s="199">
        <f>C2154+C2153</f>
        <v>2592758.6206896552</v>
      </c>
      <c r="D2155" s="199">
        <f>D2154+D2153</f>
        <v>3727844.8275862071</v>
      </c>
      <c r="E2155" s="199">
        <f>E2154+E2153</f>
        <v>2671379.3103448278</v>
      </c>
      <c r="F2155" s="199">
        <f>F2153+F2154</f>
        <v>7918879.3103448283</v>
      </c>
      <c r="G2155" s="199">
        <f>G2154+G2153</f>
        <v>10761896.55172414</v>
      </c>
      <c r="H2155" s="199">
        <f>H2154+H2153</f>
        <v>7299224.1379310349</v>
      </c>
      <c r="I2155" s="199">
        <f>I2153+I2154</f>
        <v>36938706.896551728</v>
      </c>
      <c r="J2155" s="704">
        <f t="shared" si="1019"/>
        <v>5276958.1280788183</v>
      </c>
    </row>
    <row r="2156" spans="1:10" x14ac:dyDescent="0.25">
      <c r="A2156" s="694" t="s">
        <v>33</v>
      </c>
      <c r="B2156" s="302">
        <f>B2155*16%</f>
        <v>314675.86206896557</v>
      </c>
      <c r="C2156" s="94">
        <f t="shared" ref="C2156:H2156" si="1025">C2155*16%</f>
        <v>414841.37931034481</v>
      </c>
      <c r="D2156" s="94">
        <f t="shared" si="1025"/>
        <v>596455.17241379316</v>
      </c>
      <c r="E2156" s="94">
        <f t="shared" si="1025"/>
        <v>427420.68965517246</v>
      </c>
      <c r="F2156" s="94">
        <f t="shared" si="1025"/>
        <v>1267020.6896551726</v>
      </c>
      <c r="G2156" s="94">
        <f t="shared" si="1025"/>
        <v>1721903.4482758623</v>
      </c>
      <c r="H2156" s="94">
        <f t="shared" si="1025"/>
        <v>1167875.8620689656</v>
      </c>
      <c r="I2156" s="94">
        <f>I2155*16%</f>
        <v>5910193.1034482764</v>
      </c>
      <c r="J2156" s="702">
        <f t="shared" si="1019"/>
        <v>844313.3004926109</v>
      </c>
    </row>
    <row r="2157" spans="1:10" ht="15.75" thickBot="1" x14ac:dyDescent="0.3">
      <c r="A2157" s="699" t="s">
        <v>34</v>
      </c>
      <c r="B2157" s="708">
        <f>B2155+B2156</f>
        <v>2281400</v>
      </c>
      <c r="C2157" s="656">
        <f t="shared" ref="C2157:H2157" si="1026">C2155+C2156</f>
        <v>3007600</v>
      </c>
      <c r="D2157" s="656">
        <f t="shared" si="1026"/>
        <v>4324300</v>
      </c>
      <c r="E2157" s="656">
        <f t="shared" si="1026"/>
        <v>3098800.0000000005</v>
      </c>
      <c r="F2157" s="656">
        <f t="shared" si="1026"/>
        <v>9185900</v>
      </c>
      <c r="G2157" s="656">
        <f t="shared" si="1026"/>
        <v>12483800.000000002</v>
      </c>
      <c r="H2157" s="656">
        <f t="shared" si="1026"/>
        <v>8467100</v>
      </c>
      <c r="I2157" s="656">
        <f>I2155+I2156</f>
        <v>42848900.000000007</v>
      </c>
      <c r="J2157" s="705">
        <f t="shared" si="1019"/>
        <v>6121271.42857143</v>
      </c>
    </row>
    <row r="2158" spans="1:10" ht="15.75" thickBot="1" x14ac:dyDescent="0.3"/>
    <row r="2159" spans="1:10" ht="27" thickBot="1" x14ac:dyDescent="0.3">
      <c r="B2159" s="1007" t="s">
        <v>678</v>
      </c>
      <c r="C2159" s="1007"/>
      <c r="D2159" s="1007"/>
      <c r="E2159" s="1007"/>
      <c r="F2159" s="1007"/>
      <c r="G2159" s="1007"/>
      <c r="H2159" s="1007"/>
    </row>
    <row r="2160" spans="1:10" ht="15.75" x14ac:dyDescent="0.25">
      <c r="A2160" s="709" t="s">
        <v>2</v>
      </c>
      <c r="B2160" s="706" t="s">
        <v>329</v>
      </c>
      <c r="C2160" s="617" t="s">
        <v>330</v>
      </c>
      <c r="D2160" s="617" t="s">
        <v>331</v>
      </c>
      <c r="E2160" s="617" t="s">
        <v>332</v>
      </c>
      <c r="F2160" s="617" t="s">
        <v>333</v>
      </c>
      <c r="G2160" s="617" t="s">
        <v>334</v>
      </c>
      <c r="H2160" s="617" t="s">
        <v>335</v>
      </c>
      <c r="I2160" s="641" t="s">
        <v>96</v>
      </c>
      <c r="J2160" s="642" t="s">
        <v>97</v>
      </c>
    </row>
    <row r="2161" spans="1:10" x14ac:dyDescent="0.25">
      <c r="A2161" s="710" t="s">
        <v>11</v>
      </c>
      <c r="B2161" s="56">
        <f>45+27+10</f>
        <v>82</v>
      </c>
      <c r="C2161" s="673">
        <f>46+39+7</f>
        <v>92</v>
      </c>
      <c r="D2161" s="673">
        <f>46+35+7</f>
        <v>88</v>
      </c>
      <c r="E2161" s="738">
        <f>84+72+25</f>
        <v>181</v>
      </c>
      <c r="F2161" s="738">
        <f>147+129+24</f>
        <v>300</v>
      </c>
      <c r="G2161" s="738">
        <f>208+162+66</f>
        <v>436</v>
      </c>
      <c r="H2161" s="738">
        <f>159+120+40</f>
        <v>319</v>
      </c>
      <c r="I2161" s="741">
        <f>SUM(B2161:H2161)</f>
        <v>1498</v>
      </c>
      <c r="J2161" s="700">
        <f>+I2161/7</f>
        <v>214</v>
      </c>
    </row>
    <row r="2162" spans="1:10" x14ac:dyDescent="0.25">
      <c r="A2162" s="694" t="s">
        <v>12</v>
      </c>
      <c r="B2162" s="689">
        <v>44</v>
      </c>
      <c r="C2162" s="675">
        <v>44</v>
      </c>
      <c r="D2162" s="675">
        <v>40</v>
      </c>
      <c r="E2162" s="734">
        <v>93</v>
      </c>
      <c r="F2162" s="742">
        <v>158</v>
      </c>
      <c r="G2162" s="734">
        <v>231</v>
      </c>
      <c r="H2162" s="734">
        <v>173</v>
      </c>
      <c r="I2162" s="11">
        <f>SUM(CEDRITOS!$B2162:$H2162)</f>
        <v>783</v>
      </c>
      <c r="J2162" s="623">
        <f t="shared" ref="J2162:J2167" si="1027">I2162/7</f>
        <v>111.85714285714286</v>
      </c>
    </row>
    <row r="2163" spans="1:10" x14ac:dyDescent="0.25">
      <c r="A2163" s="694" t="s">
        <v>13</v>
      </c>
      <c r="B2163" s="313">
        <v>1</v>
      </c>
      <c r="C2163" s="13">
        <v>2</v>
      </c>
      <c r="D2163" s="13">
        <v>1</v>
      </c>
      <c r="E2163" s="11">
        <v>1</v>
      </c>
      <c r="F2163" s="125">
        <v>4</v>
      </c>
      <c r="G2163" s="11">
        <v>5</v>
      </c>
      <c r="H2163" s="11">
        <v>6</v>
      </c>
      <c r="I2163" s="11">
        <f>SUM(CEDRITOS!$B2163:$H2163)</f>
        <v>20</v>
      </c>
      <c r="J2163" s="623">
        <f t="shared" si="1027"/>
        <v>2.8571428571428572</v>
      </c>
    </row>
    <row r="2164" spans="1:10" x14ac:dyDescent="0.25">
      <c r="A2164" s="694" t="s">
        <v>14</v>
      </c>
      <c r="B2164" s="313">
        <v>19</v>
      </c>
      <c r="C2164" s="13">
        <v>27</v>
      </c>
      <c r="D2164" s="320">
        <v>22</v>
      </c>
      <c r="E2164" s="11">
        <v>39</v>
      </c>
      <c r="F2164" s="125">
        <v>69</v>
      </c>
      <c r="G2164" s="11">
        <v>81</v>
      </c>
      <c r="H2164" s="11">
        <v>64</v>
      </c>
      <c r="I2164" s="11">
        <f>SUM(CEDRITOS!$B2164:$H2164)</f>
        <v>321</v>
      </c>
      <c r="J2164" s="623">
        <f t="shared" si="1027"/>
        <v>45.857142857142854</v>
      </c>
    </row>
    <row r="2165" spans="1:10" x14ac:dyDescent="0.25">
      <c r="A2165" s="694" t="s">
        <v>15</v>
      </c>
      <c r="B2165" s="313">
        <v>4</v>
      </c>
      <c r="C2165" s="13">
        <v>6</v>
      </c>
      <c r="D2165" s="13">
        <v>10</v>
      </c>
      <c r="E2165" s="11">
        <v>8</v>
      </c>
      <c r="F2165" s="125">
        <v>15</v>
      </c>
      <c r="G2165" s="11">
        <v>19</v>
      </c>
      <c r="H2165" s="11">
        <v>11</v>
      </c>
      <c r="I2165" s="11">
        <f>SUM(CEDRITOS!$B2165:$H2165)</f>
        <v>73</v>
      </c>
      <c r="J2165" s="623">
        <f t="shared" si="1027"/>
        <v>10.428571428571429</v>
      </c>
    </row>
    <row r="2166" spans="1:10" x14ac:dyDescent="0.25">
      <c r="A2166" s="694" t="s">
        <v>16</v>
      </c>
      <c r="B2166" s="313">
        <v>0</v>
      </c>
      <c r="C2166" s="13">
        <v>0</v>
      </c>
      <c r="D2166" s="13">
        <v>2</v>
      </c>
      <c r="E2166" s="11">
        <v>1</v>
      </c>
      <c r="F2166" s="125">
        <v>1</v>
      </c>
      <c r="G2166" s="11">
        <v>1</v>
      </c>
      <c r="H2166" s="11">
        <v>0</v>
      </c>
      <c r="I2166" s="11">
        <f>SUM(CEDRITOS!$B2166:$H2166)</f>
        <v>5</v>
      </c>
      <c r="J2166" s="623">
        <f t="shared" si="1027"/>
        <v>0.7142857142857143</v>
      </c>
    </row>
    <row r="2167" spans="1:10" x14ac:dyDescent="0.25">
      <c r="A2167" s="695" t="s">
        <v>17</v>
      </c>
      <c r="B2167" s="707">
        <f>SUM(B2162:B2166)</f>
        <v>68</v>
      </c>
      <c r="C2167" s="192">
        <f t="shared" ref="C2167:I2167" si="1028">SUM(C2162:C2166)</f>
        <v>79</v>
      </c>
      <c r="D2167" s="192">
        <f t="shared" si="1028"/>
        <v>75</v>
      </c>
      <c r="E2167" s="192">
        <f t="shared" si="1028"/>
        <v>142</v>
      </c>
      <c r="F2167" s="192">
        <f t="shared" si="1028"/>
        <v>247</v>
      </c>
      <c r="G2167" s="192">
        <f t="shared" si="1028"/>
        <v>337</v>
      </c>
      <c r="H2167" s="192">
        <f t="shared" si="1028"/>
        <v>254</v>
      </c>
      <c r="I2167" s="192">
        <f t="shared" si="1028"/>
        <v>1202</v>
      </c>
      <c r="J2167" s="647">
        <f t="shared" si="1027"/>
        <v>171.71428571428572</v>
      </c>
    </row>
    <row r="2168" spans="1:10" x14ac:dyDescent="0.25">
      <c r="A2168" s="694" t="s">
        <v>18</v>
      </c>
      <c r="B2168" s="690">
        <v>0.74</v>
      </c>
      <c r="C2168" s="326">
        <v>0.64</v>
      </c>
      <c r="D2168" s="326">
        <v>0.63</v>
      </c>
      <c r="E2168" s="327">
        <v>0.69</v>
      </c>
      <c r="F2168" s="328">
        <v>0.68</v>
      </c>
      <c r="G2168" s="327">
        <v>0.73</v>
      </c>
      <c r="H2168" s="327">
        <v>0.74</v>
      </c>
      <c r="I2168" s="30">
        <f>I2175/I2180</f>
        <v>0.70588975051453462</v>
      </c>
      <c r="J2168" s="648">
        <f>J2175/J2180</f>
        <v>0.70588975051453462</v>
      </c>
    </row>
    <row r="2169" spans="1:10" x14ac:dyDescent="0.25">
      <c r="A2169" s="694" t="s">
        <v>19</v>
      </c>
      <c r="B2169" s="690">
        <v>0.02</v>
      </c>
      <c r="C2169" s="326">
        <v>0.03</v>
      </c>
      <c r="D2169" s="326">
        <v>0.03</v>
      </c>
      <c r="E2169" s="327">
        <v>0.01</v>
      </c>
      <c r="F2169" s="327">
        <v>0.02</v>
      </c>
      <c r="G2169" s="327">
        <v>0.02</v>
      </c>
      <c r="H2169" s="327">
        <v>0.03</v>
      </c>
      <c r="I2169" s="30">
        <f>I2176/I2180</f>
        <v>2.2096111506563466E-2</v>
      </c>
      <c r="J2169" s="648">
        <f>J2176/J2180</f>
        <v>2.2096111506563466E-2</v>
      </c>
    </row>
    <row r="2170" spans="1:10" x14ac:dyDescent="0.25">
      <c r="A2170" s="694" t="s">
        <v>20</v>
      </c>
      <c r="B2170" s="690">
        <v>0.19</v>
      </c>
      <c r="C2170" s="326">
        <v>0.27</v>
      </c>
      <c r="D2170" s="326">
        <v>0.19</v>
      </c>
      <c r="E2170" s="327">
        <v>0.24</v>
      </c>
      <c r="F2170" s="329">
        <v>0.24</v>
      </c>
      <c r="G2170" s="327">
        <v>0.21</v>
      </c>
      <c r="H2170" s="327">
        <v>0.2</v>
      </c>
      <c r="I2170" s="30">
        <f>I2177/I2180</f>
        <v>0.2194554022966288</v>
      </c>
      <c r="J2170" s="648">
        <f>J2177/J2180</f>
        <v>0.2194554022966288</v>
      </c>
    </row>
    <row r="2171" spans="1:10" x14ac:dyDescent="0.25">
      <c r="A2171" s="694" t="s">
        <v>21</v>
      </c>
      <c r="B2171" s="690">
        <v>0.05</v>
      </c>
      <c r="C2171" s="326">
        <v>0.06</v>
      </c>
      <c r="D2171" s="326">
        <v>0.11</v>
      </c>
      <c r="E2171" s="327">
        <v>0.05</v>
      </c>
      <c r="F2171" s="329">
        <v>0.06</v>
      </c>
      <c r="G2171" s="327">
        <v>0.04</v>
      </c>
      <c r="H2171" s="327">
        <v>0.03</v>
      </c>
      <c r="I2171" s="30">
        <f>I2178/I2180</f>
        <v>4.9065519504756482E-2</v>
      </c>
      <c r="J2171" s="648">
        <f>J2178/J2180</f>
        <v>4.9065519504756482E-2</v>
      </c>
    </row>
    <row r="2172" spans="1:10" x14ac:dyDescent="0.25">
      <c r="A2172" s="694" t="s">
        <v>22</v>
      </c>
      <c r="B2172" s="690">
        <v>0</v>
      </c>
      <c r="C2172" s="326">
        <v>0</v>
      </c>
      <c r="D2172" s="326">
        <v>0.04</v>
      </c>
      <c r="E2172" s="327">
        <v>0.01</v>
      </c>
      <c r="F2172" s="329">
        <v>0</v>
      </c>
      <c r="G2172" s="327">
        <v>0</v>
      </c>
      <c r="H2172" s="327">
        <v>0</v>
      </c>
      <c r="I2172" s="30">
        <f>I2179/I2180</f>
        <v>3.4932161775167699E-3</v>
      </c>
      <c r="J2172" s="648">
        <f>J2179/J2180</f>
        <v>3.4932161775167699E-3</v>
      </c>
    </row>
    <row r="2173" spans="1:10" x14ac:dyDescent="0.25">
      <c r="A2173" s="696" t="s">
        <v>23</v>
      </c>
      <c r="B2173" s="164">
        <f t="shared" ref="B2173:J2173" si="1029">B2184/B2167</f>
        <v>33251.470588235294</v>
      </c>
      <c r="C2173" s="66">
        <f t="shared" si="1029"/>
        <v>35630.379746835446</v>
      </c>
      <c r="D2173" s="66">
        <f t="shared" si="1029"/>
        <v>33212</v>
      </c>
      <c r="E2173" s="66">
        <f t="shared" si="1029"/>
        <v>37265.492957746486</v>
      </c>
      <c r="F2173" s="66">
        <f t="shared" si="1029"/>
        <v>36683.400809716608</v>
      </c>
      <c r="G2173" s="66">
        <f t="shared" si="1029"/>
        <v>37810.979228486649</v>
      </c>
      <c r="H2173" s="66">
        <f t="shared" si="1029"/>
        <v>36118.503937007874</v>
      </c>
      <c r="I2173" s="66">
        <f t="shared" si="1029"/>
        <v>36468.968386023298</v>
      </c>
      <c r="J2173" s="701">
        <f t="shared" si="1029"/>
        <v>36468.968386023291</v>
      </c>
    </row>
    <row r="2174" spans="1:10" x14ac:dyDescent="0.25">
      <c r="A2174" s="696" t="s">
        <v>24</v>
      </c>
      <c r="B2174" s="164">
        <f t="shared" ref="B2174:I2174" si="1030">+B2184/B2161</f>
        <v>27574.390243902439</v>
      </c>
      <c r="C2174" s="66">
        <f t="shared" si="1030"/>
        <v>30595.652173913044</v>
      </c>
      <c r="D2174" s="66">
        <f t="shared" si="1030"/>
        <v>28305.68181818182</v>
      </c>
      <c r="E2174" s="66">
        <f t="shared" si="1030"/>
        <v>29235.911602209952</v>
      </c>
      <c r="F2174" s="66">
        <f t="shared" si="1030"/>
        <v>30202.666666666672</v>
      </c>
      <c r="G2174" s="66">
        <f t="shared" si="1030"/>
        <v>29225.458715596331</v>
      </c>
      <c r="H2174" s="66">
        <f t="shared" si="1030"/>
        <v>28758.934169278997</v>
      </c>
      <c r="I2174" s="66">
        <f t="shared" si="1030"/>
        <v>29262.817089452605</v>
      </c>
      <c r="J2174" s="701">
        <f>J2184/J2161</f>
        <v>29262.817089452605</v>
      </c>
    </row>
    <row r="2175" spans="1:10" x14ac:dyDescent="0.25">
      <c r="A2175" s="694" t="s">
        <v>25</v>
      </c>
      <c r="B2175" s="300">
        <f t="shared" ref="B2175:H2175" si="1031">B2180*B2168</f>
        <v>1363826.0220689657</v>
      </c>
      <c r="C2175" s="92">
        <f t="shared" si="1031"/>
        <v>1485014.863448276</v>
      </c>
      <c r="D2175" s="92">
        <f t="shared" si="1031"/>
        <v>1291983.579310345</v>
      </c>
      <c r="E2175" s="92">
        <f t="shared" si="1031"/>
        <v>2992742.7579310345</v>
      </c>
      <c r="F2175" s="92">
        <f t="shared" si="1031"/>
        <v>5052143.288275863</v>
      </c>
      <c r="G2175" s="31">
        <f t="shared" si="1031"/>
        <v>7611788.3868965516</v>
      </c>
      <c r="H2175" s="31">
        <f t="shared" si="1031"/>
        <v>5543402.8234482761</v>
      </c>
      <c r="I2175" s="31">
        <f>SUM(B2175:H2175)</f>
        <v>25340901.72137931</v>
      </c>
      <c r="J2175" s="702">
        <f t="shared" ref="J2175:J2184" si="1032">I2175/7</f>
        <v>3620128.8173399013</v>
      </c>
    </row>
    <row r="2176" spans="1:10" x14ac:dyDescent="0.25">
      <c r="A2176" s="694" t="s">
        <v>26</v>
      </c>
      <c r="B2176" s="300">
        <f t="shared" ref="B2176:H2176" si="1033">B2180*B2169</f>
        <v>36860.162758620696</v>
      </c>
      <c r="C2176" s="92">
        <f t="shared" si="1033"/>
        <v>69610.071724137932</v>
      </c>
      <c r="D2176" s="92">
        <f t="shared" si="1033"/>
        <v>61523.027586206896</v>
      </c>
      <c r="E2176" s="92">
        <f t="shared" si="1033"/>
        <v>43373.083448275866</v>
      </c>
      <c r="F2176" s="92">
        <f t="shared" si="1033"/>
        <v>148592.44965517244</v>
      </c>
      <c r="G2176" s="31">
        <f t="shared" si="1033"/>
        <v>208542.14758620691</v>
      </c>
      <c r="H2176" s="31">
        <f t="shared" si="1033"/>
        <v>224732.54689655174</v>
      </c>
      <c r="I2176" s="31">
        <f>SUM(B2176:H2176)</f>
        <v>793233.48965517245</v>
      </c>
      <c r="J2176" s="702">
        <f t="shared" si="1032"/>
        <v>113319.06995073892</v>
      </c>
    </row>
    <row r="2177" spans="1:10" x14ac:dyDescent="0.25">
      <c r="A2177" s="694" t="s">
        <v>27</v>
      </c>
      <c r="B2177" s="300">
        <f t="shared" ref="B2177:H2177" si="1034">B2180*B2170</f>
        <v>350171.5462068966</v>
      </c>
      <c r="C2177" s="92">
        <f t="shared" si="1034"/>
        <v>626490.64551724144</v>
      </c>
      <c r="D2177" s="92">
        <f t="shared" si="1034"/>
        <v>389645.84137931035</v>
      </c>
      <c r="E2177" s="92">
        <f t="shared" si="1034"/>
        <v>1040954.0027586208</v>
      </c>
      <c r="F2177" s="92">
        <f t="shared" si="1034"/>
        <v>1783109.3958620692</v>
      </c>
      <c r="G2177" s="31">
        <f t="shared" si="1034"/>
        <v>2189692.5496551725</v>
      </c>
      <c r="H2177" s="31">
        <f t="shared" si="1034"/>
        <v>1498216.9793103449</v>
      </c>
      <c r="I2177" s="31">
        <f>SUM(B2177:H2177)</f>
        <v>7878280.9606896564</v>
      </c>
      <c r="J2177" s="702">
        <f t="shared" si="1032"/>
        <v>1125468.708669951</v>
      </c>
    </row>
    <row r="2178" spans="1:10" x14ac:dyDescent="0.25">
      <c r="A2178" s="694" t="s">
        <v>28</v>
      </c>
      <c r="B2178" s="300">
        <f t="shared" ref="B2178:H2178" si="1035">B2180*B2171</f>
        <v>92150.406896551736</v>
      </c>
      <c r="C2178" s="92">
        <f t="shared" si="1035"/>
        <v>139220.14344827586</v>
      </c>
      <c r="D2178" s="92">
        <f t="shared" si="1035"/>
        <v>225584.43448275863</v>
      </c>
      <c r="E2178" s="92">
        <f t="shared" si="1035"/>
        <v>216865.41724137936</v>
      </c>
      <c r="F2178" s="92">
        <f t="shared" si="1035"/>
        <v>445777.3489655173</v>
      </c>
      <c r="G2178" s="31">
        <f t="shared" si="1035"/>
        <v>417084.29517241381</v>
      </c>
      <c r="H2178" s="31">
        <f t="shared" si="1035"/>
        <v>224732.54689655174</v>
      </c>
      <c r="I2178" s="31">
        <f>SUM(B2178:H2178)</f>
        <v>1761414.5931034484</v>
      </c>
      <c r="J2178" s="702">
        <f t="shared" si="1032"/>
        <v>251630.65615763547</v>
      </c>
    </row>
    <row r="2179" spans="1:10" x14ac:dyDescent="0.25">
      <c r="A2179" s="694" t="s">
        <v>29</v>
      </c>
      <c r="B2179" s="300">
        <f t="shared" ref="B2179:H2179" si="1036">B2180*B2172</f>
        <v>0</v>
      </c>
      <c r="C2179" s="92">
        <f t="shared" si="1036"/>
        <v>0</v>
      </c>
      <c r="D2179" s="92">
        <f t="shared" si="1036"/>
        <v>82030.703448275875</v>
      </c>
      <c r="E2179" s="92">
        <f t="shared" si="1036"/>
        <v>43373.083448275866</v>
      </c>
      <c r="F2179" s="92">
        <f t="shared" si="1036"/>
        <v>0</v>
      </c>
      <c r="G2179" s="31">
        <f t="shared" si="1036"/>
        <v>0</v>
      </c>
      <c r="H2179" s="31">
        <f t="shared" si="1036"/>
        <v>0</v>
      </c>
      <c r="I2179" s="31">
        <f>SUM(B2179:H2179)</f>
        <v>125403.78689655174</v>
      </c>
      <c r="J2179" s="702">
        <f t="shared" si="1032"/>
        <v>17914.82669950739</v>
      </c>
    </row>
    <row r="2180" spans="1:10" x14ac:dyDescent="0.25">
      <c r="A2180" s="697" t="s">
        <v>30</v>
      </c>
      <c r="B2180" s="691">
        <f>(2261100/1.16)-B2181</f>
        <v>1843008.1379310347</v>
      </c>
      <c r="C2180" s="691">
        <f>(2814800/1.16)-C2181</f>
        <v>2320335.7241379311</v>
      </c>
      <c r="D2180" s="691">
        <f>(2490900/1.16)-D2181</f>
        <v>2050767.5862068967</v>
      </c>
      <c r="E2180" s="691">
        <f>(5291700/1.16)-E2181</f>
        <v>4337308.3448275868</v>
      </c>
      <c r="F2180" s="691">
        <f>(9060800/1.16)-F2181</f>
        <v>7429622.4827586217</v>
      </c>
      <c r="G2180" s="691">
        <f>(12742300/1.16)-G2181</f>
        <v>10427107.379310345</v>
      </c>
      <c r="H2180" s="691">
        <f>(9174100/1.16)-H2181</f>
        <v>7491084.8965517245</v>
      </c>
      <c r="I2180" s="197">
        <f>SUM(I2175:I2179)</f>
        <v>35899234.551724136</v>
      </c>
      <c r="J2180" s="703">
        <f t="shared" si="1032"/>
        <v>5128462.0788177336</v>
      </c>
    </row>
    <row r="2181" spans="1:10" x14ac:dyDescent="0.25">
      <c r="A2181" s="694" t="s">
        <v>31</v>
      </c>
      <c r="B2181" s="300">
        <f t="shared" ref="B2181:I2181" si="1037">2414*B2162</f>
        <v>106216</v>
      </c>
      <c r="C2181" s="92">
        <f t="shared" si="1037"/>
        <v>106216</v>
      </c>
      <c r="D2181" s="92">
        <f t="shared" si="1037"/>
        <v>96560</v>
      </c>
      <c r="E2181" s="92">
        <f t="shared" si="1037"/>
        <v>224502</v>
      </c>
      <c r="F2181" s="92">
        <f t="shared" si="1037"/>
        <v>381412</v>
      </c>
      <c r="G2181" s="92">
        <f t="shared" si="1037"/>
        <v>557634</v>
      </c>
      <c r="H2181" s="92">
        <f t="shared" si="1037"/>
        <v>417622</v>
      </c>
      <c r="I2181" s="31">
        <f t="shared" si="1037"/>
        <v>1890162</v>
      </c>
      <c r="J2181" s="702">
        <f>+J2162*2414</f>
        <v>270023.14285714284</v>
      </c>
    </row>
    <row r="2182" spans="1:10" x14ac:dyDescent="0.25">
      <c r="A2182" s="698" t="s">
        <v>32</v>
      </c>
      <c r="B2182" s="342">
        <f>B2181+B2180</f>
        <v>1949224.1379310347</v>
      </c>
      <c r="C2182" s="199">
        <f>C2181+C2180</f>
        <v>2426551.7241379311</v>
      </c>
      <c r="D2182" s="199">
        <f>D2181+D2180</f>
        <v>2147327.5862068967</v>
      </c>
      <c r="E2182" s="199">
        <f>E2181+E2180</f>
        <v>4561810.3448275868</v>
      </c>
      <c r="F2182" s="199">
        <f>F2180+F2181</f>
        <v>7811034.4827586217</v>
      </c>
      <c r="G2182" s="199">
        <f>G2181+G2180</f>
        <v>10984741.379310345</v>
      </c>
      <c r="H2182" s="199">
        <f>H2181+H2180</f>
        <v>7908706.8965517245</v>
      </c>
      <c r="I2182" s="199">
        <f>I2180+I2181</f>
        <v>37789396.551724136</v>
      </c>
      <c r="J2182" s="704">
        <f t="shared" si="1032"/>
        <v>5398485.2216748763</v>
      </c>
    </row>
    <row r="2183" spans="1:10" x14ac:dyDescent="0.25">
      <c r="A2183" s="694" t="s">
        <v>33</v>
      </c>
      <c r="B2183" s="302">
        <f>B2182*16%</f>
        <v>311875.86206896557</v>
      </c>
      <c r="C2183" s="94">
        <f t="shared" ref="C2183:H2183" si="1038">C2182*16%</f>
        <v>388248.27586206899</v>
      </c>
      <c r="D2183" s="94">
        <f t="shared" si="1038"/>
        <v>343572.41379310348</v>
      </c>
      <c r="E2183" s="94">
        <f t="shared" si="1038"/>
        <v>729889.65517241391</v>
      </c>
      <c r="F2183" s="94">
        <f t="shared" si="1038"/>
        <v>1249765.5172413795</v>
      </c>
      <c r="G2183" s="94">
        <f t="shared" si="1038"/>
        <v>1757558.6206896552</v>
      </c>
      <c r="H2183" s="94">
        <f t="shared" si="1038"/>
        <v>1265393.1034482759</v>
      </c>
      <c r="I2183" s="94">
        <f>I2182*16%</f>
        <v>6046303.4482758623</v>
      </c>
      <c r="J2183" s="702">
        <f t="shared" si="1032"/>
        <v>863757.63546798029</v>
      </c>
    </row>
    <row r="2184" spans="1:10" ht="15.75" thickBot="1" x14ac:dyDescent="0.3">
      <c r="A2184" s="699" t="s">
        <v>34</v>
      </c>
      <c r="B2184" s="708">
        <f>B2182+B2183</f>
        <v>2261100</v>
      </c>
      <c r="C2184" s="656">
        <f t="shared" ref="C2184:H2184" si="1039">C2182+C2183</f>
        <v>2814800</v>
      </c>
      <c r="D2184" s="656">
        <f t="shared" si="1039"/>
        <v>2490900</v>
      </c>
      <c r="E2184" s="656">
        <f t="shared" si="1039"/>
        <v>5291700.0000000009</v>
      </c>
      <c r="F2184" s="656">
        <f t="shared" si="1039"/>
        <v>9060800.0000000019</v>
      </c>
      <c r="G2184" s="656">
        <f t="shared" si="1039"/>
        <v>12742300</v>
      </c>
      <c r="H2184" s="656">
        <f t="shared" si="1039"/>
        <v>9174100</v>
      </c>
      <c r="I2184" s="656">
        <f>I2182+I2183</f>
        <v>43835700</v>
      </c>
      <c r="J2184" s="705">
        <f t="shared" si="1032"/>
        <v>6262242.8571428573</v>
      </c>
    </row>
    <row r="2185" spans="1:10" ht="15.75" thickBot="1" x14ac:dyDescent="0.3"/>
    <row r="2186" spans="1:10" ht="27" thickBot="1" x14ac:dyDescent="0.3">
      <c r="B2186" s="1007" t="s">
        <v>681</v>
      </c>
      <c r="C2186" s="1007"/>
      <c r="D2186" s="1007"/>
      <c r="E2186" s="1007"/>
      <c r="F2186" s="1007"/>
      <c r="G2186" s="1007"/>
      <c r="H2186" s="1007"/>
    </row>
    <row r="2187" spans="1:10" ht="15.75" x14ac:dyDescent="0.25">
      <c r="A2187" s="709" t="s">
        <v>2</v>
      </c>
      <c r="B2187" s="706" t="s">
        <v>337</v>
      </c>
      <c r="C2187" s="617" t="s">
        <v>338</v>
      </c>
      <c r="D2187" s="617" t="s">
        <v>339</v>
      </c>
      <c r="E2187" s="617" t="s">
        <v>340</v>
      </c>
      <c r="F2187" s="617" t="s">
        <v>341</v>
      </c>
      <c r="G2187" s="617" t="s">
        <v>342</v>
      </c>
      <c r="H2187" s="617" t="s">
        <v>343</v>
      </c>
      <c r="I2187" s="641" t="s">
        <v>96</v>
      </c>
      <c r="J2187" s="642" t="s">
        <v>97</v>
      </c>
    </row>
    <row r="2188" spans="1:10" x14ac:dyDescent="0.25">
      <c r="A2188" s="710" t="s">
        <v>11</v>
      </c>
      <c r="B2188" s="56">
        <f>50+39+12</f>
        <v>101</v>
      </c>
      <c r="C2188" s="673">
        <f>59+35+14</f>
        <v>108</v>
      </c>
      <c r="D2188" s="673">
        <f>63+36+14</f>
        <v>113</v>
      </c>
      <c r="E2188" s="738">
        <f>66+42+18</f>
        <v>126</v>
      </c>
      <c r="F2188" s="738">
        <f>142+125+22</f>
        <v>289</v>
      </c>
      <c r="G2188" s="738">
        <f>166+142+43</f>
        <v>351</v>
      </c>
      <c r="H2188" s="738">
        <f>134+127+46</f>
        <v>307</v>
      </c>
      <c r="I2188" s="741">
        <f>SUM(B2188:H2188)</f>
        <v>1395</v>
      </c>
      <c r="J2188" s="700">
        <f>+I2188/7</f>
        <v>199.28571428571428</v>
      </c>
    </row>
    <row r="2189" spans="1:10" x14ac:dyDescent="0.25">
      <c r="A2189" s="694" t="s">
        <v>12</v>
      </c>
      <c r="B2189" s="689">
        <v>53</v>
      </c>
      <c r="C2189" s="675">
        <v>50</v>
      </c>
      <c r="D2189" s="675">
        <v>56</v>
      </c>
      <c r="E2189" s="734">
        <v>66</v>
      </c>
      <c r="F2189" s="742">
        <v>160</v>
      </c>
      <c r="G2189" s="734">
        <v>184</v>
      </c>
      <c r="H2189" s="734">
        <v>164</v>
      </c>
      <c r="I2189" s="11">
        <f>SUM(CEDRITOS!$B2189:$H2189)</f>
        <v>733</v>
      </c>
      <c r="J2189" s="623">
        <f t="shared" ref="J2189:J2194" si="1040">I2189/7</f>
        <v>104.71428571428571</v>
      </c>
    </row>
    <row r="2190" spans="1:10" x14ac:dyDescent="0.25">
      <c r="A2190" s="694" t="s">
        <v>13</v>
      </c>
      <c r="B2190" s="313">
        <v>1</v>
      </c>
      <c r="C2190" s="13">
        <v>1</v>
      </c>
      <c r="D2190" s="13">
        <v>3</v>
      </c>
      <c r="E2190" s="11">
        <v>3</v>
      </c>
      <c r="F2190" s="125">
        <v>3</v>
      </c>
      <c r="G2190" s="11">
        <v>4</v>
      </c>
      <c r="H2190" s="11">
        <v>3</v>
      </c>
      <c r="I2190" s="11">
        <f>SUM(CEDRITOS!$B2190:$H2190)</f>
        <v>18</v>
      </c>
      <c r="J2190" s="623">
        <f t="shared" si="1040"/>
        <v>2.5714285714285716</v>
      </c>
    </row>
    <row r="2191" spans="1:10" x14ac:dyDescent="0.25">
      <c r="A2191" s="694" t="s">
        <v>14</v>
      </c>
      <c r="B2191" s="313">
        <v>19</v>
      </c>
      <c r="C2191" s="13">
        <v>33</v>
      </c>
      <c r="D2191" s="320">
        <v>33</v>
      </c>
      <c r="E2191" s="11">
        <v>18</v>
      </c>
      <c r="F2191" s="125">
        <v>65</v>
      </c>
      <c r="G2191" s="11">
        <v>65</v>
      </c>
      <c r="H2191" s="11">
        <v>58</v>
      </c>
      <c r="I2191" s="11">
        <f>SUM(CEDRITOS!$B2191:$H2191)</f>
        <v>291</v>
      </c>
      <c r="J2191" s="623">
        <f t="shared" si="1040"/>
        <v>41.571428571428569</v>
      </c>
    </row>
    <row r="2192" spans="1:10" x14ac:dyDescent="0.25">
      <c r="A2192" s="694" t="s">
        <v>15</v>
      </c>
      <c r="B2192" s="313">
        <v>3</v>
      </c>
      <c r="C2192" s="13">
        <v>3</v>
      </c>
      <c r="D2192" s="13">
        <v>3</v>
      </c>
      <c r="E2192" s="11">
        <v>12</v>
      </c>
      <c r="F2192" s="125">
        <v>15</v>
      </c>
      <c r="G2192" s="11">
        <v>32</v>
      </c>
      <c r="H2192" s="11">
        <v>10</v>
      </c>
      <c r="I2192" s="11">
        <f>SUM(CEDRITOS!$B2192:$H2192)</f>
        <v>78</v>
      </c>
      <c r="J2192" s="623">
        <f t="shared" si="1040"/>
        <v>11.142857142857142</v>
      </c>
    </row>
    <row r="2193" spans="1:10" x14ac:dyDescent="0.25">
      <c r="A2193" s="694" t="s">
        <v>16</v>
      </c>
      <c r="B2193" s="313">
        <v>0</v>
      </c>
      <c r="C2193" s="13">
        <v>0</v>
      </c>
      <c r="D2193" s="13">
        <v>1</v>
      </c>
      <c r="E2193" s="11">
        <v>0</v>
      </c>
      <c r="F2193" s="125">
        <v>0</v>
      </c>
      <c r="G2193" s="11">
        <v>1</v>
      </c>
      <c r="H2193" s="11">
        <v>0</v>
      </c>
      <c r="I2193" s="11">
        <f>SUM(CEDRITOS!$B2193:$H2193)</f>
        <v>2</v>
      </c>
      <c r="J2193" s="623">
        <f t="shared" si="1040"/>
        <v>0.2857142857142857</v>
      </c>
    </row>
    <row r="2194" spans="1:10" x14ac:dyDescent="0.25">
      <c r="A2194" s="695" t="s">
        <v>17</v>
      </c>
      <c r="B2194" s="707">
        <f>SUM(B2189:B2193)</f>
        <v>76</v>
      </c>
      <c r="C2194" s="192">
        <f t="shared" ref="C2194:I2194" si="1041">SUM(C2189:C2193)</f>
        <v>87</v>
      </c>
      <c r="D2194" s="192">
        <f t="shared" si="1041"/>
        <v>96</v>
      </c>
      <c r="E2194" s="192">
        <f t="shared" si="1041"/>
        <v>99</v>
      </c>
      <c r="F2194" s="192">
        <f t="shared" si="1041"/>
        <v>243</v>
      </c>
      <c r="G2194" s="192">
        <f t="shared" si="1041"/>
        <v>286</v>
      </c>
      <c r="H2194" s="192">
        <f t="shared" si="1041"/>
        <v>235</v>
      </c>
      <c r="I2194" s="192">
        <f t="shared" si="1041"/>
        <v>1122</v>
      </c>
      <c r="J2194" s="647">
        <f t="shared" si="1040"/>
        <v>160.28571428571428</v>
      </c>
    </row>
    <row r="2195" spans="1:10" x14ac:dyDescent="0.25">
      <c r="A2195" s="694" t="s">
        <v>18</v>
      </c>
      <c r="B2195" s="690">
        <v>0.73</v>
      </c>
      <c r="C2195" s="326">
        <v>0.61</v>
      </c>
      <c r="D2195" s="326">
        <v>0.66</v>
      </c>
      <c r="E2195" s="327">
        <v>0.69</v>
      </c>
      <c r="F2195" s="328">
        <v>0.71</v>
      </c>
      <c r="G2195" s="327">
        <v>0.69</v>
      </c>
      <c r="H2195" s="327">
        <v>0.72</v>
      </c>
      <c r="I2195" s="30">
        <f>I2202/I2207</f>
        <v>0.69530554674448097</v>
      </c>
      <c r="J2195" s="648">
        <f>J2202/J2207</f>
        <v>0.69530554674448097</v>
      </c>
    </row>
    <row r="2196" spans="1:10" x14ac:dyDescent="0.25">
      <c r="A2196" s="694" t="s">
        <v>19</v>
      </c>
      <c r="B2196" s="690">
        <v>0.01</v>
      </c>
      <c r="C2196" s="326">
        <v>0</v>
      </c>
      <c r="D2196" s="326">
        <v>0.02</v>
      </c>
      <c r="E2196" s="327">
        <v>0.03</v>
      </c>
      <c r="F2196" s="327">
        <v>0.01</v>
      </c>
      <c r="G2196" s="327">
        <v>0.02</v>
      </c>
      <c r="H2196" s="327">
        <v>0.01</v>
      </c>
      <c r="I2196" s="30">
        <f>I2203/I2207</f>
        <v>1.4237124766185768E-2</v>
      </c>
      <c r="J2196" s="648">
        <f>J2203/J2207</f>
        <v>1.4237124766185768E-2</v>
      </c>
    </row>
    <row r="2197" spans="1:10" x14ac:dyDescent="0.25">
      <c r="A2197" s="694" t="s">
        <v>20</v>
      </c>
      <c r="B2197" s="690">
        <v>0.22</v>
      </c>
      <c r="C2197" s="326">
        <v>0.35</v>
      </c>
      <c r="D2197" s="326">
        <v>0.27</v>
      </c>
      <c r="E2197" s="327">
        <v>0.15</v>
      </c>
      <c r="F2197" s="329">
        <v>0.22</v>
      </c>
      <c r="G2197" s="327">
        <v>0.19</v>
      </c>
      <c r="H2197" s="327">
        <v>0.23</v>
      </c>
      <c r="I2197" s="30">
        <f>I2204/I2207</f>
        <v>0.22244816340837159</v>
      </c>
      <c r="J2197" s="648">
        <f>J2204/J2207</f>
        <v>0.22244816340837159</v>
      </c>
    </row>
    <row r="2198" spans="1:10" x14ac:dyDescent="0.25">
      <c r="A2198" s="694" t="s">
        <v>21</v>
      </c>
      <c r="B2198" s="690">
        <v>0.04</v>
      </c>
      <c r="C2198" s="326">
        <v>0.04</v>
      </c>
      <c r="D2198" s="326">
        <v>0.03</v>
      </c>
      <c r="E2198" s="327">
        <v>0.13</v>
      </c>
      <c r="F2198" s="329">
        <v>0.06</v>
      </c>
      <c r="G2198" s="327">
        <v>0.1</v>
      </c>
      <c r="H2198" s="327">
        <v>0.04</v>
      </c>
      <c r="I2198" s="30">
        <f>I2205/I2207</f>
        <v>6.6493668000358552E-2</v>
      </c>
      <c r="J2198" s="648">
        <f>J2205/J2207</f>
        <v>6.6493668000358538E-2</v>
      </c>
    </row>
    <row r="2199" spans="1:10" x14ac:dyDescent="0.25">
      <c r="A2199" s="694" t="s">
        <v>22</v>
      </c>
      <c r="B2199" s="690">
        <v>0</v>
      </c>
      <c r="C2199" s="326">
        <v>0</v>
      </c>
      <c r="D2199" s="326">
        <v>0.02</v>
      </c>
      <c r="E2199" s="327">
        <v>0</v>
      </c>
      <c r="F2199" s="329">
        <v>0</v>
      </c>
      <c r="G2199" s="327">
        <v>0</v>
      </c>
      <c r="H2199" s="327">
        <v>0</v>
      </c>
      <c r="I2199" s="30">
        <f>I2206/I2207</f>
        <v>1.515497080603116E-3</v>
      </c>
      <c r="J2199" s="648">
        <f>J2206/J2207</f>
        <v>1.5154970806031157E-3</v>
      </c>
    </row>
    <row r="2200" spans="1:10" x14ac:dyDescent="0.25">
      <c r="A2200" s="696" t="s">
        <v>23</v>
      </c>
      <c r="B2200" s="164">
        <f t="shared" ref="B2200:J2200" si="1042">B2211/B2194</f>
        <v>37442.105263157893</v>
      </c>
      <c r="C2200" s="66">
        <f t="shared" si="1042"/>
        <v>35620.689655172413</v>
      </c>
      <c r="D2200" s="66">
        <f t="shared" si="1042"/>
        <v>31737.5</v>
      </c>
      <c r="E2200" s="66">
        <f t="shared" si="1042"/>
        <v>35377.777777777781</v>
      </c>
      <c r="F2200" s="66">
        <f t="shared" si="1042"/>
        <v>35821.399176954736</v>
      </c>
      <c r="G2200" s="66">
        <f t="shared" si="1042"/>
        <v>35346.503496503494</v>
      </c>
      <c r="H2200" s="66">
        <f t="shared" si="1042"/>
        <v>37805.106382978724</v>
      </c>
      <c r="I2200" s="66">
        <f t="shared" si="1042"/>
        <v>35821.479500891262</v>
      </c>
      <c r="J2200" s="701">
        <f t="shared" si="1042"/>
        <v>35821.479500891262</v>
      </c>
    </row>
    <row r="2201" spans="1:10" x14ac:dyDescent="0.25">
      <c r="A2201" s="696" t="s">
        <v>24</v>
      </c>
      <c r="B2201" s="164">
        <f t="shared" ref="B2201:I2201" si="1043">+B2211/B2188</f>
        <v>28174.257425742573</v>
      </c>
      <c r="C2201" s="66">
        <f t="shared" si="1043"/>
        <v>28694.444444444445</v>
      </c>
      <c r="D2201" s="66">
        <f t="shared" si="1043"/>
        <v>26962.83185840708</v>
      </c>
      <c r="E2201" s="66">
        <f t="shared" si="1043"/>
        <v>27796.825396825396</v>
      </c>
      <c r="F2201" s="66">
        <f t="shared" si="1043"/>
        <v>30119.723183391005</v>
      </c>
      <c r="G2201" s="66">
        <f t="shared" si="1043"/>
        <v>28800.854700854699</v>
      </c>
      <c r="H2201" s="66">
        <f t="shared" si="1043"/>
        <v>28938.762214983712</v>
      </c>
      <c r="I2201" s="66">
        <f t="shared" si="1043"/>
        <v>28811.254480286738</v>
      </c>
      <c r="J2201" s="701">
        <f>J2211/J2188</f>
        <v>28811.254480286738</v>
      </c>
    </row>
    <row r="2202" spans="1:10" x14ac:dyDescent="0.25">
      <c r="A2202" s="694" t="s">
        <v>25</v>
      </c>
      <c r="B2202" s="300">
        <f t="shared" ref="B2202:H2202" si="1044">B2207*B2195</f>
        <v>1697367.8572413793</v>
      </c>
      <c r="C2202" s="92">
        <f t="shared" si="1044"/>
        <v>1556019.551724138</v>
      </c>
      <c r="D2202" s="92">
        <f t="shared" si="1044"/>
        <v>1644302.6979310347</v>
      </c>
      <c r="E2202" s="92">
        <f t="shared" si="1044"/>
        <v>1973390.5779310344</v>
      </c>
      <c r="F2202" s="92">
        <f t="shared" si="1044"/>
        <v>5053585.1172413798</v>
      </c>
      <c r="G2202" s="31">
        <f t="shared" si="1044"/>
        <v>5706690.1117241383</v>
      </c>
      <c r="H2202" s="31">
        <f t="shared" si="1044"/>
        <v>5229285.9144827584</v>
      </c>
      <c r="I2202" s="31">
        <f>SUM(B2202:H2202)</f>
        <v>22860641.828275863</v>
      </c>
      <c r="J2202" s="702">
        <f t="shared" ref="J2202:J2207" si="1045">I2202/7</f>
        <v>3265805.9754679804</v>
      </c>
    </row>
    <row r="2203" spans="1:10" x14ac:dyDescent="0.25">
      <c r="A2203" s="694" t="s">
        <v>26</v>
      </c>
      <c r="B2203" s="300">
        <f t="shared" ref="B2203:H2203" si="1046">B2207*B2196</f>
        <v>23251.614482758621</v>
      </c>
      <c r="C2203" s="92">
        <f t="shared" si="1046"/>
        <v>0</v>
      </c>
      <c r="D2203" s="92">
        <f t="shared" si="1046"/>
        <v>49827.354482758623</v>
      </c>
      <c r="E2203" s="92">
        <f t="shared" si="1046"/>
        <v>85799.590344827593</v>
      </c>
      <c r="F2203" s="92">
        <f t="shared" si="1046"/>
        <v>71177.255172413803</v>
      </c>
      <c r="G2203" s="31">
        <f t="shared" si="1046"/>
        <v>165411.30758620691</v>
      </c>
      <c r="H2203" s="31">
        <f t="shared" si="1046"/>
        <v>72628.971034482762</v>
      </c>
      <c r="I2203" s="31">
        <f>SUM(B2203:H2203)</f>
        <v>468096.09310344834</v>
      </c>
      <c r="J2203" s="702">
        <f t="shared" si="1045"/>
        <v>66870.870443349762</v>
      </c>
    </row>
    <row r="2204" spans="1:10" x14ac:dyDescent="0.25">
      <c r="A2204" s="694" t="s">
        <v>27</v>
      </c>
      <c r="B2204" s="300">
        <f t="shared" ref="B2204:H2204" si="1047">B2207*B2197</f>
        <v>511535.51862068969</v>
      </c>
      <c r="C2204" s="92">
        <f t="shared" si="1047"/>
        <v>892798.10344827583</v>
      </c>
      <c r="D2204" s="92">
        <f t="shared" si="1047"/>
        <v>672669.28551724146</v>
      </c>
      <c r="E2204" s="92">
        <f t="shared" si="1047"/>
        <v>428997.95172413794</v>
      </c>
      <c r="F2204" s="92">
        <f t="shared" si="1047"/>
        <v>1565899.6137931037</v>
      </c>
      <c r="G2204" s="31">
        <f t="shared" si="1047"/>
        <v>1571407.4220689656</v>
      </c>
      <c r="H2204" s="31">
        <f t="shared" si="1047"/>
        <v>1670466.3337931037</v>
      </c>
      <c r="I2204" s="31">
        <f>SUM(B2204:H2204)</f>
        <v>7313774.2289655181</v>
      </c>
      <c r="J2204" s="702">
        <f t="shared" si="1045"/>
        <v>1044824.8898522168</v>
      </c>
    </row>
    <row r="2205" spans="1:10" x14ac:dyDescent="0.25">
      <c r="A2205" s="694" t="s">
        <v>28</v>
      </c>
      <c r="B2205" s="300">
        <f t="shared" ref="B2205:H2205" si="1048">B2207*B2198</f>
        <v>93006.457931034485</v>
      </c>
      <c r="C2205" s="92">
        <f t="shared" si="1048"/>
        <v>102034.06896551725</v>
      </c>
      <c r="D2205" s="92">
        <f t="shared" si="1048"/>
        <v>74741.031724137938</v>
      </c>
      <c r="E2205" s="92">
        <f t="shared" si="1048"/>
        <v>371798.22482758621</v>
      </c>
      <c r="F2205" s="92">
        <f t="shared" si="1048"/>
        <v>427063.53103448282</v>
      </c>
      <c r="G2205" s="31">
        <f t="shared" si="1048"/>
        <v>827056.53793103457</v>
      </c>
      <c r="H2205" s="31">
        <f t="shared" si="1048"/>
        <v>290515.88413793105</v>
      </c>
      <c r="I2205" s="31">
        <f>SUM(B2205:H2205)</f>
        <v>2186215.7365517244</v>
      </c>
      <c r="J2205" s="702">
        <f t="shared" si="1045"/>
        <v>312316.53379310347</v>
      </c>
    </row>
    <row r="2206" spans="1:10" x14ac:dyDescent="0.25">
      <c r="A2206" s="694" t="s">
        <v>29</v>
      </c>
      <c r="B2206" s="300">
        <f t="shared" ref="B2206:H2206" si="1049">B2207*B2199</f>
        <v>0</v>
      </c>
      <c r="C2206" s="92">
        <f t="shared" si="1049"/>
        <v>0</v>
      </c>
      <c r="D2206" s="92">
        <f t="shared" si="1049"/>
        <v>49827.354482758623</v>
      </c>
      <c r="E2206" s="92">
        <f t="shared" si="1049"/>
        <v>0</v>
      </c>
      <c r="F2206" s="92">
        <f t="shared" si="1049"/>
        <v>0</v>
      </c>
      <c r="G2206" s="31">
        <f t="shared" si="1049"/>
        <v>0</v>
      </c>
      <c r="H2206" s="31">
        <f t="shared" si="1049"/>
        <v>0</v>
      </c>
      <c r="I2206" s="31">
        <f>SUM(B2206:H2206)</f>
        <v>49827.354482758623</v>
      </c>
      <c r="J2206" s="702">
        <f t="shared" si="1045"/>
        <v>7118.1934975369459</v>
      </c>
    </row>
    <row r="2207" spans="1:10" x14ac:dyDescent="0.25">
      <c r="A2207" s="697" t="s">
        <v>30</v>
      </c>
      <c r="B2207" s="691">
        <f>(2845600/1.16)-B2208</f>
        <v>2325161.4482758623</v>
      </c>
      <c r="C2207" s="691">
        <f>(3099000/1.16)-C2208</f>
        <v>2550851.7241379311</v>
      </c>
      <c r="D2207" s="691">
        <f>(3046800/1.16)-D2208</f>
        <v>2491367.7241379311</v>
      </c>
      <c r="E2207" s="691">
        <f>(3502400/1.16)-E2208</f>
        <v>2859986.3448275863</v>
      </c>
      <c r="F2207" s="691">
        <f>(8704600/1.16)-F2208</f>
        <v>7117725.5172413802</v>
      </c>
      <c r="G2207" s="691">
        <f>(10109100/1.16)-G2208</f>
        <v>8270565.3793103453</v>
      </c>
      <c r="H2207" s="691">
        <f>(8884200/1.16)-H2208</f>
        <v>7262897.1034482764</v>
      </c>
      <c r="I2207" s="197">
        <f>SUM(I2202:I2206)</f>
        <v>32878555.241379313</v>
      </c>
      <c r="J2207" s="703">
        <f t="shared" si="1045"/>
        <v>4696936.4630541876</v>
      </c>
    </row>
    <row r="2208" spans="1:10" x14ac:dyDescent="0.25">
      <c r="A2208" s="694" t="s">
        <v>31</v>
      </c>
      <c r="B2208" s="300">
        <f t="shared" ref="B2208:I2208" si="1050">2414*B2189</f>
        <v>127942</v>
      </c>
      <c r="C2208" s="92">
        <f t="shared" si="1050"/>
        <v>120700</v>
      </c>
      <c r="D2208" s="92">
        <f t="shared" si="1050"/>
        <v>135184</v>
      </c>
      <c r="E2208" s="92">
        <f t="shared" si="1050"/>
        <v>159324</v>
      </c>
      <c r="F2208" s="92">
        <f t="shared" si="1050"/>
        <v>386240</v>
      </c>
      <c r="G2208" s="92">
        <f t="shared" si="1050"/>
        <v>444176</v>
      </c>
      <c r="H2208" s="92">
        <f t="shared" si="1050"/>
        <v>395896</v>
      </c>
      <c r="I2208" s="31">
        <f t="shared" si="1050"/>
        <v>1769462</v>
      </c>
      <c r="J2208" s="702">
        <f>+J2189*2414</f>
        <v>252780.28571428571</v>
      </c>
    </row>
    <row r="2209" spans="1:10" x14ac:dyDescent="0.25">
      <c r="A2209" s="698" t="s">
        <v>32</v>
      </c>
      <c r="B2209" s="342">
        <f>B2208+B2207</f>
        <v>2453103.4482758623</v>
      </c>
      <c r="C2209" s="199">
        <f>C2208+C2207</f>
        <v>2671551.7241379311</v>
      </c>
      <c r="D2209" s="199">
        <f>D2208+D2207</f>
        <v>2626551.7241379311</v>
      </c>
      <c r="E2209" s="199">
        <f>E2208+E2207</f>
        <v>3019310.3448275863</v>
      </c>
      <c r="F2209" s="199">
        <f>F2207+F2208</f>
        <v>7503965.5172413802</v>
      </c>
      <c r="G2209" s="199">
        <f>G2208+G2207</f>
        <v>8714741.3793103453</v>
      </c>
      <c r="H2209" s="199">
        <f>H2208+H2207</f>
        <v>7658793.1034482764</v>
      </c>
      <c r="I2209" s="199">
        <f>I2207+I2208</f>
        <v>34648017.241379313</v>
      </c>
      <c r="J2209" s="704">
        <f>I2209/7</f>
        <v>4949716.748768473</v>
      </c>
    </row>
    <row r="2210" spans="1:10" x14ac:dyDescent="0.25">
      <c r="A2210" s="694" t="s">
        <v>33</v>
      </c>
      <c r="B2210" s="302">
        <f>B2209*16%</f>
        <v>392496.55172413797</v>
      </c>
      <c r="C2210" s="94">
        <f t="shared" ref="C2210:H2210" si="1051">C2209*16%</f>
        <v>427448.27586206899</v>
      </c>
      <c r="D2210" s="94">
        <f t="shared" si="1051"/>
        <v>420248.27586206899</v>
      </c>
      <c r="E2210" s="94">
        <f t="shared" si="1051"/>
        <v>483089.6551724138</v>
      </c>
      <c r="F2210" s="94">
        <f t="shared" si="1051"/>
        <v>1200634.4827586208</v>
      </c>
      <c r="G2210" s="94">
        <f t="shared" si="1051"/>
        <v>1394358.6206896552</v>
      </c>
      <c r="H2210" s="94">
        <f t="shared" si="1051"/>
        <v>1225406.8965517243</v>
      </c>
      <c r="I2210" s="94">
        <f>I2209*16%</f>
        <v>5543682.7586206906</v>
      </c>
      <c r="J2210" s="702">
        <f>I2210/7</f>
        <v>791954.67980295583</v>
      </c>
    </row>
    <row r="2211" spans="1:10" ht="15.75" thickBot="1" x14ac:dyDescent="0.3">
      <c r="A2211" s="699" t="s">
        <v>34</v>
      </c>
      <c r="B2211" s="708">
        <f>B2209+B2210</f>
        <v>2845600</v>
      </c>
      <c r="C2211" s="656">
        <f t="shared" ref="C2211:H2211" si="1052">C2209+C2210</f>
        <v>3099000</v>
      </c>
      <c r="D2211" s="656">
        <f t="shared" si="1052"/>
        <v>3046800</v>
      </c>
      <c r="E2211" s="656">
        <f t="shared" si="1052"/>
        <v>3502400</v>
      </c>
      <c r="F2211" s="656">
        <f t="shared" si="1052"/>
        <v>8704600</v>
      </c>
      <c r="G2211" s="656">
        <f t="shared" si="1052"/>
        <v>10109100</v>
      </c>
      <c r="H2211" s="656">
        <f t="shared" si="1052"/>
        <v>8884200</v>
      </c>
      <c r="I2211" s="656">
        <f>I2209+I2210</f>
        <v>40191700</v>
      </c>
      <c r="J2211" s="705">
        <f>I2211/7</f>
        <v>5741671.4285714282</v>
      </c>
    </row>
    <row r="2212" spans="1:10" ht="15.75" thickBot="1" x14ac:dyDescent="0.3"/>
    <row r="2213" spans="1:10" ht="27" thickBot="1" x14ac:dyDescent="0.3">
      <c r="B2213" s="1007" t="s">
        <v>699</v>
      </c>
      <c r="C2213" s="1007"/>
      <c r="D2213" s="1007"/>
      <c r="E2213" s="1007"/>
      <c r="F2213" s="1007"/>
      <c r="G2213" s="1007"/>
      <c r="H2213" s="1007"/>
    </row>
    <row r="2214" spans="1:10" ht="15.75" x14ac:dyDescent="0.25">
      <c r="A2214" s="709" t="s">
        <v>2</v>
      </c>
      <c r="B2214" s="706" t="s">
        <v>345</v>
      </c>
      <c r="C2214" s="617" t="s">
        <v>346</v>
      </c>
      <c r="D2214" s="617" t="s">
        <v>347</v>
      </c>
      <c r="E2214" s="617" t="s">
        <v>348</v>
      </c>
      <c r="F2214" s="617" t="s">
        <v>349</v>
      </c>
      <c r="G2214" s="617" t="s">
        <v>350</v>
      </c>
      <c r="H2214" s="617" t="s">
        <v>351</v>
      </c>
      <c r="I2214" s="641" t="s">
        <v>96</v>
      </c>
      <c r="J2214" s="642" t="s">
        <v>97</v>
      </c>
    </row>
    <row r="2215" spans="1:10" x14ac:dyDescent="0.25">
      <c r="A2215" s="710" t="s">
        <v>11</v>
      </c>
      <c r="B2215" s="56">
        <f>151+121+46</f>
        <v>318</v>
      </c>
      <c r="C2215" s="673">
        <f>62+31+4</f>
        <v>97</v>
      </c>
      <c r="D2215" s="673">
        <f>66+31+8</f>
        <v>105</v>
      </c>
      <c r="E2215" s="738">
        <f>50+39+6</f>
        <v>95</v>
      </c>
      <c r="F2215" s="738">
        <f>147+97+25</f>
        <v>269</v>
      </c>
      <c r="G2215" s="738">
        <f>179+121+34</f>
        <v>334</v>
      </c>
      <c r="H2215" s="738">
        <f>131+109+40</f>
        <v>280</v>
      </c>
      <c r="I2215" s="741">
        <f>SUM(B2215:H2215)</f>
        <v>1498</v>
      </c>
      <c r="J2215" s="700">
        <f>+I2215/7</f>
        <v>214</v>
      </c>
    </row>
    <row r="2216" spans="1:10" x14ac:dyDescent="0.25">
      <c r="A2216" s="694" t="s">
        <v>12</v>
      </c>
      <c r="B2216" s="689">
        <v>169</v>
      </c>
      <c r="C2216" s="675">
        <v>51</v>
      </c>
      <c r="D2216" s="675">
        <v>51</v>
      </c>
      <c r="E2216" s="734">
        <v>55</v>
      </c>
      <c r="F2216" s="742">
        <v>136</v>
      </c>
      <c r="G2216" s="734">
        <v>186</v>
      </c>
      <c r="H2216" s="734">
        <v>147</v>
      </c>
      <c r="I2216" s="11">
        <f>SUM(CEDRITOS!$B2216:$H2216)</f>
        <v>795</v>
      </c>
      <c r="J2216" s="623">
        <f t="shared" ref="J2216:J2221" si="1053">I2216/7</f>
        <v>113.57142857142857</v>
      </c>
    </row>
    <row r="2217" spans="1:10" x14ac:dyDescent="0.25">
      <c r="A2217" s="694" t="s">
        <v>13</v>
      </c>
      <c r="B2217" s="313">
        <v>5</v>
      </c>
      <c r="C2217" s="13">
        <v>4</v>
      </c>
      <c r="D2217" s="13">
        <v>1</v>
      </c>
      <c r="E2217" s="11">
        <v>1</v>
      </c>
      <c r="F2217" s="125">
        <v>2</v>
      </c>
      <c r="G2217" s="11">
        <v>2</v>
      </c>
      <c r="H2217" s="11">
        <v>5</v>
      </c>
      <c r="I2217" s="11">
        <f>SUM(CEDRITOS!$B2217:$H2217)</f>
        <v>20</v>
      </c>
      <c r="J2217" s="623">
        <f t="shared" si="1053"/>
        <v>2.8571428571428572</v>
      </c>
    </row>
    <row r="2218" spans="1:10" x14ac:dyDescent="0.25">
      <c r="A2218" s="694" t="s">
        <v>14</v>
      </c>
      <c r="B2218" s="313">
        <v>58</v>
      </c>
      <c r="C2218" s="13">
        <v>27</v>
      </c>
      <c r="D2218" s="320">
        <v>34</v>
      </c>
      <c r="E2218" s="11">
        <v>19</v>
      </c>
      <c r="F2218" s="125">
        <v>44</v>
      </c>
      <c r="G2218" s="11">
        <v>52</v>
      </c>
      <c r="H2218" s="11">
        <v>48</v>
      </c>
      <c r="I2218" s="11">
        <f>SUM(CEDRITOS!$B2218:$H2218)</f>
        <v>282</v>
      </c>
      <c r="J2218" s="623">
        <f t="shared" si="1053"/>
        <v>40.285714285714285</v>
      </c>
    </row>
    <row r="2219" spans="1:10" x14ac:dyDescent="0.25">
      <c r="A2219" s="694" t="s">
        <v>15</v>
      </c>
      <c r="B2219" s="313">
        <v>10</v>
      </c>
      <c r="C2219" s="13">
        <v>5</v>
      </c>
      <c r="D2219" s="13">
        <v>4</v>
      </c>
      <c r="E2219" s="11">
        <v>7</v>
      </c>
      <c r="F2219" s="125">
        <v>25</v>
      </c>
      <c r="G2219" s="11">
        <v>20</v>
      </c>
      <c r="H2219" s="11">
        <v>18</v>
      </c>
      <c r="I2219" s="11">
        <f>SUM(CEDRITOS!$B2219:$H2219)</f>
        <v>89</v>
      </c>
      <c r="J2219" s="623">
        <f t="shared" si="1053"/>
        <v>12.714285714285714</v>
      </c>
    </row>
    <row r="2220" spans="1:10" x14ac:dyDescent="0.25">
      <c r="A2220" s="694" t="s">
        <v>16</v>
      </c>
      <c r="B2220" s="313">
        <v>1</v>
      </c>
      <c r="C2220" s="13">
        <v>0</v>
      </c>
      <c r="D2220" s="13">
        <v>0</v>
      </c>
      <c r="E2220" s="11">
        <v>1</v>
      </c>
      <c r="F2220" s="125">
        <v>4</v>
      </c>
      <c r="G2220" s="11">
        <v>0</v>
      </c>
      <c r="H2220" s="11">
        <v>0</v>
      </c>
      <c r="I2220" s="11">
        <f>SUM(CEDRITOS!$B2220:$H2220)</f>
        <v>6</v>
      </c>
      <c r="J2220" s="623">
        <f t="shared" si="1053"/>
        <v>0.8571428571428571</v>
      </c>
    </row>
    <row r="2221" spans="1:10" x14ac:dyDescent="0.25">
      <c r="A2221" s="695" t="s">
        <v>17</v>
      </c>
      <c r="B2221" s="707">
        <f>SUM(B2216:B2220)</f>
        <v>243</v>
      </c>
      <c r="C2221" s="192">
        <f t="shared" ref="C2221:I2221" si="1054">SUM(C2216:C2220)</f>
        <v>87</v>
      </c>
      <c r="D2221" s="192">
        <f t="shared" si="1054"/>
        <v>90</v>
      </c>
      <c r="E2221" s="192">
        <f t="shared" si="1054"/>
        <v>83</v>
      </c>
      <c r="F2221" s="192">
        <f t="shared" si="1054"/>
        <v>211</v>
      </c>
      <c r="G2221" s="192">
        <f t="shared" si="1054"/>
        <v>260</v>
      </c>
      <c r="H2221" s="192">
        <f t="shared" si="1054"/>
        <v>218</v>
      </c>
      <c r="I2221" s="192">
        <f t="shared" si="1054"/>
        <v>1192</v>
      </c>
      <c r="J2221" s="647">
        <f t="shared" si="1053"/>
        <v>170.28571428571428</v>
      </c>
    </row>
    <row r="2222" spans="1:10" x14ac:dyDescent="0.25">
      <c r="A2222" s="694" t="s">
        <v>18</v>
      </c>
      <c r="B2222" s="690">
        <v>0.73</v>
      </c>
      <c r="C2222" s="326">
        <v>0.63</v>
      </c>
      <c r="D2222" s="326">
        <v>0.59</v>
      </c>
      <c r="E2222" s="327">
        <v>0.74</v>
      </c>
      <c r="F2222" s="328">
        <v>0.67</v>
      </c>
      <c r="G2222" s="327">
        <v>0.76</v>
      </c>
      <c r="H2222" s="327">
        <v>0.72</v>
      </c>
      <c r="I2222" s="30">
        <f>I2229/I2234</f>
        <v>0.70861709655671201</v>
      </c>
      <c r="J2222" s="648">
        <f>J2229/J2234</f>
        <v>0.70861709655671201</v>
      </c>
    </row>
    <row r="2223" spans="1:10" x14ac:dyDescent="0.25">
      <c r="A2223" s="694" t="s">
        <v>19</v>
      </c>
      <c r="B2223" s="690">
        <v>0.02</v>
      </c>
      <c r="C2223" s="326">
        <v>0.04</v>
      </c>
      <c r="D2223" s="326">
        <v>0.01</v>
      </c>
      <c r="E2223" s="327">
        <v>0.02</v>
      </c>
      <c r="F2223" s="327">
        <v>0.01</v>
      </c>
      <c r="G2223" s="327">
        <v>0.01</v>
      </c>
      <c r="H2223" s="327">
        <v>0.02</v>
      </c>
      <c r="I2223" s="30">
        <f>I2230/I2234</f>
        <v>1.658975708464528E-2</v>
      </c>
      <c r="J2223" s="648">
        <f>J2230/J2234</f>
        <v>1.658975708464528E-2</v>
      </c>
    </row>
    <row r="2224" spans="1:10" x14ac:dyDescent="0.25">
      <c r="A2224" s="694" t="s">
        <v>20</v>
      </c>
      <c r="B2224" s="690">
        <v>0.21</v>
      </c>
      <c r="C2224" s="326">
        <v>0.28000000000000003</v>
      </c>
      <c r="D2224" s="326">
        <v>0.36</v>
      </c>
      <c r="E2224" s="327">
        <v>0.17</v>
      </c>
      <c r="F2224" s="329">
        <v>0.2</v>
      </c>
      <c r="G2224" s="327">
        <v>0.17</v>
      </c>
      <c r="H2224" s="327">
        <v>0.19</v>
      </c>
      <c r="I2224" s="30">
        <f>I2231/I2234</f>
        <v>0.20766843191907663</v>
      </c>
      <c r="J2224" s="648">
        <f>J2231/J2234</f>
        <v>0.20766843191907663</v>
      </c>
    </row>
    <row r="2225" spans="1:10" x14ac:dyDescent="0.25">
      <c r="A2225" s="694" t="s">
        <v>21</v>
      </c>
      <c r="B2225" s="690">
        <v>0.04</v>
      </c>
      <c r="C2225" s="326">
        <v>0.05</v>
      </c>
      <c r="D2225" s="326">
        <v>0.04</v>
      </c>
      <c r="E2225" s="327">
        <v>0.06</v>
      </c>
      <c r="F2225" s="329">
        <v>0.1</v>
      </c>
      <c r="G2225" s="327">
        <v>0.06</v>
      </c>
      <c r="H2225" s="327">
        <v>7.0000000000000007E-2</v>
      </c>
      <c r="I2225" s="30">
        <f>I2232/I2234</f>
        <v>6.2844359921651965E-2</v>
      </c>
      <c r="J2225" s="648">
        <f>J2232/J2234</f>
        <v>6.2844359921651965E-2</v>
      </c>
    </row>
    <row r="2226" spans="1:10" x14ac:dyDescent="0.25">
      <c r="A2226" s="694" t="s">
        <v>22</v>
      </c>
      <c r="B2226" s="690">
        <v>0</v>
      </c>
      <c r="C2226" s="326">
        <v>0</v>
      </c>
      <c r="D2226" s="326">
        <v>0</v>
      </c>
      <c r="E2226" s="327">
        <v>0.01</v>
      </c>
      <c r="F2226" s="329">
        <v>0.02</v>
      </c>
      <c r="G2226" s="327">
        <v>0</v>
      </c>
      <c r="H2226" s="327">
        <v>0</v>
      </c>
      <c r="I2226" s="30">
        <f>I2233/I2234</f>
        <v>4.2803545179140676E-3</v>
      </c>
      <c r="J2226" s="648">
        <f>J2233/J2234</f>
        <v>4.2803545179140676E-3</v>
      </c>
    </row>
    <row r="2227" spans="1:10" x14ac:dyDescent="0.25">
      <c r="A2227" s="696" t="s">
        <v>23</v>
      </c>
      <c r="B2227" s="164">
        <f t="shared" ref="B2227:J2227" si="1055">B2238/B2221</f>
        <v>38049.794238683127</v>
      </c>
      <c r="C2227" s="66">
        <f t="shared" si="1055"/>
        <v>32398.850574712647</v>
      </c>
      <c r="D2227" s="66">
        <f t="shared" si="1055"/>
        <v>31618.888888888894</v>
      </c>
      <c r="E2227" s="66">
        <f t="shared" si="1055"/>
        <v>32316.867469879518</v>
      </c>
      <c r="F2227" s="66">
        <f t="shared" si="1055"/>
        <v>37035.545023696679</v>
      </c>
      <c r="G2227" s="66">
        <f t="shared" si="1055"/>
        <v>36905.769230769241</v>
      </c>
      <c r="H2227" s="66">
        <f t="shared" si="1055"/>
        <v>36073.394495412846</v>
      </c>
      <c r="I2227" s="66">
        <f t="shared" si="1055"/>
        <v>35962.080536912748</v>
      </c>
      <c r="J2227" s="701">
        <f t="shared" si="1055"/>
        <v>35962.080536912756</v>
      </c>
    </row>
    <row r="2228" spans="1:10" x14ac:dyDescent="0.25">
      <c r="A2228" s="696" t="s">
        <v>24</v>
      </c>
      <c r="B2228" s="164">
        <f t="shared" ref="B2228:I2228" si="1056">+B2238/B2215</f>
        <v>29075.786163522014</v>
      </c>
      <c r="C2228" s="66">
        <f t="shared" si="1056"/>
        <v>29058.762886597942</v>
      </c>
      <c r="D2228" s="66">
        <f t="shared" si="1056"/>
        <v>27101.904761904767</v>
      </c>
      <c r="E2228" s="66">
        <f t="shared" si="1056"/>
        <v>28234.736842105263</v>
      </c>
      <c r="F2228" s="66">
        <f t="shared" si="1056"/>
        <v>29050.185873605948</v>
      </c>
      <c r="G2228" s="66">
        <f t="shared" si="1056"/>
        <v>28729.041916167669</v>
      </c>
      <c r="H2228" s="66">
        <f t="shared" si="1056"/>
        <v>28085.71428571429</v>
      </c>
      <c r="I2228" s="66">
        <f t="shared" si="1056"/>
        <v>28616.021361815754</v>
      </c>
      <c r="J2228" s="701">
        <f>J2238/J2215</f>
        <v>28616.021361815758</v>
      </c>
    </row>
    <row r="2229" spans="1:10" x14ac:dyDescent="0.25">
      <c r="A2229" s="694" t="s">
        <v>25</v>
      </c>
      <c r="B2229" s="300">
        <f t="shared" ref="B2229:H2229" si="1057">B2234*B2222</f>
        <v>5520851.1993103446</v>
      </c>
      <c r="C2229" s="92">
        <f t="shared" si="1057"/>
        <v>1453283.8696551726</v>
      </c>
      <c r="D2229" s="92">
        <f t="shared" si="1057"/>
        <v>1374744.6365517243</v>
      </c>
      <c r="E2229" s="92">
        <f t="shared" si="1057"/>
        <v>1612872.6137931035</v>
      </c>
      <c r="F2229" s="92">
        <f t="shared" si="1057"/>
        <v>4293583.7337931041</v>
      </c>
      <c r="G2229" s="31">
        <f t="shared" si="1057"/>
        <v>5945463.8565517245</v>
      </c>
      <c r="H2229" s="31">
        <f t="shared" si="1057"/>
        <v>4625605.6882758625</v>
      </c>
      <c r="I2229" s="31">
        <f>SUM(B2229:H2229)</f>
        <v>24826405.597931035</v>
      </c>
      <c r="J2229" s="702">
        <f t="shared" ref="J2229:J2234" si="1058">I2229/7</f>
        <v>3546629.3711330048</v>
      </c>
    </row>
    <row r="2230" spans="1:10" x14ac:dyDescent="0.25">
      <c r="A2230" s="694" t="s">
        <v>26</v>
      </c>
      <c r="B2230" s="300">
        <f t="shared" ref="B2230:H2230" si="1059">B2234*B2223</f>
        <v>151256.19724137933</v>
      </c>
      <c r="C2230" s="92">
        <f t="shared" si="1059"/>
        <v>92271.991724137944</v>
      </c>
      <c r="D2230" s="92">
        <f t="shared" si="1059"/>
        <v>23300.756551724142</v>
      </c>
      <c r="E2230" s="92">
        <f t="shared" si="1059"/>
        <v>43591.151724137933</v>
      </c>
      <c r="F2230" s="92">
        <f t="shared" si="1059"/>
        <v>64083.339310344832</v>
      </c>
      <c r="G2230" s="31">
        <f t="shared" si="1059"/>
        <v>78229.787586206905</v>
      </c>
      <c r="H2230" s="31">
        <f t="shared" si="1059"/>
        <v>128489.04689655174</v>
      </c>
      <c r="I2230" s="31">
        <f>SUM(B2230:H2230)</f>
        <v>581222.27103448287</v>
      </c>
      <c r="J2230" s="702">
        <f t="shared" si="1058"/>
        <v>83031.753004926126</v>
      </c>
    </row>
    <row r="2231" spans="1:10" x14ac:dyDescent="0.25">
      <c r="A2231" s="694" t="s">
        <v>27</v>
      </c>
      <c r="B2231" s="300">
        <f t="shared" ref="B2231:H2231" si="1060">B2234*B2224</f>
        <v>1588190.0710344829</v>
      </c>
      <c r="C2231" s="92">
        <f t="shared" si="1060"/>
        <v>645903.94206896564</v>
      </c>
      <c r="D2231" s="92">
        <f t="shared" si="1060"/>
        <v>838827.23586206906</v>
      </c>
      <c r="E2231" s="92">
        <f t="shared" si="1060"/>
        <v>370524.78965517244</v>
      </c>
      <c r="F2231" s="92">
        <f t="shared" si="1060"/>
        <v>1281666.7862068966</v>
      </c>
      <c r="G2231" s="31">
        <f t="shared" si="1060"/>
        <v>1329906.3889655175</v>
      </c>
      <c r="H2231" s="31">
        <f t="shared" si="1060"/>
        <v>1220645.9455172415</v>
      </c>
      <c r="I2231" s="31">
        <f>SUM(B2231:H2231)</f>
        <v>7275665.1593103446</v>
      </c>
      <c r="J2231" s="702">
        <f t="shared" si="1058"/>
        <v>1039380.737044335</v>
      </c>
    </row>
    <row r="2232" spans="1:10" x14ac:dyDescent="0.25">
      <c r="A2232" s="694" t="s">
        <v>28</v>
      </c>
      <c r="B2232" s="300">
        <f t="shared" ref="B2232:H2232" si="1061">B2234*B2225</f>
        <v>302512.39448275865</v>
      </c>
      <c r="C2232" s="92">
        <f t="shared" si="1061"/>
        <v>115339.98965517244</v>
      </c>
      <c r="D2232" s="92">
        <f t="shared" si="1061"/>
        <v>93203.026206896568</v>
      </c>
      <c r="E2232" s="92">
        <f t="shared" si="1061"/>
        <v>130773.4551724138</v>
      </c>
      <c r="F2232" s="92">
        <f t="shared" si="1061"/>
        <v>640833.39310344832</v>
      </c>
      <c r="G2232" s="31">
        <f t="shared" si="1061"/>
        <v>469378.7255172414</v>
      </c>
      <c r="H2232" s="31">
        <f t="shared" si="1061"/>
        <v>449711.66413793113</v>
      </c>
      <c r="I2232" s="31">
        <f>SUM(B2232:H2232)</f>
        <v>2201752.6482758624</v>
      </c>
      <c r="J2232" s="702">
        <f t="shared" si="1058"/>
        <v>314536.09261083748</v>
      </c>
    </row>
    <row r="2233" spans="1:10" x14ac:dyDescent="0.25">
      <c r="A2233" s="694" t="s">
        <v>29</v>
      </c>
      <c r="B2233" s="300">
        <f t="shared" ref="B2233:H2233" si="1062">B2234*B2226</f>
        <v>0</v>
      </c>
      <c r="C2233" s="92">
        <f t="shared" si="1062"/>
        <v>0</v>
      </c>
      <c r="D2233" s="92">
        <f t="shared" si="1062"/>
        <v>0</v>
      </c>
      <c r="E2233" s="92">
        <f t="shared" si="1062"/>
        <v>21795.575862068967</v>
      </c>
      <c r="F2233" s="92">
        <f t="shared" si="1062"/>
        <v>128166.67862068966</v>
      </c>
      <c r="G2233" s="31">
        <f t="shared" si="1062"/>
        <v>0</v>
      </c>
      <c r="H2233" s="31">
        <f t="shared" si="1062"/>
        <v>0</v>
      </c>
      <c r="I2233" s="31">
        <f>SUM(B2233:H2233)</f>
        <v>149962.25448275864</v>
      </c>
      <c r="J2233" s="702">
        <f t="shared" si="1058"/>
        <v>21423.179211822662</v>
      </c>
    </row>
    <row r="2234" spans="1:10" x14ac:dyDescent="0.25">
      <c r="A2234" s="697" t="s">
        <v>30</v>
      </c>
      <c r="B2234" s="691">
        <f>(9246100/1.16)-B2235</f>
        <v>7562809.862068966</v>
      </c>
      <c r="C2234" s="691">
        <f>(2818700/1.16)-C2235</f>
        <v>2306799.7931034486</v>
      </c>
      <c r="D2234" s="691">
        <f>(2845700/1.16)-D2235</f>
        <v>2330075.6551724141</v>
      </c>
      <c r="E2234" s="691">
        <f>(2682300/1.16)-E2235</f>
        <v>2179557.5862068967</v>
      </c>
      <c r="F2234" s="691">
        <f>(7814500/1.16)-F2235</f>
        <v>6408333.931034483</v>
      </c>
      <c r="G2234" s="691">
        <f>(9595500/1.16)-G2235</f>
        <v>7822978.7586206906</v>
      </c>
      <c r="H2234" s="691">
        <f>(7864000/1.16)-H2235</f>
        <v>6424452.3448275868</v>
      </c>
      <c r="I2234" s="197">
        <f>SUM(I2229:I2233)</f>
        <v>35035007.931034483</v>
      </c>
      <c r="J2234" s="703">
        <f t="shared" si="1058"/>
        <v>5005001.1330049261</v>
      </c>
    </row>
    <row r="2235" spans="1:10" x14ac:dyDescent="0.25">
      <c r="A2235" s="694" t="s">
        <v>31</v>
      </c>
      <c r="B2235" s="300">
        <f t="shared" ref="B2235:I2235" si="1063">2414*B2216</f>
        <v>407966</v>
      </c>
      <c r="C2235" s="92">
        <f t="shared" si="1063"/>
        <v>123114</v>
      </c>
      <c r="D2235" s="92">
        <f t="shared" si="1063"/>
        <v>123114</v>
      </c>
      <c r="E2235" s="92">
        <f t="shared" si="1063"/>
        <v>132770</v>
      </c>
      <c r="F2235" s="92">
        <f t="shared" si="1063"/>
        <v>328304</v>
      </c>
      <c r="G2235" s="92">
        <f t="shared" si="1063"/>
        <v>449004</v>
      </c>
      <c r="H2235" s="92">
        <f t="shared" si="1063"/>
        <v>354858</v>
      </c>
      <c r="I2235" s="31">
        <f t="shared" si="1063"/>
        <v>1919130</v>
      </c>
      <c r="J2235" s="702">
        <f>+J2216*2414</f>
        <v>274161.42857142858</v>
      </c>
    </row>
    <row r="2236" spans="1:10" x14ac:dyDescent="0.25">
      <c r="A2236" s="698" t="s">
        <v>32</v>
      </c>
      <c r="B2236" s="342">
        <f>B2235+B2234</f>
        <v>7970775.862068966</v>
      </c>
      <c r="C2236" s="199">
        <f>C2235+C2234</f>
        <v>2429913.7931034486</v>
      </c>
      <c r="D2236" s="199">
        <f>D2235+D2234</f>
        <v>2453189.6551724141</v>
      </c>
      <c r="E2236" s="199">
        <f>E2235+E2234</f>
        <v>2312327.5862068967</v>
      </c>
      <c r="F2236" s="199">
        <f>F2234+F2235</f>
        <v>6736637.931034483</v>
      </c>
      <c r="G2236" s="199">
        <f>G2235+G2234</f>
        <v>8271982.7586206906</v>
      </c>
      <c r="H2236" s="199">
        <f>H2235+H2234</f>
        <v>6779310.3448275868</v>
      </c>
      <c r="I2236" s="199">
        <f>I2234+I2235</f>
        <v>36954137.931034483</v>
      </c>
      <c r="J2236" s="704">
        <f>I2236/7</f>
        <v>5279162.5615763543</v>
      </c>
    </row>
    <row r="2237" spans="1:10" x14ac:dyDescent="0.25">
      <c r="A2237" s="694" t="s">
        <v>33</v>
      </c>
      <c r="B2237" s="302">
        <f>B2236*16%</f>
        <v>1275324.1379310347</v>
      </c>
      <c r="C2237" s="94">
        <f t="shared" ref="C2237:H2237" si="1064">C2236*16%</f>
        <v>388786.20689655177</v>
      </c>
      <c r="D2237" s="94">
        <f t="shared" si="1064"/>
        <v>392510.34482758626</v>
      </c>
      <c r="E2237" s="94">
        <f t="shared" si="1064"/>
        <v>369972.41379310348</v>
      </c>
      <c r="F2237" s="94">
        <f t="shared" si="1064"/>
        <v>1077862.0689655172</v>
      </c>
      <c r="G2237" s="94">
        <f t="shared" si="1064"/>
        <v>1323517.2413793106</v>
      </c>
      <c r="H2237" s="94">
        <f t="shared" si="1064"/>
        <v>1084689.6551724139</v>
      </c>
      <c r="I2237" s="94">
        <f>I2236*16%</f>
        <v>5912662.068965517</v>
      </c>
      <c r="J2237" s="702">
        <f>I2237/7</f>
        <v>844666.0098522167</v>
      </c>
    </row>
    <row r="2238" spans="1:10" ht="15.75" thickBot="1" x14ac:dyDescent="0.3">
      <c r="A2238" s="699" t="s">
        <v>34</v>
      </c>
      <c r="B2238" s="708">
        <f>B2236+B2237</f>
        <v>9246100</v>
      </c>
      <c r="C2238" s="656">
        <f t="shared" ref="C2238:H2238" si="1065">C2236+C2237</f>
        <v>2818700.0000000005</v>
      </c>
      <c r="D2238" s="656">
        <f t="shared" si="1065"/>
        <v>2845700.0000000005</v>
      </c>
      <c r="E2238" s="656">
        <f t="shared" si="1065"/>
        <v>2682300</v>
      </c>
      <c r="F2238" s="656">
        <f t="shared" si="1065"/>
        <v>7814500</v>
      </c>
      <c r="G2238" s="656">
        <f t="shared" si="1065"/>
        <v>9595500.0000000019</v>
      </c>
      <c r="H2238" s="656">
        <f t="shared" si="1065"/>
        <v>7864000.0000000009</v>
      </c>
      <c r="I2238" s="656">
        <f>I2236+I2237</f>
        <v>42866800</v>
      </c>
      <c r="J2238" s="705">
        <f>I2238/7</f>
        <v>6123828.5714285718</v>
      </c>
    </row>
    <row r="2239" spans="1:10" ht="15.75" thickBot="1" x14ac:dyDescent="0.3"/>
    <row r="2240" spans="1:10" ht="27" thickBot="1" x14ac:dyDescent="0.3">
      <c r="B2240" s="1007" t="s">
        <v>706</v>
      </c>
      <c r="C2240" s="1007"/>
      <c r="D2240" s="1007"/>
      <c r="E2240" s="1007"/>
      <c r="F2240" s="1007"/>
      <c r="G2240" s="1007"/>
      <c r="H2240" s="1007"/>
    </row>
    <row r="2241" spans="1:10" ht="15.75" x14ac:dyDescent="0.25">
      <c r="A2241" s="709" t="s">
        <v>2</v>
      </c>
      <c r="B2241" s="706" t="s">
        <v>600</v>
      </c>
      <c r="C2241" s="617" t="s">
        <v>601</v>
      </c>
      <c r="D2241" s="617" t="s">
        <v>602</v>
      </c>
      <c r="E2241" s="617" t="s">
        <v>603</v>
      </c>
      <c r="F2241" s="617" t="s">
        <v>604</v>
      </c>
      <c r="G2241" s="617" t="s">
        <v>653</v>
      </c>
      <c r="H2241" s="617" t="s">
        <v>272</v>
      </c>
      <c r="I2241" s="641" t="s">
        <v>96</v>
      </c>
      <c r="J2241" s="642" t="s">
        <v>97</v>
      </c>
    </row>
    <row r="2242" spans="1:10" x14ac:dyDescent="0.25">
      <c r="A2242" s="710" t="s">
        <v>11</v>
      </c>
      <c r="B2242" s="56">
        <f>38+28+7</f>
        <v>73</v>
      </c>
      <c r="C2242" s="673">
        <f>43+31+5</f>
        <v>79</v>
      </c>
      <c r="D2242" s="673">
        <f>57+29+5</f>
        <v>91</v>
      </c>
      <c r="E2242" s="738">
        <f>56+38+5</f>
        <v>99</v>
      </c>
      <c r="F2242" s="738">
        <f>124+80+22</f>
        <v>226</v>
      </c>
      <c r="G2242" s="738">
        <f>159+142+38</f>
        <v>339</v>
      </c>
      <c r="H2242" s="738">
        <f>112+98+29</f>
        <v>239</v>
      </c>
      <c r="I2242" s="741">
        <f>SUM(B2242:H2242)</f>
        <v>1146</v>
      </c>
      <c r="J2242" s="700">
        <f>+I2242/7</f>
        <v>163.71428571428572</v>
      </c>
    </row>
    <row r="2243" spans="1:10" x14ac:dyDescent="0.25">
      <c r="A2243" s="694" t="s">
        <v>12</v>
      </c>
      <c r="B2243" s="689">
        <v>39</v>
      </c>
      <c r="C2243" s="675">
        <v>51</v>
      </c>
      <c r="D2243" s="675">
        <v>41</v>
      </c>
      <c r="E2243" s="734">
        <v>42</v>
      </c>
      <c r="F2243" s="742">
        <v>84</v>
      </c>
      <c r="G2243" s="734">
        <v>169</v>
      </c>
      <c r="H2243" s="734">
        <v>122</v>
      </c>
      <c r="I2243" s="11">
        <f>SUM(CEDRITOS!$B2243:$H2243)</f>
        <v>548</v>
      </c>
      <c r="J2243" s="623">
        <f t="shared" ref="J2243:J2248" si="1066">I2243/7</f>
        <v>78.285714285714292</v>
      </c>
    </row>
    <row r="2244" spans="1:10" x14ac:dyDescent="0.25">
      <c r="A2244" s="694" t="s">
        <v>13</v>
      </c>
      <c r="B2244" s="313">
        <v>2</v>
      </c>
      <c r="C2244" s="13">
        <v>0</v>
      </c>
      <c r="D2244" s="13">
        <v>2</v>
      </c>
      <c r="E2244" s="11">
        <v>0</v>
      </c>
      <c r="F2244" s="125">
        <v>1</v>
      </c>
      <c r="G2244" s="11">
        <v>4</v>
      </c>
      <c r="H2244" s="11">
        <v>4</v>
      </c>
      <c r="I2244" s="11">
        <f>SUM(CEDRITOS!$B2244:$H2244)</f>
        <v>13</v>
      </c>
      <c r="J2244" s="623">
        <f t="shared" si="1066"/>
        <v>1.8571428571428572</v>
      </c>
    </row>
    <row r="2245" spans="1:10" x14ac:dyDescent="0.25">
      <c r="A2245" s="694" t="s">
        <v>14</v>
      </c>
      <c r="B2245" s="313">
        <v>18</v>
      </c>
      <c r="C2245" s="13">
        <v>19</v>
      </c>
      <c r="D2245" s="320">
        <v>26</v>
      </c>
      <c r="E2245" s="11">
        <v>31</v>
      </c>
      <c r="F2245" s="125">
        <v>74</v>
      </c>
      <c r="G2245" s="11">
        <v>88</v>
      </c>
      <c r="H2245" s="11">
        <v>60</v>
      </c>
      <c r="I2245" s="11">
        <f>SUM(CEDRITOS!$B2245:$H2245)</f>
        <v>316</v>
      </c>
      <c r="J2245" s="623">
        <f t="shared" si="1066"/>
        <v>45.142857142857146</v>
      </c>
    </row>
    <row r="2246" spans="1:10" x14ac:dyDescent="0.25">
      <c r="A2246" s="694" t="s">
        <v>15</v>
      </c>
      <c r="B2246" s="313">
        <v>3</v>
      </c>
      <c r="C2246" s="13">
        <v>1</v>
      </c>
      <c r="D2246" s="13">
        <v>4</v>
      </c>
      <c r="E2246" s="11">
        <v>8</v>
      </c>
      <c r="F2246" s="125">
        <v>13</v>
      </c>
      <c r="G2246" s="11">
        <v>17</v>
      </c>
      <c r="H2246" s="11">
        <v>13</v>
      </c>
      <c r="I2246" s="11">
        <f>SUM(CEDRITOS!$B2246:$H2246)</f>
        <v>59</v>
      </c>
      <c r="J2246" s="623">
        <f t="shared" si="1066"/>
        <v>8.4285714285714288</v>
      </c>
    </row>
    <row r="2247" spans="1:10" x14ac:dyDescent="0.25">
      <c r="A2247" s="694" t="s">
        <v>16</v>
      </c>
      <c r="B2247" s="313">
        <v>0</v>
      </c>
      <c r="C2247" s="13">
        <v>0</v>
      </c>
      <c r="D2247" s="13">
        <v>0</v>
      </c>
      <c r="E2247" s="11">
        <v>2</v>
      </c>
      <c r="F2247" s="125">
        <v>1</v>
      </c>
      <c r="G2247" s="11">
        <v>2</v>
      </c>
      <c r="H2247" s="11">
        <v>0</v>
      </c>
      <c r="I2247" s="11">
        <f>SUM(CEDRITOS!$B2247:$H2247)</f>
        <v>5</v>
      </c>
      <c r="J2247" s="623">
        <f t="shared" si="1066"/>
        <v>0.7142857142857143</v>
      </c>
    </row>
    <row r="2248" spans="1:10" x14ac:dyDescent="0.25">
      <c r="A2248" s="695" t="s">
        <v>17</v>
      </c>
      <c r="B2248" s="707">
        <f>SUM(B2243:B2247)</f>
        <v>62</v>
      </c>
      <c r="C2248" s="192">
        <f t="shared" ref="C2248:I2248" si="1067">SUM(C2243:C2247)</f>
        <v>71</v>
      </c>
      <c r="D2248" s="192">
        <f t="shared" si="1067"/>
        <v>73</v>
      </c>
      <c r="E2248" s="192">
        <f t="shared" si="1067"/>
        <v>83</v>
      </c>
      <c r="F2248" s="192">
        <f t="shared" si="1067"/>
        <v>173</v>
      </c>
      <c r="G2248" s="192">
        <f t="shared" si="1067"/>
        <v>280</v>
      </c>
      <c r="H2248" s="192">
        <f t="shared" si="1067"/>
        <v>199</v>
      </c>
      <c r="I2248" s="192">
        <f t="shared" si="1067"/>
        <v>941</v>
      </c>
      <c r="J2248" s="647">
        <f t="shared" si="1066"/>
        <v>134.42857142857142</v>
      </c>
    </row>
    <row r="2249" spans="1:10" x14ac:dyDescent="0.25">
      <c r="A2249" s="694" t="s">
        <v>18</v>
      </c>
      <c r="B2249" s="690">
        <v>0.67</v>
      </c>
      <c r="C2249" s="326">
        <v>0.76</v>
      </c>
      <c r="D2249" s="326">
        <v>0.55000000000000004</v>
      </c>
      <c r="E2249" s="327">
        <v>0.54</v>
      </c>
      <c r="F2249" s="328">
        <v>0.51</v>
      </c>
      <c r="G2249" s="327">
        <v>0.65</v>
      </c>
      <c r="H2249" s="327">
        <v>0.68</v>
      </c>
      <c r="I2249" s="30">
        <f>I2256/I2261</f>
        <v>0.62211023633690354</v>
      </c>
      <c r="J2249" s="648">
        <f>J2256/J2261</f>
        <v>0.62211023633690354</v>
      </c>
    </row>
    <row r="2250" spans="1:10" x14ac:dyDescent="0.25">
      <c r="A2250" s="694" t="s">
        <v>19</v>
      </c>
      <c r="B2250" s="690">
        <v>0.02</v>
      </c>
      <c r="C2250" s="326">
        <v>0</v>
      </c>
      <c r="D2250" s="326">
        <v>0.1</v>
      </c>
      <c r="E2250" s="327">
        <v>0</v>
      </c>
      <c r="F2250" s="327">
        <v>0</v>
      </c>
      <c r="G2250" s="327">
        <v>0.01</v>
      </c>
      <c r="H2250" s="327">
        <v>0.01</v>
      </c>
      <c r="I2250" s="30">
        <f>I2257/I2261</f>
        <v>1.3844229344261064E-2</v>
      </c>
      <c r="J2250" s="648">
        <f>J2257/J2261</f>
        <v>1.3844229344261064E-2</v>
      </c>
    </row>
    <row r="2251" spans="1:10" x14ac:dyDescent="0.25">
      <c r="A2251" s="694" t="s">
        <v>20</v>
      </c>
      <c r="B2251" s="690">
        <v>0.28000000000000003</v>
      </c>
      <c r="C2251" s="326">
        <v>0.22</v>
      </c>
      <c r="D2251" s="326">
        <v>0.3</v>
      </c>
      <c r="E2251" s="327">
        <v>0.34</v>
      </c>
      <c r="F2251" s="329">
        <v>0.39</v>
      </c>
      <c r="G2251" s="327">
        <v>0.27</v>
      </c>
      <c r="H2251" s="327">
        <v>0.26</v>
      </c>
      <c r="I2251" s="30">
        <f>I2258/I2261</f>
        <v>0.29601744164457511</v>
      </c>
      <c r="J2251" s="648">
        <f>J2258/J2261</f>
        <v>0.29601744164457505</v>
      </c>
    </row>
    <row r="2252" spans="1:10" x14ac:dyDescent="0.25">
      <c r="A2252" s="694" t="s">
        <v>21</v>
      </c>
      <c r="B2252" s="690">
        <v>0.03</v>
      </c>
      <c r="C2252" s="326">
        <v>0.02</v>
      </c>
      <c r="D2252" s="326">
        <v>0.05</v>
      </c>
      <c r="E2252" s="327">
        <v>0.1</v>
      </c>
      <c r="F2252" s="329">
        <v>0.09</v>
      </c>
      <c r="G2252" s="327">
        <v>0.06</v>
      </c>
      <c r="H2252" s="327">
        <v>0.05</v>
      </c>
      <c r="I2252" s="30">
        <f>I2259/I2261</f>
        <v>6.1406561513927108E-2</v>
      </c>
      <c r="J2252" s="648">
        <f>J2259/J2261</f>
        <v>6.1406561513927108E-2</v>
      </c>
    </row>
    <row r="2253" spans="1:10" x14ac:dyDescent="0.25">
      <c r="A2253" s="694" t="s">
        <v>22</v>
      </c>
      <c r="B2253" s="690">
        <v>0</v>
      </c>
      <c r="C2253" s="326">
        <v>0</v>
      </c>
      <c r="D2253" s="326">
        <v>0</v>
      </c>
      <c r="E2253" s="327">
        <v>0.02</v>
      </c>
      <c r="F2253" s="329">
        <v>0.01</v>
      </c>
      <c r="G2253" s="327">
        <v>0.01</v>
      </c>
      <c r="H2253" s="327">
        <v>0</v>
      </c>
      <c r="I2253" s="30">
        <f>I2260/I2261</f>
        <v>6.6215311603332961E-3</v>
      </c>
      <c r="J2253" s="648">
        <f>J2260/J2261</f>
        <v>6.6215311603332961E-3</v>
      </c>
    </row>
    <row r="2254" spans="1:10" x14ac:dyDescent="0.25">
      <c r="A2254" s="696" t="s">
        <v>23</v>
      </c>
      <c r="B2254" s="164">
        <f t="shared" ref="B2254:J2254" si="1068">B2265/B2248</f>
        <v>34283.870967741932</v>
      </c>
      <c r="C2254" s="66">
        <f t="shared" si="1068"/>
        <v>34253.521126760563</v>
      </c>
      <c r="D2254" s="66">
        <f t="shared" si="1068"/>
        <v>33416.438356164392</v>
      </c>
      <c r="E2254" s="66">
        <f t="shared" si="1068"/>
        <v>32930.120481927719</v>
      </c>
      <c r="F2254" s="66">
        <f t="shared" si="1068"/>
        <v>36084.393063583811</v>
      </c>
      <c r="G2254" s="66">
        <f t="shared" si="1068"/>
        <v>35529.285714285717</v>
      </c>
      <c r="H2254" s="66">
        <f t="shared" si="1068"/>
        <v>34651.256281407033</v>
      </c>
      <c r="I2254" s="66">
        <f t="shared" si="1068"/>
        <v>34874.176408076513</v>
      </c>
      <c r="J2254" s="701">
        <f t="shared" si="1068"/>
        <v>34874.176408076521</v>
      </c>
    </row>
    <row r="2255" spans="1:10" x14ac:dyDescent="0.25">
      <c r="A2255" s="696" t="s">
        <v>24</v>
      </c>
      <c r="B2255" s="164">
        <f t="shared" ref="B2255:I2255" si="1069">+B2265/B2242</f>
        <v>29117.808219178081</v>
      </c>
      <c r="C2255" s="66">
        <f t="shared" si="1069"/>
        <v>30784.810126582277</v>
      </c>
      <c r="D2255" s="66">
        <f t="shared" si="1069"/>
        <v>26806.593406593413</v>
      </c>
      <c r="E2255" s="66">
        <f t="shared" si="1069"/>
        <v>27608.080808080813</v>
      </c>
      <c r="F2255" s="66">
        <f t="shared" si="1069"/>
        <v>27622.12389380531</v>
      </c>
      <c r="G2255" s="66">
        <f t="shared" si="1069"/>
        <v>29345.722713864307</v>
      </c>
      <c r="H2255" s="66">
        <f t="shared" si="1069"/>
        <v>28851.882845188284</v>
      </c>
      <c r="I2255" s="66">
        <f t="shared" si="1069"/>
        <v>28635.776614310646</v>
      </c>
      <c r="J2255" s="701">
        <f>J2265/J2242</f>
        <v>28635.776614310646</v>
      </c>
    </row>
    <row r="2256" spans="1:10" x14ac:dyDescent="0.25">
      <c r="A2256" s="694" t="s">
        <v>25</v>
      </c>
      <c r="B2256" s="300">
        <f t="shared" ref="B2256:H2256" si="1070">B2261*B2249</f>
        <v>1164639.4213793105</v>
      </c>
      <c r="C2256" s="92">
        <f t="shared" si="1070"/>
        <v>1499812.6703448277</v>
      </c>
      <c r="D2256" s="92">
        <f t="shared" si="1070"/>
        <v>1102176.3689655175</v>
      </c>
      <c r="E2256" s="92">
        <f t="shared" si="1070"/>
        <v>1217602.2041379313</v>
      </c>
      <c r="F2256" s="92">
        <f t="shared" si="1070"/>
        <v>2641175.619310345</v>
      </c>
      <c r="G2256" s="31">
        <f t="shared" si="1070"/>
        <v>5309244.5137931034</v>
      </c>
      <c r="H2256" s="31">
        <f t="shared" si="1070"/>
        <v>3841982.8358620694</v>
      </c>
      <c r="I2256" s="31">
        <f>SUM(B2256:H2256)</f>
        <v>16776633.633793104</v>
      </c>
      <c r="J2256" s="702">
        <f t="shared" ref="J2256:J2261" si="1071">I2256/7</f>
        <v>2396661.947684729</v>
      </c>
    </row>
    <row r="2257" spans="1:85" x14ac:dyDescent="0.25">
      <c r="A2257" s="694" t="s">
        <v>26</v>
      </c>
      <c r="B2257" s="300">
        <f t="shared" ref="B2257:H2257" si="1072">B2261*B2250</f>
        <v>34765.355862068966</v>
      </c>
      <c r="C2257" s="92">
        <f t="shared" si="1072"/>
        <v>0</v>
      </c>
      <c r="D2257" s="92">
        <f t="shared" si="1072"/>
        <v>200395.70344827592</v>
      </c>
      <c r="E2257" s="92">
        <f t="shared" si="1072"/>
        <v>0</v>
      </c>
      <c r="F2257" s="92">
        <f t="shared" si="1072"/>
        <v>0</v>
      </c>
      <c r="G2257" s="31">
        <f t="shared" si="1072"/>
        <v>81680.684827586214</v>
      </c>
      <c r="H2257" s="31">
        <f t="shared" si="1072"/>
        <v>56499.747586206897</v>
      </c>
      <c r="I2257" s="31">
        <f>SUM(B2257:H2257)</f>
        <v>373341.49172413797</v>
      </c>
      <c r="J2257" s="702">
        <f t="shared" si="1071"/>
        <v>53334.498817733998</v>
      </c>
    </row>
    <row r="2258" spans="1:85" x14ac:dyDescent="0.25">
      <c r="A2258" s="694" t="s">
        <v>27</v>
      </c>
      <c r="B2258" s="300">
        <f t="shared" ref="B2258:H2258" si="1073">B2261*B2251</f>
        <v>486714.98206896556</v>
      </c>
      <c r="C2258" s="92">
        <f t="shared" si="1073"/>
        <v>434156.29931034485</v>
      </c>
      <c r="D2258" s="92">
        <f t="shared" si="1073"/>
        <v>601187.11034482764</v>
      </c>
      <c r="E2258" s="92">
        <f t="shared" si="1073"/>
        <v>766638.42482758639</v>
      </c>
      <c r="F2258" s="92">
        <f t="shared" si="1073"/>
        <v>2019722.5324137933</v>
      </c>
      <c r="G2258" s="31">
        <f t="shared" si="1073"/>
        <v>2205378.4903448275</v>
      </c>
      <c r="H2258" s="31">
        <f t="shared" si="1073"/>
        <v>1468993.4372413794</v>
      </c>
      <c r="I2258" s="31">
        <f>SUM(B2258:H2258)</f>
        <v>7982791.2765517253</v>
      </c>
      <c r="J2258" s="702">
        <f t="shared" si="1071"/>
        <v>1140398.7537931036</v>
      </c>
    </row>
    <row r="2259" spans="1:85" x14ac:dyDescent="0.25">
      <c r="A2259" s="694" t="s">
        <v>28</v>
      </c>
      <c r="B2259" s="300">
        <f t="shared" ref="B2259:H2259" si="1074">B2261*B2252</f>
        <v>52148.033793103452</v>
      </c>
      <c r="C2259" s="92">
        <f t="shared" si="1074"/>
        <v>39468.754482758624</v>
      </c>
      <c r="D2259" s="92">
        <f t="shared" si="1074"/>
        <v>100197.85172413796</v>
      </c>
      <c r="E2259" s="92">
        <f t="shared" si="1074"/>
        <v>225481.88965517248</v>
      </c>
      <c r="F2259" s="92">
        <f t="shared" si="1074"/>
        <v>466089.81517241377</v>
      </c>
      <c r="G2259" s="31">
        <f t="shared" si="1074"/>
        <v>490084.10896551725</v>
      </c>
      <c r="H2259" s="31">
        <f t="shared" si="1074"/>
        <v>282498.73793103447</v>
      </c>
      <c r="I2259" s="31">
        <f>SUM(B2259:H2259)</f>
        <v>1655969.1917241381</v>
      </c>
      <c r="J2259" s="702">
        <f t="shared" si="1071"/>
        <v>236567.0273891626</v>
      </c>
    </row>
    <row r="2260" spans="1:85" x14ac:dyDescent="0.25">
      <c r="A2260" s="694" t="s">
        <v>29</v>
      </c>
      <c r="B2260" s="300">
        <f t="shared" ref="B2260:H2260" si="1075">B2261*B2253</f>
        <v>0</v>
      </c>
      <c r="C2260" s="92">
        <f t="shared" si="1075"/>
        <v>0</v>
      </c>
      <c r="D2260" s="92">
        <f t="shared" si="1075"/>
        <v>0</v>
      </c>
      <c r="E2260" s="92">
        <f t="shared" si="1075"/>
        <v>45096.377931034491</v>
      </c>
      <c r="F2260" s="92">
        <f t="shared" si="1075"/>
        <v>51787.75724137931</v>
      </c>
      <c r="G2260" s="31">
        <f t="shared" si="1075"/>
        <v>81680.684827586214</v>
      </c>
      <c r="H2260" s="31">
        <f t="shared" si="1075"/>
        <v>0</v>
      </c>
      <c r="I2260" s="31">
        <f>SUM(B2260:H2260)</f>
        <v>178564.82</v>
      </c>
      <c r="J2260" s="702">
        <f t="shared" si="1071"/>
        <v>25509.260000000002</v>
      </c>
    </row>
    <row r="2261" spans="1:85" x14ac:dyDescent="0.25">
      <c r="A2261" s="697" t="s">
        <v>30</v>
      </c>
      <c r="B2261" s="691">
        <f>(2125600/1.16)-B2262</f>
        <v>1738267.7931034483</v>
      </c>
      <c r="C2261" s="691">
        <f>(2432000/1.16)-C2262</f>
        <v>1973437.7241379311</v>
      </c>
      <c r="D2261" s="691">
        <f>(2439400/1.16)-D2262</f>
        <v>2003957.034482759</v>
      </c>
      <c r="E2261" s="691">
        <f>(2733200/1.16)-E2262</f>
        <v>2254818.8965517245</v>
      </c>
      <c r="F2261" s="691">
        <f>(6242600/1.16)-F2262</f>
        <v>5178775.7241379311</v>
      </c>
      <c r="G2261" s="691">
        <f>(9948200/1.16)-G2262</f>
        <v>8168068.4827586208</v>
      </c>
      <c r="H2261" s="691">
        <f>(6895600/1.16)-H2262</f>
        <v>5649974.7586206896</v>
      </c>
      <c r="I2261" s="197">
        <f>SUM(I2256:I2260)</f>
        <v>26967300.413793102</v>
      </c>
      <c r="J2261" s="703">
        <f t="shared" si="1071"/>
        <v>3852471.487684729</v>
      </c>
    </row>
    <row r="2262" spans="1:85" x14ac:dyDescent="0.25">
      <c r="A2262" s="694" t="s">
        <v>31</v>
      </c>
      <c r="B2262" s="300">
        <f t="shared" ref="B2262:I2262" si="1076">2414*B2243</f>
        <v>94146</v>
      </c>
      <c r="C2262" s="92">
        <f t="shared" si="1076"/>
        <v>123114</v>
      </c>
      <c r="D2262" s="92">
        <f t="shared" si="1076"/>
        <v>98974</v>
      </c>
      <c r="E2262" s="92">
        <f t="shared" si="1076"/>
        <v>101388</v>
      </c>
      <c r="F2262" s="92">
        <f t="shared" si="1076"/>
        <v>202776</v>
      </c>
      <c r="G2262" s="92">
        <f t="shared" si="1076"/>
        <v>407966</v>
      </c>
      <c r="H2262" s="92">
        <f t="shared" si="1076"/>
        <v>294508</v>
      </c>
      <c r="I2262" s="31">
        <f t="shared" si="1076"/>
        <v>1322872</v>
      </c>
      <c r="J2262" s="702">
        <f>+J2243*2414</f>
        <v>188981.71428571429</v>
      </c>
    </row>
    <row r="2263" spans="1:85" x14ac:dyDescent="0.25">
      <c r="A2263" s="698" t="s">
        <v>32</v>
      </c>
      <c r="B2263" s="342">
        <f>B2262+B2261</f>
        <v>1832413.7931034483</v>
      </c>
      <c r="C2263" s="199">
        <f>C2262+C2261</f>
        <v>2096551.7241379311</v>
      </c>
      <c r="D2263" s="199">
        <f>D2262+D2261</f>
        <v>2102931.034482759</v>
      </c>
      <c r="E2263" s="199">
        <f>E2262+E2261</f>
        <v>2356206.8965517245</v>
      </c>
      <c r="F2263" s="199">
        <f>F2261+F2262</f>
        <v>5381551.7241379311</v>
      </c>
      <c r="G2263" s="199">
        <f>G2262+G2261</f>
        <v>8576034.4827586208</v>
      </c>
      <c r="H2263" s="199">
        <f>H2262+H2261</f>
        <v>5944482.7586206896</v>
      </c>
      <c r="I2263" s="199">
        <f>I2261+I2262</f>
        <v>28290172.413793102</v>
      </c>
      <c r="J2263" s="704">
        <f>I2263/7</f>
        <v>4041453.2019704431</v>
      </c>
    </row>
    <row r="2264" spans="1:85" x14ac:dyDescent="0.25">
      <c r="A2264" s="694" t="s">
        <v>33</v>
      </c>
      <c r="B2264" s="302">
        <f>B2263*16%</f>
        <v>293186.20689655177</v>
      </c>
      <c r="C2264" s="94">
        <f t="shared" ref="C2264:H2264" si="1077">C2263*16%</f>
        <v>335448.27586206899</v>
      </c>
      <c r="D2264" s="94">
        <f t="shared" si="1077"/>
        <v>336468.96551724145</v>
      </c>
      <c r="E2264" s="94">
        <f t="shared" si="1077"/>
        <v>376993.10344827594</v>
      </c>
      <c r="F2264" s="94">
        <f t="shared" si="1077"/>
        <v>861048.27586206899</v>
      </c>
      <c r="G2264" s="94">
        <f t="shared" si="1077"/>
        <v>1372165.5172413792</v>
      </c>
      <c r="H2264" s="94">
        <f t="shared" si="1077"/>
        <v>951117.24137931038</v>
      </c>
      <c r="I2264" s="94">
        <f>I2263*16%</f>
        <v>4526427.5862068962</v>
      </c>
      <c r="J2264" s="702">
        <f>I2264/7</f>
        <v>646632.51231527084</v>
      </c>
    </row>
    <row r="2265" spans="1:85" ht="15.75" thickBot="1" x14ac:dyDescent="0.3">
      <c r="A2265" s="699" t="s">
        <v>34</v>
      </c>
      <c r="B2265" s="708">
        <f>B2263+B2264</f>
        <v>2125600</v>
      </c>
      <c r="C2265" s="656">
        <f t="shared" ref="C2265:H2265" si="1078">C2263+C2264</f>
        <v>2432000</v>
      </c>
      <c r="D2265" s="656">
        <f t="shared" si="1078"/>
        <v>2439400.0000000005</v>
      </c>
      <c r="E2265" s="656">
        <f t="shared" si="1078"/>
        <v>2733200.0000000005</v>
      </c>
      <c r="F2265" s="656">
        <f t="shared" si="1078"/>
        <v>6242600</v>
      </c>
      <c r="G2265" s="656">
        <f t="shared" si="1078"/>
        <v>9948200</v>
      </c>
      <c r="H2265" s="656">
        <f t="shared" si="1078"/>
        <v>6895600</v>
      </c>
      <c r="I2265" s="656">
        <f>I2263+I2264</f>
        <v>32816600</v>
      </c>
      <c r="J2265" s="705">
        <f>I2265/7</f>
        <v>4688085.7142857146</v>
      </c>
    </row>
    <row r="2266" spans="1:85" ht="15.75" thickBot="1" x14ac:dyDescent="0.3"/>
    <row r="2267" spans="1:85" ht="26.25" x14ac:dyDescent="0.25">
      <c r="B2267" s="1002" t="s">
        <v>401</v>
      </c>
      <c r="C2267" s="1002"/>
      <c r="D2267" s="1002"/>
      <c r="E2267" s="1002"/>
      <c r="F2267" s="1002"/>
      <c r="G2267" s="1002"/>
      <c r="H2267" s="1002"/>
    </row>
    <row r="2268" spans="1:85" ht="15.75" x14ac:dyDescent="0.25">
      <c r="A2268" s="187" t="s">
        <v>2</v>
      </c>
      <c r="B2268" s="50" t="s">
        <v>353</v>
      </c>
      <c r="C2268" s="50" t="s">
        <v>354</v>
      </c>
      <c r="D2268" s="50" t="s">
        <v>355</v>
      </c>
      <c r="E2268" s="50" t="s">
        <v>356</v>
      </c>
      <c r="F2268" s="50" t="s">
        <v>357</v>
      </c>
      <c r="G2268" s="50" t="s">
        <v>69</v>
      </c>
      <c r="H2268" s="50" t="s">
        <v>358</v>
      </c>
      <c r="I2268" s="50" t="s">
        <v>359</v>
      </c>
      <c r="J2268" s="50" t="s">
        <v>98</v>
      </c>
      <c r="K2268" s="50" t="s">
        <v>106</v>
      </c>
      <c r="L2268" s="50" t="s">
        <v>114</v>
      </c>
      <c r="M2268" s="50" t="s">
        <v>122</v>
      </c>
      <c r="N2268" s="50" t="s">
        <v>130</v>
      </c>
      <c r="O2268" s="50" t="s">
        <v>138</v>
      </c>
      <c r="P2268" s="50" t="s">
        <v>146</v>
      </c>
      <c r="Q2268" s="50" t="s">
        <v>154</v>
      </c>
      <c r="R2268" s="50" t="s">
        <v>162</v>
      </c>
      <c r="S2268" s="50" t="s">
        <v>166</v>
      </c>
      <c r="T2268" s="50" t="s">
        <v>169</v>
      </c>
      <c r="U2268" s="50" t="s">
        <v>360</v>
      </c>
      <c r="V2268" s="50" t="s">
        <v>361</v>
      </c>
      <c r="W2268" s="50" t="s">
        <v>362</v>
      </c>
      <c r="X2268" s="50" t="s">
        <v>363</v>
      </c>
      <c r="Y2268" s="50" t="s">
        <v>364</v>
      </c>
      <c r="Z2268" s="50" t="s">
        <v>365</v>
      </c>
      <c r="AA2268" s="50" t="s">
        <v>366</v>
      </c>
      <c r="AB2268" s="50" t="s">
        <v>367</v>
      </c>
      <c r="AC2268" s="50" t="s">
        <v>368</v>
      </c>
      <c r="AD2268" s="50" t="s">
        <v>369</v>
      </c>
      <c r="AE2268" s="50" t="s">
        <v>370</v>
      </c>
      <c r="AF2268" s="50" t="s">
        <v>371</v>
      </c>
      <c r="AG2268" s="50" t="s">
        <v>372</v>
      </c>
      <c r="AH2268" s="50" t="s">
        <v>373</v>
      </c>
      <c r="AI2268" s="50" t="s">
        <v>374</v>
      </c>
      <c r="AJ2268" s="50" t="s">
        <v>375</v>
      </c>
      <c r="AK2268" s="50" t="s">
        <v>376</v>
      </c>
      <c r="AL2268" s="50" t="s">
        <v>377</v>
      </c>
      <c r="AM2268" s="50" t="s">
        <v>378</v>
      </c>
      <c r="AN2268" s="50" t="s">
        <v>379</v>
      </c>
      <c r="AO2268" s="50" t="s">
        <v>380</v>
      </c>
      <c r="AP2268" s="50" t="s">
        <v>381</v>
      </c>
      <c r="AQ2268" s="50" t="s">
        <v>382</v>
      </c>
      <c r="AR2268" s="50" t="s">
        <v>383</v>
      </c>
      <c r="AS2268" s="50" t="s">
        <v>384</v>
      </c>
      <c r="AT2268" s="50" t="s">
        <v>385</v>
      </c>
      <c r="AU2268" s="50" t="s">
        <v>386</v>
      </c>
      <c r="AV2268" s="50" t="s">
        <v>387</v>
      </c>
      <c r="AW2268" s="50" t="s">
        <v>388</v>
      </c>
      <c r="AX2268" s="50" t="s">
        <v>389</v>
      </c>
      <c r="AY2268" s="50" t="s">
        <v>390</v>
      </c>
      <c r="AZ2268" s="50" t="s">
        <v>391</v>
      </c>
      <c r="BA2268" s="50" t="s">
        <v>392</v>
      </c>
      <c r="BB2268" s="50" t="s">
        <v>393</v>
      </c>
      <c r="BC2268" s="50" t="s">
        <v>394</v>
      </c>
      <c r="BD2268" s="50" t="s">
        <v>395</v>
      </c>
      <c r="BE2268" s="50" t="s">
        <v>396</v>
      </c>
      <c r="BF2268" s="50" t="s">
        <v>397</v>
      </c>
      <c r="BG2268" s="50" t="s">
        <v>398</v>
      </c>
      <c r="BH2268" s="50" t="s">
        <v>399</v>
      </c>
      <c r="BI2268" s="50" t="s">
        <v>607</v>
      </c>
      <c r="BJ2268" s="50" t="s">
        <v>618</v>
      </c>
      <c r="BK2268" s="50" t="s">
        <v>620</v>
      </c>
      <c r="BL2268" s="50" t="s">
        <v>624</v>
      </c>
      <c r="BM2268" s="50" t="s">
        <v>627</v>
      </c>
      <c r="BN2268" s="50" t="s">
        <v>631</v>
      </c>
      <c r="BO2268" s="50" t="s">
        <v>634</v>
      </c>
      <c r="BP2268" s="50" t="s">
        <v>637</v>
      </c>
      <c r="BQ2268" s="50" t="s">
        <v>640</v>
      </c>
      <c r="BR2268" s="50" t="s">
        <v>643</v>
      </c>
      <c r="BS2268" s="50" t="s">
        <v>646</v>
      </c>
      <c r="BT2268" s="50" t="s">
        <v>649</v>
      </c>
      <c r="BU2268" s="50" t="s">
        <v>652</v>
      </c>
      <c r="BV2268" s="50" t="s">
        <v>656</v>
      </c>
      <c r="BW2268" s="50" t="s">
        <v>660</v>
      </c>
      <c r="BX2268" s="50" t="s">
        <v>663</v>
      </c>
      <c r="BY2268" s="50" t="s">
        <v>667</v>
      </c>
      <c r="BZ2268" s="50" t="s">
        <v>670</v>
      </c>
      <c r="CA2268" s="50" t="s">
        <v>675</v>
      </c>
      <c r="CB2268" s="50" t="s">
        <v>678</v>
      </c>
      <c r="CC2268" s="50" t="s">
        <v>681</v>
      </c>
      <c r="CD2268" s="50" t="s">
        <v>685</v>
      </c>
      <c r="CE2268" s="50" t="s">
        <v>687</v>
      </c>
      <c r="CF2268" s="50" t="s">
        <v>96</v>
      </c>
      <c r="CG2268" s="52" t="s">
        <v>400</v>
      </c>
    </row>
    <row r="2269" spans="1:85" x14ac:dyDescent="0.25">
      <c r="A2269" s="332" t="s">
        <v>11</v>
      </c>
      <c r="B2269" s="56">
        <f t="shared" ref="B2269:B2292" si="1079">+I5</f>
        <v>669</v>
      </c>
      <c r="C2269" s="56">
        <f t="shared" ref="C2269:C2292" si="1080">+I32</f>
        <v>967</v>
      </c>
      <c r="D2269" s="56">
        <f t="shared" ref="D2269:D2292" si="1081">+I60</f>
        <v>1005</v>
      </c>
      <c r="E2269" s="56">
        <f t="shared" ref="E2269:E2292" si="1082">+I88</f>
        <v>824</v>
      </c>
      <c r="F2269" s="57">
        <v>834</v>
      </c>
      <c r="G2269" s="57">
        <v>947</v>
      </c>
      <c r="H2269" s="57">
        <f t="shared" ref="H2269:H2274" si="1083">I172</f>
        <v>1109</v>
      </c>
      <c r="I2269" s="389">
        <f t="shared" ref="I2269:I2292" si="1084">I200</f>
        <v>1168</v>
      </c>
      <c r="J2269" s="389">
        <f t="shared" ref="J2269:J2292" si="1085">I228</f>
        <v>1315</v>
      </c>
      <c r="K2269" s="389">
        <f t="shared" ref="K2269:K2292" si="1086">I257</f>
        <v>1137</v>
      </c>
      <c r="L2269" s="389">
        <f t="shared" ref="L2269:L2292" si="1087">I285</f>
        <v>1122</v>
      </c>
      <c r="M2269" s="389">
        <f t="shared" ref="M2269:M2292" si="1088">I313</f>
        <v>940</v>
      </c>
      <c r="N2269" s="389">
        <f t="shared" ref="N2269:N2292" si="1089">I340</f>
        <v>972</v>
      </c>
      <c r="O2269" s="389">
        <f t="shared" ref="O2269:O2292" si="1090">I367</f>
        <v>1423</v>
      </c>
      <c r="P2269" s="389">
        <f t="shared" ref="P2269:P2292" si="1091">I394</f>
        <v>1312</v>
      </c>
      <c r="Q2269" s="389">
        <f t="shared" ref="Q2269:Q2292" si="1092">I421</f>
        <v>1256</v>
      </c>
      <c r="R2269" s="389">
        <f t="shared" ref="R2269:R2292" si="1093">I448</f>
        <v>1103</v>
      </c>
      <c r="S2269" s="389">
        <f t="shared" ref="S2269:S2292" si="1094">I475</f>
        <v>1206</v>
      </c>
      <c r="T2269" s="389">
        <f t="shared" ref="T2269:T2292" si="1095">I502</f>
        <v>1540</v>
      </c>
      <c r="U2269" s="389">
        <f t="shared" ref="U2269:U2292" si="1096">I530</f>
        <v>1414</v>
      </c>
      <c r="V2269" s="389">
        <f t="shared" ref="V2269:V2292" si="1097">I558</f>
        <v>1458</v>
      </c>
      <c r="W2269" s="389">
        <f t="shared" ref="W2269:W2292" si="1098">I615</f>
        <v>1494</v>
      </c>
      <c r="X2269" s="390">
        <f t="shared" ref="X2269:X2292" si="1099">+I643</f>
        <v>1516</v>
      </c>
      <c r="Y2269" s="389">
        <f t="shared" ref="Y2269:Y2292" si="1100">+I671</f>
        <v>1529</v>
      </c>
      <c r="Z2269" s="389">
        <f t="shared" ref="Z2269:Z2292" si="1101">+I699</f>
        <v>1468</v>
      </c>
      <c r="AA2269" s="389">
        <f t="shared" ref="AA2269:AA2292" si="1102">+I727</f>
        <v>1692</v>
      </c>
      <c r="AB2269" s="389">
        <f t="shared" ref="AB2269:AB2292" si="1103">+I755</f>
        <v>1595</v>
      </c>
      <c r="AC2269" s="389">
        <f t="shared" ref="AC2269:AC2292" si="1104">+I783</f>
        <v>1305</v>
      </c>
      <c r="AD2269" s="389">
        <f t="shared" ref="AD2269:AD2292" si="1105">+I810</f>
        <v>1654</v>
      </c>
      <c r="AE2269" s="389">
        <f t="shared" ref="AE2269:AE2292" si="1106">+I838</f>
        <v>1770</v>
      </c>
      <c r="AF2269" s="389">
        <f t="shared" ref="AF2269:AF2292" si="1107">+I865</f>
        <v>1787</v>
      </c>
      <c r="AG2269" s="389">
        <f t="shared" ref="AG2269:AG2292" si="1108">+I892</f>
        <v>1838</v>
      </c>
      <c r="AH2269" s="389">
        <f t="shared" ref="AH2269:AH2292" si="1109">+I919</f>
        <v>1914</v>
      </c>
      <c r="AI2269" s="389">
        <f t="shared" ref="AI2269:AI2292" si="1110">+I946</f>
        <v>1743</v>
      </c>
      <c r="AJ2269" s="389">
        <f t="shared" ref="AJ2269:AJ2292" si="1111">+I973</f>
        <v>1618</v>
      </c>
      <c r="AK2269" s="389">
        <f t="shared" ref="AK2269:AK2292" si="1112">+I1000</f>
        <v>1615</v>
      </c>
      <c r="AL2269" s="389">
        <f t="shared" ref="AL2269:AL2292" si="1113">+I1027</f>
        <v>1584</v>
      </c>
      <c r="AM2269" s="389">
        <f t="shared" ref="AM2269:AM2292" si="1114">+I1054</f>
        <v>1554</v>
      </c>
      <c r="AN2269" s="389">
        <f t="shared" ref="AN2269:AN2292" si="1115">+I1081</f>
        <v>1595</v>
      </c>
      <c r="AO2269" s="389">
        <f t="shared" ref="AO2269:AO2292" si="1116">+I1108</f>
        <v>1823</v>
      </c>
      <c r="AP2269" s="389">
        <f t="shared" ref="AP2269:AP2292" si="1117">+I1135</f>
        <v>1542</v>
      </c>
      <c r="AQ2269" s="389">
        <f t="shared" ref="AQ2269:AQ2292" si="1118">+I1162</f>
        <v>1562</v>
      </c>
      <c r="AR2269" s="389">
        <f t="shared" ref="AR2269:AR2292" si="1119">+I1189</f>
        <v>1669</v>
      </c>
      <c r="AS2269" s="389">
        <f t="shared" ref="AS2269:AS2292" si="1120">+I1216</f>
        <v>1833</v>
      </c>
      <c r="AT2269" s="389">
        <f t="shared" ref="AT2269:AT2292" si="1121">+I1243</f>
        <v>1524</v>
      </c>
      <c r="AU2269" s="389">
        <f t="shared" ref="AU2269:AU2292" si="1122">+I1270</f>
        <v>1789</v>
      </c>
      <c r="AV2269" s="389">
        <f t="shared" ref="AV2269:AV2292" si="1123">+I1297</f>
        <v>1604</v>
      </c>
      <c r="AW2269" s="389">
        <f t="shared" ref="AW2269:AW2292" si="1124">+I1324</f>
        <v>1547</v>
      </c>
      <c r="AX2269" s="389">
        <f t="shared" ref="AX2269:AX2292" si="1125">+I1351</f>
        <v>1480</v>
      </c>
      <c r="AY2269" s="389">
        <f t="shared" ref="AY2269:AY2292" si="1126">+I1378</f>
        <v>1594</v>
      </c>
      <c r="AZ2269" s="389">
        <f t="shared" ref="AZ2269:AZ2292" si="1127">+I1405</f>
        <v>1385</v>
      </c>
      <c r="BA2269" s="389">
        <f t="shared" ref="BA2269:BA2292" si="1128">+I1432</f>
        <v>1491</v>
      </c>
      <c r="BB2269" s="389">
        <f t="shared" ref="BB2269:BB2292" si="1129">+I1459</f>
        <v>1417</v>
      </c>
      <c r="BC2269" s="389">
        <f t="shared" ref="BC2269:BC2292" si="1130">+I1486</f>
        <v>1474</v>
      </c>
      <c r="BD2269" s="389">
        <f>+I1513</f>
        <v>1436</v>
      </c>
      <c r="BE2269" s="389">
        <f>+I1540</f>
        <v>1364</v>
      </c>
      <c r="BF2269" s="389">
        <f>+I1567</f>
        <v>1485</v>
      </c>
      <c r="BG2269" s="389">
        <f>+I1594</f>
        <v>1400</v>
      </c>
      <c r="BH2269" s="389">
        <f>+I1621</f>
        <v>1646</v>
      </c>
      <c r="BI2269" s="389">
        <f>+I1648</f>
        <v>1409</v>
      </c>
      <c r="BJ2269" s="389">
        <f>+I1675</f>
        <v>1502</v>
      </c>
      <c r="BK2269" s="389">
        <f>+I1702</f>
        <v>1540</v>
      </c>
      <c r="BL2269" s="389">
        <f>+I1729</f>
        <v>1573</v>
      </c>
      <c r="BM2269" s="389">
        <f>+I1756</f>
        <v>1562</v>
      </c>
      <c r="BN2269" s="389">
        <f>+I1783</f>
        <v>1513</v>
      </c>
      <c r="BO2269" s="389">
        <f>+I1810</f>
        <v>1617</v>
      </c>
      <c r="BP2269" s="389">
        <f>+I1837</f>
        <v>1385</v>
      </c>
      <c r="BQ2269" s="389">
        <f>+I1864</f>
        <v>1138</v>
      </c>
      <c r="BR2269" s="389">
        <f>+I1891</f>
        <v>1078</v>
      </c>
      <c r="BS2269" s="389">
        <f>+I1918</f>
        <v>1172</v>
      </c>
      <c r="BT2269" s="389">
        <f>+I1945</f>
        <v>1350</v>
      </c>
      <c r="BU2269" s="389">
        <f>+I1972</f>
        <v>1419</v>
      </c>
      <c r="BV2269" s="389">
        <f>+I1999</f>
        <v>1283</v>
      </c>
      <c r="BW2269" s="389">
        <f>+I2026</f>
        <v>1332</v>
      </c>
      <c r="BX2269" s="389">
        <f>+I2053</f>
        <v>1348</v>
      </c>
      <c r="BY2269" s="389">
        <f>+I2080</f>
        <v>1308</v>
      </c>
      <c r="BZ2269" s="389">
        <f>+I2107</f>
        <v>1334</v>
      </c>
      <c r="CA2269" s="389">
        <f>+I2134</f>
        <v>1462</v>
      </c>
      <c r="CB2269" s="389">
        <f>+I2161</f>
        <v>1498</v>
      </c>
      <c r="CC2269" s="389">
        <f>+I2188</f>
        <v>1395</v>
      </c>
      <c r="CD2269" s="389">
        <f>+I2215</f>
        <v>1498</v>
      </c>
      <c r="CE2269" s="389">
        <f>+I2242</f>
        <v>1146</v>
      </c>
      <c r="CF2269" s="56">
        <f>+SUM(CEDRITOS!$B2269:$CE2269)</f>
        <v>115919</v>
      </c>
      <c r="CG2269" s="333">
        <f>+CEDRITOS!$CF2269/82</f>
        <v>1413.6463414634147</v>
      </c>
    </row>
    <row r="2270" spans="1:85" x14ac:dyDescent="0.25">
      <c r="A2270" s="212" t="s">
        <v>12</v>
      </c>
      <c r="B2270" s="11">
        <f t="shared" si="1079"/>
        <v>193</v>
      </c>
      <c r="C2270" s="11">
        <f t="shared" si="1080"/>
        <v>341</v>
      </c>
      <c r="D2270" s="11">
        <f t="shared" si="1081"/>
        <v>349</v>
      </c>
      <c r="E2270" s="11">
        <f t="shared" si="1082"/>
        <v>320</v>
      </c>
      <c r="F2270" s="11">
        <v>340</v>
      </c>
      <c r="G2270" s="11">
        <v>386</v>
      </c>
      <c r="H2270" s="11">
        <f t="shared" si="1083"/>
        <v>520</v>
      </c>
      <c r="I2270" s="391">
        <f t="shared" si="1084"/>
        <v>688</v>
      </c>
      <c r="J2270" s="391">
        <f t="shared" si="1085"/>
        <v>991</v>
      </c>
      <c r="K2270" s="391">
        <f t="shared" si="1086"/>
        <v>915</v>
      </c>
      <c r="L2270" s="391">
        <f t="shared" si="1087"/>
        <v>828</v>
      </c>
      <c r="M2270" s="391">
        <f t="shared" si="1088"/>
        <v>671</v>
      </c>
      <c r="N2270" s="391">
        <f t="shared" si="1089"/>
        <v>718</v>
      </c>
      <c r="O2270" s="391">
        <f t="shared" si="1090"/>
        <v>750</v>
      </c>
      <c r="P2270" s="391">
        <f t="shared" si="1091"/>
        <v>702</v>
      </c>
      <c r="Q2270" s="391">
        <f t="shared" si="1092"/>
        <v>576</v>
      </c>
      <c r="R2270" s="391">
        <f t="shared" si="1093"/>
        <v>494</v>
      </c>
      <c r="S2270" s="391">
        <f t="shared" si="1094"/>
        <v>534</v>
      </c>
      <c r="T2270" s="391">
        <f t="shared" si="1095"/>
        <v>753</v>
      </c>
      <c r="U2270" s="391">
        <f t="shared" si="1096"/>
        <v>682</v>
      </c>
      <c r="V2270" s="391">
        <f t="shared" si="1097"/>
        <v>702</v>
      </c>
      <c r="W2270" s="391">
        <f t="shared" si="1098"/>
        <v>773</v>
      </c>
      <c r="X2270" s="391">
        <f t="shared" si="1099"/>
        <v>837</v>
      </c>
      <c r="Y2270" s="391">
        <f t="shared" si="1100"/>
        <v>778</v>
      </c>
      <c r="Z2270" s="391">
        <f t="shared" si="1101"/>
        <v>784</v>
      </c>
      <c r="AA2270" s="391">
        <f t="shared" si="1102"/>
        <v>935</v>
      </c>
      <c r="AB2270" s="391">
        <f t="shared" si="1103"/>
        <v>794</v>
      </c>
      <c r="AC2270" s="391">
        <f t="shared" si="1104"/>
        <v>696</v>
      </c>
      <c r="AD2270" s="391">
        <f t="shared" si="1105"/>
        <v>882</v>
      </c>
      <c r="AE2270" s="391">
        <f t="shared" si="1106"/>
        <v>828</v>
      </c>
      <c r="AF2270" s="391">
        <f t="shared" si="1107"/>
        <v>902</v>
      </c>
      <c r="AG2270" s="391">
        <f t="shared" si="1108"/>
        <v>898</v>
      </c>
      <c r="AH2270" s="391">
        <f t="shared" si="1109"/>
        <v>887</v>
      </c>
      <c r="AI2270" s="391">
        <f t="shared" si="1110"/>
        <v>915</v>
      </c>
      <c r="AJ2270" s="391">
        <f t="shared" si="1111"/>
        <v>769</v>
      </c>
      <c r="AK2270" s="391">
        <f t="shared" si="1112"/>
        <v>888</v>
      </c>
      <c r="AL2270" s="391">
        <f t="shared" si="1113"/>
        <v>807</v>
      </c>
      <c r="AM2270" s="391">
        <f t="shared" si="1114"/>
        <v>826</v>
      </c>
      <c r="AN2270" s="391">
        <f t="shared" si="1115"/>
        <v>851</v>
      </c>
      <c r="AO2270" s="391">
        <f t="shared" si="1116"/>
        <v>995</v>
      </c>
      <c r="AP2270" s="391">
        <f t="shared" si="1117"/>
        <v>773</v>
      </c>
      <c r="AQ2270" s="391">
        <f t="shared" si="1118"/>
        <v>803</v>
      </c>
      <c r="AR2270" s="391">
        <f t="shared" si="1119"/>
        <v>845</v>
      </c>
      <c r="AS2270" s="391">
        <f t="shared" si="1120"/>
        <v>916</v>
      </c>
      <c r="AT2270" s="391">
        <f t="shared" si="1121"/>
        <v>727</v>
      </c>
      <c r="AU2270" s="391">
        <f t="shared" si="1122"/>
        <v>864</v>
      </c>
      <c r="AV2270" s="391">
        <f t="shared" si="1123"/>
        <v>840</v>
      </c>
      <c r="AW2270" s="391">
        <f t="shared" si="1124"/>
        <v>811</v>
      </c>
      <c r="AX2270" s="391">
        <f t="shared" si="1125"/>
        <v>749</v>
      </c>
      <c r="AY2270" s="391">
        <f t="shared" si="1126"/>
        <v>820</v>
      </c>
      <c r="AZ2270" s="391">
        <f t="shared" si="1127"/>
        <v>709</v>
      </c>
      <c r="BA2270" s="391">
        <f t="shared" si="1128"/>
        <v>763</v>
      </c>
      <c r="BB2270" s="391">
        <f t="shared" si="1129"/>
        <v>700</v>
      </c>
      <c r="BC2270" s="392">
        <f t="shared" si="1130"/>
        <v>736</v>
      </c>
      <c r="BD2270" s="392">
        <f t="shared" ref="BD2270:BD2292" si="1131">+I1514</f>
        <v>735</v>
      </c>
      <c r="BE2270" s="392">
        <f t="shared" ref="BE2270:BE2292" si="1132">+I1541</f>
        <v>682</v>
      </c>
      <c r="BF2270" s="392">
        <f t="shared" ref="BF2270:BF2292" si="1133">+I1568</f>
        <v>741</v>
      </c>
      <c r="BG2270" s="392">
        <f t="shared" ref="BG2270:BG2292" si="1134">+I1595</f>
        <v>718</v>
      </c>
      <c r="BH2270" s="392">
        <f t="shared" ref="BH2270:BH2292" si="1135">+I1622</f>
        <v>863</v>
      </c>
      <c r="BI2270" s="392">
        <f t="shared" ref="BI2270:BI2292" si="1136">+I1649</f>
        <v>674</v>
      </c>
      <c r="BJ2270" s="392">
        <f t="shared" ref="BJ2270:BJ2292" si="1137">+I1676</f>
        <v>778</v>
      </c>
      <c r="BK2270" s="392">
        <f t="shared" ref="BK2270:BK2292" si="1138">+I1703</f>
        <v>848</v>
      </c>
      <c r="BL2270" s="392">
        <f t="shared" ref="BL2270:BL2292" si="1139">+I1730</f>
        <v>867</v>
      </c>
      <c r="BM2270" s="392">
        <f t="shared" ref="BM2270:BM2292" si="1140">+I1757</f>
        <v>860</v>
      </c>
      <c r="BN2270" s="392">
        <f t="shared" ref="BN2270:BN2292" si="1141">+I1784</f>
        <v>858</v>
      </c>
      <c r="BO2270" s="392">
        <f t="shared" ref="BO2270:BO2292" si="1142">+I1811</f>
        <v>842</v>
      </c>
      <c r="BP2270" s="392">
        <f t="shared" ref="BP2270:BP2292" si="1143">+I1838</f>
        <v>721</v>
      </c>
      <c r="BQ2270" s="392">
        <f t="shared" ref="BQ2270:BQ2292" si="1144">+I1865</f>
        <v>565</v>
      </c>
      <c r="BR2270" s="392">
        <f t="shared" ref="BR2270:BR2292" si="1145">+I1892</f>
        <v>477</v>
      </c>
      <c r="BS2270" s="392">
        <f t="shared" ref="BS2270:BS2292" si="1146">+I1919</f>
        <v>565</v>
      </c>
      <c r="BT2270" s="392">
        <f t="shared" ref="BT2270:BT2292" si="1147">+I1946</f>
        <v>690</v>
      </c>
      <c r="BU2270" s="392">
        <f t="shared" ref="BU2270:BU2292" si="1148">+I1973</f>
        <v>721</v>
      </c>
      <c r="BV2270" s="392">
        <f t="shared" ref="BV2270:BV2292" si="1149">+I2000</f>
        <v>656</v>
      </c>
      <c r="BW2270" s="392">
        <f t="shared" ref="BW2270:BW2292" si="1150">+I2027</f>
        <v>720</v>
      </c>
      <c r="BX2270" s="392">
        <f t="shared" ref="BX2270:BX2292" si="1151">+I2054</f>
        <v>723</v>
      </c>
      <c r="BY2270" s="392">
        <f t="shared" ref="BY2270:BY2292" si="1152">+I2081</f>
        <v>673</v>
      </c>
      <c r="BZ2270" s="392">
        <f t="shared" ref="BZ2270:BZ2292" si="1153">+I2108</f>
        <v>712</v>
      </c>
      <c r="CA2270" s="392">
        <f t="shared" ref="CA2270:CA2292" si="1154">+I2135</f>
        <v>789</v>
      </c>
      <c r="CB2270" s="392">
        <f t="shared" ref="CB2270:CB2292" si="1155">+I2162</f>
        <v>783</v>
      </c>
      <c r="CC2270" s="392">
        <f t="shared" ref="CC2270:CC2292" si="1156">+I2189</f>
        <v>733</v>
      </c>
      <c r="CD2270" s="392">
        <f t="shared" ref="CD2270:CD2292" si="1157">+I2216</f>
        <v>795</v>
      </c>
      <c r="CE2270" s="392">
        <f t="shared" ref="CE2270:CE2292" si="1158">+I2243</f>
        <v>548</v>
      </c>
      <c r="CF2270" s="11">
        <f>+SUM(CEDRITOS!$B2270:$CE2270)</f>
        <v>59891</v>
      </c>
      <c r="CG2270" s="60">
        <f>+CEDRITOS!$CF2270/82</f>
        <v>730.3780487804878</v>
      </c>
    </row>
    <row r="2271" spans="1:85" x14ac:dyDescent="0.25">
      <c r="A2271" s="212" t="s">
        <v>13</v>
      </c>
      <c r="B2271" s="11">
        <f t="shared" si="1079"/>
        <v>197</v>
      </c>
      <c r="C2271" s="11">
        <f t="shared" si="1080"/>
        <v>250</v>
      </c>
      <c r="D2271" s="11">
        <f t="shared" si="1081"/>
        <v>241</v>
      </c>
      <c r="E2271" s="11">
        <f t="shared" si="1082"/>
        <v>178</v>
      </c>
      <c r="F2271" s="11">
        <v>87</v>
      </c>
      <c r="G2271" s="11">
        <v>32</v>
      </c>
      <c r="H2271" s="11">
        <f t="shared" si="1083"/>
        <v>6</v>
      </c>
      <c r="I2271" s="391">
        <f t="shared" si="1084"/>
        <v>1</v>
      </c>
      <c r="J2271" s="391">
        <f t="shared" si="1085"/>
        <v>1</v>
      </c>
      <c r="K2271" s="391">
        <f t="shared" si="1086"/>
        <v>1</v>
      </c>
      <c r="L2271" s="391">
        <f t="shared" si="1087"/>
        <v>4</v>
      </c>
      <c r="M2271" s="391">
        <f t="shared" si="1088"/>
        <v>2</v>
      </c>
      <c r="N2271" s="391">
        <f t="shared" si="1089"/>
        <v>0</v>
      </c>
      <c r="O2271" s="391">
        <f t="shared" si="1090"/>
        <v>4</v>
      </c>
      <c r="P2271" s="391">
        <f t="shared" si="1091"/>
        <v>0</v>
      </c>
      <c r="Q2271" s="391">
        <f t="shared" si="1092"/>
        <v>18</v>
      </c>
      <c r="R2271" s="391">
        <f t="shared" si="1093"/>
        <v>14</v>
      </c>
      <c r="S2271" s="391">
        <f t="shared" si="1094"/>
        <v>20</v>
      </c>
      <c r="T2271" s="391">
        <f t="shared" si="1095"/>
        <v>21</v>
      </c>
      <c r="U2271" s="391">
        <f t="shared" si="1096"/>
        <v>40</v>
      </c>
      <c r="V2271" s="391">
        <f t="shared" si="1097"/>
        <v>24</v>
      </c>
      <c r="W2271" s="391">
        <f t="shared" si="1098"/>
        <v>34</v>
      </c>
      <c r="X2271" s="391">
        <f t="shared" si="1099"/>
        <v>30</v>
      </c>
      <c r="Y2271" s="391">
        <f t="shared" si="1100"/>
        <v>28</v>
      </c>
      <c r="Z2271" s="391">
        <f t="shared" si="1101"/>
        <v>20</v>
      </c>
      <c r="AA2271" s="391">
        <f t="shared" si="1102"/>
        <v>26</v>
      </c>
      <c r="AB2271" s="391">
        <f t="shared" si="1103"/>
        <v>40</v>
      </c>
      <c r="AC2271" s="391">
        <f t="shared" si="1104"/>
        <v>26</v>
      </c>
      <c r="AD2271" s="391">
        <f t="shared" si="1105"/>
        <v>40</v>
      </c>
      <c r="AE2271" s="391">
        <f t="shared" si="1106"/>
        <v>39</v>
      </c>
      <c r="AF2271" s="391">
        <f t="shared" si="1107"/>
        <v>31</v>
      </c>
      <c r="AG2271" s="391">
        <f t="shared" si="1108"/>
        <v>30</v>
      </c>
      <c r="AH2271" s="391">
        <f t="shared" si="1109"/>
        <v>47</v>
      </c>
      <c r="AI2271" s="391">
        <f t="shared" si="1110"/>
        <v>34</v>
      </c>
      <c r="AJ2271" s="391">
        <f t="shared" si="1111"/>
        <v>42</v>
      </c>
      <c r="AK2271" s="391">
        <f t="shared" si="1112"/>
        <v>40</v>
      </c>
      <c r="AL2271" s="391">
        <f t="shared" si="1113"/>
        <v>42</v>
      </c>
      <c r="AM2271" s="391">
        <f t="shared" si="1114"/>
        <v>34</v>
      </c>
      <c r="AN2271" s="391">
        <f t="shared" si="1115"/>
        <v>28</v>
      </c>
      <c r="AO2271" s="391">
        <f t="shared" si="1116"/>
        <v>46</v>
      </c>
      <c r="AP2271" s="391">
        <f t="shared" si="1117"/>
        <v>29</v>
      </c>
      <c r="AQ2271" s="391">
        <f t="shared" si="1118"/>
        <v>31</v>
      </c>
      <c r="AR2271" s="391">
        <f t="shared" si="1119"/>
        <v>37</v>
      </c>
      <c r="AS2271" s="391">
        <f t="shared" si="1120"/>
        <v>52</v>
      </c>
      <c r="AT2271" s="391">
        <f t="shared" si="1121"/>
        <v>28</v>
      </c>
      <c r="AU2271" s="391">
        <f t="shared" si="1122"/>
        <v>30</v>
      </c>
      <c r="AV2271" s="391">
        <f t="shared" si="1123"/>
        <v>37</v>
      </c>
      <c r="AW2271" s="391">
        <f t="shared" si="1124"/>
        <v>36</v>
      </c>
      <c r="AX2271" s="391">
        <f t="shared" si="1125"/>
        <v>31</v>
      </c>
      <c r="AY2271" s="391">
        <f t="shared" si="1126"/>
        <v>31</v>
      </c>
      <c r="AZ2271" s="391">
        <f t="shared" si="1127"/>
        <v>36</v>
      </c>
      <c r="BA2271" s="391">
        <f t="shared" si="1128"/>
        <v>36</v>
      </c>
      <c r="BB2271" s="391">
        <f t="shared" si="1129"/>
        <v>36</v>
      </c>
      <c r="BC2271" s="392">
        <f t="shared" si="1130"/>
        <v>35</v>
      </c>
      <c r="BD2271" s="392">
        <f t="shared" si="1131"/>
        <v>38</v>
      </c>
      <c r="BE2271" s="392">
        <f t="shared" si="1132"/>
        <v>29</v>
      </c>
      <c r="BF2271" s="392">
        <f t="shared" si="1133"/>
        <v>37</v>
      </c>
      <c r="BG2271" s="392">
        <f t="shared" si="1134"/>
        <v>34</v>
      </c>
      <c r="BH2271" s="392">
        <f t="shared" si="1135"/>
        <v>30</v>
      </c>
      <c r="BI2271" s="392">
        <f t="shared" si="1136"/>
        <v>32</v>
      </c>
      <c r="BJ2271" s="392">
        <f t="shared" si="1137"/>
        <v>25</v>
      </c>
      <c r="BK2271" s="392">
        <f t="shared" si="1138"/>
        <v>19</v>
      </c>
      <c r="BL2271" s="392">
        <f t="shared" si="1139"/>
        <v>25</v>
      </c>
      <c r="BM2271" s="392">
        <f t="shared" si="1140"/>
        <v>21</v>
      </c>
      <c r="BN2271" s="392">
        <f t="shared" si="1141"/>
        <v>17</v>
      </c>
      <c r="BO2271" s="392">
        <f t="shared" si="1142"/>
        <v>18</v>
      </c>
      <c r="BP2271" s="392">
        <f t="shared" si="1143"/>
        <v>13</v>
      </c>
      <c r="BQ2271" s="392">
        <f t="shared" si="1144"/>
        <v>17</v>
      </c>
      <c r="BR2271" s="392">
        <f t="shared" si="1145"/>
        <v>13</v>
      </c>
      <c r="BS2271" s="392">
        <f t="shared" si="1146"/>
        <v>14</v>
      </c>
      <c r="BT2271" s="392">
        <f t="shared" si="1147"/>
        <v>13</v>
      </c>
      <c r="BU2271" s="392">
        <f t="shared" si="1148"/>
        <v>17</v>
      </c>
      <c r="BV2271" s="392">
        <f t="shared" si="1149"/>
        <v>13</v>
      </c>
      <c r="BW2271" s="392">
        <f t="shared" si="1150"/>
        <v>10</v>
      </c>
      <c r="BX2271" s="392">
        <f t="shared" si="1151"/>
        <v>12</v>
      </c>
      <c r="BY2271" s="392">
        <f t="shared" si="1152"/>
        <v>15</v>
      </c>
      <c r="BZ2271" s="392">
        <f t="shared" si="1153"/>
        <v>23</v>
      </c>
      <c r="CA2271" s="392">
        <f t="shared" si="1154"/>
        <v>23</v>
      </c>
      <c r="CB2271" s="392">
        <f t="shared" si="1155"/>
        <v>20</v>
      </c>
      <c r="CC2271" s="392">
        <f t="shared" si="1156"/>
        <v>18</v>
      </c>
      <c r="CD2271" s="392">
        <f t="shared" si="1157"/>
        <v>20</v>
      </c>
      <c r="CE2271" s="392">
        <f t="shared" si="1158"/>
        <v>13</v>
      </c>
      <c r="CF2271" s="11">
        <f>+SUM(CEDRITOS!$B2271:$CE2271)</f>
        <v>2862</v>
      </c>
      <c r="CG2271" s="60">
        <f>+CEDRITOS!$CF2271/82</f>
        <v>34.902439024390247</v>
      </c>
    </row>
    <row r="2272" spans="1:85" x14ac:dyDescent="0.25">
      <c r="A2272" s="212" t="s">
        <v>14</v>
      </c>
      <c r="B2272" s="11">
        <f t="shared" si="1079"/>
        <v>242</v>
      </c>
      <c r="C2272" s="11">
        <f t="shared" si="1080"/>
        <v>343</v>
      </c>
      <c r="D2272" s="11">
        <f t="shared" si="1081"/>
        <v>374</v>
      </c>
      <c r="E2272" s="11">
        <f t="shared" si="1082"/>
        <v>303</v>
      </c>
      <c r="F2272" s="11">
        <v>409</v>
      </c>
      <c r="G2272" s="11">
        <v>403</v>
      </c>
      <c r="H2272" s="11">
        <f t="shared" si="1083"/>
        <v>401</v>
      </c>
      <c r="I2272" s="391">
        <f t="shared" si="1084"/>
        <v>270</v>
      </c>
      <c r="J2272" s="391">
        <f t="shared" si="1085"/>
        <v>209</v>
      </c>
      <c r="K2272" s="391">
        <f t="shared" si="1086"/>
        <v>382</v>
      </c>
      <c r="L2272" s="391">
        <f t="shared" si="1087"/>
        <v>411</v>
      </c>
      <c r="M2272" s="391">
        <f t="shared" si="1088"/>
        <v>364</v>
      </c>
      <c r="N2272" s="391">
        <f t="shared" si="1089"/>
        <v>371</v>
      </c>
      <c r="O2272" s="391">
        <f t="shared" si="1090"/>
        <v>456</v>
      </c>
      <c r="P2272" s="391">
        <f t="shared" si="1091"/>
        <v>375</v>
      </c>
      <c r="Q2272" s="391">
        <f t="shared" si="1092"/>
        <v>293</v>
      </c>
      <c r="R2272" s="391">
        <f t="shared" si="1093"/>
        <v>260</v>
      </c>
      <c r="S2272" s="391">
        <f t="shared" si="1094"/>
        <v>303</v>
      </c>
      <c r="T2272" s="391">
        <f t="shared" si="1095"/>
        <v>382</v>
      </c>
      <c r="U2272" s="391">
        <f t="shared" si="1096"/>
        <v>338</v>
      </c>
      <c r="V2272" s="391">
        <f t="shared" si="1097"/>
        <v>397</v>
      </c>
      <c r="W2272" s="391">
        <f t="shared" si="1098"/>
        <v>370</v>
      </c>
      <c r="X2272" s="391">
        <f t="shared" si="1099"/>
        <v>302</v>
      </c>
      <c r="Y2272" s="391">
        <f t="shared" si="1100"/>
        <v>363</v>
      </c>
      <c r="Z2272" s="391">
        <f t="shared" si="1101"/>
        <v>352</v>
      </c>
      <c r="AA2272" s="391">
        <f t="shared" si="1102"/>
        <v>333</v>
      </c>
      <c r="AB2272" s="391">
        <f t="shared" si="1103"/>
        <v>383</v>
      </c>
      <c r="AC2272" s="391">
        <f t="shared" si="1104"/>
        <v>296</v>
      </c>
      <c r="AD2272" s="391">
        <f t="shared" si="1105"/>
        <v>350</v>
      </c>
      <c r="AE2272" s="391">
        <f t="shared" si="1106"/>
        <v>400</v>
      </c>
      <c r="AF2272" s="391">
        <f t="shared" si="1107"/>
        <v>404</v>
      </c>
      <c r="AG2272" s="391">
        <f t="shared" si="1108"/>
        <v>353</v>
      </c>
      <c r="AH2272" s="391">
        <f t="shared" si="1109"/>
        <v>436</v>
      </c>
      <c r="AI2272" s="391">
        <f t="shared" si="1110"/>
        <v>421</v>
      </c>
      <c r="AJ2272" s="391">
        <f t="shared" si="1111"/>
        <v>352</v>
      </c>
      <c r="AK2272" s="391">
        <f t="shared" si="1112"/>
        <v>375</v>
      </c>
      <c r="AL2272" s="391">
        <f t="shared" si="1113"/>
        <v>424</v>
      </c>
      <c r="AM2272" s="391">
        <f t="shared" si="1114"/>
        <v>341</v>
      </c>
      <c r="AN2272" s="391">
        <f t="shared" si="1115"/>
        <v>439</v>
      </c>
      <c r="AO2272" s="391">
        <f t="shared" si="1116"/>
        <v>417</v>
      </c>
      <c r="AP2272" s="391">
        <f t="shared" si="1117"/>
        <v>406</v>
      </c>
      <c r="AQ2272" s="391">
        <f t="shared" si="1118"/>
        <v>410</v>
      </c>
      <c r="AR2272" s="391">
        <f t="shared" si="1119"/>
        <v>413</v>
      </c>
      <c r="AS2272" s="391">
        <f t="shared" si="1120"/>
        <v>388</v>
      </c>
      <c r="AT2272" s="391">
        <f t="shared" si="1121"/>
        <v>349</v>
      </c>
      <c r="AU2272" s="391">
        <f t="shared" si="1122"/>
        <v>408</v>
      </c>
      <c r="AV2272" s="391">
        <f t="shared" si="1123"/>
        <v>335</v>
      </c>
      <c r="AW2272" s="391">
        <f t="shared" si="1124"/>
        <v>305</v>
      </c>
      <c r="AX2272" s="391">
        <f t="shared" si="1125"/>
        <v>297</v>
      </c>
      <c r="AY2272" s="391">
        <f t="shared" si="1126"/>
        <v>373</v>
      </c>
      <c r="AZ2272" s="391">
        <f t="shared" si="1127"/>
        <v>353</v>
      </c>
      <c r="BA2272" s="391">
        <f t="shared" si="1128"/>
        <v>376</v>
      </c>
      <c r="BB2272" s="391">
        <f t="shared" si="1129"/>
        <v>406</v>
      </c>
      <c r="BC2272" s="392">
        <f t="shared" si="1130"/>
        <v>404</v>
      </c>
      <c r="BD2272" s="392">
        <f t="shared" si="1131"/>
        <v>344</v>
      </c>
      <c r="BE2272" s="392">
        <f t="shared" si="1132"/>
        <v>340</v>
      </c>
      <c r="BF2272" s="392">
        <f t="shared" si="1133"/>
        <v>384</v>
      </c>
      <c r="BG2272" s="392">
        <f t="shared" si="1134"/>
        <v>376</v>
      </c>
      <c r="BH2272" s="392">
        <f t="shared" si="1135"/>
        <v>363</v>
      </c>
      <c r="BI2272" s="392">
        <f t="shared" si="1136"/>
        <v>368</v>
      </c>
      <c r="BJ2272" s="392">
        <f t="shared" si="1137"/>
        <v>384</v>
      </c>
      <c r="BK2272" s="392">
        <f t="shared" si="1138"/>
        <v>317</v>
      </c>
      <c r="BL2272" s="392">
        <f t="shared" si="1139"/>
        <v>371</v>
      </c>
      <c r="BM2272" s="392">
        <f t="shared" si="1140"/>
        <v>359</v>
      </c>
      <c r="BN2272" s="392">
        <f t="shared" si="1141"/>
        <v>347</v>
      </c>
      <c r="BO2272" s="392">
        <f t="shared" si="1142"/>
        <v>406</v>
      </c>
      <c r="BP2272" s="392">
        <f t="shared" si="1143"/>
        <v>361</v>
      </c>
      <c r="BQ2272" s="392">
        <f t="shared" si="1144"/>
        <v>316</v>
      </c>
      <c r="BR2272" s="392">
        <f t="shared" si="1145"/>
        <v>321</v>
      </c>
      <c r="BS2272" s="392">
        <f t="shared" si="1146"/>
        <v>294</v>
      </c>
      <c r="BT2272" s="392">
        <f t="shared" si="1147"/>
        <v>337</v>
      </c>
      <c r="BU2272" s="392">
        <f t="shared" si="1148"/>
        <v>328</v>
      </c>
      <c r="BV2272" s="392">
        <f t="shared" si="1149"/>
        <v>307</v>
      </c>
      <c r="BW2272" s="392">
        <f t="shared" si="1150"/>
        <v>284</v>
      </c>
      <c r="BX2272" s="392">
        <f t="shared" si="1151"/>
        <v>277</v>
      </c>
      <c r="BY2272" s="392">
        <f t="shared" si="1152"/>
        <v>294</v>
      </c>
      <c r="BZ2272" s="392">
        <f t="shared" si="1153"/>
        <v>260</v>
      </c>
      <c r="CA2272" s="392">
        <f t="shared" si="1154"/>
        <v>298</v>
      </c>
      <c r="CB2272" s="392">
        <f t="shared" si="1155"/>
        <v>321</v>
      </c>
      <c r="CC2272" s="392">
        <f t="shared" si="1156"/>
        <v>291</v>
      </c>
      <c r="CD2272" s="392">
        <f t="shared" si="1157"/>
        <v>282</v>
      </c>
      <c r="CE2272" s="392">
        <f t="shared" si="1158"/>
        <v>316</v>
      </c>
      <c r="CF2272" s="11">
        <f>+SUM(CEDRITOS!$B2272:$CE2272)</f>
        <v>28866</v>
      </c>
      <c r="CG2272" s="60">
        <f>+CEDRITOS!$CF2272/82</f>
        <v>352.02439024390242</v>
      </c>
    </row>
    <row r="2273" spans="1:85" x14ac:dyDescent="0.25">
      <c r="A2273" s="212" t="s">
        <v>15</v>
      </c>
      <c r="B2273" s="11">
        <f t="shared" si="1079"/>
        <v>0</v>
      </c>
      <c r="C2273" s="11">
        <f t="shared" si="1080"/>
        <v>0</v>
      </c>
      <c r="D2273" s="11">
        <f t="shared" si="1081"/>
        <v>4</v>
      </c>
      <c r="E2273" s="11">
        <f t="shared" si="1082"/>
        <v>6</v>
      </c>
      <c r="F2273" s="11">
        <v>15</v>
      </c>
      <c r="G2273" s="11">
        <v>95</v>
      </c>
      <c r="H2273" s="11">
        <f t="shared" si="1083"/>
        <v>153</v>
      </c>
      <c r="I2273" s="391">
        <f t="shared" si="1084"/>
        <v>91</v>
      </c>
      <c r="J2273" s="391">
        <f t="shared" si="1085"/>
        <v>92</v>
      </c>
      <c r="K2273" s="391">
        <f t="shared" si="1086"/>
        <v>90</v>
      </c>
      <c r="L2273" s="391">
        <f t="shared" si="1087"/>
        <v>155</v>
      </c>
      <c r="M2273" s="391">
        <f t="shared" si="1088"/>
        <v>153</v>
      </c>
      <c r="N2273" s="391">
        <f t="shared" si="1089"/>
        <v>152</v>
      </c>
      <c r="O2273" s="391">
        <f t="shared" si="1090"/>
        <v>106</v>
      </c>
      <c r="P2273" s="391">
        <f t="shared" si="1091"/>
        <v>98</v>
      </c>
      <c r="Q2273" s="391">
        <f t="shared" si="1092"/>
        <v>168</v>
      </c>
      <c r="R2273" s="391">
        <f t="shared" si="1093"/>
        <v>166</v>
      </c>
      <c r="S2273" s="391">
        <f t="shared" si="1094"/>
        <v>179</v>
      </c>
      <c r="T2273" s="391">
        <f t="shared" si="1095"/>
        <v>192</v>
      </c>
      <c r="U2273" s="391">
        <f t="shared" si="1096"/>
        <v>139</v>
      </c>
      <c r="V2273" s="391">
        <f t="shared" si="1097"/>
        <v>162</v>
      </c>
      <c r="W2273" s="391">
        <f t="shared" si="1098"/>
        <v>143</v>
      </c>
      <c r="X2273" s="391">
        <f t="shared" si="1099"/>
        <v>166</v>
      </c>
      <c r="Y2273" s="391">
        <f t="shared" si="1100"/>
        <v>189</v>
      </c>
      <c r="Z2273" s="391">
        <f t="shared" si="1101"/>
        <v>155</v>
      </c>
      <c r="AA2273" s="391">
        <f t="shared" si="1102"/>
        <v>201</v>
      </c>
      <c r="AB2273" s="391">
        <f t="shared" si="1103"/>
        <v>172</v>
      </c>
      <c r="AC2273" s="391">
        <f t="shared" si="1104"/>
        <v>146</v>
      </c>
      <c r="AD2273" s="391">
        <f t="shared" si="1105"/>
        <v>164</v>
      </c>
      <c r="AE2273" s="391">
        <f t="shared" si="1106"/>
        <v>150</v>
      </c>
      <c r="AF2273" s="391">
        <f t="shared" si="1107"/>
        <v>108</v>
      </c>
      <c r="AG2273" s="391">
        <f t="shared" si="1108"/>
        <v>154</v>
      </c>
      <c r="AH2273" s="391">
        <f t="shared" si="1109"/>
        <v>142</v>
      </c>
      <c r="AI2273" s="391">
        <f t="shared" si="1110"/>
        <v>63</v>
      </c>
      <c r="AJ2273" s="391">
        <f t="shared" si="1111"/>
        <v>90</v>
      </c>
      <c r="AK2273" s="391">
        <f t="shared" si="1112"/>
        <v>49</v>
      </c>
      <c r="AL2273" s="391">
        <f t="shared" si="1113"/>
        <v>23</v>
      </c>
      <c r="AM2273" s="391">
        <f t="shared" si="1114"/>
        <v>70</v>
      </c>
      <c r="AN2273" s="391">
        <f t="shared" si="1115"/>
        <v>41</v>
      </c>
      <c r="AO2273" s="391">
        <f t="shared" si="1116"/>
        <v>66</v>
      </c>
      <c r="AP2273" s="391">
        <f t="shared" si="1117"/>
        <v>20</v>
      </c>
      <c r="AQ2273" s="391">
        <f t="shared" si="1118"/>
        <v>78</v>
      </c>
      <c r="AR2273" s="391">
        <f t="shared" si="1119"/>
        <v>52</v>
      </c>
      <c r="AS2273" s="391">
        <f t="shared" si="1120"/>
        <v>57</v>
      </c>
      <c r="AT2273" s="391">
        <f t="shared" si="1121"/>
        <v>55</v>
      </c>
      <c r="AU2273" s="391">
        <f t="shared" si="1122"/>
        <v>62</v>
      </c>
      <c r="AV2273" s="391">
        <f t="shared" si="1123"/>
        <v>59</v>
      </c>
      <c r="AW2273" s="391">
        <f t="shared" si="1124"/>
        <v>73</v>
      </c>
      <c r="AX2273" s="391">
        <f t="shared" si="1125"/>
        <v>98</v>
      </c>
      <c r="AY2273" s="391">
        <f t="shared" si="1126"/>
        <v>50</v>
      </c>
      <c r="AZ2273" s="391">
        <f t="shared" si="1127"/>
        <v>21</v>
      </c>
      <c r="BA2273" s="391">
        <f t="shared" si="1128"/>
        <v>12</v>
      </c>
      <c r="BB2273" s="391">
        <f t="shared" si="1129"/>
        <v>10</v>
      </c>
      <c r="BC2273" s="392">
        <f t="shared" si="1130"/>
        <v>8</v>
      </c>
      <c r="BD2273" s="392">
        <f t="shared" si="1131"/>
        <v>40</v>
      </c>
      <c r="BE2273" s="392">
        <f t="shared" si="1132"/>
        <v>30</v>
      </c>
      <c r="BF2273" s="392">
        <f t="shared" si="1133"/>
        <v>7</v>
      </c>
      <c r="BG2273" s="392">
        <f t="shared" si="1134"/>
        <v>13</v>
      </c>
      <c r="BH2273" s="392">
        <f t="shared" si="1135"/>
        <v>32</v>
      </c>
      <c r="BI2273" s="392">
        <f t="shared" si="1136"/>
        <v>47</v>
      </c>
      <c r="BJ2273" s="392">
        <f t="shared" si="1137"/>
        <v>4</v>
      </c>
      <c r="BK2273" s="392">
        <f t="shared" si="1138"/>
        <v>29</v>
      </c>
      <c r="BL2273" s="392">
        <f t="shared" si="1139"/>
        <v>2</v>
      </c>
      <c r="BM2273" s="392">
        <f t="shared" si="1140"/>
        <v>2</v>
      </c>
      <c r="BN2273" s="392">
        <f t="shared" si="1141"/>
        <v>7</v>
      </c>
      <c r="BO2273" s="392">
        <f t="shared" si="1142"/>
        <v>4</v>
      </c>
      <c r="BP2273" s="392">
        <f t="shared" si="1143"/>
        <v>12</v>
      </c>
      <c r="BQ2273" s="392">
        <f t="shared" si="1144"/>
        <v>2</v>
      </c>
      <c r="BR2273" s="392">
        <f t="shared" si="1145"/>
        <v>56</v>
      </c>
      <c r="BS2273" s="392">
        <f t="shared" si="1146"/>
        <v>62</v>
      </c>
      <c r="BT2273" s="392">
        <f t="shared" si="1147"/>
        <v>48</v>
      </c>
      <c r="BU2273" s="392">
        <f t="shared" si="1148"/>
        <v>66</v>
      </c>
      <c r="BV2273" s="392">
        <f t="shared" si="1149"/>
        <v>44</v>
      </c>
      <c r="BW2273" s="392">
        <f t="shared" si="1150"/>
        <v>56</v>
      </c>
      <c r="BX2273" s="392">
        <f t="shared" si="1151"/>
        <v>47</v>
      </c>
      <c r="BY2273" s="392">
        <f t="shared" si="1152"/>
        <v>66</v>
      </c>
      <c r="BZ2273" s="392">
        <f t="shared" si="1153"/>
        <v>71</v>
      </c>
      <c r="CA2273" s="392">
        <f t="shared" si="1154"/>
        <v>94</v>
      </c>
      <c r="CB2273" s="392">
        <f t="shared" si="1155"/>
        <v>73</v>
      </c>
      <c r="CC2273" s="392">
        <f t="shared" si="1156"/>
        <v>78</v>
      </c>
      <c r="CD2273" s="392">
        <f t="shared" si="1157"/>
        <v>89</v>
      </c>
      <c r="CE2273" s="392">
        <f t="shared" si="1158"/>
        <v>59</v>
      </c>
      <c r="CF2273" s="11">
        <f>+SUM(CEDRITOS!$B2273:$CE2273)</f>
        <v>6303</v>
      </c>
      <c r="CG2273" s="60">
        <f>+CEDRITOS!$CF2273/82</f>
        <v>76.865853658536579</v>
      </c>
    </row>
    <row r="2274" spans="1:85" x14ac:dyDescent="0.25">
      <c r="A2274" s="212" t="s">
        <v>16</v>
      </c>
      <c r="B2274" s="11">
        <f t="shared" si="1079"/>
        <v>0</v>
      </c>
      <c r="C2274" s="11">
        <f t="shared" si="1080"/>
        <v>0</v>
      </c>
      <c r="D2274" s="11">
        <f t="shared" si="1081"/>
        <v>1</v>
      </c>
      <c r="E2274" s="11">
        <f t="shared" si="1082"/>
        <v>1</v>
      </c>
      <c r="F2274" s="11">
        <v>3</v>
      </c>
      <c r="G2274" s="11">
        <v>12</v>
      </c>
      <c r="H2274" s="11">
        <f t="shared" si="1083"/>
        <v>21</v>
      </c>
      <c r="I2274" s="391">
        <f t="shared" si="1084"/>
        <v>36</v>
      </c>
      <c r="J2274" s="391">
        <f t="shared" si="1085"/>
        <v>10</v>
      </c>
      <c r="K2274" s="391">
        <f t="shared" si="1086"/>
        <v>11</v>
      </c>
      <c r="L2274" s="391">
        <f t="shared" si="1087"/>
        <v>6</v>
      </c>
      <c r="M2274" s="391">
        <f t="shared" si="1088"/>
        <v>12</v>
      </c>
      <c r="N2274" s="391">
        <f t="shared" si="1089"/>
        <v>5</v>
      </c>
      <c r="O2274" s="391">
        <f t="shared" si="1090"/>
        <v>4</v>
      </c>
      <c r="P2274" s="391">
        <f t="shared" si="1091"/>
        <v>4</v>
      </c>
      <c r="Q2274" s="391">
        <f t="shared" si="1092"/>
        <v>0</v>
      </c>
      <c r="R2274" s="391">
        <f t="shared" si="1093"/>
        <v>4</v>
      </c>
      <c r="S2274" s="391">
        <f t="shared" si="1094"/>
        <v>2</v>
      </c>
      <c r="T2274" s="391">
        <f t="shared" si="1095"/>
        <v>8</v>
      </c>
      <c r="U2274" s="391">
        <f t="shared" si="1096"/>
        <v>2</v>
      </c>
      <c r="V2274" s="391">
        <f t="shared" si="1097"/>
        <v>6</v>
      </c>
      <c r="W2274" s="391">
        <f t="shared" si="1098"/>
        <v>2</v>
      </c>
      <c r="X2274" s="391">
        <f t="shared" si="1099"/>
        <v>1</v>
      </c>
      <c r="Y2274" s="391">
        <f t="shared" si="1100"/>
        <v>4</v>
      </c>
      <c r="Z2274" s="391">
        <f t="shared" si="1101"/>
        <v>2</v>
      </c>
      <c r="AA2274" s="391">
        <f t="shared" si="1102"/>
        <v>1</v>
      </c>
      <c r="AB2274" s="391">
        <f t="shared" si="1103"/>
        <v>4</v>
      </c>
      <c r="AC2274" s="391">
        <f t="shared" si="1104"/>
        <v>6</v>
      </c>
      <c r="AD2274" s="391">
        <f t="shared" si="1105"/>
        <v>4</v>
      </c>
      <c r="AE2274" s="391">
        <f t="shared" si="1106"/>
        <v>3</v>
      </c>
      <c r="AF2274" s="391">
        <f t="shared" si="1107"/>
        <v>6</v>
      </c>
      <c r="AG2274" s="391">
        <f t="shared" si="1108"/>
        <v>5</v>
      </c>
      <c r="AH2274" s="391">
        <f t="shared" si="1109"/>
        <v>8</v>
      </c>
      <c r="AI2274" s="391">
        <f t="shared" si="1110"/>
        <v>5</v>
      </c>
      <c r="AJ2274" s="391">
        <f t="shared" si="1111"/>
        <v>10</v>
      </c>
      <c r="AK2274" s="391">
        <f t="shared" si="1112"/>
        <v>3</v>
      </c>
      <c r="AL2274" s="391">
        <f t="shared" si="1113"/>
        <v>7</v>
      </c>
      <c r="AM2274" s="391">
        <f t="shared" si="1114"/>
        <v>8</v>
      </c>
      <c r="AN2274" s="391">
        <f t="shared" si="1115"/>
        <v>4</v>
      </c>
      <c r="AO2274" s="391">
        <f t="shared" si="1116"/>
        <v>7</v>
      </c>
      <c r="AP2274" s="391">
        <f t="shared" si="1117"/>
        <v>3</v>
      </c>
      <c r="AQ2274" s="391">
        <f t="shared" si="1118"/>
        <v>9</v>
      </c>
      <c r="AR2274" s="391">
        <f t="shared" si="1119"/>
        <v>2</v>
      </c>
      <c r="AS2274" s="391">
        <f t="shared" si="1120"/>
        <v>5</v>
      </c>
      <c r="AT2274" s="391">
        <f t="shared" si="1121"/>
        <v>4</v>
      </c>
      <c r="AU2274" s="391">
        <f t="shared" si="1122"/>
        <v>2</v>
      </c>
      <c r="AV2274" s="391">
        <f t="shared" si="1123"/>
        <v>3</v>
      </c>
      <c r="AW2274" s="391">
        <f t="shared" si="1124"/>
        <v>3</v>
      </c>
      <c r="AX2274" s="391">
        <f t="shared" si="1125"/>
        <v>4</v>
      </c>
      <c r="AY2274" s="391">
        <f t="shared" si="1126"/>
        <v>5</v>
      </c>
      <c r="AZ2274" s="391">
        <f t="shared" si="1127"/>
        <v>2</v>
      </c>
      <c r="BA2274" s="391">
        <f t="shared" si="1128"/>
        <v>5</v>
      </c>
      <c r="BB2274" s="391">
        <f t="shared" si="1129"/>
        <v>3</v>
      </c>
      <c r="BC2274" s="392">
        <f t="shared" si="1130"/>
        <v>5</v>
      </c>
      <c r="BD2274" s="392">
        <f t="shared" si="1131"/>
        <v>5</v>
      </c>
      <c r="BE2274" s="392">
        <f t="shared" si="1132"/>
        <v>6</v>
      </c>
      <c r="BF2274" s="392">
        <f t="shared" si="1133"/>
        <v>6</v>
      </c>
      <c r="BG2274" s="392">
        <f t="shared" si="1134"/>
        <v>9</v>
      </c>
      <c r="BH2274" s="392">
        <f t="shared" si="1135"/>
        <v>0</v>
      </c>
      <c r="BI2274" s="392">
        <f t="shared" si="1136"/>
        <v>1</v>
      </c>
      <c r="BJ2274" s="392">
        <f t="shared" si="1137"/>
        <v>6</v>
      </c>
      <c r="BK2274" s="392">
        <f t="shared" si="1138"/>
        <v>4</v>
      </c>
      <c r="BL2274" s="392">
        <f t="shared" si="1139"/>
        <v>1</v>
      </c>
      <c r="BM2274" s="392">
        <f t="shared" si="1140"/>
        <v>1</v>
      </c>
      <c r="BN2274" s="392">
        <f t="shared" si="1141"/>
        <v>4</v>
      </c>
      <c r="BO2274" s="392">
        <f t="shared" si="1142"/>
        <v>3</v>
      </c>
      <c r="BP2274" s="392">
        <f t="shared" si="1143"/>
        <v>4</v>
      </c>
      <c r="BQ2274" s="392">
        <f t="shared" si="1144"/>
        <v>1</v>
      </c>
      <c r="BR2274" s="392">
        <f t="shared" si="1145"/>
        <v>5</v>
      </c>
      <c r="BS2274" s="392">
        <f t="shared" si="1146"/>
        <v>2</v>
      </c>
      <c r="BT2274" s="392">
        <f t="shared" si="1147"/>
        <v>1</v>
      </c>
      <c r="BU2274" s="392">
        <f t="shared" si="1148"/>
        <v>9</v>
      </c>
      <c r="BV2274" s="392">
        <f t="shared" si="1149"/>
        <v>2</v>
      </c>
      <c r="BW2274" s="392">
        <f t="shared" si="1150"/>
        <v>2</v>
      </c>
      <c r="BX2274" s="392">
        <f t="shared" si="1151"/>
        <v>1</v>
      </c>
      <c r="BY2274" s="392">
        <f t="shared" si="1152"/>
        <v>4</v>
      </c>
      <c r="BZ2274" s="392">
        <f t="shared" si="1153"/>
        <v>3</v>
      </c>
      <c r="CA2274" s="392">
        <f t="shared" si="1154"/>
        <v>2</v>
      </c>
      <c r="CB2274" s="392">
        <f t="shared" si="1155"/>
        <v>5</v>
      </c>
      <c r="CC2274" s="392">
        <f t="shared" si="1156"/>
        <v>2</v>
      </c>
      <c r="CD2274" s="392">
        <f t="shared" si="1157"/>
        <v>6</v>
      </c>
      <c r="CE2274" s="392">
        <f t="shared" si="1158"/>
        <v>5</v>
      </c>
      <c r="CF2274" s="11">
        <f>+SUM(CEDRITOS!$B2274:$CE2274)</f>
        <v>393</v>
      </c>
      <c r="CG2274" s="60">
        <f>+CEDRITOS!$CF2274/82</f>
        <v>4.7926829268292686</v>
      </c>
    </row>
    <row r="2275" spans="1:85" x14ac:dyDescent="0.25">
      <c r="A2275" s="213" t="s">
        <v>17</v>
      </c>
      <c r="B2275" s="192">
        <f t="shared" si="1079"/>
        <v>632</v>
      </c>
      <c r="C2275" s="192">
        <f t="shared" si="1080"/>
        <v>934</v>
      </c>
      <c r="D2275" s="192">
        <f t="shared" si="1081"/>
        <v>969</v>
      </c>
      <c r="E2275" s="192">
        <f t="shared" si="1082"/>
        <v>808</v>
      </c>
      <c r="F2275" s="192">
        <v>854</v>
      </c>
      <c r="G2275" s="192">
        <v>928</v>
      </c>
      <c r="H2275" s="192">
        <f>SUM(H2270:H2274)</f>
        <v>1101</v>
      </c>
      <c r="I2275" s="278">
        <f t="shared" si="1084"/>
        <v>1086</v>
      </c>
      <c r="J2275" s="278">
        <f t="shared" si="1085"/>
        <v>1303</v>
      </c>
      <c r="K2275" s="278">
        <f t="shared" si="1086"/>
        <v>1399</v>
      </c>
      <c r="L2275" s="278">
        <f t="shared" si="1087"/>
        <v>1404</v>
      </c>
      <c r="M2275" s="278">
        <f t="shared" si="1088"/>
        <v>1202</v>
      </c>
      <c r="N2275" s="278">
        <f t="shared" si="1089"/>
        <v>1246</v>
      </c>
      <c r="O2275" s="278">
        <f t="shared" si="1090"/>
        <v>1320</v>
      </c>
      <c r="P2275" s="278">
        <f t="shared" si="1091"/>
        <v>1179</v>
      </c>
      <c r="Q2275" s="278">
        <f t="shared" si="1092"/>
        <v>1055</v>
      </c>
      <c r="R2275" s="278">
        <f t="shared" si="1093"/>
        <v>938</v>
      </c>
      <c r="S2275" s="278">
        <f t="shared" si="1094"/>
        <v>1038</v>
      </c>
      <c r="T2275" s="278">
        <f t="shared" si="1095"/>
        <v>1356</v>
      </c>
      <c r="U2275" s="278">
        <f t="shared" si="1096"/>
        <v>1201</v>
      </c>
      <c r="V2275" s="278">
        <f t="shared" si="1097"/>
        <v>1291</v>
      </c>
      <c r="W2275" s="278">
        <f t="shared" si="1098"/>
        <v>1322</v>
      </c>
      <c r="X2275" s="278">
        <f t="shared" si="1099"/>
        <v>1336</v>
      </c>
      <c r="Y2275" s="278">
        <f t="shared" si="1100"/>
        <v>1362</v>
      </c>
      <c r="Z2275" s="278">
        <f t="shared" si="1101"/>
        <v>1313</v>
      </c>
      <c r="AA2275" s="278">
        <f t="shared" si="1102"/>
        <v>1496</v>
      </c>
      <c r="AB2275" s="278">
        <f t="shared" si="1103"/>
        <v>1393</v>
      </c>
      <c r="AC2275" s="278">
        <f t="shared" si="1104"/>
        <v>1170</v>
      </c>
      <c r="AD2275" s="278">
        <f t="shared" si="1105"/>
        <v>1440</v>
      </c>
      <c r="AE2275" s="278">
        <f t="shared" si="1106"/>
        <v>1420</v>
      </c>
      <c r="AF2275" s="278">
        <f t="shared" si="1107"/>
        <v>1451</v>
      </c>
      <c r="AG2275" s="278">
        <f t="shared" si="1108"/>
        <v>1440</v>
      </c>
      <c r="AH2275" s="278">
        <f t="shared" si="1109"/>
        <v>1520</v>
      </c>
      <c r="AI2275" s="278">
        <f t="shared" si="1110"/>
        <v>1438</v>
      </c>
      <c r="AJ2275" s="278">
        <f t="shared" si="1111"/>
        <v>1263</v>
      </c>
      <c r="AK2275" s="278">
        <f t="shared" si="1112"/>
        <v>1355</v>
      </c>
      <c r="AL2275" s="278">
        <f t="shared" si="1113"/>
        <v>1303</v>
      </c>
      <c r="AM2275" s="278">
        <f t="shared" si="1114"/>
        <v>1279</v>
      </c>
      <c r="AN2275" s="278">
        <f t="shared" si="1115"/>
        <v>1363</v>
      </c>
      <c r="AO2275" s="278">
        <f t="shared" si="1116"/>
        <v>1531</v>
      </c>
      <c r="AP2275" s="278">
        <f t="shared" si="1117"/>
        <v>1231</v>
      </c>
      <c r="AQ2275" s="278">
        <f t="shared" si="1118"/>
        <v>1331</v>
      </c>
      <c r="AR2275" s="278">
        <f t="shared" si="1119"/>
        <v>1349</v>
      </c>
      <c r="AS2275" s="278">
        <f t="shared" si="1120"/>
        <v>1418</v>
      </c>
      <c r="AT2275" s="278">
        <f t="shared" si="1121"/>
        <v>1163</v>
      </c>
      <c r="AU2275" s="278">
        <f t="shared" si="1122"/>
        <v>1366</v>
      </c>
      <c r="AV2275" s="278">
        <f t="shared" si="1123"/>
        <v>1274</v>
      </c>
      <c r="AW2275" s="278">
        <f t="shared" si="1124"/>
        <v>1228</v>
      </c>
      <c r="AX2275" s="278">
        <f t="shared" si="1125"/>
        <v>1179</v>
      </c>
      <c r="AY2275" s="278">
        <f t="shared" si="1126"/>
        <v>1279</v>
      </c>
      <c r="AZ2275" s="278">
        <f t="shared" si="1127"/>
        <v>1121</v>
      </c>
      <c r="BA2275" s="278">
        <f t="shared" si="1128"/>
        <v>1192</v>
      </c>
      <c r="BB2275" s="278">
        <f t="shared" si="1129"/>
        <v>1155</v>
      </c>
      <c r="BC2275" s="278">
        <f t="shared" si="1130"/>
        <v>1188</v>
      </c>
      <c r="BD2275" s="278">
        <f t="shared" si="1131"/>
        <v>1162</v>
      </c>
      <c r="BE2275" s="278">
        <f t="shared" si="1132"/>
        <v>1087</v>
      </c>
      <c r="BF2275" s="278">
        <f t="shared" si="1133"/>
        <v>1175</v>
      </c>
      <c r="BG2275" s="278">
        <f t="shared" si="1134"/>
        <v>1150</v>
      </c>
      <c r="BH2275" s="278">
        <f t="shared" si="1135"/>
        <v>1288</v>
      </c>
      <c r="BI2275" s="278">
        <f t="shared" si="1136"/>
        <v>1122</v>
      </c>
      <c r="BJ2275" s="278">
        <f t="shared" si="1137"/>
        <v>1197</v>
      </c>
      <c r="BK2275" s="278">
        <f t="shared" si="1138"/>
        <v>1217</v>
      </c>
      <c r="BL2275" s="278">
        <f t="shared" si="1139"/>
        <v>1266</v>
      </c>
      <c r="BM2275" s="278">
        <f t="shared" si="1140"/>
        <v>1243</v>
      </c>
      <c r="BN2275" s="278">
        <f t="shared" si="1141"/>
        <v>1233</v>
      </c>
      <c r="BO2275" s="278">
        <f t="shared" si="1142"/>
        <v>1273</v>
      </c>
      <c r="BP2275" s="278">
        <f t="shared" si="1143"/>
        <v>1111</v>
      </c>
      <c r="BQ2275" s="278">
        <f t="shared" si="1144"/>
        <v>901</v>
      </c>
      <c r="BR2275" s="278">
        <f t="shared" si="1145"/>
        <v>872</v>
      </c>
      <c r="BS2275" s="278">
        <f t="shared" si="1146"/>
        <v>937</v>
      </c>
      <c r="BT2275" s="278">
        <f t="shared" si="1147"/>
        <v>1089</v>
      </c>
      <c r="BU2275" s="278">
        <f t="shared" si="1148"/>
        <v>1141</v>
      </c>
      <c r="BV2275" s="278">
        <f t="shared" si="1149"/>
        <v>1022</v>
      </c>
      <c r="BW2275" s="278">
        <f t="shared" si="1150"/>
        <v>1072</v>
      </c>
      <c r="BX2275" s="278">
        <f t="shared" si="1151"/>
        <v>1060</v>
      </c>
      <c r="BY2275" s="278">
        <f t="shared" si="1152"/>
        <v>1052</v>
      </c>
      <c r="BZ2275" s="278">
        <f t="shared" si="1153"/>
        <v>1069</v>
      </c>
      <c r="CA2275" s="278">
        <f t="shared" si="1154"/>
        <v>1206</v>
      </c>
      <c r="CB2275" s="278">
        <f t="shared" si="1155"/>
        <v>1202</v>
      </c>
      <c r="CC2275" s="278">
        <f t="shared" si="1156"/>
        <v>1122</v>
      </c>
      <c r="CD2275" s="278">
        <f t="shared" si="1157"/>
        <v>1192</v>
      </c>
      <c r="CE2275" s="393">
        <f t="shared" si="1158"/>
        <v>941</v>
      </c>
      <c r="CF2275" s="192">
        <f>+SUM(CEDRITOS!$B2275:$CE2275)</f>
        <v>98315</v>
      </c>
      <c r="CG2275" s="214">
        <f>+CEDRITOS!$CF2275/82</f>
        <v>1198.9634146341464</v>
      </c>
    </row>
    <row r="2276" spans="1:85" x14ac:dyDescent="0.25">
      <c r="A2276" s="212" t="s">
        <v>18</v>
      </c>
      <c r="B2276" s="30">
        <f t="shared" si="1079"/>
        <v>0.36843927541949001</v>
      </c>
      <c r="C2276" s="30">
        <f t="shared" si="1080"/>
        <v>0.38464727672254412</v>
      </c>
      <c r="D2276" s="30">
        <f t="shared" si="1081"/>
        <v>0.42393335823980594</v>
      </c>
      <c r="E2276" s="30">
        <f t="shared" si="1082"/>
        <v>0.45111686293764175</v>
      </c>
      <c r="F2276" s="22">
        <v>0.45172539845815912</v>
      </c>
      <c r="G2276" s="22">
        <v>0.42870147031896821</v>
      </c>
      <c r="H2276" s="22">
        <f t="shared" ref="H2276:H2283" si="1159">I179</f>
        <v>0.47723164790002809</v>
      </c>
      <c r="I2276" s="22">
        <f t="shared" si="1084"/>
        <v>0.52229498607644276</v>
      </c>
      <c r="J2276" s="22">
        <f t="shared" si="1085"/>
        <v>0.58412386825123508</v>
      </c>
      <c r="K2276" s="22">
        <f t="shared" si="1086"/>
        <v>0.60804309397056078</v>
      </c>
      <c r="L2276" s="22">
        <f t="shared" si="1087"/>
        <v>0.59995377612983791</v>
      </c>
      <c r="M2276" s="22">
        <f t="shared" si="1088"/>
        <v>0.58710132581283636</v>
      </c>
      <c r="N2276" s="22">
        <f t="shared" si="1089"/>
        <v>0.59901308901328343</v>
      </c>
      <c r="O2276" s="22">
        <f t="shared" si="1090"/>
        <v>0.59499966738978383</v>
      </c>
      <c r="P2276" s="22">
        <f t="shared" si="1091"/>
        <v>0.62268323565191019</v>
      </c>
      <c r="Q2276" s="22">
        <f t="shared" si="1092"/>
        <v>0.59338649508285979</v>
      </c>
      <c r="R2276" s="22">
        <f t="shared" si="1093"/>
        <v>0.56106357882825586</v>
      </c>
      <c r="S2276" s="22">
        <f t="shared" si="1094"/>
        <v>0.52890841461794169</v>
      </c>
      <c r="T2276" s="22">
        <f t="shared" si="1095"/>
        <v>0.58047087536361541</v>
      </c>
      <c r="U2276" s="22">
        <f t="shared" si="1096"/>
        <v>0.60359384339557454</v>
      </c>
      <c r="V2276" s="22">
        <f t="shared" si="1097"/>
        <v>0.56668158427709958</v>
      </c>
      <c r="W2276" s="22">
        <f t="shared" si="1098"/>
        <v>0.60884459637853505</v>
      </c>
      <c r="X2276" s="22">
        <f t="shared" si="1099"/>
        <v>0.64511979624059856</v>
      </c>
      <c r="Y2276" s="22">
        <f t="shared" si="1100"/>
        <v>0.60409975255729331</v>
      </c>
      <c r="Z2276" s="22">
        <f t="shared" si="1101"/>
        <v>0.62086304883738364</v>
      </c>
      <c r="AA2276" s="22">
        <f t="shared" si="1102"/>
        <v>0.6602477424501132</v>
      </c>
      <c r="AB2276" s="22">
        <f t="shared" si="1103"/>
        <v>0.60623213671980836</v>
      </c>
      <c r="AC2276" s="22">
        <f t="shared" si="1104"/>
        <v>0.62608102191535431</v>
      </c>
      <c r="AD2276" s="22">
        <f t="shared" si="1105"/>
        <v>0.65122005270333105</v>
      </c>
      <c r="AE2276" s="22">
        <f t="shared" si="1106"/>
        <v>0.58874957427724695</v>
      </c>
      <c r="AF2276" s="22">
        <f t="shared" si="1107"/>
        <v>0.64470057426446159</v>
      </c>
      <c r="AG2276" s="22">
        <f t="shared" si="1108"/>
        <v>0.65806001422037863</v>
      </c>
      <c r="AH2276" s="22">
        <f t="shared" si="1109"/>
        <v>0.63974961365268679</v>
      </c>
      <c r="AI2276" s="22">
        <f t="shared" si="1110"/>
        <v>0.68809780698323808</v>
      </c>
      <c r="AJ2276" s="22">
        <f t="shared" si="1111"/>
        <v>0.64582988086435189</v>
      </c>
      <c r="AK2276" s="22">
        <f t="shared" si="1112"/>
        <v>0.69577257246666446</v>
      </c>
      <c r="AL2276" s="22">
        <f t="shared" si="1113"/>
        <v>0.67081130634090846</v>
      </c>
      <c r="AM2276" s="22">
        <f t="shared" si="1114"/>
        <v>0.68889711879555815</v>
      </c>
      <c r="AN2276" s="22">
        <f t="shared" si="1115"/>
        <v>0.66451301385789585</v>
      </c>
      <c r="AO2276" s="22">
        <f t="shared" si="1116"/>
        <v>0.68430677496986969</v>
      </c>
      <c r="AP2276" s="22">
        <f t="shared" si="1117"/>
        <v>0.67930286069620771</v>
      </c>
      <c r="AQ2276" s="22">
        <f t="shared" si="1118"/>
        <v>0.64466760369857179</v>
      </c>
      <c r="AR2276" s="22">
        <f t="shared" si="1119"/>
        <v>0.66738872934863114</v>
      </c>
      <c r="AS2276" s="22">
        <f t="shared" si="1120"/>
        <v>0.69229339386145305</v>
      </c>
      <c r="AT2276" s="22">
        <f t="shared" si="1121"/>
        <v>0.65524742807503356</v>
      </c>
      <c r="AU2276" s="22">
        <f t="shared" si="1122"/>
        <v>0.67270368788779245</v>
      </c>
      <c r="AV2276" s="22">
        <f t="shared" si="1123"/>
        <v>0.6970937418365023</v>
      </c>
      <c r="AW2276" s="22">
        <f t="shared" si="1124"/>
        <v>0.70614425574956896</v>
      </c>
      <c r="AX2276" s="22">
        <f t="shared" si="1125"/>
        <v>0.70105952835792462</v>
      </c>
      <c r="AY2276" s="22">
        <f t="shared" si="1126"/>
        <v>0.70097196456763955</v>
      </c>
      <c r="AZ2276" s="22">
        <f t="shared" si="1127"/>
        <v>0.68337266460591561</v>
      </c>
      <c r="BA2276" s="22">
        <f t="shared" si="1128"/>
        <v>0.68880906018457688</v>
      </c>
      <c r="BB2276" s="22">
        <f t="shared" si="1129"/>
        <v>0.64941413842836615</v>
      </c>
      <c r="BC2276" s="22">
        <f t="shared" si="1130"/>
        <v>0.67103791458947482</v>
      </c>
      <c r="BD2276" s="22">
        <f t="shared" si="1131"/>
        <v>0.68042287669809498</v>
      </c>
      <c r="BE2276" s="22">
        <f t="shared" si="1132"/>
        <v>0.66972309327174362</v>
      </c>
      <c r="BF2276" s="22">
        <f t="shared" si="1133"/>
        <v>0.68163916619476517</v>
      </c>
      <c r="BG2276" s="22">
        <f t="shared" si="1134"/>
        <v>0.67517116849003067</v>
      </c>
      <c r="BH2276" s="22">
        <f t="shared" si="1135"/>
        <v>0.7101314260517162</v>
      </c>
      <c r="BI2276" s="22">
        <f t="shared" si="1136"/>
        <v>0.65026751971784902</v>
      </c>
      <c r="BJ2276" s="22">
        <f t="shared" si="1137"/>
        <v>0.69875136409324812</v>
      </c>
      <c r="BK2276" s="22">
        <f t="shared" si="1138"/>
        <v>0.7564322239198753</v>
      </c>
      <c r="BL2276" s="22">
        <f t="shared" si="1139"/>
        <v>0.72329780221705242</v>
      </c>
      <c r="BM2276" s="22">
        <f t="shared" si="1140"/>
        <v>0.73469784953672923</v>
      </c>
      <c r="BN2276" s="22">
        <f t="shared" si="1141"/>
        <v>0.73830859932907833</v>
      </c>
      <c r="BO2276" s="22">
        <f t="shared" si="1142"/>
        <v>0.715488214831561</v>
      </c>
      <c r="BP2276" s="22">
        <f t="shared" si="1143"/>
        <v>0.69822690307182211</v>
      </c>
      <c r="BQ2276" s="22">
        <f t="shared" si="1144"/>
        <v>0.67926003873939511</v>
      </c>
      <c r="BR2276" s="22">
        <f t="shared" si="1145"/>
        <v>0.58621612077518614</v>
      </c>
      <c r="BS2276" s="22">
        <f t="shared" si="1146"/>
        <v>0.64565096285606061</v>
      </c>
      <c r="BT2276" s="22">
        <f t="shared" si="1147"/>
        <v>0.6841105798679592</v>
      </c>
      <c r="BU2276" s="22">
        <f t="shared" si="1148"/>
        <v>0.67998879469175544</v>
      </c>
      <c r="BV2276" s="22">
        <f t="shared" si="1149"/>
        <v>0.69112615622171392</v>
      </c>
      <c r="BW2276" s="22">
        <f t="shared" si="1150"/>
        <v>0.73329826106312856</v>
      </c>
      <c r="BX2276" s="22">
        <f t="shared" si="1151"/>
        <v>0.73063574490618555</v>
      </c>
      <c r="BY2276" s="22">
        <f t="shared" si="1152"/>
        <v>0.68635249221487371</v>
      </c>
      <c r="BZ2276" s="22">
        <f t="shared" si="1153"/>
        <v>0.710267642880136</v>
      </c>
      <c r="CA2276" s="22">
        <f t="shared" si="1154"/>
        <v>0.70581644310862701</v>
      </c>
      <c r="CB2276" s="22">
        <f t="shared" si="1155"/>
        <v>0.70588975051453462</v>
      </c>
      <c r="CC2276" s="22">
        <f t="shared" si="1156"/>
        <v>0.69530554674448097</v>
      </c>
      <c r="CD2276" s="22">
        <f t="shared" si="1157"/>
        <v>0.70861709655671201</v>
      </c>
      <c r="CE2276" s="22">
        <f t="shared" si="1158"/>
        <v>0.62211023633690354</v>
      </c>
      <c r="CF2276" s="30">
        <f>CF2283/CF2288</f>
        <v>0.64633135812757825</v>
      </c>
      <c r="CG2276" s="160">
        <f>CG2283/CG2288</f>
        <v>0.64633135812757825</v>
      </c>
    </row>
    <row r="2277" spans="1:85" x14ac:dyDescent="0.25">
      <c r="A2277" s="212" t="s">
        <v>19</v>
      </c>
      <c r="B2277" s="30">
        <f t="shared" si="1079"/>
        <v>0.30940089989823338</v>
      </c>
      <c r="C2277" s="30">
        <f t="shared" si="1080"/>
        <v>0.27946142118089562</v>
      </c>
      <c r="D2277" s="30">
        <f t="shared" si="1081"/>
        <v>0.25567327484530145</v>
      </c>
      <c r="E2277" s="30">
        <f t="shared" si="1082"/>
        <v>0.22550580185267424</v>
      </c>
      <c r="F2277" s="22">
        <v>9.2152437065750895E-2</v>
      </c>
      <c r="G2277" s="22">
        <v>5.6161368122251892E-2</v>
      </c>
      <c r="H2277" s="22">
        <f t="shared" si="1159"/>
        <v>1.5754061788490367E-2</v>
      </c>
      <c r="I2277" s="22">
        <f t="shared" si="1084"/>
        <v>0</v>
      </c>
      <c r="J2277" s="22">
        <f t="shared" si="1085"/>
        <v>2.5052805092133103E-3</v>
      </c>
      <c r="K2277" s="22">
        <f t="shared" si="1086"/>
        <v>2.0046570124243367E-3</v>
      </c>
      <c r="L2277" s="22">
        <f t="shared" si="1087"/>
        <v>0</v>
      </c>
      <c r="M2277" s="22">
        <f t="shared" si="1088"/>
        <v>0</v>
      </c>
      <c r="N2277" s="22">
        <f t="shared" si="1089"/>
        <v>0</v>
      </c>
      <c r="O2277" s="22">
        <f t="shared" si="1090"/>
        <v>1.3716713271518083E-3</v>
      </c>
      <c r="P2277" s="22">
        <f t="shared" si="1091"/>
        <v>0</v>
      </c>
      <c r="Q2277" s="22">
        <f t="shared" si="1092"/>
        <v>2.1788890681936814E-2</v>
      </c>
      <c r="R2277" s="22">
        <f t="shared" si="1093"/>
        <v>1.0748209424445732E-2</v>
      </c>
      <c r="S2277" s="22">
        <f t="shared" si="1094"/>
        <v>1.9515846676443051E-2</v>
      </c>
      <c r="T2277" s="22">
        <f t="shared" si="1095"/>
        <v>2.0825492913331252E-2</v>
      </c>
      <c r="U2277" s="22">
        <f t="shared" si="1096"/>
        <v>3.9596754039035315E-2</v>
      </c>
      <c r="V2277" s="22">
        <f t="shared" si="1097"/>
        <v>2.4562316969324854E-2</v>
      </c>
      <c r="W2277" s="22">
        <f t="shared" si="1098"/>
        <v>2.9384010239918618E-2</v>
      </c>
      <c r="X2277" s="22">
        <f t="shared" si="1099"/>
        <v>2.5387401906939229E-2</v>
      </c>
      <c r="Y2277" s="22">
        <f t="shared" si="1100"/>
        <v>2.6916645125204978E-2</v>
      </c>
      <c r="Z2277" s="22">
        <f t="shared" si="1101"/>
        <v>1.2192531230922014E-2</v>
      </c>
      <c r="AA2277" s="22">
        <f t="shared" si="1102"/>
        <v>2.2557587023381041E-2</v>
      </c>
      <c r="AB2277" s="22">
        <f t="shared" si="1103"/>
        <v>3.1295294435585694E-2</v>
      </c>
      <c r="AC2277" s="22">
        <f t="shared" si="1104"/>
        <v>2.3793658743764413E-2</v>
      </c>
      <c r="AD2277" s="22">
        <f t="shared" si="1105"/>
        <v>2.8024483145140111E-2</v>
      </c>
      <c r="AE2277" s="22">
        <f t="shared" si="1106"/>
        <v>3.5343237195154288E-2</v>
      </c>
      <c r="AF2277" s="22">
        <f t="shared" si="1107"/>
        <v>2.3296922142343732E-2</v>
      </c>
      <c r="AG2277" s="22">
        <f t="shared" si="1108"/>
        <v>2.2762212342121058E-2</v>
      </c>
      <c r="AH2277" s="22">
        <f t="shared" si="1109"/>
        <v>2.9664798024762087E-2</v>
      </c>
      <c r="AI2277" s="22">
        <f t="shared" si="1110"/>
        <v>2.318117059499691E-2</v>
      </c>
      <c r="AJ2277" s="22">
        <f t="shared" si="1111"/>
        <v>4.2003514413153857E-2</v>
      </c>
      <c r="AK2277" s="22">
        <f t="shared" si="1112"/>
        <v>2.8901842099770862E-2</v>
      </c>
      <c r="AL2277" s="22">
        <f t="shared" si="1113"/>
        <v>3.2276793836882749E-2</v>
      </c>
      <c r="AM2277" s="22">
        <f t="shared" si="1114"/>
        <v>2.7556208335670494E-2</v>
      </c>
      <c r="AN2277" s="22">
        <f t="shared" si="1115"/>
        <v>2.6076914618891032E-2</v>
      </c>
      <c r="AO2277" s="22">
        <f t="shared" si="1116"/>
        <v>3.3153284111671191E-2</v>
      </c>
      <c r="AP2277" s="22">
        <f t="shared" si="1117"/>
        <v>2.1213289111108865E-2</v>
      </c>
      <c r="AQ2277" s="22">
        <f t="shared" si="1118"/>
        <v>2.5528693909379181E-2</v>
      </c>
      <c r="AR2277" s="22">
        <f t="shared" si="1119"/>
        <v>3.0281177065170486E-2</v>
      </c>
      <c r="AS2277" s="22">
        <f t="shared" si="1120"/>
        <v>3.5982014166400365E-2</v>
      </c>
      <c r="AT2277" s="22">
        <f t="shared" si="1121"/>
        <v>2.3320387990274395E-2</v>
      </c>
      <c r="AU2277" s="22">
        <f t="shared" si="1122"/>
        <v>2.3227125303411703E-2</v>
      </c>
      <c r="AV2277" s="22">
        <f t="shared" si="1123"/>
        <v>2.7223855777857506E-2</v>
      </c>
      <c r="AW2277" s="22">
        <f t="shared" si="1124"/>
        <v>3.0999284787336111E-2</v>
      </c>
      <c r="AX2277" s="22">
        <f t="shared" si="1125"/>
        <v>2.4462535073878421E-2</v>
      </c>
      <c r="AY2277" s="22">
        <f t="shared" si="1126"/>
        <v>2.7232246060933957E-2</v>
      </c>
      <c r="AZ2277" s="22">
        <f t="shared" si="1127"/>
        <v>3.3864615776203602E-2</v>
      </c>
      <c r="BA2277" s="22">
        <f t="shared" si="1128"/>
        <v>3.2208758931723785E-2</v>
      </c>
      <c r="BB2277" s="22">
        <f t="shared" si="1129"/>
        <v>4.0951650074835311E-2</v>
      </c>
      <c r="BC2277" s="22">
        <f t="shared" si="1130"/>
        <v>2.9552124845918092E-2</v>
      </c>
      <c r="BD2277" s="22">
        <f t="shared" si="1131"/>
        <v>3.1834514285586507E-2</v>
      </c>
      <c r="BE2277" s="22">
        <f t="shared" si="1132"/>
        <v>2.5627073976777884E-2</v>
      </c>
      <c r="BF2277" s="22">
        <f t="shared" si="1133"/>
        <v>2.8689121610765315E-2</v>
      </c>
      <c r="BG2277" s="22">
        <f t="shared" si="1134"/>
        <v>3.1234417084272055E-2</v>
      </c>
      <c r="BH2277" s="22">
        <f t="shared" si="1135"/>
        <v>1.8628077078577259E-2</v>
      </c>
      <c r="BI2277" s="22">
        <f t="shared" si="1136"/>
        <v>3.4796150166469579E-2</v>
      </c>
      <c r="BJ2277" s="22">
        <f t="shared" si="1137"/>
        <v>1.9758784046096545E-2</v>
      </c>
      <c r="BK2277" s="22">
        <f t="shared" si="1138"/>
        <v>1.3132146834214811E-2</v>
      </c>
      <c r="BL2277" s="22">
        <f t="shared" si="1139"/>
        <v>1.7321993916228604E-2</v>
      </c>
      <c r="BM2277" s="22">
        <f t="shared" si="1140"/>
        <v>1.6131573379272277E-2</v>
      </c>
      <c r="BN2277" s="22">
        <f t="shared" si="1141"/>
        <v>1.0817665380631652E-2</v>
      </c>
      <c r="BO2277" s="22">
        <f t="shared" si="1142"/>
        <v>1.0523703848522407E-2</v>
      </c>
      <c r="BP2277" s="22">
        <f t="shared" si="1143"/>
        <v>1.0420673440664547E-2</v>
      </c>
      <c r="BQ2277" s="22">
        <f t="shared" si="1144"/>
        <v>1.9363818563281805E-2</v>
      </c>
      <c r="BR2277" s="22">
        <f t="shared" si="1145"/>
        <v>1.915914556177541E-2</v>
      </c>
      <c r="BS2277" s="22">
        <f t="shared" si="1146"/>
        <v>1.5103496961796841E-2</v>
      </c>
      <c r="BT2277" s="22">
        <f t="shared" si="1147"/>
        <v>9.8172297828974086E-3</v>
      </c>
      <c r="BU2277" s="22">
        <f t="shared" si="1148"/>
        <v>1.4394197474178026E-2</v>
      </c>
      <c r="BV2277" s="22">
        <f t="shared" si="1149"/>
        <v>1.2721596044832466E-2</v>
      </c>
      <c r="BW2277" s="22">
        <f t="shared" si="1150"/>
        <v>8.8943456567769138E-3</v>
      </c>
      <c r="BX2277" s="22">
        <f t="shared" si="1151"/>
        <v>8.1432982467712547E-3</v>
      </c>
      <c r="BY2277" s="22">
        <f t="shared" si="1152"/>
        <v>1.539808743936801E-2</v>
      </c>
      <c r="BZ2277" s="22">
        <f t="shared" si="1153"/>
        <v>1.9997888184679891E-2</v>
      </c>
      <c r="CA2277" s="22">
        <f t="shared" si="1154"/>
        <v>2.4903631900622711E-2</v>
      </c>
      <c r="CB2277" s="22">
        <f t="shared" si="1155"/>
        <v>2.2096111506563466E-2</v>
      </c>
      <c r="CC2277" s="22">
        <f t="shared" si="1156"/>
        <v>1.4237124766185768E-2</v>
      </c>
      <c r="CD2277" s="22">
        <f t="shared" si="1157"/>
        <v>1.658975708464528E-2</v>
      </c>
      <c r="CE2277" s="22">
        <f t="shared" si="1158"/>
        <v>1.3844229344261064E-2</v>
      </c>
      <c r="CF2277" s="30">
        <f>CF2284/CF2288</f>
        <v>2.9810446066392153E-2</v>
      </c>
      <c r="CG2277" s="160">
        <f>CG2284/CG2288</f>
        <v>2.9810446066392157E-2</v>
      </c>
    </row>
    <row r="2278" spans="1:85" x14ac:dyDescent="0.25">
      <c r="A2278" s="212" t="s">
        <v>20</v>
      </c>
      <c r="B2278" s="30">
        <f t="shared" si="1079"/>
        <v>0.32215982468227666</v>
      </c>
      <c r="C2278" s="30">
        <f t="shared" si="1080"/>
        <v>0.33589130209656026</v>
      </c>
      <c r="D2278" s="30">
        <f t="shared" si="1081"/>
        <v>0.31366821167645759</v>
      </c>
      <c r="E2278" s="30">
        <f t="shared" si="1082"/>
        <v>0.31477311450696155</v>
      </c>
      <c r="F2278" s="22">
        <v>0.43502040854244045</v>
      </c>
      <c r="G2278" s="22">
        <v>0.40991994520432146</v>
      </c>
      <c r="H2278" s="22">
        <f t="shared" si="1159"/>
        <v>0.35155157766718576</v>
      </c>
      <c r="I2278" s="22">
        <f t="shared" si="1084"/>
        <v>0.31410731111113033</v>
      </c>
      <c r="J2278" s="22">
        <f t="shared" si="1085"/>
        <v>0.27301805635622944</v>
      </c>
      <c r="K2278" s="22">
        <f t="shared" si="1086"/>
        <v>0.31974327723888679</v>
      </c>
      <c r="L2278" s="22">
        <f t="shared" si="1087"/>
        <v>0.29806269243956651</v>
      </c>
      <c r="M2278" s="22">
        <f t="shared" si="1088"/>
        <v>0.2761663648910388</v>
      </c>
      <c r="N2278" s="22">
        <f t="shared" si="1089"/>
        <v>0.27737865515239984</v>
      </c>
      <c r="O2278" s="22">
        <f t="shared" si="1090"/>
        <v>0.3272193349458018</v>
      </c>
      <c r="P2278" s="22">
        <f t="shared" si="1091"/>
        <v>0.29582636089770553</v>
      </c>
      <c r="Q2278" s="22">
        <f t="shared" si="1092"/>
        <v>0.24254371674986822</v>
      </c>
      <c r="R2278" s="22">
        <f t="shared" si="1093"/>
        <v>0.25322897900756919</v>
      </c>
      <c r="S2278" s="22">
        <f t="shared" si="1094"/>
        <v>0.28924273669174716</v>
      </c>
      <c r="T2278" s="22">
        <f t="shared" si="1095"/>
        <v>0.259738928036299</v>
      </c>
      <c r="U2278" s="22">
        <f t="shared" si="1096"/>
        <v>0.24973056096326182</v>
      </c>
      <c r="V2278" s="22">
        <f t="shared" si="1097"/>
        <v>0.28066322322089526</v>
      </c>
      <c r="W2278" s="22">
        <f t="shared" si="1098"/>
        <v>0.25141040929262731</v>
      </c>
      <c r="X2278" s="22">
        <f t="shared" si="1099"/>
        <v>0.22421328982592784</v>
      </c>
      <c r="Y2278" s="22">
        <f t="shared" si="1100"/>
        <v>0.24437321831163772</v>
      </c>
      <c r="Z2278" s="22">
        <f t="shared" si="1101"/>
        <v>0.26833385949620231</v>
      </c>
      <c r="AA2278" s="22">
        <f t="shared" si="1102"/>
        <v>0.19924259102070119</v>
      </c>
      <c r="AB2278" s="22">
        <f t="shared" si="1103"/>
        <v>0.24178066190382272</v>
      </c>
      <c r="AC2278" s="22">
        <f t="shared" si="1104"/>
        <v>0.21702689774889561</v>
      </c>
      <c r="AD2278" s="22">
        <f t="shared" si="1105"/>
        <v>0.20870823109800118</v>
      </c>
      <c r="AE2278" s="22">
        <f t="shared" si="1106"/>
        <v>0.27039518717373778</v>
      </c>
      <c r="AF2278" s="22">
        <f t="shared" si="1107"/>
        <v>0.25816724008737685</v>
      </c>
      <c r="AG2278" s="22">
        <f t="shared" si="1108"/>
        <v>0.21463721872272112</v>
      </c>
      <c r="AH2278" s="22">
        <f t="shared" si="1109"/>
        <v>0.24111912700020621</v>
      </c>
      <c r="AI2278" s="22">
        <f t="shared" si="1110"/>
        <v>0.24394344607353072</v>
      </c>
      <c r="AJ2278" s="22">
        <f t="shared" si="1111"/>
        <v>0.23136684030623289</v>
      </c>
      <c r="AK2278" s="22">
        <f t="shared" si="1112"/>
        <v>0.24175756025847342</v>
      </c>
      <c r="AL2278" s="22">
        <f t="shared" si="1113"/>
        <v>0.27573514248536513</v>
      </c>
      <c r="AM2278" s="22">
        <f t="shared" si="1114"/>
        <v>0.22895808693970821</v>
      </c>
      <c r="AN2278" s="22">
        <f t="shared" si="1115"/>
        <v>0.27810692932957359</v>
      </c>
      <c r="AO2278" s="22">
        <f t="shared" si="1116"/>
        <v>0.2323458476689596</v>
      </c>
      <c r="AP2278" s="22">
        <f t="shared" si="1117"/>
        <v>0.28055214820645441</v>
      </c>
      <c r="AQ2278" s="22">
        <f t="shared" si="1118"/>
        <v>0.27095407275730971</v>
      </c>
      <c r="AR2278" s="22">
        <f t="shared" si="1119"/>
        <v>0.26550001423449143</v>
      </c>
      <c r="AS2278" s="22">
        <f t="shared" si="1120"/>
        <v>0.2275015820358495</v>
      </c>
      <c r="AT2278" s="22">
        <f t="shared" si="1121"/>
        <v>0.27745042505638556</v>
      </c>
      <c r="AU2278" s="22">
        <f t="shared" si="1122"/>
        <v>0.26119878050708389</v>
      </c>
      <c r="AV2278" s="22">
        <f t="shared" si="1123"/>
        <v>0.23042309561288077</v>
      </c>
      <c r="AW2278" s="22">
        <f t="shared" si="1124"/>
        <v>0.20860172432705321</v>
      </c>
      <c r="AX2278" s="22">
        <f t="shared" si="1125"/>
        <v>0.20039033842845289</v>
      </c>
      <c r="AY2278" s="22">
        <f t="shared" si="1126"/>
        <v>0.23049837738771697</v>
      </c>
      <c r="AZ2278" s="22">
        <f t="shared" si="1127"/>
        <v>0.26295946014957783</v>
      </c>
      <c r="BA2278" s="22">
        <f t="shared" si="1128"/>
        <v>0.26419307192157604</v>
      </c>
      <c r="BB2278" s="22">
        <f t="shared" si="1129"/>
        <v>0.29644522368925219</v>
      </c>
      <c r="BC2278" s="22">
        <f t="shared" si="1130"/>
        <v>0.28675832903861836</v>
      </c>
      <c r="BD2278" s="22">
        <f t="shared" si="1131"/>
        <v>0.24374186635086401</v>
      </c>
      <c r="BE2278" s="22">
        <f t="shared" si="1132"/>
        <v>0.26895251809658322</v>
      </c>
      <c r="BF2278" s="22">
        <f t="shared" si="1133"/>
        <v>0.28192300416371724</v>
      </c>
      <c r="BG2278" s="22">
        <f t="shared" si="1134"/>
        <v>0.27698345425780152</v>
      </c>
      <c r="BH2278" s="22">
        <f t="shared" si="1135"/>
        <v>0.24980103744894111</v>
      </c>
      <c r="BI2278" s="22">
        <f t="shared" si="1136"/>
        <v>0.27129400579533441</v>
      </c>
      <c r="BJ2278" s="22">
        <f t="shared" si="1137"/>
        <v>0.27487071978065092</v>
      </c>
      <c r="BK2278" s="22">
        <f t="shared" si="1138"/>
        <v>0.20681580906179556</v>
      </c>
      <c r="BL2278" s="22">
        <f t="shared" si="1139"/>
        <v>0.25938020386671895</v>
      </c>
      <c r="BM2278" s="22">
        <f t="shared" si="1140"/>
        <v>0.24662942307594901</v>
      </c>
      <c r="BN2278" s="22">
        <f t="shared" si="1141"/>
        <v>0.23959557517143457</v>
      </c>
      <c r="BO2278" s="22">
        <f t="shared" si="1142"/>
        <v>0.26693906813286017</v>
      </c>
      <c r="BP2278" s="22">
        <f t="shared" si="1143"/>
        <v>0.27947434527094622</v>
      </c>
      <c r="BQ2278" s="22">
        <f t="shared" si="1144"/>
        <v>0.29855005598410522</v>
      </c>
      <c r="BR2278" s="22">
        <f t="shared" si="1145"/>
        <v>0.32199252395291572</v>
      </c>
      <c r="BS2278" s="22">
        <f t="shared" si="1146"/>
        <v>0.27710715387820134</v>
      </c>
      <c r="BT2278" s="22">
        <f t="shared" si="1147"/>
        <v>0.25893024409467152</v>
      </c>
      <c r="BU2278" s="22">
        <f t="shared" si="1148"/>
        <v>0.24209034178242378</v>
      </c>
      <c r="BV2278" s="22">
        <f t="shared" si="1149"/>
        <v>0.25381978637262026</v>
      </c>
      <c r="BW2278" s="22">
        <f t="shared" si="1150"/>
        <v>0.21324496069013124</v>
      </c>
      <c r="BX2278" s="22">
        <f t="shared" si="1151"/>
        <v>0.22250216830960634</v>
      </c>
      <c r="BY2278" s="22">
        <f t="shared" si="1152"/>
        <v>0.24155443281361952</v>
      </c>
      <c r="BZ2278" s="22">
        <f t="shared" si="1153"/>
        <v>0.20824525375995068</v>
      </c>
      <c r="CA2278" s="22">
        <f t="shared" si="1154"/>
        <v>0.19933452206549504</v>
      </c>
      <c r="CB2278" s="22">
        <f t="shared" si="1155"/>
        <v>0.2194554022966288</v>
      </c>
      <c r="CC2278" s="22">
        <f t="shared" si="1156"/>
        <v>0.22244816340837159</v>
      </c>
      <c r="CD2278" s="22">
        <f t="shared" si="1157"/>
        <v>0.20766843191907663</v>
      </c>
      <c r="CE2278" s="22">
        <f t="shared" si="1158"/>
        <v>0.29601744164457511</v>
      </c>
      <c r="CF2278" s="30">
        <f>CF2285/CF2288</f>
        <v>0.25948037111321315</v>
      </c>
      <c r="CG2278" s="160">
        <f>CG2285/CG2288</f>
        <v>0.25948037111321315</v>
      </c>
    </row>
    <row r="2279" spans="1:85" x14ac:dyDescent="0.25">
      <c r="A2279" s="212" t="s">
        <v>21</v>
      </c>
      <c r="B2279" s="30">
        <f t="shared" si="1079"/>
        <v>0</v>
      </c>
      <c r="C2279" s="30">
        <f t="shared" si="1080"/>
        <v>0</v>
      </c>
      <c r="D2279" s="30">
        <f t="shared" si="1081"/>
        <v>5.8265062057075555E-3</v>
      </c>
      <c r="E2279" s="30">
        <f t="shared" si="1082"/>
        <v>7.6806130938532726E-3</v>
      </c>
      <c r="F2279" s="22">
        <v>1.7570965136932289E-2</v>
      </c>
      <c r="G2279" s="22">
        <v>9.2581260330773213E-2</v>
      </c>
      <c r="H2279" s="22">
        <f t="shared" si="1159"/>
        <v>0.14013466129705895</v>
      </c>
      <c r="I2279" s="22">
        <f t="shared" si="1084"/>
        <v>0.13282379266085301</v>
      </c>
      <c r="J2279" s="22">
        <f t="shared" si="1085"/>
        <v>0.13613922785318824</v>
      </c>
      <c r="K2279" s="22">
        <f t="shared" si="1086"/>
        <v>6.3783300964531484E-2</v>
      </c>
      <c r="L2279" s="22">
        <f t="shared" si="1087"/>
        <v>0.10009660710483637</v>
      </c>
      <c r="M2279" s="22">
        <f t="shared" si="1088"/>
        <v>0.12429191301778342</v>
      </c>
      <c r="N2279" s="22">
        <f t="shared" si="1089"/>
        <v>0.12125138595722024</v>
      </c>
      <c r="O2279" s="22">
        <f t="shared" si="1090"/>
        <v>7.4334078963460587E-2</v>
      </c>
      <c r="P2279" s="22">
        <f t="shared" si="1091"/>
        <v>8.0133635428508751E-2</v>
      </c>
      <c r="Q2279" s="22">
        <f t="shared" si="1092"/>
        <v>0.14228089748533512</v>
      </c>
      <c r="R2279" s="22">
        <f t="shared" si="1093"/>
        <v>0.17025717011974206</v>
      </c>
      <c r="S2279" s="22">
        <f t="shared" si="1094"/>
        <v>0.15963426286009894</v>
      </c>
      <c r="T2279" s="22">
        <f t="shared" si="1095"/>
        <v>0.12724355310423988</v>
      </c>
      <c r="U2279" s="22">
        <f t="shared" si="1096"/>
        <v>0.10516107263703291</v>
      </c>
      <c r="V2279" s="22">
        <f t="shared" si="1097"/>
        <v>0.12151459621931243</v>
      </c>
      <c r="W2279" s="22">
        <f t="shared" si="1098"/>
        <v>0.10973082268534146</v>
      </c>
      <c r="X2279" s="22">
        <f t="shared" si="1099"/>
        <v>0.10375324397073801</v>
      </c>
      <c r="Y2279" s="22">
        <f t="shared" si="1100"/>
        <v>0.12291437222228872</v>
      </c>
      <c r="Z2279" s="22">
        <f t="shared" si="1101"/>
        <v>9.7820628847530094E-2</v>
      </c>
      <c r="AA2279" s="22">
        <f t="shared" si="1102"/>
        <v>0.11795207950580459</v>
      </c>
      <c r="AB2279" s="22">
        <f t="shared" si="1103"/>
        <v>0.11608161376359555</v>
      </c>
      <c r="AC2279" s="22">
        <f t="shared" si="1104"/>
        <v>0.12892000551859797</v>
      </c>
      <c r="AD2279" s="22">
        <f t="shared" si="1105"/>
        <v>0.11092245365029678</v>
      </c>
      <c r="AE2279" s="22">
        <f t="shared" si="1106"/>
        <v>0.1047021100777407</v>
      </c>
      <c r="AF2279" s="22">
        <f t="shared" si="1107"/>
        <v>7.0637014819034366E-2</v>
      </c>
      <c r="AG2279" s="22">
        <f t="shared" si="1108"/>
        <v>0.1009015961341882</v>
      </c>
      <c r="AH2279" s="22">
        <f t="shared" si="1109"/>
        <v>8.3814313455732994E-2</v>
      </c>
      <c r="AI2279" s="22">
        <f t="shared" si="1110"/>
        <v>3.8805082019284759E-2</v>
      </c>
      <c r="AJ2279" s="22">
        <f t="shared" si="1111"/>
        <v>7.1155467992460572E-2</v>
      </c>
      <c r="AK2279" s="22">
        <f t="shared" si="1112"/>
        <v>3.1340269702156226E-2</v>
      </c>
      <c r="AL2279" s="22">
        <f t="shared" si="1113"/>
        <v>1.5006420714795479E-2</v>
      </c>
      <c r="AM2279" s="22">
        <f t="shared" si="1114"/>
        <v>4.7922177198577352E-2</v>
      </c>
      <c r="AN2279" s="22">
        <f t="shared" si="1115"/>
        <v>2.7334489818306936E-2</v>
      </c>
      <c r="AO2279" s="22">
        <f t="shared" si="1116"/>
        <v>4.4551720202394229E-2</v>
      </c>
      <c r="AP2279" s="22">
        <f t="shared" si="1117"/>
        <v>1.4874218545037924E-2</v>
      </c>
      <c r="AQ2279" s="22">
        <f t="shared" si="1118"/>
        <v>5.096758919085826E-2</v>
      </c>
      <c r="AR2279" s="22">
        <f t="shared" si="1119"/>
        <v>3.4680132286018787E-2</v>
      </c>
      <c r="AS2279" s="22">
        <f t="shared" si="1120"/>
        <v>4.0553936073425778E-2</v>
      </c>
      <c r="AT2279" s="22">
        <f t="shared" si="1121"/>
        <v>4.0206080589908287E-2</v>
      </c>
      <c r="AU2279" s="22">
        <f t="shared" si="1122"/>
        <v>4.2870406301711954E-2</v>
      </c>
      <c r="AV2279" s="22">
        <f t="shared" si="1123"/>
        <v>4.0116453378620791E-2</v>
      </c>
      <c r="AW2279" s="22">
        <f t="shared" si="1124"/>
        <v>5.1027131298355025E-2</v>
      </c>
      <c r="AX2279" s="22">
        <f t="shared" si="1125"/>
        <v>7.0284043784154218E-2</v>
      </c>
      <c r="AY2279" s="22">
        <f t="shared" si="1126"/>
        <v>3.6146431219108183E-2</v>
      </c>
      <c r="AZ2279" s="22">
        <f t="shared" si="1127"/>
        <v>1.7812795828817743E-2</v>
      </c>
      <c r="BA2279" s="22">
        <f t="shared" si="1128"/>
        <v>8.9492711257878506E-3</v>
      </c>
      <c r="BB2279" s="22">
        <f t="shared" si="1129"/>
        <v>9.1449643081303912E-3</v>
      </c>
      <c r="BC2279" s="22">
        <f t="shared" si="1130"/>
        <v>5.5372176516283907E-3</v>
      </c>
      <c r="BD2279" s="22">
        <f t="shared" si="1131"/>
        <v>3.6057043903329283E-2</v>
      </c>
      <c r="BE2279" s="22">
        <f t="shared" si="1132"/>
        <v>2.5943837863091162E-2</v>
      </c>
      <c r="BF2279" s="22">
        <f t="shared" si="1133"/>
        <v>4.0412272143649395E-3</v>
      </c>
      <c r="BG2279" s="22">
        <f t="shared" si="1134"/>
        <v>8.437728832997175E-3</v>
      </c>
      <c r="BH2279" s="22">
        <f t="shared" si="1135"/>
        <v>2.1439459420765295E-2</v>
      </c>
      <c r="BI2279" s="22">
        <f t="shared" si="1136"/>
        <v>4.1222112459656818E-2</v>
      </c>
      <c r="BJ2279" s="22">
        <f t="shared" si="1137"/>
        <v>3.4280296144711692E-3</v>
      </c>
      <c r="BK2279" s="22">
        <f t="shared" si="1138"/>
        <v>2.1394497812221393E-2</v>
      </c>
      <c r="BL2279" s="22">
        <f t="shared" si="1139"/>
        <v>0</v>
      </c>
      <c r="BM2279" s="22">
        <f t="shared" si="1140"/>
        <v>2.5411540080493939E-3</v>
      </c>
      <c r="BN2279" s="22">
        <f t="shared" si="1141"/>
        <v>4.8397784023656801E-3</v>
      </c>
      <c r="BO2279" s="22">
        <f t="shared" si="1142"/>
        <v>3.4768386777750261E-3</v>
      </c>
      <c r="BP2279" s="22">
        <f t="shared" si="1143"/>
        <v>6.0352390279911185E-3</v>
      </c>
      <c r="BQ2279" s="22">
        <f t="shared" si="1144"/>
        <v>1.1690723947643809E-3</v>
      </c>
      <c r="BR2279" s="22">
        <f t="shared" si="1145"/>
        <v>6.6662020046582268E-2</v>
      </c>
      <c r="BS2279" s="22">
        <f t="shared" si="1146"/>
        <v>5.9226713171820392E-2</v>
      </c>
      <c r="BT2279" s="22">
        <f t="shared" si="1147"/>
        <v>4.5614972175874388E-2</v>
      </c>
      <c r="BU2279" s="22">
        <f t="shared" si="1148"/>
        <v>5.3488855806429904E-2</v>
      </c>
      <c r="BV2279" s="22">
        <f t="shared" si="1149"/>
        <v>3.8981188931475383E-2</v>
      </c>
      <c r="BW2279" s="22">
        <f t="shared" si="1150"/>
        <v>4.3884767080579638E-2</v>
      </c>
      <c r="BX2279" s="22">
        <f t="shared" si="1151"/>
        <v>3.8718788537436745E-2</v>
      </c>
      <c r="BY2279" s="22">
        <f t="shared" si="1152"/>
        <v>5.3678617341330552E-2</v>
      </c>
      <c r="BZ2279" s="22">
        <f t="shared" si="1153"/>
        <v>5.9221069282620394E-2</v>
      </c>
      <c r="CA2279" s="22">
        <f t="shared" si="1154"/>
        <v>6.7946817127323547E-2</v>
      </c>
      <c r="CB2279" s="22">
        <f t="shared" si="1155"/>
        <v>4.9065519504756482E-2</v>
      </c>
      <c r="CC2279" s="22">
        <f t="shared" si="1156"/>
        <v>6.6493668000358552E-2</v>
      </c>
      <c r="CD2279" s="22">
        <f t="shared" si="1157"/>
        <v>6.2844359921651965E-2</v>
      </c>
      <c r="CE2279" s="22">
        <f t="shared" si="1158"/>
        <v>6.1406561513927108E-2</v>
      </c>
      <c r="CF2279" s="30">
        <f>CF2286/CF2288</f>
        <v>6.0154538317892942E-2</v>
      </c>
      <c r="CG2279" s="160">
        <f>CG2286/CG2288</f>
        <v>6.0154538317892942E-2</v>
      </c>
    </row>
    <row r="2280" spans="1:85" x14ac:dyDescent="0.25">
      <c r="A2280" s="212" t="s">
        <v>22</v>
      </c>
      <c r="B2280" s="30">
        <f t="shared" si="1079"/>
        <v>0</v>
      </c>
      <c r="C2280" s="30">
        <f t="shared" si="1080"/>
        <v>0</v>
      </c>
      <c r="D2280" s="30">
        <f t="shared" si="1081"/>
        <v>8.9864903272744647E-4</v>
      </c>
      <c r="E2280" s="30">
        <f t="shared" si="1082"/>
        <v>9.236076088694296E-4</v>
      </c>
      <c r="F2280" s="22">
        <v>3.5307907967173069E-3</v>
      </c>
      <c r="G2280" s="22">
        <v>1.2635956023685046E-2</v>
      </c>
      <c r="H2280" s="22">
        <f t="shared" si="1159"/>
        <v>1.5328051347236851E-2</v>
      </c>
      <c r="I2280" s="22">
        <f t="shared" si="1084"/>
        <v>3.0773910151573877E-2</v>
      </c>
      <c r="J2280" s="22">
        <f t="shared" si="1085"/>
        <v>4.2135670301338924E-3</v>
      </c>
      <c r="K2280" s="22">
        <f t="shared" si="1086"/>
        <v>6.425670813596622E-3</v>
      </c>
      <c r="L2280" s="22">
        <f t="shared" si="1087"/>
        <v>1.8869243257593061E-3</v>
      </c>
      <c r="M2280" s="22">
        <f t="shared" si="1088"/>
        <v>1.2440396278341492E-2</v>
      </c>
      <c r="N2280" s="22">
        <f t="shared" si="1089"/>
        <v>2.3568698770965396E-3</v>
      </c>
      <c r="O2280" s="22">
        <f t="shared" si="1090"/>
        <v>2.0752473738017804E-3</v>
      </c>
      <c r="P2280" s="22">
        <f t="shared" si="1091"/>
        <v>1.3567680218755976E-3</v>
      </c>
      <c r="Q2280" s="22">
        <f t="shared" si="1092"/>
        <v>0</v>
      </c>
      <c r="R2280" s="22">
        <f t="shared" si="1093"/>
        <v>4.7020626199872325E-3</v>
      </c>
      <c r="S2280" s="22">
        <f t="shared" si="1094"/>
        <v>2.6987391537689701E-3</v>
      </c>
      <c r="T2280" s="22">
        <f t="shared" si="1095"/>
        <v>1.1721150582514351E-2</v>
      </c>
      <c r="U2280" s="22">
        <f t="shared" si="1096"/>
        <v>1.917768965095618E-3</v>
      </c>
      <c r="V2280" s="22">
        <f t="shared" si="1097"/>
        <v>6.5782793133678848E-3</v>
      </c>
      <c r="W2280" s="22">
        <f t="shared" si="1098"/>
        <v>6.3016140357748758E-4</v>
      </c>
      <c r="X2280" s="22">
        <f t="shared" si="1099"/>
        <v>1.5262680557964849E-3</v>
      </c>
      <c r="Y2280" s="22">
        <f t="shared" si="1100"/>
        <v>1.696011783575128E-3</v>
      </c>
      <c r="Z2280" s="22">
        <f t="shared" si="1101"/>
        <v>7.8993158796192352E-4</v>
      </c>
      <c r="AA2280" s="22">
        <f t="shared" si="1102"/>
        <v>0</v>
      </c>
      <c r="AB2280" s="22">
        <f t="shared" si="1103"/>
        <v>4.6102931771878023E-3</v>
      </c>
      <c r="AC2280" s="22">
        <f t="shared" si="1104"/>
        <v>4.1784160733875806E-3</v>
      </c>
      <c r="AD2280" s="22">
        <f t="shared" si="1105"/>
        <v>1.1247794032308363E-3</v>
      </c>
      <c r="AE2280" s="22">
        <f t="shared" si="1106"/>
        <v>8.0989127612037719E-4</v>
      </c>
      <c r="AF2280" s="22">
        <f t="shared" si="1107"/>
        <v>3.1982486867833809E-3</v>
      </c>
      <c r="AG2280" s="22">
        <f t="shared" si="1108"/>
        <v>3.6389585805910426E-3</v>
      </c>
      <c r="AH2280" s="22">
        <f t="shared" si="1109"/>
        <v>5.6521478666119477E-3</v>
      </c>
      <c r="AI2280" s="22">
        <f t="shared" si="1110"/>
        <v>5.9724943289494788E-3</v>
      </c>
      <c r="AJ2280" s="22">
        <f t="shared" si="1111"/>
        <v>9.6442964238008348E-3</v>
      </c>
      <c r="AK2280" s="22">
        <f t="shared" si="1112"/>
        <v>2.2277554729350788E-3</v>
      </c>
      <c r="AL2280" s="22">
        <f t="shared" si="1113"/>
        <v>6.1703366220481346E-3</v>
      </c>
      <c r="AM2280" s="22">
        <f t="shared" si="1114"/>
        <v>6.6664087304856316E-3</v>
      </c>
      <c r="AN2280" s="22">
        <f t="shared" si="1115"/>
        <v>3.968652375332493E-3</v>
      </c>
      <c r="AO2280" s="22">
        <f t="shared" si="1116"/>
        <v>5.6423730471050699E-3</v>
      </c>
      <c r="AP2280" s="22">
        <f t="shared" si="1117"/>
        <v>4.0574834411912881E-3</v>
      </c>
      <c r="AQ2280" s="22">
        <f t="shared" si="1118"/>
        <v>7.8820404438809041E-3</v>
      </c>
      <c r="AR2280" s="22">
        <f t="shared" si="1119"/>
        <v>2.1499470656880476E-3</v>
      </c>
      <c r="AS2280" s="22">
        <f t="shared" si="1120"/>
        <v>3.6690738628712286E-3</v>
      </c>
      <c r="AT2280" s="22">
        <f t="shared" si="1121"/>
        <v>3.7756782883983089E-3</v>
      </c>
      <c r="AU2280" s="22">
        <f t="shared" si="1122"/>
        <v>0</v>
      </c>
      <c r="AV2280" s="22">
        <f t="shared" si="1123"/>
        <v>5.1428533941387973E-3</v>
      </c>
      <c r="AW2280" s="22">
        <f t="shared" si="1124"/>
        <v>3.2276038376867831E-3</v>
      </c>
      <c r="AX2280" s="22">
        <f t="shared" si="1125"/>
        <v>3.8035543555897983E-3</v>
      </c>
      <c r="AY2280" s="22">
        <f t="shared" si="1126"/>
        <v>5.1509807646012498E-3</v>
      </c>
      <c r="AZ2280" s="22">
        <f t="shared" si="1127"/>
        <v>1.9904636394851185E-3</v>
      </c>
      <c r="BA2280" s="22">
        <f t="shared" si="1128"/>
        <v>5.8398378363353912E-3</v>
      </c>
      <c r="BB2280" s="22">
        <f t="shared" si="1129"/>
        <v>4.0440234994160067E-3</v>
      </c>
      <c r="BC2280" s="22">
        <f t="shared" si="1130"/>
        <v>7.1144138743603437E-3</v>
      </c>
      <c r="BD2280" s="22">
        <f t="shared" si="1131"/>
        <v>7.9436987621251398E-3</v>
      </c>
      <c r="BE2280" s="22">
        <f t="shared" si="1132"/>
        <v>9.7534767918042078E-3</v>
      </c>
      <c r="BF2280" s="22">
        <f t="shared" si="1133"/>
        <v>3.7074808163872334E-3</v>
      </c>
      <c r="BG2280" s="22">
        <f t="shared" si="1134"/>
        <v>8.1732313348985824E-3</v>
      </c>
      <c r="BH2280" s="22">
        <f t="shared" si="1135"/>
        <v>0</v>
      </c>
      <c r="BI2280" s="22">
        <f t="shared" si="1136"/>
        <v>2.4202118606901596E-3</v>
      </c>
      <c r="BJ2280" s="22">
        <f t="shared" si="1137"/>
        <v>3.1911024655331978E-3</v>
      </c>
      <c r="BK2280" s="22">
        <f t="shared" si="1138"/>
        <v>2.2253223718929596E-3</v>
      </c>
      <c r="BL2280" s="22">
        <f t="shared" si="1139"/>
        <v>0</v>
      </c>
      <c r="BM2280" s="22">
        <f t="shared" si="1140"/>
        <v>0</v>
      </c>
      <c r="BN2280" s="22">
        <f t="shared" si="1141"/>
        <v>6.4383817164897581E-3</v>
      </c>
      <c r="BO2280" s="22">
        <f t="shared" si="1142"/>
        <v>3.5721745092813745E-3</v>
      </c>
      <c r="BP2280" s="22">
        <f t="shared" si="1143"/>
        <v>5.8428391885761311E-3</v>
      </c>
      <c r="BQ2280" s="22">
        <f t="shared" si="1144"/>
        <v>1.657014318453403E-3</v>
      </c>
      <c r="BR2280" s="22">
        <f t="shared" si="1145"/>
        <v>5.9701896635405358E-3</v>
      </c>
      <c r="BS2280" s="22">
        <f t="shared" si="1146"/>
        <v>2.9116731321209071E-3</v>
      </c>
      <c r="BT2280" s="22">
        <f t="shared" si="1147"/>
        <v>1.52697407859757E-3</v>
      </c>
      <c r="BU2280" s="22">
        <f t="shared" si="1148"/>
        <v>1.0037810245212895E-2</v>
      </c>
      <c r="BV2280" s="22">
        <f t="shared" si="1149"/>
        <v>3.3512724293579422E-3</v>
      </c>
      <c r="BW2280" s="22">
        <f t="shared" si="1150"/>
        <v>6.7766550938373185E-4</v>
      </c>
      <c r="BX2280" s="22">
        <f t="shared" si="1151"/>
        <v>0</v>
      </c>
      <c r="BY2280" s="22">
        <f t="shared" si="1152"/>
        <v>3.0163701908082949E-3</v>
      </c>
      <c r="BZ2280" s="22">
        <f t="shared" si="1153"/>
        <v>2.2681458926130061E-3</v>
      </c>
      <c r="CA2280" s="22">
        <f t="shared" si="1154"/>
        <v>1.9985857979317439E-3</v>
      </c>
      <c r="CB2280" s="22">
        <f t="shared" si="1155"/>
        <v>3.4932161775167699E-3</v>
      </c>
      <c r="CC2280" s="22">
        <f t="shared" si="1156"/>
        <v>1.515497080603116E-3</v>
      </c>
      <c r="CD2280" s="22">
        <f t="shared" si="1157"/>
        <v>4.2803545179140676E-3</v>
      </c>
      <c r="CE2280" s="22">
        <f t="shared" si="1158"/>
        <v>6.6215311603332961E-3</v>
      </c>
      <c r="CF2280" s="30">
        <f>CF2287/CF2288</f>
        <v>4.2232863749236066E-3</v>
      </c>
      <c r="CG2280" s="160">
        <f>CG2287/CG2288</f>
        <v>4.2232863749236066E-3</v>
      </c>
    </row>
    <row r="2281" spans="1:85" x14ac:dyDescent="0.25">
      <c r="A2281" s="215" t="s">
        <v>23</v>
      </c>
      <c r="B2281" s="66">
        <f t="shared" si="1079"/>
        <v>30378.481012658234</v>
      </c>
      <c r="C2281" s="66">
        <f t="shared" si="1080"/>
        <v>29553.104925053532</v>
      </c>
      <c r="D2281" s="66">
        <f t="shared" si="1081"/>
        <v>31484.107327141388</v>
      </c>
      <c r="E2281" s="66">
        <f t="shared" si="1082"/>
        <v>31056.80693069307</v>
      </c>
      <c r="F2281" s="66">
        <v>31120.725995316159</v>
      </c>
      <c r="G2281" s="66">
        <v>32186.530172413797</v>
      </c>
      <c r="H2281" s="66">
        <f t="shared" si="1159"/>
        <v>31199.909173478656</v>
      </c>
      <c r="I2281" s="66">
        <f t="shared" si="1084"/>
        <v>33082.412523020255</v>
      </c>
      <c r="J2281" s="66">
        <f t="shared" si="1085"/>
        <v>30352.417498081355</v>
      </c>
      <c r="K2281" s="66">
        <f t="shared" si="1086"/>
        <v>25094.710507505362</v>
      </c>
      <c r="L2281" s="66">
        <f t="shared" si="1087"/>
        <v>28535.683760683762</v>
      </c>
      <c r="M2281" s="66">
        <f t="shared" si="1088"/>
        <v>32392.179700499168</v>
      </c>
      <c r="N2281" s="66">
        <f t="shared" si="1089"/>
        <v>30992.536115569823</v>
      </c>
      <c r="O2281" s="66">
        <f t="shared" si="1090"/>
        <v>33321.36363636364</v>
      </c>
      <c r="P2281" s="66">
        <f t="shared" si="1091"/>
        <v>32606.361323155212</v>
      </c>
      <c r="Q2281" s="66">
        <f t="shared" si="1092"/>
        <v>36212.417061611384</v>
      </c>
      <c r="R2281" s="66">
        <f t="shared" si="1093"/>
        <v>36623.454157782515</v>
      </c>
      <c r="S2281" s="66">
        <f t="shared" si="1094"/>
        <v>35602.793834296732</v>
      </c>
      <c r="T2281" s="66">
        <f t="shared" si="1095"/>
        <v>33582.300884955759</v>
      </c>
      <c r="U2281" s="66">
        <f t="shared" si="1096"/>
        <v>35939.716902581175</v>
      </c>
      <c r="V2281" s="66">
        <f t="shared" si="1097"/>
        <v>34474.283501161888</v>
      </c>
      <c r="W2281" s="66">
        <f t="shared" si="1098"/>
        <v>34617.322239031775</v>
      </c>
      <c r="X2281" s="66">
        <f t="shared" si="1099"/>
        <v>33771.706586826345</v>
      </c>
      <c r="Y2281" s="66">
        <f t="shared" si="1100"/>
        <v>34093.825256975048</v>
      </c>
      <c r="Z2281" s="66">
        <f t="shared" si="1101"/>
        <v>35980.502665651184</v>
      </c>
      <c r="AA2281" s="66">
        <f t="shared" si="1102"/>
        <v>34824.131016042789</v>
      </c>
      <c r="AB2281" s="66">
        <f t="shared" si="1103"/>
        <v>35323.187365398422</v>
      </c>
      <c r="AC2281" s="66">
        <f t="shared" si="1104"/>
        <v>34372.905982905992</v>
      </c>
      <c r="AD2281" s="66">
        <f t="shared" si="1105"/>
        <v>34983.472222222226</v>
      </c>
      <c r="AE2281" s="66">
        <f t="shared" si="1106"/>
        <v>35586.830985915491</v>
      </c>
      <c r="AF2281" s="66">
        <f t="shared" si="1107"/>
        <v>35358.787043418342</v>
      </c>
      <c r="AG2281" s="66">
        <f t="shared" si="1108"/>
        <v>36740.416666666664</v>
      </c>
      <c r="AH2281" s="66">
        <f t="shared" si="1109"/>
        <v>35823.552631578954</v>
      </c>
      <c r="AI2281" s="66">
        <f t="shared" si="1110"/>
        <v>35277.746870653697</v>
      </c>
      <c r="AJ2281" s="66">
        <f t="shared" si="1111"/>
        <v>36364.291369754552</v>
      </c>
      <c r="AK2281" s="66">
        <f t="shared" si="1112"/>
        <v>36122.140221402216</v>
      </c>
      <c r="AL2281" s="66">
        <f t="shared" si="1113"/>
        <v>36040.982348426718</v>
      </c>
      <c r="AM2281" s="66">
        <f t="shared" si="1114"/>
        <v>37091.790461297896</v>
      </c>
      <c r="AN2281" s="66">
        <f t="shared" si="1115"/>
        <v>35549.376375641979</v>
      </c>
      <c r="AO2281" s="66">
        <f t="shared" si="1116"/>
        <v>37084.258654474215</v>
      </c>
      <c r="AP2281" s="66">
        <f t="shared" si="1117"/>
        <v>36464.419171405352</v>
      </c>
      <c r="AQ2281" s="66">
        <f t="shared" si="1118"/>
        <v>35469.196093163046</v>
      </c>
      <c r="AR2281" s="66">
        <f t="shared" si="1119"/>
        <v>35754.410674573766</v>
      </c>
      <c r="AS2281" s="66">
        <f t="shared" si="1120"/>
        <v>37133.497884344149</v>
      </c>
      <c r="AT2281" s="66">
        <f t="shared" si="1121"/>
        <v>37600.085984522782</v>
      </c>
      <c r="AU2281" s="66">
        <f t="shared" si="1122"/>
        <v>36663.616398243052</v>
      </c>
      <c r="AV2281" s="66">
        <f t="shared" si="1123"/>
        <v>36286.656200941914</v>
      </c>
      <c r="AW2281" s="66">
        <f t="shared" si="1124"/>
        <v>36425.895765472313</v>
      </c>
      <c r="AX2281" s="66">
        <f t="shared" si="1125"/>
        <v>36423.494486853269</v>
      </c>
      <c r="AY2281" s="66">
        <f t="shared" si="1126"/>
        <v>36886.864738076627</v>
      </c>
      <c r="AZ2281" s="66">
        <f t="shared" si="1127"/>
        <v>35220.606601248895</v>
      </c>
      <c r="BA2281" s="66">
        <f t="shared" si="1128"/>
        <v>36195.134228187926</v>
      </c>
      <c r="BB2281" s="66">
        <f t="shared" si="1129"/>
        <v>35228.311688311689</v>
      </c>
      <c r="BC2281" s="66">
        <f t="shared" si="1130"/>
        <v>35373.190235690236</v>
      </c>
      <c r="BD2281" s="66">
        <f t="shared" si="1131"/>
        <v>35447.676419965574</v>
      </c>
      <c r="BE2281" s="66">
        <f t="shared" si="1132"/>
        <v>35673.413063477463</v>
      </c>
      <c r="BF2281" s="66">
        <f t="shared" si="1133"/>
        <v>35856.680851063837</v>
      </c>
      <c r="BG2281" s="66">
        <f t="shared" si="1134"/>
        <v>35215.913043478264</v>
      </c>
      <c r="BH2281" s="66">
        <f t="shared" si="1135"/>
        <v>36748.524844720501</v>
      </c>
      <c r="BI2281" s="66">
        <f t="shared" si="1136"/>
        <v>35761.319073083781</v>
      </c>
      <c r="BJ2281" s="66">
        <f t="shared" si="1137"/>
        <v>36892.898913951547</v>
      </c>
      <c r="BK2281" s="66">
        <f t="shared" si="1138"/>
        <v>36260.640920295817</v>
      </c>
      <c r="BL2281" s="66">
        <f t="shared" si="1139"/>
        <v>36278.672985781988</v>
      </c>
      <c r="BM2281" s="66">
        <f t="shared" si="1140"/>
        <v>35737.731295253427</v>
      </c>
      <c r="BN2281" s="66">
        <f t="shared" si="1141"/>
        <v>36440.22708840228</v>
      </c>
      <c r="BO2281" s="66">
        <f t="shared" si="1142"/>
        <v>36891.633935585232</v>
      </c>
      <c r="BP2281" s="66">
        <f t="shared" si="1143"/>
        <v>36496.399639963995</v>
      </c>
      <c r="BQ2281" s="66">
        <f t="shared" si="1144"/>
        <v>37535.516093229751</v>
      </c>
      <c r="BR2281" s="66">
        <f t="shared" si="1145"/>
        <v>35802.064220183493</v>
      </c>
      <c r="BS2281" s="66">
        <f t="shared" si="1146"/>
        <v>35222.838847385276</v>
      </c>
      <c r="BT2281" s="66">
        <f t="shared" si="1147"/>
        <v>35280.532598714417</v>
      </c>
      <c r="BU2281" s="66">
        <f t="shared" si="1148"/>
        <v>35797.546012269944</v>
      </c>
      <c r="BV2281" s="66">
        <f t="shared" si="1149"/>
        <v>35994.618395303332</v>
      </c>
      <c r="BW2281" s="66">
        <f t="shared" si="1150"/>
        <v>35868.843283582093</v>
      </c>
      <c r="BX2281" s="66">
        <f t="shared" si="1151"/>
        <v>36683.867924528298</v>
      </c>
      <c r="BY2281" s="66">
        <f t="shared" si="1152"/>
        <v>35453.89733840304</v>
      </c>
      <c r="BZ2281" s="66">
        <f t="shared" si="1153"/>
        <v>36409.728718428436</v>
      </c>
      <c r="CA2281" s="66">
        <f t="shared" si="1154"/>
        <v>35529.767827529031</v>
      </c>
      <c r="CB2281" s="66">
        <f t="shared" si="1155"/>
        <v>36468.968386023298</v>
      </c>
      <c r="CC2281" s="66">
        <f t="shared" si="1156"/>
        <v>35821.479500891262</v>
      </c>
      <c r="CD2281" s="66">
        <f t="shared" si="1157"/>
        <v>35962.080536912748</v>
      </c>
      <c r="CE2281" s="66">
        <f t="shared" si="1158"/>
        <v>34874.176408076513</v>
      </c>
      <c r="CF2281" s="66">
        <f>CF2292/CF2275</f>
        <v>34968.865181915273</v>
      </c>
      <c r="CG2281" s="67">
        <f>CG2292/CG2275</f>
        <v>34968.865181915273</v>
      </c>
    </row>
    <row r="2282" spans="1:85" x14ac:dyDescent="0.25">
      <c r="A2282" s="215" t="s">
        <v>24</v>
      </c>
      <c r="B2282" s="66">
        <f t="shared" si="1079"/>
        <v>28698.355754858003</v>
      </c>
      <c r="C2282" s="66">
        <f t="shared" si="1080"/>
        <v>28544.570837642194</v>
      </c>
      <c r="D2282" s="66">
        <f t="shared" si="1081"/>
        <v>30356.318407960203</v>
      </c>
      <c r="E2282" s="66">
        <f t="shared" si="1082"/>
        <v>30453.76213592233</v>
      </c>
      <c r="F2282" s="66">
        <v>31867.026378896884</v>
      </c>
      <c r="G2282" s="66">
        <v>31540.760295670541</v>
      </c>
      <c r="H2282" s="66">
        <f t="shared" si="1159"/>
        <v>30974.842200180341</v>
      </c>
      <c r="I2282" s="66">
        <f t="shared" si="1084"/>
        <v>30759.845890410958</v>
      </c>
      <c r="J2282" s="66">
        <f t="shared" si="1085"/>
        <v>30075.43726235742</v>
      </c>
      <c r="K2282" s="66">
        <f t="shared" si="1086"/>
        <v>30877.308707124012</v>
      </c>
      <c r="L2282" s="66">
        <f t="shared" si="1087"/>
        <v>35707.754010695186</v>
      </c>
      <c r="M2282" s="66">
        <f t="shared" si="1088"/>
        <v>41420.638297872341</v>
      </c>
      <c r="N2282" s="66">
        <f t="shared" si="1089"/>
        <v>39729.115226337446</v>
      </c>
      <c r="O2282" s="66">
        <f t="shared" si="1090"/>
        <v>30909.486999297264</v>
      </c>
      <c r="P2282" s="66">
        <f t="shared" si="1091"/>
        <v>29300.990853658532</v>
      </c>
      <c r="Q2282" s="66">
        <f t="shared" si="1092"/>
        <v>30417.277070063701</v>
      </c>
      <c r="R2282" s="66">
        <f t="shared" si="1093"/>
        <v>31144.877606527651</v>
      </c>
      <c r="S2282" s="66">
        <f t="shared" si="1094"/>
        <v>30643.200663349922</v>
      </c>
      <c r="T2282" s="66">
        <f t="shared" si="1095"/>
        <v>29569.870129870134</v>
      </c>
      <c r="U2282" s="66">
        <f t="shared" si="1096"/>
        <v>30525.884016973119</v>
      </c>
      <c r="V2282" s="66">
        <f t="shared" si="1097"/>
        <v>30525.582990397805</v>
      </c>
      <c r="W2282" s="66">
        <f t="shared" si="1098"/>
        <v>30631.927710843378</v>
      </c>
      <c r="X2282" s="66">
        <f t="shared" si="1099"/>
        <v>29761.873350923484</v>
      </c>
      <c r="Y2282" s="66">
        <f t="shared" si="1100"/>
        <v>30370.039241334216</v>
      </c>
      <c r="Z2282" s="66">
        <f t="shared" si="1101"/>
        <v>32181.471389645783</v>
      </c>
      <c r="AA2282" s="66">
        <f t="shared" si="1102"/>
        <v>30790.130023640668</v>
      </c>
      <c r="AB2282" s="66">
        <f t="shared" si="1103"/>
        <v>30849.655172413793</v>
      </c>
      <c r="AC2282" s="66">
        <f t="shared" si="1104"/>
        <v>30817.088122605368</v>
      </c>
      <c r="AD2282" s="66">
        <f t="shared" si="1105"/>
        <v>30457.194679564695</v>
      </c>
      <c r="AE2282" s="66">
        <f t="shared" si="1106"/>
        <v>28549.887005649718</v>
      </c>
      <c r="AF2282" s="66">
        <f t="shared" si="1107"/>
        <v>28710.464465584788</v>
      </c>
      <c r="AG2282" s="66">
        <f t="shared" si="1108"/>
        <v>28784.657236126222</v>
      </c>
      <c r="AH2282" s="66">
        <f t="shared" si="1109"/>
        <v>28449.216300940443</v>
      </c>
      <c r="AI2282" s="66">
        <f t="shared" si="1110"/>
        <v>29104.647160068856</v>
      </c>
      <c r="AJ2282" s="66">
        <f t="shared" si="1111"/>
        <v>28385.723114956738</v>
      </c>
      <c r="AK2282" s="66">
        <f t="shared" si="1112"/>
        <v>30306.811145510837</v>
      </c>
      <c r="AL2282" s="66">
        <f t="shared" si="1113"/>
        <v>29647.348484848495</v>
      </c>
      <c r="AM2282" s="66">
        <f t="shared" si="1114"/>
        <v>30527.927927927933</v>
      </c>
      <c r="AN2282" s="66">
        <f t="shared" si="1115"/>
        <v>30378.557993730417</v>
      </c>
      <c r="AO2282" s="66">
        <f t="shared" si="1116"/>
        <v>31144.267690619869</v>
      </c>
      <c r="AP2282" s="66">
        <f t="shared" si="1117"/>
        <v>29110.051880674444</v>
      </c>
      <c r="AQ2282" s="66">
        <f t="shared" si="1118"/>
        <v>30223.751600512172</v>
      </c>
      <c r="AR2282" s="66">
        <f t="shared" si="1119"/>
        <v>28899.161174355908</v>
      </c>
      <c r="AS2282" s="66">
        <f t="shared" si="1120"/>
        <v>28726.29569012548</v>
      </c>
      <c r="AT2282" s="66">
        <f t="shared" si="1121"/>
        <v>28693.503937007874</v>
      </c>
      <c r="AU2282" s="66">
        <f t="shared" si="1122"/>
        <v>27994.689770821693</v>
      </c>
      <c r="AV2282" s="66">
        <f t="shared" si="1123"/>
        <v>28821.197007481296</v>
      </c>
      <c r="AW2282" s="66">
        <f t="shared" si="1124"/>
        <v>28914.673561732387</v>
      </c>
      <c r="AX2282" s="66">
        <f t="shared" si="1125"/>
        <v>29015.743243243247</v>
      </c>
      <c r="AY2282" s="66">
        <f t="shared" si="1126"/>
        <v>29597.427854454207</v>
      </c>
      <c r="AZ2282" s="66">
        <f t="shared" si="1127"/>
        <v>28507.075812274379</v>
      </c>
      <c r="BA2282" s="66">
        <f t="shared" si="1128"/>
        <v>28936.686787391016</v>
      </c>
      <c r="BB2282" s="66">
        <f t="shared" si="1129"/>
        <v>28714.67889908257</v>
      </c>
      <c r="BC2282" s="66">
        <f t="shared" si="1130"/>
        <v>28509.735413839891</v>
      </c>
      <c r="BD2282" s="66">
        <f t="shared" si="1131"/>
        <v>28683.983286908078</v>
      </c>
      <c r="BE2282" s="66">
        <f t="shared" si="1132"/>
        <v>28428.885630498535</v>
      </c>
      <c r="BF2282" s="66">
        <f t="shared" si="1133"/>
        <v>28371.447811447815</v>
      </c>
      <c r="BG2282" s="66">
        <f t="shared" si="1134"/>
        <v>28927.357142857141</v>
      </c>
      <c r="BH2282" s="66">
        <f t="shared" si="1135"/>
        <v>28755.832320777648</v>
      </c>
      <c r="BI2282" s="66">
        <f t="shared" si="1136"/>
        <v>28477.075940383249</v>
      </c>
      <c r="BJ2282" s="66">
        <f t="shared" si="1137"/>
        <v>29401.331557922771</v>
      </c>
      <c r="BK2282" s="66">
        <f t="shared" si="1138"/>
        <v>28655.324675324679</v>
      </c>
      <c r="BL2282" s="66">
        <f t="shared" si="1139"/>
        <v>29198.219961856325</v>
      </c>
      <c r="BM2282" s="66">
        <f t="shared" si="1140"/>
        <v>28439.180537772092</v>
      </c>
      <c r="BN2282" s="66">
        <f t="shared" si="1141"/>
        <v>29696.497025776607</v>
      </c>
      <c r="BO2282" s="66">
        <f t="shared" si="1142"/>
        <v>29043.320964749535</v>
      </c>
      <c r="BP2282" s="66">
        <f t="shared" si="1143"/>
        <v>29276.173285198554</v>
      </c>
      <c r="BQ2282" s="66">
        <f t="shared" si="1144"/>
        <v>29718.36555360282</v>
      </c>
      <c r="BR2282" s="66">
        <f t="shared" si="1145"/>
        <v>28960.482374768093</v>
      </c>
      <c r="BS2282" s="66">
        <f t="shared" si="1146"/>
        <v>28160.238907849831</v>
      </c>
      <c r="BT2282" s="66">
        <f t="shared" si="1147"/>
        <v>28459.629629629631</v>
      </c>
      <c r="BU2282" s="66">
        <f t="shared" si="1148"/>
        <v>28784.355179704024</v>
      </c>
      <c r="BV2282" s="66">
        <f t="shared" si="1149"/>
        <v>28672.252533125495</v>
      </c>
      <c r="BW2282" s="66">
        <f t="shared" si="1150"/>
        <v>28867.417417417419</v>
      </c>
      <c r="BX2282" s="66">
        <f t="shared" si="1151"/>
        <v>28846.364985163204</v>
      </c>
      <c r="BY2282" s="66">
        <f t="shared" si="1152"/>
        <v>28514.908256880735</v>
      </c>
      <c r="BZ2282" s="66">
        <f t="shared" si="1153"/>
        <v>29176.911544227885</v>
      </c>
      <c r="CA2282" s="66">
        <f t="shared" si="1154"/>
        <v>29308.413132694943</v>
      </c>
      <c r="CB2282" s="66">
        <f t="shared" si="1155"/>
        <v>29262.817089452605</v>
      </c>
      <c r="CC2282" s="66">
        <f t="shared" si="1156"/>
        <v>28811.254480286738</v>
      </c>
      <c r="CD2282" s="66">
        <f t="shared" si="1157"/>
        <v>28616.021361815754</v>
      </c>
      <c r="CE2282" s="66">
        <f t="shared" si="1158"/>
        <v>28635.776614310646</v>
      </c>
      <c r="CF2282" s="66">
        <f>CF2292/CF2269</f>
        <v>29658.330216444243</v>
      </c>
      <c r="CG2282" s="67">
        <f>CG2292/CG2269</f>
        <v>29658.330216444243</v>
      </c>
    </row>
    <row r="2283" spans="1:85" x14ac:dyDescent="0.25">
      <c r="A2283" s="212" t="s">
        <v>25</v>
      </c>
      <c r="B2283" s="92">
        <f t="shared" si="1079"/>
        <v>5944811.7310344838</v>
      </c>
      <c r="C2283" s="92">
        <f t="shared" si="1080"/>
        <v>8870154.612068966</v>
      </c>
      <c r="D2283" s="92">
        <f t="shared" si="1081"/>
        <v>10830645.70862069</v>
      </c>
      <c r="E2283" s="92">
        <f t="shared" si="1082"/>
        <v>9447773.1275862083</v>
      </c>
      <c r="F2283" s="92">
        <v>10018633.806896552</v>
      </c>
      <c r="G2283" s="92">
        <v>10682123.503448276</v>
      </c>
      <c r="H2283" s="92">
        <f t="shared" si="1159"/>
        <v>13597483.232758623</v>
      </c>
      <c r="I2283" s="92">
        <f t="shared" si="1084"/>
        <v>15402135.865517242</v>
      </c>
      <c r="J2283" s="92">
        <f t="shared" si="1085"/>
        <v>18667741.879310347</v>
      </c>
      <c r="K2283" s="92">
        <f t="shared" si="1086"/>
        <v>17203522.08275862</v>
      </c>
      <c r="L2283" s="92">
        <f t="shared" si="1087"/>
        <v>19650692.34310345</v>
      </c>
      <c r="M2283" s="92">
        <f t="shared" si="1088"/>
        <v>18857104.548275862</v>
      </c>
      <c r="N2283" s="92">
        <f t="shared" si="1089"/>
        <v>19014453.687931035</v>
      </c>
      <c r="O2283" s="92">
        <f t="shared" si="1090"/>
        <v>21599180.382758621</v>
      </c>
      <c r="P2283" s="92">
        <f t="shared" si="1091"/>
        <v>19693989.401724137</v>
      </c>
      <c r="Q2283" s="92">
        <f t="shared" si="1092"/>
        <v>18806369.656896554</v>
      </c>
      <c r="R2283" s="92">
        <f t="shared" si="1093"/>
        <v>16018316.227586208</v>
      </c>
      <c r="S2283" s="92">
        <f t="shared" si="1094"/>
        <v>16241503.837931035</v>
      </c>
      <c r="T2283" s="92">
        <f t="shared" si="1095"/>
        <v>21845346.146551728</v>
      </c>
      <c r="U2283" s="92">
        <f t="shared" si="1096"/>
        <v>21572619.005172413</v>
      </c>
      <c r="V2283" s="92">
        <f t="shared" si="1097"/>
        <v>20884874.117241379</v>
      </c>
      <c r="W2283" s="92">
        <f t="shared" si="1098"/>
        <v>23005799.084482759</v>
      </c>
      <c r="X2283" s="92">
        <f t="shared" si="1099"/>
        <v>23928754.229310349</v>
      </c>
      <c r="Y2283" s="92">
        <f t="shared" si="1100"/>
        <v>23169801.058620691</v>
      </c>
      <c r="Z2283" s="92">
        <f t="shared" si="1101"/>
        <v>24236436.443103448</v>
      </c>
      <c r="AA2283" s="92">
        <f t="shared" si="1102"/>
        <v>28322116.363793109</v>
      </c>
      <c r="AB2283" s="92">
        <f t="shared" si="1103"/>
        <v>24678016.389655177</v>
      </c>
      <c r="AC2283" s="92">
        <f t="shared" si="1104"/>
        <v>20766696.874137934</v>
      </c>
      <c r="AD2283" s="92">
        <f t="shared" si="1105"/>
        <v>27043246.791379314</v>
      </c>
      <c r="AE2283" s="92">
        <f t="shared" si="1106"/>
        <v>24597279.948275864</v>
      </c>
      <c r="AF2283" s="92">
        <f t="shared" si="1107"/>
        <v>27261264.044827592</v>
      </c>
      <c r="AG2283" s="92">
        <f t="shared" si="1108"/>
        <v>28739851.879310347</v>
      </c>
      <c r="AH2283" s="92">
        <f t="shared" si="1109"/>
        <v>28807747.1862069</v>
      </c>
      <c r="AI2283" s="92">
        <f t="shared" si="1110"/>
        <v>28735250.929310352</v>
      </c>
      <c r="AJ2283" s="92">
        <f t="shared" si="1111"/>
        <v>24500198.908620693</v>
      </c>
      <c r="AK2283" s="92">
        <f t="shared" si="1112"/>
        <v>28026245.606896549</v>
      </c>
      <c r="AL2283" s="92">
        <f t="shared" si="1113"/>
        <v>25990503.913793109</v>
      </c>
      <c r="AM2283" s="92">
        <f t="shared" si="1114"/>
        <v>26947496.663793102</v>
      </c>
      <c r="AN2283" s="92">
        <f t="shared" si="1115"/>
        <v>26538398.563793108</v>
      </c>
      <c r="AO2283" s="92">
        <f t="shared" si="1116"/>
        <v>32025969.422413796</v>
      </c>
      <c r="AP2283" s="92">
        <f t="shared" si="1117"/>
        <v>25154909.70862069</v>
      </c>
      <c r="AQ2283" s="92">
        <f t="shared" si="1118"/>
        <v>25121007.375862073</v>
      </c>
      <c r="AR2283" s="92">
        <f t="shared" si="1119"/>
        <v>26534667.641379312</v>
      </c>
      <c r="AS2283" s="92">
        <f t="shared" si="1120"/>
        <v>30058354.567241382</v>
      </c>
      <c r="AT2283" s="92">
        <f t="shared" si="1121"/>
        <v>23674510.629310347</v>
      </c>
      <c r="AU2283" s="92">
        <f t="shared" si="1122"/>
        <v>27791171.315517243</v>
      </c>
      <c r="AV2283" s="92">
        <f t="shared" si="1123"/>
        <v>26519229.537931036</v>
      </c>
      <c r="AW2283" s="92">
        <f t="shared" si="1124"/>
        <v>25995642.89827586</v>
      </c>
      <c r="AX2283" s="92">
        <f t="shared" si="1125"/>
        <v>24821707.496551726</v>
      </c>
      <c r="AY2283" s="92">
        <f t="shared" si="1126"/>
        <v>27270506.955172416</v>
      </c>
      <c r="AZ2283" s="92">
        <f t="shared" si="1127"/>
        <v>22215468.456896555</v>
      </c>
      <c r="BA2283" s="92">
        <f t="shared" si="1128"/>
        <v>24486718.282758623</v>
      </c>
      <c r="BB2283" s="92">
        <f t="shared" si="1129"/>
        <v>21799511.405172415</v>
      </c>
      <c r="BC2283" s="92">
        <f t="shared" si="1130"/>
        <v>23245388.070689656</v>
      </c>
      <c r="BD2283" s="92">
        <f t="shared" si="1131"/>
        <v>23083256.346551724</v>
      </c>
      <c r="BE2283" s="92">
        <f t="shared" si="1132"/>
        <v>21403505.055172417</v>
      </c>
      <c r="BF2283" s="92">
        <f t="shared" si="1133"/>
        <v>23668890.653448276</v>
      </c>
      <c r="BG2283" s="92">
        <f t="shared" si="1134"/>
        <v>22527111.413793106</v>
      </c>
      <c r="BH2283" s="92">
        <f t="shared" si="1135"/>
        <v>27655194.558620691</v>
      </c>
      <c r="BI2283" s="92">
        <f t="shared" si="1136"/>
        <v>21548147.327586211</v>
      </c>
      <c r="BJ2283" s="92">
        <f t="shared" si="1137"/>
        <v>25429703.932758622</v>
      </c>
      <c r="BK2283" s="92">
        <f t="shared" si="1138"/>
        <v>27394173.165517248</v>
      </c>
      <c r="BL2283" s="92">
        <f t="shared" si="1139"/>
        <v>27286704.76896552</v>
      </c>
      <c r="BM2283" s="92">
        <f t="shared" si="1140"/>
        <v>26609865.352413796</v>
      </c>
      <c r="BN2283" s="92">
        <f t="shared" si="1141"/>
        <v>27068044.313103452</v>
      </c>
      <c r="BO2283" s="92">
        <f t="shared" si="1142"/>
        <v>27512525.177931033</v>
      </c>
      <c r="BP2283" s="92">
        <f t="shared" si="1143"/>
        <v>23191081.085517246</v>
      </c>
      <c r="BQ2283" s="92">
        <f t="shared" si="1144"/>
        <v>18877201.199310347</v>
      </c>
      <c r="BR2283" s="92">
        <f t="shared" si="1145"/>
        <v>15101981.206896555</v>
      </c>
      <c r="BS2283" s="92">
        <f t="shared" si="1146"/>
        <v>17489161.960689656</v>
      </c>
      <c r="BT2283" s="92">
        <f t="shared" si="1147"/>
        <v>21519013.452413794</v>
      </c>
      <c r="BU2283" s="92">
        <f t="shared" si="1148"/>
        <v>22759709.720000003</v>
      </c>
      <c r="BV2283" s="92">
        <f t="shared" si="1149"/>
        <v>20822881.906206898</v>
      </c>
      <c r="BW2283" s="92">
        <f t="shared" si="1150"/>
        <v>23032662.713103451</v>
      </c>
      <c r="BX2283" s="92">
        <f t="shared" si="1151"/>
        <v>23216786.288965516</v>
      </c>
      <c r="BY2283" s="92">
        <f t="shared" si="1152"/>
        <v>20953240.157241382</v>
      </c>
      <c r="BZ2283" s="92">
        <f t="shared" si="1153"/>
        <v>22611143.321379311</v>
      </c>
      <c r="CA2283" s="92">
        <f t="shared" si="1154"/>
        <v>24727616.249655176</v>
      </c>
      <c r="CB2283" s="92">
        <f t="shared" si="1155"/>
        <v>25340901.72137931</v>
      </c>
      <c r="CC2283" s="92">
        <f t="shared" si="1156"/>
        <v>22860641.828275863</v>
      </c>
      <c r="CD2283" s="92">
        <f t="shared" si="1157"/>
        <v>24826405.597931035</v>
      </c>
      <c r="CE2283" s="92">
        <f t="shared" si="1158"/>
        <v>16776633.633793104</v>
      </c>
      <c r="CF2283" s="92">
        <f>+SUM(CEDRITOS!$B2283:$CE2283)</f>
        <v>1832153527.6568971</v>
      </c>
      <c r="CG2283" s="133">
        <f>+CEDRITOS!$CF2283/82</f>
        <v>22343335.70313289</v>
      </c>
    </row>
    <row r="2284" spans="1:85" x14ac:dyDescent="0.25">
      <c r="A2284" s="212" t="s">
        <v>26</v>
      </c>
      <c r="B2284" s="92">
        <f t="shared" si="1079"/>
        <v>4992220.4879310355</v>
      </c>
      <c r="C2284" s="92">
        <f t="shared" si="1080"/>
        <v>6444517.2603448275</v>
      </c>
      <c r="D2284" s="92">
        <f t="shared" si="1081"/>
        <v>6531938.5775862075</v>
      </c>
      <c r="E2284" s="92">
        <f t="shared" si="1082"/>
        <v>4722784.3379310351</v>
      </c>
      <c r="F2284" s="92">
        <v>2043811.4051724139</v>
      </c>
      <c r="G2284" s="92">
        <v>1399394.9448275864</v>
      </c>
      <c r="H2284" s="92">
        <f>I187</f>
        <v>448871.30172413797</v>
      </c>
      <c r="I2284" s="92">
        <f t="shared" si="1084"/>
        <v>0</v>
      </c>
      <c r="J2284" s="92">
        <f t="shared" si="1085"/>
        <v>80065.089655172429</v>
      </c>
      <c r="K2284" s="92">
        <f t="shared" si="1086"/>
        <v>56718.284482758623</v>
      </c>
      <c r="L2284" s="92">
        <f t="shared" si="1087"/>
        <v>0</v>
      </c>
      <c r="M2284" s="92">
        <f t="shared" si="1088"/>
        <v>0</v>
      </c>
      <c r="N2284" s="92">
        <f t="shared" si="1089"/>
        <v>0</v>
      </c>
      <c r="O2284" s="92">
        <f t="shared" si="1090"/>
        <v>49793.265517241387</v>
      </c>
      <c r="P2284" s="92">
        <f t="shared" si="1091"/>
        <v>0</v>
      </c>
      <c r="Q2284" s="92">
        <f t="shared" si="1092"/>
        <v>690561.6086206896</v>
      </c>
      <c r="R2284" s="92">
        <f t="shared" si="1093"/>
        <v>306860.44137931033</v>
      </c>
      <c r="S2284" s="92">
        <f t="shared" si="1094"/>
        <v>599284.65862068976</v>
      </c>
      <c r="T2284" s="92">
        <f t="shared" si="1095"/>
        <v>783743.20000000007</v>
      </c>
      <c r="U2284" s="92">
        <f t="shared" si="1096"/>
        <v>1415199.4724137932</v>
      </c>
      <c r="V2284" s="92">
        <f t="shared" si="1097"/>
        <v>905236.57758620696</v>
      </c>
      <c r="W2284" s="92">
        <f t="shared" si="1098"/>
        <v>1110304.0741379312</v>
      </c>
      <c r="X2284" s="92">
        <f t="shared" si="1099"/>
        <v>941668.36034482764</v>
      </c>
      <c r="Y2284" s="92">
        <f t="shared" si="1100"/>
        <v>1032368.0982758622</v>
      </c>
      <c r="Z2284" s="92">
        <f t="shared" si="1101"/>
        <v>475956.02413793106</v>
      </c>
      <c r="AA2284" s="92">
        <f t="shared" si="1102"/>
        <v>967634.66724137939</v>
      </c>
      <c r="AB2284" s="92">
        <f t="shared" si="1103"/>
        <v>1273943.9931034483</v>
      </c>
      <c r="AC2284" s="92">
        <f t="shared" si="1104"/>
        <v>789220.05517241382</v>
      </c>
      <c r="AD2284" s="92">
        <f t="shared" si="1105"/>
        <v>1163774.0741379312</v>
      </c>
      <c r="AE2284" s="92">
        <f t="shared" si="1106"/>
        <v>1476599.7931034486</v>
      </c>
      <c r="AF2284" s="92">
        <f t="shared" si="1107"/>
        <v>985113.97586206917</v>
      </c>
      <c r="AG2284" s="92">
        <f t="shared" si="1108"/>
        <v>994107.82758620696</v>
      </c>
      <c r="AH2284" s="92">
        <f t="shared" si="1109"/>
        <v>1335797.6051724139</v>
      </c>
      <c r="AI2284" s="92">
        <f t="shared" si="1110"/>
        <v>968055.33620689658</v>
      </c>
      <c r="AJ2284" s="92">
        <f t="shared" si="1111"/>
        <v>1593445.0982758622</v>
      </c>
      <c r="AK2284" s="92">
        <f t="shared" si="1112"/>
        <v>1164188.0655172416</v>
      </c>
      <c r="AL2284" s="92">
        <f t="shared" si="1113"/>
        <v>1250560.5206896553</v>
      </c>
      <c r="AM2284" s="92">
        <f t="shared" si="1114"/>
        <v>1077912.5241379312</v>
      </c>
      <c r="AN2284" s="92">
        <f t="shared" si="1115"/>
        <v>1041423.6275862069</v>
      </c>
      <c r="AO2284" s="92">
        <f t="shared" si="1116"/>
        <v>1551593.6741379313</v>
      </c>
      <c r="AP2284" s="92">
        <f t="shared" si="1117"/>
        <v>785538.23793103453</v>
      </c>
      <c r="AQ2284" s="92">
        <f t="shared" si="1118"/>
        <v>994786.31206896552</v>
      </c>
      <c r="AR2284" s="92">
        <f t="shared" si="1119"/>
        <v>1203947.4655172415</v>
      </c>
      <c r="AS2284" s="92">
        <f t="shared" si="1120"/>
        <v>1562285.801724138</v>
      </c>
      <c r="AT2284" s="92">
        <f t="shared" si="1121"/>
        <v>842580.60344827594</v>
      </c>
      <c r="AU2284" s="92">
        <f t="shared" si="1122"/>
        <v>959574.07413793099</v>
      </c>
      <c r="AV2284" s="92">
        <f t="shared" si="1123"/>
        <v>1035665.1293103449</v>
      </c>
      <c r="AW2284" s="92">
        <f t="shared" si="1124"/>
        <v>1141192.2293103449</v>
      </c>
      <c r="AX2284" s="92">
        <f t="shared" si="1125"/>
        <v>866120.30172413809</v>
      </c>
      <c r="AY2284" s="92">
        <f t="shared" si="1126"/>
        <v>1059439.1689655173</v>
      </c>
      <c r="AZ2284" s="92">
        <f t="shared" si="1127"/>
        <v>1100890.25</v>
      </c>
      <c r="BA2284" s="92">
        <f t="shared" si="1128"/>
        <v>1145000.6275862069</v>
      </c>
      <c r="BB2284" s="92">
        <f t="shared" si="1129"/>
        <v>1374663.5775862071</v>
      </c>
      <c r="BC2284" s="92">
        <f t="shared" si="1130"/>
        <v>1023713.5568965517</v>
      </c>
      <c r="BD2284" s="92">
        <f t="shared" si="1131"/>
        <v>1079981.6982758623</v>
      </c>
      <c r="BE2284" s="92">
        <f t="shared" si="1132"/>
        <v>819008.95000000019</v>
      </c>
      <c r="BF2284" s="92">
        <f t="shared" si="1133"/>
        <v>996186.42241379316</v>
      </c>
      <c r="BG2284" s="92">
        <f t="shared" si="1134"/>
        <v>1042137.5</v>
      </c>
      <c r="BH2284" s="92">
        <f t="shared" si="1135"/>
        <v>725447.5396551725</v>
      </c>
      <c r="BI2284" s="92">
        <f t="shared" si="1136"/>
        <v>1153052.4706896553</v>
      </c>
      <c r="BJ2284" s="92">
        <f t="shared" si="1137"/>
        <v>719082.71551724151</v>
      </c>
      <c r="BK2284" s="92">
        <f t="shared" si="1138"/>
        <v>475580.35344827588</v>
      </c>
      <c r="BL2284" s="92">
        <f t="shared" si="1139"/>
        <v>653479.28965517238</v>
      </c>
      <c r="BM2284" s="92">
        <f t="shared" si="1140"/>
        <v>584266.02965517249</v>
      </c>
      <c r="BN2284" s="92">
        <f t="shared" si="1141"/>
        <v>396599.80413793109</v>
      </c>
      <c r="BO2284" s="92">
        <f t="shared" si="1142"/>
        <v>404665.87862068973</v>
      </c>
      <c r="BP2284" s="92">
        <f t="shared" si="1143"/>
        <v>346114.82551724138</v>
      </c>
      <c r="BQ2284" s="92">
        <f t="shared" si="1144"/>
        <v>538136.61655172426</v>
      </c>
      <c r="BR2284" s="92">
        <f t="shared" si="1145"/>
        <v>493574.03517241392</v>
      </c>
      <c r="BS2284" s="92">
        <f t="shared" si="1146"/>
        <v>409118.11448275862</v>
      </c>
      <c r="BT2284" s="92">
        <f t="shared" si="1147"/>
        <v>308805.48551724141</v>
      </c>
      <c r="BU2284" s="92">
        <f t="shared" si="1148"/>
        <v>481784.05103448278</v>
      </c>
      <c r="BV2284" s="92">
        <f t="shared" si="1149"/>
        <v>383287.89862068964</v>
      </c>
      <c r="BW2284" s="92">
        <f t="shared" si="1150"/>
        <v>279368.53862068971</v>
      </c>
      <c r="BX2284" s="92">
        <f t="shared" si="1151"/>
        <v>258762.61379310349</v>
      </c>
      <c r="BY2284" s="92">
        <f t="shared" si="1152"/>
        <v>470078.89931034495</v>
      </c>
      <c r="BZ2284" s="92">
        <f t="shared" si="1153"/>
        <v>636626.37655172416</v>
      </c>
      <c r="CA2284" s="92">
        <f t="shared" si="1154"/>
        <v>872475.35655172425</v>
      </c>
      <c r="CB2284" s="92">
        <f t="shared" si="1155"/>
        <v>793233.48965517245</v>
      </c>
      <c r="CC2284" s="92">
        <f t="shared" si="1156"/>
        <v>468096.09310344834</v>
      </c>
      <c r="CD2284" s="92">
        <f t="shared" si="1157"/>
        <v>581222.27103448287</v>
      </c>
      <c r="CE2284" s="92">
        <f t="shared" si="1158"/>
        <v>373341.49172413797</v>
      </c>
      <c r="CF2284" s="92">
        <f>+SUM(CEDRITOS!$B2284:$CE2284)</f>
        <v>84503580.454137951</v>
      </c>
      <c r="CG2284" s="133">
        <f>+CEDRITOS!$CF2284/82</f>
        <v>1030531.4689529019</v>
      </c>
    </row>
    <row r="2285" spans="1:85" x14ac:dyDescent="0.25">
      <c r="A2285" s="212" t="s">
        <v>27</v>
      </c>
      <c r="B2285" s="92">
        <f t="shared" si="1079"/>
        <v>5198087.2637931043</v>
      </c>
      <c r="C2285" s="92">
        <f t="shared" si="1080"/>
        <v>7745817.955172414</v>
      </c>
      <c r="D2285" s="92">
        <f t="shared" si="1081"/>
        <v>8013592.7137931054</v>
      </c>
      <c r="E2285" s="92">
        <f t="shared" si="1082"/>
        <v>6592316.1310344841</v>
      </c>
      <c r="F2285" s="92">
        <v>9648140.6327586211</v>
      </c>
      <c r="G2285" s="92">
        <v>10214136.839655172</v>
      </c>
      <c r="H2285" s="92">
        <f>I188</f>
        <v>10016554.232758623</v>
      </c>
      <c r="I2285" s="92">
        <f t="shared" si="1084"/>
        <v>9262818.1603448279</v>
      </c>
      <c r="J2285" s="92">
        <f t="shared" si="1085"/>
        <v>8725256.5448275879</v>
      </c>
      <c r="K2285" s="92">
        <f t="shared" si="1086"/>
        <v>9046580.0620689653</v>
      </c>
      <c r="L2285" s="92">
        <f t="shared" si="1087"/>
        <v>9762649.2258620709</v>
      </c>
      <c r="M2285" s="92">
        <f t="shared" si="1088"/>
        <v>8870186.0931034498</v>
      </c>
      <c r="N2285" s="92">
        <f t="shared" si="1089"/>
        <v>8804821.9465517253</v>
      </c>
      <c r="O2285" s="92">
        <f t="shared" si="1090"/>
        <v>11878442.674137933</v>
      </c>
      <c r="P2285" s="92">
        <f t="shared" si="1091"/>
        <v>9356284.0344827585</v>
      </c>
      <c r="Q2285" s="92">
        <f t="shared" si="1092"/>
        <v>7687008.1017241385</v>
      </c>
      <c r="R2285" s="92">
        <f t="shared" si="1093"/>
        <v>7229665.2586206906</v>
      </c>
      <c r="S2285" s="92">
        <f t="shared" si="1094"/>
        <v>8881947.9672413785</v>
      </c>
      <c r="T2285" s="92">
        <f t="shared" si="1095"/>
        <v>9774972.4086206909</v>
      </c>
      <c r="U2285" s="92">
        <f t="shared" si="1096"/>
        <v>8925442.6706896555</v>
      </c>
      <c r="V2285" s="92">
        <f t="shared" si="1097"/>
        <v>10343756.086206896</v>
      </c>
      <c r="W2285" s="92">
        <f t="shared" si="1098"/>
        <v>9499792.5551724155</v>
      </c>
      <c r="X2285" s="92">
        <f t="shared" si="1099"/>
        <v>8316509.179310346</v>
      </c>
      <c r="Y2285" s="92">
        <f t="shared" si="1100"/>
        <v>9372754.794827586</v>
      </c>
      <c r="Z2285" s="92">
        <f t="shared" si="1101"/>
        <v>10474864.856896553</v>
      </c>
      <c r="AA2285" s="92">
        <f t="shared" si="1102"/>
        <v>8546749.1741379313</v>
      </c>
      <c r="AB2285" s="92">
        <f t="shared" si="1103"/>
        <v>9842215.1775862072</v>
      </c>
      <c r="AC2285" s="92">
        <f t="shared" si="1104"/>
        <v>7198639.8586206902</v>
      </c>
      <c r="AD2285" s="92">
        <f t="shared" si="1105"/>
        <v>8667036.860344829</v>
      </c>
      <c r="AE2285" s="92">
        <f t="shared" si="1106"/>
        <v>11296799.872413795</v>
      </c>
      <c r="AF2285" s="92">
        <f t="shared" si="1107"/>
        <v>10916641.896551725</v>
      </c>
      <c r="AG2285" s="92">
        <f t="shared" si="1108"/>
        <v>9373980.70172414</v>
      </c>
      <c r="AH2285" s="92">
        <f t="shared" si="1109"/>
        <v>10857527.232758623</v>
      </c>
      <c r="AI2285" s="92">
        <f t="shared" si="1110"/>
        <v>10187179.881034484</v>
      </c>
      <c r="AJ2285" s="92">
        <f t="shared" si="1111"/>
        <v>8777131.2172413804</v>
      </c>
      <c r="AK2285" s="92">
        <f t="shared" si="1112"/>
        <v>9738177.429310346</v>
      </c>
      <c r="AL2285" s="92">
        <f t="shared" si="1113"/>
        <v>10683325.150000002</v>
      </c>
      <c r="AM2285" s="92">
        <f t="shared" si="1114"/>
        <v>8956122.93275862</v>
      </c>
      <c r="AN2285" s="92">
        <f t="shared" si="1115"/>
        <v>11106648.598275863</v>
      </c>
      <c r="AO2285" s="92">
        <f t="shared" si="1116"/>
        <v>10873925.679310348</v>
      </c>
      <c r="AP2285" s="92">
        <f t="shared" si="1117"/>
        <v>10388980.181034485</v>
      </c>
      <c r="AQ2285" s="92">
        <f t="shared" si="1118"/>
        <v>10558370.268965518</v>
      </c>
      <c r="AR2285" s="92">
        <f t="shared" si="1119"/>
        <v>10555998.815517241</v>
      </c>
      <c r="AS2285" s="92">
        <f t="shared" si="1120"/>
        <v>9877781.9896551743</v>
      </c>
      <c r="AT2285" s="92">
        <f t="shared" si="1121"/>
        <v>10024462.143103449</v>
      </c>
      <c r="AU2285" s="92">
        <f t="shared" si="1122"/>
        <v>10790813.529310346</v>
      </c>
      <c r="AV2285" s="92">
        <f t="shared" si="1123"/>
        <v>8765884.1224137936</v>
      </c>
      <c r="AW2285" s="92">
        <f t="shared" si="1124"/>
        <v>7679359.9741379321</v>
      </c>
      <c r="AX2285" s="92">
        <f t="shared" si="1125"/>
        <v>7095018.5603448283</v>
      </c>
      <c r="AY2285" s="92">
        <f t="shared" si="1126"/>
        <v>8967273.9017241392</v>
      </c>
      <c r="AZ2285" s="92">
        <f t="shared" si="1127"/>
        <v>8548436.1534482762</v>
      </c>
      <c r="BA2285" s="92">
        <f t="shared" si="1128"/>
        <v>9391893.4844827596</v>
      </c>
      <c r="BB2285" s="92">
        <f t="shared" si="1129"/>
        <v>9951063.0465517249</v>
      </c>
      <c r="BC2285" s="92">
        <f t="shared" si="1130"/>
        <v>9933579.751724137</v>
      </c>
      <c r="BD2285" s="92">
        <f t="shared" si="1131"/>
        <v>8268910.6672413796</v>
      </c>
      <c r="BE2285" s="92">
        <f t="shared" si="1132"/>
        <v>8595383.13448276</v>
      </c>
      <c r="BF2285" s="92">
        <f t="shared" si="1133"/>
        <v>9789350.56724138</v>
      </c>
      <c r="BG2285" s="92">
        <f t="shared" si="1134"/>
        <v>9241563.362068966</v>
      </c>
      <c r="BH2285" s="92">
        <f t="shared" si="1135"/>
        <v>9728194.0189655181</v>
      </c>
      <c r="BI2285" s="92">
        <f t="shared" si="1136"/>
        <v>8989966.4810344838</v>
      </c>
      <c r="BJ2285" s="92">
        <f t="shared" si="1137"/>
        <v>10003388.018965518</v>
      </c>
      <c r="BK2285" s="92">
        <f t="shared" si="1138"/>
        <v>7489829.1051724143</v>
      </c>
      <c r="BL2285" s="92">
        <f t="shared" si="1139"/>
        <v>9785224.044827586</v>
      </c>
      <c r="BM2285" s="92">
        <f t="shared" si="1140"/>
        <v>8932618.6868965533</v>
      </c>
      <c r="BN2285" s="92">
        <f t="shared" si="1141"/>
        <v>8784109.5875862073</v>
      </c>
      <c r="BO2285" s="92">
        <f t="shared" si="1142"/>
        <v>10264554.580689656</v>
      </c>
      <c r="BP2285" s="92">
        <f t="shared" si="1143"/>
        <v>9282530.040000001</v>
      </c>
      <c r="BQ2285" s="92">
        <f t="shared" si="1144"/>
        <v>8296954.264137933</v>
      </c>
      <c r="BR2285" s="92">
        <f t="shared" si="1145"/>
        <v>8295106.3151724152</v>
      </c>
      <c r="BS2285" s="92">
        <f t="shared" si="1146"/>
        <v>7506179.3034482766</v>
      </c>
      <c r="BT2285" s="92">
        <f t="shared" si="1147"/>
        <v>8144770.1144827586</v>
      </c>
      <c r="BU2285" s="92">
        <f t="shared" si="1148"/>
        <v>8102936.3248275872</v>
      </c>
      <c r="BV2285" s="92">
        <f t="shared" si="1149"/>
        <v>7647315.0227586217</v>
      </c>
      <c r="BW2285" s="92">
        <f t="shared" si="1150"/>
        <v>6697955.6827586219</v>
      </c>
      <c r="BX2285" s="92">
        <f t="shared" si="1151"/>
        <v>7070260.8331034482</v>
      </c>
      <c r="BY2285" s="92">
        <f t="shared" si="1152"/>
        <v>7374269.1972413808</v>
      </c>
      <c r="BZ2285" s="92">
        <f t="shared" si="1153"/>
        <v>6629421.0724137938</v>
      </c>
      <c r="CA2285" s="92">
        <f t="shared" si="1154"/>
        <v>6983497.7848275872</v>
      </c>
      <c r="CB2285" s="92">
        <f t="shared" si="1155"/>
        <v>7878280.9606896564</v>
      </c>
      <c r="CC2285" s="92">
        <f t="shared" si="1156"/>
        <v>7313774.2289655181</v>
      </c>
      <c r="CD2285" s="92">
        <f t="shared" si="1157"/>
        <v>7275665.1593103446</v>
      </c>
      <c r="CE2285" s="92">
        <f t="shared" si="1158"/>
        <v>7982791.2765517253</v>
      </c>
      <c r="CF2285" s="92">
        <f>+SUM(CEDRITOS!$B2285:$CE2285)</f>
        <v>735548215.80999994</v>
      </c>
      <c r="CG2285" s="133">
        <f>+CEDRITOS!$CF2285/82</f>
        <v>8970100.1928048767</v>
      </c>
    </row>
    <row r="2286" spans="1:85" x14ac:dyDescent="0.25">
      <c r="A2286" s="212" t="s">
        <v>28</v>
      </c>
      <c r="B2286" s="92">
        <f t="shared" si="1079"/>
        <v>0</v>
      </c>
      <c r="C2286" s="92">
        <f t="shared" si="1080"/>
        <v>0</v>
      </c>
      <c r="D2286" s="92">
        <f t="shared" si="1081"/>
        <v>148855.52931034483</v>
      </c>
      <c r="E2286" s="92">
        <f t="shared" si="1082"/>
        <v>160855.63620689657</v>
      </c>
      <c r="F2286" s="92">
        <v>389699.28620689653</v>
      </c>
      <c r="G2286" s="92">
        <v>2306883.7534482758</v>
      </c>
      <c r="H2286" s="92">
        <f>I189</f>
        <v>3992775.2396551729</v>
      </c>
      <c r="I2286" s="92">
        <f t="shared" si="1084"/>
        <v>3916886.3482758617</v>
      </c>
      <c r="J2286" s="92">
        <f t="shared" si="1085"/>
        <v>4350809.9965517242</v>
      </c>
      <c r="K2286" s="92">
        <f t="shared" si="1086"/>
        <v>1804637.5948275861</v>
      </c>
      <c r="L2286" s="92">
        <f t="shared" si="1087"/>
        <v>3278531.9620689657</v>
      </c>
      <c r="M2286" s="92">
        <f t="shared" si="1088"/>
        <v>3992131.3327586204</v>
      </c>
      <c r="N2286" s="92">
        <f t="shared" si="1089"/>
        <v>3848878.9396551726</v>
      </c>
      <c r="O2286" s="92">
        <f t="shared" si="1090"/>
        <v>2698413.5758620687</v>
      </c>
      <c r="P2286" s="92">
        <f t="shared" si="1091"/>
        <v>2534436.2534482758</v>
      </c>
      <c r="Q2286" s="92">
        <f t="shared" si="1092"/>
        <v>4509349.5982758617</v>
      </c>
      <c r="R2286" s="92">
        <f t="shared" si="1093"/>
        <v>4860827.3534482773</v>
      </c>
      <c r="S2286" s="92">
        <f t="shared" si="1094"/>
        <v>4901983.8241379317</v>
      </c>
      <c r="T2286" s="92">
        <f t="shared" si="1095"/>
        <v>4788663.1017241385</v>
      </c>
      <c r="U2286" s="92">
        <f t="shared" si="1096"/>
        <v>3758487.2327586203</v>
      </c>
      <c r="V2286" s="92">
        <f t="shared" si="1097"/>
        <v>4478382.7741379319</v>
      </c>
      <c r="W2286" s="92">
        <f t="shared" si="1098"/>
        <v>4146288.3551724143</v>
      </c>
      <c r="X2286" s="92">
        <f t="shared" si="1099"/>
        <v>3848410.6206896552</v>
      </c>
      <c r="Y2286" s="92">
        <f t="shared" si="1100"/>
        <v>4714290.2137931036</v>
      </c>
      <c r="Z2286" s="92">
        <f t="shared" si="1101"/>
        <v>3818593.260344828</v>
      </c>
      <c r="AA2286" s="92">
        <f t="shared" si="1102"/>
        <v>5059695.4844827596</v>
      </c>
      <c r="AB2286" s="92">
        <f t="shared" si="1103"/>
        <v>4725358.1482758624</v>
      </c>
      <c r="AC2286" s="92">
        <f t="shared" si="1104"/>
        <v>4276192.0293103456</v>
      </c>
      <c r="AD2286" s="92">
        <f t="shared" si="1105"/>
        <v>4606282.1258620694</v>
      </c>
      <c r="AE2286" s="92">
        <f t="shared" si="1106"/>
        <v>4374333.7155172415</v>
      </c>
      <c r="AF2286" s="92">
        <f t="shared" si="1107"/>
        <v>2986897.1568965525</v>
      </c>
      <c r="AG2286" s="92">
        <f t="shared" si="1108"/>
        <v>4406736.2620689664</v>
      </c>
      <c r="AH2286" s="92">
        <f t="shared" si="1109"/>
        <v>3774135.22586207</v>
      </c>
      <c r="AI2286" s="92">
        <f t="shared" si="1110"/>
        <v>1620516.3827586209</v>
      </c>
      <c r="AJ2286" s="92">
        <f t="shared" si="1111"/>
        <v>2699353.453448276</v>
      </c>
      <c r="AK2286" s="92">
        <f t="shared" si="1112"/>
        <v>1262409.7741379309</v>
      </c>
      <c r="AL2286" s="92">
        <f t="shared" si="1113"/>
        <v>581421.97758620698</v>
      </c>
      <c r="AM2286" s="92">
        <f t="shared" si="1114"/>
        <v>1874565.4103448279</v>
      </c>
      <c r="AN2286" s="92">
        <f t="shared" si="1115"/>
        <v>1091646.9206896552</v>
      </c>
      <c r="AO2286" s="92">
        <f t="shared" si="1116"/>
        <v>2085047.3517241383</v>
      </c>
      <c r="AP2286" s="92">
        <f t="shared" si="1117"/>
        <v>550799.42413793108</v>
      </c>
      <c r="AQ2286" s="92">
        <f t="shared" si="1118"/>
        <v>1986073.4068965516</v>
      </c>
      <c r="AR2286" s="92">
        <f t="shared" si="1119"/>
        <v>1378845.2568965519</v>
      </c>
      <c r="AS2286" s="92">
        <f t="shared" si="1120"/>
        <v>1760791.8844827591</v>
      </c>
      <c r="AT2286" s="92">
        <f t="shared" si="1121"/>
        <v>1452671.527586207</v>
      </c>
      <c r="AU2286" s="92">
        <f t="shared" si="1122"/>
        <v>1771090.0465517244</v>
      </c>
      <c r="AV2286" s="92">
        <f t="shared" si="1123"/>
        <v>1526132.529310345</v>
      </c>
      <c r="AW2286" s="92">
        <f t="shared" si="1124"/>
        <v>1878487.3948275864</v>
      </c>
      <c r="AX2286" s="92">
        <f t="shared" si="1125"/>
        <v>2488476.2362068971</v>
      </c>
      <c r="AY2286" s="92">
        <f t="shared" si="1126"/>
        <v>1406235.2758620689</v>
      </c>
      <c r="AZ2286" s="92">
        <f t="shared" si="1127"/>
        <v>579068.52931034483</v>
      </c>
      <c r="BA2286" s="92">
        <f t="shared" si="1128"/>
        <v>318140.82241379312</v>
      </c>
      <c r="BB2286" s="92">
        <f t="shared" si="1129"/>
        <v>306977.84655172413</v>
      </c>
      <c r="BC2286" s="92">
        <f t="shared" si="1130"/>
        <v>191814.45689655174</v>
      </c>
      <c r="BD2286" s="92">
        <f t="shared" si="1131"/>
        <v>1223230.4586206898</v>
      </c>
      <c r="BE2286" s="92">
        <f t="shared" si="1132"/>
        <v>829132.32413793122</v>
      </c>
      <c r="BF2286" s="92">
        <f t="shared" si="1133"/>
        <v>140325.51206896553</v>
      </c>
      <c r="BG2286" s="92">
        <f t="shared" si="1134"/>
        <v>281525.13965517242</v>
      </c>
      <c r="BH2286" s="92">
        <f t="shared" si="1135"/>
        <v>834933.36551724141</v>
      </c>
      <c r="BI2286" s="92">
        <f t="shared" si="1136"/>
        <v>1365991.881034483</v>
      </c>
      <c r="BJ2286" s="92">
        <f t="shared" si="1137"/>
        <v>124756.5051724138</v>
      </c>
      <c r="BK2286" s="92">
        <f t="shared" si="1138"/>
        <v>774801.17758620693</v>
      </c>
      <c r="BL2286" s="92">
        <f t="shared" si="1139"/>
        <v>0</v>
      </c>
      <c r="BM2286" s="92">
        <f t="shared" si="1140"/>
        <v>92037.517241379319</v>
      </c>
      <c r="BN2286" s="92">
        <f t="shared" si="1141"/>
        <v>177437.09931034484</v>
      </c>
      <c r="BO2286" s="92">
        <f t="shared" si="1142"/>
        <v>133694.18206896554</v>
      </c>
      <c r="BP2286" s="92">
        <f t="shared" si="1143"/>
        <v>200455.92206896553</v>
      </c>
      <c r="BQ2286" s="92">
        <f t="shared" si="1144"/>
        <v>32489.493793103455</v>
      </c>
      <c r="BR2286" s="92">
        <f t="shared" si="1145"/>
        <v>1717333.4855172418</v>
      </c>
      <c r="BS2286" s="92">
        <f t="shared" si="1146"/>
        <v>1604311.9868965517</v>
      </c>
      <c r="BT2286" s="92">
        <f t="shared" si="1147"/>
        <v>1434839.9641379311</v>
      </c>
      <c r="BU2286" s="92">
        <f t="shared" si="1148"/>
        <v>1790310.1358620692</v>
      </c>
      <c r="BV2286" s="92">
        <f t="shared" si="1149"/>
        <v>1174460.9668965517</v>
      </c>
      <c r="BW2286" s="92">
        <f t="shared" si="1150"/>
        <v>1378406.4303448275</v>
      </c>
      <c r="BX2286" s="92">
        <f t="shared" si="1151"/>
        <v>1230333.7813793104</v>
      </c>
      <c r="BY2286" s="92">
        <f t="shared" si="1152"/>
        <v>1638722.0462068967</v>
      </c>
      <c r="BZ2286" s="92">
        <f t="shared" si="1153"/>
        <v>1885283.8062068967</v>
      </c>
      <c r="CA2286" s="92">
        <f t="shared" si="1154"/>
        <v>2380452.9289655173</v>
      </c>
      <c r="CB2286" s="92">
        <f t="shared" si="1155"/>
        <v>1761414.5931034484</v>
      </c>
      <c r="CC2286" s="92">
        <f t="shared" si="1156"/>
        <v>2186215.7365517244</v>
      </c>
      <c r="CD2286" s="92">
        <f t="shared" si="1157"/>
        <v>2201752.6482758624</v>
      </c>
      <c r="CE2286" s="92">
        <f t="shared" si="1158"/>
        <v>1655969.1917241381</v>
      </c>
      <c r="CF2286" s="92">
        <f>+SUM(CEDRITOS!$B2286:$CE2286)</f>
        <v>170519886.11999995</v>
      </c>
      <c r="CG2286" s="133">
        <f>+CEDRITOS!$CF2286/82</f>
        <v>2079510.8063414628</v>
      </c>
    </row>
    <row r="2287" spans="1:85" x14ac:dyDescent="0.25">
      <c r="A2287" s="212" t="s">
        <v>29</v>
      </c>
      <c r="B2287" s="92">
        <f t="shared" si="1079"/>
        <v>0</v>
      </c>
      <c r="C2287" s="92">
        <f t="shared" si="1080"/>
        <v>0</v>
      </c>
      <c r="D2287" s="92">
        <f t="shared" si="1081"/>
        <v>22958.677586206897</v>
      </c>
      <c r="E2287" s="92">
        <f t="shared" si="1082"/>
        <v>19343.181034482761</v>
      </c>
      <c r="F2287" s="92">
        <v>78307.972413793104</v>
      </c>
      <c r="G2287" s="92">
        <v>314855.09655172413</v>
      </c>
      <c r="H2287" s="92">
        <f>I190</f>
        <v>436733.23448275868</v>
      </c>
      <c r="I2287" s="92">
        <f t="shared" si="1084"/>
        <v>907502.38448275882</v>
      </c>
      <c r="J2287" s="92">
        <f t="shared" si="1085"/>
        <v>134659.42068965518</v>
      </c>
      <c r="K2287" s="92">
        <f t="shared" si="1086"/>
        <v>181803.18275862071</v>
      </c>
      <c r="L2287" s="92">
        <f t="shared" si="1087"/>
        <v>61803.710344827588</v>
      </c>
      <c r="M2287" s="92">
        <f t="shared" si="1088"/>
        <v>399573.02586206899</v>
      </c>
      <c r="N2287" s="92">
        <f t="shared" si="1089"/>
        <v>74814.046551724139</v>
      </c>
      <c r="O2287" s="92">
        <f t="shared" si="1090"/>
        <v>75333.89482758622</v>
      </c>
      <c r="P2287" s="92">
        <f t="shared" si="1091"/>
        <v>42911.34482758621</v>
      </c>
      <c r="Q2287" s="92">
        <f t="shared" si="1092"/>
        <v>0</v>
      </c>
      <c r="R2287" s="92">
        <f t="shared" si="1093"/>
        <v>134243.47758620692</v>
      </c>
      <c r="S2287" s="92">
        <f t="shared" si="1094"/>
        <v>82871.781034482759</v>
      </c>
      <c r="T2287" s="92">
        <f t="shared" si="1095"/>
        <v>441111.86724137934</v>
      </c>
      <c r="U2287" s="92">
        <f t="shared" si="1096"/>
        <v>68541.618965517249</v>
      </c>
      <c r="V2287" s="92">
        <f t="shared" si="1097"/>
        <v>242440.44482758624</v>
      </c>
      <c r="W2287" s="92">
        <f t="shared" si="1098"/>
        <v>23811.275862068967</v>
      </c>
      <c r="X2287" s="92">
        <f t="shared" si="1099"/>
        <v>56612.26551724138</v>
      </c>
      <c r="Y2287" s="92">
        <f t="shared" si="1100"/>
        <v>65049.282758620699</v>
      </c>
      <c r="Z2287" s="92">
        <f t="shared" si="1101"/>
        <v>30836.312068965519</v>
      </c>
      <c r="AA2287" s="92">
        <f t="shared" si="1102"/>
        <v>0</v>
      </c>
      <c r="AB2287" s="92">
        <f t="shared" si="1103"/>
        <v>187672.15344827587</v>
      </c>
      <c r="AC2287" s="92">
        <f t="shared" si="1104"/>
        <v>138595.3206896552</v>
      </c>
      <c r="AD2287" s="92">
        <f t="shared" si="1105"/>
        <v>46708.768965517243</v>
      </c>
      <c r="AE2287" s="92">
        <f t="shared" si="1106"/>
        <v>33836.325862068967</v>
      </c>
      <c r="AF2287" s="92">
        <f t="shared" si="1107"/>
        <v>135238.44310344831</v>
      </c>
      <c r="AG2287" s="92">
        <f t="shared" si="1108"/>
        <v>158926.43275862071</v>
      </c>
      <c r="AH2287" s="92">
        <f t="shared" si="1109"/>
        <v>254514.64655172417</v>
      </c>
      <c r="AI2287" s="92">
        <f t="shared" si="1110"/>
        <v>249413.85000000003</v>
      </c>
      <c r="AJ2287" s="92">
        <f t="shared" si="1111"/>
        <v>365865.97758620692</v>
      </c>
      <c r="AK2287" s="92">
        <f t="shared" si="1112"/>
        <v>89735.67586206898</v>
      </c>
      <c r="AL2287" s="92">
        <f t="shared" si="1113"/>
        <v>239068.95517241381</v>
      </c>
      <c r="AM2287" s="92">
        <f t="shared" si="1114"/>
        <v>260769.02068965521</v>
      </c>
      <c r="AN2287" s="92">
        <f t="shared" si="1115"/>
        <v>158494.53103448276</v>
      </c>
      <c r="AO2287" s="92">
        <f t="shared" si="1116"/>
        <v>264066.45862068969</v>
      </c>
      <c r="AP2287" s="92">
        <f t="shared" si="1117"/>
        <v>150250.55172413794</v>
      </c>
      <c r="AQ2287" s="92">
        <f t="shared" si="1118"/>
        <v>307142.46379310347</v>
      </c>
      <c r="AR2287" s="92">
        <f t="shared" si="1119"/>
        <v>85479.613793103461</v>
      </c>
      <c r="AS2287" s="92">
        <f t="shared" si="1120"/>
        <v>159305.75689655173</v>
      </c>
      <c r="AT2287" s="92">
        <f t="shared" si="1121"/>
        <v>136417.68275862071</v>
      </c>
      <c r="AU2287" s="92">
        <f t="shared" si="1122"/>
        <v>0</v>
      </c>
      <c r="AV2287" s="92">
        <f t="shared" si="1123"/>
        <v>195647.30172413794</v>
      </c>
      <c r="AW2287" s="92">
        <f t="shared" si="1124"/>
        <v>118819.40000000001</v>
      </c>
      <c r="AX2287" s="92">
        <f t="shared" si="1125"/>
        <v>134668.61206896551</v>
      </c>
      <c r="AY2287" s="92">
        <f t="shared" si="1126"/>
        <v>200392.97413793104</v>
      </c>
      <c r="AZ2287" s="92">
        <f t="shared" si="1127"/>
        <v>64707.127586206909</v>
      </c>
      <c r="BA2287" s="92">
        <f t="shared" si="1128"/>
        <v>207602.47241379312</v>
      </c>
      <c r="BB2287" s="92">
        <f t="shared" si="1129"/>
        <v>135749.64137931034</v>
      </c>
      <c r="BC2287" s="92">
        <f t="shared" si="1130"/>
        <v>246450.02586206899</v>
      </c>
      <c r="BD2287" s="92">
        <f t="shared" si="1131"/>
        <v>269488.93275862071</v>
      </c>
      <c r="BE2287" s="92">
        <f t="shared" si="1132"/>
        <v>311708.81206896552</v>
      </c>
      <c r="BF2287" s="92">
        <f t="shared" si="1133"/>
        <v>128736.67241379312</v>
      </c>
      <c r="BG2287" s="92">
        <f t="shared" si="1134"/>
        <v>272700.17068965518</v>
      </c>
      <c r="BH2287" s="92">
        <f t="shared" si="1135"/>
        <v>0</v>
      </c>
      <c r="BI2287" s="92">
        <f t="shared" si="1136"/>
        <v>80199.42586206898</v>
      </c>
      <c r="BJ2287" s="92">
        <f t="shared" si="1137"/>
        <v>116134.00000000001</v>
      </c>
      <c r="BK2287" s="92">
        <f t="shared" si="1138"/>
        <v>80589.991379310362</v>
      </c>
      <c r="BL2287" s="92">
        <f t="shared" si="1139"/>
        <v>0</v>
      </c>
      <c r="BM2287" s="92">
        <f t="shared" si="1140"/>
        <v>0</v>
      </c>
      <c r="BN2287" s="92">
        <f t="shared" si="1141"/>
        <v>236045.47172413795</v>
      </c>
      <c r="BO2287" s="92">
        <f t="shared" si="1142"/>
        <v>137360.11172413797</v>
      </c>
      <c r="BP2287" s="92">
        <f t="shared" si="1143"/>
        <v>194065.50620689656</v>
      </c>
      <c r="BQ2287" s="92">
        <f t="shared" si="1144"/>
        <v>46049.805517241388</v>
      </c>
      <c r="BR2287" s="92">
        <f t="shared" si="1145"/>
        <v>153802.81931034484</v>
      </c>
      <c r="BS2287" s="92">
        <f t="shared" si="1146"/>
        <v>78870.358620689658</v>
      </c>
      <c r="BT2287" s="92">
        <f t="shared" si="1147"/>
        <v>48031.673103448287</v>
      </c>
      <c r="BU2287" s="92">
        <f t="shared" si="1148"/>
        <v>335972.66482758627</v>
      </c>
      <c r="BV2287" s="92">
        <f t="shared" si="1149"/>
        <v>100970.20551724138</v>
      </c>
      <c r="BW2287" s="92">
        <f t="shared" si="1150"/>
        <v>21285.255862068967</v>
      </c>
      <c r="BX2287" s="92">
        <f t="shared" si="1151"/>
        <v>0</v>
      </c>
      <c r="BY2287" s="92">
        <f t="shared" si="1152"/>
        <v>92084.941379310359</v>
      </c>
      <c r="BZ2287" s="92">
        <f t="shared" si="1153"/>
        <v>72205.699310344833</v>
      </c>
      <c r="CA2287" s="92">
        <f t="shared" si="1154"/>
        <v>70018.576551724138</v>
      </c>
      <c r="CB2287" s="92">
        <f t="shared" si="1155"/>
        <v>125403.78689655174</v>
      </c>
      <c r="CC2287" s="92">
        <f t="shared" si="1156"/>
        <v>49827.354482758623</v>
      </c>
      <c r="CD2287" s="92">
        <f t="shared" si="1157"/>
        <v>149962.25448275864</v>
      </c>
      <c r="CE2287" s="92">
        <f t="shared" si="1158"/>
        <v>178564.82</v>
      </c>
      <c r="CF2287" s="92">
        <f>+SUM(CEDRITOS!$B2287:$CE2287)</f>
        <v>11971736.993448276</v>
      </c>
      <c r="CG2287" s="133">
        <f>+CEDRITOS!$CF2287/82</f>
        <v>145996.79260302774</v>
      </c>
    </row>
    <row r="2288" spans="1:85" x14ac:dyDescent="0.25">
      <c r="A2288" s="216" t="s">
        <v>30</v>
      </c>
      <c r="B2288" s="91">
        <f t="shared" si="1079"/>
        <v>16135119.482758623</v>
      </c>
      <c r="C2288" s="91">
        <f t="shared" si="1080"/>
        <v>23060489.827586208</v>
      </c>
      <c r="D2288" s="91">
        <f t="shared" si="1081"/>
        <v>25547991.206896555</v>
      </c>
      <c r="E2288" s="91">
        <f t="shared" si="1082"/>
        <v>20943072.413793102</v>
      </c>
      <c r="F2288" s="91">
        <v>22178593.103448275</v>
      </c>
      <c r="G2288" s="91">
        <v>24917394.137931038</v>
      </c>
      <c r="H2288" s="91">
        <f>I191</f>
        <v>28492417.241379313</v>
      </c>
      <c r="I2288" s="91">
        <f t="shared" si="1084"/>
        <v>29489342.758620691</v>
      </c>
      <c r="J2288" s="91">
        <f t="shared" si="1085"/>
        <v>31958532.931034487</v>
      </c>
      <c r="K2288" s="91">
        <f t="shared" si="1086"/>
        <v>28293261.206896551</v>
      </c>
      <c r="L2288" s="91">
        <f t="shared" si="1087"/>
        <v>32753677.241379313</v>
      </c>
      <c r="M2288" s="91">
        <f t="shared" si="1088"/>
        <v>32118995</v>
      </c>
      <c r="N2288" s="91">
        <f t="shared" si="1089"/>
        <v>31742968.620689657</v>
      </c>
      <c r="O2288" s="91">
        <f t="shared" si="1090"/>
        <v>36301163.793103456</v>
      </c>
      <c r="P2288" s="91">
        <f t="shared" si="1091"/>
        <v>31627621.034482755</v>
      </c>
      <c r="Q2288" s="91">
        <f t="shared" si="1092"/>
        <v>31693288.965517245</v>
      </c>
      <c r="R2288" s="91">
        <f t="shared" si="1093"/>
        <v>28549912.758620691</v>
      </c>
      <c r="S2288" s="91">
        <f t="shared" si="1094"/>
        <v>30707592.068965524</v>
      </c>
      <c r="T2288" s="91">
        <f t="shared" si="1095"/>
        <v>37633836.72413794</v>
      </c>
      <c r="U2288" s="91">
        <f t="shared" si="1096"/>
        <v>35740289.999999993</v>
      </c>
      <c r="V2288" s="91">
        <f t="shared" si="1097"/>
        <v>36854690</v>
      </c>
      <c r="W2288" s="91">
        <f t="shared" si="1098"/>
        <v>37785995.344827592</v>
      </c>
      <c r="X2288" s="91">
        <f t="shared" si="1099"/>
        <v>37091954.655172415</v>
      </c>
      <c r="Y2288" s="91">
        <f t="shared" si="1100"/>
        <v>38354263.448275872</v>
      </c>
      <c r="Z2288" s="91">
        <f t="shared" si="1101"/>
        <v>39036686.896551728</v>
      </c>
      <c r="AA2288" s="91">
        <f t="shared" si="1102"/>
        <v>42896195.689655177</v>
      </c>
      <c r="AB2288" s="91">
        <f t="shared" si="1103"/>
        <v>40707205.862068966</v>
      </c>
      <c r="AC2288" s="91">
        <f t="shared" si="1104"/>
        <v>33169344.137931041</v>
      </c>
      <c r="AD2288" s="91">
        <f t="shared" si="1105"/>
        <v>41527048.62068966</v>
      </c>
      <c r="AE2288" s="91">
        <f t="shared" si="1106"/>
        <v>41778849.655172415</v>
      </c>
      <c r="AF2288" s="91">
        <f t="shared" si="1107"/>
        <v>42285155.517241389</v>
      </c>
      <c r="AG2288" s="91">
        <f t="shared" si="1108"/>
        <v>43673603.103448279</v>
      </c>
      <c r="AH2288" s="91">
        <f t="shared" si="1109"/>
        <v>45029721.896551728</v>
      </c>
      <c r="AI2288" s="91">
        <f t="shared" si="1110"/>
        <v>41760416.379310355</v>
      </c>
      <c r="AJ2288" s="91">
        <f t="shared" si="1111"/>
        <v>37935994.655172415</v>
      </c>
      <c r="AK2288" s="91">
        <f t="shared" si="1112"/>
        <v>40280756.551724136</v>
      </c>
      <c r="AL2288" s="91">
        <f t="shared" si="1113"/>
        <v>38744880.517241389</v>
      </c>
      <c r="AM2288" s="91">
        <f t="shared" si="1114"/>
        <v>39116866.551724143</v>
      </c>
      <c r="AN2288" s="91">
        <f t="shared" si="1115"/>
        <v>39936612.241379321</v>
      </c>
      <c r="AO2288" s="91">
        <f t="shared" si="1116"/>
        <v>46800602.586206913</v>
      </c>
      <c r="AP2288" s="91">
        <f t="shared" si="1117"/>
        <v>37030478.103448272</v>
      </c>
      <c r="AQ2288" s="91">
        <f t="shared" si="1118"/>
        <v>38967379.827586219</v>
      </c>
      <c r="AR2288" s="91">
        <f t="shared" si="1119"/>
        <v>39758938.793103456</v>
      </c>
      <c r="AS2288" s="91">
        <f t="shared" si="1120"/>
        <v>43418520.000000007</v>
      </c>
      <c r="AT2288" s="91">
        <f t="shared" si="1121"/>
        <v>36130642.586206898</v>
      </c>
      <c r="AU2288" s="91">
        <f t="shared" si="1122"/>
        <v>41312648.965517245</v>
      </c>
      <c r="AV2288" s="91">
        <f t="shared" si="1123"/>
        <v>38042558.620689653</v>
      </c>
      <c r="AW2288" s="91">
        <f t="shared" si="1124"/>
        <v>36813501.896551721</v>
      </c>
      <c r="AX2288" s="91">
        <f t="shared" si="1125"/>
        <v>35405991.206896558</v>
      </c>
      <c r="AY2288" s="91">
        <f t="shared" si="1126"/>
        <v>38903848.275862075</v>
      </c>
      <c r="AZ2288" s="91">
        <f t="shared" si="1127"/>
        <v>32508570.517241385</v>
      </c>
      <c r="BA2288" s="91">
        <f t="shared" si="1128"/>
        <v>35549355.689655177</v>
      </c>
      <c r="BB2288" s="91">
        <f t="shared" si="1129"/>
        <v>33567965.517241381</v>
      </c>
      <c r="BC2288" s="91">
        <f t="shared" si="1130"/>
        <v>34640945.862068966</v>
      </c>
      <c r="BD2288" s="91">
        <f t="shared" si="1131"/>
        <v>33924868.103448279</v>
      </c>
      <c r="BE2288" s="91">
        <f t="shared" si="1132"/>
        <v>31958738.275862072</v>
      </c>
      <c r="BF2288" s="91">
        <f t="shared" si="1133"/>
        <v>34723489.827586211</v>
      </c>
      <c r="BG2288" s="91">
        <f t="shared" si="1134"/>
        <v>33365037.586206898</v>
      </c>
      <c r="BH2288" s="91">
        <f t="shared" si="1135"/>
        <v>38943769.482758626</v>
      </c>
      <c r="BI2288" s="91">
        <f t="shared" si="1136"/>
        <v>33137357.586206902</v>
      </c>
      <c r="BJ2288" s="91">
        <f t="shared" si="1137"/>
        <v>36393065.172413796</v>
      </c>
      <c r="BK2288" s="91">
        <f t="shared" si="1138"/>
        <v>36214973.793103456</v>
      </c>
      <c r="BL2288" s="91">
        <f t="shared" si="1139"/>
        <v>37725408.103448279</v>
      </c>
      <c r="BM2288" s="91">
        <f t="shared" si="1140"/>
        <v>36218787.586206906</v>
      </c>
      <c r="BN2288" s="91">
        <f t="shared" si="1141"/>
        <v>36662236.275862075</v>
      </c>
      <c r="BO2288" s="91">
        <f t="shared" si="1142"/>
        <v>38452799.931034483</v>
      </c>
      <c r="BP2288" s="91">
        <f t="shared" si="1143"/>
        <v>33214247.379310347</v>
      </c>
      <c r="BQ2288" s="91">
        <f t="shared" si="1144"/>
        <v>27790831.379310351</v>
      </c>
      <c r="BR2288" s="91">
        <f t="shared" si="1145"/>
        <v>25761797.86206897</v>
      </c>
      <c r="BS2288" s="91">
        <f t="shared" si="1146"/>
        <v>27087641.724137932</v>
      </c>
      <c r="BT2288" s="91">
        <f t="shared" si="1147"/>
        <v>31455460.68965517</v>
      </c>
      <c r="BU2288" s="91">
        <f t="shared" si="1148"/>
        <v>33470712.896551728</v>
      </c>
      <c r="BV2288" s="91">
        <f t="shared" si="1149"/>
        <v>30128916.000000004</v>
      </c>
      <c r="BW2288" s="91">
        <f t="shared" si="1150"/>
        <v>31409678.620689657</v>
      </c>
      <c r="BX2288" s="91">
        <f t="shared" si="1151"/>
        <v>31776143.517241381</v>
      </c>
      <c r="BY2288" s="91">
        <f t="shared" si="1152"/>
        <v>30528395.241379313</v>
      </c>
      <c r="BZ2288" s="91">
        <f t="shared" si="1153"/>
        <v>31834680.275862072</v>
      </c>
      <c r="CA2288" s="91">
        <f t="shared" si="1154"/>
        <v>35034060.896551728</v>
      </c>
      <c r="CB2288" s="91">
        <f t="shared" si="1155"/>
        <v>35899234.551724136</v>
      </c>
      <c r="CC2288" s="91">
        <f t="shared" si="1156"/>
        <v>32878555.241379313</v>
      </c>
      <c r="CD2288" s="91">
        <f t="shared" si="1157"/>
        <v>35035007.931034483</v>
      </c>
      <c r="CE2288" s="91">
        <f t="shared" si="1158"/>
        <v>26967300.413793102</v>
      </c>
      <c r="CF2288" s="91">
        <f>SUM(CF2283:CF2287)</f>
        <v>2834696947.034483</v>
      </c>
      <c r="CG2288" s="136">
        <f>+CEDRITOS!$CF2288/82</f>
        <v>34569474.963835157</v>
      </c>
    </row>
    <row r="2289" spans="1:85" x14ac:dyDescent="0.25">
      <c r="A2289" s="212" t="s">
        <v>31</v>
      </c>
      <c r="B2289" s="92">
        <f t="shared" si="1079"/>
        <v>415915</v>
      </c>
      <c r="C2289" s="92">
        <f t="shared" si="1080"/>
        <v>734855</v>
      </c>
      <c r="D2289" s="92">
        <f t="shared" si="1081"/>
        <v>752095</v>
      </c>
      <c r="E2289" s="92">
        <f t="shared" si="1082"/>
        <v>689600</v>
      </c>
      <c r="F2289" s="92">
        <v>732700</v>
      </c>
      <c r="G2289" s="92">
        <v>831830</v>
      </c>
      <c r="H2289" s="92">
        <f>2155*H2270</f>
        <v>1120600</v>
      </c>
      <c r="I2289" s="92">
        <f t="shared" si="1084"/>
        <v>1482640</v>
      </c>
      <c r="J2289" s="92">
        <f t="shared" si="1085"/>
        <v>2135605</v>
      </c>
      <c r="K2289" s="92">
        <f t="shared" si="1086"/>
        <v>1971825</v>
      </c>
      <c r="L2289" s="92">
        <f t="shared" si="1087"/>
        <v>1784340</v>
      </c>
      <c r="M2289" s="92">
        <f t="shared" si="1088"/>
        <v>1446005</v>
      </c>
      <c r="N2289" s="92">
        <f t="shared" si="1089"/>
        <v>1547290</v>
      </c>
      <c r="O2289" s="92">
        <f t="shared" si="1090"/>
        <v>1616250</v>
      </c>
      <c r="P2289" s="92">
        <f t="shared" si="1091"/>
        <v>1512810</v>
      </c>
      <c r="Q2289" s="92">
        <f t="shared" si="1092"/>
        <v>1241280</v>
      </c>
      <c r="R2289" s="92">
        <f t="shared" si="1093"/>
        <v>1064570</v>
      </c>
      <c r="S2289" s="92">
        <f t="shared" si="1094"/>
        <v>1150770</v>
      </c>
      <c r="T2289" s="92">
        <f t="shared" si="1095"/>
        <v>1622715</v>
      </c>
      <c r="U2289" s="92">
        <f t="shared" si="1096"/>
        <v>1469710</v>
      </c>
      <c r="V2289" s="92">
        <f t="shared" si="1097"/>
        <v>1512810</v>
      </c>
      <c r="W2289" s="92">
        <f t="shared" si="1098"/>
        <v>1665815</v>
      </c>
      <c r="X2289" s="92">
        <f t="shared" si="1099"/>
        <v>1803735</v>
      </c>
      <c r="Y2289" s="92">
        <f t="shared" si="1100"/>
        <v>1676590</v>
      </c>
      <c r="Z2289" s="92">
        <f t="shared" si="1101"/>
        <v>1689520</v>
      </c>
      <c r="AA2289" s="92">
        <f t="shared" si="1102"/>
        <v>2014925</v>
      </c>
      <c r="AB2289" s="92">
        <f t="shared" si="1103"/>
        <v>1711070</v>
      </c>
      <c r="AC2289" s="92">
        <f t="shared" si="1104"/>
        <v>1499880</v>
      </c>
      <c r="AD2289" s="92">
        <f t="shared" si="1105"/>
        <v>1900710</v>
      </c>
      <c r="AE2289" s="92">
        <f t="shared" si="1106"/>
        <v>1784340</v>
      </c>
      <c r="AF2289" s="92">
        <f t="shared" si="1107"/>
        <v>1943810</v>
      </c>
      <c r="AG2289" s="92">
        <f t="shared" si="1108"/>
        <v>1935190</v>
      </c>
      <c r="AH2289" s="92">
        <f t="shared" si="1109"/>
        <v>1911485</v>
      </c>
      <c r="AI2289" s="92">
        <f t="shared" si="1110"/>
        <v>1971825</v>
      </c>
      <c r="AJ2289" s="92">
        <f t="shared" si="1111"/>
        <v>1657195</v>
      </c>
      <c r="AK2289" s="92">
        <f t="shared" si="1112"/>
        <v>1913640</v>
      </c>
      <c r="AL2289" s="92">
        <f t="shared" si="1113"/>
        <v>1739085</v>
      </c>
      <c r="AM2289" s="92">
        <f t="shared" si="1114"/>
        <v>1780030</v>
      </c>
      <c r="AN2289" s="92">
        <f t="shared" si="1115"/>
        <v>1833905</v>
      </c>
      <c r="AO2289" s="92">
        <f t="shared" si="1116"/>
        <v>2144225</v>
      </c>
      <c r="AP2289" s="92">
        <f t="shared" si="1117"/>
        <v>1665815</v>
      </c>
      <c r="AQ2289" s="92">
        <f t="shared" si="1118"/>
        <v>1730465</v>
      </c>
      <c r="AR2289" s="92">
        <f t="shared" si="1119"/>
        <v>1820975</v>
      </c>
      <c r="AS2289" s="92">
        <f t="shared" si="1120"/>
        <v>1973980</v>
      </c>
      <c r="AT2289" s="92">
        <f t="shared" si="1121"/>
        <v>1566685</v>
      </c>
      <c r="AU2289" s="92">
        <f t="shared" si="1122"/>
        <v>1861920</v>
      </c>
      <c r="AV2289" s="92">
        <f t="shared" si="1123"/>
        <v>1810200</v>
      </c>
      <c r="AW2289" s="92">
        <f t="shared" si="1124"/>
        <v>1747705</v>
      </c>
      <c r="AX2289" s="92">
        <f t="shared" si="1125"/>
        <v>1614095</v>
      </c>
      <c r="AY2289" s="92">
        <f t="shared" si="1126"/>
        <v>1767100</v>
      </c>
      <c r="AZ2289" s="92">
        <f t="shared" si="1127"/>
        <v>1527895</v>
      </c>
      <c r="BA2289" s="92">
        <f t="shared" si="1128"/>
        <v>1644265</v>
      </c>
      <c r="BB2289" s="92">
        <f t="shared" si="1129"/>
        <v>1508500</v>
      </c>
      <c r="BC2289" s="92">
        <f t="shared" si="1130"/>
        <v>1586080</v>
      </c>
      <c r="BD2289" s="92">
        <f t="shared" si="1131"/>
        <v>1583925</v>
      </c>
      <c r="BE2289" s="92">
        <f t="shared" si="1132"/>
        <v>1469710</v>
      </c>
      <c r="BF2289" s="92">
        <f t="shared" si="1133"/>
        <v>1596855</v>
      </c>
      <c r="BG2289" s="92">
        <f t="shared" si="1134"/>
        <v>1547290</v>
      </c>
      <c r="BH2289" s="92">
        <f t="shared" si="1135"/>
        <v>1859765</v>
      </c>
      <c r="BI2289" s="92">
        <f t="shared" si="1136"/>
        <v>1452470</v>
      </c>
      <c r="BJ2289" s="92">
        <f t="shared" si="1137"/>
        <v>1676590</v>
      </c>
      <c r="BK2289" s="92">
        <f t="shared" si="1138"/>
        <v>1827440</v>
      </c>
      <c r="BL2289" s="92">
        <f t="shared" si="1139"/>
        <v>1868385</v>
      </c>
      <c r="BM2289" s="92">
        <f t="shared" si="1140"/>
        <v>2076040</v>
      </c>
      <c r="BN2289" s="92">
        <f t="shared" si="1141"/>
        <v>2071212</v>
      </c>
      <c r="BO2289" s="92">
        <f t="shared" si="1142"/>
        <v>2032588</v>
      </c>
      <c r="BP2289" s="92">
        <f t="shared" si="1143"/>
        <v>1740494</v>
      </c>
      <c r="BQ2289" s="92">
        <f t="shared" si="1144"/>
        <v>1363910</v>
      </c>
      <c r="BR2289" s="92">
        <f t="shared" si="1145"/>
        <v>1151478</v>
      </c>
      <c r="BS2289" s="92">
        <f t="shared" si="1146"/>
        <v>1363910</v>
      </c>
      <c r="BT2289" s="92">
        <f t="shared" si="1147"/>
        <v>1665660</v>
      </c>
      <c r="BU2289" s="92">
        <f t="shared" si="1148"/>
        <v>1740494</v>
      </c>
      <c r="BV2289" s="92">
        <f t="shared" si="1149"/>
        <v>1583584</v>
      </c>
      <c r="BW2289" s="92">
        <f t="shared" si="1150"/>
        <v>1738080</v>
      </c>
      <c r="BX2289" s="92">
        <f t="shared" si="1151"/>
        <v>1745322</v>
      </c>
      <c r="BY2289" s="92">
        <f t="shared" si="1152"/>
        <v>1624622</v>
      </c>
      <c r="BZ2289" s="92">
        <f t="shared" si="1153"/>
        <v>1718768</v>
      </c>
      <c r="CA2289" s="92">
        <f t="shared" si="1154"/>
        <v>1904646</v>
      </c>
      <c r="CB2289" s="92">
        <f t="shared" si="1155"/>
        <v>1890162</v>
      </c>
      <c r="CC2289" s="92">
        <f t="shared" si="1156"/>
        <v>1769462</v>
      </c>
      <c r="CD2289" s="92">
        <f t="shared" si="1157"/>
        <v>1919130</v>
      </c>
      <c r="CE2289" s="92">
        <f t="shared" si="1158"/>
        <v>1322872</v>
      </c>
      <c r="CF2289" s="92">
        <f>2155*CF2270</f>
        <v>129065105</v>
      </c>
      <c r="CG2289" s="133">
        <f>+CEDRITOS!$CF2289/82</f>
        <v>1573964.6951219512</v>
      </c>
    </row>
    <row r="2290" spans="1:85" x14ac:dyDescent="0.25">
      <c r="A2290" s="218" t="s">
        <v>32</v>
      </c>
      <c r="B2290" s="199">
        <f t="shared" si="1079"/>
        <v>16551034.482758623</v>
      </c>
      <c r="C2290" s="199">
        <f t="shared" si="1080"/>
        <v>23795344.827586208</v>
      </c>
      <c r="D2290" s="199">
        <f t="shared" si="1081"/>
        <v>26300086.206896555</v>
      </c>
      <c r="E2290" s="199">
        <f t="shared" si="1082"/>
        <v>21632672.413793102</v>
      </c>
      <c r="F2290" s="199">
        <v>22911293.103448275</v>
      </c>
      <c r="G2290" s="199">
        <v>25749224.137931038</v>
      </c>
      <c r="H2290" s="199">
        <f>H2288+H2289</f>
        <v>29613017.241379313</v>
      </c>
      <c r="I2290" s="199">
        <f t="shared" si="1084"/>
        <v>30971982.758620691</v>
      </c>
      <c r="J2290" s="199">
        <f t="shared" si="1085"/>
        <v>34094137.93103449</v>
      </c>
      <c r="K2290" s="199">
        <f t="shared" si="1086"/>
        <v>30265086.206896551</v>
      </c>
      <c r="L2290" s="199">
        <f t="shared" si="1087"/>
        <v>34538017.241379313</v>
      </c>
      <c r="M2290" s="199">
        <f t="shared" si="1088"/>
        <v>33565000</v>
      </c>
      <c r="N2290" s="199">
        <f t="shared" si="1089"/>
        <v>33290258.620689657</v>
      </c>
      <c r="O2290" s="199">
        <f t="shared" si="1090"/>
        <v>37917413.793103456</v>
      </c>
      <c r="P2290" s="199">
        <f t="shared" si="1091"/>
        <v>33140431.034482755</v>
      </c>
      <c r="Q2290" s="199">
        <f t="shared" si="1092"/>
        <v>32934568.965517245</v>
      </c>
      <c r="R2290" s="199">
        <f t="shared" si="1093"/>
        <v>29614482.758620691</v>
      </c>
      <c r="S2290" s="199">
        <f t="shared" si="1094"/>
        <v>31858362.068965524</v>
      </c>
      <c r="T2290" s="199">
        <f t="shared" si="1095"/>
        <v>39256551.72413794</v>
      </c>
      <c r="U2290" s="199">
        <f t="shared" si="1096"/>
        <v>37209999.999999993</v>
      </c>
      <c r="V2290" s="199">
        <f t="shared" si="1097"/>
        <v>38367500</v>
      </c>
      <c r="W2290" s="199">
        <f t="shared" si="1098"/>
        <v>39451810.344827592</v>
      </c>
      <c r="X2290" s="199">
        <f t="shared" si="1099"/>
        <v>38895689.655172415</v>
      </c>
      <c r="Y2290" s="199">
        <f t="shared" si="1100"/>
        <v>40030853.448275872</v>
      </c>
      <c r="Z2290" s="199">
        <f t="shared" si="1101"/>
        <v>40726206.896551728</v>
      </c>
      <c r="AA2290" s="199">
        <f t="shared" si="1102"/>
        <v>44911120.689655177</v>
      </c>
      <c r="AB2290" s="199">
        <f t="shared" si="1103"/>
        <v>42418275.862068966</v>
      </c>
      <c r="AC2290" s="199">
        <f t="shared" si="1104"/>
        <v>34669224.137931041</v>
      </c>
      <c r="AD2290" s="199">
        <f t="shared" si="1105"/>
        <v>43427758.62068966</v>
      </c>
      <c r="AE2290" s="199">
        <f t="shared" si="1106"/>
        <v>43563189.655172415</v>
      </c>
      <c r="AF2290" s="199">
        <f t="shared" si="1107"/>
        <v>44228965.517241389</v>
      </c>
      <c r="AG2290" s="199">
        <f t="shared" si="1108"/>
        <v>45608793.103448279</v>
      </c>
      <c r="AH2290" s="199">
        <f t="shared" si="1109"/>
        <v>46941206.896551728</v>
      </c>
      <c r="AI2290" s="199">
        <f t="shared" si="1110"/>
        <v>43732241.379310355</v>
      </c>
      <c r="AJ2290" s="199">
        <f t="shared" si="1111"/>
        <v>39593189.655172415</v>
      </c>
      <c r="AK2290" s="199">
        <f t="shared" si="1112"/>
        <v>42194396.551724136</v>
      </c>
      <c r="AL2290" s="199">
        <f t="shared" si="1113"/>
        <v>40483965.517241389</v>
      </c>
      <c r="AM2290" s="199">
        <f t="shared" si="1114"/>
        <v>40896896.551724143</v>
      </c>
      <c r="AN2290" s="199">
        <f t="shared" si="1115"/>
        <v>41770517.241379321</v>
      </c>
      <c r="AO2290" s="199">
        <f t="shared" si="1116"/>
        <v>48944827.586206913</v>
      </c>
      <c r="AP2290" s="199">
        <f t="shared" si="1117"/>
        <v>38696293.103448272</v>
      </c>
      <c r="AQ2290" s="199">
        <f t="shared" si="1118"/>
        <v>40697844.827586219</v>
      </c>
      <c r="AR2290" s="199">
        <f t="shared" si="1119"/>
        <v>41579913.793103456</v>
      </c>
      <c r="AS2290" s="199">
        <f t="shared" si="1120"/>
        <v>45392500.000000007</v>
      </c>
      <c r="AT2290" s="199">
        <f t="shared" si="1121"/>
        <v>37697327.586206898</v>
      </c>
      <c r="AU2290" s="199">
        <f t="shared" si="1122"/>
        <v>43174568.965517245</v>
      </c>
      <c r="AV2290" s="199">
        <f t="shared" si="1123"/>
        <v>39852758.620689653</v>
      </c>
      <c r="AW2290" s="199">
        <f t="shared" si="1124"/>
        <v>38561206.896551721</v>
      </c>
      <c r="AX2290" s="199">
        <f t="shared" si="1125"/>
        <v>37020086.206896558</v>
      </c>
      <c r="AY2290" s="199">
        <f t="shared" si="1126"/>
        <v>40670948.275862075</v>
      </c>
      <c r="AZ2290" s="199">
        <f t="shared" si="1127"/>
        <v>34036465.517241389</v>
      </c>
      <c r="BA2290" s="199">
        <f t="shared" si="1128"/>
        <v>37193620.689655177</v>
      </c>
      <c r="BB2290" s="199">
        <f t="shared" si="1129"/>
        <v>35076465.517241381</v>
      </c>
      <c r="BC2290" s="199">
        <f t="shared" si="1130"/>
        <v>36227025.862068966</v>
      </c>
      <c r="BD2290" s="199">
        <f t="shared" si="1131"/>
        <v>35508793.103448279</v>
      </c>
      <c r="BE2290" s="199">
        <f t="shared" si="1132"/>
        <v>33428448.275862072</v>
      </c>
      <c r="BF2290" s="199">
        <f t="shared" si="1133"/>
        <v>36320344.827586211</v>
      </c>
      <c r="BG2290" s="199">
        <f t="shared" si="1134"/>
        <v>34912327.586206898</v>
      </c>
      <c r="BH2290" s="199">
        <f t="shared" si="1135"/>
        <v>40803534.482758626</v>
      </c>
      <c r="BI2290" s="199">
        <f t="shared" si="1136"/>
        <v>34589827.586206898</v>
      </c>
      <c r="BJ2290" s="199">
        <f t="shared" si="1137"/>
        <v>38069655.172413796</v>
      </c>
      <c r="BK2290" s="199">
        <f t="shared" si="1138"/>
        <v>38042413.793103456</v>
      </c>
      <c r="BL2290" s="199">
        <f t="shared" si="1139"/>
        <v>39593793.103448279</v>
      </c>
      <c r="BM2290" s="199">
        <f t="shared" si="1140"/>
        <v>38294827.586206906</v>
      </c>
      <c r="BN2290" s="199">
        <f t="shared" si="1141"/>
        <v>38733448.275862075</v>
      </c>
      <c r="BO2290" s="199">
        <f t="shared" si="1142"/>
        <v>40485387.931034483</v>
      </c>
      <c r="BP2290" s="199">
        <f t="shared" si="1143"/>
        <v>34954741.379310347</v>
      </c>
      <c r="BQ2290" s="199">
        <f t="shared" si="1144"/>
        <v>29154741.379310351</v>
      </c>
      <c r="BR2290" s="199">
        <f t="shared" si="1145"/>
        <v>26913275.86206897</v>
      </c>
      <c r="BS2290" s="199">
        <f t="shared" si="1146"/>
        <v>28451551.724137932</v>
      </c>
      <c r="BT2290" s="199">
        <f t="shared" si="1147"/>
        <v>33121120.68965517</v>
      </c>
      <c r="BU2290" s="199">
        <f t="shared" si="1148"/>
        <v>35211206.896551728</v>
      </c>
      <c r="BV2290" s="199">
        <f t="shared" si="1149"/>
        <v>31712500.000000004</v>
      </c>
      <c r="BW2290" s="199">
        <f t="shared" si="1150"/>
        <v>33147758.620689657</v>
      </c>
      <c r="BX2290" s="199">
        <f t="shared" si="1151"/>
        <v>33521465.517241381</v>
      </c>
      <c r="BY2290" s="199">
        <f t="shared" si="1152"/>
        <v>32153017.241379313</v>
      </c>
      <c r="BZ2290" s="199">
        <f t="shared" si="1153"/>
        <v>33553448.275862072</v>
      </c>
      <c r="CA2290" s="199">
        <f t="shared" si="1154"/>
        <v>36938706.896551728</v>
      </c>
      <c r="CB2290" s="199">
        <f t="shared" si="1155"/>
        <v>37789396.551724136</v>
      </c>
      <c r="CC2290" s="199">
        <f t="shared" si="1156"/>
        <v>34648017.241379313</v>
      </c>
      <c r="CD2290" s="199">
        <f t="shared" si="1157"/>
        <v>36954137.931034483</v>
      </c>
      <c r="CE2290" s="199">
        <f t="shared" si="1158"/>
        <v>28290172.413793102</v>
      </c>
      <c r="CF2290" s="199">
        <f>CF2288+CF2289</f>
        <v>2963762052.034483</v>
      </c>
      <c r="CG2290" s="284">
        <f>+CEDRITOS!$CF2290/82</f>
        <v>36143439.658957109</v>
      </c>
    </row>
    <row r="2291" spans="1:85" x14ac:dyDescent="0.25">
      <c r="A2291" s="212" t="s">
        <v>33</v>
      </c>
      <c r="B2291" s="94">
        <f t="shared" si="1079"/>
        <v>2648165.5172413797</v>
      </c>
      <c r="C2291" s="94">
        <f t="shared" si="1080"/>
        <v>3807255.1724137934</v>
      </c>
      <c r="D2291" s="94">
        <f t="shared" si="1081"/>
        <v>4208013.793103449</v>
      </c>
      <c r="E2291" s="94">
        <f t="shared" si="1082"/>
        <v>3461227.5862068962</v>
      </c>
      <c r="F2291" s="94">
        <v>3665806.8965517241</v>
      </c>
      <c r="G2291" s="94">
        <v>4119875.862068966</v>
      </c>
      <c r="H2291" s="94">
        <f>H2290*16%</f>
        <v>4738082.7586206906</v>
      </c>
      <c r="I2291" s="94">
        <f t="shared" si="1084"/>
        <v>4955517.2413793104</v>
      </c>
      <c r="J2291" s="94">
        <f t="shared" si="1085"/>
        <v>5455062.0689655188</v>
      </c>
      <c r="K2291" s="94">
        <f t="shared" si="1086"/>
        <v>4842413.7931034481</v>
      </c>
      <c r="L2291" s="94">
        <f t="shared" si="1087"/>
        <v>5526082.7586206906</v>
      </c>
      <c r="M2291" s="94">
        <f t="shared" si="1088"/>
        <v>5370400</v>
      </c>
      <c r="N2291" s="94">
        <f t="shared" si="1089"/>
        <v>5326441.3793103453</v>
      </c>
      <c r="O2291" s="94">
        <f t="shared" si="1090"/>
        <v>6066786.2068965528</v>
      </c>
      <c r="P2291" s="94">
        <f t="shared" si="1091"/>
        <v>5302468.9655172406</v>
      </c>
      <c r="Q2291" s="94">
        <f t="shared" si="1092"/>
        <v>5269531.0344827594</v>
      </c>
      <c r="R2291" s="94">
        <f t="shared" si="1093"/>
        <v>4738317.2413793104</v>
      </c>
      <c r="S2291" s="94">
        <f t="shared" si="1094"/>
        <v>5097337.9310344839</v>
      </c>
      <c r="T2291" s="94">
        <f t="shared" si="1095"/>
        <v>6281048.2758620707</v>
      </c>
      <c r="U2291" s="94">
        <f t="shared" si="1096"/>
        <v>5953599.9999999991</v>
      </c>
      <c r="V2291" s="94">
        <f t="shared" si="1097"/>
        <v>6138800</v>
      </c>
      <c r="W2291" s="94">
        <f t="shared" si="1098"/>
        <v>6312289.6551724151</v>
      </c>
      <c r="X2291" s="94">
        <f t="shared" si="1099"/>
        <v>6223310.3448275868</v>
      </c>
      <c r="Y2291" s="94">
        <f t="shared" si="1100"/>
        <v>6404936.5517241396</v>
      </c>
      <c r="Z2291" s="94">
        <f t="shared" si="1101"/>
        <v>6516193.1034482764</v>
      </c>
      <c r="AA2291" s="94">
        <f t="shared" si="1102"/>
        <v>7185779.3103448283</v>
      </c>
      <c r="AB2291" s="94">
        <f t="shared" si="1103"/>
        <v>6786924.1379310349</v>
      </c>
      <c r="AC2291" s="94">
        <f t="shared" si="1104"/>
        <v>5547075.862068967</v>
      </c>
      <c r="AD2291" s="94">
        <f t="shared" si="1105"/>
        <v>6948441.3793103462</v>
      </c>
      <c r="AE2291" s="94">
        <f t="shared" si="1106"/>
        <v>6970110.3448275868</v>
      </c>
      <c r="AF2291" s="94">
        <f t="shared" si="1107"/>
        <v>7076634.4827586226</v>
      </c>
      <c r="AG2291" s="94">
        <f t="shared" si="1108"/>
        <v>7297406.8965517245</v>
      </c>
      <c r="AH2291" s="94">
        <f t="shared" si="1109"/>
        <v>7510593.1034482764</v>
      </c>
      <c r="AI2291" s="94">
        <f t="shared" si="1110"/>
        <v>6997158.6206896566</v>
      </c>
      <c r="AJ2291" s="94">
        <f t="shared" si="1111"/>
        <v>6334910.3448275868</v>
      </c>
      <c r="AK2291" s="94">
        <f t="shared" si="1112"/>
        <v>6751103.4482758623</v>
      </c>
      <c r="AL2291" s="94">
        <f t="shared" si="1113"/>
        <v>6477434.4827586226</v>
      </c>
      <c r="AM2291" s="94">
        <f t="shared" si="1114"/>
        <v>6543503.4482758632</v>
      </c>
      <c r="AN2291" s="94">
        <f t="shared" si="1115"/>
        <v>6683282.7586206915</v>
      </c>
      <c r="AO2291" s="94">
        <f t="shared" si="1116"/>
        <v>7831172.4137931066</v>
      </c>
      <c r="AP2291" s="94">
        <f t="shared" si="1117"/>
        <v>6191406.8965517236</v>
      </c>
      <c r="AQ2291" s="94">
        <f t="shared" si="1118"/>
        <v>6511655.1724137953</v>
      </c>
      <c r="AR2291" s="94">
        <f t="shared" si="1119"/>
        <v>6652786.2068965528</v>
      </c>
      <c r="AS2291" s="94">
        <f t="shared" si="1120"/>
        <v>7262800.0000000009</v>
      </c>
      <c r="AT2291" s="94">
        <f t="shared" si="1121"/>
        <v>6031572.4137931038</v>
      </c>
      <c r="AU2291" s="94">
        <f t="shared" si="1122"/>
        <v>6907931.0344827594</v>
      </c>
      <c r="AV2291" s="94">
        <f t="shared" si="1123"/>
        <v>6376441.3793103443</v>
      </c>
      <c r="AW2291" s="94">
        <f t="shared" si="1124"/>
        <v>6169793.1034482755</v>
      </c>
      <c r="AX2291" s="94">
        <f t="shared" si="1125"/>
        <v>5923213.793103449</v>
      </c>
      <c r="AY2291" s="94">
        <f t="shared" si="1126"/>
        <v>6507351.7241379321</v>
      </c>
      <c r="AZ2291" s="94">
        <f t="shared" si="1127"/>
        <v>5445834.4827586226</v>
      </c>
      <c r="BA2291" s="94">
        <f t="shared" si="1128"/>
        <v>5950979.3103448283</v>
      </c>
      <c r="BB2291" s="94">
        <f t="shared" si="1129"/>
        <v>5612234.4827586208</v>
      </c>
      <c r="BC2291" s="94">
        <f t="shared" si="1130"/>
        <v>5796324.1379310349</v>
      </c>
      <c r="BD2291" s="94">
        <f t="shared" si="1131"/>
        <v>5681406.8965517245</v>
      </c>
      <c r="BE2291" s="94">
        <f t="shared" si="1132"/>
        <v>5348551.7241379311</v>
      </c>
      <c r="BF2291" s="94">
        <f t="shared" si="1133"/>
        <v>5811255.1724137943</v>
      </c>
      <c r="BG2291" s="94">
        <f t="shared" si="1134"/>
        <v>5585972.4137931038</v>
      </c>
      <c r="BH2291" s="94">
        <f t="shared" si="1135"/>
        <v>6528565.5172413802</v>
      </c>
      <c r="BI2291" s="94">
        <f t="shared" si="1136"/>
        <v>5534372.4137931038</v>
      </c>
      <c r="BJ2291" s="94">
        <f t="shared" si="1137"/>
        <v>6091144.8275862075</v>
      </c>
      <c r="BK2291" s="94">
        <f t="shared" si="1138"/>
        <v>6086786.2068965528</v>
      </c>
      <c r="BL2291" s="94">
        <f t="shared" si="1139"/>
        <v>6335006.8965517245</v>
      </c>
      <c r="BM2291" s="94">
        <f t="shared" si="1140"/>
        <v>6127172.4137931047</v>
      </c>
      <c r="BN2291" s="94">
        <f t="shared" si="1141"/>
        <v>6197351.7241379321</v>
      </c>
      <c r="BO2291" s="94">
        <f t="shared" si="1142"/>
        <v>6477662.068965517</v>
      </c>
      <c r="BP2291" s="94">
        <f t="shared" si="1143"/>
        <v>5592758.6206896557</v>
      </c>
      <c r="BQ2291" s="94">
        <f t="shared" si="1144"/>
        <v>4664758.6206896566</v>
      </c>
      <c r="BR2291" s="94">
        <f t="shared" si="1145"/>
        <v>4306124.1379310349</v>
      </c>
      <c r="BS2291" s="94">
        <f t="shared" si="1146"/>
        <v>4552248.2758620689</v>
      </c>
      <c r="BT2291" s="94">
        <f t="shared" si="1147"/>
        <v>5299379.3103448274</v>
      </c>
      <c r="BU2291" s="94">
        <f t="shared" si="1148"/>
        <v>5633793.1034482764</v>
      </c>
      <c r="BV2291" s="94">
        <f t="shared" si="1149"/>
        <v>5074000.0000000009</v>
      </c>
      <c r="BW2291" s="94">
        <f t="shared" si="1150"/>
        <v>5303641.3793103453</v>
      </c>
      <c r="BX2291" s="94">
        <f t="shared" si="1151"/>
        <v>5363434.4827586208</v>
      </c>
      <c r="BY2291" s="94">
        <f t="shared" si="1152"/>
        <v>5144482.7586206906</v>
      </c>
      <c r="BZ2291" s="94">
        <f t="shared" si="1153"/>
        <v>5368551.7241379311</v>
      </c>
      <c r="CA2291" s="94">
        <f t="shared" si="1154"/>
        <v>5910193.1034482764</v>
      </c>
      <c r="CB2291" s="94">
        <f t="shared" si="1155"/>
        <v>6046303.4482758623</v>
      </c>
      <c r="CC2291" s="94">
        <f t="shared" si="1156"/>
        <v>5543682.7586206906</v>
      </c>
      <c r="CD2291" s="94">
        <f t="shared" si="1157"/>
        <v>5912662.068965517</v>
      </c>
      <c r="CE2291" s="94">
        <f t="shared" si="1158"/>
        <v>4526427.5862068962</v>
      </c>
      <c r="CF2291" s="94">
        <f>CF2290*16%</f>
        <v>474201928.3255173</v>
      </c>
      <c r="CG2291" s="139">
        <f>+CEDRITOS!$CF2291/82</f>
        <v>5782950.3454331374</v>
      </c>
    </row>
    <row r="2292" spans="1:85" x14ac:dyDescent="0.25">
      <c r="A2292" s="220" t="s">
        <v>34</v>
      </c>
      <c r="B2292" s="202">
        <f t="shared" si="1079"/>
        <v>19199200.000000004</v>
      </c>
      <c r="C2292" s="202">
        <f t="shared" si="1080"/>
        <v>27602600</v>
      </c>
      <c r="D2292" s="202">
        <f t="shared" si="1081"/>
        <v>30508100.000000004</v>
      </c>
      <c r="E2292" s="202">
        <f t="shared" si="1082"/>
        <v>25093900</v>
      </c>
      <c r="F2292" s="202">
        <v>26577100</v>
      </c>
      <c r="G2292" s="202">
        <v>29869100.000000004</v>
      </c>
      <c r="H2292" s="202">
        <f>H2290+H2291</f>
        <v>34351100</v>
      </c>
      <c r="I2292" s="202">
        <f t="shared" si="1084"/>
        <v>35927500</v>
      </c>
      <c r="J2292" s="202">
        <f t="shared" si="1085"/>
        <v>39549200.000000007</v>
      </c>
      <c r="K2292" s="202">
        <f t="shared" si="1086"/>
        <v>35107500</v>
      </c>
      <c r="L2292" s="202">
        <f t="shared" si="1087"/>
        <v>40064100</v>
      </c>
      <c r="M2292" s="202">
        <f t="shared" si="1088"/>
        <v>38935400</v>
      </c>
      <c r="N2292" s="202">
        <f t="shared" si="1089"/>
        <v>38616700</v>
      </c>
      <c r="O2292" s="202">
        <f t="shared" si="1090"/>
        <v>43984200.000000007</v>
      </c>
      <c r="P2292" s="202">
        <f t="shared" si="1091"/>
        <v>38442899.999999993</v>
      </c>
      <c r="Q2292" s="202">
        <f t="shared" si="1092"/>
        <v>38204100.000000007</v>
      </c>
      <c r="R2292" s="202">
        <f t="shared" si="1093"/>
        <v>34352800</v>
      </c>
      <c r="S2292" s="202">
        <f t="shared" si="1094"/>
        <v>36955700.000000007</v>
      </c>
      <c r="T2292" s="202">
        <f t="shared" si="1095"/>
        <v>45537600.000000007</v>
      </c>
      <c r="U2292" s="202">
        <f t="shared" si="1096"/>
        <v>43163599.999999993</v>
      </c>
      <c r="V2292" s="202">
        <f t="shared" si="1097"/>
        <v>44506300</v>
      </c>
      <c r="W2292" s="202">
        <f t="shared" si="1098"/>
        <v>45764100.000000007</v>
      </c>
      <c r="X2292" s="202">
        <f t="shared" si="1099"/>
        <v>45119000</v>
      </c>
      <c r="Y2292" s="202">
        <f t="shared" si="1100"/>
        <v>46435790.000000015</v>
      </c>
      <c r="Z2292" s="202">
        <f t="shared" si="1101"/>
        <v>47242400.000000007</v>
      </c>
      <c r="AA2292" s="202">
        <f t="shared" si="1102"/>
        <v>52096900.000000007</v>
      </c>
      <c r="AB2292" s="202">
        <f t="shared" si="1103"/>
        <v>49205200</v>
      </c>
      <c r="AC2292" s="202">
        <f t="shared" si="1104"/>
        <v>40216300.000000007</v>
      </c>
      <c r="AD2292" s="202">
        <f t="shared" si="1105"/>
        <v>50376200.000000007</v>
      </c>
      <c r="AE2292" s="202">
        <f t="shared" si="1106"/>
        <v>50533300</v>
      </c>
      <c r="AF2292" s="202">
        <f t="shared" si="1107"/>
        <v>51305600.000000015</v>
      </c>
      <c r="AG2292" s="202">
        <f t="shared" si="1108"/>
        <v>52906200</v>
      </c>
      <c r="AH2292" s="202">
        <f t="shared" si="1109"/>
        <v>54451800.000000007</v>
      </c>
      <c r="AI2292" s="202">
        <f t="shared" si="1110"/>
        <v>50729400.000000015</v>
      </c>
      <c r="AJ2292" s="202">
        <f t="shared" si="1111"/>
        <v>45928100</v>
      </c>
      <c r="AK2292" s="202">
        <f t="shared" si="1112"/>
        <v>48945500</v>
      </c>
      <c r="AL2292" s="202">
        <f t="shared" si="1113"/>
        <v>46961400.000000015</v>
      </c>
      <c r="AM2292" s="202">
        <f t="shared" si="1114"/>
        <v>47440400.000000007</v>
      </c>
      <c r="AN2292" s="202">
        <f t="shared" si="1115"/>
        <v>48453800.000000015</v>
      </c>
      <c r="AO2292" s="202">
        <f t="shared" si="1116"/>
        <v>56776000.000000022</v>
      </c>
      <c r="AP2292" s="202">
        <f t="shared" si="1117"/>
        <v>44887699.999999993</v>
      </c>
      <c r="AQ2292" s="202">
        <f t="shared" si="1118"/>
        <v>47209500.000000015</v>
      </c>
      <c r="AR2292" s="202">
        <f t="shared" si="1119"/>
        <v>48232700.000000007</v>
      </c>
      <c r="AS2292" s="202">
        <f t="shared" si="1120"/>
        <v>52655300.000000007</v>
      </c>
      <c r="AT2292" s="202">
        <f t="shared" si="1121"/>
        <v>43728900</v>
      </c>
      <c r="AU2292" s="202">
        <f t="shared" si="1122"/>
        <v>50082500.000000007</v>
      </c>
      <c r="AV2292" s="202">
        <f t="shared" si="1123"/>
        <v>46229200</v>
      </c>
      <c r="AW2292" s="202">
        <f t="shared" si="1124"/>
        <v>44731000</v>
      </c>
      <c r="AX2292" s="202">
        <f t="shared" si="1125"/>
        <v>42943300.000000007</v>
      </c>
      <c r="AY2292" s="202">
        <f t="shared" si="1126"/>
        <v>47178300.000000007</v>
      </c>
      <c r="AZ2292" s="202">
        <f t="shared" si="1127"/>
        <v>39482300.000000015</v>
      </c>
      <c r="BA2292" s="202">
        <f t="shared" si="1128"/>
        <v>43144600.000000007</v>
      </c>
      <c r="BB2292" s="202">
        <f t="shared" si="1129"/>
        <v>40688700</v>
      </c>
      <c r="BC2292" s="202">
        <f t="shared" si="1130"/>
        <v>42023350</v>
      </c>
      <c r="BD2292" s="202">
        <f t="shared" si="1131"/>
        <v>41190200</v>
      </c>
      <c r="BE2292" s="202">
        <f t="shared" si="1132"/>
        <v>38777000</v>
      </c>
      <c r="BF2292" s="202">
        <f t="shared" si="1133"/>
        <v>42131600.000000007</v>
      </c>
      <c r="BG2292" s="202">
        <f t="shared" si="1134"/>
        <v>40498300</v>
      </c>
      <c r="BH2292" s="202">
        <f t="shared" si="1135"/>
        <v>47332100.000000007</v>
      </c>
      <c r="BI2292" s="202">
        <f t="shared" si="1136"/>
        <v>40124200</v>
      </c>
      <c r="BJ2292" s="202">
        <f t="shared" si="1137"/>
        <v>44160800</v>
      </c>
      <c r="BK2292" s="202">
        <f t="shared" si="1138"/>
        <v>44129200.000000007</v>
      </c>
      <c r="BL2292" s="202">
        <f t="shared" si="1139"/>
        <v>45928800</v>
      </c>
      <c r="BM2292" s="202">
        <f t="shared" si="1140"/>
        <v>44422000.000000007</v>
      </c>
      <c r="BN2292" s="202">
        <f t="shared" si="1141"/>
        <v>44930800.000000007</v>
      </c>
      <c r="BO2292" s="202">
        <f t="shared" si="1142"/>
        <v>46963050</v>
      </c>
      <c r="BP2292" s="202">
        <f t="shared" si="1143"/>
        <v>40547500</v>
      </c>
      <c r="BQ2292" s="202">
        <f t="shared" si="1144"/>
        <v>33819500.000000007</v>
      </c>
      <c r="BR2292" s="202">
        <f t="shared" si="1145"/>
        <v>31219400.000000004</v>
      </c>
      <c r="BS2292" s="202">
        <f t="shared" si="1146"/>
        <v>33003800</v>
      </c>
      <c r="BT2292" s="202">
        <f t="shared" si="1147"/>
        <v>38420500</v>
      </c>
      <c r="BU2292" s="202">
        <f t="shared" si="1148"/>
        <v>40845000.000000007</v>
      </c>
      <c r="BV2292" s="202">
        <f t="shared" si="1149"/>
        <v>36786500.000000007</v>
      </c>
      <c r="BW2292" s="202">
        <f t="shared" si="1150"/>
        <v>38451400</v>
      </c>
      <c r="BX2292" s="202">
        <f t="shared" si="1151"/>
        <v>38884900</v>
      </c>
      <c r="BY2292" s="202">
        <f t="shared" si="1152"/>
        <v>37297500</v>
      </c>
      <c r="BZ2292" s="202">
        <f t="shared" si="1153"/>
        <v>38922000</v>
      </c>
      <c r="CA2292" s="202">
        <f t="shared" si="1154"/>
        <v>42848900.000000007</v>
      </c>
      <c r="CB2292" s="202">
        <f t="shared" si="1155"/>
        <v>43835700</v>
      </c>
      <c r="CC2292" s="202">
        <f t="shared" si="1156"/>
        <v>40191700</v>
      </c>
      <c r="CD2292" s="202">
        <f t="shared" si="1157"/>
        <v>42866800</v>
      </c>
      <c r="CE2292" s="202">
        <f t="shared" si="1158"/>
        <v>32816600</v>
      </c>
      <c r="CF2292" s="202">
        <f>CF2290+CF2291</f>
        <v>3437963980.3600001</v>
      </c>
      <c r="CG2292" s="285">
        <f>+CEDRITOS!$CF2292/82</f>
        <v>41926390.004390247</v>
      </c>
    </row>
    <row r="2294" spans="1:85" ht="26.25" x14ac:dyDescent="0.25">
      <c r="B2294" s="1002" t="s">
        <v>401</v>
      </c>
      <c r="C2294" s="1002"/>
      <c r="D2294" s="1002"/>
      <c r="E2294" s="1002"/>
      <c r="F2294" s="1002"/>
      <c r="G2294" s="1002"/>
      <c r="H2294" s="1002"/>
    </row>
    <row r="2295" spans="1:85" ht="15.75" x14ac:dyDescent="0.25">
      <c r="A2295" s="187" t="s">
        <v>2</v>
      </c>
      <c r="B2295" s="50" t="s">
        <v>353</v>
      </c>
      <c r="C2295" s="50" t="s">
        <v>354</v>
      </c>
      <c r="D2295" s="50" t="s">
        <v>355</v>
      </c>
      <c r="E2295" s="50" t="s">
        <v>356</v>
      </c>
      <c r="F2295" s="50" t="s">
        <v>357</v>
      </c>
      <c r="G2295" s="50" t="s">
        <v>69</v>
      </c>
      <c r="H2295" s="50" t="s">
        <v>358</v>
      </c>
      <c r="I2295" s="50" t="s">
        <v>359</v>
      </c>
      <c r="J2295" s="50" t="s">
        <v>98</v>
      </c>
      <c r="K2295" s="50" t="s">
        <v>106</v>
      </c>
      <c r="L2295" s="50" t="s">
        <v>114</v>
      </c>
      <c r="M2295" s="50" t="s">
        <v>122</v>
      </c>
      <c r="N2295" s="50" t="s">
        <v>130</v>
      </c>
      <c r="O2295" s="50" t="s">
        <v>138</v>
      </c>
      <c r="P2295" s="50" t="s">
        <v>146</v>
      </c>
      <c r="Q2295" s="50" t="s">
        <v>154</v>
      </c>
      <c r="R2295" s="50" t="s">
        <v>162</v>
      </c>
      <c r="S2295" s="50" t="s">
        <v>166</v>
      </c>
      <c r="T2295" s="50" t="s">
        <v>169</v>
      </c>
      <c r="U2295" s="50" t="s">
        <v>360</v>
      </c>
      <c r="V2295" s="50" t="s">
        <v>361</v>
      </c>
      <c r="W2295" s="50" t="s">
        <v>362</v>
      </c>
      <c r="X2295" s="50" t="s">
        <v>363</v>
      </c>
      <c r="Y2295" s="50" t="s">
        <v>364</v>
      </c>
      <c r="Z2295" s="50" t="s">
        <v>365</v>
      </c>
      <c r="AA2295" s="50" t="str">
        <f t="shared" ref="AA2295:CE2295" si="1160">+AA2268</f>
        <v>SEMANA 26</v>
      </c>
      <c r="AB2295" s="50" t="str">
        <f t="shared" si="1160"/>
        <v>SEMANA 27</v>
      </c>
      <c r="AC2295" s="50" t="str">
        <f t="shared" si="1160"/>
        <v>SEMANA 28</v>
      </c>
      <c r="AD2295" s="50" t="str">
        <f t="shared" si="1160"/>
        <v>SEMANA 29</v>
      </c>
      <c r="AE2295" s="50" t="str">
        <f t="shared" si="1160"/>
        <v>SEMANA 30</v>
      </c>
      <c r="AF2295" s="50" t="str">
        <f t="shared" si="1160"/>
        <v>SEMANA 31</v>
      </c>
      <c r="AG2295" s="50" t="str">
        <f t="shared" si="1160"/>
        <v>SEMANA 32</v>
      </c>
      <c r="AH2295" s="50" t="str">
        <f t="shared" si="1160"/>
        <v>SEMANA 33</v>
      </c>
      <c r="AI2295" s="50" t="str">
        <f t="shared" si="1160"/>
        <v>SEMANA 34</v>
      </c>
      <c r="AJ2295" s="50" t="str">
        <f t="shared" si="1160"/>
        <v>SEMANA 35</v>
      </c>
      <c r="AK2295" s="50" t="str">
        <f t="shared" si="1160"/>
        <v>SEMANA 36</v>
      </c>
      <c r="AL2295" s="50" t="str">
        <f t="shared" si="1160"/>
        <v>SEMANA 37</v>
      </c>
      <c r="AM2295" s="50" t="str">
        <f t="shared" si="1160"/>
        <v>SEMANA 38</v>
      </c>
      <c r="AN2295" s="50" t="str">
        <f t="shared" si="1160"/>
        <v>SEMANA 39</v>
      </c>
      <c r="AO2295" s="50" t="str">
        <f t="shared" si="1160"/>
        <v>SEMANA 40</v>
      </c>
      <c r="AP2295" s="50" t="str">
        <f t="shared" si="1160"/>
        <v>SEMANA 41</v>
      </c>
      <c r="AQ2295" s="50" t="str">
        <f t="shared" si="1160"/>
        <v>SEMANA 42</v>
      </c>
      <c r="AR2295" s="50" t="str">
        <f t="shared" si="1160"/>
        <v>SEMANA 43</v>
      </c>
      <c r="AS2295" s="50" t="str">
        <f t="shared" si="1160"/>
        <v>SEMANA 44</v>
      </c>
      <c r="AT2295" s="50" t="str">
        <f t="shared" si="1160"/>
        <v>SEMANA 45</v>
      </c>
      <c r="AU2295" s="50" t="str">
        <f t="shared" si="1160"/>
        <v>SEMANA 46</v>
      </c>
      <c r="AV2295" s="50" t="str">
        <f t="shared" si="1160"/>
        <v>SEMANA 47</v>
      </c>
      <c r="AW2295" s="50" t="str">
        <f t="shared" si="1160"/>
        <v>SEMANA 48</v>
      </c>
      <c r="AX2295" s="50" t="str">
        <f t="shared" si="1160"/>
        <v>SEMANA 49</v>
      </c>
      <c r="AY2295" s="50" t="str">
        <f t="shared" si="1160"/>
        <v>SEMANA 50</v>
      </c>
      <c r="AZ2295" s="50" t="str">
        <f t="shared" si="1160"/>
        <v>SEMANA 51</v>
      </c>
      <c r="BA2295" s="50" t="str">
        <f t="shared" si="1160"/>
        <v>SEMANA 52</v>
      </c>
      <c r="BB2295" s="50" t="str">
        <f t="shared" si="1160"/>
        <v>SEMANA 53</v>
      </c>
      <c r="BC2295" s="50" t="str">
        <f t="shared" ref="BC2295:CD2295" si="1161">+BC2268</f>
        <v>SEMANA 54</v>
      </c>
      <c r="BD2295" s="50" t="str">
        <f t="shared" si="1161"/>
        <v>SEMANA 55</v>
      </c>
      <c r="BE2295" s="50" t="str">
        <f t="shared" si="1161"/>
        <v>SEMANA 56</v>
      </c>
      <c r="BF2295" s="50" t="str">
        <f t="shared" si="1161"/>
        <v>SEMANA 57</v>
      </c>
      <c r="BG2295" s="50" t="str">
        <f t="shared" si="1161"/>
        <v>SEMANA 58</v>
      </c>
      <c r="BH2295" s="50" t="str">
        <f t="shared" si="1161"/>
        <v>SEMANA 59</v>
      </c>
      <c r="BI2295" s="50" t="str">
        <f t="shared" si="1161"/>
        <v>SEMANA 60</v>
      </c>
      <c r="BJ2295" s="50" t="str">
        <f t="shared" si="1161"/>
        <v>SEMANA 61</v>
      </c>
      <c r="BK2295" s="50" t="str">
        <f t="shared" si="1161"/>
        <v>SEMANA 62</v>
      </c>
      <c r="BL2295" s="50" t="str">
        <f t="shared" si="1161"/>
        <v>SEMANA 63</v>
      </c>
      <c r="BM2295" s="50" t="str">
        <f t="shared" si="1161"/>
        <v>SEMANA 64</v>
      </c>
      <c r="BN2295" s="50" t="str">
        <f t="shared" si="1161"/>
        <v>SEMANA 65</v>
      </c>
      <c r="BO2295" s="50" t="str">
        <f t="shared" si="1161"/>
        <v>SEMANA 66</v>
      </c>
      <c r="BP2295" s="50" t="str">
        <f t="shared" si="1161"/>
        <v>SEMANA 67</v>
      </c>
      <c r="BQ2295" s="50" t="str">
        <f t="shared" si="1161"/>
        <v>SEMANA 68</v>
      </c>
      <c r="BR2295" s="50" t="str">
        <f t="shared" si="1161"/>
        <v>SEMANA 69</v>
      </c>
      <c r="BS2295" s="50" t="str">
        <f t="shared" si="1161"/>
        <v>SEMANA 70</v>
      </c>
      <c r="BT2295" s="50" t="str">
        <f t="shared" si="1161"/>
        <v>SEMANA 71</v>
      </c>
      <c r="BU2295" s="50" t="str">
        <f t="shared" si="1161"/>
        <v>SEMANA 72</v>
      </c>
      <c r="BV2295" s="50" t="str">
        <f t="shared" si="1161"/>
        <v>SEMANA 73</v>
      </c>
      <c r="BW2295" s="50" t="str">
        <f t="shared" si="1161"/>
        <v>SEMANA 74</v>
      </c>
      <c r="BX2295" s="50" t="str">
        <f t="shared" si="1161"/>
        <v>SEMANA 75</v>
      </c>
      <c r="BY2295" s="50" t="str">
        <f t="shared" si="1161"/>
        <v>SEMANA 76</v>
      </c>
      <c r="BZ2295" s="50" t="str">
        <f t="shared" si="1161"/>
        <v>SEMANA 77</v>
      </c>
      <c r="CA2295" s="50" t="str">
        <f t="shared" si="1161"/>
        <v>SEMANA 78</v>
      </c>
      <c r="CB2295" s="50" t="str">
        <f t="shared" si="1161"/>
        <v>SEMANA 79</v>
      </c>
      <c r="CC2295" s="50" t="str">
        <f t="shared" si="1161"/>
        <v>SEMANA 80</v>
      </c>
      <c r="CD2295" s="50" t="str">
        <f t="shared" si="1161"/>
        <v>SEMANA 81</v>
      </c>
      <c r="CE2295" s="50" t="str">
        <f t="shared" si="1160"/>
        <v>SEMANA 82</v>
      </c>
      <c r="CF2295" s="50" t="s">
        <v>96</v>
      </c>
      <c r="CG2295" s="52" t="s">
        <v>400</v>
      </c>
    </row>
    <row r="2296" spans="1:85" x14ac:dyDescent="0.25">
      <c r="A2296" s="336" t="s">
        <v>11</v>
      </c>
      <c r="B2296" s="56">
        <v>669</v>
      </c>
      <c r="C2296" s="56">
        <v>967</v>
      </c>
      <c r="D2296" s="56">
        <v>1005</v>
      </c>
      <c r="E2296" s="56">
        <v>824</v>
      </c>
      <c r="F2296" s="57">
        <v>834</v>
      </c>
      <c r="G2296" s="57">
        <v>947</v>
      </c>
      <c r="H2296" s="57">
        <v>1109</v>
      </c>
      <c r="I2296" s="389">
        <f>+I2269</f>
        <v>1168</v>
      </c>
      <c r="J2296" s="389">
        <f>+J2269</f>
        <v>1315</v>
      </c>
      <c r="K2296" s="389">
        <f>+K2269</f>
        <v>1137</v>
      </c>
      <c r="L2296" s="58">
        <f t="shared" ref="L2296:Q2296" si="1162">L2269</f>
        <v>1122</v>
      </c>
      <c r="M2296" s="58">
        <f t="shared" si="1162"/>
        <v>940</v>
      </c>
      <c r="N2296" s="58">
        <f t="shared" si="1162"/>
        <v>972</v>
      </c>
      <c r="O2296" s="58">
        <f t="shared" si="1162"/>
        <v>1423</v>
      </c>
      <c r="P2296" s="58">
        <f t="shared" si="1162"/>
        <v>1312</v>
      </c>
      <c r="Q2296" s="58">
        <f t="shared" si="1162"/>
        <v>1256</v>
      </c>
      <c r="R2296" s="58">
        <f t="shared" ref="R2296:W2296" si="1163">R2269</f>
        <v>1103</v>
      </c>
      <c r="S2296" s="58">
        <f t="shared" si="1163"/>
        <v>1206</v>
      </c>
      <c r="T2296" s="58">
        <f t="shared" si="1163"/>
        <v>1540</v>
      </c>
      <c r="U2296" s="58">
        <f t="shared" si="1163"/>
        <v>1414</v>
      </c>
      <c r="V2296" s="58">
        <f t="shared" si="1163"/>
        <v>1458</v>
      </c>
      <c r="W2296" s="58">
        <f t="shared" si="1163"/>
        <v>1494</v>
      </c>
      <c r="X2296" s="58">
        <f t="shared" ref="X2296:CE2296" si="1164">X2269</f>
        <v>1516</v>
      </c>
      <c r="Y2296" s="58">
        <f t="shared" si="1164"/>
        <v>1529</v>
      </c>
      <c r="Z2296" s="58">
        <f t="shared" si="1164"/>
        <v>1468</v>
      </c>
      <c r="AA2296" s="58">
        <f t="shared" si="1164"/>
        <v>1692</v>
      </c>
      <c r="AB2296" s="58">
        <f t="shared" si="1164"/>
        <v>1595</v>
      </c>
      <c r="AC2296" s="58">
        <f t="shared" si="1164"/>
        <v>1305</v>
      </c>
      <c r="AD2296" s="58">
        <f t="shared" si="1164"/>
        <v>1654</v>
      </c>
      <c r="AE2296" s="58">
        <f t="shared" si="1164"/>
        <v>1770</v>
      </c>
      <c r="AF2296" s="58">
        <f t="shared" si="1164"/>
        <v>1787</v>
      </c>
      <c r="AG2296" s="58">
        <f t="shared" si="1164"/>
        <v>1838</v>
      </c>
      <c r="AH2296" s="58">
        <f t="shared" si="1164"/>
        <v>1914</v>
      </c>
      <c r="AI2296" s="58">
        <f t="shared" si="1164"/>
        <v>1743</v>
      </c>
      <c r="AJ2296" s="58">
        <f t="shared" si="1164"/>
        <v>1618</v>
      </c>
      <c r="AK2296" s="58">
        <f t="shared" si="1164"/>
        <v>1615</v>
      </c>
      <c r="AL2296" s="58">
        <f t="shared" si="1164"/>
        <v>1584</v>
      </c>
      <c r="AM2296" s="58">
        <f t="shared" si="1164"/>
        <v>1554</v>
      </c>
      <c r="AN2296" s="58">
        <f t="shared" si="1164"/>
        <v>1595</v>
      </c>
      <c r="AO2296" s="58">
        <f t="shared" si="1164"/>
        <v>1823</v>
      </c>
      <c r="AP2296" s="58">
        <f t="shared" si="1164"/>
        <v>1542</v>
      </c>
      <c r="AQ2296" s="58">
        <f t="shared" si="1164"/>
        <v>1562</v>
      </c>
      <c r="AR2296" s="58">
        <f t="shared" si="1164"/>
        <v>1669</v>
      </c>
      <c r="AS2296" s="58">
        <f t="shared" si="1164"/>
        <v>1833</v>
      </c>
      <c r="AT2296" s="58">
        <f t="shared" si="1164"/>
        <v>1524</v>
      </c>
      <c r="AU2296" s="58">
        <f t="shared" si="1164"/>
        <v>1789</v>
      </c>
      <c r="AV2296" s="58">
        <f t="shared" si="1164"/>
        <v>1604</v>
      </c>
      <c r="AW2296" s="58">
        <f t="shared" si="1164"/>
        <v>1547</v>
      </c>
      <c r="AX2296" s="58">
        <f t="shared" si="1164"/>
        <v>1480</v>
      </c>
      <c r="AY2296" s="58">
        <f t="shared" si="1164"/>
        <v>1594</v>
      </c>
      <c r="AZ2296" s="58">
        <f t="shared" si="1164"/>
        <v>1385</v>
      </c>
      <c r="BA2296" s="58">
        <f t="shared" si="1164"/>
        <v>1491</v>
      </c>
      <c r="BB2296" s="58">
        <f t="shared" si="1164"/>
        <v>1417</v>
      </c>
      <c r="BC2296" s="58">
        <f t="shared" ref="BC2296:CD2296" si="1165">BC2269</f>
        <v>1474</v>
      </c>
      <c r="BD2296" s="58">
        <f t="shared" si="1165"/>
        <v>1436</v>
      </c>
      <c r="BE2296" s="58">
        <f t="shared" si="1165"/>
        <v>1364</v>
      </c>
      <c r="BF2296" s="58">
        <f t="shared" si="1165"/>
        <v>1485</v>
      </c>
      <c r="BG2296" s="58">
        <f t="shared" si="1165"/>
        <v>1400</v>
      </c>
      <c r="BH2296" s="58">
        <f t="shared" si="1165"/>
        <v>1646</v>
      </c>
      <c r="BI2296" s="58">
        <f t="shared" si="1165"/>
        <v>1409</v>
      </c>
      <c r="BJ2296" s="58">
        <f t="shared" si="1165"/>
        <v>1502</v>
      </c>
      <c r="BK2296" s="58">
        <f t="shared" si="1165"/>
        <v>1540</v>
      </c>
      <c r="BL2296" s="58">
        <f t="shared" si="1165"/>
        <v>1573</v>
      </c>
      <c r="BM2296" s="58">
        <f t="shared" si="1165"/>
        <v>1562</v>
      </c>
      <c r="BN2296" s="58">
        <f t="shared" si="1165"/>
        <v>1513</v>
      </c>
      <c r="BO2296" s="58">
        <f t="shared" si="1165"/>
        <v>1617</v>
      </c>
      <c r="BP2296" s="58">
        <f t="shared" si="1165"/>
        <v>1385</v>
      </c>
      <c r="BQ2296" s="58">
        <f t="shared" si="1165"/>
        <v>1138</v>
      </c>
      <c r="BR2296" s="58">
        <f t="shared" si="1165"/>
        <v>1078</v>
      </c>
      <c r="BS2296" s="58">
        <f t="shared" si="1165"/>
        <v>1172</v>
      </c>
      <c r="BT2296" s="58">
        <f t="shared" si="1165"/>
        <v>1350</v>
      </c>
      <c r="BU2296" s="58">
        <f t="shared" si="1165"/>
        <v>1419</v>
      </c>
      <c r="BV2296" s="58">
        <f t="shared" si="1165"/>
        <v>1283</v>
      </c>
      <c r="BW2296" s="58">
        <f t="shared" si="1165"/>
        <v>1332</v>
      </c>
      <c r="BX2296" s="58">
        <f t="shared" si="1165"/>
        <v>1348</v>
      </c>
      <c r="BY2296" s="58">
        <f t="shared" si="1165"/>
        <v>1308</v>
      </c>
      <c r="BZ2296" s="58">
        <f t="shared" si="1165"/>
        <v>1334</v>
      </c>
      <c r="CA2296" s="58">
        <f t="shared" si="1165"/>
        <v>1462</v>
      </c>
      <c r="CB2296" s="58">
        <f t="shared" si="1165"/>
        <v>1498</v>
      </c>
      <c r="CC2296" s="58">
        <f t="shared" si="1165"/>
        <v>1395</v>
      </c>
      <c r="CD2296" s="58">
        <f t="shared" si="1165"/>
        <v>1498</v>
      </c>
      <c r="CE2296" s="58">
        <f t="shared" si="1164"/>
        <v>1146</v>
      </c>
      <c r="CF2296" s="56">
        <f>SUM(B2296:CE2296)</f>
        <v>115919</v>
      </c>
      <c r="CG2296" s="333">
        <f>CF2296/82</f>
        <v>1413.6463414634147</v>
      </c>
    </row>
    <row r="2297" spans="1:85" x14ac:dyDescent="0.25">
      <c r="A2297" s="103" t="s">
        <v>17</v>
      </c>
      <c r="B2297" s="192">
        <v>632</v>
      </c>
      <c r="C2297" s="192">
        <v>934</v>
      </c>
      <c r="D2297" s="192">
        <v>969</v>
      </c>
      <c r="E2297" s="192">
        <v>808</v>
      </c>
      <c r="F2297" s="192">
        <v>854</v>
      </c>
      <c r="G2297" s="192">
        <v>928</v>
      </c>
      <c r="H2297" s="192">
        <v>1101</v>
      </c>
      <c r="I2297" s="278">
        <f>+I2275</f>
        <v>1086</v>
      </c>
      <c r="J2297" s="278">
        <f>+J2275</f>
        <v>1303</v>
      </c>
      <c r="K2297" s="278">
        <f>+K2275</f>
        <v>1399</v>
      </c>
      <c r="L2297" s="192">
        <f t="shared" ref="L2297:Q2297" si="1166">L2275</f>
        <v>1404</v>
      </c>
      <c r="M2297" s="192">
        <f t="shared" si="1166"/>
        <v>1202</v>
      </c>
      <c r="N2297" s="192">
        <f t="shared" si="1166"/>
        <v>1246</v>
      </c>
      <c r="O2297" s="192">
        <f t="shared" si="1166"/>
        <v>1320</v>
      </c>
      <c r="P2297" s="192">
        <f t="shared" si="1166"/>
        <v>1179</v>
      </c>
      <c r="Q2297" s="192">
        <f t="shared" si="1166"/>
        <v>1055</v>
      </c>
      <c r="R2297" s="192">
        <f t="shared" ref="R2297:W2297" si="1167">R2275</f>
        <v>938</v>
      </c>
      <c r="S2297" s="192">
        <f t="shared" si="1167"/>
        <v>1038</v>
      </c>
      <c r="T2297" s="192">
        <f t="shared" si="1167"/>
        <v>1356</v>
      </c>
      <c r="U2297" s="192">
        <f t="shared" si="1167"/>
        <v>1201</v>
      </c>
      <c r="V2297" s="192">
        <f t="shared" si="1167"/>
        <v>1291</v>
      </c>
      <c r="W2297" s="192">
        <f t="shared" si="1167"/>
        <v>1322</v>
      </c>
      <c r="X2297" s="192">
        <f t="shared" ref="X2297:CE2297" si="1168">X2275</f>
        <v>1336</v>
      </c>
      <c r="Y2297" s="192">
        <f t="shared" si="1168"/>
        <v>1362</v>
      </c>
      <c r="Z2297" s="192">
        <f t="shared" si="1168"/>
        <v>1313</v>
      </c>
      <c r="AA2297" s="192">
        <f t="shared" si="1168"/>
        <v>1496</v>
      </c>
      <c r="AB2297" s="192">
        <f t="shared" si="1168"/>
        <v>1393</v>
      </c>
      <c r="AC2297" s="192">
        <f t="shared" si="1168"/>
        <v>1170</v>
      </c>
      <c r="AD2297" s="192">
        <f t="shared" si="1168"/>
        <v>1440</v>
      </c>
      <c r="AE2297" s="192">
        <f t="shared" si="1168"/>
        <v>1420</v>
      </c>
      <c r="AF2297" s="192">
        <f t="shared" si="1168"/>
        <v>1451</v>
      </c>
      <c r="AG2297" s="192">
        <f t="shared" si="1168"/>
        <v>1440</v>
      </c>
      <c r="AH2297" s="192">
        <f t="shared" si="1168"/>
        <v>1520</v>
      </c>
      <c r="AI2297" s="192">
        <f t="shared" si="1168"/>
        <v>1438</v>
      </c>
      <c r="AJ2297" s="192">
        <f t="shared" si="1168"/>
        <v>1263</v>
      </c>
      <c r="AK2297" s="192">
        <f t="shared" si="1168"/>
        <v>1355</v>
      </c>
      <c r="AL2297" s="192">
        <f t="shared" si="1168"/>
        <v>1303</v>
      </c>
      <c r="AM2297" s="192">
        <f t="shared" si="1168"/>
        <v>1279</v>
      </c>
      <c r="AN2297" s="192">
        <f t="shared" si="1168"/>
        <v>1363</v>
      </c>
      <c r="AO2297" s="192">
        <f t="shared" si="1168"/>
        <v>1531</v>
      </c>
      <c r="AP2297" s="192">
        <f t="shared" si="1168"/>
        <v>1231</v>
      </c>
      <c r="AQ2297" s="192">
        <f t="shared" si="1168"/>
        <v>1331</v>
      </c>
      <c r="AR2297" s="192">
        <f t="shared" si="1168"/>
        <v>1349</v>
      </c>
      <c r="AS2297" s="192">
        <f t="shared" si="1168"/>
        <v>1418</v>
      </c>
      <c r="AT2297" s="192">
        <f t="shared" si="1168"/>
        <v>1163</v>
      </c>
      <c r="AU2297" s="192">
        <f t="shared" si="1168"/>
        <v>1366</v>
      </c>
      <c r="AV2297" s="192">
        <f t="shared" si="1168"/>
        <v>1274</v>
      </c>
      <c r="AW2297" s="192">
        <f t="shared" si="1168"/>
        <v>1228</v>
      </c>
      <c r="AX2297" s="192">
        <f t="shared" si="1168"/>
        <v>1179</v>
      </c>
      <c r="AY2297" s="192">
        <f t="shared" si="1168"/>
        <v>1279</v>
      </c>
      <c r="AZ2297" s="192">
        <f t="shared" si="1168"/>
        <v>1121</v>
      </c>
      <c r="BA2297" s="192">
        <f t="shared" si="1168"/>
        <v>1192</v>
      </c>
      <c r="BB2297" s="192">
        <f t="shared" si="1168"/>
        <v>1155</v>
      </c>
      <c r="BC2297" s="192">
        <f t="shared" ref="BC2297:CD2297" si="1169">BC2275</f>
        <v>1188</v>
      </c>
      <c r="BD2297" s="192">
        <f t="shared" si="1169"/>
        <v>1162</v>
      </c>
      <c r="BE2297" s="192">
        <f t="shared" si="1169"/>
        <v>1087</v>
      </c>
      <c r="BF2297" s="192">
        <f t="shared" si="1169"/>
        <v>1175</v>
      </c>
      <c r="BG2297" s="192">
        <f t="shared" si="1169"/>
        <v>1150</v>
      </c>
      <c r="BH2297" s="192">
        <f t="shared" si="1169"/>
        <v>1288</v>
      </c>
      <c r="BI2297" s="192">
        <f t="shared" si="1169"/>
        <v>1122</v>
      </c>
      <c r="BJ2297" s="192">
        <f t="shared" si="1169"/>
        <v>1197</v>
      </c>
      <c r="BK2297" s="192">
        <f t="shared" si="1169"/>
        <v>1217</v>
      </c>
      <c r="BL2297" s="192">
        <f t="shared" si="1169"/>
        <v>1266</v>
      </c>
      <c r="BM2297" s="192">
        <f t="shared" si="1169"/>
        <v>1243</v>
      </c>
      <c r="BN2297" s="192">
        <f t="shared" si="1169"/>
        <v>1233</v>
      </c>
      <c r="BO2297" s="192">
        <f t="shared" si="1169"/>
        <v>1273</v>
      </c>
      <c r="BP2297" s="192">
        <f t="shared" si="1169"/>
        <v>1111</v>
      </c>
      <c r="BQ2297" s="192">
        <f t="shared" si="1169"/>
        <v>901</v>
      </c>
      <c r="BR2297" s="192">
        <f t="shared" si="1169"/>
        <v>872</v>
      </c>
      <c r="BS2297" s="192">
        <f t="shared" si="1169"/>
        <v>937</v>
      </c>
      <c r="BT2297" s="192">
        <f t="shared" si="1169"/>
        <v>1089</v>
      </c>
      <c r="BU2297" s="192">
        <f t="shared" si="1169"/>
        <v>1141</v>
      </c>
      <c r="BV2297" s="192">
        <f t="shared" si="1169"/>
        <v>1022</v>
      </c>
      <c r="BW2297" s="192">
        <f t="shared" si="1169"/>
        <v>1072</v>
      </c>
      <c r="BX2297" s="192">
        <f t="shared" si="1169"/>
        <v>1060</v>
      </c>
      <c r="BY2297" s="192">
        <f t="shared" si="1169"/>
        <v>1052</v>
      </c>
      <c r="BZ2297" s="192">
        <f t="shared" si="1169"/>
        <v>1069</v>
      </c>
      <c r="CA2297" s="192">
        <f t="shared" si="1169"/>
        <v>1206</v>
      </c>
      <c r="CB2297" s="192">
        <f t="shared" si="1169"/>
        <v>1202</v>
      </c>
      <c r="CC2297" s="192">
        <f t="shared" si="1169"/>
        <v>1122</v>
      </c>
      <c r="CD2297" s="192">
        <f t="shared" si="1169"/>
        <v>1192</v>
      </c>
      <c r="CE2297" s="192">
        <f t="shared" si="1168"/>
        <v>941</v>
      </c>
      <c r="CF2297" s="192">
        <f>SUM(B2297:CE2297)</f>
        <v>98315</v>
      </c>
      <c r="CG2297" s="193">
        <f>CF2297/82</f>
        <v>1198.9634146341464</v>
      </c>
    </row>
    <row r="2298" spans="1:85" ht="15.75" x14ac:dyDescent="0.25">
      <c r="A2298" s="187" t="s">
        <v>2</v>
      </c>
      <c r="B2298" s="50" t="s">
        <v>353</v>
      </c>
      <c r="C2298" s="50" t="s">
        <v>354</v>
      </c>
      <c r="D2298" s="50" t="s">
        <v>355</v>
      </c>
      <c r="E2298" s="50" t="s">
        <v>356</v>
      </c>
      <c r="F2298" s="50" t="s">
        <v>357</v>
      </c>
      <c r="G2298" s="50" t="s">
        <v>69</v>
      </c>
      <c r="H2298" s="50" t="s">
        <v>358</v>
      </c>
      <c r="I2298" s="50" t="s">
        <v>359</v>
      </c>
      <c r="J2298" s="50" t="s">
        <v>98</v>
      </c>
      <c r="K2298" s="50" t="s">
        <v>106</v>
      </c>
      <c r="L2298" s="50" t="s">
        <v>114</v>
      </c>
      <c r="M2298" s="50" t="s">
        <v>122</v>
      </c>
      <c r="N2298" s="50" t="s">
        <v>130</v>
      </c>
      <c r="O2298" s="50" t="s">
        <v>138</v>
      </c>
      <c r="P2298" s="50" t="s">
        <v>146</v>
      </c>
      <c r="Q2298" s="50" t="s">
        <v>154</v>
      </c>
      <c r="R2298" s="50" t="s">
        <v>162</v>
      </c>
      <c r="S2298" s="50" t="s">
        <v>166</v>
      </c>
      <c r="T2298" s="50" t="s">
        <v>169</v>
      </c>
      <c r="U2298" s="50" t="s">
        <v>360</v>
      </c>
      <c r="V2298" s="50" t="s">
        <v>361</v>
      </c>
      <c r="W2298" s="50" t="s">
        <v>362</v>
      </c>
      <c r="X2298" s="50" t="s">
        <v>363</v>
      </c>
      <c r="Y2298" s="50" t="s">
        <v>364</v>
      </c>
      <c r="Z2298" s="50" t="s">
        <v>365</v>
      </c>
      <c r="AA2298" s="50" t="str">
        <f t="shared" ref="AA2298:CE2298" si="1170">+AA2295</f>
        <v>SEMANA 26</v>
      </c>
      <c r="AB2298" s="50" t="str">
        <f t="shared" si="1170"/>
        <v>SEMANA 27</v>
      </c>
      <c r="AC2298" s="50" t="str">
        <f t="shared" si="1170"/>
        <v>SEMANA 28</v>
      </c>
      <c r="AD2298" s="50" t="str">
        <f t="shared" si="1170"/>
        <v>SEMANA 29</v>
      </c>
      <c r="AE2298" s="50" t="str">
        <f t="shared" si="1170"/>
        <v>SEMANA 30</v>
      </c>
      <c r="AF2298" s="50" t="str">
        <f t="shared" si="1170"/>
        <v>SEMANA 31</v>
      </c>
      <c r="AG2298" s="50" t="str">
        <f t="shared" si="1170"/>
        <v>SEMANA 32</v>
      </c>
      <c r="AH2298" s="50" t="str">
        <f t="shared" si="1170"/>
        <v>SEMANA 33</v>
      </c>
      <c r="AI2298" s="50" t="str">
        <f t="shared" si="1170"/>
        <v>SEMANA 34</v>
      </c>
      <c r="AJ2298" s="50" t="str">
        <f t="shared" si="1170"/>
        <v>SEMANA 35</v>
      </c>
      <c r="AK2298" s="50" t="str">
        <f t="shared" si="1170"/>
        <v>SEMANA 36</v>
      </c>
      <c r="AL2298" s="50" t="str">
        <f t="shared" si="1170"/>
        <v>SEMANA 37</v>
      </c>
      <c r="AM2298" s="50" t="str">
        <f t="shared" si="1170"/>
        <v>SEMANA 38</v>
      </c>
      <c r="AN2298" s="50" t="str">
        <f t="shared" si="1170"/>
        <v>SEMANA 39</v>
      </c>
      <c r="AO2298" s="50" t="str">
        <f t="shared" si="1170"/>
        <v>SEMANA 40</v>
      </c>
      <c r="AP2298" s="50" t="str">
        <f t="shared" si="1170"/>
        <v>SEMANA 41</v>
      </c>
      <c r="AQ2298" s="50" t="str">
        <f t="shared" si="1170"/>
        <v>SEMANA 42</v>
      </c>
      <c r="AR2298" s="50" t="str">
        <f t="shared" si="1170"/>
        <v>SEMANA 43</v>
      </c>
      <c r="AS2298" s="50" t="str">
        <f t="shared" si="1170"/>
        <v>SEMANA 44</v>
      </c>
      <c r="AT2298" s="50" t="str">
        <f t="shared" si="1170"/>
        <v>SEMANA 45</v>
      </c>
      <c r="AU2298" s="50" t="str">
        <f t="shared" si="1170"/>
        <v>SEMANA 46</v>
      </c>
      <c r="AV2298" s="50" t="str">
        <f t="shared" si="1170"/>
        <v>SEMANA 47</v>
      </c>
      <c r="AW2298" s="50" t="str">
        <f t="shared" si="1170"/>
        <v>SEMANA 48</v>
      </c>
      <c r="AX2298" s="50" t="str">
        <f t="shared" si="1170"/>
        <v>SEMANA 49</v>
      </c>
      <c r="AY2298" s="50" t="str">
        <f t="shared" si="1170"/>
        <v>SEMANA 50</v>
      </c>
      <c r="AZ2298" s="50" t="str">
        <f t="shared" si="1170"/>
        <v>SEMANA 51</v>
      </c>
      <c r="BA2298" s="50" t="str">
        <f t="shared" si="1170"/>
        <v>SEMANA 52</v>
      </c>
      <c r="BB2298" s="50" t="str">
        <f t="shared" si="1170"/>
        <v>SEMANA 53</v>
      </c>
      <c r="BC2298" s="50" t="str">
        <f t="shared" ref="BC2298:CD2298" si="1171">+BC2295</f>
        <v>SEMANA 54</v>
      </c>
      <c r="BD2298" s="50" t="str">
        <f t="shared" si="1171"/>
        <v>SEMANA 55</v>
      </c>
      <c r="BE2298" s="50" t="str">
        <f t="shared" si="1171"/>
        <v>SEMANA 56</v>
      </c>
      <c r="BF2298" s="50" t="str">
        <f t="shared" si="1171"/>
        <v>SEMANA 57</v>
      </c>
      <c r="BG2298" s="50" t="str">
        <f t="shared" si="1171"/>
        <v>SEMANA 58</v>
      </c>
      <c r="BH2298" s="50" t="str">
        <f t="shared" si="1171"/>
        <v>SEMANA 59</v>
      </c>
      <c r="BI2298" s="50" t="str">
        <f t="shared" si="1171"/>
        <v>SEMANA 60</v>
      </c>
      <c r="BJ2298" s="50" t="str">
        <f t="shared" si="1171"/>
        <v>SEMANA 61</v>
      </c>
      <c r="BK2298" s="50" t="str">
        <f t="shared" si="1171"/>
        <v>SEMANA 62</v>
      </c>
      <c r="BL2298" s="50" t="str">
        <f t="shared" si="1171"/>
        <v>SEMANA 63</v>
      </c>
      <c r="BM2298" s="50" t="str">
        <f t="shared" si="1171"/>
        <v>SEMANA 64</v>
      </c>
      <c r="BN2298" s="50" t="str">
        <f t="shared" si="1171"/>
        <v>SEMANA 65</v>
      </c>
      <c r="BO2298" s="50" t="str">
        <f t="shared" si="1171"/>
        <v>SEMANA 66</v>
      </c>
      <c r="BP2298" s="50" t="str">
        <f t="shared" si="1171"/>
        <v>SEMANA 67</v>
      </c>
      <c r="BQ2298" s="50" t="str">
        <f t="shared" si="1171"/>
        <v>SEMANA 68</v>
      </c>
      <c r="BR2298" s="50" t="str">
        <f t="shared" si="1171"/>
        <v>SEMANA 69</v>
      </c>
      <c r="BS2298" s="50" t="str">
        <f t="shared" si="1171"/>
        <v>SEMANA 70</v>
      </c>
      <c r="BT2298" s="50" t="str">
        <f t="shared" si="1171"/>
        <v>SEMANA 71</v>
      </c>
      <c r="BU2298" s="50" t="str">
        <f t="shared" si="1171"/>
        <v>SEMANA 72</v>
      </c>
      <c r="BV2298" s="50" t="str">
        <f t="shared" si="1171"/>
        <v>SEMANA 73</v>
      </c>
      <c r="BW2298" s="50" t="str">
        <f t="shared" si="1171"/>
        <v>SEMANA 74</v>
      </c>
      <c r="BX2298" s="50" t="str">
        <f t="shared" si="1171"/>
        <v>SEMANA 75</v>
      </c>
      <c r="BY2298" s="50" t="str">
        <f t="shared" si="1171"/>
        <v>SEMANA 76</v>
      </c>
      <c r="BZ2298" s="50" t="str">
        <f t="shared" si="1171"/>
        <v>SEMANA 77</v>
      </c>
      <c r="CA2298" s="50" t="str">
        <f t="shared" si="1171"/>
        <v>SEMANA 78</v>
      </c>
      <c r="CB2298" s="50" t="str">
        <f t="shared" si="1171"/>
        <v>SEMANA 79</v>
      </c>
      <c r="CC2298" s="50" t="str">
        <f t="shared" si="1171"/>
        <v>SEMANA 80</v>
      </c>
      <c r="CD2298" s="50" t="str">
        <f t="shared" si="1171"/>
        <v>SEMANA 81</v>
      </c>
      <c r="CE2298" s="50" t="str">
        <f t="shared" si="1170"/>
        <v>SEMANA 82</v>
      </c>
      <c r="CF2298" s="50" t="s">
        <v>96</v>
      </c>
      <c r="CG2298" s="52" t="s">
        <v>400</v>
      </c>
    </row>
    <row r="2299" spans="1:85" x14ac:dyDescent="0.25">
      <c r="A2299" s="146" t="s">
        <v>25</v>
      </c>
      <c r="B2299" s="92">
        <v>5944811.7310344838</v>
      </c>
      <c r="C2299" s="92">
        <v>8870154.612068966</v>
      </c>
      <c r="D2299" s="92">
        <v>10830645.70862069</v>
      </c>
      <c r="E2299" s="92">
        <v>9447773.1275862083</v>
      </c>
      <c r="F2299" s="92">
        <v>10018633.806896552</v>
      </c>
      <c r="G2299" s="92">
        <v>10682123.503448276</v>
      </c>
      <c r="H2299" s="92">
        <v>13597483.232758623</v>
      </c>
      <c r="I2299" s="92">
        <f t="shared" ref="I2299:K2303" si="1172">+I2283</f>
        <v>15402135.865517242</v>
      </c>
      <c r="J2299" s="92">
        <f t="shared" si="1172"/>
        <v>18667741.879310347</v>
      </c>
      <c r="K2299" s="92">
        <f t="shared" si="1172"/>
        <v>17203522.08275862</v>
      </c>
      <c r="L2299" s="92">
        <f>L2283</f>
        <v>19650692.34310345</v>
      </c>
      <c r="M2299" s="92">
        <f t="shared" ref="M2299:N2303" si="1173">M2283</f>
        <v>18857104.548275862</v>
      </c>
      <c r="N2299" s="92">
        <f t="shared" ref="N2299:S2299" si="1174">N2283</f>
        <v>19014453.687931035</v>
      </c>
      <c r="O2299" s="92">
        <f t="shared" si="1174"/>
        <v>21599180.382758621</v>
      </c>
      <c r="P2299" s="92">
        <f t="shared" si="1174"/>
        <v>19693989.401724137</v>
      </c>
      <c r="Q2299" s="92">
        <f t="shared" si="1174"/>
        <v>18806369.656896554</v>
      </c>
      <c r="R2299" s="92">
        <f t="shared" si="1174"/>
        <v>16018316.227586208</v>
      </c>
      <c r="S2299" s="92">
        <f t="shared" si="1174"/>
        <v>16241503.837931035</v>
      </c>
      <c r="T2299" s="92">
        <f t="shared" ref="T2299:CE2299" si="1175">T2283</f>
        <v>21845346.146551728</v>
      </c>
      <c r="U2299" s="92">
        <f t="shared" si="1175"/>
        <v>21572619.005172413</v>
      </c>
      <c r="V2299" s="92">
        <f t="shared" si="1175"/>
        <v>20884874.117241379</v>
      </c>
      <c r="W2299" s="92">
        <f t="shared" si="1175"/>
        <v>23005799.084482759</v>
      </c>
      <c r="X2299" s="92">
        <f t="shared" si="1175"/>
        <v>23928754.229310349</v>
      </c>
      <c r="Y2299" s="92">
        <f t="shared" si="1175"/>
        <v>23169801.058620691</v>
      </c>
      <c r="Z2299" s="92">
        <f t="shared" si="1175"/>
        <v>24236436.443103448</v>
      </c>
      <c r="AA2299" s="92">
        <f t="shared" si="1175"/>
        <v>28322116.363793109</v>
      </c>
      <c r="AB2299" s="92">
        <f t="shared" si="1175"/>
        <v>24678016.389655177</v>
      </c>
      <c r="AC2299" s="92">
        <f t="shared" si="1175"/>
        <v>20766696.874137934</v>
      </c>
      <c r="AD2299" s="92">
        <f t="shared" si="1175"/>
        <v>27043246.791379314</v>
      </c>
      <c r="AE2299" s="92">
        <f t="shared" si="1175"/>
        <v>24597279.948275864</v>
      </c>
      <c r="AF2299" s="92">
        <f t="shared" si="1175"/>
        <v>27261264.044827592</v>
      </c>
      <c r="AG2299" s="92">
        <f t="shared" si="1175"/>
        <v>28739851.879310347</v>
      </c>
      <c r="AH2299" s="92">
        <f t="shared" si="1175"/>
        <v>28807747.1862069</v>
      </c>
      <c r="AI2299" s="92">
        <f t="shared" si="1175"/>
        <v>28735250.929310352</v>
      </c>
      <c r="AJ2299" s="92">
        <f t="shared" si="1175"/>
        <v>24500198.908620693</v>
      </c>
      <c r="AK2299" s="92">
        <f t="shared" si="1175"/>
        <v>28026245.606896549</v>
      </c>
      <c r="AL2299" s="92">
        <f t="shared" si="1175"/>
        <v>25990503.913793109</v>
      </c>
      <c r="AM2299" s="92">
        <f t="shared" si="1175"/>
        <v>26947496.663793102</v>
      </c>
      <c r="AN2299" s="92">
        <f t="shared" si="1175"/>
        <v>26538398.563793108</v>
      </c>
      <c r="AO2299" s="92">
        <f t="shared" si="1175"/>
        <v>32025969.422413796</v>
      </c>
      <c r="AP2299" s="92">
        <f t="shared" si="1175"/>
        <v>25154909.70862069</v>
      </c>
      <c r="AQ2299" s="92">
        <f t="shared" si="1175"/>
        <v>25121007.375862073</v>
      </c>
      <c r="AR2299" s="92">
        <f t="shared" si="1175"/>
        <v>26534667.641379312</v>
      </c>
      <c r="AS2299" s="92">
        <f t="shared" si="1175"/>
        <v>30058354.567241382</v>
      </c>
      <c r="AT2299" s="92">
        <f t="shared" si="1175"/>
        <v>23674510.629310347</v>
      </c>
      <c r="AU2299" s="92">
        <f t="shared" si="1175"/>
        <v>27791171.315517243</v>
      </c>
      <c r="AV2299" s="92">
        <f t="shared" si="1175"/>
        <v>26519229.537931036</v>
      </c>
      <c r="AW2299" s="92">
        <f t="shared" si="1175"/>
        <v>25995642.89827586</v>
      </c>
      <c r="AX2299" s="92">
        <f t="shared" si="1175"/>
        <v>24821707.496551726</v>
      </c>
      <c r="AY2299" s="92">
        <f t="shared" si="1175"/>
        <v>27270506.955172416</v>
      </c>
      <c r="AZ2299" s="92">
        <f t="shared" si="1175"/>
        <v>22215468.456896555</v>
      </c>
      <c r="BA2299" s="92">
        <f t="shared" si="1175"/>
        <v>24486718.282758623</v>
      </c>
      <c r="BB2299" s="92">
        <f t="shared" si="1175"/>
        <v>21799511.405172415</v>
      </c>
      <c r="BC2299" s="92">
        <f t="shared" ref="BC2299:BD2303" si="1176">BC2283</f>
        <v>23245388.070689656</v>
      </c>
      <c r="BD2299" s="92">
        <f t="shared" si="1176"/>
        <v>23083256.346551724</v>
      </c>
      <c r="BE2299" s="92">
        <f t="shared" ref="BE2299:CD2299" si="1177">BE2283</f>
        <v>21403505.055172417</v>
      </c>
      <c r="BF2299" s="92">
        <f t="shared" si="1177"/>
        <v>23668890.653448276</v>
      </c>
      <c r="BG2299" s="92">
        <f t="shared" si="1177"/>
        <v>22527111.413793106</v>
      </c>
      <c r="BH2299" s="92">
        <f t="shared" si="1177"/>
        <v>27655194.558620691</v>
      </c>
      <c r="BI2299" s="92">
        <f t="shared" si="1177"/>
        <v>21548147.327586211</v>
      </c>
      <c r="BJ2299" s="92">
        <f t="shared" si="1177"/>
        <v>25429703.932758622</v>
      </c>
      <c r="BK2299" s="92">
        <f t="shared" si="1177"/>
        <v>27394173.165517248</v>
      </c>
      <c r="BL2299" s="92">
        <f t="shared" si="1177"/>
        <v>27286704.76896552</v>
      </c>
      <c r="BM2299" s="92">
        <f t="shared" si="1177"/>
        <v>26609865.352413796</v>
      </c>
      <c r="BN2299" s="92">
        <f t="shared" si="1177"/>
        <v>27068044.313103452</v>
      </c>
      <c r="BO2299" s="92">
        <f t="shared" si="1177"/>
        <v>27512525.177931033</v>
      </c>
      <c r="BP2299" s="92">
        <f t="shared" si="1177"/>
        <v>23191081.085517246</v>
      </c>
      <c r="BQ2299" s="92">
        <f t="shared" si="1177"/>
        <v>18877201.199310347</v>
      </c>
      <c r="BR2299" s="92">
        <f t="shared" si="1177"/>
        <v>15101981.206896555</v>
      </c>
      <c r="BS2299" s="92">
        <f t="shared" si="1177"/>
        <v>17489161.960689656</v>
      </c>
      <c r="BT2299" s="92">
        <f t="shared" si="1177"/>
        <v>21519013.452413794</v>
      </c>
      <c r="BU2299" s="92">
        <f t="shared" si="1177"/>
        <v>22759709.720000003</v>
      </c>
      <c r="BV2299" s="92">
        <f t="shared" si="1177"/>
        <v>20822881.906206898</v>
      </c>
      <c r="BW2299" s="92">
        <f t="shared" si="1177"/>
        <v>23032662.713103451</v>
      </c>
      <c r="BX2299" s="92">
        <f t="shared" si="1177"/>
        <v>23216786.288965516</v>
      </c>
      <c r="BY2299" s="92">
        <f t="shared" si="1177"/>
        <v>20953240.157241382</v>
      </c>
      <c r="BZ2299" s="92">
        <f t="shared" si="1177"/>
        <v>22611143.321379311</v>
      </c>
      <c r="CA2299" s="92">
        <f t="shared" si="1177"/>
        <v>24727616.249655176</v>
      </c>
      <c r="CB2299" s="92">
        <f t="shared" si="1177"/>
        <v>25340901.72137931</v>
      </c>
      <c r="CC2299" s="92">
        <f t="shared" si="1177"/>
        <v>22860641.828275863</v>
      </c>
      <c r="CD2299" s="92">
        <f t="shared" si="1177"/>
        <v>24826405.597931035</v>
      </c>
      <c r="CE2299" s="92">
        <f t="shared" si="1175"/>
        <v>16776633.633793104</v>
      </c>
      <c r="CF2299" s="92">
        <f t="shared" ref="CF2299:CF2304" si="1178">SUM(B2299:CE2299)</f>
        <v>1832153527.6568971</v>
      </c>
      <c r="CG2299" s="92">
        <f t="shared" ref="CG2299:CG2305" si="1179">CF2299/82</f>
        <v>22343335.70313289</v>
      </c>
    </row>
    <row r="2300" spans="1:85" x14ac:dyDescent="0.25">
      <c r="A2300" s="146" t="s">
        <v>26</v>
      </c>
      <c r="B2300" s="92">
        <v>4992220.4879310355</v>
      </c>
      <c r="C2300" s="92">
        <v>6444517.2603448275</v>
      </c>
      <c r="D2300" s="92">
        <v>6531938.5775862075</v>
      </c>
      <c r="E2300" s="92">
        <v>4722784.3379310351</v>
      </c>
      <c r="F2300" s="92">
        <v>2043811.4051724139</v>
      </c>
      <c r="G2300" s="92">
        <v>1399394.9448275864</v>
      </c>
      <c r="H2300" s="92">
        <v>448871.30172413797</v>
      </c>
      <c r="I2300" s="92">
        <f t="shared" si="1172"/>
        <v>0</v>
      </c>
      <c r="J2300" s="92">
        <f t="shared" si="1172"/>
        <v>80065.089655172429</v>
      </c>
      <c r="K2300" s="92">
        <f t="shared" si="1172"/>
        <v>56718.284482758623</v>
      </c>
      <c r="L2300" s="92">
        <f>L2284</f>
        <v>0</v>
      </c>
      <c r="M2300" s="92">
        <f t="shared" si="1173"/>
        <v>0</v>
      </c>
      <c r="N2300" s="92">
        <f t="shared" si="1173"/>
        <v>0</v>
      </c>
      <c r="O2300" s="92">
        <f t="shared" ref="O2300:P2303" si="1180">O2284</f>
        <v>49793.265517241387</v>
      </c>
      <c r="P2300" s="92">
        <f t="shared" si="1180"/>
        <v>0</v>
      </c>
      <c r="Q2300" s="92">
        <f t="shared" ref="Q2300:S2303" si="1181">Q2284</f>
        <v>690561.6086206896</v>
      </c>
      <c r="R2300" s="92">
        <f t="shared" si="1181"/>
        <v>306860.44137931033</v>
      </c>
      <c r="S2300" s="92">
        <f t="shared" si="1181"/>
        <v>599284.65862068976</v>
      </c>
      <c r="T2300" s="92">
        <f t="shared" ref="T2300:W2303" si="1182">T2284</f>
        <v>783743.20000000007</v>
      </c>
      <c r="U2300" s="92">
        <f t="shared" si="1182"/>
        <v>1415199.4724137932</v>
      </c>
      <c r="V2300" s="92">
        <f t="shared" si="1182"/>
        <v>905236.57758620696</v>
      </c>
      <c r="W2300" s="92">
        <f t="shared" si="1182"/>
        <v>1110304.0741379312</v>
      </c>
      <c r="X2300" s="92">
        <f t="shared" ref="X2300:CE2300" si="1183">X2284</f>
        <v>941668.36034482764</v>
      </c>
      <c r="Y2300" s="92">
        <f t="shared" si="1183"/>
        <v>1032368.0982758622</v>
      </c>
      <c r="Z2300" s="92">
        <f t="shared" si="1183"/>
        <v>475956.02413793106</v>
      </c>
      <c r="AA2300" s="92">
        <f t="shared" si="1183"/>
        <v>967634.66724137939</v>
      </c>
      <c r="AB2300" s="92">
        <f t="shared" si="1183"/>
        <v>1273943.9931034483</v>
      </c>
      <c r="AC2300" s="92">
        <f t="shared" si="1183"/>
        <v>789220.05517241382</v>
      </c>
      <c r="AD2300" s="92">
        <f t="shared" si="1183"/>
        <v>1163774.0741379312</v>
      </c>
      <c r="AE2300" s="92">
        <f t="shared" si="1183"/>
        <v>1476599.7931034486</v>
      </c>
      <c r="AF2300" s="92">
        <f t="shared" si="1183"/>
        <v>985113.97586206917</v>
      </c>
      <c r="AG2300" s="92">
        <f t="shared" si="1183"/>
        <v>994107.82758620696</v>
      </c>
      <c r="AH2300" s="92">
        <f t="shared" si="1183"/>
        <v>1335797.6051724139</v>
      </c>
      <c r="AI2300" s="92">
        <f t="shared" si="1183"/>
        <v>968055.33620689658</v>
      </c>
      <c r="AJ2300" s="92">
        <f t="shared" si="1183"/>
        <v>1593445.0982758622</v>
      </c>
      <c r="AK2300" s="92">
        <f t="shared" si="1183"/>
        <v>1164188.0655172416</v>
      </c>
      <c r="AL2300" s="92">
        <f t="shared" si="1183"/>
        <v>1250560.5206896553</v>
      </c>
      <c r="AM2300" s="92">
        <f t="shared" si="1183"/>
        <v>1077912.5241379312</v>
      </c>
      <c r="AN2300" s="92">
        <f t="shared" si="1183"/>
        <v>1041423.6275862069</v>
      </c>
      <c r="AO2300" s="92">
        <f t="shared" si="1183"/>
        <v>1551593.6741379313</v>
      </c>
      <c r="AP2300" s="92">
        <f t="shared" si="1183"/>
        <v>785538.23793103453</v>
      </c>
      <c r="AQ2300" s="92">
        <f t="shared" si="1183"/>
        <v>994786.31206896552</v>
      </c>
      <c r="AR2300" s="92">
        <f t="shared" si="1183"/>
        <v>1203947.4655172415</v>
      </c>
      <c r="AS2300" s="92">
        <f t="shared" si="1183"/>
        <v>1562285.801724138</v>
      </c>
      <c r="AT2300" s="92">
        <f t="shared" si="1183"/>
        <v>842580.60344827594</v>
      </c>
      <c r="AU2300" s="92">
        <f t="shared" si="1183"/>
        <v>959574.07413793099</v>
      </c>
      <c r="AV2300" s="92">
        <f t="shared" si="1183"/>
        <v>1035665.1293103449</v>
      </c>
      <c r="AW2300" s="92">
        <f t="shared" si="1183"/>
        <v>1141192.2293103449</v>
      </c>
      <c r="AX2300" s="92">
        <f t="shared" si="1183"/>
        <v>866120.30172413809</v>
      </c>
      <c r="AY2300" s="92">
        <f t="shared" si="1183"/>
        <v>1059439.1689655173</v>
      </c>
      <c r="AZ2300" s="92">
        <f t="shared" si="1183"/>
        <v>1100890.25</v>
      </c>
      <c r="BA2300" s="92">
        <f t="shared" si="1183"/>
        <v>1145000.6275862069</v>
      </c>
      <c r="BB2300" s="92">
        <f t="shared" si="1183"/>
        <v>1374663.5775862071</v>
      </c>
      <c r="BC2300" s="92">
        <f t="shared" si="1176"/>
        <v>1023713.5568965517</v>
      </c>
      <c r="BD2300" s="92">
        <f t="shared" si="1176"/>
        <v>1079981.6982758623</v>
      </c>
      <c r="BE2300" s="92">
        <f t="shared" ref="BE2300:CD2300" si="1184">BE2284</f>
        <v>819008.95000000019</v>
      </c>
      <c r="BF2300" s="92">
        <f t="shared" si="1184"/>
        <v>996186.42241379316</v>
      </c>
      <c r="BG2300" s="92">
        <f t="shared" si="1184"/>
        <v>1042137.5</v>
      </c>
      <c r="BH2300" s="92">
        <f t="shared" si="1184"/>
        <v>725447.5396551725</v>
      </c>
      <c r="BI2300" s="92">
        <f t="shared" si="1184"/>
        <v>1153052.4706896553</v>
      </c>
      <c r="BJ2300" s="92">
        <f t="shared" si="1184"/>
        <v>719082.71551724151</v>
      </c>
      <c r="BK2300" s="92">
        <f t="shared" si="1184"/>
        <v>475580.35344827588</v>
      </c>
      <c r="BL2300" s="92">
        <f t="shared" si="1184"/>
        <v>653479.28965517238</v>
      </c>
      <c r="BM2300" s="92">
        <f t="shared" si="1184"/>
        <v>584266.02965517249</v>
      </c>
      <c r="BN2300" s="92">
        <f t="shared" si="1184"/>
        <v>396599.80413793109</v>
      </c>
      <c r="BO2300" s="92">
        <f t="shared" si="1184"/>
        <v>404665.87862068973</v>
      </c>
      <c r="BP2300" s="92">
        <f t="shared" si="1184"/>
        <v>346114.82551724138</v>
      </c>
      <c r="BQ2300" s="92">
        <f t="shared" si="1184"/>
        <v>538136.61655172426</v>
      </c>
      <c r="BR2300" s="92">
        <f t="shared" si="1184"/>
        <v>493574.03517241392</v>
      </c>
      <c r="BS2300" s="92">
        <f t="shared" si="1184"/>
        <v>409118.11448275862</v>
      </c>
      <c r="BT2300" s="92">
        <f t="shared" si="1184"/>
        <v>308805.48551724141</v>
      </c>
      <c r="BU2300" s="92">
        <f t="shared" si="1184"/>
        <v>481784.05103448278</v>
      </c>
      <c r="BV2300" s="92">
        <f t="shared" si="1184"/>
        <v>383287.89862068964</v>
      </c>
      <c r="BW2300" s="92">
        <f t="shared" si="1184"/>
        <v>279368.53862068971</v>
      </c>
      <c r="BX2300" s="92">
        <f t="shared" si="1184"/>
        <v>258762.61379310349</v>
      </c>
      <c r="BY2300" s="92">
        <f t="shared" si="1184"/>
        <v>470078.89931034495</v>
      </c>
      <c r="BZ2300" s="92">
        <f t="shared" si="1184"/>
        <v>636626.37655172416</v>
      </c>
      <c r="CA2300" s="92">
        <f t="shared" si="1184"/>
        <v>872475.35655172425</v>
      </c>
      <c r="CB2300" s="92">
        <f t="shared" si="1184"/>
        <v>793233.48965517245</v>
      </c>
      <c r="CC2300" s="92">
        <f t="shared" si="1184"/>
        <v>468096.09310344834</v>
      </c>
      <c r="CD2300" s="92">
        <f t="shared" si="1184"/>
        <v>581222.27103448287</v>
      </c>
      <c r="CE2300" s="92">
        <f t="shared" si="1183"/>
        <v>373341.49172413797</v>
      </c>
      <c r="CF2300" s="92">
        <f t="shared" si="1178"/>
        <v>84503580.454137951</v>
      </c>
      <c r="CG2300" s="92">
        <f t="shared" si="1179"/>
        <v>1030531.4689529019</v>
      </c>
    </row>
    <row r="2301" spans="1:85" x14ac:dyDescent="0.25">
      <c r="A2301" s="146" t="s">
        <v>27</v>
      </c>
      <c r="B2301" s="92">
        <v>5198087.2637931043</v>
      </c>
      <c r="C2301" s="92">
        <v>7745817.955172414</v>
      </c>
      <c r="D2301" s="92">
        <v>8013592.7137931054</v>
      </c>
      <c r="E2301" s="92">
        <v>6592316.1310344841</v>
      </c>
      <c r="F2301" s="92">
        <v>9648140.6327586211</v>
      </c>
      <c r="G2301" s="92">
        <v>10214136.839655172</v>
      </c>
      <c r="H2301" s="92">
        <v>10016554.232758623</v>
      </c>
      <c r="I2301" s="92">
        <f t="shared" si="1172"/>
        <v>9262818.1603448279</v>
      </c>
      <c r="J2301" s="92">
        <f t="shared" si="1172"/>
        <v>8725256.5448275879</v>
      </c>
      <c r="K2301" s="92">
        <f t="shared" si="1172"/>
        <v>9046580.0620689653</v>
      </c>
      <c r="L2301" s="92">
        <f>L2285</f>
        <v>9762649.2258620709</v>
      </c>
      <c r="M2301" s="92">
        <f t="shared" si="1173"/>
        <v>8870186.0931034498</v>
      </c>
      <c r="N2301" s="92">
        <f t="shared" si="1173"/>
        <v>8804821.9465517253</v>
      </c>
      <c r="O2301" s="92">
        <f t="shared" si="1180"/>
        <v>11878442.674137933</v>
      </c>
      <c r="P2301" s="92">
        <f t="shared" si="1180"/>
        <v>9356284.0344827585</v>
      </c>
      <c r="Q2301" s="92">
        <f t="shared" si="1181"/>
        <v>7687008.1017241385</v>
      </c>
      <c r="R2301" s="92">
        <f t="shared" si="1181"/>
        <v>7229665.2586206906</v>
      </c>
      <c r="S2301" s="92">
        <f t="shared" si="1181"/>
        <v>8881947.9672413785</v>
      </c>
      <c r="T2301" s="92">
        <f t="shared" si="1182"/>
        <v>9774972.4086206909</v>
      </c>
      <c r="U2301" s="92">
        <f t="shared" si="1182"/>
        <v>8925442.6706896555</v>
      </c>
      <c r="V2301" s="92">
        <f t="shared" si="1182"/>
        <v>10343756.086206896</v>
      </c>
      <c r="W2301" s="92">
        <f t="shared" si="1182"/>
        <v>9499792.5551724155</v>
      </c>
      <c r="X2301" s="92">
        <f t="shared" ref="X2301:CE2301" si="1185">X2285</f>
        <v>8316509.179310346</v>
      </c>
      <c r="Y2301" s="92">
        <f t="shared" si="1185"/>
        <v>9372754.794827586</v>
      </c>
      <c r="Z2301" s="92">
        <f t="shared" si="1185"/>
        <v>10474864.856896553</v>
      </c>
      <c r="AA2301" s="92">
        <f t="shared" si="1185"/>
        <v>8546749.1741379313</v>
      </c>
      <c r="AB2301" s="92">
        <f t="shared" si="1185"/>
        <v>9842215.1775862072</v>
      </c>
      <c r="AC2301" s="92">
        <f t="shared" si="1185"/>
        <v>7198639.8586206902</v>
      </c>
      <c r="AD2301" s="92">
        <f t="shared" si="1185"/>
        <v>8667036.860344829</v>
      </c>
      <c r="AE2301" s="92">
        <f t="shared" si="1185"/>
        <v>11296799.872413795</v>
      </c>
      <c r="AF2301" s="92">
        <f t="shared" si="1185"/>
        <v>10916641.896551725</v>
      </c>
      <c r="AG2301" s="92">
        <f t="shared" si="1185"/>
        <v>9373980.70172414</v>
      </c>
      <c r="AH2301" s="92">
        <f t="shared" si="1185"/>
        <v>10857527.232758623</v>
      </c>
      <c r="AI2301" s="92">
        <f t="shared" si="1185"/>
        <v>10187179.881034484</v>
      </c>
      <c r="AJ2301" s="92">
        <f t="shared" si="1185"/>
        <v>8777131.2172413804</v>
      </c>
      <c r="AK2301" s="92">
        <f t="shared" si="1185"/>
        <v>9738177.429310346</v>
      </c>
      <c r="AL2301" s="92">
        <f t="shared" si="1185"/>
        <v>10683325.150000002</v>
      </c>
      <c r="AM2301" s="92">
        <f t="shared" si="1185"/>
        <v>8956122.93275862</v>
      </c>
      <c r="AN2301" s="92">
        <f t="shared" si="1185"/>
        <v>11106648.598275863</v>
      </c>
      <c r="AO2301" s="92">
        <f t="shared" si="1185"/>
        <v>10873925.679310348</v>
      </c>
      <c r="AP2301" s="92">
        <f t="shared" si="1185"/>
        <v>10388980.181034485</v>
      </c>
      <c r="AQ2301" s="92">
        <f t="shared" si="1185"/>
        <v>10558370.268965518</v>
      </c>
      <c r="AR2301" s="92">
        <f t="shared" si="1185"/>
        <v>10555998.815517241</v>
      </c>
      <c r="AS2301" s="92">
        <f t="shared" si="1185"/>
        <v>9877781.9896551743</v>
      </c>
      <c r="AT2301" s="92">
        <f t="shared" si="1185"/>
        <v>10024462.143103449</v>
      </c>
      <c r="AU2301" s="92">
        <f t="shared" si="1185"/>
        <v>10790813.529310346</v>
      </c>
      <c r="AV2301" s="92">
        <f t="shared" si="1185"/>
        <v>8765884.1224137936</v>
      </c>
      <c r="AW2301" s="92">
        <f t="shared" si="1185"/>
        <v>7679359.9741379321</v>
      </c>
      <c r="AX2301" s="92">
        <f t="shared" si="1185"/>
        <v>7095018.5603448283</v>
      </c>
      <c r="AY2301" s="92">
        <f t="shared" si="1185"/>
        <v>8967273.9017241392</v>
      </c>
      <c r="AZ2301" s="92">
        <f t="shared" si="1185"/>
        <v>8548436.1534482762</v>
      </c>
      <c r="BA2301" s="92">
        <f t="shared" si="1185"/>
        <v>9391893.4844827596</v>
      </c>
      <c r="BB2301" s="92">
        <f t="shared" si="1185"/>
        <v>9951063.0465517249</v>
      </c>
      <c r="BC2301" s="92">
        <f t="shared" si="1176"/>
        <v>9933579.751724137</v>
      </c>
      <c r="BD2301" s="92">
        <f t="shared" si="1176"/>
        <v>8268910.6672413796</v>
      </c>
      <c r="BE2301" s="92">
        <f t="shared" ref="BE2301:CD2301" si="1186">BE2285</f>
        <v>8595383.13448276</v>
      </c>
      <c r="BF2301" s="92">
        <f t="shared" si="1186"/>
        <v>9789350.56724138</v>
      </c>
      <c r="BG2301" s="92">
        <f t="shared" si="1186"/>
        <v>9241563.362068966</v>
      </c>
      <c r="BH2301" s="92">
        <f t="shared" si="1186"/>
        <v>9728194.0189655181</v>
      </c>
      <c r="BI2301" s="92">
        <f t="shared" si="1186"/>
        <v>8989966.4810344838</v>
      </c>
      <c r="BJ2301" s="92">
        <f t="shared" si="1186"/>
        <v>10003388.018965518</v>
      </c>
      <c r="BK2301" s="92">
        <f t="shared" si="1186"/>
        <v>7489829.1051724143</v>
      </c>
      <c r="BL2301" s="92">
        <f t="shared" si="1186"/>
        <v>9785224.044827586</v>
      </c>
      <c r="BM2301" s="92">
        <f t="shared" si="1186"/>
        <v>8932618.6868965533</v>
      </c>
      <c r="BN2301" s="92">
        <f t="shared" si="1186"/>
        <v>8784109.5875862073</v>
      </c>
      <c r="BO2301" s="92">
        <f t="shared" si="1186"/>
        <v>10264554.580689656</v>
      </c>
      <c r="BP2301" s="92">
        <f t="shared" si="1186"/>
        <v>9282530.040000001</v>
      </c>
      <c r="BQ2301" s="92">
        <f t="shared" si="1186"/>
        <v>8296954.264137933</v>
      </c>
      <c r="BR2301" s="92">
        <f t="shared" si="1186"/>
        <v>8295106.3151724152</v>
      </c>
      <c r="BS2301" s="92">
        <f t="shared" si="1186"/>
        <v>7506179.3034482766</v>
      </c>
      <c r="BT2301" s="92">
        <f t="shared" si="1186"/>
        <v>8144770.1144827586</v>
      </c>
      <c r="BU2301" s="92">
        <f t="shared" si="1186"/>
        <v>8102936.3248275872</v>
      </c>
      <c r="BV2301" s="92">
        <f t="shared" si="1186"/>
        <v>7647315.0227586217</v>
      </c>
      <c r="BW2301" s="92">
        <f t="shared" si="1186"/>
        <v>6697955.6827586219</v>
      </c>
      <c r="BX2301" s="92">
        <f t="shared" si="1186"/>
        <v>7070260.8331034482</v>
      </c>
      <c r="BY2301" s="92">
        <f t="shared" si="1186"/>
        <v>7374269.1972413808</v>
      </c>
      <c r="BZ2301" s="92">
        <f t="shared" si="1186"/>
        <v>6629421.0724137938</v>
      </c>
      <c r="CA2301" s="92">
        <f t="shared" si="1186"/>
        <v>6983497.7848275872</v>
      </c>
      <c r="CB2301" s="92">
        <f t="shared" si="1186"/>
        <v>7878280.9606896564</v>
      </c>
      <c r="CC2301" s="92">
        <f t="shared" si="1186"/>
        <v>7313774.2289655181</v>
      </c>
      <c r="CD2301" s="92">
        <f t="shared" si="1186"/>
        <v>7275665.1593103446</v>
      </c>
      <c r="CE2301" s="92">
        <f t="shared" si="1185"/>
        <v>7982791.2765517253</v>
      </c>
      <c r="CF2301" s="92">
        <f t="shared" si="1178"/>
        <v>735548215.80999994</v>
      </c>
      <c r="CG2301" s="92">
        <f t="shared" si="1179"/>
        <v>8970100.1928048767</v>
      </c>
    </row>
    <row r="2302" spans="1:85" x14ac:dyDescent="0.25">
      <c r="A2302" s="146" t="s">
        <v>28</v>
      </c>
      <c r="B2302" s="92">
        <v>0</v>
      </c>
      <c r="C2302" s="92">
        <v>0</v>
      </c>
      <c r="D2302" s="92">
        <v>148855.52931034483</v>
      </c>
      <c r="E2302" s="92">
        <v>160855.63620689657</v>
      </c>
      <c r="F2302" s="92">
        <v>389699.28620689653</v>
      </c>
      <c r="G2302" s="92">
        <v>2306883.7534482758</v>
      </c>
      <c r="H2302" s="92">
        <v>3992775.2396551729</v>
      </c>
      <c r="I2302" s="92">
        <f t="shared" si="1172"/>
        <v>3916886.3482758617</v>
      </c>
      <c r="J2302" s="92">
        <f t="shared" si="1172"/>
        <v>4350809.9965517242</v>
      </c>
      <c r="K2302" s="92">
        <f t="shared" si="1172"/>
        <v>1804637.5948275861</v>
      </c>
      <c r="L2302" s="92">
        <f>L2286</f>
        <v>3278531.9620689657</v>
      </c>
      <c r="M2302" s="92">
        <f t="shared" si="1173"/>
        <v>3992131.3327586204</v>
      </c>
      <c r="N2302" s="92">
        <f t="shared" si="1173"/>
        <v>3848878.9396551726</v>
      </c>
      <c r="O2302" s="92">
        <f t="shared" si="1180"/>
        <v>2698413.5758620687</v>
      </c>
      <c r="P2302" s="92">
        <f t="shared" si="1180"/>
        <v>2534436.2534482758</v>
      </c>
      <c r="Q2302" s="92">
        <f t="shared" si="1181"/>
        <v>4509349.5982758617</v>
      </c>
      <c r="R2302" s="92">
        <f t="shared" si="1181"/>
        <v>4860827.3534482773</v>
      </c>
      <c r="S2302" s="92">
        <f t="shared" si="1181"/>
        <v>4901983.8241379317</v>
      </c>
      <c r="T2302" s="92">
        <f t="shared" si="1182"/>
        <v>4788663.1017241385</v>
      </c>
      <c r="U2302" s="92">
        <f t="shared" si="1182"/>
        <v>3758487.2327586203</v>
      </c>
      <c r="V2302" s="92">
        <f t="shared" si="1182"/>
        <v>4478382.7741379319</v>
      </c>
      <c r="W2302" s="92">
        <f t="shared" si="1182"/>
        <v>4146288.3551724143</v>
      </c>
      <c r="X2302" s="92">
        <f t="shared" ref="X2302:CE2302" si="1187">X2286</f>
        <v>3848410.6206896552</v>
      </c>
      <c r="Y2302" s="92">
        <f t="shared" si="1187"/>
        <v>4714290.2137931036</v>
      </c>
      <c r="Z2302" s="92">
        <f t="shared" si="1187"/>
        <v>3818593.260344828</v>
      </c>
      <c r="AA2302" s="92">
        <f t="shared" si="1187"/>
        <v>5059695.4844827596</v>
      </c>
      <c r="AB2302" s="92">
        <f t="shared" si="1187"/>
        <v>4725358.1482758624</v>
      </c>
      <c r="AC2302" s="92">
        <f t="shared" si="1187"/>
        <v>4276192.0293103456</v>
      </c>
      <c r="AD2302" s="92">
        <f t="shared" si="1187"/>
        <v>4606282.1258620694</v>
      </c>
      <c r="AE2302" s="92">
        <f t="shared" si="1187"/>
        <v>4374333.7155172415</v>
      </c>
      <c r="AF2302" s="92">
        <f t="shared" si="1187"/>
        <v>2986897.1568965525</v>
      </c>
      <c r="AG2302" s="92">
        <f t="shared" si="1187"/>
        <v>4406736.2620689664</v>
      </c>
      <c r="AH2302" s="92">
        <f t="shared" si="1187"/>
        <v>3774135.22586207</v>
      </c>
      <c r="AI2302" s="92">
        <f t="shared" si="1187"/>
        <v>1620516.3827586209</v>
      </c>
      <c r="AJ2302" s="92">
        <f t="shared" si="1187"/>
        <v>2699353.453448276</v>
      </c>
      <c r="AK2302" s="92">
        <f t="shared" si="1187"/>
        <v>1262409.7741379309</v>
      </c>
      <c r="AL2302" s="92">
        <f t="shared" si="1187"/>
        <v>581421.97758620698</v>
      </c>
      <c r="AM2302" s="92">
        <f t="shared" si="1187"/>
        <v>1874565.4103448279</v>
      </c>
      <c r="AN2302" s="92">
        <f t="shared" si="1187"/>
        <v>1091646.9206896552</v>
      </c>
      <c r="AO2302" s="92">
        <f t="shared" si="1187"/>
        <v>2085047.3517241383</v>
      </c>
      <c r="AP2302" s="92">
        <f t="shared" si="1187"/>
        <v>550799.42413793108</v>
      </c>
      <c r="AQ2302" s="92">
        <f t="shared" si="1187"/>
        <v>1986073.4068965516</v>
      </c>
      <c r="AR2302" s="92">
        <f t="shared" si="1187"/>
        <v>1378845.2568965519</v>
      </c>
      <c r="AS2302" s="92">
        <f t="shared" si="1187"/>
        <v>1760791.8844827591</v>
      </c>
      <c r="AT2302" s="92">
        <f t="shared" si="1187"/>
        <v>1452671.527586207</v>
      </c>
      <c r="AU2302" s="92">
        <f t="shared" si="1187"/>
        <v>1771090.0465517244</v>
      </c>
      <c r="AV2302" s="92">
        <f t="shared" si="1187"/>
        <v>1526132.529310345</v>
      </c>
      <c r="AW2302" s="92">
        <f t="shared" si="1187"/>
        <v>1878487.3948275864</v>
      </c>
      <c r="AX2302" s="92">
        <f t="shared" si="1187"/>
        <v>2488476.2362068971</v>
      </c>
      <c r="AY2302" s="92">
        <f t="shared" si="1187"/>
        <v>1406235.2758620689</v>
      </c>
      <c r="AZ2302" s="92">
        <f t="shared" si="1187"/>
        <v>579068.52931034483</v>
      </c>
      <c r="BA2302" s="92">
        <f t="shared" si="1187"/>
        <v>318140.82241379312</v>
      </c>
      <c r="BB2302" s="92">
        <f t="shared" si="1187"/>
        <v>306977.84655172413</v>
      </c>
      <c r="BC2302" s="92">
        <f t="shared" si="1176"/>
        <v>191814.45689655174</v>
      </c>
      <c r="BD2302" s="92">
        <f t="shared" si="1176"/>
        <v>1223230.4586206898</v>
      </c>
      <c r="BE2302" s="92">
        <f t="shared" ref="BE2302:CD2302" si="1188">BE2286</f>
        <v>829132.32413793122</v>
      </c>
      <c r="BF2302" s="92">
        <f t="shared" si="1188"/>
        <v>140325.51206896553</v>
      </c>
      <c r="BG2302" s="92">
        <f t="shared" si="1188"/>
        <v>281525.13965517242</v>
      </c>
      <c r="BH2302" s="92">
        <f t="shared" si="1188"/>
        <v>834933.36551724141</v>
      </c>
      <c r="BI2302" s="92">
        <f t="shared" si="1188"/>
        <v>1365991.881034483</v>
      </c>
      <c r="BJ2302" s="92">
        <f t="shared" si="1188"/>
        <v>124756.5051724138</v>
      </c>
      <c r="BK2302" s="92">
        <f t="shared" si="1188"/>
        <v>774801.17758620693</v>
      </c>
      <c r="BL2302" s="92">
        <f t="shared" si="1188"/>
        <v>0</v>
      </c>
      <c r="BM2302" s="92">
        <f t="shared" si="1188"/>
        <v>92037.517241379319</v>
      </c>
      <c r="BN2302" s="92">
        <f t="shared" si="1188"/>
        <v>177437.09931034484</v>
      </c>
      <c r="BO2302" s="92">
        <f t="shared" si="1188"/>
        <v>133694.18206896554</v>
      </c>
      <c r="BP2302" s="92">
        <f t="shared" si="1188"/>
        <v>200455.92206896553</v>
      </c>
      <c r="BQ2302" s="92">
        <f t="shared" si="1188"/>
        <v>32489.493793103455</v>
      </c>
      <c r="BR2302" s="92">
        <f t="shared" si="1188"/>
        <v>1717333.4855172418</v>
      </c>
      <c r="BS2302" s="92">
        <f t="shared" si="1188"/>
        <v>1604311.9868965517</v>
      </c>
      <c r="BT2302" s="92">
        <f t="shared" si="1188"/>
        <v>1434839.9641379311</v>
      </c>
      <c r="BU2302" s="92">
        <f t="shared" si="1188"/>
        <v>1790310.1358620692</v>
      </c>
      <c r="BV2302" s="92">
        <f t="shared" si="1188"/>
        <v>1174460.9668965517</v>
      </c>
      <c r="BW2302" s="92">
        <f t="shared" si="1188"/>
        <v>1378406.4303448275</v>
      </c>
      <c r="BX2302" s="92">
        <f t="shared" si="1188"/>
        <v>1230333.7813793104</v>
      </c>
      <c r="BY2302" s="92">
        <f t="shared" si="1188"/>
        <v>1638722.0462068967</v>
      </c>
      <c r="BZ2302" s="92">
        <f t="shared" si="1188"/>
        <v>1885283.8062068967</v>
      </c>
      <c r="CA2302" s="92">
        <f t="shared" si="1188"/>
        <v>2380452.9289655173</v>
      </c>
      <c r="CB2302" s="92">
        <f t="shared" si="1188"/>
        <v>1761414.5931034484</v>
      </c>
      <c r="CC2302" s="92">
        <f t="shared" si="1188"/>
        <v>2186215.7365517244</v>
      </c>
      <c r="CD2302" s="92">
        <f t="shared" si="1188"/>
        <v>2201752.6482758624</v>
      </c>
      <c r="CE2302" s="92">
        <f t="shared" si="1187"/>
        <v>1655969.1917241381</v>
      </c>
      <c r="CF2302" s="92">
        <f t="shared" si="1178"/>
        <v>170519886.11999995</v>
      </c>
      <c r="CG2302" s="92">
        <f t="shared" si="1179"/>
        <v>2079510.8063414628</v>
      </c>
    </row>
    <row r="2303" spans="1:85" x14ac:dyDescent="0.25">
      <c r="A2303" s="146" t="s">
        <v>29</v>
      </c>
      <c r="B2303" s="92">
        <v>0</v>
      </c>
      <c r="C2303" s="92">
        <v>0</v>
      </c>
      <c r="D2303" s="92">
        <v>22958.677586206897</v>
      </c>
      <c r="E2303" s="92">
        <v>19343.181034482761</v>
      </c>
      <c r="F2303" s="92">
        <v>78307.972413793104</v>
      </c>
      <c r="G2303" s="92">
        <v>314855.09655172413</v>
      </c>
      <c r="H2303" s="92">
        <v>436733.23448275868</v>
      </c>
      <c r="I2303" s="92">
        <f t="shared" si="1172"/>
        <v>907502.38448275882</v>
      </c>
      <c r="J2303" s="92">
        <f t="shared" si="1172"/>
        <v>134659.42068965518</v>
      </c>
      <c r="K2303" s="92">
        <f t="shared" si="1172"/>
        <v>181803.18275862071</v>
      </c>
      <c r="L2303" s="92">
        <f>L2287</f>
        <v>61803.710344827588</v>
      </c>
      <c r="M2303" s="92">
        <f t="shared" si="1173"/>
        <v>399573.02586206899</v>
      </c>
      <c r="N2303" s="92">
        <f t="shared" si="1173"/>
        <v>74814.046551724139</v>
      </c>
      <c r="O2303" s="92">
        <f t="shared" si="1180"/>
        <v>75333.89482758622</v>
      </c>
      <c r="P2303" s="92">
        <f t="shared" si="1180"/>
        <v>42911.34482758621</v>
      </c>
      <c r="Q2303" s="92">
        <f t="shared" si="1181"/>
        <v>0</v>
      </c>
      <c r="R2303" s="92">
        <f t="shared" si="1181"/>
        <v>134243.47758620692</v>
      </c>
      <c r="S2303" s="92">
        <f t="shared" si="1181"/>
        <v>82871.781034482759</v>
      </c>
      <c r="T2303" s="92">
        <f t="shared" si="1182"/>
        <v>441111.86724137934</v>
      </c>
      <c r="U2303" s="92">
        <f t="shared" si="1182"/>
        <v>68541.618965517249</v>
      </c>
      <c r="V2303" s="92">
        <f t="shared" si="1182"/>
        <v>242440.44482758624</v>
      </c>
      <c r="W2303" s="92">
        <f t="shared" si="1182"/>
        <v>23811.275862068967</v>
      </c>
      <c r="X2303" s="92">
        <f t="shared" ref="X2303:CE2303" si="1189">X2287</f>
        <v>56612.26551724138</v>
      </c>
      <c r="Y2303" s="92">
        <f t="shared" si="1189"/>
        <v>65049.282758620699</v>
      </c>
      <c r="Z2303" s="92">
        <f t="shared" si="1189"/>
        <v>30836.312068965519</v>
      </c>
      <c r="AA2303" s="92">
        <f t="shared" si="1189"/>
        <v>0</v>
      </c>
      <c r="AB2303" s="92">
        <f t="shared" si="1189"/>
        <v>187672.15344827587</v>
      </c>
      <c r="AC2303" s="92">
        <f t="shared" si="1189"/>
        <v>138595.3206896552</v>
      </c>
      <c r="AD2303" s="92">
        <f t="shared" si="1189"/>
        <v>46708.768965517243</v>
      </c>
      <c r="AE2303" s="92">
        <f t="shared" si="1189"/>
        <v>33836.325862068967</v>
      </c>
      <c r="AF2303" s="92">
        <f t="shared" si="1189"/>
        <v>135238.44310344831</v>
      </c>
      <c r="AG2303" s="92">
        <f t="shared" si="1189"/>
        <v>158926.43275862071</v>
      </c>
      <c r="AH2303" s="92">
        <f t="shared" si="1189"/>
        <v>254514.64655172417</v>
      </c>
      <c r="AI2303" s="92">
        <f t="shared" si="1189"/>
        <v>249413.85000000003</v>
      </c>
      <c r="AJ2303" s="92">
        <f t="shared" si="1189"/>
        <v>365865.97758620692</v>
      </c>
      <c r="AK2303" s="92">
        <f t="shared" si="1189"/>
        <v>89735.67586206898</v>
      </c>
      <c r="AL2303" s="92">
        <f t="shared" si="1189"/>
        <v>239068.95517241381</v>
      </c>
      <c r="AM2303" s="92">
        <f t="shared" si="1189"/>
        <v>260769.02068965521</v>
      </c>
      <c r="AN2303" s="92">
        <f t="shared" si="1189"/>
        <v>158494.53103448276</v>
      </c>
      <c r="AO2303" s="92">
        <f t="shared" si="1189"/>
        <v>264066.45862068969</v>
      </c>
      <c r="AP2303" s="92">
        <f t="shared" si="1189"/>
        <v>150250.55172413794</v>
      </c>
      <c r="AQ2303" s="92">
        <f t="shared" si="1189"/>
        <v>307142.46379310347</v>
      </c>
      <c r="AR2303" s="92">
        <f t="shared" si="1189"/>
        <v>85479.613793103461</v>
      </c>
      <c r="AS2303" s="92">
        <f t="shared" si="1189"/>
        <v>159305.75689655173</v>
      </c>
      <c r="AT2303" s="92">
        <f t="shared" si="1189"/>
        <v>136417.68275862071</v>
      </c>
      <c r="AU2303" s="92">
        <f t="shared" si="1189"/>
        <v>0</v>
      </c>
      <c r="AV2303" s="92">
        <f t="shared" si="1189"/>
        <v>195647.30172413794</v>
      </c>
      <c r="AW2303" s="92">
        <f t="shared" si="1189"/>
        <v>118819.40000000001</v>
      </c>
      <c r="AX2303" s="92">
        <f t="shared" si="1189"/>
        <v>134668.61206896551</v>
      </c>
      <c r="AY2303" s="92">
        <f t="shared" si="1189"/>
        <v>200392.97413793104</v>
      </c>
      <c r="AZ2303" s="92">
        <f t="shared" si="1189"/>
        <v>64707.127586206909</v>
      </c>
      <c r="BA2303" s="92">
        <f t="shared" si="1189"/>
        <v>207602.47241379312</v>
      </c>
      <c r="BB2303" s="92">
        <f t="shared" si="1189"/>
        <v>135749.64137931034</v>
      </c>
      <c r="BC2303" s="92">
        <f t="shared" si="1176"/>
        <v>246450.02586206899</v>
      </c>
      <c r="BD2303" s="92">
        <f t="shared" si="1176"/>
        <v>269488.93275862071</v>
      </c>
      <c r="BE2303" s="92">
        <f t="shared" ref="BE2303:CD2303" si="1190">BE2287</f>
        <v>311708.81206896552</v>
      </c>
      <c r="BF2303" s="92">
        <f t="shared" si="1190"/>
        <v>128736.67241379312</v>
      </c>
      <c r="BG2303" s="92">
        <f t="shared" si="1190"/>
        <v>272700.17068965518</v>
      </c>
      <c r="BH2303" s="92">
        <f t="shared" si="1190"/>
        <v>0</v>
      </c>
      <c r="BI2303" s="92">
        <f t="shared" si="1190"/>
        <v>80199.42586206898</v>
      </c>
      <c r="BJ2303" s="92">
        <f t="shared" si="1190"/>
        <v>116134.00000000001</v>
      </c>
      <c r="BK2303" s="92">
        <f t="shared" si="1190"/>
        <v>80589.991379310362</v>
      </c>
      <c r="BL2303" s="92">
        <f t="shared" si="1190"/>
        <v>0</v>
      </c>
      <c r="BM2303" s="92">
        <f t="shared" si="1190"/>
        <v>0</v>
      </c>
      <c r="BN2303" s="92">
        <f t="shared" si="1190"/>
        <v>236045.47172413795</v>
      </c>
      <c r="BO2303" s="92">
        <f t="shared" si="1190"/>
        <v>137360.11172413797</v>
      </c>
      <c r="BP2303" s="92">
        <f t="shared" si="1190"/>
        <v>194065.50620689656</v>
      </c>
      <c r="BQ2303" s="92">
        <f t="shared" si="1190"/>
        <v>46049.805517241388</v>
      </c>
      <c r="BR2303" s="92">
        <f t="shared" si="1190"/>
        <v>153802.81931034484</v>
      </c>
      <c r="BS2303" s="92">
        <f t="shared" si="1190"/>
        <v>78870.358620689658</v>
      </c>
      <c r="BT2303" s="92">
        <f t="shared" si="1190"/>
        <v>48031.673103448287</v>
      </c>
      <c r="BU2303" s="92">
        <f t="shared" si="1190"/>
        <v>335972.66482758627</v>
      </c>
      <c r="BV2303" s="92">
        <f t="shared" si="1190"/>
        <v>100970.20551724138</v>
      </c>
      <c r="BW2303" s="92">
        <f t="shared" si="1190"/>
        <v>21285.255862068967</v>
      </c>
      <c r="BX2303" s="92">
        <f t="shared" si="1190"/>
        <v>0</v>
      </c>
      <c r="BY2303" s="92">
        <f t="shared" si="1190"/>
        <v>92084.941379310359</v>
      </c>
      <c r="BZ2303" s="92">
        <f t="shared" si="1190"/>
        <v>72205.699310344833</v>
      </c>
      <c r="CA2303" s="92">
        <f t="shared" si="1190"/>
        <v>70018.576551724138</v>
      </c>
      <c r="CB2303" s="92">
        <f t="shared" si="1190"/>
        <v>125403.78689655174</v>
      </c>
      <c r="CC2303" s="92">
        <f t="shared" si="1190"/>
        <v>49827.354482758623</v>
      </c>
      <c r="CD2303" s="92">
        <f t="shared" si="1190"/>
        <v>149962.25448275864</v>
      </c>
      <c r="CE2303" s="92">
        <f t="shared" si="1189"/>
        <v>178564.82</v>
      </c>
      <c r="CF2303" s="92">
        <f t="shared" si="1178"/>
        <v>11971736.993448276</v>
      </c>
      <c r="CG2303" s="92">
        <f t="shared" si="1179"/>
        <v>145996.79260302774</v>
      </c>
    </row>
    <row r="2304" spans="1:85" x14ac:dyDescent="0.25">
      <c r="A2304" s="146" t="s">
        <v>31</v>
      </c>
      <c r="B2304" s="92">
        <v>415915</v>
      </c>
      <c r="C2304" s="92">
        <v>734855</v>
      </c>
      <c r="D2304" s="92">
        <v>752095</v>
      </c>
      <c r="E2304" s="92">
        <v>689600</v>
      </c>
      <c r="F2304" s="92">
        <v>732700</v>
      </c>
      <c r="G2304" s="92">
        <v>831830</v>
      </c>
      <c r="H2304" s="92">
        <v>1120600</v>
      </c>
      <c r="I2304" s="92">
        <f>+I2289</f>
        <v>1482640</v>
      </c>
      <c r="J2304" s="92">
        <f>+J2289</f>
        <v>2135605</v>
      </c>
      <c r="K2304" s="92">
        <f>+K2289</f>
        <v>1971825</v>
      </c>
      <c r="L2304" s="92">
        <f t="shared" ref="L2304:Q2304" si="1191">L2289</f>
        <v>1784340</v>
      </c>
      <c r="M2304" s="92">
        <f t="shared" si="1191"/>
        <v>1446005</v>
      </c>
      <c r="N2304" s="92">
        <f t="shared" si="1191"/>
        <v>1547290</v>
      </c>
      <c r="O2304" s="92">
        <f t="shared" si="1191"/>
        <v>1616250</v>
      </c>
      <c r="P2304" s="92">
        <f t="shared" si="1191"/>
        <v>1512810</v>
      </c>
      <c r="Q2304" s="92">
        <f t="shared" si="1191"/>
        <v>1241280</v>
      </c>
      <c r="R2304" s="92">
        <f t="shared" ref="R2304:W2304" si="1192">R2289</f>
        <v>1064570</v>
      </c>
      <c r="S2304" s="92">
        <f t="shared" si="1192"/>
        <v>1150770</v>
      </c>
      <c r="T2304" s="92">
        <f t="shared" si="1192"/>
        <v>1622715</v>
      </c>
      <c r="U2304" s="92">
        <f t="shared" si="1192"/>
        <v>1469710</v>
      </c>
      <c r="V2304" s="92">
        <f t="shared" si="1192"/>
        <v>1512810</v>
      </c>
      <c r="W2304" s="92">
        <f t="shared" si="1192"/>
        <v>1665815</v>
      </c>
      <c r="X2304" s="92">
        <f t="shared" ref="X2304:CE2304" si="1193">X2289</f>
        <v>1803735</v>
      </c>
      <c r="Y2304" s="92">
        <f t="shared" si="1193"/>
        <v>1676590</v>
      </c>
      <c r="Z2304" s="92">
        <f t="shared" si="1193"/>
        <v>1689520</v>
      </c>
      <c r="AA2304" s="92">
        <f t="shared" si="1193"/>
        <v>2014925</v>
      </c>
      <c r="AB2304" s="92">
        <f t="shared" si="1193"/>
        <v>1711070</v>
      </c>
      <c r="AC2304" s="92">
        <f t="shared" si="1193"/>
        <v>1499880</v>
      </c>
      <c r="AD2304" s="92">
        <f t="shared" si="1193"/>
        <v>1900710</v>
      </c>
      <c r="AE2304" s="92">
        <f t="shared" si="1193"/>
        <v>1784340</v>
      </c>
      <c r="AF2304" s="92">
        <f t="shared" si="1193"/>
        <v>1943810</v>
      </c>
      <c r="AG2304" s="92">
        <f t="shared" si="1193"/>
        <v>1935190</v>
      </c>
      <c r="AH2304" s="92">
        <f t="shared" si="1193"/>
        <v>1911485</v>
      </c>
      <c r="AI2304" s="92">
        <f t="shared" si="1193"/>
        <v>1971825</v>
      </c>
      <c r="AJ2304" s="92">
        <f t="shared" si="1193"/>
        <v>1657195</v>
      </c>
      <c r="AK2304" s="92">
        <f t="shared" si="1193"/>
        <v>1913640</v>
      </c>
      <c r="AL2304" s="92">
        <f t="shared" si="1193"/>
        <v>1739085</v>
      </c>
      <c r="AM2304" s="92">
        <f t="shared" si="1193"/>
        <v>1780030</v>
      </c>
      <c r="AN2304" s="92">
        <f t="shared" si="1193"/>
        <v>1833905</v>
      </c>
      <c r="AO2304" s="92">
        <f t="shared" si="1193"/>
        <v>2144225</v>
      </c>
      <c r="AP2304" s="92">
        <f t="shared" si="1193"/>
        <v>1665815</v>
      </c>
      <c r="AQ2304" s="92">
        <f t="shared" si="1193"/>
        <v>1730465</v>
      </c>
      <c r="AR2304" s="92">
        <f t="shared" si="1193"/>
        <v>1820975</v>
      </c>
      <c r="AS2304" s="92">
        <f t="shared" si="1193"/>
        <v>1973980</v>
      </c>
      <c r="AT2304" s="92">
        <f t="shared" si="1193"/>
        <v>1566685</v>
      </c>
      <c r="AU2304" s="92">
        <f t="shared" si="1193"/>
        <v>1861920</v>
      </c>
      <c r="AV2304" s="92">
        <f t="shared" si="1193"/>
        <v>1810200</v>
      </c>
      <c r="AW2304" s="92">
        <f t="shared" si="1193"/>
        <v>1747705</v>
      </c>
      <c r="AX2304" s="92">
        <f t="shared" si="1193"/>
        <v>1614095</v>
      </c>
      <c r="AY2304" s="92">
        <f t="shared" si="1193"/>
        <v>1767100</v>
      </c>
      <c r="AZ2304" s="92">
        <f t="shared" si="1193"/>
        <v>1527895</v>
      </c>
      <c r="BA2304" s="92">
        <f t="shared" si="1193"/>
        <v>1644265</v>
      </c>
      <c r="BB2304" s="92">
        <f t="shared" si="1193"/>
        <v>1508500</v>
      </c>
      <c r="BC2304" s="92">
        <f t="shared" ref="BC2304:CD2304" si="1194">BC2289</f>
        <v>1586080</v>
      </c>
      <c r="BD2304" s="92">
        <f t="shared" si="1194"/>
        <v>1583925</v>
      </c>
      <c r="BE2304" s="92">
        <f t="shared" si="1194"/>
        <v>1469710</v>
      </c>
      <c r="BF2304" s="92">
        <f t="shared" si="1194"/>
        <v>1596855</v>
      </c>
      <c r="BG2304" s="92">
        <f t="shared" si="1194"/>
        <v>1547290</v>
      </c>
      <c r="BH2304" s="92">
        <f t="shared" si="1194"/>
        <v>1859765</v>
      </c>
      <c r="BI2304" s="92">
        <f t="shared" si="1194"/>
        <v>1452470</v>
      </c>
      <c r="BJ2304" s="92">
        <f t="shared" si="1194"/>
        <v>1676590</v>
      </c>
      <c r="BK2304" s="92">
        <f t="shared" si="1194"/>
        <v>1827440</v>
      </c>
      <c r="BL2304" s="92">
        <f t="shared" si="1194"/>
        <v>1868385</v>
      </c>
      <c r="BM2304" s="92">
        <f t="shared" si="1194"/>
        <v>2076040</v>
      </c>
      <c r="BN2304" s="92">
        <f t="shared" si="1194"/>
        <v>2071212</v>
      </c>
      <c r="BO2304" s="92">
        <f t="shared" si="1194"/>
        <v>2032588</v>
      </c>
      <c r="BP2304" s="92">
        <f t="shared" si="1194"/>
        <v>1740494</v>
      </c>
      <c r="BQ2304" s="92">
        <f t="shared" si="1194"/>
        <v>1363910</v>
      </c>
      <c r="BR2304" s="92">
        <f t="shared" si="1194"/>
        <v>1151478</v>
      </c>
      <c r="BS2304" s="92">
        <f t="shared" si="1194"/>
        <v>1363910</v>
      </c>
      <c r="BT2304" s="92">
        <f t="shared" si="1194"/>
        <v>1665660</v>
      </c>
      <c r="BU2304" s="92">
        <f t="shared" si="1194"/>
        <v>1740494</v>
      </c>
      <c r="BV2304" s="92">
        <f t="shared" si="1194"/>
        <v>1583584</v>
      </c>
      <c r="BW2304" s="92">
        <f t="shared" si="1194"/>
        <v>1738080</v>
      </c>
      <c r="BX2304" s="92">
        <f t="shared" si="1194"/>
        <v>1745322</v>
      </c>
      <c r="BY2304" s="92">
        <f t="shared" si="1194"/>
        <v>1624622</v>
      </c>
      <c r="BZ2304" s="92">
        <f t="shared" si="1194"/>
        <v>1718768</v>
      </c>
      <c r="CA2304" s="92">
        <f t="shared" si="1194"/>
        <v>1904646</v>
      </c>
      <c r="CB2304" s="92">
        <f t="shared" si="1194"/>
        <v>1890162</v>
      </c>
      <c r="CC2304" s="92">
        <f t="shared" si="1194"/>
        <v>1769462</v>
      </c>
      <c r="CD2304" s="92">
        <f t="shared" si="1194"/>
        <v>1919130</v>
      </c>
      <c r="CE2304" s="92">
        <f t="shared" si="1193"/>
        <v>1322872</v>
      </c>
      <c r="CF2304" s="92">
        <f t="shared" si="1178"/>
        <v>132543734</v>
      </c>
      <c r="CG2304" s="92">
        <f t="shared" si="1179"/>
        <v>1616387</v>
      </c>
    </row>
    <row r="2305" spans="1:85" x14ac:dyDescent="0.25">
      <c r="A2305" s="198" t="s">
        <v>32</v>
      </c>
      <c r="B2305" s="199">
        <f t="shared" ref="B2305:K2305" si="1195">SUM(B2299:B2304)</f>
        <v>16551034.482758623</v>
      </c>
      <c r="C2305" s="199">
        <f t="shared" si="1195"/>
        <v>23795344.827586208</v>
      </c>
      <c r="D2305" s="199">
        <f t="shared" si="1195"/>
        <v>26300086.206896555</v>
      </c>
      <c r="E2305" s="199">
        <f t="shared" si="1195"/>
        <v>21632672.413793106</v>
      </c>
      <c r="F2305" s="199">
        <f t="shared" si="1195"/>
        <v>22911293.103448275</v>
      </c>
      <c r="G2305" s="199">
        <f t="shared" si="1195"/>
        <v>25749224.137931034</v>
      </c>
      <c r="H2305" s="199">
        <f t="shared" si="1195"/>
        <v>29613017.241379313</v>
      </c>
      <c r="I2305" s="199">
        <f t="shared" si="1195"/>
        <v>30971982.758620691</v>
      </c>
      <c r="J2305" s="199">
        <f t="shared" si="1195"/>
        <v>34094137.93103449</v>
      </c>
      <c r="K2305" s="199">
        <f t="shared" si="1195"/>
        <v>30265086.206896551</v>
      </c>
      <c r="L2305" s="199">
        <f>L2290</f>
        <v>34538017.241379313</v>
      </c>
      <c r="M2305" s="199">
        <f>SUM(M2299:M2304)</f>
        <v>33565000</v>
      </c>
      <c r="N2305" s="199">
        <f>SUM(N2299:N2304)</f>
        <v>33290258.620689657</v>
      </c>
      <c r="O2305" s="199">
        <f>SUM(O2299:O2304)</f>
        <v>37917413.793103456</v>
      </c>
      <c r="P2305" s="199">
        <f>SUM(P2299:P2304)</f>
        <v>33140431.034482755</v>
      </c>
      <c r="Q2305" s="199">
        <f>SUM(Q2299:Q2304)</f>
        <v>32934568.965517245</v>
      </c>
      <c r="R2305" s="199">
        <f t="shared" ref="R2305:W2305" si="1196">SUM(R2299:R2304)</f>
        <v>29614482.758620691</v>
      </c>
      <c r="S2305" s="199">
        <f t="shared" si="1196"/>
        <v>31858362.068965524</v>
      </c>
      <c r="T2305" s="199">
        <f t="shared" si="1196"/>
        <v>39256551.72413794</v>
      </c>
      <c r="U2305" s="199">
        <f t="shared" si="1196"/>
        <v>37209999.999999993</v>
      </c>
      <c r="V2305" s="199">
        <f t="shared" si="1196"/>
        <v>38367500</v>
      </c>
      <c r="W2305" s="199">
        <f t="shared" si="1196"/>
        <v>39451810.344827592</v>
      </c>
      <c r="X2305" s="199">
        <f t="shared" ref="X2305:CF2305" si="1197">SUM(X2299:X2304)</f>
        <v>38895689.655172415</v>
      </c>
      <c r="Y2305" s="199">
        <f t="shared" si="1197"/>
        <v>40030853.448275872</v>
      </c>
      <c r="Z2305" s="199">
        <f t="shared" si="1197"/>
        <v>40726206.896551728</v>
      </c>
      <c r="AA2305" s="199">
        <f t="shared" si="1197"/>
        <v>44911120.689655177</v>
      </c>
      <c r="AB2305" s="199">
        <f t="shared" si="1197"/>
        <v>42418275.862068966</v>
      </c>
      <c r="AC2305" s="199">
        <f t="shared" si="1197"/>
        <v>34669224.137931041</v>
      </c>
      <c r="AD2305" s="199">
        <f t="shared" si="1197"/>
        <v>43427758.62068966</v>
      </c>
      <c r="AE2305" s="199">
        <f t="shared" si="1197"/>
        <v>43563189.655172415</v>
      </c>
      <c r="AF2305" s="199">
        <f t="shared" si="1197"/>
        <v>44228965.517241389</v>
      </c>
      <c r="AG2305" s="199">
        <f t="shared" si="1197"/>
        <v>45608793.103448279</v>
      </c>
      <c r="AH2305" s="199">
        <f t="shared" si="1197"/>
        <v>46941206.896551728</v>
      </c>
      <c r="AI2305" s="199">
        <f t="shared" si="1197"/>
        <v>43732241.379310355</v>
      </c>
      <c r="AJ2305" s="199">
        <f t="shared" si="1197"/>
        <v>39593189.655172415</v>
      </c>
      <c r="AK2305" s="199">
        <f t="shared" si="1197"/>
        <v>42194396.551724136</v>
      </c>
      <c r="AL2305" s="199">
        <f t="shared" si="1197"/>
        <v>40483965.517241389</v>
      </c>
      <c r="AM2305" s="199">
        <f t="shared" si="1197"/>
        <v>40896896.551724143</v>
      </c>
      <c r="AN2305" s="199">
        <f t="shared" si="1197"/>
        <v>41770517.241379321</v>
      </c>
      <c r="AO2305" s="199">
        <f t="shared" si="1197"/>
        <v>48944827.586206913</v>
      </c>
      <c r="AP2305" s="199">
        <f t="shared" si="1197"/>
        <v>38696293.103448272</v>
      </c>
      <c r="AQ2305" s="199">
        <f t="shared" si="1197"/>
        <v>40697844.827586219</v>
      </c>
      <c r="AR2305" s="199">
        <f t="shared" si="1197"/>
        <v>41579913.793103456</v>
      </c>
      <c r="AS2305" s="199">
        <f t="shared" si="1197"/>
        <v>45392500.000000007</v>
      </c>
      <c r="AT2305" s="199">
        <f t="shared" si="1197"/>
        <v>37697327.586206898</v>
      </c>
      <c r="AU2305" s="199">
        <f t="shared" si="1197"/>
        <v>43174568.965517245</v>
      </c>
      <c r="AV2305" s="199">
        <f t="shared" si="1197"/>
        <v>39852758.620689653</v>
      </c>
      <c r="AW2305" s="199">
        <f t="shared" si="1197"/>
        <v>38561206.896551721</v>
      </c>
      <c r="AX2305" s="199">
        <f t="shared" si="1197"/>
        <v>37020086.206896558</v>
      </c>
      <c r="AY2305" s="199">
        <f t="shared" si="1197"/>
        <v>40670948.275862075</v>
      </c>
      <c r="AZ2305" s="199">
        <f t="shared" si="1197"/>
        <v>34036465.517241389</v>
      </c>
      <c r="BA2305" s="199">
        <f t="shared" si="1197"/>
        <v>37193620.689655177</v>
      </c>
      <c r="BB2305" s="199">
        <f t="shared" si="1197"/>
        <v>35076465.517241381</v>
      </c>
      <c r="BC2305" s="199">
        <f t="shared" ref="BC2305:CD2305" si="1198">SUM(BC2299:BC2304)</f>
        <v>36227025.862068966</v>
      </c>
      <c r="BD2305" s="199">
        <f t="shared" si="1198"/>
        <v>35508793.103448279</v>
      </c>
      <c r="BE2305" s="199">
        <f t="shared" si="1198"/>
        <v>33428448.275862072</v>
      </c>
      <c r="BF2305" s="199">
        <f t="shared" si="1198"/>
        <v>36320344.827586211</v>
      </c>
      <c r="BG2305" s="199">
        <f t="shared" si="1198"/>
        <v>34912327.586206898</v>
      </c>
      <c r="BH2305" s="199">
        <f t="shared" si="1198"/>
        <v>40803534.482758626</v>
      </c>
      <c r="BI2305" s="199">
        <f t="shared" si="1198"/>
        <v>34589827.586206898</v>
      </c>
      <c r="BJ2305" s="199">
        <f t="shared" si="1198"/>
        <v>38069655.172413796</v>
      </c>
      <c r="BK2305" s="199">
        <f t="shared" si="1198"/>
        <v>38042413.793103456</v>
      </c>
      <c r="BL2305" s="199">
        <f t="shared" si="1198"/>
        <v>39593793.103448279</v>
      </c>
      <c r="BM2305" s="199">
        <f t="shared" si="1198"/>
        <v>38294827.586206906</v>
      </c>
      <c r="BN2305" s="199">
        <f t="shared" si="1198"/>
        <v>38733448.275862075</v>
      </c>
      <c r="BO2305" s="199">
        <f t="shared" si="1198"/>
        <v>40485387.931034483</v>
      </c>
      <c r="BP2305" s="199">
        <f t="shared" si="1198"/>
        <v>34954741.379310347</v>
      </c>
      <c r="BQ2305" s="199">
        <f t="shared" si="1198"/>
        <v>29154741.379310351</v>
      </c>
      <c r="BR2305" s="199">
        <f t="shared" si="1198"/>
        <v>26913275.86206897</v>
      </c>
      <c r="BS2305" s="199">
        <f t="shared" si="1198"/>
        <v>28451551.724137932</v>
      </c>
      <c r="BT2305" s="199">
        <f t="shared" si="1198"/>
        <v>33121120.68965517</v>
      </c>
      <c r="BU2305" s="199">
        <f t="shared" si="1198"/>
        <v>35211206.896551728</v>
      </c>
      <c r="BV2305" s="199">
        <f t="shared" si="1198"/>
        <v>31712500.000000004</v>
      </c>
      <c r="BW2305" s="199">
        <f t="shared" si="1198"/>
        <v>33147758.620689657</v>
      </c>
      <c r="BX2305" s="199">
        <f t="shared" si="1198"/>
        <v>33521465.517241381</v>
      </c>
      <c r="BY2305" s="199">
        <f t="shared" si="1198"/>
        <v>32153017.241379313</v>
      </c>
      <c r="BZ2305" s="199">
        <f t="shared" si="1198"/>
        <v>33553448.275862072</v>
      </c>
      <c r="CA2305" s="199">
        <f t="shared" si="1198"/>
        <v>36938706.896551728</v>
      </c>
      <c r="CB2305" s="199">
        <f t="shared" si="1198"/>
        <v>37789396.551724136</v>
      </c>
      <c r="CC2305" s="199">
        <f t="shared" si="1198"/>
        <v>34648017.241379313</v>
      </c>
      <c r="CD2305" s="199">
        <f t="shared" si="1198"/>
        <v>36954137.931034483</v>
      </c>
      <c r="CE2305" s="199">
        <f t="shared" si="1197"/>
        <v>28290172.413793102</v>
      </c>
      <c r="CF2305" s="199">
        <f t="shared" si="1197"/>
        <v>2967240681.034483</v>
      </c>
      <c r="CG2305" s="199">
        <f t="shared" si="1179"/>
        <v>36185861.963835157</v>
      </c>
    </row>
    <row r="2306" spans="1:85" x14ac:dyDescent="0.25">
      <c r="A2306" s="204"/>
      <c r="B2306" s="343"/>
      <c r="C2306" s="343"/>
      <c r="D2306" s="343"/>
      <c r="E2306" s="343"/>
      <c r="F2306" s="343"/>
      <c r="G2306" s="343"/>
      <c r="H2306" s="343"/>
      <c r="I2306" s="343"/>
      <c r="J2306" s="343"/>
      <c r="K2306" s="343"/>
      <c r="L2306" s="343"/>
      <c r="M2306" s="343"/>
      <c r="N2306" s="343"/>
    </row>
    <row r="2307" spans="1:85" x14ac:dyDescent="0.25">
      <c r="A2307" s="204"/>
      <c r="B2307" s="343"/>
      <c r="C2307" s="343"/>
      <c r="D2307" s="343"/>
      <c r="E2307" s="343"/>
      <c r="F2307" s="343"/>
      <c r="G2307" s="343"/>
      <c r="H2307" s="343"/>
      <c r="I2307" s="343"/>
      <c r="J2307" s="343"/>
      <c r="K2307" s="343"/>
      <c r="L2307" s="343"/>
      <c r="M2307" s="343"/>
      <c r="N2307" s="343"/>
    </row>
  </sheetData>
  <sheetProtection selectLockedCells="1" selectUnlockedCells="1"/>
  <mergeCells count="87">
    <mergeCell ref="B2294:H2294"/>
    <mergeCell ref="B1997:H1997"/>
    <mergeCell ref="B2051:H2051"/>
    <mergeCell ref="B1727:H1727"/>
    <mergeCell ref="B1754:H1754"/>
    <mergeCell ref="B1781:H1781"/>
    <mergeCell ref="B1916:H1916"/>
    <mergeCell ref="B2105:H2105"/>
    <mergeCell ref="B2078:H2078"/>
    <mergeCell ref="B2024:H2024"/>
    <mergeCell ref="B1970:H1970"/>
    <mergeCell ref="B1943:H1943"/>
    <mergeCell ref="B2267:H2267"/>
    <mergeCell ref="B1808:H1808"/>
    <mergeCell ref="B1862:H1862"/>
    <mergeCell ref="B1835:H1835"/>
    <mergeCell ref="B1889:H1889"/>
    <mergeCell ref="B2132:H2132"/>
    <mergeCell ref="B1457:H1457"/>
    <mergeCell ref="B1484:H1484"/>
    <mergeCell ref="B1511:H1511"/>
    <mergeCell ref="B1673:H1673"/>
    <mergeCell ref="B1700:H1700"/>
    <mergeCell ref="B1538:H1538"/>
    <mergeCell ref="B1565:H1565"/>
    <mergeCell ref="B1592:H1592"/>
    <mergeCell ref="B1619:H1619"/>
    <mergeCell ref="B1646:H1646"/>
    <mergeCell ref="B1187:H1187"/>
    <mergeCell ref="B1214:H1214"/>
    <mergeCell ref="B1241:H1241"/>
    <mergeCell ref="B1268:H1268"/>
    <mergeCell ref="B1295:H1295"/>
    <mergeCell ref="B1322:H1322"/>
    <mergeCell ref="B1349:H1349"/>
    <mergeCell ref="B1376:H1376"/>
    <mergeCell ref="B1403:H1403"/>
    <mergeCell ref="B1430:H1430"/>
    <mergeCell ref="B1052:H1052"/>
    <mergeCell ref="B1079:H1079"/>
    <mergeCell ref="B1106:H1106"/>
    <mergeCell ref="B1133:H1133"/>
    <mergeCell ref="B1160:H1160"/>
    <mergeCell ref="B917:H917"/>
    <mergeCell ref="B944:H944"/>
    <mergeCell ref="B971:H971"/>
    <mergeCell ref="B998:H998"/>
    <mergeCell ref="B1025:H1025"/>
    <mergeCell ref="B1:J1"/>
    <mergeCell ref="B3:I3"/>
    <mergeCell ref="B29:I29"/>
    <mergeCell ref="B30:I30"/>
    <mergeCell ref="B58:I58"/>
    <mergeCell ref="B86:H86"/>
    <mergeCell ref="B114:H114"/>
    <mergeCell ref="B142:H142"/>
    <mergeCell ref="B170:H170"/>
    <mergeCell ref="B198:H198"/>
    <mergeCell ref="B226:H226"/>
    <mergeCell ref="B255:H255"/>
    <mergeCell ref="B283:H283"/>
    <mergeCell ref="B311:H311"/>
    <mergeCell ref="B338:H338"/>
    <mergeCell ref="B836:H836"/>
    <mergeCell ref="B863:H863"/>
    <mergeCell ref="B890:H890"/>
    <mergeCell ref="B365:H365"/>
    <mergeCell ref="B392:H392"/>
    <mergeCell ref="B419:H419"/>
    <mergeCell ref="B446:H446"/>
    <mergeCell ref="B473:H473"/>
    <mergeCell ref="B2240:H2240"/>
    <mergeCell ref="B2213:H2213"/>
    <mergeCell ref="B2186:H2186"/>
    <mergeCell ref="B2159:H2159"/>
    <mergeCell ref="B500:H500"/>
    <mergeCell ref="B528:H528"/>
    <mergeCell ref="B556:H556"/>
    <mergeCell ref="B584:H584"/>
    <mergeCell ref="B613:H613"/>
    <mergeCell ref="B641:H641"/>
    <mergeCell ref="B669:H669"/>
    <mergeCell ref="B697:H697"/>
    <mergeCell ref="B725:H725"/>
    <mergeCell ref="B753:H753"/>
    <mergeCell ref="B781:H781"/>
    <mergeCell ref="B808:H808"/>
  </mergeCells>
  <pageMargins left="0.70833333333333337" right="0.11805555555555555" top="0.35416666666666669" bottom="0.35416666666666669" header="0.51180555555555551" footer="0.51180555555555551"/>
  <pageSetup scale="65" firstPageNumber="0"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CE2142"/>
  <sheetViews>
    <sheetView topLeftCell="A2070" zoomScale="75" zoomScaleNormal="75" zoomScalePageLayoutView="75" workbookViewId="0">
      <selection activeCell="I2097" sqref="I2097"/>
    </sheetView>
  </sheetViews>
  <sheetFormatPr baseColWidth="10" defaultRowHeight="15" x14ac:dyDescent="0.25"/>
  <cols>
    <col min="1" max="1" width="35.140625" customWidth="1"/>
    <col min="2" max="2" width="14.85546875" customWidth="1"/>
    <col min="3" max="3" width="16.140625" customWidth="1"/>
    <col min="4" max="4" width="18.140625" customWidth="1"/>
    <col min="5" max="5" width="15.42578125" customWidth="1"/>
    <col min="6" max="6" width="16.7109375" customWidth="1"/>
    <col min="7" max="7" width="16.85546875" customWidth="1"/>
    <col min="8" max="8" width="18.7109375" customWidth="1"/>
    <col min="9" max="9" width="16.42578125" customWidth="1"/>
    <col min="10" max="10" width="20" customWidth="1"/>
    <col min="11" max="78" width="18" customWidth="1"/>
    <col min="79" max="79" width="19" customWidth="1"/>
    <col min="80" max="80" width="21.42578125" bestFit="1" customWidth="1"/>
  </cols>
  <sheetData>
    <row r="1" spans="1:12" ht="26.25" x14ac:dyDescent="0.4">
      <c r="B1" s="1003" t="s">
        <v>414</v>
      </c>
      <c r="C1" s="1003"/>
      <c r="D1" s="1003"/>
      <c r="E1" s="1003"/>
      <c r="F1" s="1003"/>
      <c r="G1" s="1003"/>
      <c r="H1" s="1003"/>
      <c r="I1" s="1003"/>
      <c r="J1" s="1003"/>
    </row>
    <row r="3" spans="1:12" ht="27" thickBot="1" x14ac:dyDescent="0.3">
      <c r="B3" s="1004" t="s">
        <v>353</v>
      </c>
      <c r="C3" s="1004"/>
      <c r="D3" s="1004"/>
      <c r="E3" s="1004"/>
      <c r="F3" s="1004"/>
      <c r="G3" s="1004"/>
      <c r="H3" s="1004"/>
      <c r="I3" s="1004"/>
    </row>
    <row r="4" spans="1:12" ht="15.75" x14ac:dyDescent="0.25">
      <c r="A4" s="72" t="s">
        <v>2</v>
      </c>
      <c r="B4" s="287" t="s">
        <v>107</v>
      </c>
      <c r="C4" s="51" t="s">
        <v>108</v>
      </c>
      <c r="D4" s="50" t="s">
        <v>109</v>
      </c>
      <c r="E4" s="51" t="s">
        <v>110</v>
      </c>
      <c r="F4" s="51" t="s">
        <v>111</v>
      </c>
      <c r="G4" s="51" t="s">
        <v>112</v>
      </c>
      <c r="H4" s="50" t="s">
        <v>113</v>
      </c>
      <c r="I4" s="51" t="s">
        <v>10</v>
      </c>
      <c r="J4" s="73" t="s">
        <v>68</v>
      </c>
      <c r="L4">
        <f>I11+I38+I66</f>
        <v>3086</v>
      </c>
    </row>
    <row r="5" spans="1:12" x14ac:dyDescent="0.25">
      <c r="A5" s="74" t="s">
        <v>11</v>
      </c>
      <c r="B5" s="288"/>
      <c r="C5" s="289"/>
      <c r="D5" s="6"/>
      <c r="E5" s="7">
        <v>36</v>
      </c>
      <c r="F5" s="290">
        <v>114</v>
      </c>
      <c r="G5" s="290">
        <v>147</v>
      </c>
      <c r="H5" s="290">
        <v>183</v>
      </c>
      <c r="I5" s="76">
        <f>'NOGAL '!$B5+'NOGAL '!$C5+'NOGAL '!$D5+'NOGAL '!$E5+'NOGAL '!$F5+'NOGAL '!$G5+'NOGAL '!$H5</f>
        <v>480</v>
      </c>
      <c r="J5" s="76">
        <f>'NOGAL '!$I5/7</f>
        <v>68.571428571428569</v>
      </c>
    </row>
    <row r="6" spans="1:12" x14ac:dyDescent="0.25">
      <c r="A6" s="77" t="s">
        <v>12</v>
      </c>
      <c r="B6" s="291"/>
      <c r="C6" s="292"/>
      <c r="D6" s="78"/>
      <c r="E6" s="78">
        <v>20</v>
      </c>
      <c r="F6" s="78">
        <v>50</v>
      </c>
      <c r="G6" s="78">
        <v>73</v>
      </c>
      <c r="H6" s="78">
        <v>88</v>
      </c>
      <c r="I6" s="78">
        <f>'NOGAL '!$B6+'NOGAL '!$C6+'NOGAL '!$D6+'NOGAL '!$E6+'NOGAL '!$F6+'NOGAL '!$G6+'NOGAL '!$H6</f>
        <v>231</v>
      </c>
      <c r="J6" s="127">
        <f>'NOGAL '!$I6/7</f>
        <v>33</v>
      </c>
    </row>
    <row r="7" spans="1:12" x14ac:dyDescent="0.25">
      <c r="A7" s="77" t="s">
        <v>13</v>
      </c>
      <c r="B7" s="291"/>
      <c r="C7" s="292"/>
      <c r="D7" s="78"/>
      <c r="E7" s="78">
        <v>0</v>
      </c>
      <c r="F7" s="78">
        <v>3</v>
      </c>
      <c r="G7" s="78">
        <v>0</v>
      </c>
      <c r="H7" s="78">
        <v>1</v>
      </c>
      <c r="I7" s="78">
        <f>'NOGAL '!$B7+'NOGAL '!$C7+'NOGAL '!$D7+'NOGAL '!$E7+'NOGAL '!$F7+'NOGAL '!$G7+'NOGAL '!$H7</f>
        <v>4</v>
      </c>
      <c r="J7" s="127">
        <f>'NOGAL '!$I7/7</f>
        <v>0.5714285714285714</v>
      </c>
    </row>
    <row r="8" spans="1:12" x14ac:dyDescent="0.25">
      <c r="A8" s="77" t="s">
        <v>14</v>
      </c>
      <c r="B8" s="291"/>
      <c r="C8" s="292"/>
      <c r="D8" s="78"/>
      <c r="E8" s="78">
        <v>18</v>
      </c>
      <c r="F8" s="78">
        <v>56</v>
      </c>
      <c r="G8" s="78">
        <v>35</v>
      </c>
      <c r="H8" s="78">
        <v>46</v>
      </c>
      <c r="I8" s="78">
        <f>'NOGAL '!$B8+'NOGAL '!$C8+'NOGAL '!$D8+'NOGAL '!$E8+'NOGAL '!$F8+'NOGAL '!$G8+'NOGAL '!$H8</f>
        <v>155</v>
      </c>
      <c r="J8" s="127">
        <f>'NOGAL '!$I8/7</f>
        <v>22.142857142857142</v>
      </c>
    </row>
    <row r="9" spans="1:12" x14ac:dyDescent="0.25">
      <c r="A9" s="77" t="s">
        <v>15</v>
      </c>
      <c r="B9" s="291"/>
      <c r="C9" s="292"/>
      <c r="D9" s="78"/>
      <c r="E9" s="78">
        <v>1</v>
      </c>
      <c r="F9" s="78">
        <v>17</v>
      </c>
      <c r="G9" s="78">
        <v>23</v>
      </c>
      <c r="H9" s="78">
        <v>36</v>
      </c>
      <c r="I9" s="78">
        <f>'NOGAL '!$B9+'NOGAL '!$C9+'NOGAL '!$D9+'NOGAL '!$E9+'NOGAL '!$F9+'NOGAL '!$G9+'NOGAL '!$H9</f>
        <v>77</v>
      </c>
      <c r="J9" s="127">
        <f>'NOGAL '!$I9/7</f>
        <v>11</v>
      </c>
    </row>
    <row r="10" spans="1:12" x14ac:dyDescent="0.25">
      <c r="A10" s="77" t="s">
        <v>16</v>
      </c>
      <c r="B10" s="291"/>
      <c r="C10" s="292"/>
      <c r="D10" s="78"/>
      <c r="E10" s="78">
        <v>0</v>
      </c>
      <c r="F10" s="78">
        <v>4</v>
      </c>
      <c r="G10" s="78">
        <v>5</v>
      </c>
      <c r="H10" s="78">
        <v>6</v>
      </c>
      <c r="I10" s="78">
        <f>'NOGAL '!$B10+'NOGAL '!$C10+'NOGAL '!$D10+'NOGAL '!$E10+'NOGAL '!$F10+'NOGAL '!$G10+'NOGAL '!$H10</f>
        <v>15</v>
      </c>
      <c r="J10" s="127">
        <f>'NOGAL '!$I10/7</f>
        <v>2.1428571428571428</v>
      </c>
    </row>
    <row r="11" spans="1:12" x14ac:dyDescent="0.25">
      <c r="A11" s="79" t="s">
        <v>17</v>
      </c>
      <c r="B11" s="293">
        <f>B6+B7+B8+B9+B10</f>
        <v>0</v>
      </c>
      <c r="C11" s="213">
        <f t="shared" ref="C11:H11" si="0">SUM(C6:C10)</f>
        <v>0</v>
      </c>
      <c r="D11" s="103">
        <f t="shared" si="0"/>
        <v>0</v>
      </c>
      <c r="E11" s="103">
        <f t="shared" si="0"/>
        <v>39</v>
      </c>
      <c r="F11" s="103">
        <f t="shared" si="0"/>
        <v>130</v>
      </c>
      <c r="G11" s="103">
        <f t="shared" si="0"/>
        <v>136</v>
      </c>
      <c r="H11" s="103">
        <f t="shared" si="0"/>
        <v>177</v>
      </c>
      <c r="I11" s="294">
        <f>'NOGAL '!$B11+'NOGAL '!$C11+'NOGAL '!$D11+'NOGAL '!$E11+'NOGAL '!$F11+'NOGAL '!$G11+'NOGAL '!$H11</f>
        <v>482</v>
      </c>
      <c r="J11" s="295">
        <f>'NOGAL '!$I11/7</f>
        <v>68.857142857142861</v>
      </c>
    </row>
    <row r="12" spans="1:12" x14ac:dyDescent="0.25">
      <c r="A12" s="77" t="s">
        <v>18</v>
      </c>
      <c r="B12" s="296"/>
      <c r="C12" s="297"/>
      <c r="D12" s="18"/>
      <c r="E12" s="18">
        <v>0.56999999999999995</v>
      </c>
      <c r="F12" s="18">
        <v>0.52</v>
      </c>
      <c r="G12" s="18">
        <v>0.62</v>
      </c>
      <c r="H12" s="18">
        <v>0.61</v>
      </c>
      <c r="I12" s="18">
        <f>I19/I24</f>
        <v>0.58906626271538576</v>
      </c>
      <c r="J12" s="18">
        <f>J19/J24</f>
        <v>0.58906626271538576</v>
      </c>
    </row>
    <row r="13" spans="1:12" x14ac:dyDescent="0.25">
      <c r="A13" s="77" t="s">
        <v>19</v>
      </c>
      <c r="B13" s="296"/>
      <c r="C13" s="297"/>
      <c r="D13" s="18"/>
      <c r="E13" s="18">
        <v>0</v>
      </c>
      <c r="F13" s="18">
        <v>0</v>
      </c>
      <c r="G13" s="18">
        <v>0</v>
      </c>
      <c r="H13" s="18">
        <v>0</v>
      </c>
      <c r="I13" s="18">
        <f>I20/I24</f>
        <v>0</v>
      </c>
      <c r="J13" s="18">
        <f>J20/J24</f>
        <v>0</v>
      </c>
    </row>
    <row r="14" spans="1:12" x14ac:dyDescent="0.25">
      <c r="A14" s="77" t="s">
        <v>20</v>
      </c>
      <c r="B14" s="296"/>
      <c r="C14" s="297"/>
      <c r="D14" s="18"/>
      <c r="E14" s="18">
        <v>0.4</v>
      </c>
      <c r="F14" s="18">
        <v>0.28999999999999998</v>
      </c>
      <c r="G14" s="18">
        <v>0.14000000000000001</v>
      </c>
      <c r="H14" s="18">
        <v>0.2</v>
      </c>
      <c r="I14" s="18">
        <f>I21/I24</f>
        <v>0.21707883198132671</v>
      </c>
      <c r="J14" s="18">
        <f>J21/J24</f>
        <v>0.21707883198132671</v>
      </c>
      <c r="L14" s="89"/>
    </row>
    <row r="15" spans="1:12" x14ac:dyDescent="0.25">
      <c r="A15" s="77" t="s">
        <v>21</v>
      </c>
      <c r="B15" s="296"/>
      <c r="C15" s="297"/>
      <c r="D15" s="18"/>
      <c r="E15" s="18">
        <v>0.03</v>
      </c>
      <c r="F15" s="18">
        <v>0.17</v>
      </c>
      <c r="G15" s="18">
        <v>0.19</v>
      </c>
      <c r="H15" s="18">
        <v>0.15</v>
      </c>
      <c r="I15" s="18">
        <f>I22/I24</f>
        <v>0.15838988576785523</v>
      </c>
      <c r="J15" s="18">
        <f>J22/J24</f>
        <v>0.15838988576785523</v>
      </c>
      <c r="L15" s="14"/>
    </row>
    <row r="16" spans="1:12" x14ac:dyDescent="0.25">
      <c r="A16" s="77" t="s">
        <v>22</v>
      </c>
      <c r="B16" s="296"/>
      <c r="C16" s="297"/>
      <c r="D16" s="18"/>
      <c r="E16" s="18">
        <v>0</v>
      </c>
      <c r="F16" s="18">
        <v>0.02</v>
      </c>
      <c r="G16" s="18">
        <v>0.05</v>
      </c>
      <c r="H16" s="18">
        <v>0.04</v>
      </c>
      <c r="I16" s="18">
        <f>I23/I24</f>
        <v>3.5465019535432359E-2</v>
      </c>
      <c r="J16" s="18">
        <f>J23/J24</f>
        <v>3.5465019535432366E-2</v>
      </c>
    </row>
    <row r="17" spans="1:10" x14ac:dyDescent="0.25">
      <c r="A17" s="81" t="s">
        <v>23</v>
      </c>
      <c r="B17" s="107" t="e">
        <f>B28/B11</f>
        <v>#DIV/0!</v>
      </c>
      <c r="C17" s="298" t="e">
        <f t="shared" ref="C17:H17" si="1">C28/C11</f>
        <v>#DIV/0!</v>
      </c>
      <c r="D17" s="107" t="e">
        <f t="shared" si="1"/>
        <v>#DIV/0!</v>
      </c>
      <c r="E17" s="107">
        <f t="shared" si="1"/>
        <v>30302.564102564102</v>
      </c>
      <c r="F17" s="107">
        <f t="shared" si="1"/>
        <v>27253.076923076926</v>
      </c>
      <c r="G17" s="107">
        <f t="shared" si="1"/>
        <v>36243.382352941175</v>
      </c>
      <c r="H17" s="107">
        <f t="shared" si="1"/>
        <v>31149.152542372882</v>
      </c>
      <c r="I17" s="107">
        <f>I28/I11</f>
        <v>31467.219917012448</v>
      </c>
      <c r="J17" s="107">
        <f>J28/J11</f>
        <v>31467.219917012448</v>
      </c>
    </row>
    <row r="18" spans="1:10" x14ac:dyDescent="0.25">
      <c r="A18" s="81" t="s">
        <v>24</v>
      </c>
      <c r="B18" s="107" t="e">
        <f>B28/B5</f>
        <v>#DIV/0!</v>
      </c>
      <c r="C18" s="298" t="e">
        <f t="shared" ref="C18:H18" si="2">C28/C5</f>
        <v>#DIV/0!</v>
      </c>
      <c r="D18" s="107" t="e">
        <f t="shared" si="2"/>
        <v>#DIV/0!</v>
      </c>
      <c r="E18" s="107">
        <f t="shared" si="2"/>
        <v>32827.777777777781</v>
      </c>
      <c r="F18" s="107">
        <f t="shared" si="2"/>
        <v>31078.070175438599</v>
      </c>
      <c r="G18" s="107">
        <f t="shared" si="2"/>
        <v>33531.292517006805</v>
      </c>
      <c r="H18" s="107">
        <f t="shared" si="2"/>
        <v>30127.868852459018</v>
      </c>
      <c r="I18" s="107">
        <f>I28/I5</f>
        <v>31598.333333333332</v>
      </c>
      <c r="J18" s="107">
        <f>J28/J5</f>
        <v>31598.333333333336</v>
      </c>
    </row>
    <row r="19" spans="1:10" x14ac:dyDescent="0.25">
      <c r="A19" s="77" t="s">
        <v>25</v>
      </c>
      <c r="B19" s="299"/>
      <c r="C19" s="300">
        <f t="shared" ref="C19:H19" si="3">C24*C12</f>
        <v>0</v>
      </c>
      <c r="D19" s="92">
        <f t="shared" si="3"/>
        <v>0</v>
      </c>
      <c r="E19" s="92">
        <f t="shared" si="3"/>
        <v>556145.06896551722</v>
      </c>
      <c r="F19" s="92">
        <f t="shared" si="3"/>
        <v>1532166.5517241382</v>
      </c>
      <c r="G19" s="92">
        <f t="shared" si="3"/>
        <v>2536983.6655172417</v>
      </c>
      <c r="H19" s="92">
        <f t="shared" si="3"/>
        <v>2783607.5310344826</v>
      </c>
      <c r="I19" s="92">
        <f>'NOGAL '!$B19+'NOGAL '!$C19+'NOGAL '!$D19+'NOGAL '!$E19+'NOGAL '!$F19+'NOGAL '!$G19+'NOGAL '!$H19</f>
        <v>7408902.81724138</v>
      </c>
      <c r="J19" s="92">
        <f>'NOGAL '!$I19/7</f>
        <v>1058414.68817734</v>
      </c>
    </row>
    <row r="20" spans="1:10" x14ac:dyDescent="0.25">
      <c r="A20" s="77" t="s">
        <v>26</v>
      </c>
      <c r="B20" s="299"/>
      <c r="C20" s="300">
        <f t="shared" ref="C20:H20" si="4">C24*C13</f>
        <v>0</v>
      </c>
      <c r="D20" s="92">
        <f t="shared" si="4"/>
        <v>0</v>
      </c>
      <c r="E20" s="92">
        <f t="shared" si="4"/>
        <v>0</v>
      </c>
      <c r="F20" s="92">
        <f t="shared" si="4"/>
        <v>0</v>
      </c>
      <c r="G20" s="92">
        <f t="shared" si="4"/>
        <v>0</v>
      </c>
      <c r="H20" s="92">
        <f t="shared" si="4"/>
        <v>0</v>
      </c>
      <c r="I20" s="92">
        <f>'NOGAL '!$B20+'NOGAL '!$C20+'NOGAL '!$D20+'NOGAL '!$E20+'NOGAL '!$F20+'NOGAL '!$G20+'NOGAL '!$H20</f>
        <v>0</v>
      </c>
      <c r="J20" s="92">
        <f>'NOGAL '!$I20/7</f>
        <v>0</v>
      </c>
    </row>
    <row r="21" spans="1:10" x14ac:dyDescent="0.25">
      <c r="A21" s="77" t="s">
        <v>27</v>
      </c>
      <c r="B21" s="299"/>
      <c r="C21" s="300">
        <f t="shared" ref="C21:H21" si="5">C24*C14</f>
        <v>0</v>
      </c>
      <c r="D21" s="92">
        <f t="shared" si="5"/>
        <v>0</v>
      </c>
      <c r="E21" s="92">
        <f t="shared" si="5"/>
        <v>390277.24137931038</v>
      </c>
      <c r="F21" s="92">
        <f t="shared" si="5"/>
        <v>854477.50000000012</v>
      </c>
      <c r="G21" s="92">
        <f t="shared" si="5"/>
        <v>572867.27931034495</v>
      </c>
      <c r="H21" s="92">
        <f t="shared" si="5"/>
        <v>912658.20689655177</v>
      </c>
      <c r="I21" s="92">
        <f>'NOGAL '!$B21+'NOGAL '!$C21+'NOGAL '!$D21+'NOGAL '!$E21+'NOGAL '!$F21+'NOGAL '!$G21+'NOGAL '!$H21</f>
        <v>2730280.227586207</v>
      </c>
      <c r="J21" s="92">
        <f>'NOGAL '!$I21/7</f>
        <v>390040.03251231526</v>
      </c>
    </row>
    <row r="22" spans="1:10" x14ac:dyDescent="0.25">
      <c r="A22" s="77" t="s">
        <v>28</v>
      </c>
      <c r="B22" s="299"/>
      <c r="C22" s="300">
        <f t="shared" ref="C22:H22" si="6">C24*C15</f>
        <v>0</v>
      </c>
      <c r="D22" s="92">
        <f t="shared" si="6"/>
        <v>0</v>
      </c>
      <c r="E22" s="92">
        <f t="shared" si="6"/>
        <v>29270.793103448279</v>
      </c>
      <c r="F22" s="92">
        <f t="shared" si="6"/>
        <v>500900.60344827594</v>
      </c>
      <c r="G22" s="92">
        <f t="shared" si="6"/>
        <v>777462.7362068966</v>
      </c>
      <c r="H22" s="92">
        <f t="shared" si="6"/>
        <v>684493.6551724138</v>
      </c>
      <c r="I22" s="92">
        <f>'NOGAL '!$B22+'NOGAL '!$C22+'NOGAL '!$D22+'NOGAL '!$E22+'NOGAL '!$F22+'NOGAL '!$G22+'NOGAL '!$H22</f>
        <v>1992127.7879310343</v>
      </c>
      <c r="J22" s="92">
        <f>'NOGAL '!$I22/7</f>
        <v>284589.68399014778</v>
      </c>
    </row>
    <row r="23" spans="1:10" x14ac:dyDescent="0.25">
      <c r="A23" s="77" t="s">
        <v>29</v>
      </c>
      <c r="B23" s="301"/>
      <c r="C23" s="302">
        <f t="shared" ref="C23:H23" si="7">C16*C24</f>
        <v>0</v>
      </c>
      <c r="D23" s="94">
        <f t="shared" si="7"/>
        <v>0</v>
      </c>
      <c r="E23" s="94">
        <f t="shared" si="7"/>
        <v>0</v>
      </c>
      <c r="F23" s="94">
        <f t="shared" si="7"/>
        <v>58929.482758620696</v>
      </c>
      <c r="G23" s="94">
        <f t="shared" si="7"/>
        <v>204595.45689655177</v>
      </c>
      <c r="H23" s="94">
        <f t="shared" si="7"/>
        <v>182531.64137931034</v>
      </c>
      <c r="I23" s="94">
        <f>'NOGAL '!$B23+'NOGAL '!$C23+'NOGAL '!$D23+'NOGAL '!$E23+'NOGAL '!$F23+'NOGAL '!$G23+'NOGAL '!$H23</f>
        <v>446056.58103448281</v>
      </c>
      <c r="J23" s="94">
        <f>'NOGAL '!$I23/7</f>
        <v>63722.36871921183</v>
      </c>
    </row>
    <row r="24" spans="1:10" x14ac:dyDescent="0.25">
      <c r="A24" s="82" t="s">
        <v>30</v>
      </c>
      <c r="B24" s="257"/>
      <c r="C24" s="303"/>
      <c r="D24" s="304"/>
      <c r="E24" s="304">
        <f>(1181800/1.16)-E25</f>
        <v>975693.10344827594</v>
      </c>
      <c r="F24" s="304">
        <f>(3542900/1.16)-F25</f>
        <v>2946474.1379310349</v>
      </c>
      <c r="G24" s="304">
        <f>(4929100/1.16)-G25</f>
        <v>4091909.1379310349</v>
      </c>
      <c r="H24" s="82">
        <f>(5513400/1.16)-H25</f>
        <v>4563291.0344827585</v>
      </c>
      <c r="I24" s="304">
        <f>'NOGAL '!$B24+'NOGAL '!$C24+'NOGAL '!$D24+'NOGAL '!$E24+'NOGAL '!$F24+'NOGAL '!$G24+'NOGAL '!$H24</f>
        <v>12577367.413793104</v>
      </c>
      <c r="J24" s="304">
        <f>'NOGAL '!$I24/7</f>
        <v>1796766.7733990147</v>
      </c>
    </row>
    <row r="25" spans="1:10" x14ac:dyDescent="0.25">
      <c r="A25" s="77" t="s">
        <v>31</v>
      </c>
      <c r="B25" s="301">
        <f>2155*B6</f>
        <v>0</v>
      </c>
      <c r="C25" s="112">
        <f t="shared" ref="C25:H25" si="8">2155*C6</f>
        <v>0</v>
      </c>
      <c r="D25" s="113">
        <f t="shared" si="8"/>
        <v>0</v>
      </c>
      <c r="E25" s="112">
        <f t="shared" si="8"/>
        <v>43100</v>
      </c>
      <c r="F25" s="113">
        <f t="shared" si="8"/>
        <v>107750</v>
      </c>
      <c r="G25" s="113">
        <f>2155*G6</f>
        <v>157315</v>
      </c>
      <c r="H25" s="113">
        <f t="shared" si="8"/>
        <v>189640</v>
      </c>
      <c r="I25" s="113">
        <f>2155*I6</f>
        <v>497805</v>
      </c>
      <c r="J25" s="113">
        <f>'NOGAL '!$I25/7</f>
        <v>71115</v>
      </c>
    </row>
    <row r="26" spans="1:10" x14ac:dyDescent="0.25">
      <c r="A26" s="83" t="s">
        <v>32</v>
      </c>
      <c r="B26" s="305">
        <f t="shared" ref="B26:H26" si="9">B24+B25</f>
        <v>0</v>
      </c>
      <c r="C26" s="306">
        <f t="shared" si="9"/>
        <v>0</v>
      </c>
      <c r="D26" s="115">
        <f t="shared" si="9"/>
        <v>0</v>
      </c>
      <c r="E26" s="115">
        <f t="shared" si="9"/>
        <v>1018793.1034482759</v>
      </c>
      <c r="F26" s="115">
        <f t="shared" si="9"/>
        <v>3054224.1379310349</v>
      </c>
      <c r="G26" s="115">
        <f t="shared" si="9"/>
        <v>4249224.1379310349</v>
      </c>
      <c r="H26" s="115">
        <f t="shared" si="9"/>
        <v>4752931.0344827585</v>
      </c>
      <c r="I26" s="115">
        <f>I24+I25</f>
        <v>13075172.413793104</v>
      </c>
      <c r="J26" s="115">
        <f>'NOGAL '!$I26/7</f>
        <v>1867881.7733990147</v>
      </c>
    </row>
    <row r="27" spans="1:10" x14ac:dyDescent="0.25">
      <c r="A27" s="77" t="s">
        <v>33</v>
      </c>
      <c r="B27" s="307">
        <f t="shared" ref="B27:H27" si="10">B26*16%</f>
        <v>0</v>
      </c>
      <c r="C27" s="70">
        <f t="shared" si="10"/>
        <v>0</v>
      </c>
      <c r="D27" s="117">
        <f t="shared" si="10"/>
        <v>0</v>
      </c>
      <c r="E27" s="70">
        <f t="shared" si="10"/>
        <v>163006.89655172414</v>
      </c>
      <c r="F27" s="117">
        <f t="shared" si="10"/>
        <v>488675.86206896557</v>
      </c>
      <c r="G27" s="117">
        <f t="shared" si="10"/>
        <v>679875.86206896557</v>
      </c>
      <c r="H27" s="117">
        <f t="shared" si="10"/>
        <v>760468.96551724139</v>
      </c>
      <c r="I27" s="117">
        <f>I26*16%</f>
        <v>2092027.5862068967</v>
      </c>
      <c r="J27" s="117">
        <f>'NOGAL '!$I27/7</f>
        <v>298861.08374384238</v>
      </c>
    </row>
    <row r="28" spans="1:10" ht="15.75" thickBot="1" x14ac:dyDescent="0.3">
      <c r="A28" s="84" t="s">
        <v>34</v>
      </c>
      <c r="B28" s="308">
        <f t="shared" ref="B28:H28" si="11">B26+B27</f>
        <v>0</v>
      </c>
      <c r="C28" s="309">
        <f t="shared" si="11"/>
        <v>0</v>
      </c>
      <c r="D28" s="309">
        <f t="shared" si="11"/>
        <v>0</v>
      </c>
      <c r="E28" s="309">
        <f t="shared" si="11"/>
        <v>1181800</v>
      </c>
      <c r="F28" s="309">
        <f t="shared" si="11"/>
        <v>3542900.0000000005</v>
      </c>
      <c r="G28" s="309">
        <f t="shared" si="11"/>
        <v>4929100</v>
      </c>
      <c r="H28" s="309">
        <f t="shared" si="11"/>
        <v>5513400</v>
      </c>
      <c r="I28" s="309">
        <f>I26+I27</f>
        <v>15167200</v>
      </c>
      <c r="J28" s="309">
        <f>'NOGAL '!$I28/7</f>
        <v>2166742.8571428573</v>
      </c>
    </row>
    <row r="29" spans="1:10" s="85" customFormat="1" ht="27" thickBot="1" x14ac:dyDescent="0.3">
      <c r="B29" s="1005"/>
      <c r="C29" s="1005"/>
      <c r="D29" s="1005"/>
      <c r="E29" s="1005"/>
      <c r="F29" s="1005"/>
      <c r="G29" s="1005"/>
      <c r="H29" s="1005"/>
      <c r="I29" s="1005"/>
    </row>
    <row r="30" spans="1:10" s="85" customFormat="1" ht="26.25" x14ac:dyDescent="0.25">
      <c r="B30" s="1002" t="s">
        <v>354</v>
      </c>
      <c r="C30" s="1002"/>
      <c r="D30" s="1002"/>
      <c r="E30" s="1002"/>
      <c r="F30" s="1002"/>
      <c r="G30" s="1002"/>
      <c r="H30" s="1002"/>
      <c r="I30" s="1002"/>
    </row>
    <row r="31" spans="1:10" ht="16.5" thickBot="1" x14ac:dyDescent="0.3">
      <c r="A31" s="72" t="s">
        <v>2</v>
      </c>
      <c r="B31" s="121" t="s">
        <v>270</v>
      </c>
      <c r="C31" s="51" t="s">
        <v>116</v>
      </c>
      <c r="D31" s="121" t="s">
        <v>117</v>
      </c>
      <c r="E31" s="51" t="s">
        <v>118</v>
      </c>
      <c r="F31" s="51" t="s">
        <v>119</v>
      </c>
      <c r="G31" s="121" t="s">
        <v>120</v>
      </c>
      <c r="H31" s="121" t="s">
        <v>121</v>
      </c>
      <c r="I31" s="51" t="s">
        <v>10</v>
      </c>
      <c r="J31" s="310" t="s">
        <v>77</v>
      </c>
    </row>
    <row r="32" spans="1:10" x14ac:dyDescent="0.25">
      <c r="A32" s="74" t="s">
        <v>11</v>
      </c>
      <c r="B32" s="55">
        <v>241</v>
      </c>
      <c r="C32" s="56">
        <v>78</v>
      </c>
      <c r="D32" s="54">
        <v>109</v>
      </c>
      <c r="E32" s="373">
        <v>125</v>
      </c>
      <c r="F32" s="311">
        <v>272</v>
      </c>
      <c r="G32" s="58">
        <v>308</v>
      </c>
      <c r="H32" s="57">
        <v>321</v>
      </c>
      <c r="I32" s="311">
        <f>SUM('NOGAL '!$B32:$H32)</f>
        <v>1454</v>
      </c>
      <c r="J32" s="394">
        <f>'NOGAL '!$I32/7</f>
        <v>207.71428571428572</v>
      </c>
    </row>
    <row r="33" spans="1:10" x14ac:dyDescent="0.25">
      <c r="A33" s="10" t="s">
        <v>12</v>
      </c>
      <c r="B33" s="11">
        <v>139</v>
      </c>
      <c r="C33" s="13">
        <v>34</v>
      </c>
      <c r="D33" s="13">
        <v>44</v>
      </c>
      <c r="E33" s="395">
        <v>52</v>
      </c>
      <c r="F33" s="125">
        <v>137</v>
      </c>
      <c r="G33" s="11">
        <v>169</v>
      </c>
      <c r="H33" s="11">
        <v>285</v>
      </c>
      <c r="I33" s="11">
        <f>SUM('NOGAL '!$B33:$H33)</f>
        <v>860</v>
      </c>
      <c r="J33" s="318">
        <f>'NOGAL '!$I33/7</f>
        <v>122.85714285714286</v>
      </c>
    </row>
    <row r="34" spans="1:10" x14ac:dyDescent="0.25">
      <c r="A34" s="10" t="s">
        <v>13</v>
      </c>
      <c r="B34" s="11">
        <v>0</v>
      </c>
      <c r="C34" s="13">
        <v>0</v>
      </c>
      <c r="D34" s="13">
        <v>0</v>
      </c>
      <c r="E34" s="395">
        <v>6</v>
      </c>
      <c r="F34" s="125">
        <v>1</v>
      </c>
      <c r="G34" s="11">
        <v>0</v>
      </c>
      <c r="H34" s="11">
        <v>1</v>
      </c>
      <c r="I34" s="11">
        <f>SUM('NOGAL '!$B34:$H34)</f>
        <v>8</v>
      </c>
      <c r="J34" s="318">
        <f>'NOGAL '!$I34/7</f>
        <v>1.1428571428571428</v>
      </c>
    </row>
    <row r="35" spans="1:10" x14ac:dyDescent="0.25">
      <c r="A35" s="10" t="s">
        <v>14</v>
      </c>
      <c r="B35" s="11">
        <v>41</v>
      </c>
      <c r="C35" s="13">
        <v>25</v>
      </c>
      <c r="D35" s="13">
        <v>38</v>
      </c>
      <c r="E35" s="395">
        <v>30</v>
      </c>
      <c r="F35" s="125">
        <v>72</v>
      </c>
      <c r="G35" s="11">
        <v>65</v>
      </c>
      <c r="H35" s="11">
        <v>34</v>
      </c>
      <c r="I35" s="11">
        <f>SUM('NOGAL '!$B35:$H35)</f>
        <v>305</v>
      </c>
      <c r="J35" s="318">
        <f>'NOGAL '!$I35/7</f>
        <v>43.571428571428569</v>
      </c>
    </row>
    <row r="36" spans="1:10" x14ac:dyDescent="0.25">
      <c r="A36" s="10" t="s">
        <v>15</v>
      </c>
      <c r="B36" s="11">
        <v>44</v>
      </c>
      <c r="C36" s="13">
        <v>16</v>
      </c>
      <c r="D36" s="13">
        <v>13</v>
      </c>
      <c r="E36" s="395">
        <v>10</v>
      </c>
      <c r="F36" s="125">
        <v>27</v>
      </c>
      <c r="G36" s="11">
        <v>30</v>
      </c>
      <c r="H36" s="11">
        <v>45</v>
      </c>
      <c r="I36" s="11">
        <f>SUM('NOGAL '!$B36:$H36)</f>
        <v>185</v>
      </c>
      <c r="J36" s="318">
        <f>'NOGAL '!$I36/7</f>
        <v>26.428571428571427</v>
      </c>
    </row>
    <row r="37" spans="1:10" x14ac:dyDescent="0.25">
      <c r="A37" s="10" t="s">
        <v>16</v>
      </c>
      <c r="B37" s="11">
        <v>0</v>
      </c>
      <c r="C37" s="13">
        <v>2</v>
      </c>
      <c r="D37" s="13">
        <v>1</v>
      </c>
      <c r="E37" s="395">
        <v>0</v>
      </c>
      <c r="F37" s="125">
        <v>3</v>
      </c>
      <c r="G37" s="11">
        <v>1</v>
      </c>
      <c r="H37" s="11">
        <v>3</v>
      </c>
      <c r="I37" s="11">
        <f>SUM('NOGAL '!$B37:$H37)</f>
        <v>10</v>
      </c>
      <c r="J37" s="318">
        <f>'NOGAL '!$I37/7</f>
        <v>1.4285714285714286</v>
      </c>
    </row>
    <row r="38" spans="1:10" x14ac:dyDescent="0.25">
      <c r="A38" s="15" t="s">
        <v>17</v>
      </c>
      <c r="B38" s="79">
        <f>B33+B34+B35+B36+B37</f>
        <v>224</v>
      </c>
      <c r="C38" s="79">
        <f t="shared" ref="C38:H38" si="12">SUM(C33:C37)</f>
        <v>77</v>
      </c>
      <c r="D38" s="79">
        <f t="shared" si="12"/>
        <v>96</v>
      </c>
      <c r="E38" s="248">
        <f t="shared" si="12"/>
        <v>98</v>
      </c>
      <c r="F38" s="213">
        <f t="shared" si="12"/>
        <v>240</v>
      </c>
      <c r="G38" s="103">
        <f t="shared" si="12"/>
        <v>265</v>
      </c>
      <c r="H38" s="103">
        <f t="shared" si="12"/>
        <v>368</v>
      </c>
      <c r="I38" s="103">
        <f>I33+I34+I35+I36+I37</f>
        <v>1368</v>
      </c>
      <c r="J38" s="319">
        <f>'NOGAL '!$I38/7</f>
        <v>195.42857142857142</v>
      </c>
    </row>
    <row r="39" spans="1:10" x14ac:dyDescent="0.25">
      <c r="A39" s="10" t="s">
        <v>18</v>
      </c>
      <c r="B39" s="18">
        <v>0.62</v>
      </c>
      <c r="C39" s="19">
        <v>0.48</v>
      </c>
      <c r="D39" s="19">
        <v>0.55000000000000004</v>
      </c>
      <c r="E39" s="396">
        <v>0.57999999999999996</v>
      </c>
      <c r="F39" s="129">
        <v>0.62</v>
      </c>
      <c r="G39" s="18">
        <v>0.7</v>
      </c>
      <c r="H39" s="18">
        <v>0.76</v>
      </c>
      <c r="I39" s="18">
        <f>I46/I51</f>
        <v>0.65269340202901427</v>
      </c>
      <c r="J39" s="19">
        <f>J46/J51</f>
        <v>0.65269340202901427</v>
      </c>
    </row>
    <row r="40" spans="1:10" x14ac:dyDescent="0.25">
      <c r="A40" s="10" t="s">
        <v>19</v>
      </c>
      <c r="B40" s="18">
        <v>0</v>
      </c>
      <c r="C40" s="19">
        <v>0</v>
      </c>
      <c r="D40" s="19">
        <v>0</v>
      </c>
      <c r="E40" s="396">
        <v>0.08</v>
      </c>
      <c r="F40" s="129">
        <v>0</v>
      </c>
      <c r="G40" s="18">
        <v>0</v>
      </c>
      <c r="H40" s="18">
        <v>0</v>
      </c>
      <c r="I40" s="18">
        <f>I47/I51</f>
        <v>6.387765802462286E-3</v>
      </c>
      <c r="J40" s="19">
        <f>J47/J51</f>
        <v>6.387765802462286E-3</v>
      </c>
    </row>
    <row r="41" spans="1:10" x14ac:dyDescent="0.25">
      <c r="A41" s="10" t="s">
        <v>20</v>
      </c>
      <c r="B41" s="18">
        <v>0.18</v>
      </c>
      <c r="C41" s="19">
        <v>0.27</v>
      </c>
      <c r="D41" s="19">
        <v>0.27</v>
      </c>
      <c r="E41" s="296">
        <v>0.26</v>
      </c>
      <c r="F41" s="297">
        <v>0.25</v>
      </c>
      <c r="G41" s="18">
        <v>0.18</v>
      </c>
      <c r="H41" s="18">
        <v>0.09</v>
      </c>
      <c r="I41" s="18">
        <f>I48/I51</f>
        <v>0.19019593829697565</v>
      </c>
      <c r="J41" s="19">
        <f>J48/J51</f>
        <v>0.19019593829697562</v>
      </c>
    </row>
    <row r="42" spans="1:10" x14ac:dyDescent="0.25">
      <c r="A42" s="10" t="s">
        <v>21</v>
      </c>
      <c r="B42" s="18">
        <v>0.2</v>
      </c>
      <c r="C42" s="19">
        <v>0.23</v>
      </c>
      <c r="D42" s="19">
        <v>0.14000000000000001</v>
      </c>
      <c r="E42" s="296">
        <v>0.08</v>
      </c>
      <c r="F42" s="297">
        <v>0.11</v>
      </c>
      <c r="G42" s="18">
        <v>0.12</v>
      </c>
      <c r="H42" s="18">
        <v>0.15</v>
      </c>
      <c r="I42" s="18">
        <f>I49/I51</f>
        <v>0.14324808578870576</v>
      </c>
      <c r="J42" s="19">
        <f>J49/J51</f>
        <v>0.14324808578870576</v>
      </c>
    </row>
    <row r="43" spans="1:10" x14ac:dyDescent="0.25">
      <c r="A43" s="10" t="s">
        <v>22</v>
      </c>
      <c r="B43" s="18">
        <v>0</v>
      </c>
      <c r="C43" s="19">
        <v>0.02</v>
      </c>
      <c r="D43" s="19">
        <v>0.04</v>
      </c>
      <c r="E43" s="296">
        <v>0</v>
      </c>
      <c r="F43" s="297">
        <v>0.02</v>
      </c>
      <c r="G43" s="18">
        <v>0</v>
      </c>
      <c r="H43" s="18">
        <v>0</v>
      </c>
      <c r="I43" s="18">
        <f>I50/I51</f>
        <v>7.4748080828419272E-3</v>
      </c>
      <c r="J43" s="19">
        <f>J50/J51</f>
        <v>7.4748080828419272E-3</v>
      </c>
    </row>
    <row r="44" spans="1:10" x14ac:dyDescent="0.25">
      <c r="A44" s="24" t="s">
        <v>23</v>
      </c>
      <c r="B44" s="130">
        <f>B55/B38</f>
        <v>35762.053571428572</v>
      </c>
      <c r="C44" s="131">
        <f t="shared" ref="C44:I44" si="13">C55/C38</f>
        <v>31979.220779220781</v>
      </c>
      <c r="D44" s="131">
        <f>D55/D38</f>
        <v>34860.416666666664</v>
      </c>
      <c r="E44" s="397">
        <f>E55/E38</f>
        <v>36806.122448979593</v>
      </c>
      <c r="F44" s="132">
        <f t="shared" si="13"/>
        <v>32361.250000000004</v>
      </c>
      <c r="G44" s="130">
        <f t="shared" si="13"/>
        <v>38656.603773584902</v>
      </c>
      <c r="H44" s="130">
        <f t="shared" si="13"/>
        <v>27875.815217391304</v>
      </c>
      <c r="I44" s="314">
        <f t="shared" si="13"/>
        <v>33403.289473684214</v>
      </c>
      <c r="J44" s="132">
        <f>J55/J38</f>
        <v>33403.289473684214</v>
      </c>
    </row>
    <row r="45" spans="1:10" x14ac:dyDescent="0.25">
      <c r="A45" s="24" t="s">
        <v>24</v>
      </c>
      <c r="B45" s="130">
        <f>B55/B32</f>
        <v>33239.419087136936</v>
      </c>
      <c r="C45" s="131">
        <f t="shared" ref="C45:I45" si="14">C55/C32</f>
        <v>31569.23076923077</v>
      </c>
      <c r="D45" s="131">
        <f>D55/D32</f>
        <v>30702.752293577982</v>
      </c>
      <c r="E45" s="397">
        <f>E55/E32</f>
        <v>28856.000000000004</v>
      </c>
      <c r="F45" s="132">
        <f t="shared" si="14"/>
        <v>28554.044117647063</v>
      </c>
      <c r="G45" s="130">
        <f t="shared" si="14"/>
        <v>33259.740259740262</v>
      </c>
      <c r="H45" s="130">
        <f t="shared" si="14"/>
        <v>31957.320872274144</v>
      </c>
      <c r="I45" s="314">
        <f t="shared" si="14"/>
        <v>31427.579092159565</v>
      </c>
      <c r="J45" s="132">
        <f>J55/J32</f>
        <v>31427.579092159562</v>
      </c>
    </row>
    <row r="46" spans="1:10" x14ac:dyDescent="0.25">
      <c r="A46" s="10" t="s">
        <v>25</v>
      </c>
      <c r="B46" s="92">
        <f>B51*B39</f>
        <v>4095863.1344827591</v>
      </c>
      <c r="C46" s="133">
        <f t="shared" ref="C46:H46" si="15">C51*C39</f>
        <v>983754.53793103446</v>
      </c>
      <c r="D46" s="133">
        <f>D51*D39</f>
        <v>1534599.0000000002</v>
      </c>
      <c r="E46" s="299">
        <f>E51*E39</f>
        <v>1738505.2000000002</v>
      </c>
      <c r="F46" s="134">
        <f t="shared" si="15"/>
        <v>3968121.5413793107</v>
      </c>
      <c r="G46" s="92">
        <f t="shared" si="15"/>
        <v>5926787.637931034</v>
      </c>
      <c r="H46" s="92">
        <f t="shared" si="15"/>
        <v>6254182.1724137934</v>
      </c>
      <c r="I46" s="300">
        <f>SUM('NOGAL '!$B46:$H46)</f>
        <v>24501813.224137928</v>
      </c>
      <c r="J46" s="134">
        <f>'NOGAL '!$I46/7</f>
        <v>3500259.0320197041</v>
      </c>
    </row>
    <row r="47" spans="1:10" x14ac:dyDescent="0.25">
      <c r="A47" s="10" t="s">
        <v>26</v>
      </c>
      <c r="B47" s="92">
        <f>B51*B40</f>
        <v>0</v>
      </c>
      <c r="C47" s="133">
        <f t="shared" ref="C47:H47" si="16">C51*C40</f>
        <v>0</v>
      </c>
      <c r="D47" s="133">
        <f>D51*D40</f>
        <v>0</v>
      </c>
      <c r="E47" s="299">
        <f>E51*E40</f>
        <v>239793.8206896552</v>
      </c>
      <c r="F47" s="134">
        <f t="shared" si="16"/>
        <v>0</v>
      </c>
      <c r="G47" s="92">
        <f t="shared" si="16"/>
        <v>0</v>
      </c>
      <c r="H47" s="92">
        <f t="shared" si="16"/>
        <v>0</v>
      </c>
      <c r="I47" s="300">
        <f>SUM('NOGAL '!$B47:$H47)</f>
        <v>239793.8206896552</v>
      </c>
      <c r="J47" s="134">
        <f>'NOGAL '!$I47/7</f>
        <v>34256.260098522172</v>
      </c>
    </row>
    <row r="48" spans="1:10" x14ac:dyDescent="0.25">
      <c r="A48" s="10" t="s">
        <v>27</v>
      </c>
      <c r="B48" s="92">
        <f>B51*B41</f>
        <v>1189121.5551724138</v>
      </c>
      <c r="C48" s="133">
        <f t="shared" ref="C48:H48" si="17">C51*C41</f>
        <v>553361.92758620693</v>
      </c>
      <c r="D48" s="133">
        <f>D51*D41</f>
        <v>753348.60000000009</v>
      </c>
      <c r="E48" s="299">
        <f>E51*E41</f>
        <v>779329.9172413795</v>
      </c>
      <c r="F48" s="134">
        <f t="shared" si="17"/>
        <v>1600049.0086206899</v>
      </c>
      <c r="G48" s="92">
        <f t="shared" si="17"/>
        <v>1524031.1068965518</v>
      </c>
      <c r="H48" s="92">
        <f t="shared" si="17"/>
        <v>740626.83620689646</v>
      </c>
      <c r="I48" s="300">
        <f>SUM('NOGAL '!$B48:$H48)</f>
        <v>7139868.9517241381</v>
      </c>
      <c r="J48" s="134">
        <f>'NOGAL '!$I48/7</f>
        <v>1019981.278817734</v>
      </c>
    </row>
    <row r="49" spans="1:10" x14ac:dyDescent="0.25">
      <c r="A49" s="10" t="s">
        <v>28</v>
      </c>
      <c r="B49" s="92">
        <f>B51*B42</f>
        <v>1321246.1724137934</v>
      </c>
      <c r="C49" s="133">
        <f t="shared" ref="C49:H49" si="18">C51*C42</f>
        <v>471382.38275862072</v>
      </c>
      <c r="D49" s="133">
        <f>D51*D42</f>
        <v>390625.2</v>
      </c>
      <c r="E49" s="299">
        <f>E51*E42</f>
        <v>239793.8206896552</v>
      </c>
      <c r="F49" s="134">
        <f t="shared" si="18"/>
        <v>704021.56379310356</v>
      </c>
      <c r="G49" s="92">
        <f t="shared" si="18"/>
        <v>1016020.7379310344</v>
      </c>
      <c r="H49" s="92">
        <f t="shared" si="18"/>
        <v>1234378.0603448276</v>
      </c>
      <c r="I49" s="300">
        <f>SUM('NOGAL '!$B49:$H49)</f>
        <v>5377467.9379310356</v>
      </c>
      <c r="J49" s="134">
        <f>'NOGAL '!$I49/7</f>
        <v>768209.70541871933</v>
      </c>
    </row>
    <row r="50" spans="1:10" x14ac:dyDescent="0.25">
      <c r="A50" s="10" t="s">
        <v>29</v>
      </c>
      <c r="B50" s="92">
        <f>B51*B43</f>
        <v>0</v>
      </c>
      <c r="C50" s="133">
        <f t="shared" ref="C50:H50" si="19">C51*C43</f>
        <v>40989.772413793107</v>
      </c>
      <c r="D50" s="133">
        <f>D51*D43</f>
        <v>111607.2</v>
      </c>
      <c r="E50" s="299">
        <f>E51*E43</f>
        <v>0</v>
      </c>
      <c r="F50" s="134">
        <f t="shared" si="19"/>
        <v>128003.92068965519</v>
      </c>
      <c r="G50" s="92">
        <f t="shared" si="19"/>
        <v>0</v>
      </c>
      <c r="H50" s="92">
        <f t="shared" si="19"/>
        <v>0</v>
      </c>
      <c r="I50" s="300">
        <f>SUM('NOGAL '!$B50:$H50)</f>
        <v>280600.89310344827</v>
      </c>
      <c r="J50" s="134">
        <f>'NOGAL '!$I50/7</f>
        <v>40085.841871921184</v>
      </c>
    </row>
    <row r="51" spans="1:10" x14ac:dyDescent="0.25">
      <c r="A51" s="33" t="s">
        <v>30</v>
      </c>
      <c r="B51" s="91">
        <f>(8010700/1.16)-B52</f>
        <v>6606230.862068966</v>
      </c>
      <c r="C51" s="136">
        <f>(2462400/1.16)-C52</f>
        <v>2049488.6206896552</v>
      </c>
      <c r="D51" s="136">
        <f>(3346600/1.16)-D52</f>
        <v>2790180</v>
      </c>
      <c r="E51" s="398">
        <f>(3607000/1.16)-E52</f>
        <v>2997422.7586206901</v>
      </c>
      <c r="F51" s="137">
        <f>(7766700/1.16)-F52</f>
        <v>6400196.0344827594</v>
      </c>
      <c r="G51" s="91">
        <f>(10244000/1.16)-G52</f>
        <v>8466839.4827586208</v>
      </c>
      <c r="H51" s="91">
        <f>(10258300/1.16)-H52</f>
        <v>8229187.068965517</v>
      </c>
      <c r="I51" s="361">
        <f>SUM(I46:I50)</f>
        <v>37539544.827586211</v>
      </c>
      <c r="J51" s="137">
        <f>'NOGAL '!$I51/7</f>
        <v>5362792.1182266017</v>
      </c>
    </row>
    <row r="52" spans="1:10" x14ac:dyDescent="0.25">
      <c r="A52" s="10" t="s">
        <v>31</v>
      </c>
      <c r="B52" s="94">
        <f t="shared" ref="B52:H52" si="20">2155*B33</f>
        <v>299545</v>
      </c>
      <c r="C52" s="139">
        <f t="shared" si="20"/>
        <v>73270</v>
      </c>
      <c r="D52" s="139">
        <f>2155*D33</f>
        <v>94820</v>
      </c>
      <c r="E52" s="113">
        <f>2155*E33</f>
        <v>112060</v>
      </c>
      <c r="F52" s="112">
        <f t="shared" si="20"/>
        <v>295235</v>
      </c>
      <c r="G52" s="94">
        <f t="shared" si="20"/>
        <v>364195</v>
      </c>
      <c r="H52" s="94">
        <f t="shared" si="20"/>
        <v>614175</v>
      </c>
      <c r="I52" s="70">
        <f>2155*I33</f>
        <v>1853300</v>
      </c>
      <c r="J52" s="70">
        <f>'NOGAL '!$I52/7</f>
        <v>264757.14285714284</v>
      </c>
    </row>
    <row r="53" spans="1:10" x14ac:dyDescent="0.25">
      <c r="A53" s="37" t="s">
        <v>32</v>
      </c>
      <c r="B53" s="39">
        <f t="shared" ref="B53:I53" si="21">B51+B52</f>
        <v>6905775.862068966</v>
      </c>
      <c r="C53" s="40">
        <f t="shared" si="21"/>
        <v>2122758.6206896552</v>
      </c>
      <c r="D53" s="40">
        <f>D51+D52</f>
        <v>2885000</v>
      </c>
      <c r="E53" s="399">
        <f>E51+E52</f>
        <v>3109482.7586206901</v>
      </c>
      <c r="F53" s="140">
        <f t="shared" si="21"/>
        <v>6695431.0344827594</v>
      </c>
      <c r="G53" s="39">
        <f t="shared" si="21"/>
        <v>8831034.4827586208</v>
      </c>
      <c r="H53" s="39">
        <f t="shared" si="21"/>
        <v>8843362.068965517</v>
      </c>
      <c r="I53" s="364">
        <f t="shared" si="21"/>
        <v>39392844.827586211</v>
      </c>
      <c r="J53" s="140">
        <f>'NOGAL '!$I53/7</f>
        <v>5627549.2610837445</v>
      </c>
    </row>
    <row r="54" spans="1:10" x14ac:dyDescent="0.25">
      <c r="A54" s="10" t="s">
        <v>33</v>
      </c>
      <c r="B54" s="41">
        <f t="shared" ref="B54:I54" si="22">B53*16%</f>
        <v>1104924.1379310347</v>
      </c>
      <c r="C54" s="42">
        <f t="shared" si="22"/>
        <v>339641.37931034481</v>
      </c>
      <c r="D54" s="42">
        <f>D53*16%</f>
        <v>461600</v>
      </c>
      <c r="E54" s="400">
        <f>E53*16%</f>
        <v>497517.24137931044</v>
      </c>
      <c r="F54" s="141">
        <f t="shared" si="22"/>
        <v>1071268.9655172415</v>
      </c>
      <c r="G54" s="41">
        <f t="shared" si="22"/>
        <v>1412965.5172413792</v>
      </c>
      <c r="H54" s="41">
        <f t="shared" si="22"/>
        <v>1414937.9310344828</v>
      </c>
      <c r="I54" s="141">
        <f t="shared" si="22"/>
        <v>6302855.1724137943</v>
      </c>
      <c r="J54" s="141">
        <f>'NOGAL '!$I54/7</f>
        <v>900407.88177339919</v>
      </c>
    </row>
    <row r="55" spans="1:10" ht="15.75" thickBot="1" x14ac:dyDescent="0.3">
      <c r="A55" s="43" t="s">
        <v>34</v>
      </c>
      <c r="B55" s="315">
        <f t="shared" ref="B55:I55" si="23">B53+B54</f>
        <v>8010700.0000000009</v>
      </c>
      <c r="C55" s="315">
        <f t="shared" si="23"/>
        <v>2462400</v>
      </c>
      <c r="D55" s="315">
        <f>D53+D54</f>
        <v>3346600</v>
      </c>
      <c r="E55" s="401">
        <f>E53+E54</f>
        <v>3607000.0000000005</v>
      </c>
      <c r="F55" s="182">
        <f t="shared" si="23"/>
        <v>7766700.0000000009</v>
      </c>
      <c r="G55" s="178">
        <f t="shared" si="23"/>
        <v>10244000</v>
      </c>
      <c r="H55" s="178">
        <f t="shared" si="23"/>
        <v>10258300</v>
      </c>
      <c r="I55" s="367">
        <f t="shared" si="23"/>
        <v>45695700.000000007</v>
      </c>
      <c r="J55" s="182">
        <f>'NOGAL '!$I55/7</f>
        <v>6527957.1428571437</v>
      </c>
    </row>
    <row r="56" spans="1:10" x14ac:dyDescent="0.25">
      <c r="A56" s="204"/>
      <c r="B56" s="112"/>
      <c r="C56" s="112"/>
      <c r="D56" s="112"/>
      <c r="E56" s="112"/>
      <c r="F56" s="112"/>
      <c r="G56" s="112"/>
      <c r="H56" s="112"/>
      <c r="I56" s="112"/>
      <c r="J56" s="205"/>
    </row>
    <row r="57" spans="1:10" ht="15.75" thickBot="1" x14ac:dyDescent="0.3">
      <c r="A57" s="204"/>
      <c r="B57" s="112"/>
      <c r="C57" s="112"/>
      <c r="D57" s="112"/>
      <c r="E57" s="112"/>
      <c r="F57" s="112"/>
      <c r="G57" s="112"/>
      <c r="H57" s="112"/>
      <c r="I57" s="112"/>
      <c r="J57" s="205"/>
    </row>
    <row r="58" spans="1:10" ht="26.25" x14ac:dyDescent="0.25">
      <c r="A58" s="85"/>
      <c r="B58" s="1002" t="s">
        <v>355</v>
      </c>
      <c r="C58" s="1002"/>
      <c r="D58" s="1002"/>
      <c r="E58" s="1002"/>
      <c r="F58" s="1002"/>
      <c r="G58" s="1002"/>
      <c r="H58" s="1002"/>
      <c r="I58" s="1002"/>
      <c r="J58" s="85"/>
    </row>
    <row r="59" spans="1:10" ht="16.5" thickBot="1" x14ac:dyDescent="0.3">
      <c r="A59" s="72" t="s">
        <v>2</v>
      </c>
      <c r="B59" s="402" t="s">
        <v>123</v>
      </c>
      <c r="C59" s="51" t="s">
        <v>124</v>
      </c>
      <c r="D59" s="121" t="s">
        <v>125</v>
      </c>
      <c r="E59" s="51" t="s">
        <v>126</v>
      </c>
      <c r="F59" s="51" t="s">
        <v>127</v>
      </c>
      <c r="G59" s="121" t="s">
        <v>128</v>
      </c>
      <c r="H59" s="121" t="s">
        <v>129</v>
      </c>
      <c r="I59" s="153" t="s">
        <v>10</v>
      </c>
      <c r="J59" s="310" t="s">
        <v>77</v>
      </c>
    </row>
    <row r="60" spans="1:10" x14ac:dyDescent="0.25">
      <c r="A60" s="74" t="s">
        <v>11</v>
      </c>
      <c r="B60" s="55">
        <v>82</v>
      </c>
      <c r="C60" s="56">
        <v>109</v>
      </c>
      <c r="D60" s="54">
        <v>110</v>
      </c>
      <c r="E60" s="373">
        <v>111</v>
      </c>
      <c r="F60" s="311">
        <v>267</v>
      </c>
      <c r="G60" s="58">
        <v>271</v>
      </c>
      <c r="H60" s="57">
        <v>334</v>
      </c>
      <c r="I60" s="311">
        <f>SUM(B60:H60)</f>
        <v>1284</v>
      </c>
      <c r="J60" s="312">
        <f>'NOGAL '!$I60/7</f>
        <v>183.42857142857142</v>
      </c>
    </row>
    <row r="61" spans="1:10" x14ac:dyDescent="0.25">
      <c r="A61" s="10" t="s">
        <v>12</v>
      </c>
      <c r="B61" s="233">
        <v>83</v>
      </c>
      <c r="C61" s="13">
        <v>70</v>
      </c>
      <c r="D61" s="13">
        <v>83</v>
      </c>
      <c r="E61" s="395">
        <v>71</v>
      </c>
      <c r="F61" s="125">
        <v>137</v>
      </c>
      <c r="G61" s="11">
        <v>164</v>
      </c>
      <c r="H61" s="11">
        <v>185</v>
      </c>
      <c r="I61" s="403">
        <f>B61+C61+D61+E61+F61+G61+H61</f>
        <v>793</v>
      </c>
      <c r="J61" s="292">
        <f>'NOGAL '!$I61/7</f>
        <v>113.28571428571429</v>
      </c>
    </row>
    <row r="62" spans="1:10" x14ac:dyDescent="0.25">
      <c r="A62" s="10" t="s">
        <v>13</v>
      </c>
      <c r="B62" s="233">
        <v>0</v>
      </c>
      <c r="C62" s="13">
        <v>2</v>
      </c>
      <c r="D62" s="13">
        <v>0</v>
      </c>
      <c r="E62" s="395">
        <v>0</v>
      </c>
      <c r="F62" s="125">
        <v>0</v>
      </c>
      <c r="G62" s="11">
        <v>0</v>
      </c>
      <c r="H62" s="11">
        <v>1</v>
      </c>
      <c r="I62" s="403">
        <f>B62+C62+D62+E62+F62+G62+H62</f>
        <v>3</v>
      </c>
      <c r="J62" s="292">
        <f>'NOGAL '!$I62/7</f>
        <v>0.42857142857142855</v>
      </c>
    </row>
    <row r="63" spans="1:10" x14ac:dyDescent="0.25">
      <c r="A63" s="10" t="s">
        <v>14</v>
      </c>
      <c r="B63" s="233">
        <v>19</v>
      </c>
      <c r="C63" s="13">
        <v>27</v>
      </c>
      <c r="D63" s="13">
        <v>33</v>
      </c>
      <c r="E63" s="395">
        <v>26</v>
      </c>
      <c r="F63" s="125">
        <v>62</v>
      </c>
      <c r="G63" s="11">
        <v>42</v>
      </c>
      <c r="H63" s="11">
        <v>50</v>
      </c>
      <c r="I63" s="403">
        <f>B63+C63+D63+E63+F63+G63+H63</f>
        <v>259</v>
      </c>
      <c r="J63" s="292">
        <f>'NOGAL '!$I63/7</f>
        <v>37</v>
      </c>
    </row>
    <row r="64" spans="1:10" x14ac:dyDescent="0.25">
      <c r="A64" s="10" t="s">
        <v>15</v>
      </c>
      <c r="B64" s="233">
        <v>14</v>
      </c>
      <c r="C64" s="13">
        <v>19</v>
      </c>
      <c r="D64" s="13">
        <v>12</v>
      </c>
      <c r="E64" s="395">
        <v>11</v>
      </c>
      <c r="F64" s="125">
        <v>33</v>
      </c>
      <c r="G64" s="11">
        <v>43</v>
      </c>
      <c r="H64" s="11">
        <v>49</v>
      </c>
      <c r="I64" s="403">
        <f>B64+C64+D64+E64+F64+G64+H64</f>
        <v>181</v>
      </c>
      <c r="J64" s="292">
        <f>'NOGAL '!$I64/7</f>
        <v>25.857142857142858</v>
      </c>
    </row>
    <row r="65" spans="1:10" x14ac:dyDescent="0.25">
      <c r="A65" s="10" t="s">
        <v>16</v>
      </c>
      <c r="B65" s="233">
        <v>0</v>
      </c>
      <c r="C65" s="13">
        <v>0</v>
      </c>
      <c r="D65" s="13">
        <v>0</v>
      </c>
      <c r="E65" s="395">
        <v>0</v>
      </c>
      <c r="F65" s="125">
        <v>0</v>
      </c>
      <c r="G65" s="11">
        <v>0</v>
      </c>
      <c r="H65" s="11">
        <v>0</v>
      </c>
      <c r="I65" s="403">
        <f>B65+C65+D65+E65+F65+G65+H65</f>
        <v>0</v>
      </c>
      <c r="J65" s="292">
        <f>'NOGAL '!$I65/7</f>
        <v>0</v>
      </c>
    </row>
    <row r="66" spans="1:10" x14ac:dyDescent="0.25">
      <c r="A66" s="15" t="s">
        <v>17</v>
      </c>
      <c r="B66" s="102">
        <f>SUM(B61:B65)</f>
        <v>116</v>
      </c>
      <c r="C66" s="79">
        <f t="shared" ref="C66:H66" si="24">SUM(C61:C65)</f>
        <v>118</v>
      </c>
      <c r="D66" s="79">
        <f t="shared" si="24"/>
        <v>128</v>
      </c>
      <c r="E66" s="248">
        <f t="shared" si="24"/>
        <v>108</v>
      </c>
      <c r="F66" s="15">
        <f t="shared" si="24"/>
        <v>232</v>
      </c>
      <c r="G66" s="79">
        <f t="shared" si="24"/>
        <v>249</v>
      </c>
      <c r="H66" s="79">
        <f t="shared" si="24"/>
        <v>285</v>
      </c>
      <c r="I66" s="404">
        <f>SUM(I61:I65)</f>
        <v>1236</v>
      </c>
      <c r="J66" s="405">
        <f>'NOGAL '!$I66/7</f>
        <v>176.57142857142858</v>
      </c>
    </row>
    <row r="67" spans="1:10" x14ac:dyDescent="0.25">
      <c r="A67" s="10" t="s">
        <v>18</v>
      </c>
      <c r="B67" s="406">
        <v>0.65</v>
      </c>
      <c r="C67" s="19">
        <v>0.65</v>
      </c>
      <c r="D67" s="19">
        <v>0.69</v>
      </c>
      <c r="E67" s="407">
        <v>0.79</v>
      </c>
      <c r="F67" s="18">
        <v>0.7</v>
      </c>
      <c r="G67" s="18">
        <v>0.7</v>
      </c>
      <c r="H67" s="18">
        <v>0.7</v>
      </c>
      <c r="I67" s="105">
        <f>I74/I79</f>
        <v>0.69943778417313707</v>
      </c>
      <c r="J67" s="297">
        <f>J74/J79</f>
        <v>0.69943778417313718</v>
      </c>
    </row>
    <row r="68" spans="1:10" x14ac:dyDescent="0.25">
      <c r="A68" s="10" t="s">
        <v>19</v>
      </c>
      <c r="B68" s="406">
        <v>0</v>
      </c>
      <c r="C68" s="19">
        <v>0.01</v>
      </c>
      <c r="D68" s="19">
        <v>0</v>
      </c>
      <c r="E68" s="407">
        <v>0</v>
      </c>
      <c r="F68" s="18">
        <v>0</v>
      </c>
      <c r="G68" s="18">
        <v>0</v>
      </c>
      <c r="H68" s="18">
        <v>0</v>
      </c>
      <c r="I68" s="105">
        <f>I75/I79</f>
        <v>7.9950990235347808E-4</v>
      </c>
      <c r="J68" s="297">
        <f>J75/J79</f>
        <v>7.9950990235347818E-4</v>
      </c>
    </row>
    <row r="69" spans="1:10" x14ac:dyDescent="0.25">
      <c r="A69" s="10" t="s">
        <v>20</v>
      </c>
      <c r="B69" s="406">
        <v>0.2</v>
      </c>
      <c r="C69" s="19">
        <v>0.21</v>
      </c>
      <c r="D69" s="19">
        <v>0.22</v>
      </c>
      <c r="E69" s="408">
        <v>0.12</v>
      </c>
      <c r="F69" s="18">
        <v>0.19</v>
      </c>
      <c r="G69" s="18">
        <v>0.13</v>
      </c>
      <c r="H69" s="18">
        <v>0.13</v>
      </c>
      <c r="I69" s="105">
        <f>I76/I79</f>
        <v>0.1606361277057394</v>
      </c>
      <c r="J69" s="297">
        <f>J76/J79</f>
        <v>0.1606361277057394</v>
      </c>
    </row>
    <row r="70" spans="1:10" x14ac:dyDescent="0.25">
      <c r="A70" s="10" t="s">
        <v>21</v>
      </c>
      <c r="B70" s="406">
        <v>0.15</v>
      </c>
      <c r="C70" s="19">
        <v>0.13</v>
      </c>
      <c r="D70" s="19">
        <v>0.09</v>
      </c>
      <c r="E70" s="408">
        <v>0</v>
      </c>
      <c r="F70" s="18">
        <v>0.11</v>
      </c>
      <c r="G70" s="18">
        <v>0.17</v>
      </c>
      <c r="H70" s="18">
        <v>0.17</v>
      </c>
      <c r="I70" s="105">
        <f>I77/I79</f>
        <v>0.13074122102797059</v>
      </c>
      <c r="J70" s="297">
        <f>J77/J79</f>
        <v>0.13074122102797062</v>
      </c>
    </row>
    <row r="71" spans="1:10" x14ac:dyDescent="0.25">
      <c r="A71" s="10" t="s">
        <v>22</v>
      </c>
      <c r="B71" s="406">
        <v>0</v>
      </c>
      <c r="C71" s="19">
        <v>0</v>
      </c>
      <c r="D71" s="19">
        <v>0</v>
      </c>
      <c r="E71" s="408">
        <v>0.09</v>
      </c>
      <c r="F71" s="18">
        <v>0</v>
      </c>
      <c r="G71" s="18">
        <v>0</v>
      </c>
      <c r="H71" s="18">
        <v>0</v>
      </c>
      <c r="I71" s="105">
        <f>I78/I79</f>
        <v>8.3853571907993498E-3</v>
      </c>
      <c r="J71" s="297">
        <f>J78/J79</f>
        <v>8.3853571907993498E-3</v>
      </c>
    </row>
    <row r="72" spans="1:10" x14ac:dyDescent="0.25">
      <c r="A72" s="24" t="s">
        <v>23</v>
      </c>
      <c r="B72" s="409">
        <f t="shared" ref="B72:J72" si="25">B83/B66</f>
        <v>30106.03448275862</v>
      </c>
      <c r="C72" s="131">
        <f t="shared" si="25"/>
        <v>28893.220338983054</v>
      </c>
      <c r="D72" s="131">
        <f t="shared" si="25"/>
        <v>29755.46875</v>
      </c>
      <c r="E72" s="397">
        <f t="shared" si="25"/>
        <v>36543.518518518518</v>
      </c>
      <c r="F72" s="132">
        <f t="shared" si="25"/>
        <v>34829.310344827587</v>
      </c>
      <c r="G72" s="130">
        <f t="shared" si="25"/>
        <v>34397.991967871487</v>
      </c>
      <c r="H72" s="130">
        <f t="shared" si="25"/>
        <v>39069.122807017542</v>
      </c>
      <c r="I72" s="359">
        <f t="shared" si="25"/>
        <v>34334.38511326861</v>
      </c>
      <c r="J72" s="314">
        <f t="shared" si="25"/>
        <v>34334.385113268603</v>
      </c>
    </row>
    <row r="73" spans="1:10" x14ac:dyDescent="0.25">
      <c r="A73" s="24" t="s">
        <v>24</v>
      </c>
      <c r="B73" s="409">
        <f t="shared" ref="B73:J73" si="26">B83/B60</f>
        <v>42589.024390243903</v>
      </c>
      <c r="C73" s="131">
        <f t="shared" si="26"/>
        <v>31278.899082568812</v>
      </c>
      <c r="D73" s="131">
        <f t="shared" si="26"/>
        <v>34624.545454545456</v>
      </c>
      <c r="E73" s="397">
        <f t="shared" si="26"/>
        <v>35555.855855855858</v>
      </c>
      <c r="F73" s="132">
        <f t="shared" si="26"/>
        <v>30263.670411985022</v>
      </c>
      <c r="G73" s="130">
        <f t="shared" si="26"/>
        <v>31605.535055350552</v>
      </c>
      <c r="H73" s="130">
        <f t="shared" si="26"/>
        <v>33337.425149700597</v>
      </c>
      <c r="I73" s="359">
        <f t="shared" si="26"/>
        <v>33050.856697819312</v>
      </c>
      <c r="J73" s="314">
        <f t="shared" si="26"/>
        <v>33050.856697819312</v>
      </c>
    </row>
    <row r="74" spans="1:10" x14ac:dyDescent="0.25">
      <c r="A74" s="10" t="s">
        <v>25</v>
      </c>
      <c r="B74" s="255">
        <f t="shared" ref="B74:H74" si="27">B79*B67</f>
        <v>1840629.9913793106</v>
      </c>
      <c r="C74" s="133">
        <f t="shared" si="27"/>
        <v>1812387.1551724139</v>
      </c>
      <c r="D74" s="133">
        <f t="shared" si="27"/>
        <v>2142102.977586207</v>
      </c>
      <c r="E74" s="299">
        <f t="shared" si="27"/>
        <v>2566964.8431034484</v>
      </c>
      <c r="F74" s="134">
        <f t="shared" si="27"/>
        <v>4669438.9482758623</v>
      </c>
      <c r="G74" s="92">
        <f t="shared" si="27"/>
        <v>4921200.8275862066</v>
      </c>
      <c r="H74" s="92">
        <f t="shared" si="27"/>
        <v>6440143.0172413792</v>
      </c>
      <c r="I74" s="108">
        <f>'NOGAL '!$B74+'NOGAL '!$C74+'NOGAL '!$D74+'NOGAL '!$E74+'NOGAL '!$F74+'NOGAL '!$G74+'NOGAL '!$H74</f>
        <v>24392867.760344826</v>
      </c>
      <c r="J74" s="300">
        <f>'NOGAL '!$I74/7</f>
        <v>3484695.3943349752</v>
      </c>
    </row>
    <row r="75" spans="1:10" x14ac:dyDescent="0.25">
      <c r="A75" s="10" t="s">
        <v>26</v>
      </c>
      <c r="B75" s="255">
        <f t="shared" ref="B75:H75" si="28">B79*B68</f>
        <v>0</v>
      </c>
      <c r="C75" s="133">
        <f t="shared" si="28"/>
        <v>27882.87931034483</v>
      </c>
      <c r="D75" s="133">
        <f t="shared" si="28"/>
        <v>0</v>
      </c>
      <c r="E75" s="299">
        <f t="shared" si="28"/>
        <v>0</v>
      </c>
      <c r="F75" s="134">
        <f t="shared" si="28"/>
        <v>0</v>
      </c>
      <c r="G75" s="92">
        <f t="shared" si="28"/>
        <v>0</v>
      </c>
      <c r="H75" s="92">
        <f t="shared" si="28"/>
        <v>0</v>
      </c>
      <c r="I75" s="108">
        <f>'NOGAL '!$B75+'NOGAL '!$C75+'NOGAL '!$D75+'NOGAL '!$E75+'NOGAL '!$F75+'NOGAL '!$G75+'NOGAL '!$H75</f>
        <v>27882.87931034483</v>
      </c>
      <c r="J75" s="300">
        <f>'NOGAL '!$I75/7</f>
        <v>3983.2684729064044</v>
      </c>
    </row>
    <row r="76" spans="1:10" x14ac:dyDescent="0.25">
      <c r="A76" s="10" t="s">
        <v>27</v>
      </c>
      <c r="B76" s="255">
        <f t="shared" ref="B76:H76" si="29">B79*B69</f>
        <v>566347.68965517252</v>
      </c>
      <c r="C76" s="133">
        <f t="shared" si="29"/>
        <v>585540.46551724139</v>
      </c>
      <c r="D76" s="133">
        <f t="shared" si="29"/>
        <v>682989.35517241387</v>
      </c>
      <c r="E76" s="299">
        <f t="shared" si="29"/>
        <v>389918.71034482762</v>
      </c>
      <c r="F76" s="134">
        <f t="shared" si="29"/>
        <v>1267419.1431034484</v>
      </c>
      <c r="G76" s="92">
        <f t="shared" si="29"/>
        <v>913937.2965517242</v>
      </c>
      <c r="H76" s="92">
        <f t="shared" si="29"/>
        <v>1196026.5603448278</v>
      </c>
      <c r="I76" s="108">
        <f>'NOGAL '!$B76+'NOGAL '!$C76+'NOGAL '!$D76+'NOGAL '!$E76+'NOGAL '!$F76+'NOGAL '!$G76+'NOGAL '!$H76</f>
        <v>5602179.2206896562</v>
      </c>
      <c r="J76" s="300">
        <f>'NOGAL '!$I76/7</f>
        <v>800311.31724137941</v>
      </c>
    </row>
    <row r="77" spans="1:10" x14ac:dyDescent="0.25">
      <c r="A77" s="10" t="s">
        <v>28</v>
      </c>
      <c r="B77" s="255">
        <f t="shared" ref="B77:H77" si="30">B79*B70</f>
        <v>424760.7672413793</v>
      </c>
      <c r="C77" s="133">
        <f t="shared" si="30"/>
        <v>362477.43103448278</v>
      </c>
      <c r="D77" s="133">
        <f t="shared" si="30"/>
        <v>279404.73620689654</v>
      </c>
      <c r="E77" s="299">
        <f t="shared" si="30"/>
        <v>0</v>
      </c>
      <c r="F77" s="134">
        <f t="shared" si="30"/>
        <v>733768.97758620698</v>
      </c>
      <c r="G77" s="92">
        <f t="shared" si="30"/>
        <v>1195148.7724137933</v>
      </c>
      <c r="H77" s="92">
        <f t="shared" si="30"/>
        <v>1564034.732758621</v>
      </c>
      <c r="I77" s="108">
        <f>'NOGAL '!$B77+'NOGAL '!$C77+'NOGAL '!$D77+'NOGAL '!$E77+'NOGAL '!$F77+'NOGAL '!$G77+'NOGAL '!$H77</f>
        <v>4559595.4172413796</v>
      </c>
      <c r="J77" s="300">
        <f>'NOGAL '!$I77/7</f>
        <v>651370.77389162569</v>
      </c>
    </row>
    <row r="78" spans="1:10" x14ac:dyDescent="0.25">
      <c r="A78" s="10" t="s">
        <v>29</v>
      </c>
      <c r="B78" s="255">
        <f t="shared" ref="B78:H78" si="31">B79*B71</f>
        <v>0</v>
      </c>
      <c r="C78" s="133">
        <f t="shared" si="31"/>
        <v>0</v>
      </c>
      <c r="D78" s="133">
        <f t="shared" si="31"/>
        <v>0</v>
      </c>
      <c r="E78" s="299">
        <f t="shared" si="31"/>
        <v>292439.03275862068</v>
      </c>
      <c r="F78" s="134">
        <f t="shared" si="31"/>
        <v>0</v>
      </c>
      <c r="G78" s="92">
        <f t="shared" si="31"/>
        <v>0</v>
      </c>
      <c r="H78" s="92">
        <f t="shared" si="31"/>
        <v>0</v>
      </c>
      <c r="I78" s="108">
        <f>'NOGAL '!$B78+'NOGAL '!$C78+'NOGAL '!$D78+'NOGAL '!$E78+'NOGAL '!$F78+'NOGAL '!$G78+'NOGAL '!$H78</f>
        <v>292439.03275862068</v>
      </c>
      <c r="J78" s="300">
        <f>'NOGAL '!$I78/7</f>
        <v>41777.004679802958</v>
      </c>
    </row>
    <row r="79" spans="1:10" x14ac:dyDescent="0.25">
      <c r="A79" s="33" t="s">
        <v>30</v>
      </c>
      <c r="B79" s="410">
        <f>(3492300/1.16)-B80</f>
        <v>2831738.4482758623</v>
      </c>
      <c r="C79" s="136">
        <f>(3409400/1.16)-C80</f>
        <v>2788287.931034483</v>
      </c>
      <c r="D79" s="136">
        <f>(3808700/1.16)-D80</f>
        <v>3104497.0689655175</v>
      </c>
      <c r="E79" s="398">
        <f>(3946700/1.16)-E80</f>
        <v>3249322.5862068967</v>
      </c>
      <c r="F79" s="137">
        <f>(8080400/1.16)-F80</f>
        <v>6670627.0689655179</v>
      </c>
      <c r="G79" s="91">
        <f>(8565100/1.16)-G80</f>
        <v>7030286.8965517245</v>
      </c>
      <c r="H79" s="91">
        <f>(11134700/1.16)-H80</f>
        <v>9200204.3103448283</v>
      </c>
      <c r="I79" s="111">
        <f>'NOGAL '!$B79+'NOGAL '!$C79+'NOGAL '!$D79+'NOGAL '!$E79+'NOGAL '!$F79+'NOGAL '!$G79+'NOGAL '!$H79</f>
        <v>34874964.31034483</v>
      </c>
      <c r="J79" s="361">
        <f>'NOGAL '!$I79/7</f>
        <v>4982137.7586206896</v>
      </c>
    </row>
    <row r="80" spans="1:10" x14ac:dyDescent="0.25">
      <c r="A80" s="10" t="s">
        <v>31</v>
      </c>
      <c r="B80" s="263">
        <f t="shared" ref="B80:J80" si="32">2155*B61</f>
        <v>178865</v>
      </c>
      <c r="C80" s="139">
        <f t="shared" si="32"/>
        <v>150850</v>
      </c>
      <c r="D80" s="139">
        <f t="shared" si="32"/>
        <v>178865</v>
      </c>
      <c r="E80" s="113">
        <f t="shared" si="32"/>
        <v>153005</v>
      </c>
      <c r="F80" s="112">
        <f t="shared" si="32"/>
        <v>295235</v>
      </c>
      <c r="G80" s="94">
        <f t="shared" si="32"/>
        <v>353420</v>
      </c>
      <c r="H80" s="94">
        <f t="shared" si="32"/>
        <v>398675</v>
      </c>
      <c r="I80" s="109">
        <f t="shared" si="32"/>
        <v>1708915</v>
      </c>
      <c r="J80" s="302">
        <f t="shared" si="32"/>
        <v>244130.71428571429</v>
      </c>
    </row>
    <row r="81" spans="1:12" x14ac:dyDescent="0.25">
      <c r="A81" s="37" t="s">
        <v>32</v>
      </c>
      <c r="B81" s="411">
        <f t="shared" ref="B81:J81" si="33">B79+B80</f>
        <v>3010603.4482758623</v>
      </c>
      <c r="C81" s="40">
        <f t="shared" si="33"/>
        <v>2939137.931034483</v>
      </c>
      <c r="D81" s="40">
        <f t="shared" si="33"/>
        <v>3283362.0689655175</v>
      </c>
      <c r="E81" s="399">
        <f t="shared" si="33"/>
        <v>3402327.5862068967</v>
      </c>
      <c r="F81" s="140">
        <f t="shared" si="33"/>
        <v>6965862.0689655179</v>
      </c>
      <c r="G81" s="39">
        <f t="shared" si="33"/>
        <v>7383706.8965517245</v>
      </c>
      <c r="H81" s="39">
        <f t="shared" si="33"/>
        <v>9598879.3103448283</v>
      </c>
      <c r="I81" s="412">
        <f t="shared" si="33"/>
        <v>36583879.31034483</v>
      </c>
      <c r="J81" s="364">
        <f t="shared" si="33"/>
        <v>5226268.4729064042</v>
      </c>
    </row>
    <row r="82" spans="1:12" x14ac:dyDescent="0.25">
      <c r="A82" s="10" t="s">
        <v>33</v>
      </c>
      <c r="B82" s="413">
        <f t="shared" ref="B82:J82" si="34">B81*16%</f>
        <v>481696.55172413797</v>
      </c>
      <c r="C82" s="42">
        <f t="shared" si="34"/>
        <v>470262.06896551728</v>
      </c>
      <c r="D82" s="42">
        <f t="shared" si="34"/>
        <v>525337.93103448278</v>
      </c>
      <c r="E82" s="400">
        <f t="shared" si="34"/>
        <v>544372.41379310354</v>
      </c>
      <c r="F82" s="141">
        <f t="shared" si="34"/>
        <v>1114537.9310344828</v>
      </c>
      <c r="G82" s="41">
        <f t="shared" si="34"/>
        <v>1181393.1034482759</v>
      </c>
      <c r="H82" s="41">
        <f t="shared" si="34"/>
        <v>1535820.6896551726</v>
      </c>
      <c r="I82" s="414">
        <f t="shared" si="34"/>
        <v>5853420.6896551726</v>
      </c>
      <c r="J82" s="415">
        <f t="shared" si="34"/>
        <v>836202.9556650247</v>
      </c>
    </row>
    <row r="83" spans="1:12" ht="15.75" thickBot="1" x14ac:dyDescent="0.3">
      <c r="A83" s="43" t="s">
        <v>34</v>
      </c>
      <c r="B83" s="416">
        <f t="shared" ref="B83:H83" si="35">B81+B82</f>
        <v>3492300</v>
      </c>
      <c r="C83" s="417">
        <f t="shared" si="35"/>
        <v>3409400.0000000005</v>
      </c>
      <c r="D83" s="417">
        <f t="shared" si="35"/>
        <v>3808700</v>
      </c>
      <c r="E83" s="401">
        <f t="shared" si="35"/>
        <v>3946700</v>
      </c>
      <c r="F83" s="418">
        <f t="shared" si="35"/>
        <v>8080400.0000000009</v>
      </c>
      <c r="G83" s="419">
        <f t="shared" si="35"/>
        <v>8565100</v>
      </c>
      <c r="H83" s="419">
        <f t="shared" si="35"/>
        <v>11134700</v>
      </c>
      <c r="I83" s="420">
        <f>'NOGAL '!$B83+'NOGAL '!$C83+'NOGAL '!$D83+'NOGAL '!$E83+'NOGAL '!$F83+'NOGAL '!$G83+'NOGAL '!$H83</f>
        <v>42437300</v>
      </c>
      <c r="J83" s="367">
        <f>'NOGAL '!$I83/7</f>
        <v>6062471.4285714282</v>
      </c>
    </row>
    <row r="84" spans="1:12" x14ac:dyDescent="0.25">
      <c r="A84" s="204"/>
      <c r="B84" s="112"/>
      <c r="C84" s="112"/>
      <c r="D84" s="112"/>
      <c r="E84" s="112"/>
      <c r="F84" s="112"/>
      <c r="G84" s="112"/>
      <c r="H84" s="112"/>
      <c r="I84" s="112"/>
      <c r="J84" s="205"/>
    </row>
    <row r="85" spans="1:12" ht="15.75" thickBot="1" x14ac:dyDescent="0.3">
      <c r="A85" s="204"/>
      <c r="B85" s="112"/>
      <c r="C85" s="112"/>
      <c r="D85" s="112"/>
      <c r="E85" s="112"/>
      <c r="F85" s="112"/>
      <c r="G85" s="112"/>
      <c r="H85" s="112"/>
      <c r="I85" s="112"/>
      <c r="J85" s="205"/>
    </row>
    <row r="86" spans="1:12" ht="26.25" x14ac:dyDescent="0.25">
      <c r="A86" s="85"/>
      <c r="B86" s="1002" t="s">
        <v>356</v>
      </c>
      <c r="C86" s="1002"/>
      <c r="D86" s="1002"/>
      <c r="E86" s="1002"/>
      <c r="F86" s="1002"/>
      <c r="G86" s="1002"/>
      <c r="H86" s="1002"/>
      <c r="I86" s="1002"/>
      <c r="J86" s="85"/>
    </row>
    <row r="87" spans="1:12" ht="16.5" thickBot="1" x14ac:dyDescent="0.3">
      <c r="A87" s="72" t="s">
        <v>2</v>
      </c>
      <c r="B87" s="402" t="s">
        <v>403</v>
      </c>
      <c r="C87" s="51" t="s">
        <v>132</v>
      </c>
      <c r="D87" s="121" t="s">
        <v>133</v>
      </c>
      <c r="E87" s="51" t="s">
        <v>134</v>
      </c>
      <c r="F87" s="51" t="s">
        <v>135</v>
      </c>
      <c r="G87" s="121" t="s">
        <v>136</v>
      </c>
      <c r="H87" s="121" t="s">
        <v>137</v>
      </c>
      <c r="I87" s="153" t="s">
        <v>10</v>
      </c>
      <c r="J87" s="421" t="s">
        <v>77</v>
      </c>
    </row>
    <row r="88" spans="1:12" x14ac:dyDescent="0.25">
      <c r="A88" s="74" t="s">
        <v>11</v>
      </c>
      <c r="B88" s="55">
        <v>377</v>
      </c>
      <c r="C88" s="56">
        <v>113</v>
      </c>
      <c r="D88" s="54">
        <v>133</v>
      </c>
      <c r="E88" s="373">
        <v>115</v>
      </c>
      <c r="F88" s="311">
        <v>282</v>
      </c>
      <c r="G88" s="58">
        <v>289</v>
      </c>
      <c r="H88" s="57">
        <v>409</v>
      </c>
      <c r="I88" s="311">
        <f>SUM(B88:H88)</f>
        <v>1718</v>
      </c>
      <c r="J88" s="312">
        <f>'NOGAL '!$I88/7</f>
        <v>245.42857142857142</v>
      </c>
      <c r="L88" s="89">
        <f>I94+I122+I150+I178+B206+C206</f>
        <v>6286</v>
      </c>
    </row>
    <row r="89" spans="1:12" x14ac:dyDescent="0.25">
      <c r="A89" s="10" t="s">
        <v>12</v>
      </c>
      <c r="B89" s="233">
        <v>255</v>
      </c>
      <c r="C89" s="13">
        <v>57</v>
      </c>
      <c r="D89" s="13">
        <v>67</v>
      </c>
      <c r="E89" s="395">
        <v>68</v>
      </c>
      <c r="F89" s="125">
        <v>145</v>
      </c>
      <c r="G89" s="11">
        <v>193</v>
      </c>
      <c r="H89" s="11">
        <v>261</v>
      </c>
      <c r="I89" s="403">
        <f>B89+C89+D89+E89+F89+G89+H89</f>
        <v>1046</v>
      </c>
      <c r="J89" s="292">
        <f>'NOGAL '!$I89/7</f>
        <v>149.42857142857142</v>
      </c>
    </row>
    <row r="90" spans="1:12" x14ac:dyDescent="0.25">
      <c r="A90" s="10" t="s">
        <v>13</v>
      </c>
      <c r="B90" s="233">
        <v>0</v>
      </c>
      <c r="C90" s="13">
        <v>1</v>
      </c>
      <c r="D90" s="13">
        <v>0</v>
      </c>
      <c r="E90" s="395">
        <v>2</v>
      </c>
      <c r="F90" s="125">
        <v>2</v>
      </c>
      <c r="G90" s="11">
        <v>0</v>
      </c>
      <c r="H90" s="11">
        <v>1</v>
      </c>
      <c r="I90" s="403">
        <f>B90+C90+D90+E90+F90+G90+H90</f>
        <v>6</v>
      </c>
      <c r="J90" s="292">
        <f>C90+D90+E90+F90+G90+H90+I90</f>
        <v>12</v>
      </c>
    </row>
    <row r="91" spans="1:12" x14ac:dyDescent="0.25">
      <c r="A91" s="10" t="s">
        <v>14</v>
      </c>
      <c r="B91" s="233">
        <v>30</v>
      </c>
      <c r="C91" s="13">
        <v>28</v>
      </c>
      <c r="D91" s="13">
        <v>44</v>
      </c>
      <c r="E91" s="395">
        <v>29</v>
      </c>
      <c r="F91" s="125">
        <v>62</v>
      </c>
      <c r="G91" s="11">
        <v>39</v>
      </c>
      <c r="H91" s="11">
        <v>48</v>
      </c>
      <c r="I91" s="403">
        <f>B91+C91+D91+E91+F91+G91+H91</f>
        <v>280</v>
      </c>
      <c r="J91" s="292">
        <f>'NOGAL '!$I91/7</f>
        <v>40</v>
      </c>
    </row>
    <row r="92" spans="1:12" x14ac:dyDescent="0.25">
      <c r="A92" s="10" t="s">
        <v>15</v>
      </c>
      <c r="B92" s="233">
        <v>50</v>
      </c>
      <c r="C92" s="13">
        <v>12</v>
      </c>
      <c r="D92" s="13">
        <v>13</v>
      </c>
      <c r="E92" s="395">
        <v>10</v>
      </c>
      <c r="F92" s="125">
        <v>30</v>
      </c>
      <c r="G92" s="11">
        <v>41</v>
      </c>
      <c r="H92" s="11">
        <v>44</v>
      </c>
      <c r="I92" s="403">
        <f>B92+C92+D92+E92+F92+G92+H92</f>
        <v>200</v>
      </c>
      <c r="J92" s="292">
        <f>'NOGAL '!$I92/7</f>
        <v>28.571428571428573</v>
      </c>
    </row>
    <row r="93" spans="1:12" x14ac:dyDescent="0.25">
      <c r="A93" s="10" t="s">
        <v>16</v>
      </c>
      <c r="B93" s="233">
        <v>0</v>
      </c>
      <c r="C93" s="13">
        <v>0</v>
      </c>
      <c r="D93" s="13">
        <v>1</v>
      </c>
      <c r="E93" s="395">
        <v>0</v>
      </c>
      <c r="F93" s="125">
        <v>0</v>
      </c>
      <c r="G93" s="11">
        <v>2</v>
      </c>
      <c r="H93" s="11">
        <v>6</v>
      </c>
      <c r="I93" s="403">
        <f>B93+C93+D93+E93+F93+G93+H93</f>
        <v>9</v>
      </c>
      <c r="J93" s="292">
        <f>'NOGAL '!$I93/7</f>
        <v>1.2857142857142858</v>
      </c>
    </row>
    <row r="94" spans="1:12" x14ac:dyDescent="0.25">
      <c r="A94" s="15" t="s">
        <v>17</v>
      </c>
      <c r="B94" s="102">
        <f>SUM(B89:B93)</f>
        <v>335</v>
      </c>
      <c r="C94" s="79">
        <f t="shared" ref="C94:H94" si="36">SUM(C89:C93)</f>
        <v>98</v>
      </c>
      <c r="D94" s="79">
        <f t="shared" si="36"/>
        <v>125</v>
      </c>
      <c r="E94" s="248">
        <f t="shared" si="36"/>
        <v>109</v>
      </c>
      <c r="F94" s="15">
        <f t="shared" si="36"/>
        <v>239</v>
      </c>
      <c r="G94" s="79">
        <f t="shared" si="36"/>
        <v>275</v>
      </c>
      <c r="H94" s="79">
        <f t="shared" si="36"/>
        <v>360</v>
      </c>
      <c r="I94" s="404">
        <f>SUM(I89:I93)</f>
        <v>1541</v>
      </c>
      <c r="J94" s="405">
        <f>'NOGAL '!$I94/7</f>
        <v>220.14285714285714</v>
      </c>
    </row>
    <row r="95" spans="1:12" x14ac:dyDescent="0.25">
      <c r="A95" s="10" t="s">
        <v>18</v>
      </c>
      <c r="B95" s="406">
        <v>0.81</v>
      </c>
      <c r="C95" s="19">
        <v>0.64</v>
      </c>
      <c r="D95" s="19">
        <v>0.66</v>
      </c>
      <c r="E95" s="407">
        <v>0.65</v>
      </c>
      <c r="F95" s="18">
        <v>0.69</v>
      </c>
      <c r="G95" s="18">
        <v>0.76</v>
      </c>
      <c r="H95" s="18">
        <v>0.8</v>
      </c>
      <c r="I95" s="105">
        <f>I102/I107</f>
        <v>0.74682036042658573</v>
      </c>
      <c r="J95" s="297">
        <f>J102/J107</f>
        <v>0.74682036042658573</v>
      </c>
    </row>
    <row r="96" spans="1:12" x14ac:dyDescent="0.25">
      <c r="A96" s="10" t="s">
        <v>19</v>
      </c>
      <c r="B96" s="406">
        <v>0</v>
      </c>
      <c r="C96" s="19">
        <v>0.01</v>
      </c>
      <c r="D96" s="19">
        <v>0</v>
      </c>
      <c r="E96" s="407">
        <v>0.02</v>
      </c>
      <c r="F96" s="18">
        <v>0</v>
      </c>
      <c r="G96" s="18">
        <v>0</v>
      </c>
      <c r="H96" s="18">
        <v>0</v>
      </c>
      <c r="I96" s="105">
        <f>I103/I107</f>
        <v>1.9962155168034021E-3</v>
      </c>
      <c r="J96" s="297">
        <f>J103/J107</f>
        <v>1.9962155168034026E-3</v>
      </c>
    </row>
    <row r="97" spans="1:10" x14ac:dyDescent="0.25">
      <c r="A97" s="10" t="s">
        <v>20</v>
      </c>
      <c r="B97" s="406">
        <v>0.08</v>
      </c>
      <c r="C97" s="19">
        <v>0.26</v>
      </c>
      <c r="D97" s="19">
        <v>0.24</v>
      </c>
      <c r="E97" s="408">
        <v>0.23</v>
      </c>
      <c r="F97" s="18">
        <v>0.2</v>
      </c>
      <c r="G97" s="18">
        <v>0.1</v>
      </c>
      <c r="H97" s="18">
        <v>0.08</v>
      </c>
      <c r="I97" s="105">
        <f>I104/I107</f>
        <v>0.13597468844265626</v>
      </c>
      <c r="J97" s="297">
        <f>J104/J107</f>
        <v>0.13597468844265626</v>
      </c>
    </row>
    <row r="98" spans="1:10" x14ac:dyDescent="0.25">
      <c r="A98" s="10" t="s">
        <v>21</v>
      </c>
      <c r="B98" s="406">
        <v>0.11</v>
      </c>
      <c r="C98" s="19">
        <v>0.09</v>
      </c>
      <c r="D98" s="19">
        <v>0.1</v>
      </c>
      <c r="E98" s="408">
        <v>0.1</v>
      </c>
      <c r="F98" s="18">
        <v>0.11</v>
      </c>
      <c r="G98" s="18">
        <v>0.14000000000000001</v>
      </c>
      <c r="H98" s="18">
        <v>0.11</v>
      </c>
      <c r="I98" s="105">
        <f>I105/I107</f>
        <v>0.11289881183061057</v>
      </c>
      <c r="J98" s="297">
        <f>J105/J107</f>
        <v>0.11289881183061057</v>
      </c>
    </row>
    <row r="99" spans="1:10" x14ac:dyDescent="0.25">
      <c r="A99" s="10" t="s">
        <v>22</v>
      </c>
      <c r="B99" s="406">
        <v>0</v>
      </c>
      <c r="C99" s="19">
        <v>0</v>
      </c>
      <c r="D99" s="19">
        <v>0</v>
      </c>
      <c r="E99" s="408">
        <v>0</v>
      </c>
      <c r="F99" s="18">
        <v>0</v>
      </c>
      <c r="G99" s="18">
        <v>0</v>
      </c>
      <c r="H99" s="18">
        <v>0.01</v>
      </c>
      <c r="I99" s="105">
        <f>I106/I107</f>
        <v>2.3099237833441428E-3</v>
      </c>
      <c r="J99" s="297">
        <f>J106/J107</f>
        <v>2.3099237833441423E-3</v>
      </c>
    </row>
    <row r="100" spans="1:10" x14ac:dyDescent="0.25">
      <c r="A100" s="24" t="s">
        <v>23</v>
      </c>
      <c r="B100" s="409">
        <f t="shared" ref="B100:J100" si="37">B111/B94</f>
        <v>36426.26865671642</v>
      </c>
      <c r="C100" s="131">
        <f t="shared" si="37"/>
        <v>33801.020408163262</v>
      </c>
      <c r="D100" s="131">
        <f t="shared" si="37"/>
        <v>31968</v>
      </c>
      <c r="E100" s="397">
        <f t="shared" si="37"/>
        <v>34982.568807339456</v>
      </c>
      <c r="F100" s="132">
        <f t="shared" si="37"/>
        <v>36699.163179916315</v>
      </c>
      <c r="G100" s="130">
        <f t="shared" si="37"/>
        <v>36900.727272727279</v>
      </c>
      <c r="H100" s="130">
        <f t="shared" si="37"/>
        <v>35421.944444444453</v>
      </c>
      <c r="I100" s="359">
        <f t="shared" si="37"/>
        <v>35687.929915639193</v>
      </c>
      <c r="J100" s="314">
        <f t="shared" si="37"/>
        <v>35687.929915639193</v>
      </c>
    </row>
    <row r="101" spans="1:10" x14ac:dyDescent="0.25">
      <c r="A101" s="24" t="s">
        <v>24</v>
      </c>
      <c r="B101" s="409">
        <f t="shared" ref="B101:J101" si="38">B111/B88</f>
        <v>32368.169761273213</v>
      </c>
      <c r="C101" s="131">
        <f t="shared" si="38"/>
        <v>29314.159292035398</v>
      </c>
      <c r="D101" s="131">
        <f t="shared" si="38"/>
        <v>30045.112781954886</v>
      </c>
      <c r="E101" s="397">
        <f t="shared" si="38"/>
        <v>33157.391304347831</v>
      </c>
      <c r="F101" s="132">
        <f t="shared" si="38"/>
        <v>31103.191489361703</v>
      </c>
      <c r="G101" s="130">
        <f t="shared" si="38"/>
        <v>35113.148788927341</v>
      </c>
      <c r="H101" s="130">
        <f t="shared" si="38"/>
        <v>31178.23960880196</v>
      </c>
      <c r="I101" s="359">
        <f t="shared" si="38"/>
        <v>32011.117578579742</v>
      </c>
      <c r="J101" s="314">
        <f t="shared" si="38"/>
        <v>32011.117578579746</v>
      </c>
    </row>
    <row r="102" spans="1:10" x14ac:dyDescent="0.25">
      <c r="A102" s="10" t="s">
        <v>25</v>
      </c>
      <c r="B102" s="255">
        <f t="shared" ref="B102:H102" si="39">B107*B95</f>
        <v>8075805.4396551736</v>
      </c>
      <c r="C102" s="133">
        <f t="shared" si="39"/>
        <v>1748971.806896552</v>
      </c>
      <c r="D102" s="133">
        <f t="shared" si="39"/>
        <v>2178292.1068965518</v>
      </c>
      <c r="E102" s="299">
        <f t="shared" si="39"/>
        <v>2041399.8620689658</v>
      </c>
      <c r="F102" s="134">
        <f t="shared" si="39"/>
        <v>5001684.4913793104</v>
      </c>
      <c r="G102" s="92">
        <f t="shared" si="39"/>
        <v>6332397.703448277</v>
      </c>
      <c r="H102" s="92">
        <f t="shared" si="39"/>
        <v>8344449.793103449</v>
      </c>
      <c r="I102" s="108">
        <f>'NOGAL '!$B102+'NOGAL '!$C102+'NOGAL '!$D102+'NOGAL '!$E102+'NOGAL '!$F102+'NOGAL '!$G102+'NOGAL '!$H102</f>
        <v>33723001.203448281</v>
      </c>
      <c r="J102" s="300">
        <f>'NOGAL '!$I102/7</f>
        <v>4817571.6004926115</v>
      </c>
    </row>
    <row r="103" spans="1:10" x14ac:dyDescent="0.25">
      <c r="A103" s="10" t="s">
        <v>26</v>
      </c>
      <c r="B103" s="255">
        <f t="shared" ref="B103:H103" si="40">B107*B96</f>
        <v>0</v>
      </c>
      <c r="C103" s="133">
        <f t="shared" si="40"/>
        <v>27327.684482758625</v>
      </c>
      <c r="D103" s="133">
        <f t="shared" si="40"/>
        <v>0</v>
      </c>
      <c r="E103" s="299">
        <f t="shared" si="40"/>
        <v>62812.303448275867</v>
      </c>
      <c r="F103" s="134">
        <f t="shared" si="40"/>
        <v>0</v>
      </c>
      <c r="G103" s="92">
        <f t="shared" si="40"/>
        <v>0</v>
      </c>
      <c r="H103" s="92">
        <f t="shared" si="40"/>
        <v>0</v>
      </c>
      <c r="I103" s="108">
        <f>'NOGAL '!$B103+'NOGAL '!$C103+'NOGAL '!$D103+'NOGAL '!$E103+'NOGAL '!$F103+'NOGAL '!$G103+'NOGAL '!$H103</f>
        <v>90139.987931034499</v>
      </c>
      <c r="J103" s="300">
        <f>'NOGAL '!$I103/7</f>
        <v>12877.141133004929</v>
      </c>
    </row>
    <row r="104" spans="1:10" x14ac:dyDescent="0.25">
      <c r="A104" s="10" t="s">
        <v>27</v>
      </c>
      <c r="B104" s="255">
        <f t="shared" ref="B104:H104" si="41">B107*B97</f>
        <v>797610.41379310354</v>
      </c>
      <c r="C104" s="133">
        <f t="shared" si="41"/>
        <v>710519.7965517242</v>
      </c>
      <c r="D104" s="133">
        <f t="shared" si="41"/>
        <v>792106.22068965517</v>
      </c>
      <c r="E104" s="299">
        <f t="shared" si="41"/>
        <v>722341.48965517257</v>
      </c>
      <c r="F104" s="134">
        <f t="shared" si="41"/>
        <v>1449763.6206896554</v>
      </c>
      <c r="G104" s="92">
        <f t="shared" si="41"/>
        <v>833210.22413793113</v>
      </c>
      <c r="H104" s="92">
        <f t="shared" si="41"/>
        <v>834444.9793103449</v>
      </c>
      <c r="I104" s="108">
        <f>'NOGAL '!$B104+'NOGAL '!$C104+'NOGAL '!$D104+'NOGAL '!$E104+'NOGAL '!$F104+'NOGAL '!$G104+'NOGAL '!$H104</f>
        <v>6139996.7448275872</v>
      </c>
      <c r="J104" s="300">
        <f>'NOGAL '!$I104/7</f>
        <v>877142.39211822674</v>
      </c>
    </row>
    <row r="105" spans="1:10" x14ac:dyDescent="0.25">
      <c r="A105" s="10" t="s">
        <v>28</v>
      </c>
      <c r="B105" s="255">
        <f t="shared" ref="B105:H105" si="42">B107*B98</f>
        <v>1096714.3189655175</v>
      </c>
      <c r="C105" s="133">
        <f t="shared" si="42"/>
        <v>245949.1603448276</v>
      </c>
      <c r="D105" s="133">
        <f t="shared" si="42"/>
        <v>330044.25862068968</v>
      </c>
      <c r="E105" s="299">
        <f t="shared" si="42"/>
        <v>314061.51724137936</v>
      </c>
      <c r="F105" s="134">
        <f t="shared" si="42"/>
        <v>797369.99137931038</v>
      </c>
      <c r="G105" s="92">
        <f t="shared" si="42"/>
        <v>1166494.3137931037</v>
      </c>
      <c r="H105" s="92">
        <f t="shared" si="42"/>
        <v>1147361.8465517242</v>
      </c>
      <c r="I105" s="108">
        <f>'NOGAL '!$B105+'NOGAL '!$C105+'NOGAL '!$D105+'NOGAL '!$E105+'NOGAL '!$F105+'NOGAL '!$G105+'NOGAL '!$H105</f>
        <v>5097995.4068965521</v>
      </c>
      <c r="J105" s="300">
        <f>'NOGAL '!$I105/7</f>
        <v>728285.05812807882</v>
      </c>
    </row>
    <row r="106" spans="1:10" x14ac:dyDescent="0.25">
      <c r="A106" s="10" t="s">
        <v>29</v>
      </c>
      <c r="B106" s="255">
        <f t="shared" ref="B106:H106" si="43">B107*B99</f>
        <v>0</v>
      </c>
      <c r="C106" s="133">
        <f t="shared" si="43"/>
        <v>0</v>
      </c>
      <c r="D106" s="133">
        <f t="shared" si="43"/>
        <v>0</v>
      </c>
      <c r="E106" s="299">
        <f t="shared" si="43"/>
        <v>0</v>
      </c>
      <c r="F106" s="134">
        <f t="shared" si="43"/>
        <v>0</v>
      </c>
      <c r="G106" s="92">
        <f t="shared" si="43"/>
        <v>0</v>
      </c>
      <c r="H106" s="92">
        <f t="shared" si="43"/>
        <v>104305.62241379311</v>
      </c>
      <c r="I106" s="108">
        <f>'NOGAL '!$B106+'NOGAL '!$C106+'NOGAL '!$D106+'NOGAL '!$E106+'NOGAL '!$F106+'NOGAL '!$G106+'NOGAL '!$H106</f>
        <v>104305.62241379311</v>
      </c>
      <c r="J106" s="300">
        <f>'NOGAL '!$I106/7</f>
        <v>14900.803201970444</v>
      </c>
    </row>
    <row r="107" spans="1:10" x14ac:dyDescent="0.25">
      <c r="A107" s="33" t="s">
        <v>30</v>
      </c>
      <c r="B107" s="410">
        <f>(12202800/1.16)-B108</f>
        <v>9970130.1724137943</v>
      </c>
      <c r="C107" s="136">
        <f>(3312500/1.16)-C108</f>
        <v>2732768.4482758623</v>
      </c>
      <c r="D107" s="136">
        <f>(3996000/1.16)-D108</f>
        <v>3300442.5862068967</v>
      </c>
      <c r="E107" s="398">
        <f>(3813100/1.16)-E108</f>
        <v>3140615.1724137934</v>
      </c>
      <c r="F107" s="137">
        <f>(8771100/1.16)-F108</f>
        <v>7248818.1034482764</v>
      </c>
      <c r="G107" s="91">
        <f>(10147700/1.16)-G108</f>
        <v>8332102.2413793113</v>
      </c>
      <c r="H107" s="91">
        <f>(12751900/1.16)-H108</f>
        <v>10430562.241379311</v>
      </c>
      <c r="I107" s="111">
        <f>'NOGAL '!$B107+'NOGAL '!$C107+'NOGAL '!$D107+'NOGAL '!$E107+'NOGAL '!$F107+'NOGAL '!$G107+'NOGAL '!$H107</f>
        <v>45155438.965517245</v>
      </c>
      <c r="J107" s="361">
        <f>'NOGAL '!$I107/7</f>
        <v>6450776.9950738922</v>
      </c>
    </row>
    <row r="108" spans="1:10" x14ac:dyDescent="0.25">
      <c r="A108" s="10" t="s">
        <v>31</v>
      </c>
      <c r="B108" s="263">
        <f t="shared" ref="B108:J108" si="44">2155*B89</f>
        <v>549525</v>
      </c>
      <c r="C108" s="139">
        <f t="shared" si="44"/>
        <v>122835</v>
      </c>
      <c r="D108" s="139">
        <f t="shared" si="44"/>
        <v>144385</v>
      </c>
      <c r="E108" s="113">
        <f t="shared" si="44"/>
        <v>146540</v>
      </c>
      <c r="F108" s="112">
        <f t="shared" si="44"/>
        <v>312475</v>
      </c>
      <c r="G108" s="94">
        <f t="shared" si="44"/>
        <v>415915</v>
      </c>
      <c r="H108" s="94">
        <f t="shared" si="44"/>
        <v>562455</v>
      </c>
      <c r="I108" s="109">
        <f t="shared" si="44"/>
        <v>2254130</v>
      </c>
      <c r="J108" s="302">
        <f t="shared" si="44"/>
        <v>322018.57142857142</v>
      </c>
    </row>
    <row r="109" spans="1:10" x14ac:dyDescent="0.25">
      <c r="A109" s="37" t="s">
        <v>32</v>
      </c>
      <c r="B109" s="411">
        <f t="shared" ref="B109:J109" si="45">B107+B108</f>
        <v>10519655.172413794</v>
      </c>
      <c r="C109" s="40">
        <f t="shared" si="45"/>
        <v>2855603.4482758623</v>
      </c>
      <c r="D109" s="40">
        <f t="shared" si="45"/>
        <v>3444827.5862068967</v>
      </c>
      <c r="E109" s="399">
        <f t="shared" si="45"/>
        <v>3287155.1724137934</v>
      </c>
      <c r="F109" s="140">
        <f t="shared" si="45"/>
        <v>7561293.1034482764</v>
      </c>
      <c r="G109" s="39">
        <f t="shared" si="45"/>
        <v>8748017.2413793113</v>
      </c>
      <c r="H109" s="39">
        <f t="shared" si="45"/>
        <v>10993017.241379311</v>
      </c>
      <c r="I109" s="412">
        <f t="shared" si="45"/>
        <v>47409568.965517245</v>
      </c>
      <c r="J109" s="364">
        <f t="shared" si="45"/>
        <v>6772795.566502464</v>
      </c>
    </row>
    <row r="110" spans="1:10" x14ac:dyDescent="0.25">
      <c r="A110" s="10" t="s">
        <v>33</v>
      </c>
      <c r="B110" s="413">
        <f t="shared" ref="B110:J110" si="46">B109*16%</f>
        <v>1683144.8275862071</v>
      </c>
      <c r="C110" s="42">
        <f t="shared" si="46"/>
        <v>456896.55172413797</v>
      </c>
      <c r="D110" s="42">
        <f t="shared" si="46"/>
        <v>551172.41379310354</v>
      </c>
      <c r="E110" s="400">
        <f t="shared" si="46"/>
        <v>525944.82758620696</v>
      </c>
      <c r="F110" s="141">
        <f t="shared" si="46"/>
        <v>1209806.8965517243</v>
      </c>
      <c r="G110" s="41">
        <f t="shared" si="46"/>
        <v>1399682.7586206899</v>
      </c>
      <c r="H110" s="41">
        <f t="shared" si="46"/>
        <v>1758882.7586206899</v>
      </c>
      <c r="I110" s="414">
        <f t="shared" si="46"/>
        <v>7585531.0344827594</v>
      </c>
      <c r="J110" s="415">
        <f t="shared" si="46"/>
        <v>1083647.2906403942</v>
      </c>
    </row>
    <row r="111" spans="1:10" x14ac:dyDescent="0.25">
      <c r="A111" s="43" t="s">
        <v>34</v>
      </c>
      <c r="B111" s="422">
        <f t="shared" ref="B111:H111" si="47">B109+B110</f>
        <v>12202800.000000002</v>
      </c>
      <c r="C111" s="315">
        <f t="shared" si="47"/>
        <v>3312500</v>
      </c>
      <c r="D111" s="315">
        <f t="shared" si="47"/>
        <v>3996000</v>
      </c>
      <c r="E111" s="423">
        <f t="shared" si="47"/>
        <v>3813100.0000000005</v>
      </c>
      <c r="F111" s="182">
        <f t="shared" si="47"/>
        <v>8771100</v>
      </c>
      <c r="G111" s="178">
        <f t="shared" si="47"/>
        <v>10147700.000000002</v>
      </c>
      <c r="H111" s="178">
        <f t="shared" si="47"/>
        <v>12751900.000000002</v>
      </c>
      <c r="I111" s="380">
        <f>'NOGAL '!$B111+'NOGAL '!$C111+'NOGAL '!$D111+'NOGAL '!$E111+'NOGAL '!$F111+'NOGAL '!$G111+'NOGAL '!$H111</f>
        <v>54995100</v>
      </c>
      <c r="J111" s="367">
        <f>'NOGAL '!$I111/7</f>
        <v>7856442.8571428573</v>
      </c>
    </row>
    <row r="112" spans="1:10" s="71" customFormat="1" x14ac:dyDescent="0.25">
      <c r="A112" s="69"/>
      <c r="B112" s="424"/>
      <c r="C112" s="424"/>
      <c r="D112" s="424"/>
      <c r="E112" s="424"/>
      <c r="F112" s="424"/>
      <c r="G112" s="424"/>
      <c r="H112" s="424"/>
      <c r="I112" s="424"/>
      <c r="J112" s="424"/>
    </row>
    <row r="113" spans="1:10" s="71" customFormat="1" ht="15.75" thickBot="1" x14ac:dyDescent="0.3">
      <c r="A113" s="69"/>
      <c r="B113" s="424"/>
      <c r="C113" s="424"/>
      <c r="D113" s="424"/>
      <c r="E113" s="424"/>
      <c r="F113" s="424"/>
      <c r="G113" s="424"/>
      <c r="H113" s="424"/>
      <c r="I113" s="424"/>
      <c r="J113" s="424"/>
    </row>
    <row r="114" spans="1:10" s="71" customFormat="1" ht="26.25" x14ac:dyDescent="0.25">
      <c r="A114" s="85"/>
      <c r="B114" s="1002" t="s">
        <v>415</v>
      </c>
      <c r="C114" s="1002"/>
      <c r="D114" s="1002"/>
      <c r="E114" s="1002"/>
      <c r="F114" s="1002"/>
      <c r="G114" s="1002"/>
      <c r="H114" s="1002"/>
      <c r="I114" s="1002"/>
      <c r="J114" s="85"/>
    </row>
    <row r="115" spans="1:10" s="71" customFormat="1" ht="16.5" thickBot="1" x14ac:dyDescent="0.3">
      <c r="A115" s="72" t="s">
        <v>2</v>
      </c>
      <c r="B115" s="402" t="s">
        <v>139</v>
      </c>
      <c r="C115" s="51" t="s">
        <v>140</v>
      </c>
      <c r="D115" s="121" t="s">
        <v>141</v>
      </c>
      <c r="E115" s="51" t="s">
        <v>142</v>
      </c>
      <c r="F115" s="51" t="s">
        <v>143</v>
      </c>
      <c r="G115" s="121" t="s">
        <v>144</v>
      </c>
      <c r="H115" s="121" t="s">
        <v>145</v>
      </c>
      <c r="I115" s="153" t="s">
        <v>10</v>
      </c>
      <c r="J115" s="421" t="s">
        <v>77</v>
      </c>
    </row>
    <row r="116" spans="1:10" s="71" customFormat="1" x14ac:dyDescent="0.25">
      <c r="A116" s="74" t="s">
        <v>11</v>
      </c>
      <c r="B116" s="55">
        <v>106</v>
      </c>
      <c r="C116" s="56">
        <v>145</v>
      </c>
      <c r="D116" s="54">
        <v>143</v>
      </c>
      <c r="E116" s="373">
        <v>134</v>
      </c>
      <c r="F116" s="311">
        <v>267</v>
      </c>
      <c r="G116" s="58">
        <v>307</v>
      </c>
      <c r="H116" s="57">
        <v>346</v>
      </c>
      <c r="I116" s="311">
        <f>SUM(B116:H116)</f>
        <v>1448</v>
      </c>
      <c r="J116" s="317">
        <f>'NOGAL '!$I116/7</f>
        <v>206.85714285714286</v>
      </c>
    </row>
    <row r="117" spans="1:10" s="71" customFormat="1" x14ac:dyDescent="0.25">
      <c r="A117" s="10" t="s">
        <v>12</v>
      </c>
      <c r="B117" s="233">
        <v>58</v>
      </c>
      <c r="C117" s="13">
        <v>97</v>
      </c>
      <c r="D117" s="13">
        <v>202</v>
      </c>
      <c r="E117" s="395">
        <v>213</v>
      </c>
      <c r="F117" s="125">
        <v>156</v>
      </c>
      <c r="G117" s="11">
        <v>182</v>
      </c>
      <c r="H117" s="11">
        <v>215</v>
      </c>
      <c r="I117" s="403">
        <f>B117+C117+D117+E117+F117+G117+H117</f>
        <v>1123</v>
      </c>
      <c r="J117" s="318">
        <f>'NOGAL '!$I117/7</f>
        <v>160.42857142857142</v>
      </c>
    </row>
    <row r="118" spans="1:10" s="71" customFormat="1" x14ac:dyDescent="0.25">
      <c r="A118" s="10" t="s">
        <v>13</v>
      </c>
      <c r="B118" s="233">
        <v>0</v>
      </c>
      <c r="C118" s="13">
        <v>1</v>
      </c>
      <c r="D118" s="13">
        <v>0</v>
      </c>
      <c r="E118" s="395">
        <v>0</v>
      </c>
      <c r="F118" s="125">
        <v>0</v>
      </c>
      <c r="G118" s="11">
        <v>0</v>
      </c>
      <c r="H118" s="11">
        <v>0</v>
      </c>
      <c r="I118" s="403">
        <f>B118+C118+D118+E118+F118+G118+H118</f>
        <v>1</v>
      </c>
      <c r="J118" s="318">
        <f>'NOGAL '!$I118/7</f>
        <v>0.14285714285714285</v>
      </c>
    </row>
    <row r="119" spans="1:10" s="71" customFormat="1" x14ac:dyDescent="0.25">
      <c r="A119" s="10" t="s">
        <v>14</v>
      </c>
      <c r="B119" s="233">
        <v>25</v>
      </c>
      <c r="C119" s="13">
        <v>24</v>
      </c>
      <c r="D119" s="13">
        <v>42</v>
      </c>
      <c r="E119" s="395">
        <v>42</v>
      </c>
      <c r="F119" s="125">
        <v>48</v>
      </c>
      <c r="G119" s="11">
        <v>89</v>
      </c>
      <c r="H119" s="11">
        <v>26</v>
      </c>
      <c r="I119" s="403">
        <f>B119+C119+D119+E119+F119+G119+H119</f>
        <v>296</v>
      </c>
      <c r="J119" s="318">
        <f>'NOGAL '!$I119/7</f>
        <v>42.285714285714285</v>
      </c>
    </row>
    <row r="120" spans="1:10" s="71" customFormat="1" x14ac:dyDescent="0.25">
      <c r="A120" s="10" t="s">
        <v>15</v>
      </c>
      <c r="B120" s="233">
        <v>2</v>
      </c>
      <c r="C120" s="13">
        <v>10</v>
      </c>
      <c r="D120" s="13">
        <v>18</v>
      </c>
      <c r="E120" s="395">
        <v>18</v>
      </c>
      <c r="F120" s="125">
        <v>30</v>
      </c>
      <c r="G120" s="11">
        <v>9</v>
      </c>
      <c r="H120" s="11">
        <v>54</v>
      </c>
      <c r="I120" s="403">
        <f>B120+C120+D120+E120+F120+G120+H120</f>
        <v>141</v>
      </c>
      <c r="J120" s="318">
        <f>'NOGAL '!$I120/7</f>
        <v>20.142857142857142</v>
      </c>
    </row>
    <row r="121" spans="1:10" s="71" customFormat="1" x14ac:dyDescent="0.25">
      <c r="A121" s="10" t="s">
        <v>16</v>
      </c>
      <c r="B121" s="233">
        <v>0</v>
      </c>
      <c r="C121" s="13">
        <v>0</v>
      </c>
      <c r="D121" s="13">
        <v>0</v>
      </c>
      <c r="E121" s="395">
        <v>0</v>
      </c>
      <c r="F121" s="125">
        <v>1</v>
      </c>
      <c r="G121" s="11">
        <v>1</v>
      </c>
      <c r="H121" s="11">
        <v>0</v>
      </c>
      <c r="I121" s="403">
        <f>B121+C121+D121+E121+F121+G121+H121</f>
        <v>2</v>
      </c>
      <c r="J121" s="318">
        <f>'NOGAL '!$I121/7</f>
        <v>0.2857142857142857</v>
      </c>
    </row>
    <row r="122" spans="1:10" s="71" customFormat="1" x14ac:dyDescent="0.25">
      <c r="A122" s="15" t="s">
        <v>17</v>
      </c>
      <c r="B122" s="102">
        <f>SUM(B117:B121)</f>
        <v>85</v>
      </c>
      <c r="C122" s="79">
        <f t="shared" ref="C122:H122" si="48">SUM(C117:C121)</f>
        <v>132</v>
      </c>
      <c r="D122" s="79">
        <f t="shared" si="48"/>
        <v>262</v>
      </c>
      <c r="E122" s="248">
        <f t="shared" si="48"/>
        <v>273</v>
      </c>
      <c r="F122" s="15">
        <f t="shared" si="48"/>
        <v>235</v>
      </c>
      <c r="G122" s="79">
        <f t="shared" si="48"/>
        <v>281</v>
      </c>
      <c r="H122" s="79">
        <f t="shared" si="48"/>
        <v>295</v>
      </c>
      <c r="I122" s="404">
        <f>SUM(I117:I121)</f>
        <v>1563</v>
      </c>
      <c r="J122" s="425">
        <f>'NOGAL '!$I122/7</f>
        <v>223.28571428571428</v>
      </c>
    </row>
    <row r="123" spans="1:10" s="71" customFormat="1" x14ac:dyDescent="0.25">
      <c r="A123" s="10" t="s">
        <v>18</v>
      </c>
      <c r="B123" s="406">
        <v>0.68</v>
      </c>
      <c r="C123" s="19">
        <v>0.81</v>
      </c>
      <c r="D123" s="19">
        <v>0.69</v>
      </c>
      <c r="E123" s="407">
        <v>0.62</v>
      </c>
      <c r="F123" s="18">
        <v>0.7</v>
      </c>
      <c r="G123" s="18">
        <v>0.76</v>
      </c>
      <c r="H123" s="18">
        <v>0.8</v>
      </c>
      <c r="I123" s="105">
        <f>I130/I135</f>
        <v>0.74000837286701271</v>
      </c>
      <c r="J123" s="426">
        <f>J130/J135</f>
        <v>0.74000837286701271</v>
      </c>
    </row>
    <row r="124" spans="1:10" s="71" customFormat="1" x14ac:dyDescent="0.25">
      <c r="A124" s="10" t="s">
        <v>19</v>
      </c>
      <c r="B124" s="406">
        <v>0</v>
      </c>
      <c r="C124" s="19">
        <v>0.01</v>
      </c>
      <c r="D124" s="19">
        <v>0</v>
      </c>
      <c r="E124" s="407">
        <v>0</v>
      </c>
      <c r="F124" s="18">
        <v>0</v>
      </c>
      <c r="G124" s="18">
        <v>0</v>
      </c>
      <c r="H124" s="18">
        <v>0</v>
      </c>
      <c r="I124" s="105">
        <f>I131/I135</f>
        <v>9.8493638791788299E-4</v>
      </c>
      <c r="J124" s="426">
        <f>J131/J135</f>
        <v>9.8493638791788299E-4</v>
      </c>
    </row>
    <row r="125" spans="1:10" s="71" customFormat="1" x14ac:dyDescent="0.25">
      <c r="A125" s="10" t="s">
        <v>20</v>
      </c>
      <c r="B125" s="406">
        <v>0.3</v>
      </c>
      <c r="C125" s="19">
        <v>0.13</v>
      </c>
      <c r="D125" s="19">
        <v>0.22</v>
      </c>
      <c r="E125" s="408">
        <v>0.22</v>
      </c>
      <c r="F125" s="18">
        <v>0.17</v>
      </c>
      <c r="G125" s="18">
        <v>0.1</v>
      </c>
      <c r="H125" s="18">
        <v>0.05</v>
      </c>
      <c r="I125" s="105">
        <f>I132/I135</f>
        <v>0.13812217887806844</v>
      </c>
      <c r="J125" s="426">
        <f>J132/J135</f>
        <v>0.13812217887806844</v>
      </c>
    </row>
    <row r="126" spans="1:10" s="71" customFormat="1" x14ac:dyDescent="0.25">
      <c r="A126" s="10" t="s">
        <v>21</v>
      </c>
      <c r="B126" s="406">
        <v>0.02</v>
      </c>
      <c r="C126" s="19">
        <v>0.05</v>
      </c>
      <c r="D126" s="19">
        <v>0.09</v>
      </c>
      <c r="E126" s="408">
        <v>0.16</v>
      </c>
      <c r="F126" s="18">
        <v>0.12</v>
      </c>
      <c r="G126" s="18">
        <v>0.14000000000000001</v>
      </c>
      <c r="H126" s="18">
        <v>0.15</v>
      </c>
      <c r="I126" s="105">
        <f>I133/I135</f>
        <v>0.1191098232195968</v>
      </c>
      <c r="J126" s="426">
        <f>J133/J135</f>
        <v>0.1191098232195968</v>
      </c>
    </row>
    <row r="127" spans="1:10" s="71" customFormat="1" x14ac:dyDescent="0.25">
      <c r="A127" s="10" t="s">
        <v>22</v>
      </c>
      <c r="B127" s="406">
        <v>0</v>
      </c>
      <c r="C127" s="19">
        <v>0</v>
      </c>
      <c r="D127" s="19">
        <v>0</v>
      </c>
      <c r="E127" s="408">
        <v>0</v>
      </c>
      <c r="F127" s="18">
        <v>0.01</v>
      </c>
      <c r="G127" s="18">
        <v>0</v>
      </c>
      <c r="H127" s="18">
        <v>0</v>
      </c>
      <c r="I127" s="105">
        <f>I134/I135</f>
        <v>1.7746886474041175E-3</v>
      </c>
      <c r="J127" s="426">
        <f>J134/J135</f>
        <v>1.7746886474041175E-3</v>
      </c>
    </row>
    <row r="128" spans="1:10" s="71" customFormat="1" x14ac:dyDescent="0.25">
      <c r="A128" s="24" t="s">
        <v>23</v>
      </c>
      <c r="B128" s="409">
        <f t="shared" ref="B128:J128" si="49">B139/B122</f>
        <v>36702.352941176476</v>
      </c>
      <c r="C128" s="131">
        <f t="shared" si="49"/>
        <v>34595.454545454544</v>
      </c>
      <c r="D128" s="131">
        <f t="shared" si="49"/>
        <v>17313.358778625956</v>
      </c>
      <c r="E128" s="397">
        <f t="shared" si="49"/>
        <v>16132.967032967033</v>
      </c>
      <c r="F128" s="132">
        <f t="shared" si="49"/>
        <v>34814.042553191495</v>
      </c>
      <c r="G128" s="130">
        <f t="shared" si="49"/>
        <v>37256.939501779358</v>
      </c>
      <c r="H128" s="130">
        <f t="shared" si="49"/>
        <v>38754.576271186445</v>
      </c>
      <c r="I128" s="359">
        <f t="shared" si="49"/>
        <v>29884.708893154191</v>
      </c>
      <c r="J128" s="132">
        <f t="shared" si="49"/>
        <v>29884.708893154195</v>
      </c>
    </row>
    <row r="129" spans="1:10" s="71" customFormat="1" x14ac:dyDescent="0.25">
      <c r="A129" s="24" t="s">
        <v>24</v>
      </c>
      <c r="B129" s="409">
        <f t="shared" ref="B129:J129" si="50">B139/B116</f>
        <v>29431.132075471702</v>
      </c>
      <c r="C129" s="131">
        <f t="shared" si="50"/>
        <v>31493.793103448275</v>
      </c>
      <c r="D129" s="131">
        <f t="shared" si="50"/>
        <v>31720.979020979023</v>
      </c>
      <c r="E129" s="397">
        <f t="shared" si="50"/>
        <v>32867.910447761191</v>
      </c>
      <c r="F129" s="132">
        <f t="shared" si="50"/>
        <v>30641.573033707868</v>
      </c>
      <c r="G129" s="130">
        <f t="shared" si="50"/>
        <v>34101.628664495111</v>
      </c>
      <c r="H129" s="130">
        <f t="shared" si="50"/>
        <v>33042.196531791909</v>
      </c>
      <c r="I129" s="359">
        <f t="shared" si="50"/>
        <v>32258.149171270717</v>
      </c>
      <c r="J129" s="132">
        <f t="shared" si="50"/>
        <v>32258.149171270721</v>
      </c>
    </row>
    <row r="130" spans="1:10" s="71" customFormat="1" x14ac:dyDescent="0.25">
      <c r="A130" s="10" t="s">
        <v>25</v>
      </c>
      <c r="B130" s="255">
        <f t="shared" ref="B130:H130" si="51">B135*B123</f>
        <v>1743796.4551724142</v>
      </c>
      <c r="C130" s="133">
        <f t="shared" si="51"/>
        <v>3019428.2017241386</v>
      </c>
      <c r="D130" s="133">
        <f t="shared" si="51"/>
        <v>2397833.5137931034</v>
      </c>
      <c r="E130" s="299">
        <f t="shared" si="51"/>
        <v>2069433.1137931035</v>
      </c>
      <c r="F130" s="134">
        <f t="shared" si="51"/>
        <v>4701665.3793103453</v>
      </c>
      <c r="G130" s="92">
        <f t="shared" si="51"/>
        <v>6561051.4344827589</v>
      </c>
      <c r="H130" s="92">
        <f t="shared" si="51"/>
        <v>7513891.7241379321</v>
      </c>
      <c r="I130" s="108">
        <f>'NOGAL '!$B130+'NOGAL '!$C130+'NOGAL '!$D130+'NOGAL '!$E130+'NOGAL '!$F130+'NOGAL '!$G130+'NOGAL '!$H130</f>
        <v>28007099.822413795</v>
      </c>
      <c r="J130" s="134">
        <f>'NOGAL '!$I130/7</f>
        <v>4001014.260344828</v>
      </c>
    </row>
    <row r="131" spans="1:10" s="71" customFormat="1" x14ac:dyDescent="0.25">
      <c r="A131" s="10" t="s">
        <v>26</v>
      </c>
      <c r="B131" s="255">
        <f t="shared" ref="B131:H131" si="52">B135*B124</f>
        <v>0</v>
      </c>
      <c r="C131" s="133">
        <f t="shared" si="52"/>
        <v>37276.891379310349</v>
      </c>
      <c r="D131" s="133">
        <f t="shared" si="52"/>
        <v>0</v>
      </c>
      <c r="E131" s="299">
        <f t="shared" si="52"/>
        <v>0</v>
      </c>
      <c r="F131" s="134">
        <f t="shared" si="52"/>
        <v>0</v>
      </c>
      <c r="G131" s="92">
        <f t="shared" si="52"/>
        <v>0</v>
      </c>
      <c r="H131" s="92">
        <f t="shared" si="52"/>
        <v>0</v>
      </c>
      <c r="I131" s="108">
        <f>'NOGAL '!$B131+'NOGAL '!$C131+'NOGAL '!$D131+'NOGAL '!$E131+'NOGAL '!$F131+'NOGAL '!$G131+'NOGAL '!$H131</f>
        <v>37276.891379310349</v>
      </c>
      <c r="J131" s="134">
        <f>'NOGAL '!$I131/7</f>
        <v>5325.2701970443359</v>
      </c>
    </row>
    <row r="132" spans="1:10" s="71" customFormat="1" x14ac:dyDescent="0.25">
      <c r="A132" s="10" t="s">
        <v>27</v>
      </c>
      <c r="B132" s="255">
        <f t="shared" ref="B132:H132" si="53">B135*B125</f>
        <v>769321.96551724139</v>
      </c>
      <c r="C132" s="133">
        <f t="shared" si="53"/>
        <v>484599.58793103456</v>
      </c>
      <c r="D132" s="133">
        <f t="shared" si="53"/>
        <v>764526.627586207</v>
      </c>
      <c r="E132" s="299">
        <f t="shared" si="53"/>
        <v>734314.97586206894</v>
      </c>
      <c r="F132" s="134">
        <f t="shared" si="53"/>
        <v>1141833.0206896553</v>
      </c>
      <c r="G132" s="92">
        <f t="shared" si="53"/>
        <v>863296.24137931038</v>
      </c>
      <c r="H132" s="92">
        <f t="shared" si="53"/>
        <v>469618.23275862075</v>
      </c>
      <c r="I132" s="108">
        <f>'NOGAL '!$B132+'NOGAL '!$C132+'NOGAL '!$D132+'NOGAL '!$E132+'NOGAL '!$F132+'NOGAL '!$G132+'NOGAL '!$H132</f>
        <v>5227510.6517241383</v>
      </c>
      <c r="J132" s="134">
        <f>'NOGAL '!$I132/7</f>
        <v>746787.23596059124</v>
      </c>
    </row>
    <row r="133" spans="1:10" s="71" customFormat="1" x14ac:dyDescent="0.25">
      <c r="A133" s="10" t="s">
        <v>28</v>
      </c>
      <c r="B133" s="255">
        <f t="shared" ref="B133:H133" si="54">B135*B126</f>
        <v>51288.131034482765</v>
      </c>
      <c r="C133" s="133">
        <f t="shared" si="54"/>
        <v>186384.45689655177</v>
      </c>
      <c r="D133" s="133">
        <f t="shared" si="54"/>
        <v>312760.89310344827</v>
      </c>
      <c r="E133" s="299">
        <f t="shared" si="54"/>
        <v>534047.25517241377</v>
      </c>
      <c r="F133" s="134">
        <f t="shared" si="54"/>
        <v>805999.77931034483</v>
      </c>
      <c r="G133" s="92">
        <f t="shared" si="54"/>
        <v>1208614.7379310345</v>
      </c>
      <c r="H133" s="92">
        <f t="shared" si="54"/>
        <v>1408854.6982758623</v>
      </c>
      <c r="I133" s="108">
        <f>'NOGAL '!$B133+'NOGAL '!$C133+'NOGAL '!$D133+'NOGAL '!$E133+'NOGAL '!$F133+'NOGAL '!$G133+'NOGAL '!$H133</f>
        <v>4507949.9517241381</v>
      </c>
      <c r="J133" s="134">
        <f>'NOGAL '!$I133/7</f>
        <v>643992.85024630546</v>
      </c>
    </row>
    <row r="134" spans="1:10" s="71" customFormat="1" x14ac:dyDescent="0.25">
      <c r="A134" s="10" t="s">
        <v>29</v>
      </c>
      <c r="B134" s="255">
        <f t="shared" ref="B134:H134" si="55">B135*B127</f>
        <v>0</v>
      </c>
      <c r="C134" s="133">
        <f t="shared" si="55"/>
        <v>0</v>
      </c>
      <c r="D134" s="133">
        <f t="shared" si="55"/>
        <v>0</v>
      </c>
      <c r="E134" s="299">
        <f t="shared" si="55"/>
        <v>0</v>
      </c>
      <c r="F134" s="134">
        <f t="shared" si="55"/>
        <v>67166.64827586207</v>
      </c>
      <c r="G134" s="92">
        <f t="shared" si="55"/>
        <v>0</v>
      </c>
      <c r="H134" s="92">
        <f t="shared" si="55"/>
        <v>0</v>
      </c>
      <c r="I134" s="108">
        <f>'NOGAL '!$B134+'NOGAL '!$C134+'NOGAL '!$D134+'NOGAL '!$E134+'NOGAL '!$F134+'NOGAL '!$G134+'NOGAL '!$H134</f>
        <v>67166.64827586207</v>
      </c>
      <c r="J134" s="134">
        <f>'NOGAL '!$I134/7</f>
        <v>9595.2354679802957</v>
      </c>
    </row>
    <row r="135" spans="1:10" s="71" customFormat="1" x14ac:dyDescent="0.25">
      <c r="A135" s="33" t="s">
        <v>30</v>
      </c>
      <c r="B135" s="410">
        <f>(3119700/1.16)-B136</f>
        <v>2564406.5517241382</v>
      </c>
      <c r="C135" s="136">
        <f>(4566600/1.16)-C136</f>
        <v>3727689.1379310349</v>
      </c>
      <c r="D135" s="136">
        <f>(4536100/1.16)-D136</f>
        <v>3475121.034482759</v>
      </c>
      <c r="E135" s="398">
        <f>(4404300/1.16)-E136</f>
        <v>3337795.3448275863</v>
      </c>
      <c r="F135" s="137">
        <f>(8181300/1.16)-F136</f>
        <v>6716664.8275862075</v>
      </c>
      <c r="G135" s="91">
        <f>(10469200/1.16)-G136</f>
        <v>8632962.4137931038</v>
      </c>
      <c r="H135" s="91">
        <f>(11432600/1.16)-H136</f>
        <v>9392364.6551724151</v>
      </c>
      <c r="I135" s="111">
        <f>'NOGAL '!$B135+'NOGAL '!$C135+'NOGAL '!$D135+'NOGAL '!$E135+'NOGAL '!$F135+'NOGAL '!$G135+'NOGAL '!$H135</f>
        <v>37847003.965517245</v>
      </c>
      <c r="J135" s="137">
        <f>'NOGAL '!$I135/7</f>
        <v>5406714.8522167495</v>
      </c>
    </row>
    <row r="136" spans="1:10" s="71" customFormat="1" x14ac:dyDescent="0.25">
      <c r="A136" s="10" t="s">
        <v>31</v>
      </c>
      <c r="B136" s="263">
        <f t="shared" ref="B136:J136" si="56">2155*B117</f>
        <v>124990</v>
      </c>
      <c r="C136" s="139">
        <f t="shared" si="56"/>
        <v>209035</v>
      </c>
      <c r="D136" s="139">
        <f t="shared" si="56"/>
        <v>435310</v>
      </c>
      <c r="E136" s="113">
        <f t="shared" si="56"/>
        <v>459015</v>
      </c>
      <c r="F136" s="112">
        <f t="shared" si="56"/>
        <v>336180</v>
      </c>
      <c r="G136" s="94">
        <f t="shared" si="56"/>
        <v>392210</v>
      </c>
      <c r="H136" s="94">
        <f t="shared" si="56"/>
        <v>463325</v>
      </c>
      <c r="I136" s="109">
        <f t="shared" si="56"/>
        <v>2420065</v>
      </c>
      <c r="J136" s="427">
        <f t="shared" si="56"/>
        <v>345723.57142857142</v>
      </c>
    </row>
    <row r="137" spans="1:10" s="71" customFormat="1" x14ac:dyDescent="0.25">
      <c r="A137" s="37" t="s">
        <v>32</v>
      </c>
      <c r="B137" s="411">
        <f t="shared" ref="B137:J137" si="57">B135+B136</f>
        <v>2689396.5517241382</v>
      </c>
      <c r="C137" s="40">
        <f t="shared" si="57"/>
        <v>3936724.1379310349</v>
      </c>
      <c r="D137" s="40">
        <f t="shared" si="57"/>
        <v>3910431.034482759</v>
      </c>
      <c r="E137" s="399">
        <f t="shared" si="57"/>
        <v>3796810.3448275863</v>
      </c>
      <c r="F137" s="140">
        <f t="shared" si="57"/>
        <v>7052844.8275862075</v>
      </c>
      <c r="G137" s="39">
        <f t="shared" si="57"/>
        <v>9025172.4137931038</v>
      </c>
      <c r="H137" s="39">
        <f t="shared" si="57"/>
        <v>9855689.6551724151</v>
      </c>
      <c r="I137" s="412">
        <f t="shared" si="57"/>
        <v>40267068.965517245</v>
      </c>
      <c r="J137" s="140">
        <f t="shared" si="57"/>
        <v>5752438.4236453213</v>
      </c>
    </row>
    <row r="138" spans="1:10" s="71" customFormat="1" x14ac:dyDescent="0.25">
      <c r="A138" s="10" t="s">
        <v>33</v>
      </c>
      <c r="B138" s="413">
        <f t="shared" ref="B138:J138" si="58">B137*16%</f>
        <v>430303.44827586215</v>
      </c>
      <c r="C138" s="42">
        <f t="shared" si="58"/>
        <v>629875.86206896557</v>
      </c>
      <c r="D138" s="42">
        <f t="shared" si="58"/>
        <v>625668.96551724139</v>
      </c>
      <c r="E138" s="400">
        <f t="shared" si="58"/>
        <v>607489.6551724138</v>
      </c>
      <c r="F138" s="141">
        <f t="shared" si="58"/>
        <v>1128455.1724137932</v>
      </c>
      <c r="G138" s="41">
        <f t="shared" si="58"/>
        <v>1444027.5862068967</v>
      </c>
      <c r="H138" s="41">
        <f t="shared" si="58"/>
        <v>1576910.3448275866</v>
      </c>
      <c r="I138" s="414">
        <f t="shared" si="58"/>
        <v>6442731.0344827594</v>
      </c>
      <c r="J138" s="428">
        <f t="shared" si="58"/>
        <v>920390.14778325148</v>
      </c>
    </row>
    <row r="139" spans="1:10" s="71" customFormat="1" x14ac:dyDescent="0.25">
      <c r="A139" s="43" t="s">
        <v>34</v>
      </c>
      <c r="B139" s="422">
        <f t="shared" ref="B139:H139" si="59">B137+B138</f>
        <v>3119700.0000000005</v>
      </c>
      <c r="C139" s="315">
        <f t="shared" si="59"/>
        <v>4566600</v>
      </c>
      <c r="D139" s="315">
        <f t="shared" si="59"/>
        <v>4536100</v>
      </c>
      <c r="E139" s="423">
        <f t="shared" si="59"/>
        <v>4404300</v>
      </c>
      <c r="F139" s="182">
        <f t="shared" si="59"/>
        <v>8181300.0000000009</v>
      </c>
      <c r="G139" s="178">
        <f t="shared" si="59"/>
        <v>10469200</v>
      </c>
      <c r="H139" s="178">
        <f t="shared" si="59"/>
        <v>11432600.000000002</v>
      </c>
      <c r="I139" s="380">
        <f>'NOGAL '!$B139+'NOGAL '!$C139+'NOGAL '!$D139+'NOGAL '!$E139+'NOGAL '!$F139+'NOGAL '!$G139+'NOGAL '!$H139</f>
        <v>46709800</v>
      </c>
      <c r="J139" s="182">
        <f>'NOGAL '!$I139/7</f>
        <v>6672828.5714285718</v>
      </c>
    </row>
    <row r="140" spans="1:10" s="71" customFormat="1" x14ac:dyDescent="0.25">
      <c r="A140" s="69"/>
      <c r="B140" s="424"/>
      <c r="C140" s="424"/>
      <c r="D140" s="424"/>
      <c r="E140" s="424"/>
      <c r="F140" s="424"/>
      <c r="G140" s="424"/>
      <c r="H140" s="424"/>
      <c r="I140" s="424"/>
      <c r="J140" s="424"/>
    </row>
    <row r="141" spans="1:10" s="71" customFormat="1" ht="15.75" thickBot="1" x14ac:dyDescent="0.3">
      <c r="A141" s="69"/>
      <c r="B141" s="424"/>
      <c r="C141" s="424"/>
      <c r="D141" s="424"/>
      <c r="E141" s="424"/>
      <c r="F141" s="424"/>
      <c r="G141" s="424"/>
      <c r="H141" s="424"/>
      <c r="I141" s="424"/>
      <c r="J141" s="424"/>
    </row>
    <row r="142" spans="1:10" s="71" customFormat="1" ht="26.25" x14ac:dyDescent="0.25">
      <c r="A142" s="85"/>
      <c r="B142" s="1002" t="s">
        <v>69</v>
      </c>
      <c r="C142" s="1002"/>
      <c r="D142" s="1002"/>
      <c r="E142" s="1002"/>
      <c r="F142" s="1002"/>
      <c r="G142" s="1002"/>
      <c r="H142" s="1002"/>
      <c r="I142" s="1002"/>
      <c r="J142" s="85"/>
    </row>
    <row r="143" spans="1:10" s="71" customFormat="1" ht="15.75" x14ac:dyDescent="0.25">
      <c r="A143" s="72" t="s">
        <v>2</v>
      </c>
      <c r="B143" s="429" t="s">
        <v>147</v>
      </c>
      <c r="C143" s="51" t="s">
        <v>148</v>
      </c>
      <c r="D143" s="349" t="s">
        <v>149</v>
      </c>
      <c r="E143" s="51" t="s">
        <v>150</v>
      </c>
      <c r="F143" s="51" t="s">
        <v>151</v>
      </c>
      <c r="G143" s="349" t="s">
        <v>152</v>
      </c>
      <c r="H143" s="349" t="s">
        <v>153</v>
      </c>
      <c r="I143" s="153" t="s">
        <v>10</v>
      </c>
      <c r="J143" s="421" t="s">
        <v>77</v>
      </c>
    </row>
    <row r="144" spans="1:10" s="71" customFormat="1" x14ac:dyDescent="0.25">
      <c r="A144" s="430" t="s">
        <v>11</v>
      </c>
      <c r="B144" s="431">
        <v>342</v>
      </c>
      <c r="C144" s="432">
        <v>117</v>
      </c>
      <c r="D144" s="433">
        <v>112</v>
      </c>
      <c r="E144" s="434">
        <v>41</v>
      </c>
      <c r="F144" s="435">
        <v>344</v>
      </c>
      <c r="G144" s="436">
        <v>335</v>
      </c>
      <c r="H144" s="434">
        <v>363</v>
      </c>
      <c r="I144" s="435">
        <f>SUM(B144:H144)</f>
        <v>1654</v>
      </c>
      <c r="J144" s="437">
        <f>'NOGAL '!$I144/7</f>
        <v>236.28571428571428</v>
      </c>
    </row>
    <row r="145" spans="1:10" s="71" customFormat="1" x14ac:dyDescent="0.25">
      <c r="A145" s="77" t="s">
        <v>12</v>
      </c>
      <c r="B145" s="233">
        <v>219</v>
      </c>
      <c r="C145" s="13">
        <v>78</v>
      </c>
      <c r="D145" s="13">
        <v>80</v>
      </c>
      <c r="E145" s="395">
        <v>42</v>
      </c>
      <c r="F145" s="125">
        <v>240</v>
      </c>
      <c r="G145" s="11">
        <v>220</v>
      </c>
      <c r="H145" s="11">
        <v>251</v>
      </c>
      <c r="I145" s="403">
        <f>B145+C145+D145+E145+F145+G145+H145</f>
        <v>1130</v>
      </c>
      <c r="J145" s="292">
        <f>'NOGAL '!$I145/7</f>
        <v>161.42857142857142</v>
      </c>
    </row>
    <row r="146" spans="1:10" s="71" customFormat="1" x14ac:dyDescent="0.25">
      <c r="A146" s="77" t="s">
        <v>13</v>
      </c>
      <c r="B146" s="233">
        <v>3</v>
      </c>
      <c r="C146" s="13">
        <v>0</v>
      </c>
      <c r="D146" s="13">
        <v>0</v>
      </c>
      <c r="E146" s="395">
        <v>0</v>
      </c>
      <c r="F146" s="125">
        <v>1</v>
      </c>
      <c r="G146" s="11">
        <v>5</v>
      </c>
      <c r="H146" s="11">
        <v>3</v>
      </c>
      <c r="I146" s="403">
        <f>B146+C146+D146+E146+F146+G146+H146</f>
        <v>12</v>
      </c>
      <c r="J146" s="292">
        <f>C146+D146+E146+F146+G146+H146+I146</f>
        <v>21</v>
      </c>
    </row>
    <row r="147" spans="1:10" s="71" customFormat="1" x14ac:dyDescent="0.25">
      <c r="A147" s="77" t="s">
        <v>14</v>
      </c>
      <c r="B147" s="233">
        <v>46</v>
      </c>
      <c r="C147" s="13">
        <v>16</v>
      </c>
      <c r="D147" s="13">
        <v>22</v>
      </c>
      <c r="E147" s="395">
        <v>18</v>
      </c>
      <c r="F147" s="125">
        <v>63</v>
      </c>
      <c r="G147" s="11">
        <v>49</v>
      </c>
      <c r="H147" s="11">
        <v>40</v>
      </c>
      <c r="I147" s="403">
        <f>B147+C147+D147+E147+F147+G147+H147</f>
        <v>254</v>
      </c>
      <c r="J147" s="292">
        <f>'NOGAL '!$I147/7</f>
        <v>36.285714285714285</v>
      </c>
    </row>
    <row r="148" spans="1:10" s="71" customFormat="1" x14ac:dyDescent="0.25">
      <c r="A148" s="77" t="s">
        <v>15</v>
      </c>
      <c r="B148" s="233">
        <v>38</v>
      </c>
      <c r="C148" s="13">
        <v>10</v>
      </c>
      <c r="D148" s="13">
        <v>12</v>
      </c>
      <c r="E148" s="395">
        <v>2</v>
      </c>
      <c r="F148" s="125">
        <v>34</v>
      </c>
      <c r="G148" s="11">
        <v>27</v>
      </c>
      <c r="H148" s="11">
        <v>35</v>
      </c>
      <c r="I148" s="403">
        <f>B148+C148+D148+E148+F148+G148+H148</f>
        <v>158</v>
      </c>
      <c r="J148" s="292">
        <f>'NOGAL '!$I148/7</f>
        <v>22.571428571428573</v>
      </c>
    </row>
    <row r="149" spans="1:10" s="71" customFormat="1" x14ac:dyDescent="0.25">
      <c r="A149" s="77" t="s">
        <v>16</v>
      </c>
      <c r="B149" s="233">
        <v>3</v>
      </c>
      <c r="C149" s="13">
        <v>0</v>
      </c>
      <c r="D149" s="13">
        <v>0</v>
      </c>
      <c r="E149" s="395">
        <v>1</v>
      </c>
      <c r="F149" s="125">
        <v>1</v>
      </c>
      <c r="G149" s="11">
        <v>0</v>
      </c>
      <c r="H149" s="11">
        <v>0</v>
      </c>
      <c r="I149" s="403">
        <f>B149+C149+D149+E149+F149+G149+H149</f>
        <v>5</v>
      </c>
      <c r="J149" s="292">
        <f>'NOGAL '!$I149/7</f>
        <v>0.7142857142857143</v>
      </c>
    </row>
    <row r="150" spans="1:10" s="71" customFormat="1" x14ac:dyDescent="0.25">
      <c r="A150" s="79" t="s">
        <v>17</v>
      </c>
      <c r="B150" s="102">
        <f>SUM(B145:B149)</f>
        <v>309</v>
      </c>
      <c r="C150" s="79">
        <f t="shared" ref="C150:H150" si="60">SUM(C145:C149)</f>
        <v>104</v>
      </c>
      <c r="D150" s="79">
        <f t="shared" si="60"/>
        <v>114</v>
      </c>
      <c r="E150" s="248">
        <f t="shared" si="60"/>
        <v>63</v>
      </c>
      <c r="F150" s="15">
        <f t="shared" si="60"/>
        <v>339</v>
      </c>
      <c r="G150" s="79">
        <f t="shared" si="60"/>
        <v>301</v>
      </c>
      <c r="H150" s="79">
        <f t="shared" si="60"/>
        <v>329</v>
      </c>
      <c r="I150" s="404">
        <f>SUM(I145:I149)</f>
        <v>1559</v>
      </c>
      <c r="J150" s="405">
        <f>'NOGAL '!$I150/7</f>
        <v>222.71428571428572</v>
      </c>
    </row>
    <row r="151" spans="1:10" s="71" customFormat="1" x14ac:dyDescent="0.25">
      <c r="A151" s="77" t="s">
        <v>18</v>
      </c>
      <c r="B151" s="406">
        <v>0.75</v>
      </c>
      <c r="C151" s="19">
        <v>0.8</v>
      </c>
      <c r="D151" s="19">
        <v>0.78</v>
      </c>
      <c r="E151" s="407">
        <v>0.66</v>
      </c>
      <c r="F151" s="18">
        <v>0.71</v>
      </c>
      <c r="G151" s="18">
        <v>0.78</v>
      </c>
      <c r="H151" s="18">
        <v>0.79</v>
      </c>
      <c r="I151" s="105">
        <f>I158/I163</f>
        <v>0.75830485745481357</v>
      </c>
      <c r="J151" s="297">
        <f>J158/J163</f>
        <v>0.75830485745481369</v>
      </c>
    </row>
    <row r="152" spans="1:10" s="71" customFormat="1" x14ac:dyDescent="0.25">
      <c r="A152" s="77" t="s">
        <v>19</v>
      </c>
      <c r="B152" s="406">
        <v>0.01</v>
      </c>
      <c r="C152" s="19">
        <v>0</v>
      </c>
      <c r="D152" s="19">
        <v>0</v>
      </c>
      <c r="E152" s="407">
        <v>0</v>
      </c>
      <c r="F152" s="18">
        <v>0</v>
      </c>
      <c r="G152" s="18">
        <v>0.02</v>
      </c>
      <c r="H152" s="18">
        <v>0.01</v>
      </c>
      <c r="I152" s="105">
        <f>I159/I163</f>
        <v>8.1304119350500068E-3</v>
      </c>
      <c r="J152" s="297">
        <f>J159/J163</f>
        <v>8.1304119350500068E-3</v>
      </c>
    </row>
    <row r="153" spans="1:10" s="71" customFormat="1" x14ac:dyDescent="0.25">
      <c r="A153" s="77" t="s">
        <v>20</v>
      </c>
      <c r="B153" s="406">
        <v>0.11</v>
      </c>
      <c r="C153" s="19">
        <v>0.14000000000000001</v>
      </c>
      <c r="D153" s="19">
        <v>0.13</v>
      </c>
      <c r="E153" s="408">
        <v>0.28999999999999998</v>
      </c>
      <c r="F153" s="18">
        <v>0.19</v>
      </c>
      <c r="G153" s="18">
        <v>0.12</v>
      </c>
      <c r="H153" s="18">
        <v>0.1</v>
      </c>
      <c r="I153" s="105">
        <f>I160/I163</f>
        <v>0.13728326580750638</v>
      </c>
      <c r="J153" s="297">
        <f>J160/J163</f>
        <v>0.13728326580750638</v>
      </c>
    </row>
    <row r="154" spans="1:10" s="71" customFormat="1" x14ac:dyDescent="0.25">
      <c r="A154" s="77" t="s">
        <v>21</v>
      </c>
      <c r="B154" s="406">
        <v>0.12</v>
      </c>
      <c r="C154" s="19">
        <v>0.06</v>
      </c>
      <c r="D154" s="19">
        <v>0.09</v>
      </c>
      <c r="E154" s="408">
        <v>0.03</v>
      </c>
      <c r="F154" s="18">
        <v>0.1</v>
      </c>
      <c r="G154" s="18">
        <v>0.08</v>
      </c>
      <c r="H154" s="18">
        <v>0.1</v>
      </c>
      <c r="I154" s="105">
        <f>I161/I163</f>
        <v>9.367545756302352E-2</v>
      </c>
      <c r="J154" s="297">
        <f>J161/J163</f>
        <v>9.367545756302352E-2</v>
      </c>
    </row>
    <row r="155" spans="1:10" s="71" customFormat="1" x14ac:dyDescent="0.25">
      <c r="A155" s="77" t="s">
        <v>22</v>
      </c>
      <c r="B155" s="406">
        <v>0.01</v>
      </c>
      <c r="C155" s="19">
        <v>0</v>
      </c>
      <c r="D155" s="19">
        <v>0</v>
      </c>
      <c r="E155" s="408">
        <v>0.02</v>
      </c>
      <c r="F155" s="18">
        <v>0</v>
      </c>
      <c r="G155" s="18">
        <v>0</v>
      </c>
      <c r="H155" s="18">
        <v>0</v>
      </c>
      <c r="I155" s="105">
        <f>I162/I163</f>
        <v>2.6060072396063396E-3</v>
      </c>
      <c r="J155" s="297">
        <f>J162/J163</f>
        <v>2.6060072396063391E-3</v>
      </c>
    </row>
    <row r="156" spans="1:10" s="71" customFormat="1" x14ac:dyDescent="0.25">
      <c r="A156" s="81" t="s">
        <v>23</v>
      </c>
      <c r="B156" s="409">
        <f t="shared" ref="B156:J156" si="61">B167/B150</f>
        <v>34100</v>
      </c>
      <c r="C156" s="131">
        <f t="shared" si="61"/>
        <v>38086.538461538468</v>
      </c>
      <c r="D156" s="131">
        <f t="shared" si="61"/>
        <v>32500.000000000004</v>
      </c>
      <c r="E156" s="397">
        <f t="shared" si="61"/>
        <v>31415.873015873021</v>
      </c>
      <c r="F156" s="132">
        <f t="shared" si="61"/>
        <v>35769.616519174044</v>
      </c>
      <c r="G156" s="130">
        <f t="shared" si="61"/>
        <v>37758.803986710969</v>
      </c>
      <c r="H156" s="130">
        <f t="shared" si="61"/>
        <v>36071.428571428572</v>
      </c>
      <c r="I156" s="359">
        <f t="shared" si="61"/>
        <v>35625.97819114817</v>
      </c>
      <c r="J156" s="314">
        <f t="shared" si="61"/>
        <v>35625.97819114817</v>
      </c>
    </row>
    <row r="157" spans="1:10" s="71" customFormat="1" x14ac:dyDescent="0.25">
      <c r="A157" s="81" t="s">
        <v>24</v>
      </c>
      <c r="B157" s="409">
        <f t="shared" ref="B157:J157" si="62">B167/B144</f>
        <v>30809.649122807019</v>
      </c>
      <c r="C157" s="131">
        <f t="shared" si="62"/>
        <v>33854.700854700859</v>
      </c>
      <c r="D157" s="131">
        <f t="shared" si="62"/>
        <v>33080.357142857145</v>
      </c>
      <c r="E157" s="397">
        <f t="shared" si="62"/>
        <v>48273.170731707323</v>
      </c>
      <c r="F157" s="132">
        <f t="shared" si="62"/>
        <v>35249.709302325587</v>
      </c>
      <c r="G157" s="130">
        <f t="shared" si="62"/>
        <v>33926.567164179112</v>
      </c>
      <c r="H157" s="130">
        <f t="shared" si="62"/>
        <v>32692.837465564739</v>
      </c>
      <c r="I157" s="359">
        <f t="shared" si="62"/>
        <v>33579.746070133013</v>
      </c>
      <c r="J157" s="314">
        <f t="shared" si="62"/>
        <v>33579.746070133013</v>
      </c>
    </row>
    <row r="158" spans="1:10" s="71" customFormat="1" x14ac:dyDescent="0.25">
      <c r="A158" s="77" t="s">
        <v>25</v>
      </c>
      <c r="B158" s="255">
        <f t="shared" ref="B158:H158" si="63">B163*B151</f>
        <v>6458692.112068966</v>
      </c>
      <c r="C158" s="133">
        <f t="shared" si="63"/>
        <v>2597252.1379310349</v>
      </c>
      <c r="D158" s="133">
        <f t="shared" si="63"/>
        <v>2356821.1034482764</v>
      </c>
      <c r="E158" s="299">
        <f t="shared" si="63"/>
        <v>1066359.9517241381</v>
      </c>
      <c r="F158" s="134">
        <f t="shared" si="63"/>
        <v>7054675.0689655179</v>
      </c>
      <c r="G158" s="92">
        <f t="shared" si="63"/>
        <v>7272453.7241379321</v>
      </c>
      <c r="H158" s="92">
        <f t="shared" si="63"/>
        <v>7654861.7741379319</v>
      </c>
      <c r="I158" s="108">
        <f>'NOGAL '!$B158+'NOGAL '!$C158+'NOGAL '!$D158+'NOGAL '!$E158+'NOGAL '!$F158+'NOGAL '!$G158+'NOGAL '!$H158</f>
        <v>34461115.872413792</v>
      </c>
      <c r="J158" s="300">
        <f>'NOGAL '!$I158/7</f>
        <v>4923016.5532019706</v>
      </c>
    </row>
    <row r="159" spans="1:10" s="71" customFormat="1" x14ac:dyDescent="0.25">
      <c r="A159" s="77" t="s">
        <v>26</v>
      </c>
      <c r="B159" s="255">
        <f t="shared" ref="B159:H159" si="64">B163*B152</f>
        <v>86115.894827586206</v>
      </c>
      <c r="C159" s="133">
        <f t="shared" si="64"/>
        <v>0</v>
      </c>
      <c r="D159" s="133">
        <f t="shared" si="64"/>
        <v>0</v>
      </c>
      <c r="E159" s="299">
        <f t="shared" si="64"/>
        <v>0</v>
      </c>
      <c r="F159" s="134">
        <f t="shared" si="64"/>
        <v>0</v>
      </c>
      <c r="G159" s="92">
        <f t="shared" si="64"/>
        <v>186473.17241379313</v>
      </c>
      <c r="H159" s="92">
        <f t="shared" si="64"/>
        <v>96896.98448275862</v>
      </c>
      <c r="I159" s="108">
        <f>'NOGAL '!$B159+'NOGAL '!$C159+'NOGAL '!$D159+'NOGAL '!$E159+'NOGAL '!$F159+'NOGAL '!$G159+'NOGAL '!$H159</f>
        <v>369486.05172413797</v>
      </c>
      <c r="J159" s="300">
        <f>'NOGAL '!$I159/7</f>
        <v>52783.721674876855</v>
      </c>
    </row>
    <row r="160" spans="1:10" s="71" customFormat="1" x14ac:dyDescent="0.25">
      <c r="A160" s="77" t="s">
        <v>27</v>
      </c>
      <c r="B160" s="255">
        <f t="shared" ref="B160:H160" si="65">B163*B153</f>
        <v>947274.84310344828</v>
      </c>
      <c r="C160" s="133">
        <f t="shared" si="65"/>
        <v>454519.1241379311</v>
      </c>
      <c r="D160" s="133">
        <f t="shared" si="65"/>
        <v>392803.51724137936</v>
      </c>
      <c r="E160" s="299">
        <f t="shared" si="65"/>
        <v>468552.10000000003</v>
      </c>
      <c r="F160" s="134">
        <f t="shared" si="65"/>
        <v>1887870.7931034486</v>
      </c>
      <c r="G160" s="92">
        <f t="shared" si="65"/>
        <v>1118839.0344827587</v>
      </c>
      <c r="H160" s="92">
        <f t="shared" si="65"/>
        <v>968969.84482758632</v>
      </c>
      <c r="I160" s="108">
        <f>'NOGAL '!$B160+'NOGAL '!$C160+'NOGAL '!$D160+'NOGAL '!$E160+'NOGAL '!$F160+'NOGAL '!$G160+'NOGAL '!$H160</f>
        <v>6238829.2568965517</v>
      </c>
      <c r="J160" s="300">
        <f>'NOGAL '!$I160/7</f>
        <v>891261.32241379307</v>
      </c>
    </row>
    <row r="161" spans="1:10" s="71" customFormat="1" x14ac:dyDescent="0.25">
      <c r="A161" s="77" t="s">
        <v>28</v>
      </c>
      <c r="B161" s="255">
        <f t="shared" ref="B161:H161" si="66">B163*B154</f>
        <v>1033390.7379310344</v>
      </c>
      <c r="C161" s="133">
        <f t="shared" si="66"/>
        <v>194793.9103448276</v>
      </c>
      <c r="D161" s="133">
        <f t="shared" si="66"/>
        <v>271940.89655172417</v>
      </c>
      <c r="E161" s="299">
        <f t="shared" si="66"/>
        <v>48470.906896551729</v>
      </c>
      <c r="F161" s="134">
        <f t="shared" si="66"/>
        <v>993616.20689655188</v>
      </c>
      <c r="G161" s="92">
        <f t="shared" si="66"/>
        <v>745892.68965517252</v>
      </c>
      <c r="H161" s="92">
        <f t="shared" si="66"/>
        <v>968969.84482758632</v>
      </c>
      <c r="I161" s="108">
        <f>'NOGAL '!$B161+'NOGAL '!$C161+'NOGAL '!$D161+'NOGAL '!$E161+'NOGAL '!$F161+'NOGAL '!$G161+'NOGAL '!$H161</f>
        <v>4257075.1931034494</v>
      </c>
      <c r="J161" s="300">
        <f>'NOGAL '!$I161/7</f>
        <v>608153.59901477851</v>
      </c>
    </row>
    <row r="162" spans="1:10" s="71" customFormat="1" x14ac:dyDescent="0.25">
      <c r="A162" s="77" t="s">
        <v>29</v>
      </c>
      <c r="B162" s="255">
        <f t="shared" ref="B162:H162" si="67">B163*B155</f>
        <v>86115.894827586206</v>
      </c>
      <c r="C162" s="133">
        <f t="shared" si="67"/>
        <v>0</v>
      </c>
      <c r="D162" s="133">
        <f t="shared" si="67"/>
        <v>0</v>
      </c>
      <c r="E162" s="299">
        <f t="shared" si="67"/>
        <v>32313.937931034485</v>
      </c>
      <c r="F162" s="134">
        <f t="shared" si="67"/>
        <v>0</v>
      </c>
      <c r="G162" s="92">
        <f t="shared" si="67"/>
        <v>0</v>
      </c>
      <c r="H162" s="92">
        <f t="shared" si="67"/>
        <v>0</v>
      </c>
      <c r="I162" s="108">
        <f>'NOGAL '!$B162+'NOGAL '!$C162+'NOGAL '!$D162+'NOGAL '!$E162+'NOGAL '!$F162+'NOGAL '!$G162+'NOGAL '!$H162</f>
        <v>118429.83275862069</v>
      </c>
      <c r="J162" s="300">
        <f>'NOGAL '!$I162/7</f>
        <v>16918.547536945811</v>
      </c>
    </row>
    <row r="163" spans="1:10" s="71" customFormat="1" x14ac:dyDescent="0.25">
      <c r="A163" s="82" t="s">
        <v>30</v>
      </c>
      <c r="B163" s="410">
        <f>(10536900/1.16)-B164</f>
        <v>8611589.4827586208</v>
      </c>
      <c r="C163" s="136">
        <f>(3961000/1.16)-C164</f>
        <v>3246565.1724137934</v>
      </c>
      <c r="D163" s="136">
        <f>(3705000/1.16)-D164</f>
        <v>3021565.5172413797</v>
      </c>
      <c r="E163" s="398">
        <f>(1979200/1.16)-E164</f>
        <v>1615696.8965517243</v>
      </c>
      <c r="F163" s="137">
        <f>(12125900/1.16)-F164</f>
        <v>9936162.0689655188</v>
      </c>
      <c r="G163" s="91">
        <f>(11365400/1.16)-G164</f>
        <v>9323658.6206896566</v>
      </c>
      <c r="H163" s="91">
        <f>(11867500/1.16)-H164</f>
        <v>9689698.4482758623</v>
      </c>
      <c r="I163" s="111">
        <f>'NOGAL '!$B163+'NOGAL '!$C163+'NOGAL '!$D163+'NOGAL '!$E163+'NOGAL '!$F163+'NOGAL '!$G163+'NOGAL '!$H163</f>
        <v>45444936.206896558</v>
      </c>
      <c r="J163" s="361">
        <f>'NOGAL '!$I163/7</f>
        <v>6492133.7438423652</v>
      </c>
    </row>
    <row r="164" spans="1:10" s="71" customFormat="1" x14ac:dyDescent="0.25">
      <c r="A164" s="77" t="s">
        <v>31</v>
      </c>
      <c r="B164" s="263">
        <f t="shared" ref="B164:J164" si="68">2155*B145</f>
        <v>471945</v>
      </c>
      <c r="C164" s="139">
        <f t="shared" si="68"/>
        <v>168090</v>
      </c>
      <c r="D164" s="139">
        <f t="shared" si="68"/>
        <v>172400</v>
      </c>
      <c r="E164" s="113">
        <f t="shared" si="68"/>
        <v>90510</v>
      </c>
      <c r="F164" s="112">
        <f t="shared" si="68"/>
        <v>517200</v>
      </c>
      <c r="G164" s="94">
        <f t="shared" si="68"/>
        <v>474100</v>
      </c>
      <c r="H164" s="94">
        <f t="shared" si="68"/>
        <v>540905</v>
      </c>
      <c r="I164" s="109">
        <f t="shared" si="68"/>
        <v>2435150</v>
      </c>
      <c r="J164" s="302">
        <f t="shared" si="68"/>
        <v>347878.57142857142</v>
      </c>
    </row>
    <row r="165" spans="1:10" s="71" customFormat="1" x14ac:dyDescent="0.25">
      <c r="A165" s="83" t="s">
        <v>32</v>
      </c>
      <c r="B165" s="411">
        <f t="shared" ref="B165:J165" si="69">B163+B164</f>
        <v>9083534.4827586208</v>
      </c>
      <c r="C165" s="40">
        <f t="shared" si="69"/>
        <v>3414655.1724137934</v>
      </c>
      <c r="D165" s="40">
        <f t="shared" si="69"/>
        <v>3193965.5172413797</v>
      </c>
      <c r="E165" s="399">
        <f t="shared" si="69"/>
        <v>1706206.8965517243</v>
      </c>
      <c r="F165" s="140">
        <f t="shared" si="69"/>
        <v>10453362.068965519</v>
      </c>
      <c r="G165" s="39">
        <f t="shared" si="69"/>
        <v>9797758.6206896566</v>
      </c>
      <c r="H165" s="39">
        <f t="shared" si="69"/>
        <v>10230603.448275862</v>
      </c>
      <c r="I165" s="412">
        <f t="shared" si="69"/>
        <v>47880086.206896558</v>
      </c>
      <c r="J165" s="364">
        <f t="shared" si="69"/>
        <v>6840012.315270937</v>
      </c>
    </row>
    <row r="166" spans="1:10" s="71" customFormat="1" x14ac:dyDescent="0.25">
      <c r="A166" s="77" t="s">
        <v>33</v>
      </c>
      <c r="B166" s="413">
        <f t="shared" ref="B166:J166" si="70">B165*16%</f>
        <v>1453365.5172413792</v>
      </c>
      <c r="C166" s="42">
        <f t="shared" si="70"/>
        <v>546344.82758620696</v>
      </c>
      <c r="D166" s="42">
        <f t="shared" si="70"/>
        <v>511034.48275862075</v>
      </c>
      <c r="E166" s="400">
        <f t="shared" si="70"/>
        <v>272993.10344827588</v>
      </c>
      <c r="F166" s="141">
        <f t="shared" si="70"/>
        <v>1672537.931034483</v>
      </c>
      <c r="G166" s="41">
        <f t="shared" si="70"/>
        <v>1567641.379310345</v>
      </c>
      <c r="H166" s="41">
        <f t="shared" si="70"/>
        <v>1636896.551724138</v>
      </c>
      <c r="I166" s="414">
        <f t="shared" si="70"/>
        <v>7660813.793103449</v>
      </c>
      <c r="J166" s="415">
        <f t="shared" si="70"/>
        <v>1094401.97044335</v>
      </c>
    </row>
    <row r="167" spans="1:10" s="71" customFormat="1" x14ac:dyDescent="0.25">
      <c r="A167" s="142" t="s">
        <v>34</v>
      </c>
      <c r="B167" s="438">
        <f t="shared" ref="B167:H167" si="71">B165+B166</f>
        <v>10536900</v>
      </c>
      <c r="C167" s="143">
        <f t="shared" si="71"/>
        <v>3961000.0000000005</v>
      </c>
      <c r="D167" s="143">
        <f t="shared" si="71"/>
        <v>3705000.0000000005</v>
      </c>
      <c r="E167" s="439">
        <f t="shared" si="71"/>
        <v>1979200.0000000002</v>
      </c>
      <c r="F167" s="145">
        <f t="shared" si="71"/>
        <v>12125900.000000002</v>
      </c>
      <c r="G167" s="144">
        <f t="shared" si="71"/>
        <v>11365400.000000002</v>
      </c>
      <c r="H167" s="144">
        <f t="shared" si="71"/>
        <v>11867500</v>
      </c>
      <c r="I167" s="440">
        <f>'NOGAL '!$B167+'NOGAL '!$C167+'NOGAL '!$D167+'NOGAL '!$E167+'NOGAL '!$F167+'NOGAL '!$G167+'NOGAL '!$H167</f>
        <v>55540900</v>
      </c>
      <c r="J167" s="441">
        <f>'NOGAL '!$I167/7</f>
        <v>7934414.2857142854</v>
      </c>
    </row>
    <row r="168" spans="1:10" s="71" customFormat="1" x14ac:dyDescent="0.25">
      <c r="A168" s="69"/>
      <c r="B168" s="424"/>
      <c r="C168" s="424"/>
      <c r="D168" s="424"/>
      <c r="E168" s="424"/>
      <c r="F168" s="424"/>
      <c r="G168" s="424"/>
      <c r="H168" s="424"/>
      <c r="I168" s="424"/>
      <c r="J168" s="424"/>
    </row>
    <row r="169" spans="1:10" s="71" customFormat="1" ht="15.75" thickBot="1" x14ac:dyDescent="0.3">
      <c r="A169" s="69"/>
      <c r="B169" s="424"/>
      <c r="C169" s="424"/>
      <c r="D169" s="424"/>
      <c r="E169" s="424"/>
      <c r="F169" s="424"/>
      <c r="G169" s="424"/>
      <c r="H169" s="424"/>
      <c r="I169" s="424"/>
      <c r="J169" s="424"/>
    </row>
    <row r="170" spans="1:10" s="71" customFormat="1" ht="26.25" x14ac:dyDescent="0.25">
      <c r="A170" s="85"/>
      <c r="B170" s="1002" t="s">
        <v>358</v>
      </c>
      <c r="C170" s="1002"/>
      <c r="D170" s="1002"/>
      <c r="E170" s="1002"/>
      <c r="F170" s="1002"/>
      <c r="G170" s="1002"/>
      <c r="H170" s="1002"/>
      <c r="I170" s="1002"/>
      <c r="J170" s="85"/>
    </row>
    <row r="171" spans="1:10" s="71" customFormat="1" ht="15.75" x14ac:dyDescent="0.25">
      <c r="A171" s="72" t="s">
        <v>2</v>
      </c>
      <c r="B171" s="429" t="s">
        <v>155</v>
      </c>
      <c r="C171" s="51" t="s">
        <v>156</v>
      </c>
      <c r="D171" s="349" t="s">
        <v>157</v>
      </c>
      <c r="E171" s="51" t="s">
        <v>158</v>
      </c>
      <c r="F171" s="51" t="s">
        <v>159</v>
      </c>
      <c r="G171" s="349" t="s">
        <v>160</v>
      </c>
      <c r="H171" s="349" t="s">
        <v>161</v>
      </c>
      <c r="I171" s="153" t="s">
        <v>10</v>
      </c>
      <c r="J171" s="421" t="s">
        <v>77</v>
      </c>
    </row>
    <row r="172" spans="1:10" s="71" customFormat="1" x14ac:dyDescent="0.25">
      <c r="A172" s="430" t="s">
        <v>11</v>
      </c>
      <c r="B172" s="431">
        <v>93</v>
      </c>
      <c r="C172" s="432">
        <v>123</v>
      </c>
      <c r="D172" s="433">
        <v>136</v>
      </c>
      <c r="E172" s="434">
        <v>156</v>
      </c>
      <c r="F172" s="435">
        <v>297</v>
      </c>
      <c r="G172" s="436">
        <v>335</v>
      </c>
      <c r="H172" s="434">
        <v>351</v>
      </c>
      <c r="I172" s="435">
        <f>SUM(B172:H172)</f>
        <v>1491</v>
      </c>
      <c r="J172" s="437">
        <f>'NOGAL '!$I172/7</f>
        <v>213</v>
      </c>
    </row>
    <row r="173" spans="1:10" s="71" customFormat="1" x14ac:dyDescent="0.25">
      <c r="A173" s="77" t="s">
        <v>12</v>
      </c>
      <c r="B173" s="233">
        <v>66</v>
      </c>
      <c r="C173" s="13">
        <v>80</v>
      </c>
      <c r="D173" s="13">
        <v>98</v>
      </c>
      <c r="E173" s="395">
        <v>109</v>
      </c>
      <c r="F173" s="125">
        <v>165</v>
      </c>
      <c r="G173" s="11">
        <v>209</v>
      </c>
      <c r="H173" s="11">
        <v>259</v>
      </c>
      <c r="I173" s="403">
        <f>B173+C173+D173+E173+F173+G173+H173</f>
        <v>986</v>
      </c>
      <c r="J173" s="292">
        <f>'NOGAL '!$I173/7</f>
        <v>140.85714285714286</v>
      </c>
    </row>
    <row r="174" spans="1:10" s="71" customFormat="1" x14ac:dyDescent="0.25">
      <c r="A174" s="77" t="s">
        <v>13</v>
      </c>
      <c r="B174" s="233">
        <v>0</v>
      </c>
      <c r="C174" s="13">
        <v>0</v>
      </c>
      <c r="D174" s="13">
        <v>0</v>
      </c>
      <c r="E174" s="395">
        <v>1</v>
      </c>
      <c r="F174" s="125">
        <v>0</v>
      </c>
      <c r="G174" s="11">
        <v>8</v>
      </c>
      <c r="H174" s="11">
        <v>2</v>
      </c>
      <c r="I174" s="403">
        <f>B174+C174+D174+E174+F174+G174+H174</f>
        <v>11</v>
      </c>
      <c r="J174" s="292">
        <f>C174+D174+E174+F174+G174+H174+I174</f>
        <v>22</v>
      </c>
    </row>
    <row r="175" spans="1:10" s="71" customFormat="1" x14ac:dyDescent="0.25">
      <c r="A175" s="77" t="s">
        <v>14</v>
      </c>
      <c r="B175" s="233">
        <v>23</v>
      </c>
      <c r="C175" s="13">
        <v>31</v>
      </c>
      <c r="D175" s="13">
        <v>30</v>
      </c>
      <c r="E175" s="395">
        <v>33</v>
      </c>
      <c r="F175" s="125">
        <v>45</v>
      </c>
      <c r="G175" s="11">
        <v>46</v>
      </c>
      <c r="H175" s="11">
        <v>25</v>
      </c>
      <c r="I175" s="403">
        <f>B175+C175+D175+E175+F175+G175+H175</f>
        <v>233</v>
      </c>
      <c r="J175" s="292">
        <f>'NOGAL '!$I175/7</f>
        <v>33.285714285714285</v>
      </c>
    </row>
    <row r="176" spans="1:10" s="71" customFormat="1" x14ac:dyDescent="0.25">
      <c r="A176" s="77" t="s">
        <v>15</v>
      </c>
      <c r="B176" s="233">
        <v>14</v>
      </c>
      <c r="C176" s="13">
        <v>13</v>
      </c>
      <c r="D176" s="13">
        <v>13</v>
      </c>
      <c r="E176" s="395">
        <v>10</v>
      </c>
      <c r="F176" s="125">
        <v>26</v>
      </c>
      <c r="G176" s="11">
        <v>26</v>
      </c>
      <c r="H176" s="11">
        <v>32</v>
      </c>
      <c r="I176" s="403">
        <f>B176+C176+D176+E176+F176+G176+H176</f>
        <v>134</v>
      </c>
      <c r="J176" s="292">
        <f>'NOGAL '!$I176/7</f>
        <v>19.142857142857142</v>
      </c>
    </row>
    <row r="177" spans="1:10" s="71" customFormat="1" x14ac:dyDescent="0.25">
      <c r="A177" s="77" t="s">
        <v>16</v>
      </c>
      <c r="B177" s="233">
        <v>0</v>
      </c>
      <c r="C177" s="13">
        <v>0</v>
      </c>
      <c r="D177" s="13">
        <v>0</v>
      </c>
      <c r="E177" s="395">
        <v>0</v>
      </c>
      <c r="F177" s="125">
        <v>1</v>
      </c>
      <c r="G177" s="11">
        <v>0</v>
      </c>
      <c r="H177" s="11">
        <v>0</v>
      </c>
      <c r="I177" s="403">
        <f>B177+C177+D177+E177+F177+G177+H177</f>
        <v>1</v>
      </c>
      <c r="J177" s="292">
        <f>'NOGAL '!$I177/7</f>
        <v>0.14285714285714285</v>
      </c>
    </row>
    <row r="178" spans="1:10" s="71" customFormat="1" x14ac:dyDescent="0.25">
      <c r="A178" s="79" t="s">
        <v>17</v>
      </c>
      <c r="B178" s="102">
        <f>SUM(B173:B177)</f>
        <v>103</v>
      </c>
      <c r="C178" s="79">
        <f t="shared" ref="C178:H178" si="72">SUM(C173:C177)</f>
        <v>124</v>
      </c>
      <c r="D178" s="79">
        <f t="shared" si="72"/>
        <v>141</v>
      </c>
      <c r="E178" s="248">
        <f t="shared" si="72"/>
        <v>153</v>
      </c>
      <c r="F178" s="15">
        <f t="shared" si="72"/>
        <v>237</v>
      </c>
      <c r="G178" s="79">
        <f t="shared" si="72"/>
        <v>289</v>
      </c>
      <c r="H178" s="79">
        <f t="shared" si="72"/>
        <v>318</v>
      </c>
      <c r="I178" s="404">
        <f>SUM(I173:I177)</f>
        <v>1365</v>
      </c>
      <c r="J178" s="405">
        <f>'NOGAL '!$I178/7</f>
        <v>195</v>
      </c>
    </row>
    <row r="179" spans="1:10" s="71" customFormat="1" x14ac:dyDescent="0.25">
      <c r="A179" s="77" t="s">
        <v>18</v>
      </c>
      <c r="B179" s="406">
        <v>0.77</v>
      </c>
      <c r="C179" s="19">
        <v>0.65</v>
      </c>
      <c r="D179" s="19">
        <v>0.7</v>
      </c>
      <c r="E179" s="407">
        <v>0.72</v>
      </c>
      <c r="F179" s="18">
        <v>0.74</v>
      </c>
      <c r="G179" s="18">
        <v>0.72</v>
      </c>
      <c r="H179" s="18">
        <v>0.81</v>
      </c>
      <c r="I179" s="105">
        <f>I186/I191</f>
        <v>0.74056826415718047</v>
      </c>
      <c r="J179" s="297">
        <f>J186/J191</f>
        <v>0.74056826415718047</v>
      </c>
    </row>
    <row r="180" spans="1:10" s="71" customFormat="1" x14ac:dyDescent="0.25">
      <c r="A180" s="77" t="s">
        <v>19</v>
      </c>
      <c r="B180" s="406">
        <v>0</v>
      </c>
      <c r="C180" s="19">
        <v>0</v>
      </c>
      <c r="D180" s="19">
        <v>0</v>
      </c>
      <c r="E180" s="407">
        <v>0.01</v>
      </c>
      <c r="F180" s="18">
        <v>0</v>
      </c>
      <c r="G180" s="18">
        <v>0.03</v>
      </c>
      <c r="H180" s="18">
        <v>0.01</v>
      </c>
      <c r="I180" s="105">
        <f>I187/I191</f>
        <v>1.0291725422110128E-2</v>
      </c>
      <c r="J180" s="297">
        <f>J187/J191</f>
        <v>1.0291725422110128E-2</v>
      </c>
    </row>
    <row r="181" spans="1:10" s="71" customFormat="1" x14ac:dyDescent="0.25">
      <c r="A181" s="77" t="s">
        <v>20</v>
      </c>
      <c r="B181" s="406">
        <v>0.12</v>
      </c>
      <c r="C181" s="19">
        <v>0.25</v>
      </c>
      <c r="D181" s="19">
        <v>0.21</v>
      </c>
      <c r="E181" s="408">
        <v>0.19</v>
      </c>
      <c r="F181" s="18">
        <v>0.13</v>
      </c>
      <c r="G181" s="18">
        <v>0.16</v>
      </c>
      <c r="H181" s="18">
        <v>0.08</v>
      </c>
      <c r="I181" s="105">
        <f>I188/I191</f>
        <v>0.14847744440999106</v>
      </c>
      <c r="J181" s="297">
        <f>J188/J191</f>
        <v>0.14847744440999103</v>
      </c>
    </row>
    <row r="182" spans="1:10" s="71" customFormat="1" x14ac:dyDescent="0.25">
      <c r="A182" s="77" t="s">
        <v>21</v>
      </c>
      <c r="B182" s="406">
        <v>0.11</v>
      </c>
      <c r="C182" s="19">
        <v>0.1</v>
      </c>
      <c r="D182" s="19">
        <v>0.09</v>
      </c>
      <c r="E182" s="408">
        <v>0.08</v>
      </c>
      <c r="F182" s="18">
        <v>0.09</v>
      </c>
      <c r="G182" s="18">
        <v>0.09</v>
      </c>
      <c r="H182" s="18">
        <v>0.1</v>
      </c>
      <c r="I182" s="105">
        <f>I189/I191</f>
        <v>9.3410916670226149E-2</v>
      </c>
      <c r="J182" s="297">
        <f>J189/J191</f>
        <v>9.3410916670226149E-2</v>
      </c>
    </row>
    <row r="183" spans="1:10" s="71" customFormat="1" x14ac:dyDescent="0.25">
      <c r="A183" s="77" t="s">
        <v>22</v>
      </c>
      <c r="B183" s="406">
        <v>0</v>
      </c>
      <c r="C183" s="19">
        <v>0</v>
      </c>
      <c r="D183" s="19">
        <v>0</v>
      </c>
      <c r="E183" s="408">
        <v>0</v>
      </c>
      <c r="F183" s="18">
        <v>0.04</v>
      </c>
      <c r="G183" s="18">
        <v>0</v>
      </c>
      <c r="H183" s="18">
        <v>0</v>
      </c>
      <c r="I183" s="105">
        <f>I190/I191</f>
        <v>7.2516493404924005E-3</v>
      </c>
      <c r="J183" s="297">
        <f>J190/J191</f>
        <v>7.2516493404923997E-3</v>
      </c>
    </row>
    <row r="184" spans="1:10" s="71" customFormat="1" x14ac:dyDescent="0.25">
      <c r="A184" s="81" t="s">
        <v>23</v>
      </c>
      <c r="B184" s="409">
        <f t="shared" ref="B184:J184" si="73">B195/B178</f>
        <v>28097.087378640776</v>
      </c>
      <c r="C184" s="131">
        <f t="shared" si="73"/>
        <v>34355.645161290333</v>
      </c>
      <c r="D184" s="131">
        <f t="shared" si="73"/>
        <v>34097.872340425529</v>
      </c>
      <c r="E184" s="397">
        <f t="shared" si="73"/>
        <v>34414.379084967317</v>
      </c>
      <c r="F184" s="132">
        <f t="shared" si="73"/>
        <v>37679.324894514764</v>
      </c>
      <c r="G184" s="130">
        <f t="shared" si="73"/>
        <v>38555.363321799305</v>
      </c>
      <c r="H184" s="130">
        <f t="shared" si="73"/>
        <v>38200</v>
      </c>
      <c r="I184" s="359">
        <f t="shared" si="73"/>
        <v>36225.201465201462</v>
      </c>
      <c r="J184" s="314">
        <f t="shared" si="73"/>
        <v>36225.201465201462</v>
      </c>
    </row>
    <row r="185" spans="1:10" s="71" customFormat="1" x14ac:dyDescent="0.25">
      <c r="A185" s="81" t="s">
        <v>24</v>
      </c>
      <c r="B185" s="409">
        <f t="shared" ref="B185:J185" si="74">B195/B172</f>
        <v>31118.279569892475</v>
      </c>
      <c r="C185" s="131">
        <f t="shared" si="74"/>
        <v>34634.959349593504</v>
      </c>
      <c r="D185" s="131">
        <f t="shared" si="74"/>
        <v>35351.470588235294</v>
      </c>
      <c r="E185" s="397">
        <f t="shared" si="74"/>
        <v>33752.564102564102</v>
      </c>
      <c r="F185" s="132">
        <f t="shared" si="74"/>
        <v>30067.340067340068</v>
      </c>
      <c r="G185" s="130">
        <f t="shared" si="74"/>
        <v>33261.194029850747</v>
      </c>
      <c r="H185" s="130">
        <f t="shared" si="74"/>
        <v>34608.547008547008</v>
      </c>
      <c r="I185" s="359">
        <f t="shared" si="74"/>
        <v>33163.916834339369</v>
      </c>
      <c r="J185" s="314">
        <f t="shared" si="74"/>
        <v>33163.916834339369</v>
      </c>
    </row>
    <row r="186" spans="1:10" s="71" customFormat="1" x14ac:dyDescent="0.25">
      <c r="A186" s="77" t="s">
        <v>25</v>
      </c>
      <c r="B186" s="255">
        <f t="shared" ref="B186:H186" si="75">B191*B179</f>
        <v>1811500.1413793105</v>
      </c>
      <c r="C186" s="133">
        <f t="shared" si="75"/>
        <v>2275065.0000000005</v>
      </c>
      <c r="D186" s="133">
        <f t="shared" si="75"/>
        <v>2753425.6206896552</v>
      </c>
      <c r="E186" s="299">
        <f t="shared" si="75"/>
        <v>3099054.9103448275</v>
      </c>
      <c r="F186" s="134">
        <f t="shared" si="75"/>
        <v>5433598.6379310349</v>
      </c>
      <c r="G186" s="92">
        <f t="shared" si="75"/>
        <v>6591750.0827586204</v>
      </c>
      <c r="H186" s="92">
        <f t="shared" si="75"/>
        <v>8030278.4120689658</v>
      </c>
      <c r="I186" s="108">
        <f>'NOGAL '!$B186+'NOGAL '!$C186+'NOGAL '!$D186+'NOGAL '!$E186+'NOGAL '!$F186+'NOGAL '!$G186+'NOGAL '!$H186</f>
        <v>29994672.805172417</v>
      </c>
      <c r="J186" s="300">
        <f>'NOGAL '!$I186/7</f>
        <v>4284953.2578817736</v>
      </c>
    </row>
    <row r="187" spans="1:10" s="71" customFormat="1" x14ac:dyDescent="0.25">
      <c r="A187" s="77" t="s">
        <v>26</v>
      </c>
      <c r="B187" s="255">
        <f t="shared" ref="B187:H187" si="76">B191*B180</f>
        <v>0</v>
      </c>
      <c r="C187" s="133">
        <f t="shared" si="76"/>
        <v>0</v>
      </c>
      <c r="D187" s="133">
        <f t="shared" si="76"/>
        <v>0</v>
      </c>
      <c r="E187" s="299">
        <f t="shared" si="76"/>
        <v>43042.429310344829</v>
      </c>
      <c r="F187" s="134">
        <f t="shared" si="76"/>
        <v>0</v>
      </c>
      <c r="G187" s="92">
        <f t="shared" si="76"/>
        <v>274656.25344827585</v>
      </c>
      <c r="H187" s="92">
        <f t="shared" si="76"/>
        <v>99139.239655172423</v>
      </c>
      <c r="I187" s="108">
        <f>'NOGAL '!$B187+'NOGAL '!$C187+'NOGAL '!$D187+'NOGAL '!$E187+'NOGAL '!$F187+'NOGAL '!$G187+'NOGAL '!$H187</f>
        <v>416837.92241379316</v>
      </c>
      <c r="J187" s="300">
        <f>'NOGAL '!$I187/7</f>
        <v>59548.274630541877</v>
      </c>
    </row>
    <row r="188" spans="1:10" s="71" customFormat="1" x14ac:dyDescent="0.25">
      <c r="A188" s="77" t="s">
        <v>27</v>
      </c>
      <c r="B188" s="255">
        <f t="shared" ref="B188:H188" si="77">B191*B181</f>
        <v>282311.71034482762</v>
      </c>
      <c r="C188" s="133">
        <f t="shared" si="77"/>
        <v>875025.00000000012</v>
      </c>
      <c r="D188" s="133">
        <f t="shared" si="77"/>
        <v>826027.68620689656</v>
      </c>
      <c r="E188" s="299">
        <f t="shared" si="77"/>
        <v>817806.15689655184</v>
      </c>
      <c r="F188" s="134">
        <f t="shared" si="77"/>
        <v>954551.11206896557</v>
      </c>
      <c r="G188" s="92">
        <f t="shared" si="77"/>
        <v>1464833.351724138</v>
      </c>
      <c r="H188" s="92">
        <f t="shared" si="77"/>
        <v>793113.91724137939</v>
      </c>
      <c r="I188" s="108">
        <f>'NOGAL '!$B188+'NOGAL '!$C188+'NOGAL '!$D188+'NOGAL '!$E188+'NOGAL '!$F188+'NOGAL '!$G188+'NOGAL '!$H188</f>
        <v>6013668.9344827589</v>
      </c>
      <c r="J188" s="300">
        <f>'NOGAL '!$I188/7</f>
        <v>859095.56206896552</v>
      </c>
    </row>
    <row r="189" spans="1:10" s="71" customFormat="1" x14ac:dyDescent="0.25">
      <c r="A189" s="77" t="s">
        <v>28</v>
      </c>
      <c r="B189" s="255">
        <f t="shared" ref="B189:H189" si="78">B191*B182</f>
        <v>258785.73448275865</v>
      </c>
      <c r="C189" s="133">
        <f t="shared" si="78"/>
        <v>350010.00000000006</v>
      </c>
      <c r="D189" s="133">
        <f t="shared" si="78"/>
        <v>354011.86551724141</v>
      </c>
      <c r="E189" s="299">
        <f t="shared" si="78"/>
        <v>344339.43448275863</v>
      </c>
      <c r="F189" s="134">
        <f t="shared" si="78"/>
        <v>660843.07758620696</v>
      </c>
      <c r="G189" s="92">
        <f t="shared" si="78"/>
        <v>823968.76034482755</v>
      </c>
      <c r="H189" s="92">
        <f t="shared" si="78"/>
        <v>991392.39655172417</v>
      </c>
      <c r="I189" s="108">
        <f>'NOGAL '!$B189+'NOGAL '!$C189+'NOGAL '!$D189+'NOGAL '!$E189+'NOGAL '!$F189+'NOGAL '!$G189+'NOGAL '!$H189</f>
        <v>3783351.2689655172</v>
      </c>
      <c r="J189" s="300">
        <f>'NOGAL '!$I189/7</f>
        <v>540478.75270935963</v>
      </c>
    </row>
    <row r="190" spans="1:10" s="71" customFormat="1" x14ac:dyDescent="0.25">
      <c r="A190" s="77" t="s">
        <v>29</v>
      </c>
      <c r="B190" s="255">
        <f t="shared" ref="B190:H190" si="79">B191*B183</f>
        <v>0</v>
      </c>
      <c r="C190" s="133">
        <f t="shared" si="79"/>
        <v>0</v>
      </c>
      <c r="D190" s="133">
        <f t="shared" si="79"/>
        <v>0</v>
      </c>
      <c r="E190" s="299">
        <f t="shared" si="79"/>
        <v>0</v>
      </c>
      <c r="F190" s="134">
        <f t="shared" si="79"/>
        <v>293708.03448275867</v>
      </c>
      <c r="G190" s="92">
        <f t="shared" si="79"/>
        <v>0</v>
      </c>
      <c r="H190" s="92">
        <f t="shared" si="79"/>
        <v>0</v>
      </c>
      <c r="I190" s="108">
        <f>'NOGAL '!$B190+'NOGAL '!$C190+'NOGAL '!$D190+'NOGAL '!$E190+'NOGAL '!$F190+'NOGAL '!$G190+'NOGAL '!$H190</f>
        <v>293708.03448275867</v>
      </c>
      <c r="J190" s="300">
        <f>'NOGAL '!$I190/7</f>
        <v>41958.290640394094</v>
      </c>
    </row>
    <row r="191" spans="1:10" s="71" customFormat="1" x14ac:dyDescent="0.25">
      <c r="A191" s="82" t="s">
        <v>30</v>
      </c>
      <c r="B191" s="410">
        <f>(2894000/1.16)-B192</f>
        <v>2352597.5862068967</v>
      </c>
      <c r="C191" s="136">
        <f>(4260100/1.16)-C192</f>
        <v>3500100.0000000005</v>
      </c>
      <c r="D191" s="136">
        <f>(4807800/1.16)-D192</f>
        <v>3933465.1724137934</v>
      </c>
      <c r="E191" s="398">
        <f>(5265400/1.16)-E192</f>
        <v>4304242.931034483</v>
      </c>
      <c r="F191" s="137">
        <f>(8930000/1.16)-F192</f>
        <v>7342700.862068966</v>
      </c>
      <c r="G191" s="91">
        <f>(11142500/1.16)-G192</f>
        <v>9155208.4482758623</v>
      </c>
      <c r="H191" s="91">
        <f>(12147600/1.16)-H192</f>
        <v>9913923.9655172415</v>
      </c>
      <c r="I191" s="111">
        <f>'NOGAL '!$B191+'NOGAL '!$C191+'NOGAL '!$D191+'NOGAL '!$E191+'NOGAL '!$F191+'NOGAL '!$G191+'NOGAL '!$H191</f>
        <v>40502238.965517238</v>
      </c>
      <c r="J191" s="361">
        <f>'NOGAL '!$I191/7</f>
        <v>5786034.137931034</v>
      </c>
    </row>
    <row r="192" spans="1:10" s="71" customFormat="1" x14ac:dyDescent="0.25">
      <c r="A192" s="77" t="s">
        <v>31</v>
      </c>
      <c r="B192" s="263">
        <f>2155*B173</f>
        <v>142230</v>
      </c>
      <c r="C192" s="139">
        <f>2155*C173</f>
        <v>172400</v>
      </c>
      <c r="D192" s="139">
        <f>2155*D173</f>
        <v>211190</v>
      </c>
      <c r="E192" s="113">
        <f>2155*E173</f>
        <v>234895</v>
      </c>
      <c r="F192" s="112">
        <f>F173*2155</f>
        <v>355575</v>
      </c>
      <c r="G192" s="94">
        <f>2155*G173</f>
        <v>450395</v>
      </c>
      <c r="H192" s="94">
        <f>2155*H173</f>
        <v>558145</v>
      </c>
      <c r="I192" s="109">
        <f>2155*I173</f>
        <v>2124830</v>
      </c>
      <c r="J192" s="302">
        <f>2155*J173</f>
        <v>303547.14285714284</v>
      </c>
    </row>
    <row r="193" spans="1:12" s="71" customFormat="1" x14ac:dyDescent="0.25">
      <c r="A193" s="83" t="s">
        <v>32</v>
      </c>
      <c r="B193" s="411">
        <f t="shared" ref="B193:J193" si="80">B191+B192</f>
        <v>2494827.5862068967</v>
      </c>
      <c r="C193" s="40">
        <f t="shared" si="80"/>
        <v>3672500.0000000005</v>
      </c>
      <c r="D193" s="40">
        <f t="shared" si="80"/>
        <v>4144655.1724137934</v>
      </c>
      <c r="E193" s="399">
        <f t="shared" si="80"/>
        <v>4539137.931034483</v>
      </c>
      <c r="F193" s="140">
        <f t="shared" si="80"/>
        <v>7698275.862068966</v>
      </c>
      <c r="G193" s="39">
        <f t="shared" si="80"/>
        <v>9605603.4482758623</v>
      </c>
      <c r="H193" s="39">
        <f t="shared" si="80"/>
        <v>10472068.965517242</v>
      </c>
      <c r="I193" s="412">
        <f t="shared" si="80"/>
        <v>42627068.965517238</v>
      </c>
      <c r="J193" s="364">
        <f t="shared" si="80"/>
        <v>6089581.2807881767</v>
      </c>
    </row>
    <row r="194" spans="1:12" s="71" customFormat="1" x14ac:dyDescent="0.25">
      <c r="A194" s="77" t="s">
        <v>33</v>
      </c>
      <c r="B194" s="413">
        <f t="shared" ref="B194:J194" si="81">B193*16%</f>
        <v>399172.41379310348</v>
      </c>
      <c r="C194" s="42">
        <f t="shared" si="81"/>
        <v>587600.00000000012</v>
      </c>
      <c r="D194" s="42">
        <f t="shared" si="81"/>
        <v>663144.82758620696</v>
      </c>
      <c r="E194" s="400">
        <f t="shared" si="81"/>
        <v>726262.06896551733</v>
      </c>
      <c r="F194" s="141">
        <f t="shared" si="81"/>
        <v>1231724.1379310347</v>
      </c>
      <c r="G194" s="41">
        <f t="shared" si="81"/>
        <v>1536896.551724138</v>
      </c>
      <c r="H194" s="41">
        <f t="shared" si="81"/>
        <v>1675531.0344827587</v>
      </c>
      <c r="I194" s="414">
        <f t="shared" si="81"/>
        <v>6820331.0344827585</v>
      </c>
      <c r="J194" s="415">
        <f t="shared" si="81"/>
        <v>974333.00492610829</v>
      </c>
    </row>
    <row r="195" spans="1:12" s="71" customFormat="1" x14ac:dyDescent="0.25">
      <c r="A195" s="142" t="s">
        <v>34</v>
      </c>
      <c r="B195" s="438">
        <f t="shared" ref="B195:H195" si="82">B193+B194</f>
        <v>2894000</v>
      </c>
      <c r="C195" s="143">
        <f t="shared" si="82"/>
        <v>4260100.0000000009</v>
      </c>
      <c r="D195" s="143">
        <f t="shared" si="82"/>
        <v>4807800</v>
      </c>
      <c r="E195" s="439">
        <f t="shared" si="82"/>
        <v>5265400</v>
      </c>
      <c r="F195" s="145">
        <f t="shared" si="82"/>
        <v>8930000</v>
      </c>
      <c r="G195" s="144">
        <f t="shared" si="82"/>
        <v>11142500</v>
      </c>
      <c r="H195" s="144">
        <f t="shared" si="82"/>
        <v>12147600</v>
      </c>
      <c r="I195" s="440">
        <f>'NOGAL '!$B195+'NOGAL '!$C195+'NOGAL '!$D195+'NOGAL '!$E195+'NOGAL '!$F195+'NOGAL '!$G195+'NOGAL '!$H195</f>
        <v>49447400</v>
      </c>
      <c r="J195" s="441">
        <f>'NOGAL '!$I195/7</f>
        <v>7063914.2857142854</v>
      </c>
    </row>
    <row r="196" spans="1:12" s="71" customFormat="1" x14ac:dyDescent="0.25">
      <c r="A196" s="69"/>
      <c r="B196" s="424"/>
      <c r="C196" s="424"/>
      <c r="D196" s="424"/>
      <c r="E196" s="424"/>
      <c r="F196" s="424"/>
      <c r="G196" s="424"/>
      <c r="H196" s="424"/>
      <c r="I196" s="424"/>
      <c r="J196" s="424"/>
    </row>
    <row r="197" spans="1:12" s="71" customFormat="1" ht="16.5" customHeight="1" thickBot="1" x14ac:dyDescent="0.3">
      <c r="A197" s="69"/>
      <c r="B197" s="424"/>
      <c r="C197" s="424"/>
      <c r="D197" s="424"/>
      <c r="E197" s="424"/>
      <c r="F197" s="424"/>
      <c r="G197" s="424"/>
      <c r="H197" s="424"/>
      <c r="I197" s="424"/>
      <c r="J197" s="424"/>
    </row>
    <row r="198" spans="1:12" s="71" customFormat="1" ht="26.25" x14ac:dyDescent="0.25">
      <c r="A198" s="85"/>
      <c r="B198" s="1002" t="s">
        <v>359</v>
      </c>
      <c r="C198" s="1002"/>
      <c r="D198" s="1002"/>
      <c r="E198" s="1002"/>
      <c r="F198" s="1002"/>
      <c r="G198" s="1002"/>
      <c r="H198" s="1002"/>
      <c r="I198" s="1002"/>
      <c r="J198" s="85"/>
    </row>
    <row r="199" spans="1:12" s="71" customFormat="1" ht="15.75" x14ac:dyDescent="0.25">
      <c r="A199" s="72" t="s">
        <v>2</v>
      </c>
      <c r="B199" s="429" t="s">
        <v>163</v>
      </c>
      <c r="C199" s="51" t="s">
        <v>164</v>
      </c>
      <c r="D199" s="349" t="s">
        <v>55</v>
      </c>
      <c r="E199" s="51" t="s">
        <v>56</v>
      </c>
      <c r="F199" s="51" t="s">
        <v>165</v>
      </c>
      <c r="G199" s="349" t="s">
        <v>58</v>
      </c>
      <c r="H199" s="349" t="s">
        <v>59</v>
      </c>
      <c r="I199" s="153" t="s">
        <v>10</v>
      </c>
      <c r="J199" s="421" t="s">
        <v>77</v>
      </c>
    </row>
    <row r="200" spans="1:12" s="71" customFormat="1" x14ac:dyDescent="0.25">
      <c r="A200" s="430" t="s">
        <v>11</v>
      </c>
      <c r="B200" s="431">
        <v>144</v>
      </c>
      <c r="C200" s="432">
        <v>111</v>
      </c>
      <c r="D200" s="433">
        <v>124</v>
      </c>
      <c r="E200" s="434">
        <v>198</v>
      </c>
      <c r="F200" s="435">
        <v>251</v>
      </c>
      <c r="G200" s="436">
        <v>391</v>
      </c>
      <c r="H200" s="434">
        <v>385</v>
      </c>
      <c r="I200" s="435">
        <f>SUM(B200:H200)</f>
        <v>1604</v>
      </c>
      <c r="J200" s="437">
        <f>'NOGAL '!$I200/7</f>
        <v>229.14285714285714</v>
      </c>
      <c r="L200" s="141">
        <f>D206+E206+F206+G206+H206+I233+I260</f>
        <v>3985</v>
      </c>
    </row>
    <row r="201" spans="1:12" s="71" customFormat="1" x14ac:dyDescent="0.25">
      <c r="A201" s="77" t="s">
        <v>12</v>
      </c>
      <c r="B201" s="233">
        <v>83</v>
      </c>
      <c r="C201" s="13">
        <v>81</v>
      </c>
      <c r="D201" s="13">
        <v>76</v>
      </c>
      <c r="E201" s="395">
        <v>129</v>
      </c>
      <c r="F201" s="125">
        <v>139</v>
      </c>
      <c r="G201" s="11">
        <v>256</v>
      </c>
      <c r="H201" s="11">
        <v>231</v>
      </c>
      <c r="I201" s="403">
        <f>B201+C201+D201+E201+F201+G201+H201</f>
        <v>995</v>
      </c>
      <c r="J201" s="292">
        <f>'NOGAL '!$I201/7</f>
        <v>142.14285714285714</v>
      </c>
    </row>
    <row r="202" spans="1:12" s="71" customFormat="1" x14ac:dyDescent="0.25">
      <c r="A202" s="77" t="s">
        <v>13</v>
      </c>
      <c r="B202" s="233">
        <v>2</v>
      </c>
      <c r="C202" s="13">
        <v>0</v>
      </c>
      <c r="D202" s="13">
        <v>40</v>
      </c>
      <c r="E202" s="395">
        <v>0</v>
      </c>
      <c r="F202" s="125">
        <v>2</v>
      </c>
      <c r="G202" s="11">
        <v>0</v>
      </c>
      <c r="H202" s="11">
        <v>1</v>
      </c>
      <c r="I202" s="403">
        <f>B202+C202+D202+E202+F202+G202+H202</f>
        <v>45</v>
      </c>
      <c r="J202" s="292">
        <f>C202+D202+E202+F202+G202+H202+I202</f>
        <v>88</v>
      </c>
    </row>
    <row r="203" spans="1:12" s="71" customFormat="1" x14ac:dyDescent="0.25">
      <c r="A203" s="77" t="s">
        <v>14</v>
      </c>
      <c r="B203" s="233">
        <v>29</v>
      </c>
      <c r="C203" s="13">
        <v>38</v>
      </c>
      <c r="D203" s="13">
        <v>20</v>
      </c>
      <c r="E203" s="395">
        <v>43</v>
      </c>
      <c r="F203" s="125">
        <v>52</v>
      </c>
      <c r="G203" s="11">
        <v>38</v>
      </c>
      <c r="H203" s="11">
        <v>51</v>
      </c>
      <c r="I203" s="403">
        <f>B203+C203+D203+E203+F203+G203+H203</f>
        <v>271</v>
      </c>
      <c r="J203" s="292">
        <f>'NOGAL '!$I203/7</f>
        <v>38.714285714285715</v>
      </c>
    </row>
    <row r="204" spans="1:12" s="71" customFormat="1" x14ac:dyDescent="0.25">
      <c r="A204" s="77" t="s">
        <v>15</v>
      </c>
      <c r="B204" s="233">
        <v>20</v>
      </c>
      <c r="C204" s="13">
        <v>5</v>
      </c>
      <c r="D204" s="13">
        <v>0</v>
      </c>
      <c r="E204" s="395">
        <v>18</v>
      </c>
      <c r="F204" s="125">
        <v>16</v>
      </c>
      <c r="G204" s="11">
        <v>42</v>
      </c>
      <c r="H204" s="11">
        <v>34</v>
      </c>
      <c r="I204" s="403">
        <f>B204+C204+D204+E204+F204+G204+H204</f>
        <v>135</v>
      </c>
      <c r="J204" s="292">
        <f>'NOGAL '!$I204/7</f>
        <v>19.285714285714285</v>
      </c>
    </row>
    <row r="205" spans="1:12" s="71" customFormat="1" x14ac:dyDescent="0.25">
      <c r="A205" s="77" t="s">
        <v>16</v>
      </c>
      <c r="B205" s="233">
        <v>0</v>
      </c>
      <c r="C205" s="13">
        <v>0</v>
      </c>
      <c r="D205" s="13">
        <v>0</v>
      </c>
      <c r="E205" s="395">
        <v>0</v>
      </c>
      <c r="F205" s="125">
        <v>0</v>
      </c>
      <c r="G205" s="11">
        <v>3</v>
      </c>
      <c r="H205" s="11">
        <v>1</v>
      </c>
      <c r="I205" s="403">
        <f>B205+C205+D205+E205+F205+G205+H205</f>
        <v>4</v>
      </c>
      <c r="J205" s="292">
        <f>'NOGAL '!$I205/7</f>
        <v>0.5714285714285714</v>
      </c>
    </row>
    <row r="206" spans="1:12" s="71" customFormat="1" x14ac:dyDescent="0.25">
      <c r="A206" s="79" t="s">
        <v>17</v>
      </c>
      <c r="B206" s="102">
        <f>SUM(B201:B205)</f>
        <v>134</v>
      </c>
      <c r="C206" s="79">
        <f t="shared" ref="C206:H206" si="83">SUM(C201:C205)</f>
        <v>124</v>
      </c>
      <c r="D206" s="79">
        <f t="shared" si="83"/>
        <v>136</v>
      </c>
      <c r="E206" s="248">
        <f t="shared" si="83"/>
        <v>190</v>
      </c>
      <c r="F206" s="15">
        <f t="shared" si="83"/>
        <v>209</v>
      </c>
      <c r="G206" s="79">
        <f t="shared" si="83"/>
        <v>339</v>
      </c>
      <c r="H206" s="79">
        <f t="shared" si="83"/>
        <v>318</v>
      </c>
      <c r="I206" s="404">
        <f>SUM(I201:I205)</f>
        <v>1450</v>
      </c>
      <c r="J206" s="405">
        <f>'NOGAL '!$I206/7</f>
        <v>207.14285714285714</v>
      </c>
    </row>
    <row r="207" spans="1:12" s="71" customFormat="1" x14ac:dyDescent="0.25">
      <c r="A207" s="77" t="s">
        <v>18</v>
      </c>
      <c r="B207" s="406">
        <v>0.63</v>
      </c>
      <c r="C207" s="19">
        <v>0.76</v>
      </c>
      <c r="D207" s="19">
        <v>0.69</v>
      </c>
      <c r="E207" s="18">
        <v>0.74</v>
      </c>
      <c r="F207" s="18">
        <v>0.75</v>
      </c>
      <c r="G207" s="18">
        <v>0.81</v>
      </c>
      <c r="H207" s="18">
        <v>0.78</v>
      </c>
      <c r="I207" s="105">
        <f>I214/I219</f>
        <v>0.7577413145880203</v>
      </c>
      <c r="J207" s="297">
        <f>J214/J219</f>
        <v>0.75774131458802019</v>
      </c>
    </row>
    <row r="208" spans="1:12" s="71" customFormat="1" x14ac:dyDescent="0.25">
      <c r="A208" s="77" t="s">
        <v>19</v>
      </c>
      <c r="B208" s="406">
        <v>0.01</v>
      </c>
      <c r="C208" s="19">
        <v>0</v>
      </c>
      <c r="D208" s="19">
        <v>0</v>
      </c>
      <c r="E208" s="18">
        <v>0</v>
      </c>
      <c r="F208" s="18">
        <v>0.01</v>
      </c>
      <c r="G208" s="18">
        <v>0</v>
      </c>
      <c r="H208" s="18">
        <v>0</v>
      </c>
      <c r="I208" s="105">
        <f>I215/I219</f>
        <v>2.3454775858634713E-3</v>
      </c>
      <c r="J208" s="297">
        <f>J215/J219</f>
        <v>2.3454775858634713E-3</v>
      </c>
    </row>
    <row r="209" spans="1:10" s="71" customFormat="1" x14ac:dyDescent="0.25">
      <c r="A209" s="77" t="s">
        <v>20</v>
      </c>
      <c r="B209" s="406">
        <v>0.21</v>
      </c>
      <c r="C209" s="19">
        <v>0.2</v>
      </c>
      <c r="D209" s="19">
        <v>0.2</v>
      </c>
      <c r="E209" s="18">
        <v>0.17</v>
      </c>
      <c r="F209" s="18">
        <v>0.19</v>
      </c>
      <c r="G209" s="18">
        <v>7.0000000000000007E-2</v>
      </c>
      <c r="H209" s="18">
        <v>0.12</v>
      </c>
      <c r="I209" s="105">
        <f>I216/I219</f>
        <v>0.14305165164544345</v>
      </c>
      <c r="J209" s="297">
        <f>J216/J219</f>
        <v>0.14305165164544345</v>
      </c>
    </row>
    <row r="210" spans="1:10" s="71" customFormat="1" x14ac:dyDescent="0.25">
      <c r="A210" s="77" t="s">
        <v>21</v>
      </c>
      <c r="B210" s="406">
        <v>0.15</v>
      </c>
      <c r="C210" s="19">
        <v>0.04</v>
      </c>
      <c r="D210" s="19">
        <v>0.11</v>
      </c>
      <c r="E210" s="18">
        <v>0.09</v>
      </c>
      <c r="F210" s="18">
        <v>0.05</v>
      </c>
      <c r="G210" s="18">
        <v>0.12</v>
      </c>
      <c r="H210" s="18">
        <v>0.1</v>
      </c>
      <c r="I210" s="105">
        <f>I217/I219</f>
        <v>9.68615561806727E-2</v>
      </c>
      <c r="J210" s="297">
        <f>J217/J219</f>
        <v>9.6861556180672687E-2</v>
      </c>
    </row>
    <row r="211" spans="1:10" s="71" customFormat="1" x14ac:dyDescent="0.25">
      <c r="A211" s="77" t="s">
        <v>22</v>
      </c>
      <c r="B211" s="406">
        <v>0</v>
      </c>
      <c r="C211" s="19">
        <v>0</v>
      </c>
      <c r="D211" s="19">
        <v>0</v>
      </c>
      <c r="E211" s="18">
        <v>0</v>
      </c>
      <c r="F211" s="18">
        <v>0</v>
      </c>
      <c r="G211" s="18">
        <v>0</v>
      </c>
      <c r="H211" s="18">
        <v>0</v>
      </c>
      <c r="I211" s="105">
        <f>I218/I219</f>
        <v>0</v>
      </c>
      <c r="J211" s="297">
        <f>J218/J219</f>
        <v>0</v>
      </c>
    </row>
    <row r="212" spans="1:10" s="71" customFormat="1" x14ac:dyDescent="0.25">
      <c r="A212" s="81" t="s">
        <v>23</v>
      </c>
      <c r="B212" s="409">
        <f t="shared" ref="B212:J212" si="84">B223/B206</f>
        <v>32165.671641791047</v>
      </c>
      <c r="C212" s="131">
        <f t="shared" si="84"/>
        <v>32273.387096774197</v>
      </c>
      <c r="D212" s="131">
        <f t="shared" si="84"/>
        <v>26749.264705882357</v>
      </c>
      <c r="E212" s="397">
        <f t="shared" si="84"/>
        <v>28181.57894736842</v>
      </c>
      <c r="F212" s="132">
        <f t="shared" si="84"/>
        <v>35122.488038277515</v>
      </c>
      <c r="G212" s="130">
        <f t="shared" si="84"/>
        <v>37264.601769911511</v>
      </c>
      <c r="H212" s="130">
        <f t="shared" si="84"/>
        <v>39361.32075471698</v>
      </c>
      <c r="I212" s="359">
        <f t="shared" si="84"/>
        <v>34341.172413793101</v>
      </c>
      <c r="J212" s="314">
        <f t="shared" si="84"/>
        <v>34341.172413793109</v>
      </c>
    </row>
    <row r="213" spans="1:10" s="71" customFormat="1" x14ac:dyDescent="0.25">
      <c r="A213" s="81" t="s">
        <v>24</v>
      </c>
      <c r="B213" s="409">
        <f t="shared" ref="B213:J213" si="85">B223/B200</f>
        <v>29931.944444444445</v>
      </c>
      <c r="C213" s="131">
        <f t="shared" si="85"/>
        <v>36053.153153153158</v>
      </c>
      <c r="D213" s="131">
        <f t="shared" si="85"/>
        <v>29337.903225806454</v>
      </c>
      <c r="E213" s="397">
        <f t="shared" si="85"/>
        <v>27042.929292929293</v>
      </c>
      <c r="F213" s="132">
        <f t="shared" si="85"/>
        <v>29245.418326693227</v>
      </c>
      <c r="G213" s="130">
        <f t="shared" si="85"/>
        <v>32308.695652173919</v>
      </c>
      <c r="H213" s="130">
        <f t="shared" si="85"/>
        <v>32511.428571428572</v>
      </c>
      <c r="I213" s="359">
        <f t="shared" si="85"/>
        <v>31044.077306733168</v>
      </c>
      <c r="J213" s="314">
        <f t="shared" si="85"/>
        <v>31044.077306733168</v>
      </c>
    </row>
    <row r="214" spans="1:10" s="71" customFormat="1" x14ac:dyDescent="0.25">
      <c r="A214" s="77" t="s">
        <v>25</v>
      </c>
      <c r="B214" s="255">
        <f t="shared" ref="B214:H214" si="86">B219*B207</f>
        <v>2228199.532758621</v>
      </c>
      <c r="C214" s="133">
        <f t="shared" si="86"/>
        <v>2489272.6827586209</v>
      </c>
      <c r="D214" s="133">
        <f t="shared" si="86"/>
        <v>2050915.0758620689</v>
      </c>
      <c r="E214" s="299">
        <f t="shared" si="86"/>
        <v>3210085.4241379309</v>
      </c>
      <c r="F214" s="134">
        <f t="shared" si="86"/>
        <v>4521418.8362068962</v>
      </c>
      <c r="G214" s="92">
        <f t="shared" si="86"/>
        <v>8374248.6827586228</v>
      </c>
      <c r="H214" s="92">
        <f t="shared" si="86"/>
        <v>8028248.3068965515</v>
      </c>
      <c r="I214" s="108">
        <f>'NOGAL '!$B214+'NOGAL '!$C214+'NOGAL '!$D214+'NOGAL '!$E214+'NOGAL '!$F214+'NOGAL '!$G214+'NOGAL '!$H214</f>
        <v>30902388.541379314</v>
      </c>
      <c r="J214" s="300">
        <f>'NOGAL '!$I214/7</f>
        <v>4414626.9344827589</v>
      </c>
    </row>
    <row r="215" spans="1:10" s="71" customFormat="1" x14ac:dyDescent="0.25">
      <c r="A215" s="77" t="s">
        <v>26</v>
      </c>
      <c r="B215" s="255">
        <f t="shared" ref="B215:H215" si="87">B219*B208</f>
        <v>35368.246551724144</v>
      </c>
      <c r="C215" s="133">
        <f t="shared" si="87"/>
        <v>0</v>
      </c>
      <c r="D215" s="133">
        <f t="shared" si="87"/>
        <v>0</v>
      </c>
      <c r="E215" s="299">
        <f t="shared" si="87"/>
        <v>0</v>
      </c>
      <c r="F215" s="134">
        <f t="shared" si="87"/>
        <v>60285.584482758626</v>
      </c>
      <c r="G215" s="92">
        <f t="shared" si="87"/>
        <v>0</v>
      </c>
      <c r="H215" s="92">
        <f t="shared" si="87"/>
        <v>0</v>
      </c>
      <c r="I215" s="108">
        <f>'NOGAL '!$B215+'NOGAL '!$C215+'NOGAL '!$D215+'NOGAL '!$E215+'NOGAL '!$F215+'NOGAL '!$G215+'NOGAL '!$H215</f>
        <v>95653.831034482777</v>
      </c>
      <c r="J215" s="300">
        <f>'NOGAL '!$I215/7</f>
        <v>13664.833004926111</v>
      </c>
    </row>
    <row r="216" spans="1:10" s="71" customFormat="1" x14ac:dyDescent="0.25">
      <c r="A216" s="77" t="s">
        <v>27</v>
      </c>
      <c r="B216" s="255">
        <f t="shared" ref="B216:H216" si="88">B219*B209</f>
        <v>742733.17758620693</v>
      </c>
      <c r="C216" s="133">
        <f t="shared" si="88"/>
        <v>655071.75862068974</v>
      </c>
      <c r="D216" s="133">
        <f t="shared" si="88"/>
        <v>594468.13793103455</v>
      </c>
      <c r="E216" s="299">
        <f t="shared" si="88"/>
        <v>737452.05689655175</v>
      </c>
      <c r="F216" s="134">
        <f t="shared" si="88"/>
        <v>1145426.1051724139</v>
      </c>
      <c r="G216" s="92">
        <f t="shared" si="88"/>
        <v>723700.50344827608</v>
      </c>
      <c r="H216" s="92">
        <f t="shared" si="88"/>
        <v>1235115.124137931</v>
      </c>
      <c r="I216" s="108">
        <f>'NOGAL '!$B216+'NOGAL '!$C216+'NOGAL '!$D216+'NOGAL '!$E216+'NOGAL '!$F216+'NOGAL '!$G216+'NOGAL '!$H216</f>
        <v>5833966.8637931049</v>
      </c>
      <c r="J216" s="300">
        <f>'NOGAL '!$I216/7</f>
        <v>833423.83768472925</v>
      </c>
    </row>
    <row r="217" spans="1:10" s="71" customFormat="1" x14ac:dyDescent="0.25">
      <c r="A217" s="77" t="s">
        <v>28</v>
      </c>
      <c r="B217" s="255">
        <f t="shared" ref="B217:H217" si="89">B219*B210</f>
        <v>530523.69827586215</v>
      </c>
      <c r="C217" s="133">
        <f t="shared" si="89"/>
        <v>131014.35172413794</v>
      </c>
      <c r="D217" s="133">
        <f t="shared" si="89"/>
        <v>326957.475862069</v>
      </c>
      <c r="E217" s="299">
        <f t="shared" si="89"/>
        <v>390415.79482758616</v>
      </c>
      <c r="F217" s="134">
        <f t="shared" si="89"/>
        <v>301427.9224137931</v>
      </c>
      <c r="G217" s="92">
        <f t="shared" si="89"/>
        <v>1240629.4344827586</v>
      </c>
      <c r="H217" s="92">
        <f t="shared" si="89"/>
        <v>1029262.6034482759</v>
      </c>
      <c r="I217" s="108">
        <f>'NOGAL '!$B217+'NOGAL '!$C217+'NOGAL '!$D217+'NOGAL '!$E217+'NOGAL '!$F217+'NOGAL '!$G217+'NOGAL '!$H217</f>
        <v>3950231.2810344831</v>
      </c>
      <c r="J217" s="300">
        <f>'NOGAL '!$I217/7</f>
        <v>564318.75443349755</v>
      </c>
    </row>
    <row r="218" spans="1:10" s="71" customFormat="1" x14ac:dyDescent="0.25">
      <c r="A218" s="77" t="s">
        <v>29</v>
      </c>
      <c r="B218" s="255">
        <f t="shared" ref="B218:H218" si="90">B219*B211</f>
        <v>0</v>
      </c>
      <c r="C218" s="133">
        <f t="shared" si="90"/>
        <v>0</v>
      </c>
      <c r="D218" s="133">
        <f t="shared" si="90"/>
        <v>0</v>
      </c>
      <c r="E218" s="299">
        <f t="shared" si="90"/>
        <v>0</v>
      </c>
      <c r="F218" s="134">
        <f t="shared" si="90"/>
        <v>0</v>
      </c>
      <c r="G218" s="92">
        <f t="shared" si="90"/>
        <v>0</v>
      </c>
      <c r="H218" s="92">
        <f t="shared" si="90"/>
        <v>0</v>
      </c>
      <c r="I218" s="108">
        <f>'NOGAL '!$B218+'NOGAL '!$C218+'NOGAL '!$D218+'NOGAL '!$E218+'NOGAL '!$F218+'NOGAL '!$G218+'NOGAL '!$H218</f>
        <v>0</v>
      </c>
      <c r="J218" s="300">
        <f>'NOGAL '!$I218/7</f>
        <v>0</v>
      </c>
    </row>
    <row r="219" spans="1:10" s="71" customFormat="1" x14ac:dyDescent="0.25">
      <c r="A219" s="82" t="s">
        <v>30</v>
      </c>
      <c r="B219" s="410">
        <f>(4310200/1.16)-B220</f>
        <v>3536824.6551724141</v>
      </c>
      <c r="C219" s="136">
        <f>(4001900/1.16)-C220</f>
        <v>3275358.7931034486</v>
      </c>
      <c r="D219" s="136">
        <f>(3637900/1.16)-D220</f>
        <v>2972340.6896551726</v>
      </c>
      <c r="E219" s="398">
        <f>(5354500/1.16)-E220</f>
        <v>4337953.2758620689</v>
      </c>
      <c r="F219" s="137">
        <f>(7340600/1.16)-F220</f>
        <v>6028558.4482758623</v>
      </c>
      <c r="G219" s="91">
        <f>(12632700/1.16)-G220</f>
        <v>10338578.620689657</v>
      </c>
      <c r="H219" s="91">
        <f>(12516900/1.16)-H220</f>
        <v>10292626.034482758</v>
      </c>
      <c r="I219" s="111">
        <f>SUM(I214:I218)</f>
        <v>40782240.517241389</v>
      </c>
      <c r="J219" s="361">
        <f>'NOGAL '!$I219/7</f>
        <v>5826034.3596059131</v>
      </c>
    </row>
    <row r="220" spans="1:10" s="71" customFormat="1" x14ac:dyDescent="0.25">
      <c r="A220" s="77" t="s">
        <v>31</v>
      </c>
      <c r="B220" s="263">
        <f>2155*B201</f>
        <v>178865</v>
      </c>
      <c r="C220" s="139">
        <f>2155*C201</f>
        <v>174555</v>
      </c>
      <c r="D220" s="139">
        <f>2155*D201</f>
        <v>163780</v>
      </c>
      <c r="E220" s="113">
        <f>2155*E201</f>
        <v>277995</v>
      </c>
      <c r="F220" s="112">
        <f>F201*2155</f>
        <v>299545</v>
      </c>
      <c r="G220" s="94">
        <f>2155*G201</f>
        <v>551680</v>
      </c>
      <c r="H220" s="94">
        <f>2155*H201</f>
        <v>497805</v>
      </c>
      <c r="I220" s="109">
        <f>2155*I201</f>
        <v>2144225</v>
      </c>
      <c r="J220" s="302">
        <f>2155*J201</f>
        <v>306317.85714285716</v>
      </c>
    </row>
    <row r="221" spans="1:10" s="71" customFormat="1" x14ac:dyDescent="0.25">
      <c r="A221" s="83" t="s">
        <v>32</v>
      </c>
      <c r="B221" s="411">
        <f t="shared" ref="B221:J221" si="91">B219+B220</f>
        <v>3715689.6551724141</v>
      </c>
      <c r="C221" s="40">
        <f t="shared" si="91"/>
        <v>3449913.7931034486</v>
      </c>
      <c r="D221" s="40">
        <f t="shared" si="91"/>
        <v>3136120.6896551726</v>
      </c>
      <c r="E221" s="399">
        <f t="shared" si="91"/>
        <v>4615948.2758620689</v>
      </c>
      <c r="F221" s="140">
        <f t="shared" si="91"/>
        <v>6328103.4482758623</v>
      </c>
      <c r="G221" s="39">
        <f t="shared" si="91"/>
        <v>10890258.620689657</v>
      </c>
      <c r="H221" s="39">
        <f t="shared" si="91"/>
        <v>10790431.034482758</v>
      </c>
      <c r="I221" s="412">
        <f t="shared" si="91"/>
        <v>42926465.517241389</v>
      </c>
      <c r="J221" s="364">
        <f t="shared" si="91"/>
        <v>6132352.2167487703</v>
      </c>
    </row>
    <row r="222" spans="1:10" s="71" customFormat="1" x14ac:dyDescent="0.25">
      <c r="A222" s="77" t="s">
        <v>33</v>
      </c>
      <c r="B222" s="413">
        <f t="shared" ref="B222:J222" si="92">B221*16%</f>
        <v>594510.34482758632</v>
      </c>
      <c r="C222" s="42">
        <f t="shared" si="92"/>
        <v>551986.20689655177</v>
      </c>
      <c r="D222" s="42">
        <f t="shared" si="92"/>
        <v>501779.31034482765</v>
      </c>
      <c r="E222" s="400">
        <f t="shared" si="92"/>
        <v>738551.72413793101</v>
      </c>
      <c r="F222" s="141">
        <f t="shared" si="92"/>
        <v>1012496.551724138</v>
      </c>
      <c r="G222" s="41">
        <f t="shared" si="92"/>
        <v>1742441.379310345</v>
      </c>
      <c r="H222" s="41">
        <f t="shared" si="92"/>
        <v>1726468.9655172415</v>
      </c>
      <c r="I222" s="414">
        <f t="shared" si="92"/>
        <v>6868234.4827586226</v>
      </c>
      <c r="J222" s="415">
        <f t="shared" si="92"/>
        <v>981176.35467980325</v>
      </c>
    </row>
    <row r="223" spans="1:10" s="71" customFormat="1" x14ac:dyDescent="0.25">
      <c r="A223" s="142" t="s">
        <v>34</v>
      </c>
      <c r="B223" s="438">
        <f t="shared" ref="B223:H223" si="93">B221+B222</f>
        <v>4310200</v>
      </c>
      <c r="C223" s="143">
        <f t="shared" si="93"/>
        <v>4001900.0000000005</v>
      </c>
      <c r="D223" s="143">
        <f t="shared" si="93"/>
        <v>3637900.0000000005</v>
      </c>
      <c r="E223" s="439">
        <f t="shared" si="93"/>
        <v>5354500</v>
      </c>
      <c r="F223" s="145">
        <f t="shared" si="93"/>
        <v>7340600</v>
      </c>
      <c r="G223" s="144">
        <f t="shared" si="93"/>
        <v>12632700.000000002</v>
      </c>
      <c r="H223" s="144">
        <f t="shared" si="93"/>
        <v>12516900</v>
      </c>
      <c r="I223" s="440">
        <f>'NOGAL '!$B223+'NOGAL '!$C223+'NOGAL '!$D223+'NOGAL '!$E223+'NOGAL '!$F223+'NOGAL '!$G223+'NOGAL '!$H223</f>
        <v>49794700</v>
      </c>
      <c r="J223" s="441">
        <f>'NOGAL '!$I223/7</f>
        <v>7113528.5714285718</v>
      </c>
    </row>
    <row r="224" spans="1:10" s="71" customFormat="1" ht="15.75" thickBot="1" x14ac:dyDescent="0.3">
      <c r="A224" s="69"/>
      <c r="B224" s="424"/>
      <c r="C224" s="424"/>
      <c r="D224" s="424"/>
      <c r="E224" s="424"/>
      <c r="F224" s="424"/>
      <c r="G224" s="424"/>
      <c r="H224" s="424"/>
      <c r="I224" s="424"/>
      <c r="J224" s="424"/>
    </row>
    <row r="225" spans="1:10" s="71" customFormat="1" ht="26.25" x14ac:dyDescent="0.25">
      <c r="A225" s="85"/>
      <c r="B225" s="1002" t="s">
        <v>98</v>
      </c>
      <c r="C225" s="1002"/>
      <c r="D225" s="1002"/>
      <c r="E225" s="1002"/>
      <c r="F225" s="1002"/>
      <c r="G225" s="1002"/>
      <c r="H225" s="1002"/>
      <c r="I225" s="1002"/>
      <c r="J225" s="85"/>
    </row>
    <row r="226" spans="1:10" s="71" customFormat="1" ht="15.75" x14ac:dyDescent="0.25">
      <c r="A226" s="72" t="s">
        <v>2</v>
      </c>
      <c r="B226" s="429" t="s">
        <v>167</v>
      </c>
      <c r="C226" s="51" t="s">
        <v>62</v>
      </c>
      <c r="D226" s="349" t="s">
        <v>63</v>
      </c>
      <c r="E226" s="51" t="s">
        <v>168</v>
      </c>
      <c r="F226" s="51" t="s">
        <v>65</v>
      </c>
      <c r="G226" s="349" t="s">
        <v>66</v>
      </c>
      <c r="H226" s="349" t="s">
        <v>67</v>
      </c>
      <c r="I226" s="153" t="s">
        <v>10</v>
      </c>
      <c r="J226" s="421" t="s">
        <v>77</v>
      </c>
    </row>
    <row r="227" spans="1:10" s="71" customFormat="1" x14ac:dyDescent="0.25">
      <c r="A227" s="430" t="s">
        <v>11</v>
      </c>
      <c r="B227" s="431">
        <v>114</v>
      </c>
      <c r="C227" s="432">
        <v>174</v>
      </c>
      <c r="D227" s="433">
        <v>366</v>
      </c>
      <c r="E227" s="434">
        <v>118</v>
      </c>
      <c r="F227" s="435">
        <v>247</v>
      </c>
      <c r="G227" s="436">
        <v>307</v>
      </c>
      <c r="H227" s="434">
        <v>301</v>
      </c>
      <c r="I227" s="435">
        <f>SUM(B227:H227)</f>
        <v>1627</v>
      </c>
      <c r="J227" s="437">
        <f>'NOGAL '!$I227/7</f>
        <v>232.42857142857142</v>
      </c>
    </row>
    <row r="228" spans="1:10" s="71" customFormat="1" x14ac:dyDescent="0.25">
      <c r="A228" s="77" t="s">
        <v>12</v>
      </c>
      <c r="B228" s="233">
        <v>70</v>
      </c>
      <c r="C228" s="13">
        <v>106</v>
      </c>
      <c r="D228" s="13">
        <v>241</v>
      </c>
      <c r="E228" s="395">
        <v>72</v>
      </c>
      <c r="F228" s="125">
        <v>300</v>
      </c>
      <c r="G228" s="11">
        <v>191</v>
      </c>
      <c r="H228" s="11">
        <v>229</v>
      </c>
      <c r="I228" s="403">
        <f>B228+C228+D228+E228+F228+G228+H228</f>
        <v>1209</v>
      </c>
      <c r="J228" s="292">
        <f>'NOGAL '!$I228/7</f>
        <v>172.71428571428572</v>
      </c>
    </row>
    <row r="229" spans="1:10" s="71" customFormat="1" x14ac:dyDescent="0.25">
      <c r="A229" s="77" t="s">
        <v>13</v>
      </c>
      <c r="B229" s="233">
        <v>0</v>
      </c>
      <c r="C229" s="13">
        <v>0</v>
      </c>
      <c r="D229" s="13">
        <v>0</v>
      </c>
      <c r="E229" s="395">
        <v>0</v>
      </c>
      <c r="F229" s="125">
        <v>1</v>
      </c>
      <c r="G229" s="11">
        <v>0</v>
      </c>
      <c r="H229" s="11">
        <v>0</v>
      </c>
      <c r="I229" s="403">
        <f>B229+C229+D229+E229+F229+G229+H229</f>
        <v>1</v>
      </c>
      <c r="J229" s="292">
        <f>C229+D229+E229+F229+G229+H229+I229</f>
        <v>2</v>
      </c>
    </row>
    <row r="230" spans="1:10" s="71" customFormat="1" x14ac:dyDescent="0.25">
      <c r="A230" s="77" t="s">
        <v>14</v>
      </c>
      <c r="B230" s="233">
        <v>27</v>
      </c>
      <c r="C230" s="13">
        <v>33</v>
      </c>
      <c r="D230" s="13">
        <v>34</v>
      </c>
      <c r="E230" s="395">
        <v>44</v>
      </c>
      <c r="F230" s="125">
        <v>45</v>
      </c>
      <c r="G230" s="11">
        <v>53</v>
      </c>
      <c r="H230" s="11">
        <v>35</v>
      </c>
      <c r="I230" s="403">
        <f>B230+C230+D230+E230+F230+G230+H230</f>
        <v>271</v>
      </c>
      <c r="J230" s="292">
        <f>'NOGAL '!$I230/7</f>
        <v>38.714285714285715</v>
      </c>
    </row>
    <row r="231" spans="1:10" s="71" customFormat="1" x14ac:dyDescent="0.25">
      <c r="A231" s="77" t="s">
        <v>15</v>
      </c>
      <c r="B231" s="233">
        <v>13</v>
      </c>
      <c r="C231" s="13">
        <v>18</v>
      </c>
      <c r="D231" s="13">
        <v>31</v>
      </c>
      <c r="E231" s="395">
        <v>14</v>
      </c>
      <c r="F231" s="125">
        <v>18</v>
      </c>
      <c r="G231" s="11">
        <v>17</v>
      </c>
      <c r="H231" s="11">
        <v>32</v>
      </c>
      <c r="I231" s="403">
        <f>B231+C231+D231+E231+F231+G231+H231</f>
        <v>143</v>
      </c>
      <c r="J231" s="292">
        <f>'NOGAL '!$I231/7</f>
        <v>20.428571428571427</v>
      </c>
    </row>
    <row r="232" spans="1:10" s="71" customFormat="1" x14ac:dyDescent="0.25">
      <c r="A232" s="77" t="s">
        <v>16</v>
      </c>
      <c r="B232" s="233">
        <v>0</v>
      </c>
      <c r="C232" s="13">
        <v>0</v>
      </c>
      <c r="D232" s="13">
        <v>1</v>
      </c>
      <c r="E232" s="395">
        <v>0</v>
      </c>
      <c r="F232" s="125">
        <v>1</v>
      </c>
      <c r="G232" s="11">
        <v>0</v>
      </c>
      <c r="H232" s="11">
        <v>0</v>
      </c>
      <c r="I232" s="403">
        <f>B232+C232+D232+E232+F232+G232+H232</f>
        <v>2</v>
      </c>
      <c r="J232" s="292">
        <f>'NOGAL '!$I232/7</f>
        <v>0.2857142857142857</v>
      </c>
    </row>
    <row r="233" spans="1:10" s="71" customFormat="1" x14ac:dyDescent="0.25">
      <c r="A233" s="79" t="s">
        <v>17</v>
      </c>
      <c r="B233" s="102">
        <f>SUM(B228:B232)</f>
        <v>110</v>
      </c>
      <c r="C233" s="79">
        <f t="shared" ref="C233:H233" si="94">SUM(C228:C232)</f>
        <v>157</v>
      </c>
      <c r="D233" s="79">
        <f t="shared" si="94"/>
        <v>307</v>
      </c>
      <c r="E233" s="248">
        <f t="shared" si="94"/>
        <v>130</v>
      </c>
      <c r="F233" s="15">
        <f t="shared" si="94"/>
        <v>365</v>
      </c>
      <c r="G233" s="79">
        <f t="shared" si="94"/>
        <v>261</v>
      </c>
      <c r="H233" s="79">
        <f t="shared" si="94"/>
        <v>296</v>
      </c>
      <c r="I233" s="404">
        <f>SUM(I228:I232)</f>
        <v>1626</v>
      </c>
      <c r="J233" s="405">
        <f>'NOGAL '!$I233/7</f>
        <v>232.28571428571428</v>
      </c>
    </row>
    <row r="234" spans="1:10" s="71" customFormat="1" x14ac:dyDescent="0.25">
      <c r="A234" s="77" t="s">
        <v>18</v>
      </c>
      <c r="B234" s="406">
        <v>0.73</v>
      </c>
      <c r="C234" s="19">
        <v>0.68</v>
      </c>
      <c r="D234" s="19">
        <v>0.82</v>
      </c>
      <c r="E234" s="18">
        <v>0.62</v>
      </c>
      <c r="F234" s="18">
        <v>0.84</v>
      </c>
      <c r="G234" s="18">
        <v>0.8</v>
      </c>
      <c r="H234" s="18">
        <v>0.8</v>
      </c>
      <c r="I234" s="105">
        <f>I241/I246</f>
        <v>0.77745529759144982</v>
      </c>
      <c r="J234" s="297">
        <f>J241/J246</f>
        <v>0.77745529759144993</v>
      </c>
    </row>
    <row r="235" spans="1:10" s="71" customFormat="1" x14ac:dyDescent="0.25">
      <c r="A235" s="77" t="s">
        <v>19</v>
      </c>
      <c r="B235" s="406">
        <v>0</v>
      </c>
      <c r="C235" s="19">
        <v>0</v>
      </c>
      <c r="D235" s="19">
        <v>0</v>
      </c>
      <c r="E235" s="18">
        <v>0</v>
      </c>
      <c r="F235" s="18">
        <v>0</v>
      </c>
      <c r="G235" s="18">
        <v>0</v>
      </c>
      <c r="H235" s="18">
        <v>0</v>
      </c>
      <c r="I235" s="105">
        <f>I242/I246</f>
        <v>0</v>
      </c>
      <c r="J235" s="297">
        <f>J242/J246</f>
        <v>0</v>
      </c>
    </row>
    <row r="236" spans="1:10" s="71" customFormat="1" x14ac:dyDescent="0.25">
      <c r="A236" s="77" t="s">
        <v>20</v>
      </c>
      <c r="B236" s="406">
        <v>0.2</v>
      </c>
      <c r="C236" s="19">
        <v>0.21</v>
      </c>
      <c r="D236" s="19">
        <v>0.08</v>
      </c>
      <c r="E236" s="18">
        <v>0.28000000000000003</v>
      </c>
      <c r="F236" s="18">
        <v>0.15</v>
      </c>
      <c r="G236" s="18">
        <v>0.14000000000000001</v>
      </c>
      <c r="H236" s="18">
        <v>0.11</v>
      </c>
      <c r="I236" s="105">
        <f>I243/I246</f>
        <v>0.14575736556283556</v>
      </c>
      <c r="J236" s="297">
        <f>J243/J246</f>
        <v>0.14575736556283553</v>
      </c>
    </row>
    <row r="237" spans="1:10" s="71" customFormat="1" x14ac:dyDescent="0.25">
      <c r="A237" s="77" t="s">
        <v>21</v>
      </c>
      <c r="B237" s="406">
        <v>7.0000000000000007E-2</v>
      </c>
      <c r="C237" s="19">
        <v>0.11</v>
      </c>
      <c r="D237" s="19">
        <v>0.1</v>
      </c>
      <c r="E237" s="18">
        <v>0.1</v>
      </c>
      <c r="F237" s="18">
        <v>0.01</v>
      </c>
      <c r="G237" s="18">
        <v>0.06</v>
      </c>
      <c r="H237" s="18">
        <v>0.09</v>
      </c>
      <c r="I237" s="105">
        <f>I244/I246</f>
        <v>7.6787336845714579E-2</v>
      </c>
      <c r="J237" s="297">
        <f>J244/J246</f>
        <v>7.6787336845714566E-2</v>
      </c>
    </row>
    <row r="238" spans="1:10" s="71" customFormat="1" x14ac:dyDescent="0.25">
      <c r="A238" s="77" t="s">
        <v>22</v>
      </c>
      <c r="B238" s="406">
        <v>0</v>
      </c>
      <c r="C238" s="19">
        <v>0</v>
      </c>
      <c r="D238" s="19">
        <v>0</v>
      </c>
      <c r="E238" s="18">
        <v>0</v>
      </c>
      <c r="F238" s="18">
        <v>0</v>
      </c>
      <c r="G238" s="18">
        <v>0</v>
      </c>
      <c r="H238" s="18">
        <v>0</v>
      </c>
      <c r="I238" s="105">
        <f>I245/I246</f>
        <v>0</v>
      </c>
      <c r="J238" s="297">
        <f>J245/J246</f>
        <v>0</v>
      </c>
    </row>
    <row r="239" spans="1:10" s="71" customFormat="1" x14ac:dyDescent="0.25">
      <c r="A239" s="81" t="s">
        <v>23</v>
      </c>
      <c r="B239" s="409">
        <f t="shared" ref="B239:J239" si="95">B250/B233</f>
        <v>32262.727272727276</v>
      </c>
      <c r="C239" s="131">
        <f t="shared" si="95"/>
        <v>37363.057324840767</v>
      </c>
      <c r="D239" s="131">
        <f t="shared" si="95"/>
        <v>37575.570032573291</v>
      </c>
      <c r="E239" s="397">
        <f t="shared" si="95"/>
        <v>33332.307692307695</v>
      </c>
      <c r="F239" s="132">
        <f t="shared" si="95"/>
        <v>22199.726027397261</v>
      </c>
      <c r="G239" s="130">
        <f t="shared" si="95"/>
        <v>37218.3908045977</v>
      </c>
      <c r="H239" s="130">
        <f t="shared" si="95"/>
        <v>35894.932432432433</v>
      </c>
      <c r="I239" s="359">
        <f t="shared" si="95"/>
        <v>33041.574415744159</v>
      </c>
      <c r="J239" s="314">
        <f t="shared" si="95"/>
        <v>33041.574415744159</v>
      </c>
    </row>
    <row r="240" spans="1:10" s="71" customFormat="1" x14ac:dyDescent="0.25">
      <c r="A240" s="81" t="s">
        <v>24</v>
      </c>
      <c r="B240" s="409">
        <f t="shared" ref="B240:J240" si="96">B250/B227</f>
        <v>31130.701754385969</v>
      </c>
      <c r="C240" s="131">
        <f t="shared" si="96"/>
        <v>33712.643678160923</v>
      </c>
      <c r="D240" s="131">
        <f t="shared" si="96"/>
        <v>31518.306010928962</v>
      </c>
      <c r="E240" s="397">
        <f t="shared" si="96"/>
        <v>36722.033898305082</v>
      </c>
      <c r="F240" s="132">
        <f t="shared" si="96"/>
        <v>32805.26315789474</v>
      </c>
      <c r="G240" s="130">
        <f t="shared" si="96"/>
        <v>31641.693811074918</v>
      </c>
      <c r="H240" s="130">
        <f t="shared" si="96"/>
        <v>35298.671096345512</v>
      </c>
      <c r="I240" s="359">
        <f t="shared" si="96"/>
        <v>33021.266133988938</v>
      </c>
      <c r="J240" s="314">
        <f t="shared" si="96"/>
        <v>33021.266133988938</v>
      </c>
    </row>
    <row r="241" spans="1:10" s="71" customFormat="1" x14ac:dyDescent="0.25">
      <c r="A241" s="77" t="s">
        <v>25</v>
      </c>
      <c r="B241" s="255">
        <f t="shared" ref="B241:H241" si="97">B246*B234</f>
        <v>2123238.9827586208</v>
      </c>
      <c r="C241" s="133">
        <f t="shared" si="97"/>
        <v>3283357.2551724147</v>
      </c>
      <c r="D241" s="133">
        <f t="shared" si="97"/>
        <v>7728675.4517241372</v>
      </c>
      <c r="E241" s="299">
        <f t="shared" si="97"/>
        <v>2219821.4896551725</v>
      </c>
      <c r="F241" s="134">
        <f t="shared" si="97"/>
        <v>5324557.2413793104</v>
      </c>
      <c r="G241" s="92">
        <f t="shared" si="97"/>
        <v>6370026.3448275868</v>
      </c>
      <c r="H241" s="92">
        <f t="shared" si="97"/>
        <v>6932721.2413793104</v>
      </c>
      <c r="I241" s="108">
        <f>'NOGAL '!$B241+'NOGAL '!$C241+'NOGAL '!$D241+'NOGAL '!$E241+'NOGAL '!$F241+'NOGAL '!$G241+'NOGAL '!$H241</f>
        <v>33982398.006896555</v>
      </c>
      <c r="J241" s="300">
        <f>'NOGAL '!$I241/7</f>
        <v>4854628.2866995083</v>
      </c>
    </row>
    <row r="242" spans="1:10" s="71" customFormat="1" x14ac:dyDescent="0.25">
      <c r="A242" s="77" t="s">
        <v>26</v>
      </c>
      <c r="B242" s="255">
        <f t="shared" ref="B242:H242" si="98">B246*B235</f>
        <v>0</v>
      </c>
      <c r="C242" s="133">
        <f t="shared" si="98"/>
        <v>0</v>
      </c>
      <c r="D242" s="133">
        <f t="shared" si="98"/>
        <v>0</v>
      </c>
      <c r="E242" s="299">
        <f t="shared" si="98"/>
        <v>0</v>
      </c>
      <c r="F242" s="134">
        <f t="shared" si="98"/>
        <v>0</v>
      </c>
      <c r="G242" s="92">
        <f t="shared" si="98"/>
        <v>0</v>
      </c>
      <c r="H242" s="92">
        <f t="shared" si="98"/>
        <v>0</v>
      </c>
      <c r="I242" s="108">
        <f>'NOGAL '!$B242+'NOGAL '!$C242+'NOGAL '!$D242+'NOGAL '!$E242+'NOGAL '!$F242+'NOGAL '!$G242+'NOGAL '!$H242</f>
        <v>0</v>
      </c>
      <c r="J242" s="300">
        <f>'NOGAL '!$I242/7</f>
        <v>0</v>
      </c>
    </row>
    <row r="243" spans="1:10" s="71" customFormat="1" x14ac:dyDescent="0.25">
      <c r="A243" s="77" t="s">
        <v>27</v>
      </c>
      <c r="B243" s="255">
        <f t="shared" ref="B243:H243" si="99">B246*B236</f>
        <v>581709.31034482771</v>
      </c>
      <c r="C243" s="133">
        <f t="shared" si="99"/>
        <v>1013977.9758620691</v>
      </c>
      <c r="D243" s="133">
        <f t="shared" si="99"/>
        <v>754017.11724137934</v>
      </c>
      <c r="E243" s="299">
        <f t="shared" si="99"/>
        <v>1002500.027586207</v>
      </c>
      <c r="F243" s="134">
        <f t="shared" si="99"/>
        <v>950813.79310344835</v>
      </c>
      <c r="G243" s="92">
        <f t="shared" si="99"/>
        <v>1114754.6103448276</v>
      </c>
      <c r="H243" s="92">
        <f t="shared" si="99"/>
        <v>953249.17068965512</v>
      </c>
      <c r="I243" s="108">
        <f>'NOGAL '!$B243+'NOGAL '!$C243+'NOGAL '!$D243+'NOGAL '!$E243+'NOGAL '!$F243+'NOGAL '!$G243+'NOGAL '!$H243</f>
        <v>6371022.0051724147</v>
      </c>
      <c r="J243" s="300">
        <f>'NOGAL '!$I243/7</f>
        <v>910146.00073891634</v>
      </c>
    </row>
    <row r="244" spans="1:10" s="71" customFormat="1" x14ac:dyDescent="0.25">
      <c r="A244" s="77" t="s">
        <v>28</v>
      </c>
      <c r="B244" s="255">
        <f t="shared" ref="B244:H244" si="100">B246*B237</f>
        <v>203598.25862068968</v>
      </c>
      <c r="C244" s="133">
        <f t="shared" si="100"/>
        <v>531131.32068965526</v>
      </c>
      <c r="D244" s="133">
        <f t="shared" si="100"/>
        <v>942521.39655172417</v>
      </c>
      <c r="E244" s="299">
        <f t="shared" si="100"/>
        <v>358035.72413793107</v>
      </c>
      <c r="F244" s="134">
        <f t="shared" si="100"/>
        <v>63387.586206896558</v>
      </c>
      <c r="G244" s="92">
        <f t="shared" si="100"/>
        <v>477751.97586206894</v>
      </c>
      <c r="H244" s="92">
        <f t="shared" si="100"/>
        <v>779931.13965517236</v>
      </c>
      <c r="I244" s="108">
        <f>'NOGAL '!$B244+'NOGAL '!$C244+'NOGAL '!$D244+'NOGAL '!$E244+'NOGAL '!$F244+'NOGAL '!$G244+'NOGAL '!$H244</f>
        <v>3356357.4017241383</v>
      </c>
      <c r="J244" s="300">
        <f>'NOGAL '!$I244/7</f>
        <v>479479.62881773402</v>
      </c>
    </row>
    <row r="245" spans="1:10" s="71" customFormat="1" x14ac:dyDescent="0.25">
      <c r="A245" s="77" t="s">
        <v>29</v>
      </c>
      <c r="B245" s="255">
        <f t="shared" ref="B245:H245" si="101">B246*B238</f>
        <v>0</v>
      </c>
      <c r="C245" s="133">
        <f t="shared" si="101"/>
        <v>0</v>
      </c>
      <c r="D245" s="133">
        <f t="shared" si="101"/>
        <v>0</v>
      </c>
      <c r="E245" s="299">
        <f t="shared" si="101"/>
        <v>0</v>
      </c>
      <c r="F245" s="134">
        <f t="shared" si="101"/>
        <v>0</v>
      </c>
      <c r="G245" s="92">
        <f t="shared" si="101"/>
        <v>0</v>
      </c>
      <c r="H245" s="92">
        <f t="shared" si="101"/>
        <v>0</v>
      </c>
      <c r="I245" s="108">
        <f>'NOGAL '!$B245+'NOGAL '!$C245+'NOGAL '!$D245+'NOGAL '!$E245+'NOGAL '!$F245+'NOGAL '!$G245+'NOGAL '!$H245</f>
        <v>0</v>
      </c>
      <c r="J245" s="300">
        <f>'NOGAL '!$I245/7</f>
        <v>0</v>
      </c>
    </row>
    <row r="246" spans="1:10" s="71" customFormat="1" x14ac:dyDescent="0.25">
      <c r="A246" s="82" t="s">
        <v>30</v>
      </c>
      <c r="B246" s="410">
        <f>(3548900/1.16)-B247</f>
        <v>2908546.5517241382</v>
      </c>
      <c r="C246" s="136">
        <f>(5866000/1.16)-C247</f>
        <v>4828466.5517241387</v>
      </c>
      <c r="D246" s="136">
        <f>(11535700/1.16)-D247</f>
        <v>9425213.9655172415</v>
      </c>
      <c r="E246" s="398">
        <f>(4333200/1.16)-E247</f>
        <v>3580357.2413793104</v>
      </c>
      <c r="F246" s="137">
        <f>(8102900/1.16)-F247</f>
        <v>6338758.6206896557</v>
      </c>
      <c r="G246" s="91">
        <f>(9714000/1.16)-G247</f>
        <v>7962532.931034483</v>
      </c>
      <c r="H246" s="91">
        <f>(10624900/1.16)-H247</f>
        <v>8665901.5517241377</v>
      </c>
      <c r="I246" s="111">
        <f>SUM(I241:I245)</f>
        <v>43709777.413793109</v>
      </c>
      <c r="J246" s="361">
        <f>'NOGAL '!$I246/7</f>
        <v>6244253.9162561586</v>
      </c>
    </row>
    <row r="247" spans="1:10" s="71" customFormat="1" x14ac:dyDescent="0.25">
      <c r="A247" s="77" t="s">
        <v>31</v>
      </c>
      <c r="B247" s="263">
        <f>2155*B228</f>
        <v>150850</v>
      </c>
      <c r="C247" s="139">
        <f>2155*C228</f>
        <v>228430</v>
      </c>
      <c r="D247" s="139">
        <f>2155*D228</f>
        <v>519355</v>
      </c>
      <c r="E247" s="113">
        <f>2155*E228</f>
        <v>155160</v>
      </c>
      <c r="F247" s="112">
        <f>F228*2155</f>
        <v>646500</v>
      </c>
      <c r="G247" s="94">
        <f>2155*G228</f>
        <v>411605</v>
      </c>
      <c r="H247" s="94">
        <f>2155*H228</f>
        <v>493495</v>
      </c>
      <c r="I247" s="109">
        <f>2155*I228</f>
        <v>2605395</v>
      </c>
      <c r="J247" s="302">
        <f>2155*J228</f>
        <v>372199.28571428574</v>
      </c>
    </row>
    <row r="248" spans="1:10" s="71" customFormat="1" x14ac:dyDescent="0.25">
      <c r="A248" s="83" t="s">
        <v>32</v>
      </c>
      <c r="B248" s="411">
        <f t="shared" ref="B248:J248" si="102">B246+B247</f>
        <v>3059396.5517241382</v>
      </c>
      <c r="C248" s="40">
        <f t="shared" si="102"/>
        <v>5056896.5517241387</v>
      </c>
      <c r="D248" s="40">
        <f t="shared" si="102"/>
        <v>9944568.9655172415</v>
      </c>
      <c r="E248" s="399">
        <f t="shared" si="102"/>
        <v>3735517.2413793104</v>
      </c>
      <c r="F248" s="140">
        <f t="shared" si="102"/>
        <v>6985258.6206896557</v>
      </c>
      <c r="G248" s="39">
        <f t="shared" si="102"/>
        <v>8374137.931034483</v>
      </c>
      <c r="H248" s="39">
        <f t="shared" si="102"/>
        <v>9159396.5517241377</v>
      </c>
      <c r="I248" s="412">
        <f t="shared" si="102"/>
        <v>46315172.413793109</v>
      </c>
      <c r="J248" s="364">
        <f t="shared" si="102"/>
        <v>6616453.2019704441</v>
      </c>
    </row>
    <row r="249" spans="1:10" s="71" customFormat="1" x14ac:dyDescent="0.25">
      <c r="A249" s="77" t="s">
        <v>33</v>
      </c>
      <c r="B249" s="413">
        <f t="shared" ref="B249:J249" si="103">B248*16%</f>
        <v>489503.44827586215</v>
      </c>
      <c r="C249" s="42">
        <f t="shared" si="103"/>
        <v>809103.44827586226</v>
      </c>
      <c r="D249" s="42">
        <f t="shared" si="103"/>
        <v>1591131.0344827587</v>
      </c>
      <c r="E249" s="400">
        <f t="shared" si="103"/>
        <v>597682.75862068962</v>
      </c>
      <c r="F249" s="141">
        <f t="shared" si="103"/>
        <v>1117641.3793103448</v>
      </c>
      <c r="G249" s="41">
        <f t="shared" si="103"/>
        <v>1339862.0689655172</v>
      </c>
      <c r="H249" s="41">
        <f t="shared" si="103"/>
        <v>1465503.448275862</v>
      </c>
      <c r="I249" s="414">
        <f t="shared" si="103"/>
        <v>7410427.5862068981</v>
      </c>
      <c r="J249" s="415">
        <f t="shared" si="103"/>
        <v>1058632.512315271</v>
      </c>
    </row>
    <row r="250" spans="1:10" s="71" customFormat="1" x14ac:dyDescent="0.25">
      <c r="A250" s="142" t="s">
        <v>34</v>
      </c>
      <c r="B250" s="438">
        <f t="shared" ref="B250:H250" si="104">B248+B249</f>
        <v>3548900.0000000005</v>
      </c>
      <c r="C250" s="143">
        <f t="shared" si="104"/>
        <v>5866000.0000000009</v>
      </c>
      <c r="D250" s="143">
        <f t="shared" si="104"/>
        <v>11535700</v>
      </c>
      <c r="E250" s="439">
        <f t="shared" si="104"/>
        <v>4333200</v>
      </c>
      <c r="F250" s="145">
        <f t="shared" si="104"/>
        <v>8102900</v>
      </c>
      <c r="G250" s="144">
        <f t="shared" si="104"/>
        <v>9714000</v>
      </c>
      <c r="H250" s="144">
        <f t="shared" si="104"/>
        <v>10624900</v>
      </c>
      <c r="I250" s="440">
        <f>'NOGAL '!$B250+'NOGAL '!$C250+'NOGAL '!$D250+'NOGAL '!$E250+'NOGAL '!$F250+'NOGAL '!$G250+'NOGAL '!$H250</f>
        <v>53725600</v>
      </c>
      <c r="J250" s="441">
        <f>'NOGAL '!$I250/7</f>
        <v>7675085.7142857146</v>
      </c>
    </row>
    <row r="251" spans="1:10" s="71" customFormat="1" ht="15.75" thickBot="1" x14ac:dyDescent="0.3">
      <c r="A251" s="69"/>
      <c r="B251" s="424"/>
      <c r="C251" s="424"/>
      <c r="D251" s="424"/>
      <c r="E251" s="424"/>
      <c r="F251" s="424"/>
      <c r="G251" s="424"/>
      <c r="H251" s="424"/>
      <c r="I251" s="424"/>
      <c r="J251" s="424"/>
    </row>
    <row r="252" spans="1:10" s="71" customFormat="1" ht="26.25" x14ac:dyDescent="0.25">
      <c r="A252" s="85"/>
      <c r="B252" s="1002" t="s">
        <v>106</v>
      </c>
      <c r="C252" s="1002"/>
      <c r="D252" s="1002"/>
      <c r="E252" s="1002"/>
      <c r="F252" s="1002"/>
      <c r="G252" s="1002"/>
      <c r="H252" s="1002"/>
      <c r="I252" s="1002"/>
      <c r="J252" s="85"/>
    </row>
    <row r="253" spans="1:10" s="71" customFormat="1" ht="15.75" x14ac:dyDescent="0.25">
      <c r="A253" s="72" t="s">
        <v>2</v>
      </c>
      <c r="B253" s="429" t="s">
        <v>70</v>
      </c>
      <c r="C253" s="51" t="s">
        <v>71</v>
      </c>
      <c r="D253" s="349" t="s">
        <v>72</v>
      </c>
      <c r="E253" s="51" t="s">
        <v>73</v>
      </c>
      <c r="F253" s="51" t="s">
        <v>74</v>
      </c>
      <c r="G253" s="349" t="s">
        <v>75</v>
      </c>
      <c r="H253" s="349" t="s">
        <v>76</v>
      </c>
      <c r="I253" s="153" t="s">
        <v>10</v>
      </c>
      <c r="J253" s="421" t="s">
        <v>77</v>
      </c>
    </row>
    <row r="254" spans="1:10" s="71" customFormat="1" x14ac:dyDescent="0.25">
      <c r="A254" s="430" t="s">
        <v>11</v>
      </c>
      <c r="B254" s="431">
        <v>128</v>
      </c>
      <c r="C254" s="432">
        <v>131</v>
      </c>
      <c r="D254" s="433">
        <v>162</v>
      </c>
      <c r="E254" s="434">
        <v>109</v>
      </c>
      <c r="F254" s="435">
        <v>249</v>
      </c>
      <c r="G254" s="436">
        <v>244</v>
      </c>
      <c r="H254" s="434">
        <v>310</v>
      </c>
      <c r="I254" s="435">
        <f>SUM(B254:H254)</f>
        <v>1333</v>
      </c>
      <c r="J254" s="437">
        <f>'NOGAL '!$I254/7</f>
        <v>190.42857142857142</v>
      </c>
    </row>
    <row r="255" spans="1:10" s="71" customFormat="1" x14ac:dyDescent="0.25">
      <c r="A255" s="77" t="s">
        <v>12</v>
      </c>
      <c r="B255" s="233">
        <v>82</v>
      </c>
      <c r="C255" s="13">
        <v>82</v>
      </c>
      <c r="D255" s="13">
        <v>83</v>
      </c>
      <c r="E255" s="395">
        <v>66</v>
      </c>
      <c r="F255" s="125">
        <v>153</v>
      </c>
      <c r="G255" s="11">
        <v>148</v>
      </c>
      <c r="H255" s="11">
        <v>201</v>
      </c>
      <c r="I255" s="403">
        <f>B255+C255+D255+E255+F255+G255+H255</f>
        <v>815</v>
      </c>
      <c r="J255" s="292">
        <f>'NOGAL '!$I255/7</f>
        <v>116.42857142857143</v>
      </c>
    </row>
    <row r="256" spans="1:10" s="71" customFormat="1" x14ac:dyDescent="0.25">
      <c r="A256" s="77" t="s">
        <v>13</v>
      </c>
      <c r="B256" s="233">
        <v>0</v>
      </c>
      <c r="C256" s="13">
        <v>0</v>
      </c>
      <c r="D256" s="13">
        <v>0</v>
      </c>
      <c r="E256" s="395">
        <v>0</v>
      </c>
      <c r="F256" s="125">
        <v>0</v>
      </c>
      <c r="G256" s="11">
        <v>1</v>
      </c>
      <c r="H256" s="11">
        <v>1</v>
      </c>
      <c r="I256" s="403">
        <f>B256+C256+D256+E256+F256+G256+H256</f>
        <v>2</v>
      </c>
      <c r="J256" s="292">
        <f>C256+D256+E256+F256+G256+H256+I256</f>
        <v>4</v>
      </c>
    </row>
    <row r="257" spans="1:10" s="71" customFormat="1" x14ac:dyDescent="0.25">
      <c r="A257" s="77" t="s">
        <v>14</v>
      </c>
      <c r="B257" s="233">
        <v>26</v>
      </c>
      <c r="C257" s="13">
        <v>37</v>
      </c>
      <c r="D257" s="13">
        <v>49</v>
      </c>
      <c r="E257" s="395">
        <v>34</v>
      </c>
      <c r="F257" s="125">
        <v>38</v>
      </c>
      <c r="G257" s="11">
        <v>40</v>
      </c>
      <c r="H257" s="11">
        <v>46</v>
      </c>
      <c r="I257" s="403">
        <f>B257+C257+D257+E257+F257+G257+H257</f>
        <v>270</v>
      </c>
      <c r="J257" s="292">
        <f>'NOGAL '!$I257/7</f>
        <v>38.571428571428569</v>
      </c>
    </row>
    <row r="258" spans="1:10" s="71" customFormat="1" x14ac:dyDescent="0.25">
      <c r="A258" s="77" t="s">
        <v>15</v>
      </c>
      <c r="B258" s="233">
        <v>11</v>
      </c>
      <c r="C258" s="13">
        <v>7</v>
      </c>
      <c r="D258" s="13">
        <v>12</v>
      </c>
      <c r="E258" s="395">
        <v>3</v>
      </c>
      <c r="F258" s="125">
        <v>14</v>
      </c>
      <c r="G258" s="11">
        <v>8</v>
      </c>
      <c r="H258" s="11">
        <v>22</v>
      </c>
      <c r="I258" s="403">
        <f>B258+C258+D258+E258+F258+G258+H258</f>
        <v>77</v>
      </c>
      <c r="J258" s="292">
        <f>'NOGAL '!$I258/7</f>
        <v>11</v>
      </c>
    </row>
    <row r="259" spans="1:10" s="71" customFormat="1" x14ac:dyDescent="0.25">
      <c r="A259" s="77" t="s">
        <v>16</v>
      </c>
      <c r="B259" s="233">
        <v>0</v>
      </c>
      <c r="C259" s="13">
        <v>0</v>
      </c>
      <c r="D259" s="13">
        <v>0</v>
      </c>
      <c r="E259" s="395">
        <v>0</v>
      </c>
      <c r="F259" s="125">
        <v>0</v>
      </c>
      <c r="G259" s="11">
        <v>0</v>
      </c>
      <c r="H259" s="11">
        <v>3</v>
      </c>
      <c r="I259" s="403">
        <f>B259+C259+D259+E259+F259+G259+H259</f>
        <v>3</v>
      </c>
      <c r="J259" s="292">
        <f>'NOGAL '!$I259/7</f>
        <v>0.42857142857142855</v>
      </c>
    </row>
    <row r="260" spans="1:10" s="71" customFormat="1" x14ac:dyDescent="0.25">
      <c r="A260" s="79" t="s">
        <v>17</v>
      </c>
      <c r="B260" s="102">
        <f>SUM(B255:B259)</f>
        <v>119</v>
      </c>
      <c r="C260" s="79">
        <f t="shared" ref="C260:H260" si="105">SUM(C255:C259)</f>
        <v>126</v>
      </c>
      <c r="D260" s="79">
        <f t="shared" si="105"/>
        <v>144</v>
      </c>
      <c r="E260" s="248">
        <f t="shared" si="105"/>
        <v>103</v>
      </c>
      <c r="F260" s="15">
        <f t="shared" si="105"/>
        <v>205</v>
      </c>
      <c r="G260" s="79">
        <f t="shared" si="105"/>
        <v>197</v>
      </c>
      <c r="H260" s="79">
        <f t="shared" si="105"/>
        <v>273</v>
      </c>
      <c r="I260" s="404">
        <f>SUM(I255:I259)</f>
        <v>1167</v>
      </c>
      <c r="J260" s="405">
        <f>'NOGAL '!$I260/7</f>
        <v>166.71428571428572</v>
      </c>
    </row>
    <row r="261" spans="1:10" s="71" customFormat="1" x14ac:dyDescent="0.25">
      <c r="A261" s="77" t="s">
        <v>18</v>
      </c>
      <c r="B261" s="406">
        <v>0.79</v>
      </c>
      <c r="C261" s="19">
        <v>0.74</v>
      </c>
      <c r="D261" s="19">
        <v>0.74</v>
      </c>
      <c r="E261" s="18">
        <v>0.69</v>
      </c>
      <c r="F261" s="18">
        <v>0.81</v>
      </c>
      <c r="G261" s="18">
        <v>0.83</v>
      </c>
      <c r="H261" s="18">
        <v>0.78</v>
      </c>
      <c r="I261" s="105">
        <f>I268/I273</f>
        <v>0.77950139845631994</v>
      </c>
      <c r="J261" s="297">
        <f>J268/J273</f>
        <v>0.77950139845632005</v>
      </c>
    </row>
    <row r="262" spans="1:10" s="71" customFormat="1" x14ac:dyDescent="0.25">
      <c r="A262" s="77" t="s">
        <v>19</v>
      </c>
      <c r="B262" s="406">
        <v>0</v>
      </c>
      <c r="C262" s="19">
        <v>0</v>
      </c>
      <c r="D262" s="19">
        <v>0</v>
      </c>
      <c r="E262" s="18">
        <v>0</v>
      </c>
      <c r="F262" s="18">
        <v>0</v>
      </c>
      <c r="G262" s="18">
        <v>0</v>
      </c>
      <c r="H262" s="18">
        <v>0</v>
      </c>
      <c r="I262" s="105">
        <f>I269/I273</f>
        <v>0</v>
      </c>
      <c r="J262" s="297">
        <f>J269/J273</f>
        <v>0</v>
      </c>
    </row>
    <row r="263" spans="1:10" s="71" customFormat="1" x14ac:dyDescent="0.25">
      <c r="A263" s="77" t="s">
        <v>20</v>
      </c>
      <c r="B263" s="406">
        <v>0.16</v>
      </c>
      <c r="C263" s="19">
        <v>0.22</v>
      </c>
      <c r="D263" s="19">
        <v>0.22</v>
      </c>
      <c r="E263" s="18">
        <v>0.28000000000000003</v>
      </c>
      <c r="F263" s="18">
        <v>0.13</v>
      </c>
      <c r="G263" s="18">
        <v>0.14000000000000001</v>
      </c>
      <c r="H263" s="18">
        <v>0.14000000000000001</v>
      </c>
      <c r="I263" s="105">
        <f>I270/I273</f>
        <v>0.16888580609842027</v>
      </c>
      <c r="J263" s="297">
        <f>J270/J273</f>
        <v>0.16888580609842027</v>
      </c>
    </row>
    <row r="264" spans="1:10" s="71" customFormat="1" x14ac:dyDescent="0.25">
      <c r="A264" s="77" t="s">
        <v>21</v>
      </c>
      <c r="B264" s="406">
        <v>0.05</v>
      </c>
      <c r="C264" s="19">
        <v>0.04</v>
      </c>
      <c r="D264" s="19">
        <v>0.04</v>
      </c>
      <c r="E264" s="18">
        <v>0.03</v>
      </c>
      <c r="F264" s="18">
        <v>0.06</v>
      </c>
      <c r="G264" s="18">
        <v>0.03</v>
      </c>
      <c r="H264" s="18">
        <v>0.08</v>
      </c>
      <c r="I264" s="105">
        <f>I271/I273</f>
        <v>5.1612795445259749E-2</v>
      </c>
      <c r="J264" s="297">
        <f>J271/J273</f>
        <v>5.1612795445259749E-2</v>
      </c>
    </row>
    <row r="265" spans="1:10" s="71" customFormat="1" x14ac:dyDescent="0.25">
      <c r="A265" s="77" t="s">
        <v>22</v>
      </c>
      <c r="B265" s="406">
        <v>0</v>
      </c>
      <c r="C265" s="19">
        <v>0</v>
      </c>
      <c r="D265" s="19">
        <v>0</v>
      </c>
      <c r="E265" s="18">
        <v>0</v>
      </c>
      <c r="F265" s="18">
        <v>0</v>
      </c>
      <c r="G265" s="18">
        <v>0</v>
      </c>
      <c r="H265" s="18">
        <v>0</v>
      </c>
      <c r="I265" s="105">
        <f>I272/I273</f>
        <v>0</v>
      </c>
      <c r="J265" s="297">
        <f>J272/J273</f>
        <v>0</v>
      </c>
    </row>
    <row r="266" spans="1:10" s="71" customFormat="1" x14ac:dyDescent="0.25">
      <c r="A266" s="81" t="s">
        <v>23</v>
      </c>
      <c r="B266" s="409">
        <f t="shared" ref="B266:J266" si="106">B277/B260</f>
        <v>33181.512605042022</v>
      </c>
      <c r="C266" s="131">
        <f t="shared" si="106"/>
        <v>35792.857142857145</v>
      </c>
      <c r="D266" s="131">
        <f t="shared" si="106"/>
        <v>32855.555555555555</v>
      </c>
      <c r="E266" s="397">
        <f t="shared" si="106"/>
        <v>32388.349514563106</v>
      </c>
      <c r="F266" s="132">
        <f t="shared" si="106"/>
        <v>38399.024390243903</v>
      </c>
      <c r="G266" s="130">
        <f t="shared" si="106"/>
        <v>38077.664974619292</v>
      </c>
      <c r="H266" s="130">
        <f t="shared" si="106"/>
        <v>36475.457875457876</v>
      </c>
      <c r="I266" s="359">
        <f t="shared" si="106"/>
        <v>35866.838046272496</v>
      </c>
      <c r="J266" s="314">
        <f t="shared" si="106"/>
        <v>35866.838046272489</v>
      </c>
    </row>
    <row r="267" spans="1:10" s="71" customFormat="1" x14ac:dyDescent="0.25">
      <c r="A267" s="81" t="s">
        <v>24</v>
      </c>
      <c r="B267" s="409">
        <f t="shared" ref="B267:J267" si="107">B277/B254</f>
        <v>30848.437500000004</v>
      </c>
      <c r="C267" s="131">
        <f t="shared" si="107"/>
        <v>34426.717557251912</v>
      </c>
      <c r="D267" s="131">
        <f t="shared" si="107"/>
        <v>29204.938271604937</v>
      </c>
      <c r="E267" s="397">
        <f t="shared" si="107"/>
        <v>30605.504587155963</v>
      </c>
      <c r="F267" s="132">
        <f t="shared" si="107"/>
        <v>31613.654618473895</v>
      </c>
      <c r="G267" s="130">
        <f t="shared" si="107"/>
        <v>30743.032786885247</v>
      </c>
      <c r="H267" s="130">
        <f t="shared" si="107"/>
        <v>32121.935483870966</v>
      </c>
      <c r="I267" s="359">
        <f t="shared" si="107"/>
        <v>31400.300075018753</v>
      </c>
      <c r="J267" s="314">
        <f t="shared" si="107"/>
        <v>31400.300075018757</v>
      </c>
    </row>
    <row r="268" spans="1:10" s="71" customFormat="1" x14ac:dyDescent="0.25">
      <c r="A268" s="77" t="s">
        <v>25</v>
      </c>
      <c r="B268" s="255">
        <f t="shared" ref="B268:H268" si="108">B273*B261</f>
        <v>2549531.8586206902</v>
      </c>
      <c r="C268" s="133">
        <f t="shared" si="108"/>
        <v>2746239.772413793</v>
      </c>
      <c r="D268" s="133">
        <f t="shared" si="108"/>
        <v>2885819.2103448277</v>
      </c>
      <c r="E268" s="299">
        <f t="shared" si="108"/>
        <v>1886206.1275862069</v>
      </c>
      <c r="F268" s="134">
        <f t="shared" si="108"/>
        <v>5229618.7810344836</v>
      </c>
      <c r="G268" s="92">
        <f t="shared" si="108"/>
        <v>5102589.2827586206</v>
      </c>
      <c r="H268" s="92">
        <f t="shared" si="108"/>
        <v>6357901.1689655175</v>
      </c>
      <c r="I268" s="108">
        <f>'NOGAL '!$B268+'NOGAL '!$C268+'NOGAL '!$D268+'NOGAL '!$E268+'NOGAL '!$F268+'NOGAL '!$G268+'NOGAL '!$H268</f>
        <v>26757906.201724138</v>
      </c>
      <c r="J268" s="300">
        <f>'NOGAL '!$I268/7</f>
        <v>3822558.0288177342</v>
      </c>
    </row>
    <row r="269" spans="1:10" s="71" customFormat="1" x14ac:dyDescent="0.25">
      <c r="A269" s="77" t="s">
        <v>26</v>
      </c>
      <c r="B269" s="255">
        <f t="shared" ref="B269:H269" si="109">B273*B262</f>
        <v>0</v>
      </c>
      <c r="C269" s="133">
        <f t="shared" si="109"/>
        <v>0</v>
      </c>
      <c r="D269" s="133">
        <f t="shared" si="109"/>
        <v>0</v>
      </c>
      <c r="E269" s="299">
        <f t="shared" si="109"/>
        <v>0</v>
      </c>
      <c r="F269" s="134">
        <f t="shared" si="109"/>
        <v>0</v>
      </c>
      <c r="G269" s="92">
        <f t="shared" si="109"/>
        <v>0</v>
      </c>
      <c r="H269" s="92">
        <f t="shared" si="109"/>
        <v>0</v>
      </c>
      <c r="I269" s="108">
        <f>'NOGAL '!$B269+'NOGAL '!$C269+'NOGAL '!$D269+'NOGAL '!$E269+'NOGAL '!$F269+'NOGAL '!$G269+'NOGAL '!$H269</f>
        <v>0</v>
      </c>
      <c r="J269" s="300">
        <f>'NOGAL '!$I269/7</f>
        <v>0</v>
      </c>
    </row>
    <row r="270" spans="1:10" s="71" customFormat="1" x14ac:dyDescent="0.25">
      <c r="A270" s="77" t="s">
        <v>27</v>
      </c>
      <c r="B270" s="255">
        <f t="shared" ref="B270:H270" si="110">B273*B263</f>
        <v>516360.88275862078</v>
      </c>
      <c r="C270" s="133">
        <f t="shared" si="110"/>
        <v>816449.66206896561</v>
      </c>
      <c r="D270" s="133">
        <f t="shared" si="110"/>
        <v>857946.25172413804</v>
      </c>
      <c r="E270" s="299">
        <f t="shared" si="110"/>
        <v>765416.9793103449</v>
      </c>
      <c r="F270" s="134">
        <f t="shared" si="110"/>
        <v>839321.53275862068</v>
      </c>
      <c r="G270" s="92">
        <f t="shared" si="110"/>
        <v>860677.71034482773</v>
      </c>
      <c r="H270" s="92">
        <f t="shared" si="110"/>
        <v>1141161.7482758623</v>
      </c>
      <c r="I270" s="108">
        <f>'NOGAL '!$B270+'NOGAL '!$C270+'NOGAL '!$D270+'NOGAL '!$E270+'NOGAL '!$F270+'NOGAL '!$G270+'NOGAL '!$H270</f>
        <v>5797334.7672413802</v>
      </c>
      <c r="J270" s="300">
        <f>'NOGAL '!$I270/7</f>
        <v>828190.6810344829</v>
      </c>
    </row>
    <row r="271" spans="1:10" s="71" customFormat="1" x14ac:dyDescent="0.25">
      <c r="A271" s="77" t="s">
        <v>28</v>
      </c>
      <c r="B271" s="255">
        <f t="shared" ref="B271:H271" si="111">B273*B264</f>
        <v>161362.77586206899</v>
      </c>
      <c r="C271" s="133">
        <f t="shared" si="111"/>
        <v>148445.3931034483</v>
      </c>
      <c r="D271" s="133">
        <f t="shared" si="111"/>
        <v>155990.22758620692</v>
      </c>
      <c r="E271" s="299">
        <f t="shared" si="111"/>
        <v>82008.962068965528</v>
      </c>
      <c r="F271" s="134">
        <f t="shared" si="111"/>
        <v>387379.16896551725</v>
      </c>
      <c r="G271" s="92">
        <f t="shared" si="111"/>
        <v>184430.93793103448</v>
      </c>
      <c r="H271" s="92">
        <f t="shared" si="111"/>
        <v>652092.42758620693</v>
      </c>
      <c r="I271" s="108">
        <f>'NOGAL '!$B271+'NOGAL '!$C271+'NOGAL '!$D271+'NOGAL '!$E271+'NOGAL '!$F271+'NOGAL '!$G271+'NOGAL '!$H271</f>
        <v>1771709.8931034484</v>
      </c>
      <c r="J271" s="300">
        <f>'NOGAL '!$I271/7</f>
        <v>253101.41330049263</v>
      </c>
    </row>
    <row r="272" spans="1:10" s="71" customFormat="1" x14ac:dyDescent="0.25">
      <c r="A272" s="77" t="s">
        <v>29</v>
      </c>
      <c r="B272" s="255">
        <f t="shared" ref="B272:H272" si="112">B273*B265</f>
        <v>0</v>
      </c>
      <c r="C272" s="133">
        <f t="shared" si="112"/>
        <v>0</v>
      </c>
      <c r="D272" s="133">
        <f t="shared" si="112"/>
        <v>0</v>
      </c>
      <c r="E272" s="299">
        <f t="shared" si="112"/>
        <v>0</v>
      </c>
      <c r="F272" s="134">
        <f t="shared" si="112"/>
        <v>0</v>
      </c>
      <c r="G272" s="92">
        <f t="shared" si="112"/>
        <v>0</v>
      </c>
      <c r="H272" s="92">
        <f t="shared" si="112"/>
        <v>0</v>
      </c>
      <c r="I272" s="108">
        <f>'NOGAL '!$B272+'NOGAL '!$C272+'NOGAL '!$D272+'NOGAL '!$E272+'NOGAL '!$F272+'NOGAL '!$G272+'NOGAL '!$H272</f>
        <v>0</v>
      </c>
      <c r="J272" s="300">
        <f>'NOGAL '!$I272/7</f>
        <v>0</v>
      </c>
    </row>
    <row r="273" spans="1:12" s="71" customFormat="1" x14ac:dyDescent="0.25">
      <c r="A273" s="82" t="s">
        <v>30</v>
      </c>
      <c r="B273" s="410">
        <f>(3948600/1.16)-B274</f>
        <v>3227255.5172413797</v>
      </c>
      <c r="C273" s="136">
        <f>(4509900/1.16)-C274</f>
        <v>3711134.8275862071</v>
      </c>
      <c r="D273" s="136">
        <f>(4731200/1.16)-D274</f>
        <v>3899755.6896551726</v>
      </c>
      <c r="E273" s="398">
        <f>(3336000/1.16)-E274</f>
        <v>2733632.0689655175</v>
      </c>
      <c r="F273" s="137">
        <f>(7871800/1.16)-F274</f>
        <v>6456319.4827586208</v>
      </c>
      <c r="G273" s="91">
        <f>(7501300/1.16)-G274</f>
        <v>6147697.931034483</v>
      </c>
      <c r="H273" s="91">
        <f>(9957800/1.16)-H274</f>
        <v>8151155.3448275868</v>
      </c>
      <c r="I273" s="111">
        <f>SUM(I268:I272)</f>
        <v>34326950.862068966</v>
      </c>
      <c r="J273" s="361">
        <f>'NOGAL '!$I273/7</f>
        <v>4903850.1231527096</v>
      </c>
    </row>
    <row r="274" spans="1:12" s="71" customFormat="1" x14ac:dyDescent="0.25">
      <c r="A274" s="77" t="s">
        <v>31</v>
      </c>
      <c r="B274" s="263">
        <f>2155*B255</f>
        <v>176710</v>
      </c>
      <c r="C274" s="139">
        <f>2155*C255</f>
        <v>176710</v>
      </c>
      <c r="D274" s="139">
        <f>2155*D255</f>
        <v>178865</v>
      </c>
      <c r="E274" s="113">
        <f>2155*E255</f>
        <v>142230</v>
      </c>
      <c r="F274" s="112">
        <f>F255*2155</f>
        <v>329715</v>
      </c>
      <c r="G274" s="94">
        <f>2155*G255</f>
        <v>318940</v>
      </c>
      <c r="H274" s="94">
        <f>2155*H255</f>
        <v>433155</v>
      </c>
      <c r="I274" s="109">
        <f>2155*I255</f>
        <v>1756325</v>
      </c>
      <c r="J274" s="302">
        <f>2155*J255</f>
        <v>250903.57142857142</v>
      </c>
    </row>
    <row r="275" spans="1:12" s="71" customFormat="1" x14ac:dyDescent="0.25">
      <c r="A275" s="83" t="s">
        <v>32</v>
      </c>
      <c r="B275" s="411">
        <f t="shared" ref="B275:J275" si="113">B273+B274</f>
        <v>3403965.5172413797</v>
      </c>
      <c r="C275" s="40">
        <f t="shared" si="113"/>
        <v>3887844.8275862071</v>
      </c>
      <c r="D275" s="40">
        <f t="shared" si="113"/>
        <v>4078620.6896551726</v>
      </c>
      <c r="E275" s="399">
        <f t="shared" si="113"/>
        <v>2875862.0689655175</v>
      </c>
      <c r="F275" s="140">
        <f t="shared" si="113"/>
        <v>6786034.4827586208</v>
      </c>
      <c r="G275" s="39">
        <f t="shared" si="113"/>
        <v>6466637.931034483</v>
      </c>
      <c r="H275" s="39">
        <f t="shared" si="113"/>
        <v>8584310.3448275868</v>
      </c>
      <c r="I275" s="412">
        <f t="shared" si="113"/>
        <v>36083275.862068966</v>
      </c>
      <c r="J275" s="364">
        <f t="shared" si="113"/>
        <v>5154753.6945812814</v>
      </c>
    </row>
    <row r="276" spans="1:12" s="71" customFormat="1" x14ac:dyDescent="0.25">
      <c r="A276" s="77" t="s">
        <v>33</v>
      </c>
      <c r="B276" s="413">
        <f t="shared" ref="B276:J276" si="114">B275*16%</f>
        <v>544634.48275862075</v>
      </c>
      <c r="C276" s="42">
        <f t="shared" si="114"/>
        <v>622055.17241379316</v>
      </c>
      <c r="D276" s="42">
        <f t="shared" si="114"/>
        <v>652579.31034482759</v>
      </c>
      <c r="E276" s="400">
        <f t="shared" si="114"/>
        <v>460137.93103448278</v>
      </c>
      <c r="F276" s="141">
        <f t="shared" si="114"/>
        <v>1085765.5172413792</v>
      </c>
      <c r="G276" s="41">
        <f t="shared" si="114"/>
        <v>1034662.0689655173</v>
      </c>
      <c r="H276" s="41">
        <f t="shared" si="114"/>
        <v>1373489.6551724139</v>
      </c>
      <c r="I276" s="414">
        <f t="shared" si="114"/>
        <v>5773324.1379310349</v>
      </c>
      <c r="J276" s="415">
        <f t="shared" si="114"/>
        <v>824760.59113300499</v>
      </c>
    </row>
    <row r="277" spans="1:12" s="71" customFormat="1" x14ac:dyDescent="0.25">
      <c r="A277" s="142" t="s">
        <v>34</v>
      </c>
      <c r="B277" s="438">
        <f t="shared" ref="B277:H277" si="115">B275+B276</f>
        <v>3948600.0000000005</v>
      </c>
      <c r="C277" s="143">
        <f t="shared" si="115"/>
        <v>4509900</v>
      </c>
      <c r="D277" s="143">
        <f t="shared" si="115"/>
        <v>4731200</v>
      </c>
      <c r="E277" s="439">
        <f t="shared" si="115"/>
        <v>3336000</v>
      </c>
      <c r="F277" s="145">
        <f t="shared" si="115"/>
        <v>7871800</v>
      </c>
      <c r="G277" s="144">
        <f t="shared" si="115"/>
        <v>7501300</v>
      </c>
      <c r="H277" s="144">
        <f t="shared" si="115"/>
        <v>9957800</v>
      </c>
      <c r="I277" s="440">
        <f>'NOGAL '!$B277+'NOGAL '!$C277+'NOGAL '!$D277+'NOGAL '!$E277+'NOGAL '!$F277+'NOGAL '!$G277+'NOGAL '!$H277</f>
        <v>41856600</v>
      </c>
      <c r="J277" s="441">
        <f>'NOGAL '!$I277/7</f>
        <v>5979514.2857142854</v>
      </c>
    </row>
    <row r="278" spans="1:12" s="71" customFormat="1" ht="15.75" thickBot="1" x14ac:dyDescent="0.3">
      <c r="A278" s="69"/>
      <c r="B278" s="424"/>
      <c r="C278" s="424"/>
      <c r="D278" s="424"/>
      <c r="E278" s="424"/>
      <c r="F278" s="424"/>
      <c r="G278" s="424"/>
      <c r="H278" s="424"/>
      <c r="I278" s="424"/>
      <c r="J278" s="424"/>
    </row>
    <row r="279" spans="1:12" s="71" customFormat="1" ht="26.25" x14ac:dyDescent="0.25">
      <c r="A279" s="85"/>
      <c r="B279" s="1002" t="s">
        <v>114</v>
      </c>
      <c r="C279" s="1002"/>
      <c r="D279" s="1002"/>
      <c r="E279" s="1002"/>
      <c r="F279" s="1002"/>
      <c r="G279" s="1002"/>
      <c r="H279" s="1002"/>
      <c r="I279" s="1002"/>
      <c r="J279" s="85"/>
    </row>
    <row r="280" spans="1:12" s="71" customFormat="1" ht="15.75" x14ac:dyDescent="0.25">
      <c r="A280" s="72" t="s">
        <v>2</v>
      </c>
      <c r="B280" s="429" t="s">
        <v>81</v>
      </c>
      <c r="C280" s="51" t="s">
        <v>82</v>
      </c>
      <c r="D280" s="349" t="s">
        <v>83</v>
      </c>
      <c r="E280" s="51" t="s">
        <v>84</v>
      </c>
      <c r="F280" s="51" t="s">
        <v>85</v>
      </c>
      <c r="G280" s="349" t="s">
        <v>86</v>
      </c>
      <c r="H280" s="349" t="s">
        <v>87</v>
      </c>
      <c r="I280" s="153" t="s">
        <v>10</v>
      </c>
      <c r="J280" s="421" t="s">
        <v>77</v>
      </c>
    </row>
    <row r="281" spans="1:12" s="71" customFormat="1" x14ac:dyDescent="0.25">
      <c r="A281" s="430" t="s">
        <v>11</v>
      </c>
      <c r="B281" s="431">
        <v>142</v>
      </c>
      <c r="C281" s="432">
        <v>174</v>
      </c>
      <c r="D281" s="433">
        <v>201</v>
      </c>
      <c r="E281" s="434">
        <v>142</v>
      </c>
      <c r="F281" s="435">
        <v>91</v>
      </c>
      <c r="G281" s="436">
        <v>194</v>
      </c>
      <c r="H281" s="434">
        <v>190</v>
      </c>
      <c r="I281" s="435">
        <f>SUM(B281:H281)</f>
        <v>1134</v>
      </c>
      <c r="J281" s="437">
        <f>'NOGAL '!$I281/7</f>
        <v>162</v>
      </c>
      <c r="L281" s="71">
        <v>102</v>
      </c>
    </row>
    <row r="282" spans="1:12" s="71" customFormat="1" x14ac:dyDescent="0.25">
      <c r="A282" s="77" t="s">
        <v>12</v>
      </c>
      <c r="B282" s="233">
        <v>99</v>
      </c>
      <c r="C282" s="13">
        <v>87</v>
      </c>
      <c r="D282" s="13">
        <v>90</v>
      </c>
      <c r="E282" s="395">
        <v>83</v>
      </c>
      <c r="F282" s="125">
        <v>41</v>
      </c>
      <c r="G282" s="11">
        <v>119</v>
      </c>
      <c r="H282" s="11">
        <v>117</v>
      </c>
      <c r="I282" s="403">
        <f>B282+C282+D282+E282+F282+G282+H282</f>
        <v>636</v>
      </c>
      <c r="J282" s="292">
        <f>'NOGAL '!$I282/7</f>
        <v>90.857142857142861</v>
      </c>
      <c r="L282" s="71">
        <v>70</v>
      </c>
    </row>
    <row r="283" spans="1:12" s="71" customFormat="1" x14ac:dyDescent="0.25">
      <c r="A283" s="77" t="s">
        <v>13</v>
      </c>
      <c r="B283" s="233">
        <v>2</v>
      </c>
      <c r="C283" s="13">
        <v>1</v>
      </c>
      <c r="D283" s="13">
        <v>5</v>
      </c>
      <c r="E283" s="395">
        <v>7</v>
      </c>
      <c r="F283" s="125">
        <v>7</v>
      </c>
      <c r="G283" s="11">
        <v>8</v>
      </c>
      <c r="H283" s="11">
        <v>8</v>
      </c>
      <c r="I283" s="403">
        <f>B283+C283+D283+E283+F283+G283+H283</f>
        <v>38</v>
      </c>
      <c r="J283" s="292">
        <f>C283+D283+E283+F283+G283+H283+I283</f>
        <v>74</v>
      </c>
      <c r="L283" s="71">
        <v>18</v>
      </c>
    </row>
    <row r="284" spans="1:12" s="71" customFormat="1" x14ac:dyDescent="0.25">
      <c r="A284" s="77" t="s">
        <v>14</v>
      </c>
      <c r="B284" s="233">
        <v>43</v>
      </c>
      <c r="C284" s="13">
        <v>33</v>
      </c>
      <c r="D284" s="13">
        <v>45</v>
      </c>
      <c r="E284" s="395">
        <v>26</v>
      </c>
      <c r="F284" s="125">
        <v>12</v>
      </c>
      <c r="G284" s="11">
        <v>22</v>
      </c>
      <c r="H284" s="11">
        <v>18</v>
      </c>
      <c r="I284" s="403">
        <f>B284+C284+D284+E284+F284+G284+H284</f>
        <v>199</v>
      </c>
      <c r="J284" s="292">
        <f>'NOGAL '!$I284/7</f>
        <v>28.428571428571427</v>
      </c>
      <c r="L284" s="71">
        <f>SUM(L281:L283)</f>
        <v>190</v>
      </c>
    </row>
    <row r="285" spans="1:12" s="71" customFormat="1" x14ac:dyDescent="0.25">
      <c r="A285" s="77" t="s">
        <v>15</v>
      </c>
      <c r="B285" s="233">
        <v>9</v>
      </c>
      <c r="C285" s="13">
        <v>18</v>
      </c>
      <c r="D285" s="13">
        <v>14</v>
      </c>
      <c r="E285" s="395">
        <v>12</v>
      </c>
      <c r="F285" s="125">
        <v>5</v>
      </c>
      <c r="G285" s="11">
        <v>21</v>
      </c>
      <c r="H285" s="11">
        <v>11</v>
      </c>
      <c r="I285" s="403">
        <f>B285+C285+D285+E285+F285+G285+H285</f>
        <v>90</v>
      </c>
      <c r="J285" s="292">
        <f>'NOGAL '!$I285/7</f>
        <v>12.857142857142858</v>
      </c>
    </row>
    <row r="286" spans="1:12" s="71" customFormat="1" x14ac:dyDescent="0.25">
      <c r="A286" s="77" t="s">
        <v>16</v>
      </c>
      <c r="B286" s="233">
        <v>2</v>
      </c>
      <c r="C286" s="13">
        <v>0</v>
      </c>
      <c r="D286" s="13">
        <v>2</v>
      </c>
      <c r="E286" s="395">
        <v>0</v>
      </c>
      <c r="F286" s="125">
        <v>3</v>
      </c>
      <c r="G286" s="11">
        <v>0</v>
      </c>
      <c r="H286" s="11">
        <v>1</v>
      </c>
      <c r="I286" s="403">
        <f>B286+C286+D286+E286+F286+G286+H286</f>
        <v>8</v>
      </c>
      <c r="J286" s="292">
        <f>'NOGAL '!$I286/7</f>
        <v>1.1428571428571428</v>
      </c>
    </row>
    <row r="287" spans="1:12" s="71" customFormat="1" x14ac:dyDescent="0.25">
      <c r="A287" s="79" t="s">
        <v>17</v>
      </c>
      <c r="B287" s="102">
        <f>SUM(B282:B286)</f>
        <v>155</v>
      </c>
      <c r="C287" s="79">
        <f t="shared" ref="C287:H287" si="116">SUM(C282:C286)</f>
        <v>139</v>
      </c>
      <c r="D287" s="79">
        <f t="shared" si="116"/>
        <v>156</v>
      </c>
      <c r="E287" s="248">
        <f t="shared" si="116"/>
        <v>128</v>
      </c>
      <c r="F287" s="15">
        <f t="shared" si="116"/>
        <v>68</v>
      </c>
      <c r="G287" s="79">
        <f t="shared" si="116"/>
        <v>170</v>
      </c>
      <c r="H287" s="79">
        <f t="shared" si="116"/>
        <v>155</v>
      </c>
      <c r="I287" s="404">
        <f>SUM(I282:I286)</f>
        <v>971</v>
      </c>
      <c r="J287" s="405">
        <f>'NOGAL '!$I287/7</f>
        <v>138.71428571428572</v>
      </c>
    </row>
    <row r="288" spans="1:12" s="71" customFormat="1" x14ac:dyDescent="0.25">
      <c r="A288" s="77" t="s">
        <v>18</v>
      </c>
      <c r="B288" s="406">
        <v>0.69</v>
      </c>
      <c r="C288" s="19">
        <v>0.78</v>
      </c>
      <c r="D288" s="19">
        <v>0.66</v>
      </c>
      <c r="E288" s="18">
        <v>0.69</v>
      </c>
      <c r="F288" s="18">
        <v>0.66</v>
      </c>
      <c r="G288" s="18">
        <v>0.77</v>
      </c>
      <c r="H288" s="18">
        <v>0.81</v>
      </c>
      <c r="I288" s="105">
        <f>I295/I300</f>
        <v>0.72959408604402187</v>
      </c>
      <c r="J288" s="297">
        <f>J295/J300</f>
        <v>0.72959408604402187</v>
      </c>
    </row>
    <row r="289" spans="1:10" s="71" customFormat="1" x14ac:dyDescent="0.25">
      <c r="A289" s="77" t="s">
        <v>19</v>
      </c>
      <c r="B289" s="406">
        <v>0.02</v>
      </c>
      <c r="C289" s="19">
        <v>0.01</v>
      </c>
      <c r="D289" s="19">
        <v>0.05</v>
      </c>
      <c r="E289" s="18">
        <v>0.08</v>
      </c>
      <c r="F289" s="18">
        <v>0.08</v>
      </c>
      <c r="G289" s="18">
        <v>0.04</v>
      </c>
      <c r="H289" s="18">
        <v>0.05</v>
      </c>
      <c r="I289" s="105">
        <f>I296/I300</f>
        <v>4.4267508403785481E-2</v>
      </c>
      <c r="J289" s="297">
        <f>J296/J300</f>
        <v>4.4267508403785481E-2</v>
      </c>
    </row>
    <row r="290" spans="1:10" s="71" customFormat="1" x14ac:dyDescent="0.25">
      <c r="A290" s="77" t="s">
        <v>20</v>
      </c>
      <c r="B290" s="406">
        <v>0.23</v>
      </c>
      <c r="C290" s="19">
        <v>0.14000000000000001</v>
      </c>
      <c r="D290" s="19">
        <v>0.19</v>
      </c>
      <c r="E290" s="18">
        <v>0.14000000000000001</v>
      </c>
      <c r="F290" s="18">
        <v>0.19</v>
      </c>
      <c r="G290" s="18">
        <v>0.09</v>
      </c>
      <c r="H290" s="18">
        <v>0.08</v>
      </c>
      <c r="I290" s="105">
        <f>I297/I300</f>
        <v>0.14598765524788757</v>
      </c>
      <c r="J290" s="297">
        <f>J297/J300</f>
        <v>0.14598765524788757</v>
      </c>
    </row>
    <row r="291" spans="1:10" s="71" customFormat="1" x14ac:dyDescent="0.25">
      <c r="A291" s="77" t="s">
        <v>21</v>
      </c>
      <c r="B291" s="406">
        <v>0.04</v>
      </c>
      <c r="C291" s="19">
        <v>7.0000000000000007E-2</v>
      </c>
      <c r="D291" s="19">
        <v>0.09</v>
      </c>
      <c r="E291" s="18">
        <v>0.09</v>
      </c>
      <c r="F291" s="18">
        <v>0.04</v>
      </c>
      <c r="G291" s="18">
        <v>0.1</v>
      </c>
      <c r="H291" s="18">
        <v>0.05</v>
      </c>
      <c r="I291" s="105">
        <f>I298/I300</f>
        <v>7.1913833593254997E-2</v>
      </c>
      <c r="J291" s="297">
        <f>J298/J300</f>
        <v>7.1913833593254983E-2</v>
      </c>
    </row>
    <row r="292" spans="1:10" s="71" customFormat="1" x14ac:dyDescent="0.25">
      <c r="A292" s="77" t="s">
        <v>22</v>
      </c>
      <c r="B292" s="406">
        <v>0.02</v>
      </c>
      <c r="C292" s="19">
        <v>0</v>
      </c>
      <c r="D292" s="19">
        <v>0.01</v>
      </c>
      <c r="E292" s="18">
        <v>0</v>
      </c>
      <c r="F292" s="18">
        <v>0.03</v>
      </c>
      <c r="G292" s="18">
        <v>0</v>
      </c>
      <c r="H292" s="18">
        <v>0.01</v>
      </c>
      <c r="I292" s="105">
        <f>I299/I300</f>
        <v>8.2369167110500404E-3</v>
      </c>
      <c r="J292" s="297">
        <f>J299/J300</f>
        <v>8.2369167110500404E-3</v>
      </c>
    </row>
    <row r="293" spans="1:10" s="71" customFormat="1" x14ac:dyDescent="0.25">
      <c r="A293" s="81" t="s">
        <v>23</v>
      </c>
      <c r="B293" s="409">
        <f t="shared" ref="B293:J293" si="117">B304/B287</f>
        <v>33174.838709677424</v>
      </c>
      <c r="C293" s="131">
        <f t="shared" si="117"/>
        <v>39417.266187050365</v>
      </c>
      <c r="D293" s="131">
        <f t="shared" si="117"/>
        <v>38698.076923076922</v>
      </c>
      <c r="E293" s="397">
        <f t="shared" si="117"/>
        <v>38200.781250000007</v>
      </c>
      <c r="F293" s="132">
        <f t="shared" si="117"/>
        <v>40401.470588235294</v>
      </c>
      <c r="G293" s="130">
        <f t="shared" si="117"/>
        <v>39715.294117647063</v>
      </c>
      <c r="H293" s="130">
        <f t="shared" si="117"/>
        <v>37330.322580645159</v>
      </c>
      <c r="I293" s="359">
        <f t="shared" si="117"/>
        <v>37932.852729145212</v>
      </c>
      <c r="J293" s="314">
        <f t="shared" si="117"/>
        <v>37932.852729145212</v>
      </c>
    </row>
    <row r="294" spans="1:10" s="71" customFormat="1" x14ac:dyDescent="0.25">
      <c r="A294" s="81" t="s">
        <v>24</v>
      </c>
      <c r="B294" s="409">
        <f t="shared" ref="B294:J294" si="118">B304/B281</f>
        <v>36211.971830985924</v>
      </c>
      <c r="C294" s="131">
        <f t="shared" si="118"/>
        <v>31488.505747126441</v>
      </c>
      <c r="D294" s="131">
        <f t="shared" si="118"/>
        <v>30034.328358208953</v>
      </c>
      <c r="E294" s="397">
        <f t="shared" si="118"/>
        <v>34434.507042253528</v>
      </c>
      <c r="F294" s="132">
        <f t="shared" si="118"/>
        <v>30190.109890109889</v>
      </c>
      <c r="G294" s="130">
        <f t="shared" si="118"/>
        <v>34802.061855670108</v>
      </c>
      <c r="H294" s="130">
        <f t="shared" si="118"/>
        <v>30453.684210526317</v>
      </c>
      <c r="I294" s="359">
        <f t="shared" si="118"/>
        <v>32480.423280423282</v>
      </c>
      <c r="J294" s="314">
        <f t="shared" si="118"/>
        <v>32480.423280423282</v>
      </c>
    </row>
    <row r="295" spans="1:10" s="71" customFormat="1" x14ac:dyDescent="0.25">
      <c r="A295" s="77" t="s">
        <v>25</v>
      </c>
      <c r="B295" s="255">
        <f t="shared" ref="B295:H295" si="119">B300*B288</f>
        <v>2911454.8810344832</v>
      </c>
      <c r="C295" s="133">
        <f t="shared" si="119"/>
        <v>3537916.8724137936</v>
      </c>
      <c r="D295" s="133">
        <f t="shared" si="119"/>
        <v>3306780.931034483</v>
      </c>
      <c r="E295" s="299">
        <f t="shared" si="119"/>
        <v>2785111.5982758622</v>
      </c>
      <c r="F295" s="134">
        <f t="shared" si="119"/>
        <v>1504804.6655172417</v>
      </c>
      <c r="G295" s="92">
        <f t="shared" si="119"/>
        <v>4284202.8672413798</v>
      </c>
      <c r="H295" s="92">
        <f t="shared" si="119"/>
        <v>3836134.4431034485</v>
      </c>
      <c r="I295" s="108">
        <f>'NOGAL '!$B295+'NOGAL '!$C295+'NOGAL '!$D295+'NOGAL '!$E295+'NOGAL '!$F295+'NOGAL '!$G295+'NOGAL '!$H295</f>
        <v>22166406.258620691</v>
      </c>
      <c r="J295" s="300">
        <f>'NOGAL '!$I295/7</f>
        <v>3166629.4655172415</v>
      </c>
    </row>
    <row r="296" spans="1:10" s="71" customFormat="1" x14ac:dyDescent="0.25">
      <c r="A296" s="77" t="s">
        <v>26</v>
      </c>
      <c r="B296" s="255">
        <f t="shared" ref="B296:H296" si="120">B300*B289</f>
        <v>84389.996551724151</v>
      </c>
      <c r="C296" s="133">
        <f t="shared" si="120"/>
        <v>45357.908620689661</v>
      </c>
      <c r="D296" s="133">
        <f t="shared" si="120"/>
        <v>250513.70689655177</v>
      </c>
      <c r="E296" s="299">
        <f t="shared" si="120"/>
        <v>322911.48965517245</v>
      </c>
      <c r="F296" s="134">
        <f t="shared" si="120"/>
        <v>182400.5655172414</v>
      </c>
      <c r="G296" s="92">
        <f t="shared" si="120"/>
        <v>222555.9931034483</v>
      </c>
      <c r="H296" s="92">
        <f t="shared" si="120"/>
        <v>236798.42241379313</v>
      </c>
      <c r="I296" s="108">
        <f>'NOGAL '!$B296+'NOGAL '!$C296+'NOGAL '!$D296+'NOGAL '!$E296+'NOGAL '!$F296+'NOGAL '!$G296+'NOGAL '!$H296</f>
        <v>1344928.0827586208</v>
      </c>
      <c r="J296" s="300">
        <f>'NOGAL '!$I296/7</f>
        <v>192132.58325123155</v>
      </c>
    </row>
    <row r="297" spans="1:10" s="71" customFormat="1" x14ac:dyDescent="0.25">
      <c r="A297" s="77" t="s">
        <v>27</v>
      </c>
      <c r="B297" s="255">
        <f t="shared" ref="B297:H297" si="121">B300*B290</f>
        <v>970484.96034482773</v>
      </c>
      <c r="C297" s="133">
        <f t="shared" si="121"/>
        <v>635010.72068965528</v>
      </c>
      <c r="D297" s="133">
        <f t="shared" si="121"/>
        <v>951952.0862068967</v>
      </c>
      <c r="E297" s="299">
        <f t="shared" si="121"/>
        <v>565095.10689655179</v>
      </c>
      <c r="F297" s="134">
        <f t="shared" si="121"/>
        <v>433201.34310344834</v>
      </c>
      <c r="G297" s="92">
        <f t="shared" si="121"/>
        <v>500750.98448275868</v>
      </c>
      <c r="H297" s="92">
        <f t="shared" si="121"/>
        <v>378877.475862069</v>
      </c>
      <c r="I297" s="108">
        <f>'NOGAL '!$B297+'NOGAL '!$C297+'NOGAL '!$D297+'NOGAL '!$E297+'NOGAL '!$F297+'NOGAL '!$G297+'NOGAL '!$H297</f>
        <v>4435372.6775862072</v>
      </c>
      <c r="J297" s="300">
        <f>'NOGAL '!$I297/7</f>
        <v>633624.66822660097</v>
      </c>
    </row>
    <row r="298" spans="1:10" s="71" customFormat="1" x14ac:dyDescent="0.25">
      <c r="A298" s="77" t="s">
        <v>28</v>
      </c>
      <c r="B298" s="255">
        <f t="shared" ref="B298:H298" si="122">B300*B291</f>
        <v>168779.9931034483</v>
      </c>
      <c r="C298" s="133">
        <f t="shared" si="122"/>
        <v>317505.36034482764</v>
      </c>
      <c r="D298" s="133">
        <f t="shared" si="122"/>
        <v>450924.6724137931</v>
      </c>
      <c r="E298" s="299">
        <f t="shared" si="122"/>
        <v>363275.42586206901</v>
      </c>
      <c r="F298" s="134">
        <f t="shared" si="122"/>
        <v>91200.282758620699</v>
      </c>
      <c r="G298" s="92">
        <f t="shared" si="122"/>
        <v>556389.98275862075</v>
      </c>
      <c r="H298" s="92">
        <f t="shared" si="122"/>
        <v>236798.42241379313</v>
      </c>
      <c r="I298" s="108">
        <f>'NOGAL '!$B298+'NOGAL '!$C298+'NOGAL '!$D298+'NOGAL '!$E298+'NOGAL '!$F298+'NOGAL '!$G298+'NOGAL '!$H298</f>
        <v>2184874.1396551728</v>
      </c>
      <c r="J298" s="300">
        <f>'NOGAL '!$I298/7</f>
        <v>312124.87709359609</v>
      </c>
    </row>
    <row r="299" spans="1:10" s="71" customFormat="1" x14ac:dyDescent="0.25">
      <c r="A299" s="77" t="s">
        <v>29</v>
      </c>
      <c r="B299" s="255">
        <f t="shared" ref="B299:H299" si="123">B300*B292</f>
        <v>84389.996551724151</v>
      </c>
      <c r="C299" s="133">
        <f t="shared" si="123"/>
        <v>0</v>
      </c>
      <c r="D299" s="133">
        <f t="shared" si="123"/>
        <v>50102.741379310348</v>
      </c>
      <c r="E299" s="299">
        <f t="shared" si="123"/>
        <v>0</v>
      </c>
      <c r="F299" s="134">
        <f t="shared" si="123"/>
        <v>68400.212068965528</v>
      </c>
      <c r="G299" s="92">
        <f t="shared" si="123"/>
        <v>0</v>
      </c>
      <c r="H299" s="92">
        <f t="shared" si="123"/>
        <v>47359.684482758625</v>
      </c>
      <c r="I299" s="108">
        <f>'NOGAL '!$B299+'NOGAL '!$C299+'NOGAL '!$D299+'NOGAL '!$E299+'NOGAL '!$F299+'NOGAL '!$G299+'NOGAL '!$H299</f>
        <v>250252.63448275864</v>
      </c>
      <c r="J299" s="300">
        <f>'NOGAL '!$I299/7</f>
        <v>35750.376354679807</v>
      </c>
    </row>
    <row r="300" spans="1:10" s="71" customFormat="1" x14ac:dyDescent="0.25">
      <c r="A300" s="82" t="s">
        <v>30</v>
      </c>
      <c r="B300" s="410">
        <f>(5142100/1.16)-B301</f>
        <v>4219499.8275862075</v>
      </c>
      <c r="C300" s="136">
        <f>(5479000/1.16)-C301</f>
        <v>4535790.862068966</v>
      </c>
      <c r="D300" s="136">
        <f>(6036900/1.16)-D301</f>
        <v>5010274.1379310349</v>
      </c>
      <c r="E300" s="398">
        <f>(4889700/1.16)-E301</f>
        <v>4036393.6206896557</v>
      </c>
      <c r="F300" s="137">
        <f>(2747300/1.16)-F301</f>
        <v>2280007.0689655175</v>
      </c>
      <c r="G300" s="91">
        <f>(6751600/1.16)-G301</f>
        <v>5563899.8275862075</v>
      </c>
      <c r="H300" s="91">
        <f>(5786200/1.16)-H301</f>
        <v>4735968.4482758623</v>
      </c>
      <c r="I300" s="111">
        <f>SUM(I295:I299)</f>
        <v>30381833.793103453</v>
      </c>
      <c r="J300" s="361">
        <f>'NOGAL '!$I300/7</f>
        <v>4340261.9704433503</v>
      </c>
    </row>
    <row r="301" spans="1:10" s="71" customFormat="1" x14ac:dyDescent="0.25">
      <c r="A301" s="77" t="s">
        <v>31</v>
      </c>
      <c r="B301" s="263">
        <f>2155*B282</f>
        <v>213345</v>
      </c>
      <c r="C301" s="139">
        <f>2155*C282</f>
        <v>187485</v>
      </c>
      <c r="D301" s="139">
        <f>2155*D282</f>
        <v>193950</v>
      </c>
      <c r="E301" s="113">
        <f>2155*E282</f>
        <v>178865</v>
      </c>
      <c r="F301" s="112">
        <f>F282*2155</f>
        <v>88355</v>
      </c>
      <c r="G301" s="94">
        <f>2155*G282</f>
        <v>256445</v>
      </c>
      <c r="H301" s="94">
        <f>2155*H282</f>
        <v>252135</v>
      </c>
      <c r="I301" s="109">
        <f>2155*I282</f>
        <v>1370580</v>
      </c>
      <c r="J301" s="302">
        <f>2155*J282</f>
        <v>195797.14285714287</v>
      </c>
    </row>
    <row r="302" spans="1:10" s="71" customFormat="1" x14ac:dyDescent="0.25">
      <c r="A302" s="83" t="s">
        <v>32</v>
      </c>
      <c r="B302" s="411">
        <f t="shared" ref="B302:J302" si="124">B300+B301</f>
        <v>4432844.8275862075</v>
      </c>
      <c r="C302" s="40">
        <f t="shared" si="124"/>
        <v>4723275.862068966</v>
      </c>
      <c r="D302" s="40">
        <f t="shared" si="124"/>
        <v>5204224.1379310349</v>
      </c>
      <c r="E302" s="399">
        <f t="shared" si="124"/>
        <v>4215258.6206896557</v>
      </c>
      <c r="F302" s="140">
        <f t="shared" si="124"/>
        <v>2368362.0689655175</v>
      </c>
      <c r="G302" s="39">
        <f t="shared" si="124"/>
        <v>5820344.8275862075</v>
      </c>
      <c r="H302" s="39">
        <f t="shared" si="124"/>
        <v>4988103.4482758623</v>
      </c>
      <c r="I302" s="412">
        <f t="shared" si="124"/>
        <v>31752413.793103453</v>
      </c>
      <c r="J302" s="364">
        <f t="shared" si="124"/>
        <v>4536059.113300493</v>
      </c>
    </row>
    <row r="303" spans="1:10" s="71" customFormat="1" x14ac:dyDescent="0.25">
      <c r="A303" s="77" t="s">
        <v>33</v>
      </c>
      <c r="B303" s="413">
        <f t="shared" ref="B303:J303" si="125">B302*16%</f>
        <v>709255.17241379328</v>
      </c>
      <c r="C303" s="42">
        <f t="shared" si="125"/>
        <v>755724.13793103455</v>
      </c>
      <c r="D303" s="42">
        <f t="shared" si="125"/>
        <v>832675.86206896557</v>
      </c>
      <c r="E303" s="400">
        <f t="shared" si="125"/>
        <v>674441.37931034493</v>
      </c>
      <c r="F303" s="141">
        <f t="shared" si="125"/>
        <v>378937.93103448278</v>
      </c>
      <c r="G303" s="41">
        <f t="shared" si="125"/>
        <v>931255.17241379328</v>
      </c>
      <c r="H303" s="41">
        <f t="shared" si="125"/>
        <v>798096.55172413797</v>
      </c>
      <c r="I303" s="414">
        <f t="shared" si="125"/>
        <v>5080386.2068965528</v>
      </c>
      <c r="J303" s="415">
        <f t="shared" si="125"/>
        <v>725769.45812807884</v>
      </c>
    </row>
    <row r="304" spans="1:10" s="71" customFormat="1" x14ac:dyDescent="0.25">
      <c r="A304" s="142" t="s">
        <v>34</v>
      </c>
      <c r="B304" s="438">
        <f t="shared" ref="B304:H304" si="126">B302+B303</f>
        <v>5142100.0000000009</v>
      </c>
      <c r="C304" s="143">
        <f t="shared" si="126"/>
        <v>5479000.0000000009</v>
      </c>
      <c r="D304" s="143">
        <f t="shared" si="126"/>
        <v>6036900</v>
      </c>
      <c r="E304" s="439">
        <f t="shared" si="126"/>
        <v>4889700.0000000009</v>
      </c>
      <c r="F304" s="145">
        <f t="shared" si="126"/>
        <v>2747300</v>
      </c>
      <c r="G304" s="144">
        <f t="shared" si="126"/>
        <v>6751600.0000000009</v>
      </c>
      <c r="H304" s="144">
        <f t="shared" si="126"/>
        <v>5786200</v>
      </c>
      <c r="I304" s="440">
        <f>'NOGAL '!$B304+'NOGAL '!$C304+'NOGAL '!$D304+'NOGAL '!$E304+'NOGAL '!$F304+'NOGAL '!$G304+'NOGAL '!$H304</f>
        <v>36832800</v>
      </c>
      <c r="J304" s="441">
        <f>'NOGAL '!$I304/7</f>
        <v>5261828.5714285718</v>
      </c>
    </row>
    <row r="305" spans="1:10" s="71" customFormat="1" x14ac:dyDescent="0.25">
      <c r="A305" s="69"/>
      <c r="B305" s="424"/>
      <c r="C305" s="424"/>
      <c r="D305" s="424"/>
      <c r="E305" s="424"/>
      <c r="F305" s="424"/>
      <c r="G305" s="424"/>
      <c r="H305" s="424"/>
      <c r="I305" s="424"/>
      <c r="J305" s="424"/>
    </row>
    <row r="306" spans="1:10" s="71" customFormat="1" ht="15.75" thickBot="1" x14ac:dyDescent="0.3">
      <c r="A306" s="69"/>
      <c r="B306" s="424"/>
      <c r="C306" s="424"/>
      <c r="D306" s="424"/>
      <c r="E306" s="424"/>
      <c r="F306" s="424"/>
      <c r="G306" s="424"/>
      <c r="H306" s="424"/>
      <c r="I306" s="424"/>
      <c r="J306" s="424"/>
    </row>
    <row r="307" spans="1:10" s="71" customFormat="1" ht="26.25" x14ac:dyDescent="0.25">
      <c r="A307" s="85"/>
      <c r="B307" s="1002" t="s">
        <v>122</v>
      </c>
      <c r="C307" s="1002"/>
      <c r="D307" s="1002"/>
      <c r="E307" s="1002"/>
      <c r="F307" s="1002"/>
      <c r="G307" s="1002"/>
      <c r="H307" s="1002"/>
      <c r="I307" s="1002"/>
      <c r="J307" s="85"/>
    </row>
    <row r="308" spans="1:10" s="71" customFormat="1" ht="15.75" x14ac:dyDescent="0.25">
      <c r="A308" s="72" t="s">
        <v>2</v>
      </c>
      <c r="B308" s="429" t="s">
        <v>89</v>
      </c>
      <c r="C308" s="51" t="s">
        <v>416</v>
      </c>
      <c r="D308" s="349" t="s">
        <v>172</v>
      </c>
      <c r="E308" s="51" t="s">
        <v>92</v>
      </c>
      <c r="F308" s="51" t="s">
        <v>173</v>
      </c>
      <c r="G308" s="349" t="s">
        <v>174</v>
      </c>
      <c r="H308" s="349" t="s">
        <v>175</v>
      </c>
      <c r="I308" s="153" t="s">
        <v>10</v>
      </c>
      <c r="J308" s="421" t="s">
        <v>77</v>
      </c>
    </row>
    <row r="309" spans="1:10" s="71" customFormat="1" x14ac:dyDescent="0.25">
      <c r="A309" s="430" t="s">
        <v>11</v>
      </c>
      <c r="B309" s="431">
        <v>145</v>
      </c>
      <c r="C309" s="432">
        <v>121</v>
      </c>
      <c r="D309" s="433">
        <v>149</v>
      </c>
      <c r="E309" s="434">
        <v>137</v>
      </c>
      <c r="F309" s="435">
        <v>70</v>
      </c>
      <c r="G309" s="436">
        <v>185</v>
      </c>
      <c r="H309" s="434">
        <v>177</v>
      </c>
      <c r="I309" s="435">
        <f>SUM(B309:H309)</f>
        <v>984</v>
      </c>
      <c r="J309" s="437">
        <f>'NOGAL '!$I309/7</f>
        <v>140.57142857142858</v>
      </c>
    </row>
    <row r="310" spans="1:10" s="71" customFormat="1" x14ac:dyDescent="0.25">
      <c r="A310" s="77" t="s">
        <v>12</v>
      </c>
      <c r="B310" s="233">
        <v>84</v>
      </c>
      <c r="C310" s="13">
        <v>71</v>
      </c>
      <c r="D310" s="13">
        <v>74</v>
      </c>
      <c r="E310" s="395">
        <v>71</v>
      </c>
      <c r="F310" s="125">
        <v>34</v>
      </c>
      <c r="G310" s="11">
        <v>100</v>
      </c>
      <c r="H310" s="11">
        <v>92</v>
      </c>
      <c r="I310" s="403">
        <f>B310+C310+D310+E310+F310+G310+H310</f>
        <v>526</v>
      </c>
      <c r="J310" s="292">
        <f>'NOGAL '!$I310/7</f>
        <v>75.142857142857139</v>
      </c>
    </row>
    <row r="311" spans="1:10" s="71" customFormat="1" x14ac:dyDescent="0.25">
      <c r="A311" s="77" t="s">
        <v>13</v>
      </c>
      <c r="B311" s="233">
        <v>2</v>
      </c>
      <c r="C311" s="13">
        <v>2</v>
      </c>
      <c r="D311" s="13">
        <v>3</v>
      </c>
      <c r="E311" s="395">
        <v>4</v>
      </c>
      <c r="F311" s="125">
        <v>7</v>
      </c>
      <c r="G311" s="11">
        <v>4</v>
      </c>
      <c r="H311" s="11">
        <v>6</v>
      </c>
      <c r="I311" s="403">
        <f>B311+C311+D311+E311+F311+G311+H311</f>
        <v>28</v>
      </c>
      <c r="J311" s="292">
        <f>C311+D311+E311+F311+G311+H311+I311</f>
        <v>54</v>
      </c>
    </row>
    <row r="312" spans="1:10" s="71" customFormat="1" x14ac:dyDescent="0.25">
      <c r="A312" s="77" t="s">
        <v>14</v>
      </c>
      <c r="B312" s="233">
        <v>31</v>
      </c>
      <c r="C312" s="13">
        <v>28</v>
      </c>
      <c r="D312" s="13">
        <v>38</v>
      </c>
      <c r="E312" s="395">
        <v>31</v>
      </c>
      <c r="F312" s="125">
        <v>10</v>
      </c>
      <c r="G312" s="11">
        <v>12</v>
      </c>
      <c r="H312" s="11">
        <v>19</v>
      </c>
      <c r="I312" s="403">
        <f>B312+C312+D312+E312+F312+G312+H312</f>
        <v>169</v>
      </c>
      <c r="J312" s="292">
        <f>'NOGAL '!$I312/7</f>
        <v>24.142857142857142</v>
      </c>
    </row>
    <row r="313" spans="1:10" s="71" customFormat="1" x14ac:dyDescent="0.25">
      <c r="A313" s="77" t="s">
        <v>15</v>
      </c>
      <c r="B313" s="233">
        <v>10</v>
      </c>
      <c r="C313" s="13">
        <v>12</v>
      </c>
      <c r="D313" s="13">
        <v>18</v>
      </c>
      <c r="E313" s="395">
        <v>16</v>
      </c>
      <c r="F313" s="125">
        <v>7</v>
      </c>
      <c r="G313" s="11">
        <v>16</v>
      </c>
      <c r="H313" s="11">
        <v>22</v>
      </c>
      <c r="I313" s="403">
        <f>B313+C313+D313+E313+F313+G313+H313</f>
        <v>101</v>
      </c>
      <c r="J313" s="292">
        <f>'NOGAL '!$I313/7</f>
        <v>14.428571428571429</v>
      </c>
    </row>
    <row r="314" spans="1:10" s="71" customFormat="1" x14ac:dyDescent="0.25">
      <c r="A314" s="77" t="s">
        <v>16</v>
      </c>
      <c r="B314" s="233">
        <v>0</v>
      </c>
      <c r="C314" s="13">
        <v>0</v>
      </c>
      <c r="D314" s="13">
        <v>2</v>
      </c>
      <c r="E314" s="395">
        <v>2</v>
      </c>
      <c r="F314" s="125">
        <v>0</v>
      </c>
      <c r="G314" s="11">
        <v>1</v>
      </c>
      <c r="H314" s="11">
        <v>0</v>
      </c>
      <c r="I314" s="403">
        <f>B314+C314+D314+E314+F314+G314+H314</f>
        <v>5</v>
      </c>
      <c r="J314" s="292">
        <f>'NOGAL '!$I314/7</f>
        <v>0.7142857142857143</v>
      </c>
    </row>
    <row r="315" spans="1:10" s="71" customFormat="1" x14ac:dyDescent="0.25">
      <c r="A315" s="79" t="s">
        <v>17</v>
      </c>
      <c r="B315" s="102">
        <f>SUM(B310:B314)</f>
        <v>127</v>
      </c>
      <c r="C315" s="79">
        <f t="shared" ref="C315:H315" si="127">SUM(C310:C314)</f>
        <v>113</v>
      </c>
      <c r="D315" s="79">
        <f t="shared" si="127"/>
        <v>135</v>
      </c>
      <c r="E315" s="248">
        <f t="shared" si="127"/>
        <v>124</v>
      </c>
      <c r="F315" s="15">
        <f t="shared" si="127"/>
        <v>58</v>
      </c>
      <c r="G315" s="79">
        <f t="shared" si="127"/>
        <v>133</v>
      </c>
      <c r="H315" s="79">
        <f t="shared" si="127"/>
        <v>139</v>
      </c>
      <c r="I315" s="404">
        <f>SUM(I310:I314)</f>
        <v>829</v>
      </c>
      <c r="J315" s="405">
        <f>'NOGAL '!$I315/7</f>
        <v>118.42857142857143</v>
      </c>
    </row>
    <row r="316" spans="1:10" s="71" customFormat="1" x14ac:dyDescent="0.25">
      <c r="A316" s="77" t="s">
        <v>18</v>
      </c>
      <c r="B316" s="406">
        <v>0.72</v>
      </c>
      <c r="C316" s="19">
        <v>0.73</v>
      </c>
      <c r="D316" s="19">
        <v>0.65</v>
      </c>
      <c r="E316" s="18">
        <v>0.67</v>
      </c>
      <c r="F316" s="18">
        <v>0.69</v>
      </c>
      <c r="G316" s="18">
        <v>0.75</v>
      </c>
      <c r="H316" s="18">
        <v>0.72</v>
      </c>
      <c r="I316" s="105">
        <f>I323/I328</f>
        <v>0.70715020023725361</v>
      </c>
      <c r="J316" s="297">
        <f>J323/J328</f>
        <v>0.70715020023725372</v>
      </c>
    </row>
    <row r="317" spans="1:10" s="71" customFormat="1" x14ac:dyDescent="0.25">
      <c r="A317" s="77" t="s">
        <v>19</v>
      </c>
      <c r="B317" s="406">
        <v>0.02</v>
      </c>
      <c r="C317" s="19">
        <v>0.01</v>
      </c>
      <c r="D317" s="19">
        <v>0.02</v>
      </c>
      <c r="E317" s="18">
        <v>0.04</v>
      </c>
      <c r="F317" s="18">
        <v>0.11</v>
      </c>
      <c r="G317" s="18">
        <v>0.03</v>
      </c>
      <c r="H317" s="18">
        <v>0.05</v>
      </c>
      <c r="I317" s="105">
        <f>I324/I328</f>
        <v>3.5032806447274155E-2</v>
      </c>
      <c r="J317" s="297">
        <f>J324/J328</f>
        <v>3.5032806447274155E-2</v>
      </c>
    </row>
    <row r="318" spans="1:10" s="71" customFormat="1" x14ac:dyDescent="0.25">
      <c r="A318" s="77" t="s">
        <v>20</v>
      </c>
      <c r="B318" s="406">
        <v>0.18</v>
      </c>
      <c r="C318" s="19">
        <v>0.18</v>
      </c>
      <c r="D318" s="19">
        <v>0.24</v>
      </c>
      <c r="E318" s="18">
        <v>0.15</v>
      </c>
      <c r="F318" s="18">
        <v>0.11</v>
      </c>
      <c r="G318" s="18">
        <v>0.09</v>
      </c>
      <c r="H318" s="18">
        <v>0.09</v>
      </c>
      <c r="I318" s="105">
        <f>I325/I328</f>
        <v>0.14777804403884393</v>
      </c>
      <c r="J318" s="297">
        <f>J325/J328</f>
        <v>0.14777804403884395</v>
      </c>
    </row>
    <row r="319" spans="1:10" s="71" customFormat="1" x14ac:dyDescent="0.25">
      <c r="A319" s="77" t="s">
        <v>21</v>
      </c>
      <c r="B319" s="406">
        <v>0.08</v>
      </c>
      <c r="C319" s="19">
        <v>0.08</v>
      </c>
      <c r="D319" s="19">
        <v>0.09</v>
      </c>
      <c r="E319" s="18">
        <v>0.1</v>
      </c>
      <c r="F319" s="18">
        <v>0.09</v>
      </c>
      <c r="G319" s="18">
        <v>0.13</v>
      </c>
      <c r="H319" s="18">
        <v>0.14000000000000001</v>
      </c>
      <c r="I319" s="105">
        <f>I326/I328</f>
        <v>0.10463771717147372</v>
      </c>
      <c r="J319" s="297">
        <f>J326/J328</f>
        <v>0.10463771717147372</v>
      </c>
    </row>
    <row r="320" spans="1:10" s="71" customFormat="1" x14ac:dyDescent="0.25">
      <c r="A320" s="77" t="s">
        <v>22</v>
      </c>
      <c r="B320" s="406">
        <v>0</v>
      </c>
      <c r="C320" s="19">
        <v>0</v>
      </c>
      <c r="D320" s="19">
        <v>0</v>
      </c>
      <c r="E320" s="18">
        <v>0.04</v>
      </c>
      <c r="F320" s="18">
        <v>0</v>
      </c>
      <c r="G320" s="18">
        <v>0</v>
      </c>
      <c r="H320" s="18">
        <v>0</v>
      </c>
      <c r="I320" s="105">
        <f>I327/I328</f>
        <v>5.4012321051544118E-3</v>
      </c>
      <c r="J320" s="297">
        <f>J327/J328</f>
        <v>5.4012321051544118E-3</v>
      </c>
    </row>
    <row r="321" spans="1:10" s="71" customFormat="1" x14ac:dyDescent="0.25">
      <c r="A321" s="81" t="s">
        <v>23</v>
      </c>
      <c r="B321" s="409">
        <f t="shared" ref="B321:J321" si="128">B332/B315</f>
        <v>33885.826771653541</v>
      </c>
      <c r="C321" s="131">
        <f t="shared" si="128"/>
        <v>35500.000000000007</v>
      </c>
      <c r="D321" s="131">
        <f t="shared" si="128"/>
        <v>34917.777777777781</v>
      </c>
      <c r="E321" s="397">
        <f t="shared" si="128"/>
        <v>32912.903225806454</v>
      </c>
      <c r="F321" s="132">
        <f t="shared" si="128"/>
        <v>38805.172413793109</v>
      </c>
      <c r="G321" s="130">
        <f t="shared" si="128"/>
        <v>43823.308270676695</v>
      </c>
      <c r="H321" s="130">
        <f t="shared" si="128"/>
        <v>36225.899280575548</v>
      </c>
      <c r="I321" s="359">
        <f t="shared" si="128"/>
        <v>36459.227985524725</v>
      </c>
      <c r="J321" s="314">
        <f t="shared" si="128"/>
        <v>36459.227985524725</v>
      </c>
    </row>
    <row r="322" spans="1:10" s="71" customFormat="1" x14ac:dyDescent="0.25">
      <c r="A322" s="81" t="s">
        <v>24</v>
      </c>
      <c r="B322" s="409">
        <f t="shared" ref="B322:J322" si="129">B332/B309</f>
        <v>29679.310344827587</v>
      </c>
      <c r="C322" s="131">
        <f t="shared" si="129"/>
        <v>33152.892561983477</v>
      </c>
      <c r="D322" s="131">
        <f t="shared" si="129"/>
        <v>31636.912751677854</v>
      </c>
      <c r="E322" s="397">
        <f t="shared" si="129"/>
        <v>29789.781021897812</v>
      </c>
      <c r="F322" s="132">
        <f t="shared" si="129"/>
        <v>32152.857142857149</v>
      </c>
      <c r="G322" s="130">
        <f t="shared" si="129"/>
        <v>31505.405405405407</v>
      </c>
      <c r="H322" s="130">
        <f t="shared" si="129"/>
        <v>28448.587570621476</v>
      </c>
      <c r="I322" s="359">
        <f t="shared" si="129"/>
        <v>30716.158536585364</v>
      </c>
      <c r="J322" s="314">
        <f t="shared" si="129"/>
        <v>30716.158536585361</v>
      </c>
    </row>
    <row r="323" spans="1:10" s="71" customFormat="1" x14ac:dyDescent="0.25">
      <c r="A323" s="77" t="s">
        <v>25</v>
      </c>
      <c r="B323" s="255">
        <f t="shared" ref="B323:H323" si="130">B328*B316</f>
        <v>2540803.5310344831</v>
      </c>
      <c r="C323" s="133">
        <f t="shared" si="130"/>
        <v>2412784.7982758624</v>
      </c>
      <c r="D323" s="133">
        <f t="shared" si="130"/>
        <v>2537753.9827586212</v>
      </c>
      <c r="E323" s="299">
        <f t="shared" si="130"/>
        <v>2254731.477586207</v>
      </c>
      <c r="F323" s="134">
        <f t="shared" si="130"/>
        <v>1288222.1482758622</v>
      </c>
      <c r="G323" s="92">
        <f t="shared" si="130"/>
        <v>3606801.7241379311</v>
      </c>
      <c r="H323" s="92">
        <f t="shared" si="130"/>
        <v>2982673.4896551729</v>
      </c>
      <c r="I323" s="108">
        <f>'NOGAL '!$B323+'NOGAL '!$C323+'NOGAL '!$D323+'NOGAL '!$E323+'NOGAL '!$F323+'NOGAL '!$G323+'NOGAL '!$H323</f>
        <v>17623771.151724141</v>
      </c>
      <c r="J323" s="300">
        <f>'NOGAL '!$I323/7</f>
        <v>2517681.5931034489</v>
      </c>
    </row>
    <row r="324" spans="1:10" s="71" customFormat="1" x14ac:dyDescent="0.25">
      <c r="A324" s="77" t="s">
        <v>26</v>
      </c>
      <c r="B324" s="255">
        <f t="shared" ref="B324:H324" si="131">B328*B317</f>
        <v>70577.875862068977</v>
      </c>
      <c r="C324" s="133">
        <f t="shared" si="131"/>
        <v>33051.846551724142</v>
      </c>
      <c r="D324" s="133">
        <f t="shared" si="131"/>
        <v>78084.737931034499</v>
      </c>
      <c r="E324" s="299">
        <f t="shared" si="131"/>
        <v>134610.83448275863</v>
      </c>
      <c r="F324" s="134">
        <f t="shared" si="131"/>
        <v>205368.7482758621</v>
      </c>
      <c r="G324" s="92">
        <f t="shared" si="131"/>
        <v>144272.06896551725</v>
      </c>
      <c r="H324" s="92">
        <f t="shared" si="131"/>
        <v>207130.10344827591</v>
      </c>
      <c r="I324" s="108">
        <f>'NOGAL '!$B324+'NOGAL '!$C324+'NOGAL '!$D324+'NOGAL '!$E324+'NOGAL '!$F324+'NOGAL '!$G324+'NOGAL '!$H324</f>
        <v>873096.21551724151</v>
      </c>
      <c r="J324" s="300">
        <f>'NOGAL '!$I324/7</f>
        <v>124728.03078817736</v>
      </c>
    </row>
    <row r="325" spans="1:10" s="71" customFormat="1" x14ac:dyDescent="0.25">
      <c r="A325" s="77" t="s">
        <v>27</v>
      </c>
      <c r="B325" s="255">
        <f t="shared" ref="B325:H325" si="132">B328*B318</f>
        <v>635200.88275862078</v>
      </c>
      <c r="C325" s="133">
        <f t="shared" si="132"/>
        <v>594933.23793103453</v>
      </c>
      <c r="D325" s="133">
        <f t="shared" si="132"/>
        <v>937016.85517241387</v>
      </c>
      <c r="E325" s="299">
        <f t="shared" si="132"/>
        <v>504790.62931034481</v>
      </c>
      <c r="F325" s="134">
        <f t="shared" si="132"/>
        <v>205368.7482758621</v>
      </c>
      <c r="G325" s="92">
        <f t="shared" si="132"/>
        <v>432816.20689655171</v>
      </c>
      <c r="H325" s="92">
        <f t="shared" si="132"/>
        <v>372834.18620689661</v>
      </c>
      <c r="I325" s="108">
        <f>'NOGAL '!$B325+'NOGAL '!$C325+'NOGAL '!$D325+'NOGAL '!$E325+'NOGAL '!$F325+'NOGAL '!$G325+'NOGAL '!$H325</f>
        <v>3682960.7465517246</v>
      </c>
      <c r="J325" s="300">
        <f>'NOGAL '!$I325/7</f>
        <v>526137.24950738926</v>
      </c>
    </row>
    <row r="326" spans="1:10" s="71" customFormat="1" x14ac:dyDescent="0.25">
      <c r="A326" s="77" t="s">
        <v>28</v>
      </c>
      <c r="B326" s="255">
        <f t="shared" ref="B326:H326" si="133">B328*B319</f>
        <v>282311.50344827591</v>
      </c>
      <c r="C326" s="133">
        <f t="shared" si="133"/>
        <v>264414.77241379314</v>
      </c>
      <c r="D326" s="133">
        <f t="shared" si="133"/>
        <v>351381.3206896552</v>
      </c>
      <c r="E326" s="299">
        <f t="shared" si="133"/>
        <v>336527.08620689658</v>
      </c>
      <c r="F326" s="134">
        <f t="shared" si="133"/>
        <v>168028.97586206897</v>
      </c>
      <c r="G326" s="92">
        <f t="shared" si="133"/>
        <v>625178.96551724139</v>
      </c>
      <c r="H326" s="92">
        <f t="shared" si="133"/>
        <v>579964.28965517262</v>
      </c>
      <c r="I326" s="108">
        <f>'NOGAL '!$B326+'NOGAL '!$C326+'NOGAL '!$D326+'NOGAL '!$E326+'NOGAL '!$F326+'NOGAL '!$G326+'NOGAL '!$H326</f>
        <v>2607806.9137931042</v>
      </c>
      <c r="J326" s="300">
        <f>'NOGAL '!$I326/7</f>
        <v>372543.84482758632</v>
      </c>
    </row>
    <row r="327" spans="1:10" s="71" customFormat="1" x14ac:dyDescent="0.25">
      <c r="A327" s="77" t="s">
        <v>29</v>
      </c>
      <c r="B327" s="255">
        <f t="shared" ref="B327:H327" si="134">B328*B320</f>
        <v>0</v>
      </c>
      <c r="C327" s="133">
        <f t="shared" si="134"/>
        <v>0</v>
      </c>
      <c r="D327" s="133">
        <f t="shared" si="134"/>
        <v>0</v>
      </c>
      <c r="E327" s="299">
        <f t="shared" si="134"/>
        <v>134610.83448275863</v>
      </c>
      <c r="F327" s="134">
        <f t="shared" si="134"/>
        <v>0</v>
      </c>
      <c r="G327" s="92">
        <f t="shared" si="134"/>
        <v>0</v>
      </c>
      <c r="H327" s="92">
        <f t="shared" si="134"/>
        <v>0</v>
      </c>
      <c r="I327" s="108">
        <f>'NOGAL '!$B327+'NOGAL '!$C327+'NOGAL '!$D327+'NOGAL '!$E327+'NOGAL '!$F327+'NOGAL '!$G327+'NOGAL '!$H327</f>
        <v>134610.83448275863</v>
      </c>
      <c r="J327" s="300">
        <f>'NOGAL '!$I327/7</f>
        <v>19230.119211822661</v>
      </c>
    </row>
    <row r="328" spans="1:10" s="71" customFormat="1" x14ac:dyDescent="0.25">
      <c r="A328" s="82" t="s">
        <v>30</v>
      </c>
      <c r="B328" s="410">
        <f>(4303500/1.16)-B329</f>
        <v>3528893.7931034486</v>
      </c>
      <c r="C328" s="136">
        <f>(4011500/1.16)-C329</f>
        <v>3305184.6551724141</v>
      </c>
      <c r="D328" s="136">
        <f>(4713900/1.16)-D329</f>
        <v>3904236.8965517245</v>
      </c>
      <c r="E328" s="398">
        <f>(4081200/1.16)-E329</f>
        <v>3365270.8620689656</v>
      </c>
      <c r="F328" s="137">
        <f>(2250700/1.16)-F329</f>
        <v>1866988.6206896554</v>
      </c>
      <c r="G328" s="91">
        <f>(5828500/1.16)-G329</f>
        <v>4809068.9655172415</v>
      </c>
      <c r="H328" s="91">
        <f>(5035400/1.16)-H329</f>
        <v>4142602.0689655179</v>
      </c>
      <c r="I328" s="111">
        <f>SUM(I323:I327)</f>
        <v>24922245.862068973</v>
      </c>
      <c r="J328" s="361">
        <f>'NOGAL '!$I328/7</f>
        <v>3560320.8374384246</v>
      </c>
    </row>
    <row r="329" spans="1:10" s="71" customFormat="1" x14ac:dyDescent="0.25">
      <c r="A329" s="77" t="s">
        <v>31</v>
      </c>
      <c r="B329" s="263">
        <f>2155*B310</f>
        <v>181020</v>
      </c>
      <c r="C329" s="139">
        <f>2155*C310</f>
        <v>153005</v>
      </c>
      <c r="D329" s="139">
        <f>2155*D310</f>
        <v>159470</v>
      </c>
      <c r="E329" s="113">
        <f>2155*E310</f>
        <v>153005</v>
      </c>
      <c r="F329" s="112">
        <f>F310*2155</f>
        <v>73270</v>
      </c>
      <c r="G329" s="94">
        <f>2155*G310</f>
        <v>215500</v>
      </c>
      <c r="H329" s="94">
        <f>2155*H310</f>
        <v>198260</v>
      </c>
      <c r="I329" s="109">
        <f>2155*I310</f>
        <v>1133530</v>
      </c>
      <c r="J329" s="302">
        <f>2155*J310</f>
        <v>161932.85714285713</v>
      </c>
    </row>
    <row r="330" spans="1:10" s="71" customFormat="1" x14ac:dyDescent="0.25">
      <c r="A330" s="83" t="s">
        <v>32</v>
      </c>
      <c r="B330" s="411">
        <f t="shared" ref="B330:J330" si="135">B328+B329</f>
        <v>3709913.7931034486</v>
      </c>
      <c r="C330" s="40">
        <f t="shared" si="135"/>
        <v>3458189.6551724141</v>
      </c>
      <c r="D330" s="40">
        <f t="shared" si="135"/>
        <v>4063706.8965517245</v>
      </c>
      <c r="E330" s="399">
        <f t="shared" si="135"/>
        <v>3518275.8620689656</v>
      </c>
      <c r="F330" s="140">
        <f t="shared" si="135"/>
        <v>1940258.6206896554</v>
      </c>
      <c r="G330" s="39">
        <f t="shared" si="135"/>
        <v>5024568.9655172415</v>
      </c>
      <c r="H330" s="39">
        <f t="shared" si="135"/>
        <v>4340862.0689655179</v>
      </c>
      <c r="I330" s="412">
        <f t="shared" si="135"/>
        <v>26055775.862068973</v>
      </c>
      <c r="J330" s="364">
        <f t="shared" si="135"/>
        <v>3722253.6945812819</v>
      </c>
    </row>
    <row r="331" spans="1:10" s="71" customFormat="1" x14ac:dyDescent="0.25">
      <c r="A331" s="77" t="s">
        <v>33</v>
      </c>
      <c r="B331" s="413">
        <f t="shared" ref="B331:J331" si="136">B330*16%</f>
        <v>593586.20689655177</v>
      </c>
      <c r="C331" s="42">
        <f t="shared" si="136"/>
        <v>553310.34482758632</v>
      </c>
      <c r="D331" s="42">
        <f t="shared" si="136"/>
        <v>650193.10344827594</v>
      </c>
      <c r="E331" s="400">
        <f t="shared" si="136"/>
        <v>562924.13793103455</v>
      </c>
      <c r="F331" s="141">
        <f t="shared" si="136"/>
        <v>310441.37931034487</v>
      </c>
      <c r="G331" s="41">
        <f t="shared" si="136"/>
        <v>803931.03448275861</v>
      </c>
      <c r="H331" s="41">
        <f t="shared" si="136"/>
        <v>694537.9310344829</v>
      </c>
      <c r="I331" s="414">
        <f t="shared" si="136"/>
        <v>4168924.1379310358</v>
      </c>
      <c r="J331" s="415">
        <f t="shared" si="136"/>
        <v>595560.5911330051</v>
      </c>
    </row>
    <row r="332" spans="1:10" s="71" customFormat="1" x14ac:dyDescent="0.25">
      <c r="A332" s="142" t="s">
        <v>34</v>
      </c>
      <c r="B332" s="438">
        <f t="shared" ref="B332:H332" si="137">B330+B331</f>
        <v>4303500</v>
      </c>
      <c r="C332" s="143">
        <f t="shared" si="137"/>
        <v>4011500.0000000005</v>
      </c>
      <c r="D332" s="143">
        <f t="shared" si="137"/>
        <v>4713900</v>
      </c>
      <c r="E332" s="439">
        <f t="shared" si="137"/>
        <v>4081200</v>
      </c>
      <c r="F332" s="145">
        <f t="shared" si="137"/>
        <v>2250700.0000000005</v>
      </c>
      <c r="G332" s="144">
        <f t="shared" si="137"/>
        <v>5828500</v>
      </c>
      <c r="H332" s="144">
        <f t="shared" si="137"/>
        <v>5035400.0000000009</v>
      </c>
      <c r="I332" s="440">
        <f>'NOGAL '!$B332+'NOGAL '!$C332+'NOGAL '!$D332+'NOGAL '!$E332+'NOGAL '!$F332+'NOGAL '!$G332+'NOGAL '!$H332</f>
        <v>30224700</v>
      </c>
      <c r="J332" s="441">
        <f>'NOGAL '!$I332/7</f>
        <v>4317814.2857142854</v>
      </c>
    </row>
    <row r="333" spans="1:10" s="71" customFormat="1" x14ac:dyDescent="0.25">
      <c r="A333" s="69"/>
      <c r="B333" s="424"/>
      <c r="C333" s="424"/>
      <c r="D333" s="424"/>
      <c r="E333" s="424"/>
      <c r="F333" s="424"/>
      <c r="G333" s="424"/>
      <c r="H333" s="424"/>
      <c r="I333" s="424"/>
      <c r="J333" s="424"/>
    </row>
    <row r="334" spans="1:10" s="71" customFormat="1" ht="15.75" thickBot="1" x14ac:dyDescent="0.3">
      <c r="A334" s="69"/>
      <c r="B334" s="424"/>
      <c r="C334" s="424"/>
      <c r="D334" s="424"/>
      <c r="E334" s="424"/>
      <c r="F334" s="424"/>
      <c r="G334" s="424"/>
      <c r="H334" s="424"/>
      <c r="I334" s="424"/>
      <c r="J334" s="424"/>
    </row>
    <row r="335" spans="1:10" s="71" customFormat="1" ht="26.25" x14ac:dyDescent="0.25">
      <c r="A335" s="85"/>
      <c r="B335" s="1002" t="s">
        <v>130</v>
      </c>
      <c r="C335" s="1002"/>
      <c r="D335" s="1002"/>
      <c r="E335" s="1002"/>
      <c r="F335" s="1002"/>
      <c r="G335" s="1002"/>
      <c r="H335" s="1002"/>
      <c r="I335" s="1002"/>
      <c r="J335" s="85"/>
    </row>
    <row r="336" spans="1:10" s="71" customFormat="1" ht="15.75" x14ac:dyDescent="0.25">
      <c r="A336" s="72" t="s">
        <v>2</v>
      </c>
      <c r="B336" s="429" t="s">
        <v>177</v>
      </c>
      <c r="C336" s="51" t="s">
        <v>178</v>
      </c>
      <c r="D336" s="349" t="s">
        <v>179</v>
      </c>
      <c r="E336" s="51" t="s">
        <v>180</v>
      </c>
      <c r="F336" s="51" t="s">
        <v>181</v>
      </c>
      <c r="G336" s="349" t="s">
        <v>182</v>
      </c>
      <c r="H336" s="349" t="s">
        <v>183</v>
      </c>
      <c r="I336" s="153" t="s">
        <v>10</v>
      </c>
      <c r="J336" s="421" t="s">
        <v>77</v>
      </c>
    </row>
    <row r="337" spans="1:12" s="71" customFormat="1" x14ac:dyDescent="0.25">
      <c r="A337" s="430" t="s">
        <v>11</v>
      </c>
      <c r="B337" s="431">
        <v>144</v>
      </c>
      <c r="C337" s="432">
        <v>133</v>
      </c>
      <c r="D337" s="433">
        <v>75</v>
      </c>
      <c r="E337" s="434">
        <v>138</v>
      </c>
      <c r="F337" s="435">
        <v>183</v>
      </c>
      <c r="G337" s="436">
        <v>176</v>
      </c>
      <c r="H337" s="434">
        <v>244</v>
      </c>
      <c r="I337" s="435">
        <f>SUM(B337:H337)</f>
        <v>1093</v>
      </c>
      <c r="J337" s="437">
        <f>'NOGAL '!$I337/7</f>
        <v>156.14285714285714</v>
      </c>
      <c r="L337" s="71">
        <v>51</v>
      </c>
    </row>
    <row r="338" spans="1:12" s="71" customFormat="1" x14ac:dyDescent="0.25">
      <c r="A338" s="77" t="s">
        <v>12</v>
      </c>
      <c r="B338" s="233">
        <v>79</v>
      </c>
      <c r="C338" s="13">
        <v>75</v>
      </c>
      <c r="D338" s="13">
        <v>9</v>
      </c>
      <c r="E338" s="395">
        <v>79</v>
      </c>
      <c r="F338" s="125">
        <v>113</v>
      </c>
      <c r="G338" s="11">
        <v>101</v>
      </c>
      <c r="H338" s="11">
        <v>153</v>
      </c>
      <c r="I338" s="403">
        <f>B338+C338+D338+E338+F338+G338+H338</f>
        <v>609</v>
      </c>
      <c r="J338" s="292">
        <f>'NOGAL '!$I338/7</f>
        <v>87</v>
      </c>
      <c r="L338" s="71">
        <v>17</v>
      </c>
    </row>
    <row r="339" spans="1:12" s="71" customFormat="1" x14ac:dyDescent="0.25">
      <c r="A339" s="77" t="s">
        <v>13</v>
      </c>
      <c r="B339" s="233">
        <v>9</v>
      </c>
      <c r="C339" s="13">
        <v>3</v>
      </c>
      <c r="D339" s="13">
        <v>1</v>
      </c>
      <c r="E339" s="395">
        <v>3</v>
      </c>
      <c r="F339" s="125">
        <v>4</v>
      </c>
      <c r="G339" s="11">
        <v>6</v>
      </c>
      <c r="H339" s="11">
        <v>15</v>
      </c>
      <c r="I339" s="403">
        <f>B339+C339+D339+E339+F339+G339+H339</f>
        <v>41</v>
      </c>
      <c r="J339" s="292">
        <f>C339+D339+E339+F339+G339+H339+I339</f>
        <v>73</v>
      </c>
      <c r="L339" s="71">
        <v>7</v>
      </c>
    </row>
    <row r="340" spans="1:12" s="71" customFormat="1" x14ac:dyDescent="0.25">
      <c r="A340" s="77" t="s">
        <v>14</v>
      </c>
      <c r="B340" s="233">
        <v>27</v>
      </c>
      <c r="C340" s="13">
        <v>20</v>
      </c>
      <c r="D340" s="13">
        <v>24</v>
      </c>
      <c r="E340" s="395">
        <v>45</v>
      </c>
      <c r="F340" s="125">
        <v>28</v>
      </c>
      <c r="G340" s="11">
        <v>17</v>
      </c>
      <c r="H340" s="11">
        <v>22</v>
      </c>
      <c r="I340" s="403">
        <f>B340+C340+D340+E340+F340+G340+H340</f>
        <v>183</v>
      </c>
      <c r="J340" s="292">
        <f>'NOGAL '!$I340/7</f>
        <v>26.142857142857142</v>
      </c>
      <c r="L340" s="71">
        <f>SUM(L337:L339)</f>
        <v>75</v>
      </c>
    </row>
    <row r="341" spans="1:12" s="71" customFormat="1" x14ac:dyDescent="0.25">
      <c r="A341" s="77" t="s">
        <v>15</v>
      </c>
      <c r="B341" s="233">
        <v>10</v>
      </c>
      <c r="C341" s="13">
        <v>10</v>
      </c>
      <c r="D341" s="13">
        <v>14</v>
      </c>
      <c r="E341" s="395">
        <v>14</v>
      </c>
      <c r="F341" s="125">
        <v>10</v>
      </c>
      <c r="G341" s="11">
        <v>13</v>
      </c>
      <c r="H341" s="11">
        <v>24</v>
      </c>
      <c r="I341" s="403">
        <f>B341+C341+D341+E341+F341+G341+H341</f>
        <v>95</v>
      </c>
      <c r="J341" s="292">
        <f>'NOGAL '!$I341/7</f>
        <v>13.571428571428571</v>
      </c>
    </row>
    <row r="342" spans="1:12" s="71" customFormat="1" x14ac:dyDescent="0.25">
      <c r="A342" s="77" t="s">
        <v>16</v>
      </c>
      <c r="B342" s="233">
        <v>0</v>
      </c>
      <c r="C342" s="13">
        <v>0</v>
      </c>
      <c r="D342" s="13">
        <v>2</v>
      </c>
      <c r="E342" s="395">
        <v>0</v>
      </c>
      <c r="F342" s="125">
        <v>0</v>
      </c>
      <c r="G342" s="11">
        <v>0</v>
      </c>
      <c r="H342" s="11">
        <v>0</v>
      </c>
      <c r="I342" s="403">
        <f>B342+C342+D342+E342+F342+G342+H342</f>
        <v>2</v>
      </c>
      <c r="J342" s="292">
        <f>'NOGAL '!$I342/7</f>
        <v>0.2857142857142857</v>
      </c>
    </row>
    <row r="343" spans="1:12" s="71" customFormat="1" x14ac:dyDescent="0.25">
      <c r="A343" s="79" t="s">
        <v>17</v>
      </c>
      <c r="B343" s="102">
        <f>SUM(B338:B342)</f>
        <v>125</v>
      </c>
      <c r="C343" s="79">
        <f t="shared" ref="C343:H343" si="138">SUM(C338:C342)</f>
        <v>108</v>
      </c>
      <c r="D343" s="79">
        <f t="shared" si="138"/>
        <v>50</v>
      </c>
      <c r="E343" s="248">
        <f t="shared" si="138"/>
        <v>141</v>
      </c>
      <c r="F343" s="15">
        <f t="shared" si="138"/>
        <v>155</v>
      </c>
      <c r="G343" s="79">
        <f t="shared" si="138"/>
        <v>137</v>
      </c>
      <c r="H343" s="79">
        <f t="shared" si="138"/>
        <v>214</v>
      </c>
      <c r="I343" s="404">
        <f>SUM(I338:I342)</f>
        <v>930</v>
      </c>
      <c r="J343" s="405">
        <f>'NOGAL '!$I343/7</f>
        <v>132.85714285714286</v>
      </c>
    </row>
    <row r="344" spans="1:12" s="71" customFormat="1" x14ac:dyDescent="0.25">
      <c r="A344" s="77" t="s">
        <v>18</v>
      </c>
      <c r="B344" s="406">
        <v>0.72</v>
      </c>
      <c r="C344" s="19">
        <v>0.75</v>
      </c>
      <c r="D344" s="19">
        <v>0.15</v>
      </c>
      <c r="E344" s="18">
        <v>0.63</v>
      </c>
      <c r="F344" s="18">
        <v>0.78</v>
      </c>
      <c r="G344" s="18">
        <v>0.81</v>
      </c>
      <c r="H344" s="18">
        <v>0.77</v>
      </c>
      <c r="I344" s="105">
        <f>I351/I356</f>
        <v>0.71913397734810236</v>
      </c>
      <c r="J344" s="297">
        <f>J351/J356</f>
        <v>0.71913397734810236</v>
      </c>
    </row>
    <row r="345" spans="1:12" s="71" customFormat="1" x14ac:dyDescent="0.25">
      <c r="A345" s="77" t="s">
        <v>19</v>
      </c>
      <c r="B345" s="406">
        <v>0.08</v>
      </c>
      <c r="C345" s="19">
        <v>0.02</v>
      </c>
      <c r="D345" s="19">
        <v>0.03</v>
      </c>
      <c r="E345" s="18">
        <v>0.03</v>
      </c>
      <c r="F345" s="18">
        <v>0.02</v>
      </c>
      <c r="G345" s="18">
        <v>0.04</v>
      </c>
      <c r="H345" s="18">
        <v>0.06</v>
      </c>
      <c r="I345" s="105">
        <f>I352/I356</f>
        <v>4.1940471494143039E-2</v>
      </c>
      <c r="J345" s="297">
        <f>J352/J356</f>
        <v>4.1940471494143039E-2</v>
      </c>
    </row>
    <row r="346" spans="1:12" s="71" customFormat="1" x14ac:dyDescent="0.25">
      <c r="A346" s="77" t="s">
        <v>20</v>
      </c>
      <c r="B346" s="406">
        <v>0.13</v>
      </c>
      <c r="C346" s="19">
        <v>0.14000000000000001</v>
      </c>
      <c r="D346" s="19">
        <v>0.32</v>
      </c>
      <c r="E346" s="18">
        <v>0.27</v>
      </c>
      <c r="F346" s="18">
        <v>0.15</v>
      </c>
      <c r="G346" s="18">
        <v>0.08</v>
      </c>
      <c r="H346" s="18">
        <v>7.0000000000000007E-2</v>
      </c>
      <c r="I346" s="105">
        <f>I353/I356</f>
        <v>0.13888237717702095</v>
      </c>
      <c r="J346" s="297">
        <f>J353/J356</f>
        <v>0.13888237717702098</v>
      </c>
    </row>
    <row r="347" spans="1:12" s="71" customFormat="1" x14ac:dyDescent="0.25">
      <c r="A347" s="77" t="s">
        <v>21</v>
      </c>
      <c r="B347" s="406">
        <v>7.0000000000000007E-2</v>
      </c>
      <c r="C347" s="19">
        <v>0.09</v>
      </c>
      <c r="D347" s="19">
        <v>0.22</v>
      </c>
      <c r="E347" s="18">
        <v>7.0000000000000007E-2</v>
      </c>
      <c r="F347" s="18">
        <v>0.05</v>
      </c>
      <c r="G347" s="18">
        <v>7.0000000000000007E-2</v>
      </c>
      <c r="H347" s="18">
        <v>0.1</v>
      </c>
      <c r="I347" s="105">
        <f>I354/I356</f>
        <v>8.4313616747554845E-2</v>
      </c>
      <c r="J347" s="297">
        <f>J354/J356</f>
        <v>8.4313616747554845E-2</v>
      </c>
    </row>
    <row r="348" spans="1:12" s="71" customFormat="1" x14ac:dyDescent="0.25">
      <c r="A348" s="77" t="s">
        <v>22</v>
      </c>
      <c r="B348" s="406">
        <v>0</v>
      </c>
      <c r="C348" s="19">
        <v>0</v>
      </c>
      <c r="D348" s="19">
        <v>0.28000000000000003</v>
      </c>
      <c r="E348" s="18">
        <v>0</v>
      </c>
      <c r="F348" s="18">
        <v>0</v>
      </c>
      <c r="G348" s="18">
        <v>0</v>
      </c>
      <c r="H348" s="18">
        <v>0</v>
      </c>
      <c r="I348" s="105">
        <f>I355/I356</f>
        <v>1.5729557233178697E-2</v>
      </c>
      <c r="J348" s="297">
        <f>J355/J356</f>
        <v>1.5729557233178697E-2</v>
      </c>
    </row>
    <row r="349" spans="1:12" s="71" customFormat="1" x14ac:dyDescent="0.25">
      <c r="A349" s="81" t="s">
        <v>23</v>
      </c>
      <c r="B349" s="409">
        <f t="shared" ref="B349:J349" si="139">B360/B343</f>
        <v>33221.600000000006</v>
      </c>
      <c r="C349" s="131">
        <f t="shared" si="139"/>
        <v>37136.111111111117</v>
      </c>
      <c r="D349" s="131">
        <f t="shared" si="139"/>
        <v>36932</v>
      </c>
      <c r="E349" s="397">
        <f t="shared" si="139"/>
        <v>27839.716312056742</v>
      </c>
      <c r="F349" s="132">
        <f t="shared" si="139"/>
        <v>40220</v>
      </c>
      <c r="G349" s="130">
        <f t="shared" si="139"/>
        <v>41242.335766423363</v>
      </c>
      <c r="H349" s="130">
        <f t="shared" si="139"/>
        <v>38192.990654205612</v>
      </c>
      <c r="I349" s="359">
        <f t="shared" si="139"/>
        <v>36551.612903225803</v>
      </c>
      <c r="J349" s="314">
        <f t="shared" si="139"/>
        <v>36551.612903225803</v>
      </c>
    </row>
    <row r="350" spans="1:12" s="71" customFormat="1" x14ac:dyDescent="0.25">
      <c r="A350" s="81" t="s">
        <v>24</v>
      </c>
      <c r="B350" s="409">
        <f t="shared" ref="B350:J350" si="140">B360/B337</f>
        <v>28838.194444444449</v>
      </c>
      <c r="C350" s="131">
        <f t="shared" si="140"/>
        <v>30155.639097744366</v>
      </c>
      <c r="D350" s="131">
        <f t="shared" si="140"/>
        <v>24621.333333333332</v>
      </c>
      <c r="E350" s="397">
        <f t="shared" si="140"/>
        <v>28444.927536231888</v>
      </c>
      <c r="F350" s="132">
        <f t="shared" si="140"/>
        <v>34066.120218579235</v>
      </c>
      <c r="G350" s="130">
        <f t="shared" si="140"/>
        <v>32103.409090909096</v>
      </c>
      <c r="H350" s="130">
        <f t="shared" si="140"/>
        <v>33497.131147540989</v>
      </c>
      <c r="I350" s="359">
        <f t="shared" si="140"/>
        <v>31100.64043915828</v>
      </c>
      <c r="J350" s="314">
        <f t="shared" si="140"/>
        <v>31100.64043915828</v>
      </c>
    </row>
    <row r="351" spans="1:12" s="71" customFormat="1" x14ac:dyDescent="0.25">
      <c r="A351" s="77" t="s">
        <v>25</v>
      </c>
      <c r="B351" s="255">
        <f t="shared" ref="B351:H351" si="141">B356*B344</f>
        <v>2454961.5310344831</v>
      </c>
      <c r="C351" s="133">
        <f t="shared" si="141"/>
        <v>2471906.2500000005</v>
      </c>
      <c r="D351" s="133">
        <f t="shared" si="141"/>
        <v>235875.2327586207</v>
      </c>
      <c r="E351" s="299">
        <f t="shared" si="141"/>
        <v>2024643.9258620692</v>
      </c>
      <c r="F351" s="134">
        <f t="shared" si="141"/>
        <v>4001953.1275862074</v>
      </c>
      <c r="G351" s="92">
        <f t="shared" si="141"/>
        <v>3769097.72586207</v>
      </c>
      <c r="H351" s="92">
        <f t="shared" si="141"/>
        <v>5171499.6224137936</v>
      </c>
      <c r="I351" s="108">
        <f>'NOGAL '!$B351+'NOGAL '!$C351+'NOGAL '!$D351+'NOGAL '!$E351+'NOGAL '!$F351+'NOGAL '!$G351+'NOGAL '!$H351</f>
        <v>20129937.415517248</v>
      </c>
      <c r="J351" s="300">
        <f>'NOGAL '!$I351/7</f>
        <v>2875705.3450738927</v>
      </c>
    </row>
    <row r="352" spans="1:12" s="71" customFormat="1" x14ac:dyDescent="0.25">
      <c r="A352" s="77" t="s">
        <v>26</v>
      </c>
      <c r="B352" s="255">
        <f t="shared" ref="B352:H352" si="142">B356*B345</f>
        <v>272773.50344827591</v>
      </c>
      <c r="C352" s="133">
        <f t="shared" si="142"/>
        <v>65917.500000000015</v>
      </c>
      <c r="D352" s="133">
        <f t="shared" si="142"/>
        <v>47175.046551724139</v>
      </c>
      <c r="E352" s="299">
        <f t="shared" si="142"/>
        <v>96411.615517241386</v>
      </c>
      <c r="F352" s="134">
        <f t="shared" si="142"/>
        <v>102614.18275862071</v>
      </c>
      <c r="G352" s="92">
        <f t="shared" si="142"/>
        <v>186128.28275862071</v>
      </c>
      <c r="H352" s="92">
        <f t="shared" si="142"/>
        <v>402973.99655172415</v>
      </c>
      <c r="I352" s="108">
        <f>'NOGAL '!$B352+'NOGAL '!$C352+'NOGAL '!$D352+'NOGAL '!$E352+'NOGAL '!$F352+'NOGAL '!$G352+'NOGAL '!$H352</f>
        <v>1173994.1275862069</v>
      </c>
      <c r="J352" s="300">
        <f>'NOGAL '!$I352/7</f>
        <v>167713.44679802956</v>
      </c>
    </row>
    <row r="353" spans="1:12" s="71" customFormat="1" x14ac:dyDescent="0.25">
      <c r="A353" s="77" t="s">
        <v>27</v>
      </c>
      <c r="B353" s="255">
        <f t="shared" ref="B353:H353" si="143">B356*B346</f>
        <v>443256.94310344831</v>
      </c>
      <c r="C353" s="133">
        <f t="shared" si="143"/>
        <v>461422.50000000012</v>
      </c>
      <c r="D353" s="133">
        <f t="shared" si="143"/>
        <v>503200.49655172415</v>
      </c>
      <c r="E353" s="299">
        <f t="shared" si="143"/>
        <v>867704.53965517262</v>
      </c>
      <c r="F353" s="134">
        <f t="shared" si="143"/>
        <v>769606.37068965519</v>
      </c>
      <c r="G353" s="92">
        <f t="shared" si="143"/>
        <v>372256.56551724143</v>
      </c>
      <c r="H353" s="92">
        <f t="shared" si="143"/>
        <v>470136.32931034494</v>
      </c>
      <c r="I353" s="108">
        <f>'NOGAL '!$B353+'NOGAL '!$C353+'NOGAL '!$D353+'NOGAL '!$E353+'NOGAL '!$F353+'NOGAL '!$G353+'NOGAL '!$H353</f>
        <v>3887583.7448275872</v>
      </c>
      <c r="J353" s="300">
        <f>'NOGAL '!$I353/7</f>
        <v>555369.10640394106</v>
      </c>
    </row>
    <row r="354" spans="1:12" s="71" customFormat="1" x14ac:dyDescent="0.25">
      <c r="A354" s="77" t="s">
        <v>28</v>
      </c>
      <c r="B354" s="255">
        <f t="shared" ref="B354:H354" si="144">B356*B347</f>
        <v>238676.81551724143</v>
      </c>
      <c r="C354" s="133">
        <f t="shared" si="144"/>
        <v>296628.75000000006</v>
      </c>
      <c r="D354" s="133">
        <f t="shared" si="144"/>
        <v>345950.34137931035</v>
      </c>
      <c r="E354" s="299">
        <f t="shared" si="144"/>
        <v>224960.43620689661</v>
      </c>
      <c r="F354" s="134">
        <f t="shared" si="144"/>
        <v>256535.45689655177</v>
      </c>
      <c r="G354" s="92">
        <f t="shared" si="144"/>
        <v>325724.49482758628</v>
      </c>
      <c r="H354" s="92">
        <f t="shared" si="144"/>
        <v>671623.32758620707</v>
      </c>
      <c r="I354" s="108">
        <f>'NOGAL '!$B354+'NOGAL '!$C354+'NOGAL '!$D354+'NOGAL '!$E354+'NOGAL '!$F354+'NOGAL '!$G354+'NOGAL '!$H354</f>
        <v>2360099.6224137936</v>
      </c>
      <c r="J354" s="300">
        <f>'NOGAL '!$I354/7</f>
        <v>337157.08891625621</v>
      </c>
    </row>
    <row r="355" spans="1:12" s="71" customFormat="1" x14ac:dyDescent="0.25">
      <c r="A355" s="77" t="s">
        <v>29</v>
      </c>
      <c r="B355" s="255">
        <f t="shared" ref="B355:H355" si="145">B356*B348</f>
        <v>0</v>
      </c>
      <c r="C355" s="133">
        <f t="shared" si="145"/>
        <v>0</v>
      </c>
      <c r="D355" s="133">
        <f t="shared" si="145"/>
        <v>440300.43448275869</v>
      </c>
      <c r="E355" s="299">
        <f t="shared" si="145"/>
        <v>0</v>
      </c>
      <c r="F355" s="134">
        <f t="shared" si="145"/>
        <v>0</v>
      </c>
      <c r="G355" s="92">
        <f t="shared" si="145"/>
        <v>0</v>
      </c>
      <c r="H355" s="92">
        <f t="shared" si="145"/>
        <v>0</v>
      </c>
      <c r="I355" s="108">
        <f>'NOGAL '!$B355+'NOGAL '!$C355+'NOGAL '!$D355+'NOGAL '!$E355+'NOGAL '!$F355+'NOGAL '!$G355+'NOGAL '!$H355</f>
        <v>440300.43448275869</v>
      </c>
      <c r="J355" s="300">
        <f>'NOGAL '!$I355/7</f>
        <v>62900.062068965526</v>
      </c>
    </row>
    <row r="356" spans="1:12" s="71" customFormat="1" x14ac:dyDescent="0.25">
      <c r="A356" s="82" t="s">
        <v>30</v>
      </c>
      <c r="B356" s="410">
        <f>(4152700/1.16)-B357</f>
        <v>3409668.7931034486</v>
      </c>
      <c r="C356" s="136">
        <f>(4010700/1.16)-C357</f>
        <v>3295875.0000000005</v>
      </c>
      <c r="D356" s="136">
        <f>(1846600/1.16)-D357</f>
        <v>1572501.551724138</v>
      </c>
      <c r="E356" s="398">
        <f>(3925400/1.16)-E357</f>
        <v>3213720.5172413797</v>
      </c>
      <c r="F356" s="137">
        <f>(6234100/1.16)-F357</f>
        <v>5130709.1379310349</v>
      </c>
      <c r="G356" s="91">
        <f>(5650200/1.16)-G357</f>
        <v>4653207.0689655179</v>
      </c>
      <c r="H356" s="91">
        <f>(8173300/1.16)-H357</f>
        <v>6716233.2758620698</v>
      </c>
      <c r="I356" s="111">
        <f>SUM(I351:I355)</f>
        <v>27991915.344827596</v>
      </c>
      <c r="J356" s="361">
        <f>'NOGAL '!$I356/7</f>
        <v>3998845.0492610852</v>
      </c>
    </row>
    <row r="357" spans="1:12" s="71" customFormat="1" x14ac:dyDescent="0.25">
      <c r="A357" s="77" t="s">
        <v>31</v>
      </c>
      <c r="B357" s="263">
        <f>2155*B338</f>
        <v>170245</v>
      </c>
      <c r="C357" s="139">
        <f>2155*C338</f>
        <v>161625</v>
      </c>
      <c r="D357" s="139">
        <f>2155*D338</f>
        <v>19395</v>
      </c>
      <c r="E357" s="113">
        <f>2155*E338</f>
        <v>170245</v>
      </c>
      <c r="F357" s="112">
        <f>F338*2155</f>
        <v>243515</v>
      </c>
      <c r="G357" s="94">
        <f>2155*G338</f>
        <v>217655</v>
      </c>
      <c r="H357" s="94">
        <f>2155*H338</f>
        <v>329715</v>
      </c>
      <c r="I357" s="109">
        <f>2155*I338</f>
        <v>1312395</v>
      </c>
      <c r="J357" s="302">
        <f>2155*J338</f>
        <v>187485</v>
      </c>
    </row>
    <row r="358" spans="1:12" s="71" customFormat="1" x14ac:dyDescent="0.25">
      <c r="A358" s="83" t="s">
        <v>32</v>
      </c>
      <c r="B358" s="411">
        <f t="shared" ref="B358:J358" si="146">B356+B357</f>
        <v>3579913.7931034486</v>
      </c>
      <c r="C358" s="40">
        <f t="shared" si="146"/>
        <v>3457500.0000000005</v>
      </c>
      <c r="D358" s="40">
        <f t="shared" si="146"/>
        <v>1591896.551724138</v>
      </c>
      <c r="E358" s="399">
        <f t="shared" si="146"/>
        <v>3383965.5172413797</v>
      </c>
      <c r="F358" s="140">
        <f t="shared" si="146"/>
        <v>5374224.1379310349</v>
      </c>
      <c r="G358" s="39">
        <f t="shared" si="146"/>
        <v>4870862.0689655179</v>
      </c>
      <c r="H358" s="39">
        <f t="shared" si="146"/>
        <v>7045948.2758620698</v>
      </c>
      <c r="I358" s="412">
        <f t="shared" si="146"/>
        <v>29304310.344827596</v>
      </c>
      <c r="J358" s="364">
        <f t="shared" si="146"/>
        <v>4186330.0492610852</v>
      </c>
    </row>
    <row r="359" spans="1:12" s="71" customFormat="1" x14ac:dyDescent="0.25">
      <c r="A359" s="77" t="s">
        <v>33</v>
      </c>
      <c r="B359" s="413">
        <f t="shared" ref="B359:J359" si="147">B358*16%</f>
        <v>572786.20689655177</v>
      </c>
      <c r="C359" s="42">
        <f t="shared" si="147"/>
        <v>553200.00000000012</v>
      </c>
      <c r="D359" s="42">
        <f t="shared" si="147"/>
        <v>254703.44827586209</v>
      </c>
      <c r="E359" s="400">
        <f t="shared" si="147"/>
        <v>541434.48275862075</v>
      </c>
      <c r="F359" s="141">
        <f t="shared" si="147"/>
        <v>859875.86206896557</v>
      </c>
      <c r="G359" s="41">
        <f t="shared" si="147"/>
        <v>779337.9310344829</v>
      </c>
      <c r="H359" s="41">
        <f t="shared" si="147"/>
        <v>1127351.7241379311</v>
      </c>
      <c r="I359" s="414">
        <f t="shared" si="147"/>
        <v>4688689.6551724151</v>
      </c>
      <c r="J359" s="415">
        <f t="shared" si="147"/>
        <v>669812.80788177368</v>
      </c>
    </row>
    <row r="360" spans="1:12" s="71" customFormat="1" x14ac:dyDescent="0.25">
      <c r="A360" s="142" t="s">
        <v>34</v>
      </c>
      <c r="B360" s="438">
        <f t="shared" ref="B360:H360" si="148">B358+B359</f>
        <v>4152700.0000000005</v>
      </c>
      <c r="C360" s="143">
        <f t="shared" si="148"/>
        <v>4010700.0000000005</v>
      </c>
      <c r="D360" s="143">
        <f t="shared" si="148"/>
        <v>1846600</v>
      </c>
      <c r="E360" s="439">
        <f t="shared" si="148"/>
        <v>3925400.0000000005</v>
      </c>
      <c r="F360" s="145">
        <f t="shared" si="148"/>
        <v>6234100</v>
      </c>
      <c r="G360" s="144">
        <f t="shared" si="148"/>
        <v>5650200.0000000009</v>
      </c>
      <c r="H360" s="144">
        <f t="shared" si="148"/>
        <v>8173300.0000000009</v>
      </c>
      <c r="I360" s="440">
        <f>'NOGAL '!$B360+'NOGAL '!$C360+'NOGAL '!$D360+'NOGAL '!$E360+'NOGAL '!$F360+'NOGAL '!$G360+'NOGAL '!$H360</f>
        <v>33993000</v>
      </c>
      <c r="J360" s="441">
        <f>'NOGAL '!$I360/7</f>
        <v>4856142.8571428573</v>
      </c>
    </row>
    <row r="361" spans="1:12" s="71" customFormat="1" x14ac:dyDescent="0.25">
      <c r="A361" s="69"/>
      <c r="B361" s="424"/>
      <c r="C361" s="424"/>
      <c r="D361" s="424"/>
      <c r="E361" s="424"/>
      <c r="F361" s="424"/>
      <c r="G361" s="424"/>
      <c r="H361" s="424"/>
      <c r="I361" s="424"/>
      <c r="J361" s="424"/>
    </row>
    <row r="362" spans="1:12" s="71" customFormat="1" ht="15.75" thickBot="1" x14ac:dyDescent="0.3">
      <c r="A362" s="69"/>
      <c r="B362" s="424"/>
      <c r="C362" s="424"/>
      <c r="D362" s="424"/>
      <c r="E362" s="424"/>
      <c r="F362" s="424"/>
      <c r="G362" s="424"/>
      <c r="H362" s="424"/>
      <c r="I362" s="424"/>
      <c r="J362" s="424"/>
    </row>
    <row r="363" spans="1:12" s="71" customFormat="1" ht="26.25" x14ac:dyDescent="0.25">
      <c r="A363" s="85"/>
      <c r="B363" s="1002" t="s">
        <v>138</v>
      </c>
      <c r="C363" s="1002"/>
      <c r="D363" s="1002"/>
      <c r="E363" s="1002"/>
      <c r="F363" s="1002"/>
      <c r="G363" s="1002"/>
      <c r="H363" s="1002"/>
      <c r="I363" s="1002"/>
      <c r="J363" s="85"/>
    </row>
    <row r="364" spans="1:12" s="71" customFormat="1" ht="15.75" x14ac:dyDescent="0.25">
      <c r="A364" s="72" t="s">
        <v>2</v>
      </c>
      <c r="B364" s="429" t="s">
        <v>185</v>
      </c>
      <c r="C364" s="51" t="s">
        <v>186</v>
      </c>
      <c r="D364" s="349" t="s">
        <v>187</v>
      </c>
      <c r="E364" s="51" t="s">
        <v>188</v>
      </c>
      <c r="F364" s="51" t="s">
        <v>189</v>
      </c>
      <c r="G364" s="349" t="s">
        <v>190</v>
      </c>
      <c r="H364" s="349" t="s">
        <v>191</v>
      </c>
      <c r="I364" s="153" t="s">
        <v>10</v>
      </c>
      <c r="J364" s="421" t="s">
        <v>77</v>
      </c>
    </row>
    <row r="365" spans="1:12" s="71" customFormat="1" x14ac:dyDescent="0.25">
      <c r="A365" s="430" t="s">
        <v>11</v>
      </c>
      <c r="B365" s="431">
        <v>270</v>
      </c>
      <c r="C365" s="432">
        <v>116</v>
      </c>
      <c r="D365" s="433">
        <v>123</v>
      </c>
      <c r="E365" s="434">
        <v>135</v>
      </c>
      <c r="F365" s="435">
        <v>242</v>
      </c>
      <c r="G365" s="436">
        <v>297</v>
      </c>
      <c r="H365" s="434">
        <v>318</v>
      </c>
      <c r="I365" s="435">
        <f>SUM(B365:H365)</f>
        <v>1501</v>
      </c>
      <c r="J365" s="437">
        <f>'NOGAL '!$I365/7</f>
        <v>214.42857142857142</v>
      </c>
      <c r="L365" s="71">
        <v>181</v>
      </c>
    </row>
    <row r="366" spans="1:12" s="71" customFormat="1" x14ac:dyDescent="0.25">
      <c r="A366" s="77" t="s">
        <v>12</v>
      </c>
      <c r="B366" s="233">
        <v>154</v>
      </c>
      <c r="C366" s="13">
        <v>69</v>
      </c>
      <c r="D366" s="13">
        <v>66</v>
      </c>
      <c r="E366" s="395">
        <v>84</v>
      </c>
      <c r="F366" s="125">
        <v>141</v>
      </c>
      <c r="G366" s="11">
        <v>142</v>
      </c>
      <c r="H366" s="11">
        <v>216</v>
      </c>
      <c r="I366" s="403">
        <f>B366+C366+D366+E366+F366+G366+H366</f>
        <v>872</v>
      </c>
      <c r="J366" s="292">
        <f>'NOGAL '!$I366/7</f>
        <v>124.57142857142857</v>
      </c>
      <c r="L366" s="71">
        <v>105</v>
      </c>
    </row>
    <row r="367" spans="1:12" s="71" customFormat="1" x14ac:dyDescent="0.25">
      <c r="A367" s="77" t="s">
        <v>13</v>
      </c>
      <c r="B367" s="233">
        <v>10</v>
      </c>
      <c r="C367" s="13">
        <v>4</v>
      </c>
      <c r="D367" s="13">
        <v>3</v>
      </c>
      <c r="E367" s="395">
        <v>1</v>
      </c>
      <c r="F367" s="125">
        <v>7</v>
      </c>
      <c r="G367" s="11">
        <v>9</v>
      </c>
      <c r="H367" s="11">
        <v>7</v>
      </c>
      <c r="I367" s="403">
        <f>B367+C367+D367+E367+F367+G367+H367</f>
        <v>41</v>
      </c>
      <c r="J367" s="292">
        <f>C367+D367+E367+F367+G367+H367+I367</f>
        <v>72</v>
      </c>
      <c r="L367" s="71">
        <v>32</v>
      </c>
    </row>
    <row r="368" spans="1:12" s="71" customFormat="1" x14ac:dyDescent="0.25">
      <c r="A368" s="77" t="s">
        <v>14</v>
      </c>
      <c r="B368" s="233">
        <v>23</v>
      </c>
      <c r="C368" s="13">
        <v>41</v>
      </c>
      <c r="D368" s="13">
        <v>31</v>
      </c>
      <c r="E368" s="395">
        <v>12</v>
      </c>
      <c r="F368" s="125">
        <v>36</v>
      </c>
      <c r="G368" s="11">
        <v>54</v>
      </c>
      <c r="H368" s="11">
        <v>28</v>
      </c>
      <c r="I368" s="403">
        <f>B368+C368+D368+E368+F368+G368+H368</f>
        <v>225</v>
      </c>
      <c r="J368" s="292">
        <f>'NOGAL '!$I368/7</f>
        <v>32.142857142857146</v>
      </c>
      <c r="L368" s="71">
        <f>SUM(L365:L367)</f>
        <v>318</v>
      </c>
    </row>
    <row r="369" spans="1:10" s="71" customFormat="1" x14ac:dyDescent="0.25">
      <c r="A369" s="77" t="s">
        <v>15</v>
      </c>
      <c r="B369" s="233">
        <v>28</v>
      </c>
      <c r="C369" s="13">
        <v>5</v>
      </c>
      <c r="D369" s="13">
        <v>11</v>
      </c>
      <c r="E369" s="395">
        <v>11</v>
      </c>
      <c r="F369" s="125">
        <v>8</v>
      </c>
      <c r="G369" s="11">
        <v>14</v>
      </c>
      <c r="H369" s="11">
        <v>17</v>
      </c>
      <c r="I369" s="403">
        <f>B369+C369+D369+E369+F369+G369+H369</f>
        <v>94</v>
      </c>
      <c r="J369" s="292">
        <f>'NOGAL '!$I369/7</f>
        <v>13.428571428571429</v>
      </c>
    </row>
    <row r="370" spans="1:10" s="71" customFormat="1" x14ac:dyDescent="0.25">
      <c r="A370" s="77" t="s">
        <v>16</v>
      </c>
      <c r="B370" s="233">
        <v>1</v>
      </c>
      <c r="C370" s="13">
        <v>0</v>
      </c>
      <c r="D370" s="13">
        <v>1</v>
      </c>
      <c r="E370" s="395">
        <v>0</v>
      </c>
      <c r="F370" s="125">
        <v>0</v>
      </c>
      <c r="G370" s="11">
        <v>2</v>
      </c>
      <c r="H370" s="11">
        <v>0</v>
      </c>
      <c r="I370" s="403">
        <f>B370+C370+D370+E370+F370+G370+H370</f>
        <v>4</v>
      </c>
      <c r="J370" s="292">
        <f>'NOGAL '!$I370/7</f>
        <v>0.5714285714285714</v>
      </c>
    </row>
    <row r="371" spans="1:10" s="71" customFormat="1" x14ac:dyDescent="0.25">
      <c r="A371" s="79" t="s">
        <v>17</v>
      </c>
      <c r="B371" s="102">
        <f>SUM(B366:B370)</f>
        <v>216</v>
      </c>
      <c r="C371" s="79">
        <f t="shared" ref="C371:H371" si="149">SUM(C366:C370)</f>
        <v>119</v>
      </c>
      <c r="D371" s="79">
        <f t="shared" si="149"/>
        <v>112</v>
      </c>
      <c r="E371" s="248">
        <f t="shared" si="149"/>
        <v>108</v>
      </c>
      <c r="F371" s="15">
        <f t="shared" si="149"/>
        <v>192</v>
      </c>
      <c r="G371" s="79">
        <f t="shared" si="149"/>
        <v>221</v>
      </c>
      <c r="H371" s="79">
        <f t="shared" si="149"/>
        <v>268</v>
      </c>
      <c r="I371" s="404">
        <f>SUM(I366:I370)</f>
        <v>1236</v>
      </c>
      <c r="J371" s="405">
        <f>'NOGAL '!$I371/7</f>
        <v>176.57142857142858</v>
      </c>
    </row>
    <row r="372" spans="1:10" s="71" customFormat="1" x14ac:dyDescent="0.25">
      <c r="A372" s="77" t="s">
        <v>18</v>
      </c>
      <c r="B372" s="406">
        <v>0.76</v>
      </c>
      <c r="C372" s="19">
        <v>0.65</v>
      </c>
      <c r="D372" s="19">
        <v>0.67</v>
      </c>
      <c r="E372" s="18">
        <v>0.81</v>
      </c>
      <c r="F372" s="18">
        <v>0.78</v>
      </c>
      <c r="G372" s="18">
        <v>0.68</v>
      </c>
      <c r="H372" s="18">
        <v>0.86</v>
      </c>
      <c r="I372" s="105">
        <f>I379/I384</f>
        <v>0.75809400874517241</v>
      </c>
      <c r="J372" s="297">
        <f>J379/J384</f>
        <v>0.75809400874517252</v>
      </c>
    </row>
    <row r="373" spans="1:10" s="71" customFormat="1" x14ac:dyDescent="0.25">
      <c r="A373" s="77" t="s">
        <v>19</v>
      </c>
      <c r="B373" s="406">
        <v>0.04</v>
      </c>
      <c r="C373" s="19">
        <v>4.2799999999999998E-2</v>
      </c>
      <c r="D373" s="19">
        <v>0.03</v>
      </c>
      <c r="E373" s="18">
        <v>0.01</v>
      </c>
      <c r="F373" s="18">
        <v>0.03</v>
      </c>
      <c r="G373" s="18">
        <v>0.06</v>
      </c>
      <c r="H373" s="18">
        <v>0.02</v>
      </c>
      <c r="I373" s="105">
        <f>I380/I384</f>
        <v>3.4405556181546428E-2</v>
      </c>
      <c r="J373" s="297">
        <f>J380/J384</f>
        <v>3.4405556181546428E-2</v>
      </c>
    </row>
    <row r="374" spans="1:10" s="71" customFormat="1" x14ac:dyDescent="0.25">
      <c r="A374" s="77" t="s">
        <v>20</v>
      </c>
      <c r="B374" s="406">
        <v>0.08</v>
      </c>
      <c r="C374" s="19">
        <v>0.28000000000000003</v>
      </c>
      <c r="D374" s="19">
        <v>0.22</v>
      </c>
      <c r="E374" s="18">
        <v>0.1</v>
      </c>
      <c r="F374" s="18">
        <v>0.15</v>
      </c>
      <c r="G374" s="18">
        <v>0.21</v>
      </c>
      <c r="H374" s="18">
        <v>7.0000000000000007E-2</v>
      </c>
      <c r="I374" s="105">
        <f>I381/I384</f>
        <v>0.14270973756700611</v>
      </c>
      <c r="J374" s="297">
        <f>J381/J384</f>
        <v>0.14270973756700611</v>
      </c>
    </row>
    <row r="375" spans="1:10" s="71" customFormat="1" x14ac:dyDescent="0.25">
      <c r="A375" s="77" t="s">
        <v>21</v>
      </c>
      <c r="B375" s="406">
        <v>0.12</v>
      </c>
      <c r="C375" s="19">
        <v>0.03</v>
      </c>
      <c r="D375" s="19">
        <v>0.06</v>
      </c>
      <c r="E375" s="18">
        <v>0.08</v>
      </c>
      <c r="F375" s="18">
        <v>0.04</v>
      </c>
      <c r="G375" s="18">
        <v>0.04</v>
      </c>
      <c r="H375" s="18">
        <v>0.05</v>
      </c>
      <c r="I375" s="105">
        <f>I382/I384</f>
        <v>6.1183189531696769E-2</v>
      </c>
      <c r="J375" s="297">
        <f>J382/J384</f>
        <v>6.1183189531696769E-2</v>
      </c>
    </row>
    <row r="376" spans="1:10" s="71" customFormat="1" x14ac:dyDescent="0.25">
      <c r="A376" s="77" t="s">
        <v>22</v>
      </c>
      <c r="B376" s="406">
        <v>0</v>
      </c>
      <c r="C376" s="19">
        <v>0</v>
      </c>
      <c r="D376" s="19">
        <v>0.02</v>
      </c>
      <c r="E376" s="18">
        <v>0</v>
      </c>
      <c r="F376" s="18">
        <v>0</v>
      </c>
      <c r="G376" s="18">
        <v>0.01</v>
      </c>
      <c r="H376" s="18">
        <v>0</v>
      </c>
      <c r="I376" s="105">
        <f>I383/I384</f>
        <v>3.6075079745782595E-3</v>
      </c>
      <c r="J376" s="297">
        <f>J383/J384</f>
        <v>3.6075079745782595E-3</v>
      </c>
    </row>
    <row r="377" spans="1:10" s="71" customFormat="1" x14ac:dyDescent="0.25">
      <c r="A377" s="81" t="s">
        <v>23</v>
      </c>
      <c r="B377" s="409">
        <f t="shared" ref="B377:J377" si="150">B388/B371</f>
        <v>39671.296296296299</v>
      </c>
      <c r="C377" s="131">
        <f t="shared" si="150"/>
        <v>29076.470588235294</v>
      </c>
      <c r="D377" s="131">
        <f t="shared" si="150"/>
        <v>35221.428571428572</v>
      </c>
      <c r="E377" s="397">
        <f t="shared" si="150"/>
        <v>39826.851851851854</v>
      </c>
      <c r="F377" s="132">
        <f t="shared" si="150"/>
        <v>40878.125</v>
      </c>
      <c r="G377" s="130">
        <f t="shared" si="150"/>
        <v>41156.108597285071</v>
      </c>
      <c r="H377" s="130">
        <f t="shared" si="150"/>
        <v>37852.611940298513</v>
      </c>
      <c r="I377" s="359">
        <f t="shared" si="150"/>
        <v>38320.226537216826</v>
      </c>
      <c r="J377" s="314">
        <f t="shared" si="150"/>
        <v>38320.226537216826</v>
      </c>
    </row>
    <row r="378" spans="1:10" s="71" customFormat="1" x14ac:dyDescent="0.25">
      <c r="A378" s="81" t="s">
        <v>24</v>
      </c>
      <c r="B378" s="409">
        <f t="shared" ref="B378:J378" si="151">B388/B365</f>
        <v>31737.037037037036</v>
      </c>
      <c r="C378" s="131">
        <f t="shared" si="151"/>
        <v>29828.448275862069</v>
      </c>
      <c r="D378" s="131">
        <f t="shared" si="151"/>
        <v>32071.544715447159</v>
      </c>
      <c r="E378" s="397">
        <f t="shared" si="151"/>
        <v>31861.481481481482</v>
      </c>
      <c r="F378" s="132">
        <f t="shared" si="151"/>
        <v>32432.231404958678</v>
      </c>
      <c r="G378" s="130">
        <f t="shared" si="151"/>
        <v>30624.579124579126</v>
      </c>
      <c r="H378" s="130">
        <f t="shared" si="151"/>
        <v>31900.943396226419</v>
      </c>
      <c r="I378" s="359">
        <f t="shared" si="151"/>
        <v>31554.830113257827</v>
      </c>
      <c r="J378" s="314">
        <f t="shared" si="151"/>
        <v>31554.830113257831</v>
      </c>
    </row>
    <row r="379" spans="1:10" s="71" customFormat="1" x14ac:dyDescent="0.25">
      <c r="A379" s="77" t="s">
        <v>25</v>
      </c>
      <c r="B379" s="255">
        <f t="shared" ref="B379:H379" si="152">B384*B372</f>
        <v>5361951.2137931036</v>
      </c>
      <c r="C379" s="133">
        <f>C384*C372</f>
        <v>1842197.3879310347</v>
      </c>
      <c r="D379" s="133">
        <f t="shared" si="152"/>
        <v>2183167.9689655178</v>
      </c>
      <c r="E379" s="299">
        <f t="shared" si="152"/>
        <v>2856867.7655172418</v>
      </c>
      <c r="F379" s="134">
        <f t="shared" si="152"/>
        <v>5040499.9965517242</v>
      </c>
      <c r="G379" s="92">
        <f t="shared" si="152"/>
        <v>5123758.0275862077</v>
      </c>
      <c r="H379" s="92">
        <f t="shared" si="152"/>
        <v>7120609.6137931049</v>
      </c>
      <c r="I379" s="108">
        <f>'NOGAL '!$B379+'NOGAL '!$C379+'NOGAL '!$D379+'NOGAL '!$E379+'NOGAL '!$F379+'NOGAL '!$G379+'NOGAL '!$H379</f>
        <v>29529051.974137932</v>
      </c>
      <c r="J379" s="300">
        <f>'NOGAL '!$I379/7</f>
        <v>4218435.9963054191</v>
      </c>
    </row>
    <row r="380" spans="1:10" s="71" customFormat="1" x14ac:dyDescent="0.25">
      <c r="A380" s="77" t="s">
        <v>26</v>
      </c>
      <c r="B380" s="255">
        <f t="shared" ref="B380:H380" si="153">B384*B373</f>
        <v>282207.95862068969</v>
      </c>
      <c r="C380" s="133">
        <v>113366</v>
      </c>
      <c r="D380" s="133">
        <f t="shared" si="153"/>
        <v>97753.789655172426</v>
      </c>
      <c r="E380" s="299">
        <f t="shared" si="153"/>
        <v>35269.972413793104</v>
      </c>
      <c r="F380" s="134">
        <f t="shared" si="153"/>
        <v>193865.38448275861</v>
      </c>
      <c r="G380" s="92">
        <f t="shared" si="153"/>
        <v>452096.2965517242</v>
      </c>
      <c r="H380" s="92">
        <f t="shared" si="153"/>
        <v>165595.57241379312</v>
      </c>
      <c r="I380" s="108">
        <f>'NOGAL '!$B380+'NOGAL '!$C380+'NOGAL '!$D380+'NOGAL '!$E380+'NOGAL '!$F380+'NOGAL '!$G380+'NOGAL '!$H380</f>
        <v>1340154.9741379311</v>
      </c>
      <c r="J380" s="300">
        <f>'NOGAL '!$I380/7</f>
        <v>191450.71059113301</v>
      </c>
    </row>
    <row r="381" spans="1:10" s="71" customFormat="1" x14ac:dyDescent="0.25">
      <c r="A381" s="77" t="s">
        <v>27</v>
      </c>
      <c r="B381" s="255">
        <f t="shared" ref="B381:H381" si="154">B384*B374</f>
        <v>564415.91724137939</v>
      </c>
      <c r="C381" s="133">
        <f>C384*C374</f>
        <v>793561.95172413811</v>
      </c>
      <c r="D381" s="133">
        <f t="shared" si="154"/>
        <v>716861.12413793115</v>
      </c>
      <c r="E381" s="299">
        <f t="shared" si="154"/>
        <v>352699.72413793107</v>
      </c>
      <c r="F381" s="134">
        <f t="shared" si="154"/>
        <v>969326.92241379304</v>
      </c>
      <c r="G381" s="92">
        <f t="shared" si="154"/>
        <v>1582337.0379310346</v>
      </c>
      <c r="H381" s="92">
        <f t="shared" si="154"/>
        <v>579584.50344827597</v>
      </c>
      <c r="I381" s="108">
        <f>'NOGAL '!$B381+'NOGAL '!$C381+'NOGAL '!$D381+'NOGAL '!$E381+'NOGAL '!$F381+'NOGAL '!$G381+'NOGAL '!$H381</f>
        <v>5558787.181034483</v>
      </c>
      <c r="J381" s="300">
        <f>'NOGAL '!$I381/7</f>
        <v>794112.45443349762</v>
      </c>
    </row>
    <row r="382" spans="1:10" s="71" customFormat="1" x14ac:dyDescent="0.25">
      <c r="A382" s="77" t="s">
        <v>28</v>
      </c>
      <c r="B382" s="255">
        <f t="shared" ref="B382:H382" si="155">B384*B375</f>
        <v>846623.87586206896</v>
      </c>
      <c r="C382" s="133">
        <f>C384*C375</f>
        <v>85024.494827586212</v>
      </c>
      <c r="D382" s="133">
        <f t="shared" si="155"/>
        <v>195507.57931034485</v>
      </c>
      <c r="E382" s="299">
        <f t="shared" si="155"/>
        <v>282159.77931034483</v>
      </c>
      <c r="F382" s="134">
        <f t="shared" si="155"/>
        <v>258487.17931034483</v>
      </c>
      <c r="G382" s="92">
        <f t="shared" si="155"/>
        <v>301397.53103448282</v>
      </c>
      <c r="H382" s="92">
        <f t="shared" si="155"/>
        <v>413988.93103448284</v>
      </c>
      <c r="I382" s="108">
        <f>'NOGAL '!$B382+'NOGAL '!$C382+'NOGAL '!$D382+'NOGAL '!$E382+'NOGAL '!$F382+'NOGAL '!$G382+'NOGAL '!$H382</f>
        <v>2383189.3706896557</v>
      </c>
      <c r="J382" s="300">
        <f>'NOGAL '!$I382/7</f>
        <v>340455.62438423652</v>
      </c>
    </row>
    <row r="383" spans="1:10" s="71" customFormat="1" x14ac:dyDescent="0.25">
      <c r="A383" s="77" t="s">
        <v>29</v>
      </c>
      <c r="B383" s="255">
        <f t="shared" ref="B383:H383" si="156">B384*B376</f>
        <v>0</v>
      </c>
      <c r="C383" s="133">
        <f>C384*C376</f>
        <v>0</v>
      </c>
      <c r="D383" s="133">
        <f t="shared" si="156"/>
        <v>65169.193103448284</v>
      </c>
      <c r="E383" s="299">
        <f t="shared" si="156"/>
        <v>0</v>
      </c>
      <c r="F383" s="134">
        <f t="shared" si="156"/>
        <v>0</v>
      </c>
      <c r="G383" s="92">
        <f t="shared" si="156"/>
        <v>75349.382758620704</v>
      </c>
      <c r="H383" s="92">
        <f t="shared" si="156"/>
        <v>0</v>
      </c>
      <c r="I383" s="108">
        <f>'NOGAL '!$B383+'NOGAL '!$C383+'NOGAL '!$D383+'NOGAL '!$E383+'NOGAL '!$F383+'NOGAL '!$G383+'NOGAL '!$H383</f>
        <v>140518.57586206897</v>
      </c>
      <c r="J383" s="300">
        <f>'NOGAL '!$I383/7</f>
        <v>20074.082266009853</v>
      </c>
    </row>
    <row r="384" spans="1:10" s="71" customFormat="1" x14ac:dyDescent="0.25">
      <c r="A384" s="82" t="s">
        <v>30</v>
      </c>
      <c r="B384" s="410">
        <f>(8569000/1.16)-B385</f>
        <v>7055198.9655172415</v>
      </c>
      <c r="C384" s="136">
        <f>(3460100/1.16)-C385</f>
        <v>2834149.8275862071</v>
      </c>
      <c r="D384" s="136">
        <f>(3944800/1.16)-D385</f>
        <v>3258459.6551724141</v>
      </c>
      <c r="E384" s="398">
        <f>(4301300/1.16)-E385</f>
        <v>3526997.2413793104</v>
      </c>
      <c r="F384" s="137">
        <f>(7848600/1.16)-F385</f>
        <v>6462179.4827586208</v>
      </c>
      <c r="G384" s="91">
        <f>(9095500/1.16)-G385</f>
        <v>7534938.2758620698</v>
      </c>
      <c r="H384" s="91">
        <f>(10144500/1.16)-H385</f>
        <v>8279778.6206896566</v>
      </c>
      <c r="I384" s="111">
        <f>SUM(I379:I383)</f>
        <v>38951702.075862072</v>
      </c>
      <c r="J384" s="361">
        <f>'NOGAL '!$I384/7</f>
        <v>5564528.8679802958</v>
      </c>
    </row>
    <row r="385" spans="1:10" s="71" customFormat="1" x14ac:dyDescent="0.25">
      <c r="A385" s="77" t="s">
        <v>31</v>
      </c>
      <c r="B385" s="263">
        <f t="shared" ref="B385:H385" si="157">2155*B366</f>
        <v>331870</v>
      </c>
      <c r="C385" s="139">
        <f t="shared" si="157"/>
        <v>148695</v>
      </c>
      <c r="D385" s="139">
        <f t="shared" si="157"/>
        <v>142230</v>
      </c>
      <c r="E385" s="113">
        <f t="shared" si="157"/>
        <v>181020</v>
      </c>
      <c r="F385" s="112">
        <f t="shared" si="157"/>
        <v>303855</v>
      </c>
      <c r="G385" s="94">
        <f t="shared" si="157"/>
        <v>306010</v>
      </c>
      <c r="H385" s="94">
        <f t="shared" si="157"/>
        <v>465480</v>
      </c>
      <c r="I385" s="109">
        <f>2155*I366</f>
        <v>1879160</v>
      </c>
      <c r="J385" s="302">
        <f>2155*J366</f>
        <v>268451.42857142858</v>
      </c>
    </row>
    <row r="386" spans="1:10" s="71" customFormat="1" x14ac:dyDescent="0.25">
      <c r="A386" s="83" t="s">
        <v>32</v>
      </c>
      <c r="B386" s="411">
        <f t="shared" ref="B386:J386" si="158">B384+B385</f>
        <v>7387068.9655172415</v>
      </c>
      <c r="C386" s="40">
        <f>C384+C385</f>
        <v>2982844.8275862071</v>
      </c>
      <c r="D386" s="40">
        <f t="shared" si="158"/>
        <v>3400689.6551724141</v>
      </c>
      <c r="E386" s="399">
        <f t="shared" si="158"/>
        <v>3708017.2413793104</v>
      </c>
      <c r="F386" s="140">
        <f t="shared" si="158"/>
        <v>6766034.4827586208</v>
      </c>
      <c r="G386" s="39">
        <f t="shared" si="158"/>
        <v>7840948.2758620698</v>
      </c>
      <c r="H386" s="39">
        <f t="shared" si="158"/>
        <v>8745258.6206896566</v>
      </c>
      <c r="I386" s="412">
        <f t="shared" si="158"/>
        <v>40830862.075862072</v>
      </c>
      <c r="J386" s="364">
        <f t="shared" si="158"/>
        <v>5832980.296551724</v>
      </c>
    </row>
    <row r="387" spans="1:10" s="71" customFormat="1" x14ac:dyDescent="0.25">
      <c r="A387" s="77" t="s">
        <v>33</v>
      </c>
      <c r="B387" s="413">
        <f t="shared" ref="B387:J387" si="159">B386*16%</f>
        <v>1181931.0344827587</v>
      </c>
      <c r="C387" s="42">
        <f>C386*16%</f>
        <v>477255.17241379316</v>
      </c>
      <c r="D387" s="42">
        <f t="shared" si="159"/>
        <v>544110.34482758632</v>
      </c>
      <c r="E387" s="400">
        <f t="shared" si="159"/>
        <v>593282.75862068962</v>
      </c>
      <c r="F387" s="141">
        <f t="shared" si="159"/>
        <v>1082565.5172413792</v>
      </c>
      <c r="G387" s="41">
        <f t="shared" si="159"/>
        <v>1254551.7241379311</v>
      </c>
      <c r="H387" s="41">
        <f t="shared" si="159"/>
        <v>1399241.379310345</v>
      </c>
      <c r="I387" s="414">
        <f t="shared" si="159"/>
        <v>6532937.9321379317</v>
      </c>
      <c r="J387" s="415">
        <f t="shared" si="159"/>
        <v>933276.84744827589</v>
      </c>
    </row>
    <row r="388" spans="1:10" s="71" customFormat="1" x14ac:dyDescent="0.25">
      <c r="A388" s="142" t="s">
        <v>34</v>
      </c>
      <c r="B388" s="438">
        <f t="shared" ref="B388:H388" si="160">B386+B387</f>
        <v>8569000</v>
      </c>
      <c r="C388" s="143">
        <f>C386+C387</f>
        <v>3460100</v>
      </c>
      <c r="D388" s="143">
        <f t="shared" si="160"/>
        <v>3944800.0000000005</v>
      </c>
      <c r="E388" s="439">
        <f t="shared" si="160"/>
        <v>4301300</v>
      </c>
      <c r="F388" s="145">
        <f t="shared" si="160"/>
        <v>7848600</v>
      </c>
      <c r="G388" s="144">
        <f t="shared" si="160"/>
        <v>9095500</v>
      </c>
      <c r="H388" s="144">
        <f t="shared" si="160"/>
        <v>10144500.000000002</v>
      </c>
      <c r="I388" s="440">
        <f>'NOGAL '!$B388+'NOGAL '!$C388+'NOGAL '!$D388+'NOGAL '!$E388+'NOGAL '!$F388+'NOGAL '!$G388+'NOGAL '!$H388</f>
        <v>47363800</v>
      </c>
      <c r="J388" s="441">
        <f>'NOGAL '!$I388/7</f>
        <v>6766257.1428571427</v>
      </c>
    </row>
    <row r="389" spans="1:10" s="71" customFormat="1" x14ac:dyDescent="0.25">
      <c r="A389" s="69"/>
      <c r="B389" s="424"/>
      <c r="C389" s="424"/>
      <c r="D389" s="424"/>
      <c r="E389" s="424"/>
      <c r="F389" s="424"/>
      <c r="G389" s="424"/>
      <c r="H389" s="424"/>
      <c r="I389" s="424"/>
      <c r="J389" s="424"/>
    </row>
    <row r="390" spans="1:10" s="71" customFormat="1" ht="15.75" thickBot="1" x14ac:dyDescent="0.3">
      <c r="A390" s="69"/>
      <c r="B390" s="424"/>
      <c r="C390" s="424"/>
      <c r="D390" s="424"/>
      <c r="E390" s="424"/>
      <c r="F390" s="424"/>
      <c r="G390" s="424"/>
      <c r="H390" s="424"/>
      <c r="I390" s="424"/>
      <c r="J390" s="424"/>
    </row>
    <row r="391" spans="1:10" s="71" customFormat="1" ht="26.25" x14ac:dyDescent="0.25">
      <c r="A391" s="85"/>
      <c r="B391" s="1002" t="s">
        <v>146</v>
      </c>
      <c r="C391" s="1002"/>
      <c r="D391" s="1002"/>
      <c r="E391" s="1002"/>
      <c r="F391" s="1002"/>
      <c r="G391" s="1002"/>
      <c r="H391" s="1002"/>
      <c r="I391" s="1002"/>
      <c r="J391" s="85"/>
    </row>
    <row r="392" spans="1:10" s="71" customFormat="1" ht="15.75" x14ac:dyDescent="0.25">
      <c r="A392" s="72" t="s">
        <v>2</v>
      </c>
      <c r="B392" s="429" t="s">
        <v>193</v>
      </c>
      <c r="C392" s="51" t="s">
        <v>194</v>
      </c>
      <c r="D392" s="349" t="s">
        <v>195</v>
      </c>
      <c r="E392" s="51" t="s">
        <v>196</v>
      </c>
      <c r="F392" s="51" t="s">
        <v>197</v>
      </c>
      <c r="G392" s="349" t="s">
        <v>198</v>
      </c>
      <c r="H392" s="349" t="s">
        <v>199</v>
      </c>
      <c r="I392" s="153" t="s">
        <v>10</v>
      </c>
      <c r="J392" s="421" t="s">
        <v>77</v>
      </c>
    </row>
    <row r="393" spans="1:10" s="71" customFormat="1" x14ac:dyDescent="0.25">
      <c r="A393" s="430" t="s">
        <v>11</v>
      </c>
      <c r="B393" s="431">
        <v>113</v>
      </c>
      <c r="C393" s="432">
        <v>141</v>
      </c>
      <c r="D393" s="433">
        <v>124</v>
      </c>
      <c r="E393" s="434">
        <v>158</v>
      </c>
      <c r="F393" s="435">
        <v>263</v>
      </c>
      <c r="G393" s="436">
        <v>320</v>
      </c>
      <c r="H393" s="434">
        <v>359</v>
      </c>
      <c r="I393" s="435">
        <f>SUM(B393:H393)</f>
        <v>1478</v>
      </c>
      <c r="J393" s="437">
        <f>'NOGAL '!$I393/7</f>
        <v>211.14285714285714</v>
      </c>
    </row>
    <row r="394" spans="1:10" s="71" customFormat="1" x14ac:dyDescent="0.25">
      <c r="A394" s="77" t="s">
        <v>12</v>
      </c>
      <c r="B394" s="233">
        <v>64</v>
      </c>
      <c r="C394" s="13">
        <v>63</v>
      </c>
      <c r="D394" s="13">
        <v>62</v>
      </c>
      <c r="E394" s="395">
        <v>93</v>
      </c>
      <c r="F394" s="125">
        <v>140</v>
      </c>
      <c r="G394" s="11">
        <v>173</v>
      </c>
      <c r="H394" s="11">
        <v>207</v>
      </c>
      <c r="I394" s="403">
        <f>B394+C394+D394+E394+F394+G394+H394</f>
        <v>802</v>
      </c>
      <c r="J394" s="292">
        <f>'NOGAL '!$I394/7</f>
        <v>114.57142857142857</v>
      </c>
    </row>
    <row r="395" spans="1:10" s="71" customFormat="1" x14ac:dyDescent="0.25">
      <c r="A395" s="77" t="s">
        <v>13</v>
      </c>
      <c r="B395" s="233">
        <v>4</v>
      </c>
      <c r="C395" s="13">
        <v>6</v>
      </c>
      <c r="D395" s="13">
        <v>5</v>
      </c>
      <c r="E395" s="395">
        <v>2</v>
      </c>
      <c r="F395" s="125">
        <v>10</v>
      </c>
      <c r="G395" s="11">
        <v>12</v>
      </c>
      <c r="H395" s="11">
        <v>18</v>
      </c>
      <c r="I395" s="403">
        <f>B395+C395+D395+E395+F395+G395+H395</f>
        <v>57</v>
      </c>
      <c r="J395" s="292">
        <f>C395+D395+E395+F395+G395+H395+I395</f>
        <v>110</v>
      </c>
    </row>
    <row r="396" spans="1:10" s="71" customFormat="1" x14ac:dyDescent="0.25">
      <c r="A396" s="77" t="s">
        <v>14</v>
      </c>
      <c r="B396" s="233">
        <v>26</v>
      </c>
      <c r="C396" s="13">
        <v>27</v>
      </c>
      <c r="D396" s="13">
        <v>18</v>
      </c>
      <c r="E396" s="395">
        <v>31</v>
      </c>
      <c r="F396" s="125">
        <v>45</v>
      </c>
      <c r="G396" s="11">
        <v>42</v>
      </c>
      <c r="H396" s="11">
        <v>29</v>
      </c>
      <c r="I396" s="403">
        <f>B396+C396+D396+E396+F396+G396+H396</f>
        <v>218</v>
      </c>
      <c r="J396" s="292">
        <f>'NOGAL '!$I396/7</f>
        <v>31.142857142857142</v>
      </c>
    </row>
    <row r="397" spans="1:10" s="71" customFormat="1" x14ac:dyDescent="0.25">
      <c r="A397" s="77" t="s">
        <v>15</v>
      </c>
      <c r="B397" s="233">
        <v>15</v>
      </c>
      <c r="C397" s="13">
        <v>4</v>
      </c>
      <c r="D397" s="13">
        <v>12</v>
      </c>
      <c r="E397" s="395">
        <v>12</v>
      </c>
      <c r="F397" s="125">
        <v>18</v>
      </c>
      <c r="G397" s="11">
        <v>31</v>
      </c>
      <c r="H397" s="11">
        <v>24</v>
      </c>
      <c r="I397" s="403">
        <f>B397+C397+D397+E397+F397+G397+H397</f>
        <v>116</v>
      </c>
      <c r="J397" s="292">
        <f>'NOGAL '!$I397/7</f>
        <v>16.571428571428573</v>
      </c>
    </row>
    <row r="398" spans="1:10" s="71" customFormat="1" x14ac:dyDescent="0.25">
      <c r="A398" s="77" t="s">
        <v>16</v>
      </c>
      <c r="B398" s="233">
        <v>1</v>
      </c>
      <c r="C398" s="13">
        <v>1</v>
      </c>
      <c r="D398" s="13">
        <v>0</v>
      </c>
      <c r="E398" s="395">
        <v>0</v>
      </c>
      <c r="F398" s="125">
        <v>1</v>
      </c>
      <c r="G398" s="11">
        <v>0</v>
      </c>
      <c r="H398" s="11">
        <v>0</v>
      </c>
      <c r="I398" s="403">
        <f>B398+C398+D398+E398+F398+G398+H398</f>
        <v>3</v>
      </c>
      <c r="J398" s="292">
        <f>'NOGAL '!$I398/7</f>
        <v>0.42857142857142855</v>
      </c>
    </row>
    <row r="399" spans="1:10" s="71" customFormat="1" x14ac:dyDescent="0.25">
      <c r="A399" s="79" t="s">
        <v>17</v>
      </c>
      <c r="B399" s="102">
        <f>SUM(B394:B398)</f>
        <v>110</v>
      </c>
      <c r="C399" s="79">
        <f t="shared" ref="C399:H399" si="161">SUM(C394:C398)</f>
        <v>101</v>
      </c>
      <c r="D399" s="79">
        <f t="shared" si="161"/>
        <v>97</v>
      </c>
      <c r="E399" s="248">
        <f t="shared" si="161"/>
        <v>138</v>
      </c>
      <c r="F399" s="15">
        <f t="shared" si="161"/>
        <v>214</v>
      </c>
      <c r="G399" s="79">
        <f t="shared" si="161"/>
        <v>258</v>
      </c>
      <c r="H399" s="79">
        <f t="shared" si="161"/>
        <v>278</v>
      </c>
      <c r="I399" s="404">
        <f>SUM(I394:I398)</f>
        <v>1196</v>
      </c>
      <c r="J399" s="405">
        <f>'NOGAL '!$I399/7</f>
        <v>170.85714285714286</v>
      </c>
    </row>
    <row r="400" spans="1:10" s="71" customFormat="1" x14ac:dyDescent="0.25">
      <c r="A400" s="77" t="s">
        <v>18</v>
      </c>
      <c r="B400" s="406">
        <v>0.71</v>
      </c>
      <c r="C400" s="19">
        <v>0.73</v>
      </c>
      <c r="D400" s="19">
        <v>0.71</v>
      </c>
      <c r="E400" s="18">
        <v>0.77</v>
      </c>
      <c r="F400" s="18">
        <v>0.72</v>
      </c>
      <c r="G400" s="18">
        <v>0.75</v>
      </c>
      <c r="H400" s="18">
        <v>0.78</v>
      </c>
      <c r="I400" s="105">
        <f>I407/I412</f>
        <v>0.74531848278512802</v>
      </c>
      <c r="J400" s="297">
        <f>J407/J412</f>
        <v>0.74531848278512802</v>
      </c>
    </row>
    <row r="401" spans="1:10" s="71" customFormat="1" x14ac:dyDescent="0.25">
      <c r="A401" s="77" t="s">
        <v>19</v>
      </c>
      <c r="B401" s="406">
        <v>0.01</v>
      </c>
      <c r="C401" s="19">
        <v>0.08</v>
      </c>
      <c r="D401" s="19">
        <v>0.04</v>
      </c>
      <c r="E401" s="18">
        <v>0.01</v>
      </c>
      <c r="F401" s="18">
        <v>0.05</v>
      </c>
      <c r="G401" s="18">
        <v>0.05</v>
      </c>
      <c r="H401" s="18">
        <v>0.06</v>
      </c>
      <c r="I401" s="105">
        <f>I408/I412</f>
        <v>4.6608135956421437E-2</v>
      </c>
      <c r="J401" s="297">
        <f>J408/J412</f>
        <v>4.6608135956421437E-2</v>
      </c>
    </row>
    <row r="402" spans="1:10" s="71" customFormat="1" x14ac:dyDescent="0.25">
      <c r="A402" s="77" t="s">
        <v>20</v>
      </c>
      <c r="B402" s="406">
        <v>0.21</v>
      </c>
      <c r="C402" s="19">
        <v>0.15</v>
      </c>
      <c r="D402" s="19">
        <v>0.18</v>
      </c>
      <c r="E402" s="18">
        <v>0.17</v>
      </c>
      <c r="F402" s="18">
        <v>0.14000000000000001</v>
      </c>
      <c r="G402" s="18">
        <v>0.11</v>
      </c>
      <c r="H402" s="18">
        <v>0.08</v>
      </c>
      <c r="I402" s="105">
        <f>I409/I412</f>
        <v>0.13303562258248922</v>
      </c>
      <c r="J402" s="297">
        <f>J409/J412</f>
        <v>0.13303562258248922</v>
      </c>
    </row>
    <row r="403" spans="1:10" s="71" customFormat="1" x14ac:dyDescent="0.25">
      <c r="A403" s="77" t="s">
        <v>21</v>
      </c>
      <c r="B403" s="406">
        <v>0.06</v>
      </c>
      <c r="C403" s="19">
        <v>0.03</v>
      </c>
      <c r="D403" s="19">
        <v>7.0000000000000007E-2</v>
      </c>
      <c r="E403" s="18">
        <v>0.05</v>
      </c>
      <c r="F403" s="18">
        <v>0.08</v>
      </c>
      <c r="G403" s="18">
        <v>0.09</v>
      </c>
      <c r="H403" s="18">
        <v>0.08</v>
      </c>
      <c r="I403" s="105">
        <f>I410/I412</f>
        <v>7.1472480562482843E-2</v>
      </c>
      <c r="J403" s="297">
        <f>J410/J412</f>
        <v>7.1472480562482843E-2</v>
      </c>
    </row>
    <row r="404" spans="1:10" s="71" customFormat="1" x14ac:dyDescent="0.25">
      <c r="A404" s="77" t="s">
        <v>22</v>
      </c>
      <c r="B404" s="406">
        <v>0.01</v>
      </c>
      <c r="C404" s="19">
        <v>0.01</v>
      </c>
      <c r="D404" s="19">
        <v>0</v>
      </c>
      <c r="E404" s="18">
        <v>0</v>
      </c>
      <c r="F404" s="18">
        <v>0.01</v>
      </c>
      <c r="G404" s="18">
        <v>0</v>
      </c>
      <c r="H404" s="18">
        <v>0</v>
      </c>
      <c r="I404" s="105">
        <f>I411/I412</f>
        <v>3.5652781134783724E-3</v>
      </c>
      <c r="J404" s="297">
        <f>J411/J412</f>
        <v>3.5652781134783719E-3</v>
      </c>
    </row>
    <row r="405" spans="1:10" s="71" customFormat="1" x14ac:dyDescent="0.25">
      <c r="A405" s="81" t="s">
        <v>23</v>
      </c>
      <c r="B405" s="409">
        <f t="shared" ref="B405:J405" si="162">B416/B399</f>
        <v>33751.818181818184</v>
      </c>
      <c r="C405" s="131">
        <f t="shared" si="162"/>
        <v>42354.455445544561</v>
      </c>
      <c r="D405" s="131">
        <f t="shared" si="162"/>
        <v>37615.463917525776</v>
      </c>
      <c r="E405" s="397">
        <f t="shared" si="162"/>
        <v>35805.072463768112</v>
      </c>
      <c r="F405" s="132">
        <f t="shared" si="162"/>
        <v>36315.420560747662</v>
      </c>
      <c r="G405" s="130">
        <f t="shared" si="162"/>
        <v>37424.41860465116</v>
      </c>
      <c r="H405" s="130">
        <f t="shared" si="162"/>
        <v>37176.978417266197</v>
      </c>
      <c r="I405" s="359">
        <f t="shared" si="162"/>
        <v>37075.668896321069</v>
      </c>
      <c r="J405" s="314">
        <f t="shared" si="162"/>
        <v>37075.668896321069</v>
      </c>
    </row>
    <row r="406" spans="1:10" s="71" customFormat="1" x14ac:dyDescent="0.25">
      <c r="A406" s="81" t="s">
        <v>24</v>
      </c>
      <c r="B406" s="409">
        <f t="shared" ref="B406:J406" si="163">B416/B393</f>
        <v>32855.75221238938</v>
      </c>
      <c r="C406" s="131">
        <f t="shared" si="163"/>
        <v>30339.00709219859</v>
      </c>
      <c r="D406" s="131">
        <f t="shared" si="163"/>
        <v>29425.000000000004</v>
      </c>
      <c r="E406" s="397">
        <f t="shared" si="163"/>
        <v>31272.784810126581</v>
      </c>
      <c r="F406" s="132">
        <f t="shared" si="163"/>
        <v>29549.429657794677</v>
      </c>
      <c r="G406" s="130">
        <f t="shared" si="163"/>
        <v>30173.4375</v>
      </c>
      <c r="H406" s="130">
        <f t="shared" si="163"/>
        <v>28788.857938718669</v>
      </c>
      <c r="I406" s="359">
        <f t="shared" si="163"/>
        <v>30001.69147496617</v>
      </c>
      <c r="J406" s="314">
        <f t="shared" si="163"/>
        <v>30001.69147496617</v>
      </c>
    </row>
    <row r="407" spans="1:10" s="71" customFormat="1" x14ac:dyDescent="0.25">
      <c r="A407" s="77" t="s">
        <v>25</v>
      </c>
      <c r="B407" s="255">
        <f t="shared" ref="B407:H407" si="164">B412*B400</f>
        <v>2174505.2482758621</v>
      </c>
      <c r="C407" s="133">
        <f t="shared" si="164"/>
        <v>2592955.3431034484</v>
      </c>
      <c r="D407" s="133">
        <f t="shared" si="164"/>
        <v>2138392.9344827589</v>
      </c>
      <c r="E407" s="299">
        <f t="shared" si="164"/>
        <v>3125548.5534482761</v>
      </c>
      <c r="F407" s="134">
        <f t="shared" si="164"/>
        <v>4606465.6551724141</v>
      </c>
      <c r="G407" s="92">
        <f t="shared" si="164"/>
        <v>5963168.9224137934</v>
      </c>
      <c r="H407" s="92">
        <f t="shared" si="164"/>
        <v>6601584.7344827596</v>
      </c>
      <c r="I407" s="108">
        <f>'NOGAL '!$B407+'NOGAL '!$C407+'NOGAL '!$D407+'NOGAL '!$E407+'NOGAL '!$F407+'NOGAL '!$G407+'NOGAL '!$H407</f>
        <v>27202621.391379312</v>
      </c>
      <c r="J407" s="300">
        <f>'NOGAL '!$I407/7</f>
        <v>3886088.7701970446</v>
      </c>
    </row>
    <row r="408" spans="1:10" s="71" customFormat="1" x14ac:dyDescent="0.25">
      <c r="A408" s="77" t="s">
        <v>26</v>
      </c>
      <c r="B408" s="255">
        <f t="shared" ref="B408:H408" si="165">B412*B401</f>
        <v>30626.834482758622</v>
      </c>
      <c r="C408" s="133">
        <f t="shared" si="165"/>
        <v>284159.48965517245</v>
      </c>
      <c r="D408" s="133">
        <f t="shared" si="165"/>
        <v>120472.84137931035</v>
      </c>
      <c r="E408" s="299">
        <f t="shared" si="165"/>
        <v>40591.539655172419</v>
      </c>
      <c r="F408" s="134">
        <f t="shared" si="165"/>
        <v>319893.44827586209</v>
      </c>
      <c r="G408" s="92">
        <f t="shared" si="165"/>
        <v>397544.59482758626</v>
      </c>
      <c r="H408" s="92">
        <f t="shared" si="165"/>
        <v>507814.21034482762</v>
      </c>
      <c r="I408" s="108">
        <f>'NOGAL '!$B408+'NOGAL '!$C408+'NOGAL '!$D408+'NOGAL '!$E408+'NOGAL '!$F408+'NOGAL '!$G408+'NOGAL '!$H408</f>
        <v>1701102.9586206898</v>
      </c>
      <c r="J408" s="300">
        <f>'NOGAL '!$I408/7</f>
        <v>243014.70837438427</v>
      </c>
    </row>
    <row r="409" spans="1:10" s="71" customFormat="1" x14ac:dyDescent="0.25">
      <c r="A409" s="77" t="s">
        <v>27</v>
      </c>
      <c r="B409" s="255">
        <f t="shared" ref="B409:H409" si="166">B412*B402</f>
        <v>643163.52413793106</v>
      </c>
      <c r="C409" s="133">
        <f t="shared" si="166"/>
        <v>532799.04310344835</v>
      </c>
      <c r="D409" s="133">
        <f t="shared" si="166"/>
        <v>542127.78620689665</v>
      </c>
      <c r="E409" s="299">
        <f t="shared" si="166"/>
        <v>690056.17413793108</v>
      </c>
      <c r="F409" s="134">
        <f t="shared" si="166"/>
        <v>895701.65517241391</v>
      </c>
      <c r="G409" s="92">
        <f t="shared" si="166"/>
        <v>874598.10862068972</v>
      </c>
      <c r="H409" s="92">
        <f t="shared" si="166"/>
        <v>677085.61379310361</v>
      </c>
      <c r="I409" s="108">
        <f>'NOGAL '!$B409+'NOGAL '!$C409+'NOGAL '!$D409+'NOGAL '!$E409+'NOGAL '!$F409+'NOGAL '!$G409+'NOGAL '!$H409</f>
        <v>4855531.9051724141</v>
      </c>
      <c r="J409" s="300">
        <f>'NOGAL '!$I409/7</f>
        <v>693647.41502463061</v>
      </c>
    </row>
    <row r="410" spans="1:10" s="71" customFormat="1" x14ac:dyDescent="0.25">
      <c r="A410" s="77" t="s">
        <v>28</v>
      </c>
      <c r="B410" s="255">
        <f t="shared" ref="B410:H410" si="167">B412*B403</f>
        <v>183761.00689655173</v>
      </c>
      <c r="C410" s="133">
        <f t="shared" si="167"/>
        <v>106559.80862068967</v>
      </c>
      <c r="D410" s="133">
        <f t="shared" si="167"/>
        <v>210827.47241379315</v>
      </c>
      <c r="E410" s="299">
        <f t="shared" si="167"/>
        <v>202957.69827586209</v>
      </c>
      <c r="F410" s="134">
        <f t="shared" si="167"/>
        <v>511829.5172413793</v>
      </c>
      <c r="G410" s="92">
        <f t="shared" si="167"/>
        <v>715580.27068965521</v>
      </c>
      <c r="H410" s="92">
        <f t="shared" si="167"/>
        <v>677085.61379310361</v>
      </c>
      <c r="I410" s="108">
        <f>'NOGAL '!$B410+'NOGAL '!$C410+'NOGAL '!$D410+'NOGAL '!$E410+'NOGAL '!$F410+'NOGAL '!$G410+'NOGAL '!$H410</f>
        <v>2608601.3879310344</v>
      </c>
      <c r="J410" s="300">
        <f>'NOGAL '!$I410/7</f>
        <v>372657.34113300493</v>
      </c>
    </row>
    <row r="411" spans="1:10" s="71" customFormat="1" x14ac:dyDescent="0.25">
      <c r="A411" s="77" t="s">
        <v>29</v>
      </c>
      <c r="B411" s="255">
        <f t="shared" ref="B411:H411" si="168">B412*B404</f>
        <v>30626.834482758622</v>
      </c>
      <c r="C411" s="133">
        <f t="shared" si="168"/>
        <v>35519.936206896557</v>
      </c>
      <c r="D411" s="133">
        <f t="shared" si="168"/>
        <v>0</v>
      </c>
      <c r="E411" s="299">
        <f t="shared" si="168"/>
        <v>0</v>
      </c>
      <c r="F411" s="134">
        <f t="shared" si="168"/>
        <v>63978.689655172413</v>
      </c>
      <c r="G411" s="92">
        <f t="shared" si="168"/>
        <v>0</v>
      </c>
      <c r="H411" s="92">
        <f t="shared" si="168"/>
        <v>0</v>
      </c>
      <c r="I411" s="108">
        <f>'NOGAL '!$B411+'NOGAL '!$C411+'NOGAL '!$D411+'NOGAL '!$E411+'NOGAL '!$F411+'NOGAL '!$G411+'NOGAL '!$H411</f>
        <v>130125.46034482759</v>
      </c>
      <c r="J411" s="300">
        <f>'NOGAL '!$I411/7</f>
        <v>18589.351477832512</v>
      </c>
    </row>
    <row r="412" spans="1:10" s="71" customFormat="1" x14ac:dyDescent="0.25">
      <c r="A412" s="82" t="s">
        <v>30</v>
      </c>
      <c r="B412" s="410">
        <f>(3712700/1.16)-B413</f>
        <v>3062683.4482758623</v>
      </c>
      <c r="C412" s="136">
        <f>(4277800/1.16)-C413</f>
        <v>3551993.6206896557</v>
      </c>
      <c r="D412" s="136">
        <f>(3648700/1.16)-D413</f>
        <v>3011821.034482759</v>
      </c>
      <c r="E412" s="398">
        <f>(4941100/1.16)-E413</f>
        <v>4059153.9655172415</v>
      </c>
      <c r="F412" s="137">
        <f>(7771500/1.16)-F413</f>
        <v>6397868.9655172415</v>
      </c>
      <c r="G412" s="91">
        <f>(9655500/1.16)-G413</f>
        <v>7950891.8965517245</v>
      </c>
      <c r="H412" s="91">
        <f>(10335200/1.16)-H413</f>
        <v>8463570.1724137943</v>
      </c>
      <c r="I412" s="111">
        <f>SUM(I407:I411)</f>
        <v>36497983.103448279</v>
      </c>
      <c r="J412" s="361">
        <f>'NOGAL '!$I412/7</f>
        <v>5213997.5862068972</v>
      </c>
    </row>
    <row r="413" spans="1:10" s="71" customFormat="1" x14ac:dyDescent="0.25">
      <c r="A413" s="77" t="s">
        <v>31</v>
      </c>
      <c r="B413" s="263">
        <f t="shared" ref="B413:J413" si="169">2155*B394</f>
        <v>137920</v>
      </c>
      <c r="C413" s="139">
        <f t="shared" si="169"/>
        <v>135765</v>
      </c>
      <c r="D413" s="139">
        <f t="shared" si="169"/>
        <v>133610</v>
      </c>
      <c r="E413" s="113">
        <f t="shared" si="169"/>
        <v>200415</v>
      </c>
      <c r="F413" s="112">
        <f t="shared" si="169"/>
        <v>301700</v>
      </c>
      <c r="G413" s="94">
        <f t="shared" si="169"/>
        <v>372815</v>
      </c>
      <c r="H413" s="94">
        <f t="shared" si="169"/>
        <v>446085</v>
      </c>
      <c r="I413" s="109">
        <f t="shared" si="169"/>
        <v>1728310</v>
      </c>
      <c r="J413" s="302">
        <f t="shared" si="169"/>
        <v>246901.42857142858</v>
      </c>
    </row>
    <row r="414" spans="1:10" s="71" customFormat="1" x14ac:dyDescent="0.25">
      <c r="A414" s="83" t="s">
        <v>32</v>
      </c>
      <c r="B414" s="411">
        <f>B412+B413</f>
        <v>3200603.4482758623</v>
      </c>
      <c r="C414" s="40">
        <f>C412+C413</f>
        <v>3687758.6206896557</v>
      </c>
      <c r="D414" s="40">
        <f t="shared" ref="D414:J414" si="170">D412+D413</f>
        <v>3145431.034482759</v>
      </c>
      <c r="E414" s="399">
        <f t="shared" si="170"/>
        <v>4259568.9655172415</v>
      </c>
      <c r="F414" s="140">
        <f t="shared" si="170"/>
        <v>6699568.9655172415</v>
      </c>
      <c r="G414" s="39">
        <f t="shared" si="170"/>
        <v>8323706.8965517245</v>
      </c>
      <c r="H414" s="39">
        <f t="shared" si="170"/>
        <v>8909655.1724137943</v>
      </c>
      <c r="I414" s="412">
        <f t="shared" si="170"/>
        <v>38226293.103448279</v>
      </c>
      <c r="J414" s="364">
        <f t="shared" si="170"/>
        <v>5460899.0147783253</v>
      </c>
    </row>
    <row r="415" spans="1:10" s="71" customFormat="1" x14ac:dyDescent="0.25">
      <c r="A415" s="77" t="s">
        <v>33</v>
      </c>
      <c r="B415" s="413">
        <f>B414*16%</f>
        <v>512096.55172413797</v>
      </c>
      <c r="C415" s="42">
        <f>C414*16%</f>
        <v>590041.37931034493</v>
      </c>
      <c r="D415" s="42">
        <f t="shared" ref="D415:J415" si="171">D414*16%</f>
        <v>503268.96551724145</v>
      </c>
      <c r="E415" s="400">
        <f t="shared" si="171"/>
        <v>681531.03448275861</v>
      </c>
      <c r="F415" s="141">
        <f t="shared" si="171"/>
        <v>1071931.0344827587</v>
      </c>
      <c r="G415" s="41">
        <f t="shared" si="171"/>
        <v>1331793.1034482759</v>
      </c>
      <c r="H415" s="41">
        <f t="shared" si="171"/>
        <v>1425544.8275862071</v>
      </c>
      <c r="I415" s="414">
        <f t="shared" si="171"/>
        <v>6116206.8965517245</v>
      </c>
      <c r="J415" s="415">
        <f t="shared" si="171"/>
        <v>873743.84236453206</v>
      </c>
    </row>
    <row r="416" spans="1:10" s="71" customFormat="1" x14ac:dyDescent="0.25">
      <c r="A416" s="142" t="s">
        <v>34</v>
      </c>
      <c r="B416" s="438">
        <f t="shared" ref="B416:H416" si="172">B414+B415</f>
        <v>3712700</v>
      </c>
      <c r="C416" s="143">
        <f t="shared" si="172"/>
        <v>4277800.0000000009</v>
      </c>
      <c r="D416" s="143">
        <f t="shared" si="172"/>
        <v>3648700.0000000005</v>
      </c>
      <c r="E416" s="439">
        <f t="shared" si="172"/>
        <v>4941100</v>
      </c>
      <c r="F416" s="145">
        <f t="shared" si="172"/>
        <v>7771500</v>
      </c>
      <c r="G416" s="144">
        <f t="shared" si="172"/>
        <v>9655500</v>
      </c>
      <c r="H416" s="144">
        <f t="shared" si="172"/>
        <v>10335200.000000002</v>
      </c>
      <c r="I416" s="440">
        <f>'NOGAL '!$B416+'NOGAL '!$C416+'NOGAL '!$D416+'NOGAL '!$E416+'NOGAL '!$F416+'NOGAL '!$G416+'NOGAL '!$H416</f>
        <v>44342500</v>
      </c>
      <c r="J416" s="441">
        <f>'NOGAL '!$I416/7</f>
        <v>6334642.8571428573</v>
      </c>
    </row>
    <row r="417" spans="1:12" s="71" customFormat="1" x14ac:dyDescent="0.25">
      <c r="A417" s="69"/>
      <c r="B417" s="424"/>
      <c r="C417" s="424"/>
      <c r="D417" s="424"/>
      <c r="E417" s="424"/>
      <c r="F417" s="424"/>
      <c r="G417" s="424"/>
      <c r="H417" s="424"/>
      <c r="I417" s="424"/>
      <c r="J417" s="424"/>
    </row>
    <row r="418" spans="1:12" s="71" customFormat="1" ht="15.75" thickBot="1" x14ac:dyDescent="0.3">
      <c r="A418" s="69"/>
      <c r="B418" s="424"/>
      <c r="C418" s="424"/>
      <c r="D418" s="424"/>
      <c r="E418" s="424"/>
      <c r="F418" s="424"/>
      <c r="G418" s="424"/>
      <c r="H418" s="424"/>
      <c r="I418" s="424"/>
      <c r="J418" s="424"/>
    </row>
    <row r="419" spans="1:12" s="71" customFormat="1" ht="26.25" x14ac:dyDescent="0.25">
      <c r="A419" s="85"/>
      <c r="B419" s="1002" t="s">
        <v>154</v>
      </c>
      <c r="C419" s="1002"/>
      <c r="D419" s="1002"/>
      <c r="E419" s="1002"/>
      <c r="F419" s="1002"/>
      <c r="G419" s="1002"/>
      <c r="H419" s="1002"/>
      <c r="I419" s="1002"/>
      <c r="J419" s="85"/>
    </row>
    <row r="420" spans="1:12" s="71" customFormat="1" ht="15.75" x14ac:dyDescent="0.25">
      <c r="A420" s="72" t="s">
        <v>2</v>
      </c>
      <c r="B420" s="429" t="s">
        <v>201</v>
      </c>
      <c r="C420" s="51" t="s">
        <v>202</v>
      </c>
      <c r="D420" s="349" t="s">
        <v>203</v>
      </c>
      <c r="E420" s="51" t="s">
        <v>204</v>
      </c>
      <c r="F420" s="51" t="s">
        <v>205</v>
      </c>
      <c r="G420" s="349" t="s">
        <v>206</v>
      </c>
      <c r="H420" s="349" t="s">
        <v>207</v>
      </c>
      <c r="I420" s="153" t="s">
        <v>10</v>
      </c>
      <c r="J420" s="421" t="s">
        <v>77</v>
      </c>
    </row>
    <row r="421" spans="1:12" s="71" customFormat="1" x14ac:dyDescent="0.25">
      <c r="A421" s="430" t="s">
        <v>11</v>
      </c>
      <c r="B421" s="431">
        <v>107</v>
      </c>
      <c r="C421" s="432">
        <v>131</v>
      </c>
      <c r="D421" s="433">
        <v>146</v>
      </c>
      <c r="E421" s="434">
        <v>173</v>
      </c>
      <c r="F421" s="435">
        <v>266</v>
      </c>
      <c r="G421" s="436">
        <v>331</v>
      </c>
      <c r="H421" s="434">
        <v>401</v>
      </c>
      <c r="I421" s="435">
        <f>SUM(B421:H421)</f>
        <v>1555</v>
      </c>
      <c r="J421" s="437">
        <f>'NOGAL '!$I421/7</f>
        <v>222.14285714285714</v>
      </c>
      <c r="L421" s="71">
        <v>70</v>
      </c>
    </row>
    <row r="422" spans="1:12" s="71" customFormat="1" x14ac:dyDescent="0.25">
      <c r="A422" s="77" t="s">
        <v>12</v>
      </c>
      <c r="B422" s="233">
        <v>62</v>
      </c>
      <c r="C422" s="13">
        <v>69</v>
      </c>
      <c r="D422" s="13">
        <v>75</v>
      </c>
      <c r="E422" s="395">
        <v>104</v>
      </c>
      <c r="F422" s="125">
        <v>141</v>
      </c>
      <c r="G422" s="11">
        <v>194</v>
      </c>
      <c r="H422" s="11">
        <v>241</v>
      </c>
      <c r="I422" s="403">
        <f>B422+C422+D422+E422+F422+G422+H422</f>
        <v>886</v>
      </c>
      <c r="J422" s="292">
        <f>'NOGAL '!$I422/7</f>
        <v>126.57142857142857</v>
      </c>
      <c r="L422" s="71">
        <v>26</v>
      </c>
    </row>
    <row r="423" spans="1:12" s="71" customFormat="1" x14ac:dyDescent="0.25">
      <c r="A423" s="77" t="s">
        <v>13</v>
      </c>
      <c r="B423" s="233">
        <v>2</v>
      </c>
      <c r="C423" s="13">
        <v>6</v>
      </c>
      <c r="D423" s="13">
        <v>3</v>
      </c>
      <c r="E423" s="395">
        <v>4</v>
      </c>
      <c r="F423" s="125">
        <v>5</v>
      </c>
      <c r="G423" s="11">
        <v>12</v>
      </c>
      <c r="H423" s="11">
        <v>19</v>
      </c>
      <c r="I423" s="403">
        <f>B423+C423+D423+E423+F423+G423+H423</f>
        <v>51</v>
      </c>
      <c r="J423" s="292">
        <f>C423+D423+E423+F423+G423+H423+I423</f>
        <v>100</v>
      </c>
      <c r="L423" s="71">
        <v>11</v>
      </c>
    </row>
    <row r="424" spans="1:12" s="71" customFormat="1" x14ac:dyDescent="0.25">
      <c r="A424" s="77" t="s">
        <v>14</v>
      </c>
      <c r="B424" s="233">
        <v>18</v>
      </c>
      <c r="C424" s="13">
        <v>31</v>
      </c>
      <c r="D424" s="13">
        <v>28</v>
      </c>
      <c r="E424" s="395">
        <v>25</v>
      </c>
      <c r="F424" s="125">
        <v>46</v>
      </c>
      <c r="G424" s="11">
        <v>39</v>
      </c>
      <c r="H424" s="11">
        <v>43</v>
      </c>
      <c r="I424" s="403">
        <f>B424+C424+D424+E424+F424+G424+H424</f>
        <v>230</v>
      </c>
      <c r="J424" s="292">
        <f>'NOGAL '!$I424/7</f>
        <v>32.857142857142854</v>
      </c>
      <c r="L424" s="71">
        <f>SUM(L421:L423)</f>
        <v>107</v>
      </c>
    </row>
    <row r="425" spans="1:12" s="71" customFormat="1" x14ac:dyDescent="0.25">
      <c r="A425" s="77" t="s">
        <v>15</v>
      </c>
      <c r="B425" s="233">
        <v>11</v>
      </c>
      <c r="C425" s="13">
        <v>13</v>
      </c>
      <c r="D425" s="13">
        <v>16</v>
      </c>
      <c r="E425" s="395">
        <v>19</v>
      </c>
      <c r="F425" s="125">
        <v>21</v>
      </c>
      <c r="G425" s="11">
        <v>18</v>
      </c>
      <c r="H425" s="11">
        <v>23</v>
      </c>
      <c r="I425" s="403">
        <f>B425+C425+D425+E425+F425+G425+H425</f>
        <v>121</v>
      </c>
      <c r="J425" s="292">
        <f>'NOGAL '!$I425/7</f>
        <v>17.285714285714285</v>
      </c>
    </row>
    <row r="426" spans="1:12" s="71" customFormat="1" x14ac:dyDescent="0.25">
      <c r="A426" s="77" t="s">
        <v>16</v>
      </c>
      <c r="B426" s="233">
        <v>1</v>
      </c>
      <c r="C426" s="13">
        <v>0</v>
      </c>
      <c r="D426" s="13">
        <v>2</v>
      </c>
      <c r="E426" s="395">
        <v>1</v>
      </c>
      <c r="F426" s="125">
        <v>0</v>
      </c>
      <c r="G426" s="11">
        <v>3</v>
      </c>
      <c r="H426" s="11">
        <v>1</v>
      </c>
      <c r="I426" s="403">
        <f>B426+C426+D426+E426+F426+G426+H426</f>
        <v>8</v>
      </c>
      <c r="J426" s="292">
        <f>'NOGAL '!$I426/7</f>
        <v>1.1428571428571428</v>
      </c>
    </row>
    <row r="427" spans="1:12" s="71" customFormat="1" x14ac:dyDescent="0.25">
      <c r="A427" s="79" t="s">
        <v>17</v>
      </c>
      <c r="B427" s="102">
        <f>SUM(B422:B426)</f>
        <v>94</v>
      </c>
      <c r="C427" s="79">
        <f t="shared" ref="C427:H427" si="173">SUM(C422:C426)</f>
        <v>119</v>
      </c>
      <c r="D427" s="79">
        <f t="shared" si="173"/>
        <v>124</v>
      </c>
      <c r="E427" s="248">
        <f t="shared" si="173"/>
        <v>153</v>
      </c>
      <c r="F427" s="15">
        <f t="shared" si="173"/>
        <v>213</v>
      </c>
      <c r="G427" s="79">
        <f t="shared" si="173"/>
        <v>266</v>
      </c>
      <c r="H427" s="79">
        <f t="shared" si="173"/>
        <v>327</v>
      </c>
      <c r="I427" s="404">
        <f>SUM(I422:I426)</f>
        <v>1296</v>
      </c>
      <c r="J427" s="405">
        <f>'NOGAL '!$I427/7</f>
        <v>185.14285714285714</v>
      </c>
    </row>
    <row r="428" spans="1:12" s="71" customFormat="1" x14ac:dyDescent="0.25">
      <c r="A428" s="77" t="s">
        <v>18</v>
      </c>
      <c r="B428" s="406">
        <v>0.75</v>
      </c>
      <c r="C428" s="19">
        <v>0.65</v>
      </c>
      <c r="D428" s="19">
        <v>0.7</v>
      </c>
      <c r="E428" s="18">
        <v>0.75</v>
      </c>
      <c r="F428" s="18">
        <v>0.72</v>
      </c>
      <c r="G428" s="18">
        <v>0.78</v>
      </c>
      <c r="H428" s="18">
        <v>0.77</v>
      </c>
      <c r="I428" s="105">
        <f>I435/I440</f>
        <v>0.74334652232644549</v>
      </c>
      <c r="J428" s="297">
        <f>J435/J440</f>
        <v>0.74334652232644549</v>
      </c>
    </row>
    <row r="429" spans="1:12" s="71" customFormat="1" x14ac:dyDescent="0.25">
      <c r="A429" s="77" t="s">
        <v>19</v>
      </c>
      <c r="B429" s="406">
        <v>0.02</v>
      </c>
      <c r="C429" s="19">
        <v>0.06</v>
      </c>
      <c r="D429" s="19">
        <v>0.03</v>
      </c>
      <c r="E429" s="18">
        <v>0.02</v>
      </c>
      <c r="F429" s="18">
        <v>0.04</v>
      </c>
      <c r="G429" s="18">
        <v>0.04</v>
      </c>
      <c r="H429" s="18">
        <v>0.06</v>
      </c>
      <c r="I429" s="105">
        <f>I436/I440</f>
        <v>4.2484663493774312E-2</v>
      </c>
      <c r="J429" s="297">
        <f>J436/J440</f>
        <v>4.2484663493774305E-2</v>
      </c>
    </row>
    <row r="430" spans="1:12" s="71" customFormat="1" x14ac:dyDescent="0.25">
      <c r="A430" s="77" t="s">
        <v>20</v>
      </c>
      <c r="B430" s="406">
        <v>0.14000000000000001</v>
      </c>
      <c r="C430" s="19">
        <v>0.21</v>
      </c>
      <c r="D430" s="19">
        <v>0.16</v>
      </c>
      <c r="E430" s="18">
        <v>0.13</v>
      </c>
      <c r="F430" s="18">
        <v>0.17</v>
      </c>
      <c r="G430" s="18">
        <v>0.1</v>
      </c>
      <c r="H430" s="18">
        <v>0.11</v>
      </c>
      <c r="I430" s="105">
        <f>I437/I440</f>
        <v>0.13533907046169233</v>
      </c>
      <c r="J430" s="297">
        <f>J437/J440</f>
        <v>0.1353390704616923</v>
      </c>
    </row>
    <row r="431" spans="1:12" s="71" customFormat="1" x14ac:dyDescent="0.25">
      <c r="A431" s="77" t="s">
        <v>21</v>
      </c>
      <c r="B431" s="406">
        <v>0.08</v>
      </c>
      <c r="C431" s="19">
        <v>0.08</v>
      </c>
      <c r="D431" s="19">
        <v>0.09</v>
      </c>
      <c r="E431" s="18">
        <v>0.09</v>
      </c>
      <c r="F431" s="18">
        <v>7.0000000000000007E-2</v>
      </c>
      <c r="G431" s="18">
        <v>0.06</v>
      </c>
      <c r="H431" s="18">
        <v>0.06</v>
      </c>
      <c r="I431" s="105">
        <f>I438/I440</f>
        <v>7.0840991171921316E-2</v>
      </c>
      <c r="J431" s="297">
        <f>J438/J440</f>
        <v>7.0840991171921316E-2</v>
      </c>
    </row>
    <row r="432" spans="1:12" s="71" customFormat="1" x14ac:dyDescent="0.25">
      <c r="A432" s="77" t="s">
        <v>22</v>
      </c>
      <c r="B432" s="406">
        <v>0.01</v>
      </c>
      <c r="C432" s="19">
        <v>0</v>
      </c>
      <c r="D432" s="19">
        <v>0.02</v>
      </c>
      <c r="E432" s="18">
        <v>0.01</v>
      </c>
      <c r="F432" s="18">
        <v>0</v>
      </c>
      <c r="G432" s="18">
        <v>0.02</v>
      </c>
      <c r="H432" s="18">
        <v>0</v>
      </c>
      <c r="I432" s="105">
        <f>I439/I440</f>
        <v>7.988752546166487E-3</v>
      </c>
      <c r="J432" s="297">
        <f>J439/J440</f>
        <v>7.9887525461664853E-3</v>
      </c>
    </row>
    <row r="433" spans="1:10" s="71" customFormat="1" x14ac:dyDescent="0.25">
      <c r="A433" s="81" t="s">
        <v>23</v>
      </c>
      <c r="B433" s="409">
        <f t="shared" ref="B433:J433" si="174">B444/B427</f>
        <v>31086.170212765959</v>
      </c>
      <c r="C433" s="131">
        <f t="shared" si="174"/>
        <v>33520.168067226892</v>
      </c>
      <c r="D433" s="131">
        <f t="shared" si="174"/>
        <v>35847.580645161288</v>
      </c>
      <c r="E433" s="397">
        <f t="shared" si="174"/>
        <v>34232.026143790848</v>
      </c>
      <c r="F433" s="132">
        <f t="shared" si="174"/>
        <v>36933.333333333336</v>
      </c>
      <c r="G433" s="130">
        <f t="shared" si="174"/>
        <v>38282.706766917298</v>
      </c>
      <c r="H433" s="130">
        <f t="shared" si="174"/>
        <v>37322.324159021409</v>
      </c>
      <c r="I433" s="359">
        <f t="shared" si="174"/>
        <v>36148.148148148146</v>
      </c>
      <c r="J433" s="314">
        <f t="shared" si="174"/>
        <v>36148.148148148146</v>
      </c>
    </row>
    <row r="434" spans="1:10" s="71" customFormat="1" x14ac:dyDescent="0.25">
      <c r="A434" s="81" t="s">
        <v>24</v>
      </c>
      <c r="B434" s="409">
        <f t="shared" ref="B434:J434" si="175">B444/B421</f>
        <v>27309.345794392524</v>
      </c>
      <c r="C434" s="131">
        <f t="shared" si="175"/>
        <v>30449.618320610691</v>
      </c>
      <c r="D434" s="131">
        <f t="shared" si="175"/>
        <v>30445.890410958906</v>
      </c>
      <c r="E434" s="397">
        <f t="shared" si="175"/>
        <v>30274.566473988438</v>
      </c>
      <c r="F434" s="132">
        <f t="shared" si="175"/>
        <v>29574.436090225565</v>
      </c>
      <c r="G434" s="130">
        <f t="shared" si="175"/>
        <v>30764.954682779462</v>
      </c>
      <c r="H434" s="130">
        <f t="shared" si="175"/>
        <v>30434.91271820449</v>
      </c>
      <c r="I434" s="359">
        <f t="shared" si="175"/>
        <v>30127.33118971061</v>
      </c>
      <c r="J434" s="314">
        <f t="shared" si="175"/>
        <v>30127.33118971061</v>
      </c>
    </row>
    <row r="435" spans="1:10" s="71" customFormat="1" x14ac:dyDescent="0.25">
      <c r="A435" s="77" t="s">
        <v>25</v>
      </c>
      <c r="B435" s="255">
        <f t="shared" ref="B435:H435" si="176">B440*B428</f>
        <v>1789081.2931034483</v>
      </c>
      <c r="C435" s="133">
        <f t="shared" si="176"/>
        <v>2138507.7327586212</v>
      </c>
      <c r="D435" s="133">
        <f t="shared" si="176"/>
        <v>2569250.431034483</v>
      </c>
      <c r="E435" s="299">
        <f t="shared" si="176"/>
        <v>3218224.6551724141</v>
      </c>
      <c r="F435" s="134">
        <f t="shared" si="176"/>
        <v>4664065.7793103447</v>
      </c>
      <c r="G435" s="92">
        <f t="shared" si="176"/>
        <v>6521229.5379310353</v>
      </c>
      <c r="H435" s="92">
        <f t="shared" si="176"/>
        <v>7701293.2017241381</v>
      </c>
      <c r="I435" s="108">
        <f>'NOGAL '!$B435+'NOGAL '!$C435+'NOGAL '!$D435+'NOGAL '!$E435+'NOGAL '!$F435+'NOGAL '!$G435+'NOGAL '!$H435</f>
        <v>28601652.631034486</v>
      </c>
      <c r="J435" s="300">
        <f>'NOGAL '!$I435/7</f>
        <v>4085950.3758620694</v>
      </c>
    </row>
    <row r="436" spans="1:10" s="71" customFormat="1" x14ac:dyDescent="0.25">
      <c r="A436" s="77" t="s">
        <v>26</v>
      </c>
      <c r="B436" s="255">
        <f t="shared" ref="B436:H436" si="177">B440*B429</f>
        <v>47708.834482758626</v>
      </c>
      <c r="C436" s="133">
        <f t="shared" si="177"/>
        <v>197400.71379310347</v>
      </c>
      <c r="D436" s="133">
        <f t="shared" si="177"/>
        <v>110110.7327586207</v>
      </c>
      <c r="E436" s="299">
        <f t="shared" si="177"/>
        <v>85819.324137931035</v>
      </c>
      <c r="F436" s="134">
        <f t="shared" si="177"/>
        <v>259114.76551724141</v>
      </c>
      <c r="G436" s="92">
        <f t="shared" si="177"/>
        <v>334422.02758620697</v>
      </c>
      <c r="H436" s="92">
        <f t="shared" si="177"/>
        <v>600100.76896551717</v>
      </c>
      <c r="I436" s="108">
        <f>'NOGAL '!$B436+'NOGAL '!$C436+'NOGAL '!$D436+'NOGAL '!$E436+'NOGAL '!$F436+'NOGAL '!$G436+'NOGAL '!$H436</f>
        <v>1634677.1672413794</v>
      </c>
      <c r="J436" s="300">
        <f>'NOGAL '!$I436/7</f>
        <v>233525.30960591134</v>
      </c>
    </row>
    <row r="437" spans="1:10" s="71" customFormat="1" x14ac:dyDescent="0.25">
      <c r="A437" s="77" t="s">
        <v>27</v>
      </c>
      <c r="B437" s="255">
        <f t="shared" ref="B437:H437" si="178">B440*B430</f>
        <v>333961.84137931041</v>
      </c>
      <c r="C437" s="133">
        <f t="shared" si="178"/>
        <v>690902.49827586208</v>
      </c>
      <c r="D437" s="133">
        <f t="shared" si="178"/>
        <v>587257.24137931038</v>
      </c>
      <c r="E437" s="299">
        <f t="shared" si="178"/>
        <v>557825.60689655179</v>
      </c>
      <c r="F437" s="134">
        <f t="shared" si="178"/>
        <v>1101237.7534482761</v>
      </c>
      <c r="G437" s="92">
        <f t="shared" si="178"/>
        <v>836055.06896551745</v>
      </c>
      <c r="H437" s="92">
        <f t="shared" si="178"/>
        <v>1100184.7431034483</v>
      </c>
      <c r="I437" s="108">
        <f>'NOGAL '!$B437+'NOGAL '!$C437+'NOGAL '!$D437+'NOGAL '!$E437+'NOGAL '!$F437+'NOGAL '!$G437+'NOGAL '!$H437</f>
        <v>5207424.7534482758</v>
      </c>
      <c r="J437" s="300">
        <f>'NOGAL '!$I437/7</f>
        <v>743917.82192118221</v>
      </c>
    </row>
    <row r="438" spans="1:10" s="71" customFormat="1" x14ac:dyDescent="0.25">
      <c r="A438" s="77" t="s">
        <v>28</v>
      </c>
      <c r="B438" s="255">
        <f t="shared" ref="B438:H438" si="179">B440*B431</f>
        <v>190835.3379310345</v>
      </c>
      <c r="C438" s="133">
        <f t="shared" si="179"/>
        <v>263200.95172413799</v>
      </c>
      <c r="D438" s="133">
        <f t="shared" si="179"/>
        <v>330332.19827586209</v>
      </c>
      <c r="E438" s="299">
        <f t="shared" si="179"/>
        <v>386186.95862068963</v>
      </c>
      <c r="F438" s="134">
        <f t="shared" si="179"/>
        <v>453450.83965517249</v>
      </c>
      <c r="G438" s="92">
        <f t="shared" si="179"/>
        <v>501633.04137931042</v>
      </c>
      <c r="H438" s="92">
        <f t="shared" si="179"/>
        <v>600100.76896551717</v>
      </c>
      <c r="I438" s="108">
        <f>'NOGAL '!$B438+'NOGAL '!$C438+'NOGAL '!$D438+'NOGAL '!$E438+'NOGAL '!$F438+'NOGAL '!$G438+'NOGAL '!$H438</f>
        <v>2725740.0965517242</v>
      </c>
      <c r="J438" s="300">
        <f>'NOGAL '!$I438/7</f>
        <v>389391.44236453203</v>
      </c>
    </row>
    <row r="439" spans="1:10" s="71" customFormat="1" x14ac:dyDescent="0.25">
      <c r="A439" s="77" t="s">
        <v>29</v>
      </c>
      <c r="B439" s="255">
        <f t="shared" ref="B439:H439" si="180">B440*B432</f>
        <v>23854.417241379313</v>
      </c>
      <c r="C439" s="133">
        <f t="shared" si="180"/>
        <v>0</v>
      </c>
      <c r="D439" s="133">
        <f t="shared" si="180"/>
        <v>73407.155172413797</v>
      </c>
      <c r="E439" s="299">
        <f t="shared" si="180"/>
        <v>42909.662068965517</v>
      </c>
      <c r="F439" s="134">
        <f t="shared" si="180"/>
        <v>0</v>
      </c>
      <c r="G439" s="92">
        <f t="shared" si="180"/>
        <v>167211.01379310348</v>
      </c>
      <c r="H439" s="92">
        <f t="shared" si="180"/>
        <v>0</v>
      </c>
      <c r="I439" s="108">
        <f>'NOGAL '!$B439+'NOGAL '!$C439+'NOGAL '!$D439+'NOGAL '!$E439+'NOGAL '!$F439+'NOGAL '!$G439+'NOGAL '!$H439</f>
        <v>307382.24827586208</v>
      </c>
      <c r="J439" s="300">
        <f>'NOGAL '!$I439/7</f>
        <v>43911.749753694581</v>
      </c>
    </row>
    <row r="440" spans="1:10" s="71" customFormat="1" x14ac:dyDescent="0.25">
      <c r="A440" s="82" t="s">
        <v>30</v>
      </c>
      <c r="B440" s="410">
        <f>(2922100/1.16)-B441</f>
        <v>2385441.7241379311</v>
      </c>
      <c r="C440" s="136">
        <f>(3988900/1.16)-C441</f>
        <v>3290011.8965517245</v>
      </c>
      <c r="D440" s="136">
        <f>(4445100/1.16)-D441</f>
        <v>3670357.7586206901</v>
      </c>
      <c r="E440" s="398">
        <f>(5237500/1.16)-E441</f>
        <v>4290966.2068965519</v>
      </c>
      <c r="F440" s="137">
        <f>(7866800/1.16)-F441</f>
        <v>6477869.1379310349</v>
      </c>
      <c r="G440" s="91">
        <f>(10183200/1.16)-G441</f>
        <v>8360550.6896551736</v>
      </c>
      <c r="H440" s="91">
        <f>(12204400/1.16)-H441</f>
        <v>10001679.482758621</v>
      </c>
      <c r="I440" s="111">
        <f>SUM(I435:I439)</f>
        <v>38476876.896551728</v>
      </c>
      <c r="J440" s="361">
        <f>'NOGAL '!$I440/7</f>
        <v>5496696.6995073901</v>
      </c>
    </row>
    <row r="441" spans="1:10" s="71" customFormat="1" x14ac:dyDescent="0.25">
      <c r="A441" s="77" t="s">
        <v>31</v>
      </c>
      <c r="B441" s="263">
        <f t="shared" ref="B441:J441" si="181">2155*B422</f>
        <v>133610</v>
      </c>
      <c r="C441" s="139">
        <f t="shared" si="181"/>
        <v>148695</v>
      </c>
      <c r="D441" s="139">
        <f t="shared" si="181"/>
        <v>161625</v>
      </c>
      <c r="E441" s="113">
        <f t="shared" si="181"/>
        <v>224120</v>
      </c>
      <c r="F441" s="112">
        <f t="shared" si="181"/>
        <v>303855</v>
      </c>
      <c r="G441" s="94">
        <f t="shared" si="181"/>
        <v>418070</v>
      </c>
      <c r="H441" s="94">
        <f t="shared" si="181"/>
        <v>519355</v>
      </c>
      <c r="I441" s="109">
        <f t="shared" si="181"/>
        <v>1909330</v>
      </c>
      <c r="J441" s="302">
        <f t="shared" si="181"/>
        <v>272761.42857142858</v>
      </c>
    </row>
    <row r="442" spans="1:10" s="71" customFormat="1" x14ac:dyDescent="0.25">
      <c r="A442" s="83" t="s">
        <v>32</v>
      </c>
      <c r="B442" s="411">
        <f>B440+B441</f>
        <v>2519051.7241379311</v>
      </c>
      <c r="C442" s="40">
        <f>C440+C441</f>
        <v>3438706.8965517245</v>
      </c>
      <c r="D442" s="40">
        <f t="shared" ref="D442:J442" si="182">D440+D441</f>
        <v>3831982.7586206901</v>
      </c>
      <c r="E442" s="399">
        <f t="shared" si="182"/>
        <v>4515086.2068965519</v>
      </c>
      <c r="F442" s="140">
        <f t="shared" si="182"/>
        <v>6781724.1379310349</v>
      </c>
      <c r="G442" s="39">
        <f t="shared" si="182"/>
        <v>8778620.6896551736</v>
      </c>
      <c r="H442" s="39">
        <f t="shared" si="182"/>
        <v>10521034.482758621</v>
      </c>
      <c r="I442" s="412">
        <f t="shared" si="182"/>
        <v>40386206.896551728</v>
      </c>
      <c r="J442" s="364">
        <f t="shared" si="182"/>
        <v>5769458.1280788183</v>
      </c>
    </row>
    <row r="443" spans="1:10" s="71" customFormat="1" x14ac:dyDescent="0.25">
      <c r="A443" s="77" t="s">
        <v>33</v>
      </c>
      <c r="B443" s="413">
        <f>B442*16%</f>
        <v>403048.27586206899</v>
      </c>
      <c r="C443" s="42">
        <f>C442*16%</f>
        <v>550193.10344827594</v>
      </c>
      <c r="D443" s="42">
        <f t="shared" ref="D443:J443" si="183">D442*16%</f>
        <v>613117.24137931038</v>
      </c>
      <c r="E443" s="400">
        <f t="shared" si="183"/>
        <v>722413.79310344835</v>
      </c>
      <c r="F443" s="141">
        <f t="shared" si="183"/>
        <v>1085075.8620689656</v>
      </c>
      <c r="G443" s="41">
        <f t="shared" si="183"/>
        <v>1404579.3103448278</v>
      </c>
      <c r="H443" s="41">
        <f t="shared" si="183"/>
        <v>1683365.5172413792</v>
      </c>
      <c r="I443" s="414">
        <f t="shared" si="183"/>
        <v>6461793.1034482764</v>
      </c>
      <c r="J443" s="415">
        <f t="shared" si="183"/>
        <v>923113.3004926109</v>
      </c>
    </row>
    <row r="444" spans="1:10" s="71" customFormat="1" x14ac:dyDescent="0.25">
      <c r="A444" s="142" t="s">
        <v>34</v>
      </c>
      <c r="B444" s="438">
        <f t="shared" ref="B444:H444" si="184">B442+B443</f>
        <v>2922100</v>
      </c>
      <c r="C444" s="143">
        <f t="shared" si="184"/>
        <v>3988900.0000000005</v>
      </c>
      <c r="D444" s="143">
        <f t="shared" si="184"/>
        <v>4445100</v>
      </c>
      <c r="E444" s="439">
        <f t="shared" si="184"/>
        <v>5237500</v>
      </c>
      <c r="F444" s="145">
        <f t="shared" si="184"/>
        <v>7866800</v>
      </c>
      <c r="G444" s="144">
        <f t="shared" si="184"/>
        <v>10183200.000000002</v>
      </c>
      <c r="H444" s="144">
        <f t="shared" si="184"/>
        <v>12204400</v>
      </c>
      <c r="I444" s="440">
        <f>'NOGAL '!$B444+'NOGAL '!$C444+'NOGAL '!$D444+'NOGAL '!$E444+'NOGAL '!$F444+'NOGAL '!$G444+'NOGAL '!$H444</f>
        <v>46848000</v>
      </c>
      <c r="J444" s="441">
        <f>'NOGAL '!$I444/7</f>
        <v>6692571.4285714282</v>
      </c>
    </row>
    <row r="445" spans="1:10" s="71" customFormat="1" x14ac:dyDescent="0.25">
      <c r="A445" s="69"/>
      <c r="B445" s="424"/>
      <c r="C445" s="424"/>
      <c r="D445" s="424"/>
      <c r="E445" s="424"/>
      <c r="F445" s="424"/>
      <c r="G445" s="424"/>
      <c r="H445" s="424"/>
      <c r="I445" s="424"/>
      <c r="J445" s="424"/>
    </row>
    <row r="446" spans="1:10" s="71" customFormat="1" ht="15.75" thickBot="1" x14ac:dyDescent="0.3">
      <c r="A446" s="69"/>
      <c r="B446" s="424"/>
      <c r="C446" s="424"/>
      <c r="D446" s="424"/>
      <c r="E446" s="424"/>
      <c r="F446" s="424"/>
      <c r="G446" s="424"/>
      <c r="H446" s="424"/>
      <c r="I446" s="424"/>
      <c r="J446" s="424"/>
    </row>
    <row r="447" spans="1:10" s="71" customFormat="1" ht="26.25" x14ac:dyDescent="0.25">
      <c r="A447" s="85"/>
      <c r="B447" s="1002" t="s">
        <v>162</v>
      </c>
      <c r="C447" s="1002"/>
      <c r="D447" s="1002"/>
      <c r="E447" s="1002"/>
      <c r="F447" s="1002"/>
      <c r="G447" s="1002"/>
      <c r="H447" s="1002"/>
      <c r="I447" s="1002"/>
      <c r="J447" s="85"/>
    </row>
    <row r="448" spans="1:10" s="71" customFormat="1" ht="15.75" x14ac:dyDescent="0.25">
      <c r="A448" s="72" t="s">
        <v>2</v>
      </c>
      <c r="B448" s="429" t="s">
        <v>209</v>
      </c>
      <c r="C448" s="51" t="s">
        <v>210</v>
      </c>
      <c r="D448" s="349" t="s">
        <v>211</v>
      </c>
      <c r="E448" s="51" t="s">
        <v>212</v>
      </c>
      <c r="F448" s="51" t="s">
        <v>213</v>
      </c>
      <c r="G448" s="349" t="s">
        <v>214</v>
      </c>
      <c r="H448" s="349" t="s">
        <v>215</v>
      </c>
      <c r="I448" s="153" t="s">
        <v>10</v>
      </c>
      <c r="J448" s="421" t="s">
        <v>77</v>
      </c>
    </row>
    <row r="449" spans="1:12" s="71" customFormat="1" x14ac:dyDescent="0.25">
      <c r="A449" s="430" t="s">
        <v>11</v>
      </c>
      <c r="B449" s="431">
        <v>108</v>
      </c>
      <c r="C449" s="432">
        <v>154</v>
      </c>
      <c r="D449" s="433">
        <v>142</v>
      </c>
      <c r="E449" s="434">
        <v>122</v>
      </c>
      <c r="F449" s="435">
        <v>245</v>
      </c>
      <c r="G449" s="436">
        <v>391</v>
      </c>
      <c r="H449" s="434">
        <v>413</v>
      </c>
      <c r="I449" s="435">
        <f>SUM(B449:H449)</f>
        <v>1575</v>
      </c>
      <c r="J449" s="437">
        <f>'NOGAL '!$I449/7</f>
        <v>225</v>
      </c>
      <c r="L449" s="71">
        <v>231</v>
      </c>
    </row>
    <row r="450" spans="1:12" s="71" customFormat="1" x14ac:dyDescent="0.25">
      <c r="A450" s="77" t="s">
        <v>12</v>
      </c>
      <c r="B450" s="233">
        <v>60</v>
      </c>
      <c r="C450" s="13">
        <v>74</v>
      </c>
      <c r="D450" s="13">
        <v>76</v>
      </c>
      <c r="E450" s="395">
        <v>68</v>
      </c>
      <c r="F450" s="125">
        <v>177</v>
      </c>
      <c r="G450" s="11">
        <v>213</v>
      </c>
      <c r="H450" s="11">
        <v>274</v>
      </c>
      <c r="I450" s="403">
        <f>B450+C450+D450+E450+F450+G450+H450</f>
        <v>942</v>
      </c>
      <c r="J450" s="292">
        <f>'NOGAL '!$I450/7</f>
        <v>134.57142857142858</v>
      </c>
      <c r="L450" s="71">
        <v>134</v>
      </c>
    </row>
    <row r="451" spans="1:12" s="71" customFormat="1" x14ac:dyDescent="0.25">
      <c r="A451" s="77" t="s">
        <v>13</v>
      </c>
      <c r="B451" s="233">
        <v>2</v>
      </c>
      <c r="C451" s="13">
        <v>3</v>
      </c>
      <c r="D451" s="13">
        <v>2</v>
      </c>
      <c r="E451" s="395">
        <v>0</v>
      </c>
      <c r="F451" s="125">
        <v>9</v>
      </c>
      <c r="G451" s="11">
        <v>11</v>
      </c>
      <c r="H451" s="11">
        <v>14</v>
      </c>
      <c r="I451" s="403">
        <f>B451+C451+D451+E451+F451+G451+H451</f>
        <v>41</v>
      </c>
      <c r="J451" s="292">
        <f>C451+D451+E451+F451+G451+H451+I451</f>
        <v>80</v>
      </c>
      <c r="L451" s="71">
        <v>48</v>
      </c>
    </row>
    <row r="452" spans="1:12" s="71" customFormat="1" x14ac:dyDescent="0.25">
      <c r="A452" s="77" t="s">
        <v>14</v>
      </c>
      <c r="B452" s="233">
        <v>10</v>
      </c>
      <c r="C452" s="13">
        <v>34</v>
      </c>
      <c r="D452" s="13">
        <v>37</v>
      </c>
      <c r="E452" s="395">
        <v>33</v>
      </c>
      <c r="F452" s="125">
        <v>63</v>
      </c>
      <c r="G452" s="11">
        <v>52</v>
      </c>
      <c r="H452" s="11">
        <v>30</v>
      </c>
      <c r="I452" s="403">
        <f>B452+C452+D452+E452+F452+G452+H452</f>
        <v>259</v>
      </c>
      <c r="J452" s="292">
        <f>'NOGAL '!$I452/7</f>
        <v>37</v>
      </c>
      <c r="L452" s="71">
        <f>SUM(L449:L451)</f>
        <v>413</v>
      </c>
    </row>
    <row r="453" spans="1:12" s="71" customFormat="1" x14ac:dyDescent="0.25">
      <c r="A453" s="77" t="s">
        <v>15</v>
      </c>
      <c r="B453" s="233">
        <v>10</v>
      </c>
      <c r="C453" s="13">
        <v>14</v>
      </c>
      <c r="D453" s="13">
        <v>12</v>
      </c>
      <c r="E453" s="395">
        <v>10</v>
      </c>
      <c r="F453" s="125">
        <v>19</v>
      </c>
      <c r="G453" s="11">
        <v>30</v>
      </c>
      <c r="H453" s="11">
        <v>26</v>
      </c>
      <c r="I453" s="403">
        <f>B453+C453+D453+E453+F453+G453+H453</f>
        <v>121</v>
      </c>
      <c r="J453" s="292">
        <f>'NOGAL '!$I453/7</f>
        <v>17.285714285714285</v>
      </c>
    </row>
    <row r="454" spans="1:12" s="71" customFormat="1" x14ac:dyDescent="0.25">
      <c r="A454" s="77" t="s">
        <v>16</v>
      </c>
      <c r="B454" s="233">
        <v>1</v>
      </c>
      <c r="C454" s="13">
        <v>1</v>
      </c>
      <c r="D454" s="13">
        <v>0</v>
      </c>
      <c r="E454" s="395">
        <v>0</v>
      </c>
      <c r="F454" s="125">
        <v>0</v>
      </c>
      <c r="G454" s="11">
        <v>3</v>
      </c>
      <c r="H454" s="11">
        <v>0</v>
      </c>
      <c r="I454" s="403">
        <f>B454+C454+D454+E454+F454+G454+H454</f>
        <v>5</v>
      </c>
      <c r="J454" s="292">
        <f>'NOGAL '!$I454/7</f>
        <v>0.7142857142857143</v>
      </c>
    </row>
    <row r="455" spans="1:12" s="71" customFormat="1" x14ac:dyDescent="0.25">
      <c r="A455" s="79" t="s">
        <v>17</v>
      </c>
      <c r="B455" s="102">
        <f>SUM(B450:B454)</f>
        <v>83</v>
      </c>
      <c r="C455" s="79">
        <f t="shared" ref="C455:H455" si="185">SUM(C450:C454)</f>
        <v>126</v>
      </c>
      <c r="D455" s="79">
        <f t="shared" si="185"/>
        <v>127</v>
      </c>
      <c r="E455" s="248">
        <f t="shared" si="185"/>
        <v>111</v>
      </c>
      <c r="F455" s="15">
        <f t="shared" si="185"/>
        <v>268</v>
      </c>
      <c r="G455" s="79">
        <f t="shared" si="185"/>
        <v>309</v>
      </c>
      <c r="H455" s="79">
        <f t="shared" si="185"/>
        <v>344</v>
      </c>
      <c r="I455" s="404">
        <f>SUM(I450:I454)</f>
        <v>1368</v>
      </c>
      <c r="J455" s="405">
        <f>'NOGAL '!$I455/7</f>
        <v>195.42857142857142</v>
      </c>
    </row>
    <row r="456" spans="1:12" s="71" customFormat="1" x14ac:dyDescent="0.25">
      <c r="A456" s="77" t="s">
        <v>18</v>
      </c>
      <c r="B456" s="406">
        <v>0.77</v>
      </c>
      <c r="C456" s="19">
        <v>0.69</v>
      </c>
      <c r="D456" s="19">
        <v>0.65</v>
      </c>
      <c r="E456" s="18">
        <v>0.68</v>
      </c>
      <c r="F456" s="18">
        <v>0.73</v>
      </c>
      <c r="G456" s="18">
        <v>0.76</v>
      </c>
      <c r="H456" s="18">
        <v>0.84</v>
      </c>
      <c r="I456" s="105">
        <f>I463/I468</f>
        <v>0.75394952587000008</v>
      </c>
      <c r="J456" s="297">
        <f>J463/J468</f>
        <v>0.75394952586999997</v>
      </c>
    </row>
    <row r="457" spans="1:12" s="71" customFormat="1" x14ac:dyDescent="0.25">
      <c r="A457" s="77" t="s">
        <v>19</v>
      </c>
      <c r="B457" s="406">
        <v>0.03</v>
      </c>
      <c r="C457" s="19">
        <v>0.01</v>
      </c>
      <c r="D457" s="19">
        <v>0.06</v>
      </c>
      <c r="E457" s="18">
        <v>0</v>
      </c>
      <c r="F457" s="18">
        <v>0.03</v>
      </c>
      <c r="G457" s="18">
        <v>0.04</v>
      </c>
      <c r="H457" s="18">
        <v>0.03</v>
      </c>
      <c r="I457" s="105">
        <f>I464/I468</f>
        <v>3.0974130078591709E-2</v>
      </c>
      <c r="J457" s="297">
        <f>J464/J468</f>
        <v>3.0974130078591709E-2</v>
      </c>
    </row>
    <row r="458" spans="1:12" s="71" customFormat="1" x14ac:dyDescent="0.25">
      <c r="A458" s="77" t="s">
        <v>20</v>
      </c>
      <c r="B458" s="406">
        <v>0.09</v>
      </c>
      <c r="C458" s="19">
        <v>0.23</v>
      </c>
      <c r="D458" s="19">
        <v>0.22</v>
      </c>
      <c r="E458" s="18">
        <v>0.26</v>
      </c>
      <c r="F458" s="18">
        <v>0.19</v>
      </c>
      <c r="G458" s="18">
        <v>0.11</v>
      </c>
      <c r="H458" s="18">
        <v>0.06</v>
      </c>
      <c r="I458" s="105">
        <f>I465/I468</f>
        <v>0.1423924656825771</v>
      </c>
      <c r="J458" s="297">
        <f>J465/J468</f>
        <v>0.1423924656825771</v>
      </c>
    </row>
    <row r="459" spans="1:12" s="71" customFormat="1" x14ac:dyDescent="0.25">
      <c r="A459" s="77" t="s">
        <v>21</v>
      </c>
      <c r="B459" s="406">
        <v>0.08</v>
      </c>
      <c r="C459" s="19">
        <v>0.06</v>
      </c>
      <c r="D459" s="19">
        <v>7.0000000000000007E-2</v>
      </c>
      <c r="E459" s="18">
        <v>0.06</v>
      </c>
      <c r="F459" s="18">
        <v>0.05</v>
      </c>
      <c r="G459" s="18">
        <v>7.0000000000000007E-2</v>
      </c>
      <c r="H459" s="18">
        <v>7.0000000000000007E-2</v>
      </c>
      <c r="I459" s="105">
        <f>I466/I468</f>
        <v>6.5099029392941918E-2</v>
      </c>
      <c r="J459" s="297">
        <f>J466/J468</f>
        <v>6.5099029392941918E-2</v>
      </c>
    </row>
    <row r="460" spans="1:12" s="71" customFormat="1" x14ac:dyDescent="0.25">
      <c r="A460" s="77" t="s">
        <v>22</v>
      </c>
      <c r="B460" s="406">
        <v>0.03</v>
      </c>
      <c r="C460" s="19">
        <v>0.01</v>
      </c>
      <c r="D460" s="19">
        <v>0</v>
      </c>
      <c r="E460" s="18">
        <v>0</v>
      </c>
      <c r="F460" s="18">
        <v>0</v>
      </c>
      <c r="G460" s="18">
        <v>0.02</v>
      </c>
      <c r="H460" s="18">
        <v>0</v>
      </c>
      <c r="I460" s="105">
        <f>I467/I468</f>
        <v>7.5848489758893103E-3</v>
      </c>
      <c r="J460" s="297">
        <f>J467/J468</f>
        <v>7.5848489758893111E-3</v>
      </c>
    </row>
    <row r="461" spans="1:12" s="71" customFormat="1" x14ac:dyDescent="0.25">
      <c r="A461" s="81" t="s">
        <v>23</v>
      </c>
      <c r="B461" s="409">
        <f t="shared" ref="B461:J461" si="186">B472/B455</f>
        <v>39109.638554216865</v>
      </c>
      <c r="C461" s="131">
        <f t="shared" si="186"/>
        <v>34416.666666666664</v>
      </c>
      <c r="D461" s="131">
        <f t="shared" si="186"/>
        <v>33403.149606299216</v>
      </c>
      <c r="E461" s="397">
        <f t="shared" si="186"/>
        <v>33844.144144144142</v>
      </c>
      <c r="F461" s="132">
        <f t="shared" si="186"/>
        <v>37199.626865671642</v>
      </c>
      <c r="G461" s="130">
        <f t="shared" si="186"/>
        <v>39316.828478964409</v>
      </c>
      <c r="H461" s="130">
        <f t="shared" si="186"/>
        <v>37804.941860465122</v>
      </c>
      <c r="I461" s="359">
        <f t="shared" si="186"/>
        <v>37064.912280701756</v>
      </c>
      <c r="J461" s="314">
        <f t="shared" si="186"/>
        <v>37064.912280701756</v>
      </c>
    </row>
    <row r="462" spans="1:12" s="71" customFormat="1" x14ac:dyDescent="0.25">
      <c r="A462" s="81" t="s">
        <v>24</v>
      </c>
      <c r="B462" s="409">
        <f t="shared" ref="B462:J462" si="187">B472/B449</f>
        <v>30056.481481481482</v>
      </c>
      <c r="C462" s="131">
        <f t="shared" si="187"/>
        <v>28159.090909090908</v>
      </c>
      <c r="D462" s="131">
        <f t="shared" si="187"/>
        <v>29874.647887323943</v>
      </c>
      <c r="E462" s="397">
        <f t="shared" si="187"/>
        <v>30792.622950819674</v>
      </c>
      <c r="F462" s="132">
        <f t="shared" si="187"/>
        <v>40691.836734693876</v>
      </c>
      <c r="G462" s="130">
        <f t="shared" si="187"/>
        <v>31071.355498721234</v>
      </c>
      <c r="H462" s="130">
        <f t="shared" si="187"/>
        <v>31488.861985472158</v>
      </c>
      <c r="I462" s="359">
        <f t="shared" si="187"/>
        <v>32193.523809523809</v>
      </c>
      <c r="J462" s="314">
        <f t="shared" si="187"/>
        <v>32193.523809523809</v>
      </c>
    </row>
    <row r="463" spans="1:12" s="71" customFormat="1" x14ac:dyDescent="0.25">
      <c r="A463" s="77" t="s">
        <v>25</v>
      </c>
      <c r="B463" s="255">
        <f t="shared" ref="B463:H463" si="188">B468*B456</f>
        <v>2055177.7931034486</v>
      </c>
      <c r="C463" s="133">
        <f t="shared" si="188"/>
        <v>2469435.5275862068</v>
      </c>
      <c r="D463" s="133">
        <f t="shared" si="188"/>
        <v>2270637.8275862071</v>
      </c>
      <c r="E463" s="299">
        <f t="shared" si="188"/>
        <v>2102556.2482758621</v>
      </c>
      <c r="F463" s="134">
        <f t="shared" si="188"/>
        <v>5995461.93275862</v>
      </c>
      <c r="G463" s="92">
        <f t="shared" si="188"/>
        <v>7610772.7379310355</v>
      </c>
      <c r="H463" s="92">
        <f t="shared" si="188"/>
        <v>8921346.5793103464</v>
      </c>
      <c r="I463" s="108">
        <f>'NOGAL '!$B463+'NOGAL '!$C463+'NOGAL '!$D463+'NOGAL '!$E463+'NOGAL '!$F463+'NOGAL '!$G463+'NOGAL '!$H463</f>
        <v>31425388.646551725</v>
      </c>
      <c r="J463" s="300">
        <f>'NOGAL '!$I463/7</f>
        <v>4489341.2352216747</v>
      </c>
    </row>
    <row r="464" spans="1:12" s="71" customFormat="1" x14ac:dyDescent="0.25">
      <c r="A464" s="77" t="s">
        <v>26</v>
      </c>
      <c r="B464" s="255">
        <f t="shared" ref="B464:H464" si="189">B468*B457</f>
        <v>80071.862068965522</v>
      </c>
      <c r="C464" s="133">
        <f t="shared" si="189"/>
        <v>35788.920689655177</v>
      </c>
      <c r="D464" s="133">
        <f t="shared" si="189"/>
        <v>209597.33793103448</v>
      </c>
      <c r="E464" s="299">
        <f t="shared" si="189"/>
        <v>0</v>
      </c>
      <c r="F464" s="134">
        <f t="shared" si="189"/>
        <v>246388.84655172413</v>
      </c>
      <c r="G464" s="92">
        <f t="shared" si="189"/>
        <v>400566.9862068966</v>
      </c>
      <c r="H464" s="92">
        <f t="shared" si="189"/>
        <v>318619.52068965521</v>
      </c>
      <c r="I464" s="108">
        <f>'NOGAL '!$B464+'NOGAL '!$C464+'NOGAL '!$D464+'NOGAL '!$E464+'NOGAL '!$F464+'NOGAL '!$G464+'NOGAL '!$H464</f>
        <v>1291033.4741379311</v>
      </c>
      <c r="J464" s="300">
        <f>'NOGAL '!$I464/7</f>
        <v>184433.35344827588</v>
      </c>
    </row>
    <row r="465" spans="1:12" s="71" customFormat="1" x14ac:dyDescent="0.25">
      <c r="A465" s="77" t="s">
        <v>27</v>
      </c>
      <c r="B465" s="255">
        <f t="shared" ref="B465:H465" si="190">B468*B458</f>
        <v>240215.58620689655</v>
      </c>
      <c r="C465" s="133">
        <f t="shared" si="190"/>
        <v>823145.17586206901</v>
      </c>
      <c r="D465" s="133">
        <f t="shared" si="190"/>
        <v>768523.57241379318</v>
      </c>
      <c r="E465" s="299">
        <f t="shared" si="190"/>
        <v>803918.56551724137</v>
      </c>
      <c r="F465" s="134">
        <f t="shared" si="190"/>
        <v>1560462.6948275862</v>
      </c>
      <c r="G465" s="92">
        <f t="shared" si="190"/>
        <v>1101559.2120689657</v>
      </c>
      <c r="H465" s="92">
        <f t="shared" si="190"/>
        <v>637239.04137931042</v>
      </c>
      <c r="I465" s="108">
        <f>'NOGAL '!$B465+'NOGAL '!$C465+'NOGAL '!$D465+'NOGAL '!$E465+'NOGAL '!$F465+'NOGAL '!$G465+'NOGAL '!$H465</f>
        <v>5935063.8482758626</v>
      </c>
      <c r="J465" s="300">
        <f>'NOGAL '!$I465/7</f>
        <v>847866.264039409</v>
      </c>
    </row>
    <row r="466" spans="1:12" s="71" customFormat="1" x14ac:dyDescent="0.25">
      <c r="A466" s="77" t="s">
        <v>28</v>
      </c>
      <c r="B466" s="255">
        <f t="shared" ref="B466:H466" si="191">B468*B459</f>
        <v>213524.96551724139</v>
      </c>
      <c r="C466" s="133">
        <f t="shared" si="191"/>
        <v>214733.52413793103</v>
      </c>
      <c r="D466" s="133">
        <f t="shared" si="191"/>
        <v>244530.22758620692</v>
      </c>
      <c r="E466" s="299">
        <f t="shared" si="191"/>
        <v>185519.66896551725</v>
      </c>
      <c r="F466" s="134">
        <f t="shared" si="191"/>
        <v>410648.0775862069</v>
      </c>
      <c r="G466" s="92">
        <f t="shared" si="191"/>
        <v>700992.22586206917</v>
      </c>
      <c r="H466" s="92">
        <f t="shared" si="191"/>
        <v>743445.54827586224</v>
      </c>
      <c r="I466" s="108">
        <f>'NOGAL '!$B466+'NOGAL '!$C466+'NOGAL '!$D466+'NOGAL '!$E466+'NOGAL '!$F466+'NOGAL '!$G466+'NOGAL '!$H466</f>
        <v>2713394.237931035</v>
      </c>
      <c r="J466" s="300">
        <f>'NOGAL '!$I466/7</f>
        <v>387627.74827586213</v>
      </c>
    </row>
    <row r="467" spans="1:12" s="71" customFormat="1" x14ac:dyDescent="0.25">
      <c r="A467" s="77" t="s">
        <v>29</v>
      </c>
      <c r="B467" s="255">
        <f t="shared" ref="B467:H467" si="192">B468*B460</f>
        <v>80071.862068965522</v>
      </c>
      <c r="C467" s="133">
        <f t="shared" si="192"/>
        <v>35788.920689655177</v>
      </c>
      <c r="D467" s="133">
        <f t="shared" si="192"/>
        <v>0</v>
      </c>
      <c r="E467" s="299">
        <f t="shared" si="192"/>
        <v>0</v>
      </c>
      <c r="F467" s="134">
        <f t="shared" si="192"/>
        <v>0</v>
      </c>
      <c r="G467" s="92">
        <f t="shared" si="192"/>
        <v>200283.4931034483</v>
      </c>
      <c r="H467" s="92">
        <f t="shared" si="192"/>
        <v>0</v>
      </c>
      <c r="I467" s="108">
        <f>'NOGAL '!$B467+'NOGAL '!$C467+'NOGAL '!$D467+'NOGAL '!$E467+'NOGAL '!$F467+'NOGAL '!$G467+'NOGAL '!$H467</f>
        <v>316144.27586206899</v>
      </c>
      <c r="J467" s="300">
        <f>'NOGAL '!$I467/7</f>
        <v>45163.467980295572</v>
      </c>
    </row>
    <row r="468" spans="1:12" s="71" customFormat="1" x14ac:dyDescent="0.25">
      <c r="A468" s="82" t="s">
        <v>30</v>
      </c>
      <c r="B468" s="410">
        <f>(3246100/1.16)-B469</f>
        <v>2669062.0689655175</v>
      </c>
      <c r="C468" s="136">
        <f>(4336500/1.16)-C469</f>
        <v>3578892.0689655175</v>
      </c>
      <c r="D468" s="136">
        <f>(4242200/1.16)-D469</f>
        <v>3493288.9655172415</v>
      </c>
      <c r="E468" s="398">
        <f>(3756700/1.16)-E469</f>
        <v>3091994.4827586208</v>
      </c>
      <c r="F468" s="137">
        <f>(9969500/1.16)-F469</f>
        <v>8212961.5517241377</v>
      </c>
      <c r="G468" s="91">
        <f>(12148900/1.16)-G469</f>
        <v>10014174.655172415</v>
      </c>
      <c r="H468" s="91">
        <f>(13004900/1.16)-H469</f>
        <v>10620650.689655174</v>
      </c>
      <c r="I468" s="111">
        <f>SUM(I463:I467)</f>
        <v>41681024.482758619</v>
      </c>
      <c r="J468" s="361">
        <f>'NOGAL '!$I468/7</f>
        <v>5954432.068965517</v>
      </c>
    </row>
    <row r="469" spans="1:12" s="71" customFormat="1" x14ac:dyDescent="0.25">
      <c r="A469" s="77" t="s">
        <v>31</v>
      </c>
      <c r="B469" s="263">
        <f t="shared" ref="B469:J469" si="193">2155*B450</f>
        <v>129300</v>
      </c>
      <c r="C469" s="139">
        <f t="shared" si="193"/>
        <v>159470</v>
      </c>
      <c r="D469" s="139">
        <f t="shared" si="193"/>
        <v>163780</v>
      </c>
      <c r="E469" s="113">
        <f t="shared" si="193"/>
        <v>146540</v>
      </c>
      <c r="F469" s="112">
        <f t="shared" si="193"/>
        <v>381435</v>
      </c>
      <c r="G469" s="94">
        <f t="shared" si="193"/>
        <v>459015</v>
      </c>
      <c r="H469" s="94">
        <f>2155*H450</f>
        <v>590470</v>
      </c>
      <c r="I469" s="109">
        <f t="shared" si="193"/>
        <v>2030010</v>
      </c>
      <c r="J469" s="302">
        <f t="shared" si="193"/>
        <v>290001.42857142858</v>
      </c>
    </row>
    <row r="470" spans="1:12" s="71" customFormat="1" x14ac:dyDescent="0.25">
      <c r="A470" s="83" t="s">
        <v>32</v>
      </c>
      <c r="B470" s="411">
        <f>B468+B469</f>
        <v>2798362.0689655175</v>
      </c>
      <c r="C470" s="40">
        <f>C468+C469</f>
        <v>3738362.0689655175</v>
      </c>
      <c r="D470" s="40">
        <f t="shared" ref="D470:J470" si="194">D468+D469</f>
        <v>3657068.9655172415</v>
      </c>
      <c r="E470" s="399">
        <f t="shared" si="194"/>
        <v>3238534.4827586208</v>
      </c>
      <c r="F470" s="140">
        <f t="shared" si="194"/>
        <v>8594396.5517241377</v>
      </c>
      <c r="G470" s="39">
        <f t="shared" si="194"/>
        <v>10473189.655172415</v>
      </c>
      <c r="H470" s="39">
        <f t="shared" si="194"/>
        <v>11211120.689655174</v>
      </c>
      <c r="I470" s="412">
        <f t="shared" si="194"/>
        <v>43711034.482758619</v>
      </c>
      <c r="J470" s="364">
        <f t="shared" si="194"/>
        <v>6244433.4975369452</v>
      </c>
    </row>
    <row r="471" spans="1:12" s="71" customFormat="1" x14ac:dyDescent="0.25">
      <c r="A471" s="77" t="s">
        <v>33</v>
      </c>
      <c r="B471" s="413">
        <f>B470*16%</f>
        <v>447737.93103448278</v>
      </c>
      <c r="C471" s="42">
        <f>C470*16%</f>
        <v>598137.93103448278</v>
      </c>
      <c r="D471" s="42">
        <f t="shared" ref="D471:J471" si="195">D470*16%</f>
        <v>585131.03448275861</v>
      </c>
      <c r="E471" s="400">
        <f t="shared" si="195"/>
        <v>518165.5172413793</v>
      </c>
      <c r="F471" s="141">
        <f t="shared" si="195"/>
        <v>1375103.448275862</v>
      </c>
      <c r="G471" s="41">
        <f t="shared" si="195"/>
        <v>1675710.3448275866</v>
      </c>
      <c r="H471" s="41">
        <f t="shared" si="195"/>
        <v>1793779.3103448278</v>
      </c>
      <c r="I471" s="414">
        <f t="shared" si="195"/>
        <v>6993765.5172413792</v>
      </c>
      <c r="J471" s="415">
        <f t="shared" si="195"/>
        <v>999109.35960591119</v>
      </c>
    </row>
    <row r="472" spans="1:12" s="71" customFormat="1" x14ac:dyDescent="0.25">
      <c r="A472" s="142" t="s">
        <v>34</v>
      </c>
      <c r="B472" s="438">
        <f t="shared" ref="B472:H472" si="196">B470+B471</f>
        <v>3246100</v>
      </c>
      <c r="C472" s="143">
        <f t="shared" si="196"/>
        <v>4336500</v>
      </c>
      <c r="D472" s="143">
        <f t="shared" si="196"/>
        <v>4242200</v>
      </c>
      <c r="E472" s="439">
        <f t="shared" si="196"/>
        <v>3756700</v>
      </c>
      <c r="F472" s="145">
        <f t="shared" si="196"/>
        <v>9969500</v>
      </c>
      <c r="G472" s="144">
        <f t="shared" si="196"/>
        <v>12148900.000000002</v>
      </c>
      <c r="H472" s="144">
        <f t="shared" si="196"/>
        <v>13004900.000000002</v>
      </c>
      <c r="I472" s="440">
        <f>'NOGAL '!$B472+'NOGAL '!$C472+'NOGAL '!$D472+'NOGAL '!$E472+'NOGAL '!$F472+'NOGAL '!$G472+'NOGAL '!$H472</f>
        <v>50704800</v>
      </c>
      <c r="J472" s="441">
        <f>'NOGAL '!$I472/7</f>
        <v>7243542.8571428573</v>
      </c>
    </row>
    <row r="473" spans="1:12" s="71" customFormat="1" x14ac:dyDescent="0.25">
      <c r="A473" s="69"/>
      <c r="B473" s="424"/>
      <c r="C473" s="424"/>
      <c r="D473" s="424"/>
      <c r="E473" s="424"/>
      <c r="F473" s="424"/>
      <c r="G473" s="424"/>
      <c r="H473" s="424"/>
      <c r="I473" s="424"/>
      <c r="J473" s="424"/>
    </row>
    <row r="474" spans="1:12" s="71" customFormat="1" ht="15.75" thickBot="1" x14ac:dyDescent="0.3">
      <c r="A474" s="69"/>
      <c r="B474" s="424"/>
      <c r="C474" s="424"/>
      <c r="D474" s="424"/>
      <c r="E474" s="424"/>
      <c r="F474" s="424"/>
      <c r="G474" s="424"/>
      <c r="H474" s="424"/>
      <c r="I474" s="424"/>
      <c r="J474" s="424"/>
    </row>
    <row r="475" spans="1:12" s="71" customFormat="1" ht="26.25" x14ac:dyDescent="0.25">
      <c r="A475" s="85"/>
      <c r="B475" s="1002" t="s">
        <v>166</v>
      </c>
      <c r="C475" s="1002"/>
      <c r="D475" s="1002"/>
      <c r="E475" s="1002"/>
      <c r="F475" s="1002"/>
      <c r="G475" s="1002"/>
      <c r="H475" s="1002"/>
      <c r="I475" s="1002"/>
      <c r="J475" s="85"/>
    </row>
    <row r="476" spans="1:12" s="71" customFormat="1" ht="15.75" x14ac:dyDescent="0.25">
      <c r="A476" s="72" t="s">
        <v>2</v>
      </c>
      <c r="B476" s="429" t="s">
        <v>217</v>
      </c>
      <c r="C476" s="51" t="s">
        <v>218</v>
      </c>
      <c r="D476" s="349" t="s">
        <v>219</v>
      </c>
      <c r="E476" s="51" t="s">
        <v>220</v>
      </c>
      <c r="F476" s="51" t="s">
        <v>221</v>
      </c>
      <c r="G476" s="349" t="s">
        <v>222</v>
      </c>
      <c r="H476" s="349" t="s">
        <v>223</v>
      </c>
      <c r="I476" s="153" t="s">
        <v>10</v>
      </c>
      <c r="J476" s="421" t="s">
        <v>77</v>
      </c>
    </row>
    <row r="477" spans="1:12" s="71" customFormat="1" x14ac:dyDescent="0.25">
      <c r="A477" s="430" t="s">
        <v>11</v>
      </c>
      <c r="B477" s="431">
        <v>102</v>
      </c>
      <c r="C477" s="432">
        <v>130</v>
      </c>
      <c r="D477" s="433">
        <v>133</v>
      </c>
      <c r="E477" s="434">
        <v>192</v>
      </c>
      <c r="F477" s="435">
        <v>353</v>
      </c>
      <c r="G477" s="436">
        <v>244</v>
      </c>
      <c r="H477" s="434">
        <v>374</v>
      </c>
      <c r="I477" s="435">
        <f>SUM(B477:H477)</f>
        <v>1528</v>
      </c>
      <c r="J477" s="437">
        <f>'NOGAL '!$I477/7</f>
        <v>218.28571428571428</v>
      </c>
      <c r="L477" s="71">
        <v>209</v>
      </c>
    </row>
    <row r="478" spans="1:12" s="71" customFormat="1" x14ac:dyDescent="0.25">
      <c r="A478" s="77" t="s">
        <v>12</v>
      </c>
      <c r="B478" s="233">
        <v>64</v>
      </c>
      <c r="C478" s="13">
        <v>69</v>
      </c>
      <c r="D478" s="13">
        <v>70</v>
      </c>
      <c r="E478" s="395">
        <v>115</v>
      </c>
      <c r="F478" s="125">
        <v>229</v>
      </c>
      <c r="G478" s="11">
        <v>149</v>
      </c>
      <c r="H478" s="11">
        <v>241</v>
      </c>
      <c r="I478" s="403">
        <f>B478+C478+D478+E478+F478+G478+H478</f>
        <v>937</v>
      </c>
      <c r="J478" s="292">
        <f>'NOGAL '!$I478/7</f>
        <v>133.85714285714286</v>
      </c>
      <c r="L478" s="71">
        <v>126</v>
      </c>
    </row>
    <row r="479" spans="1:12" s="71" customFormat="1" x14ac:dyDescent="0.25">
      <c r="A479" s="77" t="s">
        <v>13</v>
      </c>
      <c r="B479" s="233">
        <v>5</v>
      </c>
      <c r="C479" s="13">
        <v>3</v>
      </c>
      <c r="D479" s="13">
        <v>5</v>
      </c>
      <c r="E479" s="395">
        <v>4</v>
      </c>
      <c r="F479" s="125">
        <v>12</v>
      </c>
      <c r="G479" s="11">
        <v>7</v>
      </c>
      <c r="H479" s="11">
        <v>14</v>
      </c>
      <c r="I479" s="403">
        <f>B479+C479+D479+E479+F479+G479+H479</f>
        <v>50</v>
      </c>
      <c r="J479" s="292">
        <f>C479+D479+E479+F479+G479+H479+I479</f>
        <v>95</v>
      </c>
      <c r="L479" s="71">
        <v>39</v>
      </c>
    </row>
    <row r="480" spans="1:12" s="71" customFormat="1" x14ac:dyDescent="0.25">
      <c r="A480" s="77" t="s">
        <v>14</v>
      </c>
      <c r="B480" s="233">
        <v>17</v>
      </c>
      <c r="C480" s="13">
        <v>37</v>
      </c>
      <c r="D480" s="13">
        <v>27</v>
      </c>
      <c r="E480" s="395">
        <v>27</v>
      </c>
      <c r="F480" s="125">
        <v>32</v>
      </c>
      <c r="G480" s="11">
        <v>27</v>
      </c>
      <c r="H480" s="11">
        <v>22</v>
      </c>
      <c r="I480" s="403">
        <f>B480+C480+D480+E480+F480+G480+H480</f>
        <v>189</v>
      </c>
      <c r="J480" s="292">
        <f>'NOGAL '!$I480/7</f>
        <v>27</v>
      </c>
      <c r="L480" s="71">
        <f>SUM(L477:L479)</f>
        <v>374</v>
      </c>
    </row>
    <row r="481" spans="1:10" s="71" customFormat="1" x14ac:dyDescent="0.25">
      <c r="A481" s="77" t="s">
        <v>15</v>
      </c>
      <c r="B481" s="233">
        <v>2</v>
      </c>
      <c r="C481" s="13">
        <v>11</v>
      </c>
      <c r="D481" s="13">
        <v>9</v>
      </c>
      <c r="E481" s="395">
        <v>12</v>
      </c>
      <c r="F481" s="125">
        <v>11</v>
      </c>
      <c r="G481" s="11">
        <v>11</v>
      </c>
      <c r="H481" s="11">
        <v>19</v>
      </c>
      <c r="I481" s="403">
        <f>B481+C481+D481+E481+F481+G481+H481</f>
        <v>75</v>
      </c>
      <c r="J481" s="292">
        <f>'NOGAL '!$I481/7</f>
        <v>10.714285714285714</v>
      </c>
    </row>
    <row r="482" spans="1:10" s="71" customFormat="1" x14ac:dyDescent="0.25">
      <c r="A482" s="77" t="s">
        <v>16</v>
      </c>
      <c r="B482" s="233">
        <v>0</v>
      </c>
      <c r="C482" s="13">
        <v>0</v>
      </c>
      <c r="D482" s="13">
        <v>1</v>
      </c>
      <c r="E482" s="395">
        <v>0</v>
      </c>
      <c r="F482" s="125">
        <v>2</v>
      </c>
      <c r="G482" s="11">
        <v>0</v>
      </c>
      <c r="H482" s="11">
        <v>1</v>
      </c>
      <c r="I482" s="403">
        <f>B482+C482+D482+E482+F482+G482+H482</f>
        <v>4</v>
      </c>
      <c r="J482" s="292">
        <f>'NOGAL '!$I482/7</f>
        <v>0.5714285714285714</v>
      </c>
    </row>
    <row r="483" spans="1:10" s="71" customFormat="1" x14ac:dyDescent="0.25">
      <c r="A483" s="79" t="s">
        <v>17</v>
      </c>
      <c r="B483" s="102">
        <f>SUM(B478:B482)</f>
        <v>88</v>
      </c>
      <c r="C483" s="79">
        <f t="shared" ref="C483:H483" si="197">SUM(C478:C482)</f>
        <v>120</v>
      </c>
      <c r="D483" s="79">
        <f t="shared" si="197"/>
        <v>112</v>
      </c>
      <c r="E483" s="248">
        <f t="shared" si="197"/>
        <v>158</v>
      </c>
      <c r="F483" s="15">
        <f t="shared" si="197"/>
        <v>286</v>
      </c>
      <c r="G483" s="79">
        <f t="shared" si="197"/>
        <v>194</v>
      </c>
      <c r="H483" s="79">
        <f t="shared" si="197"/>
        <v>297</v>
      </c>
      <c r="I483" s="404">
        <f>SUM(I478:I482)</f>
        <v>1255</v>
      </c>
      <c r="J483" s="405">
        <f>'NOGAL '!$I483/7</f>
        <v>179.28571428571428</v>
      </c>
    </row>
    <row r="484" spans="1:10" s="71" customFormat="1" x14ac:dyDescent="0.25">
      <c r="A484" s="77" t="s">
        <v>18</v>
      </c>
      <c r="B484" s="406">
        <v>0.81</v>
      </c>
      <c r="C484" s="19">
        <v>0.68</v>
      </c>
      <c r="D484" s="19">
        <v>0.67</v>
      </c>
      <c r="E484" s="18">
        <v>0.79</v>
      </c>
      <c r="F484" s="18">
        <v>0.83</v>
      </c>
      <c r="G484" s="18">
        <v>0.85</v>
      </c>
      <c r="H484" s="18">
        <v>0.86</v>
      </c>
      <c r="I484" s="105">
        <f>I491/I496</f>
        <v>0.80884103141704722</v>
      </c>
      <c r="J484" s="297">
        <f>J491/J496</f>
        <v>0.80884103141704722</v>
      </c>
    </row>
    <row r="485" spans="1:10" s="71" customFormat="1" x14ac:dyDescent="0.25">
      <c r="A485" s="77" t="s">
        <v>19</v>
      </c>
      <c r="B485" s="406">
        <v>0.06</v>
      </c>
      <c r="C485" s="19">
        <v>0.02</v>
      </c>
      <c r="D485" s="19">
        <v>0.05</v>
      </c>
      <c r="E485" s="18">
        <v>0.02</v>
      </c>
      <c r="F485" s="18">
        <v>0.06</v>
      </c>
      <c r="G485" s="18">
        <v>0.03</v>
      </c>
      <c r="H485" s="18">
        <v>0.04</v>
      </c>
      <c r="I485" s="105">
        <f>I492/I496</f>
        <v>4.1480204881419167E-2</v>
      </c>
      <c r="J485" s="297">
        <f>J492/J496</f>
        <v>4.1480204881419167E-2</v>
      </c>
    </row>
    <row r="486" spans="1:10" s="71" customFormat="1" x14ac:dyDescent="0.25">
      <c r="A486" s="77" t="s">
        <v>20</v>
      </c>
      <c r="B486" s="406">
        <v>0.12</v>
      </c>
      <c r="C486" s="19">
        <v>0.22</v>
      </c>
      <c r="D486" s="19">
        <v>0.2</v>
      </c>
      <c r="E486" s="18">
        <v>0.15</v>
      </c>
      <c r="F486" s="18">
        <v>0.08</v>
      </c>
      <c r="G486" s="18">
        <v>0.09</v>
      </c>
      <c r="H486" s="18">
        <v>0.05</v>
      </c>
      <c r="I486" s="105">
        <f>I493/I496</f>
        <v>0.10671437824853346</v>
      </c>
      <c r="J486" s="297">
        <f>J493/J496</f>
        <v>0.10671437824853344</v>
      </c>
    </row>
    <row r="487" spans="1:10" s="71" customFormat="1" x14ac:dyDescent="0.25">
      <c r="A487" s="77" t="s">
        <v>21</v>
      </c>
      <c r="B487" s="406">
        <v>0.01</v>
      </c>
      <c r="C487" s="19">
        <v>0.08</v>
      </c>
      <c r="D487" s="19">
        <v>7.0000000000000007E-2</v>
      </c>
      <c r="E487" s="18">
        <v>0.04</v>
      </c>
      <c r="F487" s="18">
        <v>0.02</v>
      </c>
      <c r="G487" s="18">
        <v>0.03</v>
      </c>
      <c r="H487" s="18">
        <v>0.05</v>
      </c>
      <c r="I487" s="105">
        <f>I494/I496</f>
        <v>3.9712812586316565E-2</v>
      </c>
      <c r="J487" s="297">
        <f>J494/J496</f>
        <v>3.9712812586316565E-2</v>
      </c>
    </row>
    <row r="488" spans="1:10" s="71" customFormat="1" x14ac:dyDescent="0.25">
      <c r="A488" s="77" t="s">
        <v>22</v>
      </c>
      <c r="B488" s="406">
        <v>0</v>
      </c>
      <c r="C488" s="19">
        <v>0</v>
      </c>
      <c r="D488" s="19">
        <v>0.01</v>
      </c>
      <c r="E488" s="18">
        <v>0</v>
      </c>
      <c r="F488" s="18">
        <v>0.01</v>
      </c>
      <c r="G488" s="18">
        <v>0</v>
      </c>
      <c r="H488" s="18">
        <v>0</v>
      </c>
      <c r="I488" s="105">
        <f>I495/I496</f>
        <v>3.2515728666833491E-3</v>
      </c>
      <c r="J488" s="297">
        <f>J495/J496</f>
        <v>3.2515728666833491E-3</v>
      </c>
    </row>
    <row r="489" spans="1:10" s="71" customFormat="1" x14ac:dyDescent="0.25">
      <c r="A489" s="81" t="s">
        <v>23</v>
      </c>
      <c r="B489" s="409">
        <f t="shared" ref="B489:J489" si="198">B500/B483</f>
        <v>36842.045454545463</v>
      </c>
      <c r="C489" s="131">
        <f t="shared" si="198"/>
        <v>32086.666666666668</v>
      </c>
      <c r="D489" s="131">
        <f t="shared" si="198"/>
        <v>34254.464285714283</v>
      </c>
      <c r="E489" s="397">
        <f t="shared" si="198"/>
        <v>34248.734177215192</v>
      </c>
      <c r="F489" s="132">
        <f t="shared" si="198"/>
        <v>39500.000000000007</v>
      </c>
      <c r="G489" s="130">
        <f t="shared" si="198"/>
        <v>38633.505154639177</v>
      </c>
      <c r="H489" s="130">
        <f t="shared" si="198"/>
        <v>38563.973063973062</v>
      </c>
      <c r="I489" s="359">
        <f t="shared" si="198"/>
        <v>37120.079681274903</v>
      </c>
      <c r="J489" s="314">
        <f t="shared" si="198"/>
        <v>37120.079681274903</v>
      </c>
    </row>
    <row r="490" spans="1:10" s="71" customFormat="1" x14ac:dyDescent="0.25">
      <c r="A490" s="81" t="s">
        <v>24</v>
      </c>
      <c r="B490" s="409">
        <f t="shared" ref="B490:J490" si="199">B500/B477</f>
        <v>31785.294117647063</v>
      </c>
      <c r="C490" s="131">
        <f t="shared" si="199"/>
        <v>29618.461538461539</v>
      </c>
      <c r="D490" s="131">
        <f t="shared" si="199"/>
        <v>28845.864661654134</v>
      </c>
      <c r="E490" s="397">
        <f t="shared" si="199"/>
        <v>28183.854166666672</v>
      </c>
      <c r="F490" s="132">
        <f t="shared" si="199"/>
        <v>32002.832861189807</v>
      </c>
      <c r="G490" s="130">
        <f t="shared" si="199"/>
        <v>30716.803278688523</v>
      </c>
      <c r="H490" s="130">
        <f t="shared" si="199"/>
        <v>30624.331550802141</v>
      </c>
      <c r="I490" s="359">
        <f t="shared" si="199"/>
        <v>30488.023560209425</v>
      </c>
      <c r="J490" s="314">
        <f t="shared" si="199"/>
        <v>30488.023560209425</v>
      </c>
    </row>
    <row r="491" spans="1:10" s="71" customFormat="1" x14ac:dyDescent="0.25">
      <c r="A491" s="77" t="s">
        <v>25</v>
      </c>
      <c r="B491" s="255">
        <f t="shared" ref="B491:H491" si="200">B496*B484</f>
        <v>2152164.9724137937</v>
      </c>
      <c r="C491" s="133">
        <f t="shared" si="200"/>
        <v>2156018.4344827589</v>
      </c>
      <c r="D491" s="133">
        <f t="shared" si="200"/>
        <v>2114839.9827586208</v>
      </c>
      <c r="E491" s="299">
        <f t="shared" si="200"/>
        <v>3489500.146551725</v>
      </c>
      <c r="F491" s="134">
        <f t="shared" si="200"/>
        <v>7673597.4258620702</v>
      </c>
      <c r="G491" s="92">
        <f t="shared" si="200"/>
        <v>5219021.8362068962</v>
      </c>
      <c r="H491" s="92">
        <f t="shared" si="200"/>
        <v>8044742.6310344832</v>
      </c>
      <c r="I491" s="108">
        <f>'NOGAL '!$B491+'NOGAL '!$C491+'NOGAL '!$D491+'NOGAL '!$E491+'NOGAL '!$F491+'NOGAL '!$G491+'NOGAL '!$H491</f>
        <v>30849885.429310348</v>
      </c>
      <c r="J491" s="300">
        <f>'NOGAL '!$I491/7</f>
        <v>4407126.4899014784</v>
      </c>
    </row>
    <row r="492" spans="1:10" s="71" customFormat="1" x14ac:dyDescent="0.25">
      <c r="A492" s="77" t="s">
        <v>26</v>
      </c>
      <c r="B492" s="255">
        <f t="shared" ref="B492:H492" si="201">B496*B485</f>
        <v>159419.62758620692</v>
      </c>
      <c r="C492" s="133">
        <f t="shared" si="201"/>
        <v>63412.30689655173</v>
      </c>
      <c r="D492" s="133">
        <f t="shared" si="201"/>
        <v>157823.87931034484</v>
      </c>
      <c r="E492" s="299">
        <f t="shared" si="201"/>
        <v>88341.775862068986</v>
      </c>
      <c r="F492" s="134">
        <f t="shared" si="201"/>
        <v>554717.88620689663</v>
      </c>
      <c r="G492" s="92">
        <f t="shared" si="201"/>
        <v>184200.77068965518</v>
      </c>
      <c r="H492" s="92">
        <f t="shared" si="201"/>
        <v>374174.07586206897</v>
      </c>
      <c r="I492" s="108">
        <f>'NOGAL '!$B492+'NOGAL '!$C492+'NOGAL '!$D492+'NOGAL '!$E492+'NOGAL '!$F492+'NOGAL '!$G492+'NOGAL '!$H492</f>
        <v>1582090.3224137931</v>
      </c>
      <c r="J492" s="300">
        <f>'NOGAL '!$I492/7</f>
        <v>226012.90320197045</v>
      </c>
    </row>
    <row r="493" spans="1:10" s="71" customFormat="1" x14ac:dyDescent="0.25">
      <c r="A493" s="77" t="s">
        <v>27</v>
      </c>
      <c r="B493" s="255">
        <f t="shared" ref="B493:H493" si="202">B496*B486</f>
        <v>318839.25517241383</v>
      </c>
      <c r="C493" s="133">
        <f t="shared" si="202"/>
        <v>697535.37586206896</v>
      </c>
      <c r="D493" s="133">
        <f t="shared" si="202"/>
        <v>631295.51724137936</v>
      </c>
      <c r="E493" s="299">
        <f t="shared" si="202"/>
        <v>662563.31896551733</v>
      </c>
      <c r="F493" s="134">
        <f t="shared" si="202"/>
        <v>739623.84827586217</v>
      </c>
      <c r="G493" s="92">
        <f t="shared" si="202"/>
        <v>552602.31206896552</v>
      </c>
      <c r="H493" s="92">
        <f t="shared" si="202"/>
        <v>467717.59482758626</v>
      </c>
      <c r="I493" s="108">
        <f>'NOGAL '!$B493+'NOGAL '!$C493+'NOGAL '!$D493+'NOGAL '!$E493+'NOGAL '!$F493+'NOGAL '!$G493+'NOGAL '!$H493</f>
        <v>4070177.2224137937</v>
      </c>
      <c r="J493" s="300">
        <f>'NOGAL '!$I493/7</f>
        <v>581453.88891625626</v>
      </c>
    </row>
    <row r="494" spans="1:10" s="71" customFormat="1" x14ac:dyDescent="0.25">
      <c r="A494" s="77" t="s">
        <v>28</v>
      </c>
      <c r="B494" s="255">
        <f t="shared" ref="B494:H494" si="203">B496*B487</f>
        <v>26569.937931034485</v>
      </c>
      <c r="C494" s="133">
        <f t="shared" si="203"/>
        <v>253649.22758620692</v>
      </c>
      <c r="D494" s="133">
        <f t="shared" si="203"/>
        <v>220953.43103448278</v>
      </c>
      <c r="E494" s="299">
        <f t="shared" si="203"/>
        <v>176683.55172413797</v>
      </c>
      <c r="F494" s="134">
        <f t="shared" si="203"/>
        <v>184905.96206896554</v>
      </c>
      <c r="G494" s="92">
        <f t="shared" si="203"/>
        <v>184200.77068965518</v>
      </c>
      <c r="H494" s="92">
        <f t="shared" si="203"/>
        <v>467717.59482758626</v>
      </c>
      <c r="I494" s="108">
        <f>'NOGAL '!$B494+'NOGAL '!$C494+'NOGAL '!$D494+'NOGAL '!$E494+'NOGAL '!$F494+'NOGAL '!$G494+'NOGAL '!$H494</f>
        <v>1514680.4758620693</v>
      </c>
      <c r="J494" s="300">
        <f>'NOGAL '!$I494/7</f>
        <v>216382.92512315276</v>
      </c>
    </row>
    <row r="495" spans="1:10" s="71" customFormat="1" x14ac:dyDescent="0.25">
      <c r="A495" s="77" t="s">
        <v>29</v>
      </c>
      <c r="B495" s="255">
        <f t="shared" ref="B495:H495" si="204">B496*B488</f>
        <v>0</v>
      </c>
      <c r="C495" s="133">
        <f t="shared" si="204"/>
        <v>0</v>
      </c>
      <c r="D495" s="133">
        <f t="shared" si="204"/>
        <v>31564.775862068967</v>
      </c>
      <c r="E495" s="299">
        <f t="shared" si="204"/>
        <v>0</v>
      </c>
      <c r="F495" s="134">
        <f t="shared" si="204"/>
        <v>92452.981034482771</v>
      </c>
      <c r="G495" s="92">
        <f t="shared" si="204"/>
        <v>0</v>
      </c>
      <c r="H495" s="92">
        <f t="shared" si="204"/>
        <v>0</v>
      </c>
      <c r="I495" s="108">
        <f>'NOGAL '!$B495+'NOGAL '!$C495+'NOGAL '!$D495+'NOGAL '!$E495+'NOGAL '!$F495+'NOGAL '!$G495+'NOGAL '!$H495</f>
        <v>124017.75689655174</v>
      </c>
      <c r="J495" s="300">
        <f>'NOGAL '!$I495/7</f>
        <v>17716.822413793107</v>
      </c>
    </row>
    <row r="496" spans="1:10" s="71" customFormat="1" x14ac:dyDescent="0.25">
      <c r="A496" s="82" t="s">
        <v>30</v>
      </c>
      <c r="B496" s="410">
        <f>(3242100/1.16)-B497</f>
        <v>2656993.7931034486</v>
      </c>
      <c r="C496" s="136">
        <f>(3850400/1.16)-C497</f>
        <v>3170615.3448275863</v>
      </c>
      <c r="D496" s="136">
        <f>(3836500/1.16)-D497</f>
        <v>3156477.5862068967</v>
      </c>
      <c r="E496" s="398">
        <f>(5411300/1.16)-E497</f>
        <v>4417088.793103449</v>
      </c>
      <c r="F496" s="137">
        <f>(11297000/1.16)-F497</f>
        <v>9245298.1034482773</v>
      </c>
      <c r="G496" s="91">
        <f>(7494900/1.16)-G497</f>
        <v>6140025.6896551726</v>
      </c>
      <c r="H496" s="91">
        <f>(11453500/1.16)-H497</f>
        <v>9354351.8965517245</v>
      </c>
      <c r="I496" s="111">
        <f>SUM(I491:I495)</f>
        <v>38140851.206896566</v>
      </c>
      <c r="J496" s="361">
        <f>'NOGAL '!$I496/7</f>
        <v>5448693.0295566525</v>
      </c>
    </row>
    <row r="497" spans="1:12" s="71" customFormat="1" x14ac:dyDescent="0.25">
      <c r="A497" s="77" t="s">
        <v>31</v>
      </c>
      <c r="B497" s="263">
        <f t="shared" ref="B497:G497" si="205">2155*B478</f>
        <v>137920</v>
      </c>
      <c r="C497" s="139">
        <f t="shared" si="205"/>
        <v>148695</v>
      </c>
      <c r="D497" s="139">
        <f t="shared" si="205"/>
        <v>150850</v>
      </c>
      <c r="E497" s="113">
        <f t="shared" si="205"/>
        <v>247825</v>
      </c>
      <c r="F497" s="112">
        <f t="shared" si="205"/>
        <v>493495</v>
      </c>
      <c r="G497" s="94">
        <f t="shared" si="205"/>
        <v>321095</v>
      </c>
      <c r="H497" s="94">
        <f>2155*H478</f>
        <v>519355</v>
      </c>
      <c r="I497" s="109">
        <f>2155*I478</f>
        <v>2019235</v>
      </c>
      <c r="J497" s="302">
        <f>2155*J478</f>
        <v>288462.14285714284</v>
      </c>
    </row>
    <row r="498" spans="1:12" s="71" customFormat="1" x14ac:dyDescent="0.25">
      <c r="A498" s="83" t="s">
        <v>32</v>
      </c>
      <c r="B498" s="411">
        <f>B496+B497</f>
        <v>2794913.7931034486</v>
      </c>
      <c r="C498" s="40">
        <f>C496+C497</f>
        <v>3319310.3448275863</v>
      </c>
      <c r="D498" s="40">
        <f t="shared" ref="D498:J498" si="206">D496+D497</f>
        <v>3307327.5862068967</v>
      </c>
      <c r="E498" s="399">
        <f t="shared" si="206"/>
        <v>4664913.793103449</v>
      </c>
      <c r="F498" s="140">
        <f t="shared" si="206"/>
        <v>9738793.1034482773</v>
      </c>
      <c r="G498" s="39">
        <f t="shared" si="206"/>
        <v>6461120.6896551726</v>
      </c>
      <c r="H498" s="39">
        <f t="shared" si="206"/>
        <v>9873706.8965517245</v>
      </c>
      <c r="I498" s="412">
        <f t="shared" si="206"/>
        <v>40160086.206896566</v>
      </c>
      <c r="J498" s="364">
        <f t="shared" si="206"/>
        <v>5737155.1724137953</v>
      </c>
    </row>
    <row r="499" spans="1:12" s="71" customFormat="1" x14ac:dyDescent="0.25">
      <c r="A499" s="77" t="s">
        <v>33</v>
      </c>
      <c r="B499" s="413">
        <f>B498*16%</f>
        <v>447186.20689655177</v>
      </c>
      <c r="C499" s="42">
        <f>C498*16%</f>
        <v>531089.6551724138</v>
      </c>
      <c r="D499" s="42">
        <f t="shared" ref="D499:J499" si="207">D498*16%</f>
        <v>529172.41379310354</v>
      </c>
      <c r="E499" s="400">
        <f t="shared" si="207"/>
        <v>746386.20689655188</v>
      </c>
      <c r="F499" s="141">
        <f t="shared" si="207"/>
        <v>1558206.8965517243</v>
      </c>
      <c r="G499" s="41">
        <f t="shared" si="207"/>
        <v>1033779.3103448276</v>
      </c>
      <c r="H499" s="41">
        <f t="shared" si="207"/>
        <v>1579793.1034482759</v>
      </c>
      <c r="I499" s="414">
        <f t="shared" si="207"/>
        <v>6425613.7931034509</v>
      </c>
      <c r="J499" s="415">
        <f t="shared" si="207"/>
        <v>917944.82758620731</v>
      </c>
    </row>
    <row r="500" spans="1:12" s="71" customFormat="1" x14ac:dyDescent="0.25">
      <c r="A500" s="142" t="s">
        <v>34</v>
      </c>
      <c r="B500" s="438">
        <f t="shared" ref="B500:H500" si="208">B498+B499</f>
        <v>3242100.0000000005</v>
      </c>
      <c r="C500" s="143">
        <f t="shared" si="208"/>
        <v>3850400</v>
      </c>
      <c r="D500" s="143">
        <f t="shared" si="208"/>
        <v>3836500</v>
      </c>
      <c r="E500" s="439">
        <f t="shared" si="208"/>
        <v>5411300.0000000009</v>
      </c>
      <c r="F500" s="145">
        <f t="shared" si="208"/>
        <v>11297000.000000002</v>
      </c>
      <c r="G500" s="144">
        <f t="shared" si="208"/>
        <v>7494900</v>
      </c>
      <c r="H500" s="144">
        <f t="shared" si="208"/>
        <v>11453500</v>
      </c>
      <c r="I500" s="440">
        <f>'NOGAL '!$B500+'NOGAL '!$C500+'NOGAL '!$D500+'NOGAL '!$E500+'NOGAL '!$F500+'NOGAL '!$G500+'NOGAL '!$H500</f>
        <v>46585700</v>
      </c>
      <c r="J500" s="441">
        <f>'NOGAL '!$I500/7</f>
        <v>6655100</v>
      </c>
    </row>
    <row r="501" spans="1:12" s="71" customFormat="1" x14ac:dyDescent="0.25">
      <c r="A501" s="69"/>
      <c r="B501" s="424"/>
      <c r="C501" s="424"/>
      <c r="D501" s="424"/>
      <c r="E501" s="424"/>
      <c r="F501" s="424"/>
      <c r="G501" s="424"/>
      <c r="H501" s="424"/>
      <c r="I501" s="424"/>
      <c r="J501" s="424"/>
    </row>
    <row r="502" spans="1:12" s="71" customFormat="1" ht="15.75" thickBot="1" x14ac:dyDescent="0.3">
      <c r="A502" s="69"/>
      <c r="B502" s="424"/>
      <c r="C502" s="424"/>
      <c r="D502" s="424"/>
      <c r="E502" s="424"/>
      <c r="F502" s="424"/>
      <c r="G502" s="424"/>
      <c r="H502" s="424"/>
      <c r="I502" s="424"/>
      <c r="J502" s="424"/>
    </row>
    <row r="503" spans="1:12" s="71" customFormat="1" ht="26.25" x14ac:dyDescent="0.25">
      <c r="A503" s="85"/>
      <c r="B503" s="1002" t="s">
        <v>169</v>
      </c>
      <c r="C503" s="1002"/>
      <c r="D503" s="1002"/>
      <c r="E503" s="1002"/>
      <c r="F503" s="1002"/>
      <c r="G503" s="1002"/>
      <c r="H503" s="1002"/>
      <c r="I503" s="1002"/>
      <c r="J503" s="85"/>
    </row>
    <row r="504" spans="1:12" s="71" customFormat="1" ht="15.75" x14ac:dyDescent="0.25">
      <c r="A504" s="72" t="s">
        <v>2</v>
      </c>
      <c r="B504" s="429" t="s">
        <v>225</v>
      </c>
      <c r="C504" s="51" t="s">
        <v>226</v>
      </c>
      <c r="D504" s="349" t="s">
        <v>227</v>
      </c>
      <c r="E504" s="51" t="s">
        <v>228</v>
      </c>
      <c r="F504" s="51" t="s">
        <v>229</v>
      </c>
      <c r="G504" s="349" t="s">
        <v>230</v>
      </c>
      <c r="H504" s="349" t="s">
        <v>231</v>
      </c>
      <c r="I504" s="153" t="s">
        <v>10</v>
      </c>
      <c r="J504" s="421" t="s">
        <v>77</v>
      </c>
    </row>
    <row r="505" spans="1:12" s="71" customFormat="1" x14ac:dyDescent="0.25">
      <c r="A505" s="430" t="s">
        <v>11</v>
      </c>
      <c r="B505" s="431">
        <v>118</v>
      </c>
      <c r="C505" s="432">
        <v>119</v>
      </c>
      <c r="D505" s="433">
        <v>184</v>
      </c>
      <c r="E505" s="434">
        <v>160</v>
      </c>
      <c r="F505" s="435">
        <v>275</v>
      </c>
      <c r="G505" s="436">
        <v>291</v>
      </c>
      <c r="H505" s="434">
        <v>278</v>
      </c>
      <c r="I505" s="435">
        <f>SUM(B505:H505)</f>
        <v>1425</v>
      </c>
      <c r="J505" s="437">
        <f>'NOGAL '!$I505/7</f>
        <v>203.57142857142858</v>
      </c>
      <c r="L505" s="71">
        <v>71</v>
      </c>
    </row>
    <row r="506" spans="1:12" s="71" customFormat="1" x14ac:dyDescent="0.25">
      <c r="A506" s="77" t="s">
        <v>12</v>
      </c>
      <c r="B506" s="233">
        <v>70</v>
      </c>
      <c r="C506" s="13">
        <v>70</v>
      </c>
      <c r="D506" s="13">
        <v>123</v>
      </c>
      <c r="E506" s="395">
        <v>88</v>
      </c>
      <c r="F506" s="125">
        <v>156</v>
      </c>
      <c r="G506" s="11">
        <v>168</v>
      </c>
      <c r="H506" s="11">
        <v>199</v>
      </c>
      <c r="I506" s="403">
        <f>B506+C506+D506+E506+F506+G506+H506</f>
        <v>874</v>
      </c>
      <c r="J506" s="292">
        <f>'NOGAL '!$I506/7</f>
        <v>124.85714285714286</v>
      </c>
      <c r="L506" s="71">
        <v>33</v>
      </c>
    </row>
    <row r="507" spans="1:12" s="71" customFormat="1" x14ac:dyDescent="0.25">
      <c r="A507" s="77" t="s">
        <v>13</v>
      </c>
      <c r="B507" s="233">
        <v>2</v>
      </c>
      <c r="C507" s="13">
        <v>1</v>
      </c>
      <c r="D507" s="13">
        <v>3</v>
      </c>
      <c r="E507" s="395">
        <v>3</v>
      </c>
      <c r="F507" s="125">
        <v>6</v>
      </c>
      <c r="G507" s="11">
        <v>4</v>
      </c>
      <c r="H507" s="11">
        <v>3</v>
      </c>
      <c r="I507" s="403">
        <f>B507+C507+D507+E507+F507+G507+H507</f>
        <v>22</v>
      </c>
      <c r="J507" s="292">
        <f>'NOGAL '!$I507/7</f>
        <v>3.1428571428571428</v>
      </c>
      <c r="L507" s="71">
        <v>15</v>
      </c>
    </row>
    <row r="508" spans="1:12" s="71" customFormat="1" x14ac:dyDescent="0.25">
      <c r="A508" s="77" t="s">
        <v>14</v>
      </c>
      <c r="B508" s="233">
        <v>22</v>
      </c>
      <c r="C508" s="13">
        <v>20</v>
      </c>
      <c r="D508" s="13">
        <v>27</v>
      </c>
      <c r="E508" s="395">
        <v>38</v>
      </c>
      <c r="F508" s="125">
        <v>43</v>
      </c>
      <c r="G508" s="11">
        <v>30</v>
      </c>
      <c r="H508" s="11">
        <v>26</v>
      </c>
      <c r="I508" s="403">
        <f>B508+C508+D508+E508+F508+G508+H508</f>
        <v>206</v>
      </c>
      <c r="J508" s="292">
        <f>'NOGAL '!$I508/7</f>
        <v>29.428571428571427</v>
      </c>
      <c r="L508" s="71">
        <f>SUM(L505:L507)</f>
        <v>119</v>
      </c>
    </row>
    <row r="509" spans="1:12" s="71" customFormat="1" x14ac:dyDescent="0.25">
      <c r="A509" s="77" t="s">
        <v>15</v>
      </c>
      <c r="B509" s="233">
        <v>7</v>
      </c>
      <c r="C509" s="13">
        <v>11</v>
      </c>
      <c r="D509" s="13">
        <v>11</v>
      </c>
      <c r="E509" s="395">
        <v>19</v>
      </c>
      <c r="F509" s="125">
        <v>12</v>
      </c>
      <c r="G509" s="11">
        <v>26</v>
      </c>
      <c r="H509" s="11">
        <v>23</v>
      </c>
      <c r="I509" s="403">
        <f>B509+C509+D509+E509+F509+G509+H509</f>
        <v>109</v>
      </c>
      <c r="J509" s="292">
        <f>'NOGAL '!$I509/7</f>
        <v>15.571428571428571</v>
      </c>
    </row>
    <row r="510" spans="1:12" s="71" customFormat="1" x14ac:dyDescent="0.25">
      <c r="A510" s="77" t="s">
        <v>16</v>
      </c>
      <c r="B510" s="233">
        <v>0</v>
      </c>
      <c r="C510" s="13">
        <v>0</v>
      </c>
      <c r="D510" s="13">
        <v>0</v>
      </c>
      <c r="E510" s="395">
        <v>0</v>
      </c>
      <c r="F510" s="125">
        <v>0</v>
      </c>
      <c r="G510" s="11">
        <v>1</v>
      </c>
      <c r="H510" s="11">
        <v>0</v>
      </c>
      <c r="I510" s="403">
        <f>B510+C510+D510+E510+F510+G510+H510</f>
        <v>1</v>
      </c>
      <c r="J510" s="292">
        <f>'NOGAL '!$I510/7</f>
        <v>0.14285714285714285</v>
      </c>
    </row>
    <row r="511" spans="1:12" s="71" customFormat="1" x14ac:dyDescent="0.25">
      <c r="A511" s="79" t="s">
        <v>17</v>
      </c>
      <c r="B511" s="102">
        <f>SUM(B506:B510)</f>
        <v>101</v>
      </c>
      <c r="C511" s="79">
        <f t="shared" ref="C511:H511" si="209">SUM(C506:C510)</f>
        <v>102</v>
      </c>
      <c r="D511" s="79">
        <f t="shared" si="209"/>
        <v>164</v>
      </c>
      <c r="E511" s="248">
        <f t="shared" si="209"/>
        <v>148</v>
      </c>
      <c r="F511" s="15">
        <f t="shared" si="209"/>
        <v>217</v>
      </c>
      <c r="G511" s="79">
        <f t="shared" si="209"/>
        <v>229</v>
      </c>
      <c r="H511" s="79">
        <f t="shared" si="209"/>
        <v>251</v>
      </c>
      <c r="I511" s="404">
        <f>SUM(I506:I510)</f>
        <v>1212</v>
      </c>
      <c r="J511" s="405">
        <f>'NOGAL '!$I511/7</f>
        <v>173.14285714285714</v>
      </c>
    </row>
    <row r="512" spans="1:12" s="71" customFormat="1" x14ac:dyDescent="0.25">
      <c r="A512" s="77" t="s">
        <v>18</v>
      </c>
      <c r="B512" s="406">
        <v>0.76</v>
      </c>
      <c r="C512" s="19">
        <v>0.77</v>
      </c>
      <c r="D512" s="19">
        <v>0.8</v>
      </c>
      <c r="E512" s="18">
        <v>0.68</v>
      </c>
      <c r="F512" s="18">
        <v>0.78</v>
      </c>
      <c r="G512" s="18">
        <v>0.78</v>
      </c>
      <c r="H512" s="18">
        <v>0.82</v>
      </c>
      <c r="I512" s="105">
        <f>I519/I524</f>
        <v>0.77617317200963776</v>
      </c>
      <c r="J512" s="297">
        <f>J519/J524</f>
        <v>0.77617317200963776</v>
      </c>
    </row>
    <row r="513" spans="1:10" s="71" customFormat="1" x14ac:dyDescent="0.25">
      <c r="A513" s="77" t="s">
        <v>19</v>
      </c>
      <c r="B513" s="406">
        <v>0.01</v>
      </c>
      <c r="C513" s="19">
        <v>0.01</v>
      </c>
      <c r="D513" s="19">
        <v>0.02</v>
      </c>
      <c r="E513" s="18">
        <v>0.02</v>
      </c>
      <c r="F513" s="18">
        <v>0.02</v>
      </c>
      <c r="G513" s="18">
        <v>0.02</v>
      </c>
      <c r="H513" s="18">
        <v>0.01</v>
      </c>
      <c r="I513" s="105">
        <f>I520/I524</f>
        <v>1.639632413585676E-2</v>
      </c>
      <c r="J513" s="297">
        <f>J520/J524</f>
        <v>1.639632413585676E-2</v>
      </c>
    </row>
    <row r="514" spans="1:10" s="71" customFormat="1" x14ac:dyDescent="0.25">
      <c r="A514" s="77" t="s">
        <v>20</v>
      </c>
      <c r="B514" s="406">
        <v>0.19</v>
      </c>
      <c r="C514" s="19">
        <v>0.11</v>
      </c>
      <c r="D514" s="19">
        <v>0.13</v>
      </c>
      <c r="E514" s="18">
        <v>0.2</v>
      </c>
      <c r="F514" s="18">
        <v>0.15</v>
      </c>
      <c r="G514" s="18">
        <v>0.11</v>
      </c>
      <c r="H514" s="18">
        <v>0.09</v>
      </c>
      <c r="I514" s="105">
        <f>I521/I524</f>
        <v>0.13453239051112245</v>
      </c>
      <c r="J514" s="297">
        <f>J521/J524</f>
        <v>0.13453239051112248</v>
      </c>
    </row>
    <row r="515" spans="1:10" s="71" customFormat="1" x14ac:dyDescent="0.25">
      <c r="A515" s="77" t="s">
        <v>21</v>
      </c>
      <c r="B515" s="406">
        <v>0.04</v>
      </c>
      <c r="C515" s="19">
        <v>0.1</v>
      </c>
      <c r="D515" s="19">
        <v>0.05</v>
      </c>
      <c r="E515" s="18">
        <v>0.1</v>
      </c>
      <c r="F515" s="18">
        <v>0.05</v>
      </c>
      <c r="G515" s="18">
        <v>0.09</v>
      </c>
      <c r="H515" s="18">
        <v>0.08</v>
      </c>
      <c r="I515" s="105">
        <f>I522/I524</f>
        <v>7.2898113343382892E-2</v>
      </c>
      <c r="J515" s="297">
        <f>J522/J524</f>
        <v>7.2898113343382892E-2</v>
      </c>
    </row>
    <row r="516" spans="1:10" s="71" customFormat="1" x14ac:dyDescent="0.25">
      <c r="A516" s="77" t="s">
        <v>22</v>
      </c>
      <c r="B516" s="406">
        <v>0</v>
      </c>
      <c r="C516" s="19">
        <v>0</v>
      </c>
      <c r="D516" s="19">
        <v>0</v>
      </c>
      <c r="E516" s="18">
        <v>0</v>
      </c>
      <c r="F516" s="18">
        <v>0</v>
      </c>
      <c r="G516" s="18">
        <v>0</v>
      </c>
      <c r="H516" s="18">
        <v>0</v>
      </c>
      <c r="I516" s="105">
        <f>I523/I524</f>
        <v>0</v>
      </c>
      <c r="J516" s="297">
        <f>J523/J524</f>
        <v>0</v>
      </c>
    </row>
    <row r="517" spans="1:10" s="71" customFormat="1" x14ac:dyDescent="0.25">
      <c r="A517" s="81" t="s">
        <v>23</v>
      </c>
      <c r="B517" s="409">
        <f t="shared" ref="B517:J517" si="210">B528/B511</f>
        <v>39943.564356435643</v>
      </c>
      <c r="C517" s="131">
        <f t="shared" si="210"/>
        <v>34169.607843137252</v>
      </c>
      <c r="D517" s="131">
        <f t="shared" si="210"/>
        <v>33327.439024390253</v>
      </c>
      <c r="E517" s="397">
        <f t="shared" si="210"/>
        <v>36354.054054054061</v>
      </c>
      <c r="F517" s="132">
        <f t="shared" si="210"/>
        <v>40702.764976958526</v>
      </c>
      <c r="G517" s="130">
        <f t="shared" si="210"/>
        <v>39424.017467248908</v>
      </c>
      <c r="H517" s="130">
        <f t="shared" si="210"/>
        <v>35189.243027888449</v>
      </c>
      <c r="I517" s="359">
        <f t="shared" si="210"/>
        <v>37177.227722772281</v>
      </c>
      <c r="J517" s="314">
        <f t="shared" si="210"/>
        <v>37177.227722772273</v>
      </c>
    </row>
    <row r="518" spans="1:10" s="71" customFormat="1" x14ac:dyDescent="0.25">
      <c r="A518" s="81" t="s">
        <v>24</v>
      </c>
      <c r="B518" s="409">
        <f t="shared" ref="B518:J518" si="211">B528/B505</f>
        <v>34188.983050847455</v>
      </c>
      <c r="C518" s="131">
        <f t="shared" si="211"/>
        <v>29288.235294117647</v>
      </c>
      <c r="D518" s="131">
        <f t="shared" si="211"/>
        <v>29704.891304347831</v>
      </c>
      <c r="E518" s="397">
        <f t="shared" si="211"/>
        <v>33627.500000000007</v>
      </c>
      <c r="F518" s="132">
        <f t="shared" si="211"/>
        <v>32118.18181818182</v>
      </c>
      <c r="G518" s="130">
        <f t="shared" si="211"/>
        <v>31024.398625429552</v>
      </c>
      <c r="H518" s="130">
        <f t="shared" si="211"/>
        <v>31771.582733812949</v>
      </c>
      <c r="I518" s="359">
        <f t="shared" si="211"/>
        <v>31620.21052631579</v>
      </c>
      <c r="J518" s="314">
        <f t="shared" si="211"/>
        <v>31620.210526315786</v>
      </c>
    </row>
    <row r="519" spans="1:10" s="71" customFormat="1" x14ac:dyDescent="0.25">
      <c r="A519" s="77" t="s">
        <v>25</v>
      </c>
      <c r="B519" s="255">
        <f t="shared" ref="B519:H519" si="212">B524*B512</f>
        <v>2528516.0689655175</v>
      </c>
      <c r="C519" s="133">
        <f t="shared" si="212"/>
        <v>2197363.6034482759</v>
      </c>
      <c r="D519" s="133">
        <f t="shared" si="212"/>
        <v>3557396.2758620698</v>
      </c>
      <c r="E519" s="299">
        <f t="shared" si="212"/>
        <v>3025072.386206897</v>
      </c>
      <c r="F519" s="134">
        <f t="shared" si="212"/>
        <v>5676874.4275862072</v>
      </c>
      <c r="G519" s="92">
        <f t="shared" si="212"/>
        <v>5788227.7655172423</v>
      </c>
      <c r="H519" s="92">
        <f t="shared" si="212"/>
        <v>5892010.8931034487</v>
      </c>
      <c r="I519" s="108">
        <f>'NOGAL '!$B519+'NOGAL '!$C519+'NOGAL '!$D519+'NOGAL '!$E519+'NOGAL '!$F519+'NOGAL '!$G519+'NOGAL '!$H519</f>
        <v>28665461.420689657</v>
      </c>
      <c r="J519" s="300">
        <f>'NOGAL '!$I519/7</f>
        <v>4095065.9172413796</v>
      </c>
    </row>
    <row r="520" spans="1:10" s="71" customFormat="1" x14ac:dyDescent="0.25">
      <c r="A520" s="77" t="s">
        <v>26</v>
      </c>
      <c r="B520" s="255">
        <f t="shared" ref="B520:H520" si="213">B524*B513</f>
        <v>33269.948275862072</v>
      </c>
      <c r="C520" s="133">
        <f t="shared" si="213"/>
        <v>28537.189655172417</v>
      </c>
      <c r="D520" s="133">
        <f t="shared" si="213"/>
        <v>88934.906896551736</v>
      </c>
      <c r="E520" s="299">
        <f t="shared" si="213"/>
        <v>88972.717241379316</v>
      </c>
      <c r="F520" s="134">
        <f t="shared" si="213"/>
        <v>145560.88275862069</v>
      </c>
      <c r="G520" s="92">
        <f t="shared" si="213"/>
        <v>148416.09655172416</v>
      </c>
      <c r="H520" s="92">
        <f t="shared" si="213"/>
        <v>71853.791379310351</v>
      </c>
      <c r="I520" s="108">
        <f>'NOGAL '!$B520+'NOGAL '!$C520+'NOGAL '!$D520+'NOGAL '!$E520+'NOGAL '!$F520+'NOGAL '!$G520+'NOGAL '!$H520</f>
        <v>605545.53275862068</v>
      </c>
      <c r="J520" s="300">
        <f>'NOGAL '!$I520/7</f>
        <v>86506.504679802951</v>
      </c>
    </row>
    <row r="521" spans="1:10" s="71" customFormat="1" x14ac:dyDescent="0.25">
      <c r="A521" s="77" t="s">
        <v>27</v>
      </c>
      <c r="B521" s="255">
        <f t="shared" ref="B521:H521" si="214">B524*B514</f>
        <v>632129.01724137936</v>
      </c>
      <c r="C521" s="133">
        <f t="shared" si="214"/>
        <v>313909.08620689658</v>
      </c>
      <c r="D521" s="133">
        <f t="shared" si="214"/>
        <v>578076.89482758625</v>
      </c>
      <c r="E521" s="299">
        <f t="shared" si="214"/>
        <v>889727.17241379328</v>
      </c>
      <c r="F521" s="134">
        <f t="shared" si="214"/>
        <v>1091706.6206896552</v>
      </c>
      <c r="G521" s="92">
        <f t="shared" si="214"/>
        <v>816288.53103448288</v>
      </c>
      <c r="H521" s="92">
        <f t="shared" si="214"/>
        <v>646684.12241379311</v>
      </c>
      <c r="I521" s="108">
        <f>'NOGAL '!$B521+'NOGAL '!$C521+'NOGAL '!$D521+'NOGAL '!$E521+'NOGAL '!$F521+'NOGAL '!$G521+'NOGAL '!$H521</f>
        <v>4968521.4448275864</v>
      </c>
      <c r="J521" s="300">
        <f>'NOGAL '!$I521/7</f>
        <v>709788.77783251239</v>
      </c>
    </row>
    <row r="522" spans="1:10" s="71" customFormat="1" x14ac:dyDescent="0.25">
      <c r="A522" s="77" t="s">
        <v>28</v>
      </c>
      <c r="B522" s="255">
        <f t="shared" ref="B522:H522" si="215">B524*B515</f>
        <v>133079.79310344829</v>
      </c>
      <c r="C522" s="133">
        <f t="shared" si="215"/>
        <v>285371.89655172417</v>
      </c>
      <c r="D522" s="133">
        <f t="shared" si="215"/>
        <v>222337.26724137936</v>
      </c>
      <c r="E522" s="299">
        <f t="shared" si="215"/>
        <v>444863.58620689664</v>
      </c>
      <c r="F522" s="134">
        <f t="shared" si="215"/>
        <v>363902.20689655177</v>
      </c>
      <c r="G522" s="92">
        <f t="shared" si="215"/>
        <v>667872.43448275863</v>
      </c>
      <c r="H522" s="92">
        <f t="shared" si="215"/>
        <v>574830.33103448281</v>
      </c>
      <c r="I522" s="108">
        <f>'NOGAL '!$B522+'NOGAL '!$C522+'NOGAL '!$D522+'NOGAL '!$E522+'NOGAL '!$F522+'NOGAL '!$G522+'NOGAL '!$H522</f>
        <v>2692257.5155172418</v>
      </c>
      <c r="J522" s="300">
        <f>'NOGAL '!$I522/7</f>
        <v>384608.2165024631</v>
      </c>
    </row>
    <row r="523" spans="1:10" s="71" customFormat="1" x14ac:dyDescent="0.25">
      <c r="A523" s="77" t="s">
        <v>29</v>
      </c>
      <c r="B523" s="255">
        <f t="shared" ref="B523:H523" si="216">B524*B516</f>
        <v>0</v>
      </c>
      <c r="C523" s="133">
        <f t="shared" si="216"/>
        <v>0</v>
      </c>
      <c r="D523" s="133">
        <f t="shared" si="216"/>
        <v>0</v>
      </c>
      <c r="E523" s="299">
        <f t="shared" si="216"/>
        <v>0</v>
      </c>
      <c r="F523" s="134">
        <f t="shared" si="216"/>
        <v>0</v>
      </c>
      <c r="G523" s="92">
        <f t="shared" si="216"/>
        <v>0</v>
      </c>
      <c r="H523" s="92">
        <f t="shared" si="216"/>
        <v>0</v>
      </c>
      <c r="I523" s="108">
        <f>'NOGAL '!$B523+'NOGAL '!$C523+'NOGAL '!$D523+'NOGAL '!$E523+'NOGAL '!$F523+'NOGAL '!$G523+'NOGAL '!$H523</f>
        <v>0</v>
      </c>
      <c r="J523" s="300">
        <f>'NOGAL '!$I523/7</f>
        <v>0</v>
      </c>
    </row>
    <row r="524" spans="1:10" s="71" customFormat="1" x14ac:dyDescent="0.25">
      <c r="A524" s="82" t="s">
        <v>30</v>
      </c>
      <c r="B524" s="410">
        <f>(4034300/1.16)-B525</f>
        <v>3326994.8275862071</v>
      </c>
      <c r="C524" s="136">
        <f>(3485300/1.16)-C525</f>
        <v>2853718.9655172415</v>
      </c>
      <c r="D524" s="136">
        <f>(5465700/1.16)-D525</f>
        <v>4446745.3448275868</v>
      </c>
      <c r="E524" s="398">
        <f>(5380400/1.16)-E525</f>
        <v>4448635.862068966</v>
      </c>
      <c r="F524" s="137">
        <f>(8832500/1.16)-F525</f>
        <v>7278044.1379310349</v>
      </c>
      <c r="G524" s="91">
        <f>(9028100/1.16)-G525</f>
        <v>7420804.8275862075</v>
      </c>
      <c r="H524" s="91">
        <f>(8832500/1.16)-H525</f>
        <v>7185379.1379310349</v>
      </c>
      <c r="I524" s="111">
        <f>SUM(I519:I523)</f>
        <v>36931785.913793109</v>
      </c>
      <c r="J524" s="361">
        <f>'NOGAL '!$I524/7</f>
        <v>5275969.4162561586</v>
      </c>
    </row>
    <row r="525" spans="1:10" s="71" customFormat="1" x14ac:dyDescent="0.25">
      <c r="A525" s="77" t="s">
        <v>31</v>
      </c>
      <c r="B525" s="263">
        <f t="shared" ref="B525:G525" si="217">2155*B506</f>
        <v>150850</v>
      </c>
      <c r="C525" s="139">
        <f t="shared" si="217"/>
        <v>150850</v>
      </c>
      <c r="D525" s="139">
        <f t="shared" si="217"/>
        <v>265065</v>
      </c>
      <c r="E525" s="113">
        <f t="shared" si="217"/>
        <v>189640</v>
      </c>
      <c r="F525" s="112">
        <f t="shared" si="217"/>
        <v>336180</v>
      </c>
      <c r="G525" s="94">
        <f t="shared" si="217"/>
        <v>362040</v>
      </c>
      <c r="H525" s="94">
        <f>2155*H506</f>
        <v>428845</v>
      </c>
      <c r="I525" s="109">
        <f>2155*I506</f>
        <v>1883470</v>
      </c>
      <c r="J525" s="302">
        <f>2155*J506</f>
        <v>269067.14285714284</v>
      </c>
    </row>
    <row r="526" spans="1:10" s="71" customFormat="1" x14ac:dyDescent="0.25">
      <c r="A526" s="83" t="s">
        <v>32</v>
      </c>
      <c r="B526" s="411">
        <f>B524+B525</f>
        <v>3477844.8275862071</v>
      </c>
      <c r="C526" s="40">
        <f>C524+C525</f>
        <v>3004568.9655172415</v>
      </c>
      <c r="D526" s="40">
        <f t="shared" ref="D526:J526" si="218">D524+D525</f>
        <v>4711810.3448275868</v>
      </c>
      <c r="E526" s="399">
        <f t="shared" si="218"/>
        <v>4638275.862068966</v>
      </c>
      <c r="F526" s="140">
        <f t="shared" si="218"/>
        <v>7614224.1379310349</v>
      </c>
      <c r="G526" s="39">
        <f t="shared" si="218"/>
        <v>7782844.8275862075</v>
      </c>
      <c r="H526" s="39">
        <f t="shared" si="218"/>
        <v>7614224.1379310349</v>
      </c>
      <c r="I526" s="412">
        <f t="shared" si="218"/>
        <v>38815255.913793109</v>
      </c>
      <c r="J526" s="364">
        <f t="shared" si="218"/>
        <v>5545036.5591133013</v>
      </c>
    </row>
    <row r="527" spans="1:10" s="71" customFormat="1" x14ac:dyDescent="0.25">
      <c r="A527" s="77" t="s">
        <v>33</v>
      </c>
      <c r="B527" s="413">
        <f>B526*16%</f>
        <v>556455.17241379316</v>
      </c>
      <c r="C527" s="42">
        <f>C526*16%</f>
        <v>480731.03448275867</v>
      </c>
      <c r="D527" s="42">
        <f t="shared" ref="D527:J527" si="219">D526*16%</f>
        <v>753889.65517241391</v>
      </c>
      <c r="E527" s="400">
        <f t="shared" si="219"/>
        <v>742124.13793103455</v>
      </c>
      <c r="F527" s="141">
        <f t="shared" si="219"/>
        <v>1218275.8620689656</v>
      </c>
      <c r="G527" s="41">
        <f t="shared" si="219"/>
        <v>1245255.1724137932</v>
      </c>
      <c r="H527" s="41">
        <f t="shared" si="219"/>
        <v>1218275.8620689656</v>
      </c>
      <c r="I527" s="414">
        <f t="shared" si="219"/>
        <v>6210440.9462068975</v>
      </c>
      <c r="J527" s="415">
        <f t="shared" si="219"/>
        <v>887205.84945812821</v>
      </c>
    </row>
    <row r="528" spans="1:10" s="71" customFormat="1" x14ac:dyDescent="0.25">
      <c r="A528" s="142" t="s">
        <v>34</v>
      </c>
      <c r="B528" s="438">
        <f t="shared" ref="B528:H528" si="220">B526+B527</f>
        <v>4034300</v>
      </c>
      <c r="C528" s="143">
        <f t="shared" si="220"/>
        <v>3485300</v>
      </c>
      <c r="D528" s="143">
        <f t="shared" si="220"/>
        <v>5465700.0000000009</v>
      </c>
      <c r="E528" s="439">
        <f t="shared" si="220"/>
        <v>5380400.0000000009</v>
      </c>
      <c r="F528" s="145">
        <f t="shared" si="220"/>
        <v>8832500</v>
      </c>
      <c r="G528" s="144">
        <f t="shared" si="220"/>
        <v>9028100</v>
      </c>
      <c r="H528" s="144">
        <f t="shared" si="220"/>
        <v>8832500</v>
      </c>
      <c r="I528" s="440">
        <f>'NOGAL '!$B528+'NOGAL '!$C528+'NOGAL '!$D528+'NOGAL '!$E528+'NOGAL '!$F528+'NOGAL '!$G528+'NOGAL '!$H528</f>
        <v>45058800</v>
      </c>
      <c r="J528" s="441">
        <f>'NOGAL '!$I528/7</f>
        <v>6436971.4285714282</v>
      </c>
    </row>
    <row r="529" spans="1:10" s="71" customFormat="1" x14ac:dyDescent="0.25">
      <c r="A529" s="69"/>
      <c r="B529" s="424"/>
      <c r="C529" s="424"/>
      <c r="D529" s="424"/>
      <c r="E529" s="424"/>
      <c r="F529" s="424"/>
      <c r="G529" s="424"/>
      <c r="H529" s="424"/>
      <c r="I529" s="424"/>
      <c r="J529" s="424"/>
    </row>
    <row r="530" spans="1:10" s="71" customFormat="1" ht="15.75" thickBot="1" x14ac:dyDescent="0.3">
      <c r="A530" s="69"/>
      <c r="B530" s="424"/>
      <c r="C530" s="424"/>
      <c r="D530" s="424"/>
      <c r="E530" s="424"/>
      <c r="F530" s="424"/>
      <c r="G530" s="424"/>
      <c r="H530" s="424"/>
      <c r="I530" s="424"/>
      <c r="J530" s="424"/>
    </row>
    <row r="531" spans="1:10" s="71" customFormat="1" ht="26.25" x14ac:dyDescent="0.25">
      <c r="A531" s="85"/>
      <c r="B531" s="1002" t="s">
        <v>360</v>
      </c>
      <c r="C531" s="1002"/>
      <c r="D531" s="1002"/>
      <c r="E531" s="1002"/>
      <c r="F531" s="1002"/>
      <c r="G531" s="1002"/>
      <c r="H531" s="1002"/>
      <c r="I531" s="1002"/>
      <c r="J531" s="85"/>
    </row>
    <row r="532" spans="1:10" s="71" customFormat="1" ht="15.75" x14ac:dyDescent="0.25">
      <c r="A532" s="72" t="s">
        <v>2</v>
      </c>
      <c r="B532" s="429" t="s">
        <v>233</v>
      </c>
      <c r="C532" s="51" t="s">
        <v>234</v>
      </c>
      <c r="D532" s="349" t="s">
        <v>235</v>
      </c>
      <c r="E532" s="51" t="s">
        <v>236</v>
      </c>
      <c r="F532" s="51" t="s">
        <v>237</v>
      </c>
      <c r="G532" s="349" t="s">
        <v>238</v>
      </c>
      <c r="H532" s="349" t="s">
        <v>239</v>
      </c>
      <c r="I532" s="153" t="s">
        <v>10</v>
      </c>
      <c r="J532" s="421" t="s">
        <v>77</v>
      </c>
    </row>
    <row r="533" spans="1:10" s="71" customFormat="1" x14ac:dyDescent="0.25">
      <c r="A533" s="430" t="s">
        <v>11</v>
      </c>
      <c r="B533" s="431">
        <v>91</v>
      </c>
      <c r="C533" s="432">
        <v>109</v>
      </c>
      <c r="D533" s="433">
        <v>143</v>
      </c>
      <c r="E533" s="434">
        <v>187</v>
      </c>
      <c r="F533" s="435">
        <v>275</v>
      </c>
      <c r="G533" s="436">
        <v>292</v>
      </c>
      <c r="H533" s="434">
        <v>315</v>
      </c>
      <c r="I533" s="435">
        <f>SUM(B533:H533)</f>
        <v>1412</v>
      </c>
      <c r="J533" s="437">
        <f>'NOGAL '!$I533/7</f>
        <v>201.71428571428572</v>
      </c>
    </row>
    <row r="534" spans="1:10" s="71" customFormat="1" x14ac:dyDescent="0.25">
      <c r="A534" s="77" t="s">
        <v>12</v>
      </c>
      <c r="B534" s="233">
        <v>58</v>
      </c>
      <c r="C534" s="13">
        <v>61</v>
      </c>
      <c r="D534" s="13">
        <v>75</v>
      </c>
      <c r="E534" s="395">
        <v>107</v>
      </c>
      <c r="F534" s="125">
        <v>169</v>
      </c>
      <c r="G534" s="11">
        <v>184</v>
      </c>
      <c r="H534" s="11">
        <v>208</v>
      </c>
      <c r="I534" s="403">
        <f>B534+C534+D534+E534+F534+G534+H534</f>
        <v>862</v>
      </c>
      <c r="J534" s="292">
        <f>'NOGAL '!$I534/7</f>
        <v>123.14285714285714</v>
      </c>
    </row>
    <row r="535" spans="1:10" s="71" customFormat="1" x14ac:dyDescent="0.25">
      <c r="A535" s="77" t="s">
        <v>13</v>
      </c>
      <c r="B535" s="233">
        <v>1</v>
      </c>
      <c r="C535" s="13">
        <v>2</v>
      </c>
      <c r="D535" s="13">
        <v>4</v>
      </c>
      <c r="E535" s="395">
        <v>4</v>
      </c>
      <c r="F535" s="125">
        <v>6</v>
      </c>
      <c r="G535" s="11">
        <v>7</v>
      </c>
      <c r="H535" s="11">
        <v>8</v>
      </c>
      <c r="I535" s="403">
        <f>B535+C535+D535+E535+F535+G535+H535</f>
        <v>32</v>
      </c>
      <c r="J535" s="292">
        <f>C535+D535+E535+F535+G535+H535+I535</f>
        <v>63</v>
      </c>
    </row>
    <row r="536" spans="1:10" s="71" customFormat="1" x14ac:dyDescent="0.25">
      <c r="A536" s="77" t="s">
        <v>14</v>
      </c>
      <c r="B536" s="233">
        <v>16</v>
      </c>
      <c r="C536" s="13">
        <v>23</v>
      </c>
      <c r="D536" s="13">
        <v>29</v>
      </c>
      <c r="E536" s="395">
        <v>28</v>
      </c>
      <c r="F536" s="125">
        <v>33</v>
      </c>
      <c r="G536" s="11">
        <v>30</v>
      </c>
      <c r="H536" s="11">
        <v>29</v>
      </c>
      <c r="I536" s="403">
        <f>B536+C536+D536+E536+F536+G536+H536</f>
        <v>188</v>
      </c>
      <c r="J536" s="292">
        <f>'NOGAL '!$I536/7</f>
        <v>26.857142857142858</v>
      </c>
    </row>
    <row r="537" spans="1:10" s="71" customFormat="1" x14ac:dyDescent="0.25">
      <c r="A537" s="77" t="s">
        <v>15</v>
      </c>
      <c r="B537" s="233">
        <v>14</v>
      </c>
      <c r="C537" s="13">
        <v>5</v>
      </c>
      <c r="D537" s="13">
        <v>13</v>
      </c>
      <c r="E537" s="395">
        <v>6</v>
      </c>
      <c r="F537" s="125">
        <v>24</v>
      </c>
      <c r="G537" s="11">
        <v>16</v>
      </c>
      <c r="H537" s="11">
        <v>10</v>
      </c>
      <c r="I537" s="403">
        <f>B537+C537+D537+E537+F537+G537+H537</f>
        <v>88</v>
      </c>
      <c r="J537" s="292">
        <f>'NOGAL '!$I537/7</f>
        <v>12.571428571428571</v>
      </c>
    </row>
    <row r="538" spans="1:10" s="71" customFormat="1" x14ac:dyDescent="0.25">
      <c r="A538" s="77" t="s">
        <v>16</v>
      </c>
      <c r="B538" s="233">
        <v>0</v>
      </c>
      <c r="C538" s="13"/>
      <c r="D538" s="13">
        <v>0</v>
      </c>
      <c r="E538" s="395">
        <v>0</v>
      </c>
      <c r="F538" s="125">
        <v>0</v>
      </c>
      <c r="G538" s="11">
        <v>0</v>
      </c>
      <c r="H538" s="11">
        <v>1</v>
      </c>
      <c r="I538" s="403">
        <f>B538+C538+D538+E538+F538+G538+H538</f>
        <v>1</v>
      </c>
      <c r="J538" s="292">
        <f>'NOGAL '!$I538/7</f>
        <v>0.14285714285714285</v>
      </c>
    </row>
    <row r="539" spans="1:10" s="71" customFormat="1" x14ac:dyDescent="0.25">
      <c r="A539" s="79" t="s">
        <v>17</v>
      </c>
      <c r="B539" s="102">
        <f>SUM(B534:B538)</f>
        <v>89</v>
      </c>
      <c r="C539" s="79">
        <f t="shared" ref="C539:H539" si="221">SUM(C534:C538)</f>
        <v>91</v>
      </c>
      <c r="D539" s="79">
        <f t="shared" si="221"/>
        <v>121</v>
      </c>
      <c r="E539" s="248">
        <f t="shared" si="221"/>
        <v>145</v>
      </c>
      <c r="F539" s="15">
        <f t="shared" si="221"/>
        <v>232</v>
      </c>
      <c r="G539" s="79">
        <f t="shared" si="221"/>
        <v>237</v>
      </c>
      <c r="H539" s="79">
        <f t="shared" si="221"/>
        <v>256</v>
      </c>
      <c r="I539" s="404">
        <f>SUM(I534:I538)</f>
        <v>1171</v>
      </c>
      <c r="J539" s="405">
        <f>'NOGAL '!$I539/7</f>
        <v>167.28571428571428</v>
      </c>
    </row>
    <row r="540" spans="1:10" s="71" customFormat="1" x14ac:dyDescent="0.25">
      <c r="A540" s="77" t="s">
        <v>18</v>
      </c>
      <c r="B540" s="442">
        <v>0.8</v>
      </c>
      <c r="C540" s="443">
        <v>0.74</v>
      </c>
      <c r="D540" s="443">
        <v>0.76</v>
      </c>
      <c r="E540" s="444">
        <v>0.8</v>
      </c>
      <c r="F540" s="444">
        <v>0.74</v>
      </c>
      <c r="G540" s="444">
        <v>0.83</v>
      </c>
      <c r="H540" s="444">
        <v>0.86</v>
      </c>
      <c r="I540" s="105">
        <f>I547/I552</f>
        <v>0.79938337674666915</v>
      </c>
      <c r="J540" s="297">
        <f>J547/J552</f>
        <v>0.79938337674666915</v>
      </c>
    </row>
    <row r="541" spans="1:10" s="71" customFormat="1" x14ac:dyDescent="0.25">
      <c r="A541" s="77" t="s">
        <v>19</v>
      </c>
      <c r="B541" s="442">
        <v>0</v>
      </c>
      <c r="C541" s="443">
        <v>0.04</v>
      </c>
      <c r="D541" s="443">
        <v>0.01</v>
      </c>
      <c r="E541" s="444">
        <v>0.04</v>
      </c>
      <c r="F541" s="444">
        <v>0.03</v>
      </c>
      <c r="G541" s="444">
        <v>0.03</v>
      </c>
      <c r="H541" s="444">
        <v>0.03</v>
      </c>
      <c r="I541" s="105">
        <f>I548/I552</f>
        <v>2.8120207854067991E-2</v>
      </c>
      <c r="J541" s="297">
        <f>J548/J552</f>
        <v>2.8120207854067991E-2</v>
      </c>
    </row>
    <row r="542" spans="1:10" s="71" customFormat="1" x14ac:dyDescent="0.25">
      <c r="A542" s="77" t="s">
        <v>20</v>
      </c>
      <c r="B542" s="442">
        <v>0.12</v>
      </c>
      <c r="C542" s="443">
        <v>0.18</v>
      </c>
      <c r="D542" s="443">
        <v>0.17</v>
      </c>
      <c r="E542" s="444">
        <v>0.12</v>
      </c>
      <c r="F542" s="444">
        <v>0.13</v>
      </c>
      <c r="G542" s="444">
        <v>0.11</v>
      </c>
      <c r="H542" s="444">
        <v>0.08</v>
      </c>
      <c r="I542" s="105">
        <f>I549/I552</f>
        <v>0.12037111379146434</v>
      </c>
      <c r="J542" s="297">
        <f>J549/J552</f>
        <v>0.12037111379146434</v>
      </c>
    </row>
    <row r="543" spans="1:10" s="71" customFormat="1" x14ac:dyDescent="0.25">
      <c r="A543" s="77" t="s">
        <v>21</v>
      </c>
      <c r="B543" s="442">
        <v>0.08</v>
      </c>
      <c r="C543" s="443">
        <v>0.04</v>
      </c>
      <c r="D543" s="443">
        <v>0.06</v>
      </c>
      <c r="E543" s="444">
        <v>0.04</v>
      </c>
      <c r="F543" s="444">
        <v>0.1</v>
      </c>
      <c r="G543" s="444">
        <v>0.03</v>
      </c>
      <c r="H543" s="444">
        <v>0.03</v>
      </c>
      <c r="I543" s="105">
        <f>I550/I552</f>
        <v>5.2125301607798352E-2</v>
      </c>
      <c r="J543" s="297">
        <f>J550/J552</f>
        <v>5.2125301607798352E-2</v>
      </c>
    </row>
    <row r="544" spans="1:10" s="71" customFormat="1" x14ac:dyDescent="0.25">
      <c r="A544" s="77" t="s">
        <v>22</v>
      </c>
      <c r="B544" s="442">
        <v>0</v>
      </c>
      <c r="C544" s="443">
        <v>0</v>
      </c>
      <c r="D544" s="443">
        <v>0</v>
      </c>
      <c r="E544" s="444">
        <v>0</v>
      </c>
      <c r="F544" s="444">
        <v>0</v>
      </c>
      <c r="G544" s="444">
        <v>0</v>
      </c>
      <c r="H544" s="444">
        <v>0</v>
      </c>
      <c r="I544" s="105">
        <f>I551/I552</f>
        <v>0</v>
      </c>
      <c r="J544" s="297">
        <f>J551/J552</f>
        <v>0</v>
      </c>
    </row>
    <row r="545" spans="1:10" s="71" customFormat="1" x14ac:dyDescent="0.25">
      <c r="A545" s="81" t="s">
        <v>23</v>
      </c>
      <c r="B545" s="409">
        <f t="shared" ref="B545:J545" si="222">B556/B539</f>
        <v>33071.910112359554</v>
      </c>
      <c r="C545" s="131">
        <f t="shared" si="222"/>
        <v>35932.967032967041</v>
      </c>
      <c r="D545" s="131">
        <f t="shared" si="222"/>
        <v>34205.78512396694</v>
      </c>
      <c r="E545" s="397">
        <f t="shared" si="222"/>
        <v>38457.241379310348</v>
      </c>
      <c r="F545" s="132">
        <f t="shared" si="222"/>
        <v>37768.965517241377</v>
      </c>
      <c r="G545" s="130">
        <f t="shared" si="222"/>
        <v>41593.248945147679</v>
      </c>
      <c r="H545" s="130">
        <f t="shared" si="222"/>
        <v>37040.625000000007</v>
      </c>
      <c r="I545" s="359">
        <f t="shared" si="222"/>
        <v>37601.110162254481</v>
      </c>
      <c r="J545" s="314">
        <f t="shared" si="222"/>
        <v>37601.110162254488</v>
      </c>
    </row>
    <row r="546" spans="1:10" s="71" customFormat="1" x14ac:dyDescent="0.25">
      <c r="A546" s="81" t="s">
        <v>24</v>
      </c>
      <c r="B546" s="409">
        <f t="shared" ref="B546:J546" si="223">B556/B533</f>
        <v>32345.054945054952</v>
      </c>
      <c r="C546" s="131">
        <f t="shared" si="223"/>
        <v>29999.082568807346</v>
      </c>
      <c r="D546" s="131">
        <f t="shared" si="223"/>
        <v>28943.356643356645</v>
      </c>
      <c r="E546" s="397">
        <f t="shared" si="223"/>
        <v>29819.786096256685</v>
      </c>
      <c r="F546" s="132">
        <f t="shared" si="223"/>
        <v>31863.272727272728</v>
      </c>
      <c r="G546" s="130">
        <f t="shared" si="223"/>
        <v>33758.904109589042</v>
      </c>
      <c r="H546" s="130">
        <f t="shared" si="223"/>
        <v>30102.857142857149</v>
      </c>
      <c r="I546" s="359">
        <f t="shared" si="223"/>
        <v>31183.356940509915</v>
      </c>
      <c r="J546" s="314">
        <f t="shared" si="223"/>
        <v>31183.356940509915</v>
      </c>
    </row>
    <row r="547" spans="1:10" s="71" customFormat="1" x14ac:dyDescent="0.25">
      <c r="A547" s="77" t="s">
        <v>25</v>
      </c>
      <c r="B547" s="255">
        <f t="shared" ref="B547:H547" si="224">B552*B540</f>
        <v>1929939.034482759</v>
      </c>
      <c r="C547" s="133">
        <f t="shared" si="224"/>
        <v>1988693.9896551725</v>
      </c>
      <c r="D547" s="133">
        <f t="shared" si="224"/>
        <v>2588858.1034482759</v>
      </c>
      <c r="E547" s="299">
        <f t="shared" si="224"/>
        <v>3661256.1379310349</v>
      </c>
      <c r="F547" s="134">
        <f t="shared" si="224"/>
        <v>5320302.5965517247</v>
      </c>
      <c r="G547" s="92">
        <f t="shared" si="224"/>
        <v>6724171.1586206891</v>
      </c>
      <c r="H547" s="92">
        <f t="shared" si="224"/>
        <v>6644568.772413794</v>
      </c>
      <c r="I547" s="108">
        <f>'NOGAL '!$B547+'NOGAL '!$C547+'NOGAL '!$D547+'NOGAL '!$E547+'NOGAL '!$F547+'NOGAL '!$G547+'NOGAL '!$H547</f>
        <v>28857789.793103449</v>
      </c>
      <c r="J547" s="300">
        <f>'NOGAL '!$I547/7</f>
        <v>4122541.3990147784</v>
      </c>
    </row>
    <row r="548" spans="1:10" s="71" customFormat="1" x14ac:dyDescent="0.25">
      <c r="A548" s="77" t="s">
        <v>26</v>
      </c>
      <c r="B548" s="255">
        <f t="shared" ref="B548:H548" si="225">B552*B541</f>
        <v>0</v>
      </c>
      <c r="C548" s="133">
        <f t="shared" si="225"/>
        <v>107496.97241379312</v>
      </c>
      <c r="D548" s="133">
        <f t="shared" si="225"/>
        <v>34063.922413793101</v>
      </c>
      <c r="E548" s="299">
        <f t="shared" si="225"/>
        <v>183062.80689655175</v>
      </c>
      <c r="F548" s="134">
        <f t="shared" si="225"/>
        <v>215687.94310344828</v>
      </c>
      <c r="G548" s="92">
        <f t="shared" si="225"/>
        <v>243042.33103448275</v>
      </c>
      <c r="H548" s="92">
        <f t="shared" si="225"/>
        <v>231787.28275862071</v>
      </c>
      <c r="I548" s="108">
        <f>'NOGAL '!$B548+'NOGAL '!$C548+'NOGAL '!$D548+'NOGAL '!$E548+'NOGAL '!$F548+'NOGAL '!$G548+'NOGAL '!$H548</f>
        <v>1015141.2586206897</v>
      </c>
      <c r="J548" s="300">
        <f>'NOGAL '!$I548/7</f>
        <v>145020.17980295568</v>
      </c>
    </row>
    <row r="549" spans="1:10" s="71" customFormat="1" x14ac:dyDescent="0.25">
      <c r="A549" s="77" t="s">
        <v>27</v>
      </c>
      <c r="B549" s="255">
        <f t="shared" ref="B549:H549" si="226">B552*B542</f>
        <v>289490.85517241381</v>
      </c>
      <c r="C549" s="133">
        <f t="shared" si="226"/>
        <v>483736.37586206896</v>
      </c>
      <c r="D549" s="133">
        <f t="shared" si="226"/>
        <v>579086.68103448278</v>
      </c>
      <c r="E549" s="299">
        <f t="shared" si="226"/>
        <v>549188.42068965524</v>
      </c>
      <c r="F549" s="134">
        <f t="shared" si="226"/>
        <v>934647.75344827597</v>
      </c>
      <c r="G549" s="92">
        <f t="shared" si="226"/>
        <v>891155.21379310347</v>
      </c>
      <c r="H549" s="92">
        <f t="shared" si="226"/>
        <v>618099.42068965524</v>
      </c>
      <c r="I549" s="108">
        <f>'NOGAL '!$B549+'NOGAL '!$C549+'NOGAL '!$D549+'NOGAL '!$E549+'NOGAL '!$F549+'NOGAL '!$G549+'NOGAL '!$H549</f>
        <v>4345404.7206896553</v>
      </c>
      <c r="J549" s="300">
        <f>'NOGAL '!$I549/7</f>
        <v>620772.10295566509</v>
      </c>
    </row>
    <row r="550" spans="1:10" s="71" customFormat="1" x14ac:dyDescent="0.25">
      <c r="A550" s="77" t="s">
        <v>28</v>
      </c>
      <c r="B550" s="255">
        <f t="shared" ref="B550:H550" si="227">B552*B543</f>
        <v>192993.9034482759</v>
      </c>
      <c r="C550" s="133">
        <f t="shared" si="227"/>
        <v>107496.97241379312</v>
      </c>
      <c r="D550" s="133">
        <f t="shared" si="227"/>
        <v>204383.53448275861</v>
      </c>
      <c r="E550" s="299">
        <f t="shared" si="227"/>
        <v>183062.80689655175</v>
      </c>
      <c r="F550" s="134">
        <f t="shared" si="227"/>
        <v>718959.81034482771</v>
      </c>
      <c r="G550" s="92">
        <f t="shared" si="227"/>
        <v>243042.33103448275</v>
      </c>
      <c r="H550" s="92">
        <f t="shared" si="227"/>
        <v>231787.28275862071</v>
      </c>
      <c r="I550" s="108">
        <f>'NOGAL '!$B550+'NOGAL '!$C550+'NOGAL '!$D550+'NOGAL '!$E550+'NOGAL '!$F550+'NOGAL '!$G550+'NOGAL '!$H550</f>
        <v>1881726.6413793107</v>
      </c>
      <c r="J550" s="300">
        <f>'NOGAL '!$I550/7</f>
        <v>268818.09162561584</v>
      </c>
    </row>
    <row r="551" spans="1:10" s="71" customFormat="1" x14ac:dyDescent="0.25">
      <c r="A551" s="77" t="s">
        <v>29</v>
      </c>
      <c r="B551" s="255">
        <f t="shared" ref="B551:H551" si="228">B552*B544</f>
        <v>0</v>
      </c>
      <c r="C551" s="133">
        <f t="shared" si="228"/>
        <v>0</v>
      </c>
      <c r="D551" s="133">
        <f t="shared" si="228"/>
        <v>0</v>
      </c>
      <c r="E551" s="299">
        <f t="shared" si="228"/>
        <v>0</v>
      </c>
      <c r="F551" s="134">
        <f t="shared" si="228"/>
        <v>0</v>
      </c>
      <c r="G551" s="92">
        <f t="shared" si="228"/>
        <v>0</v>
      </c>
      <c r="H551" s="92">
        <f t="shared" si="228"/>
        <v>0</v>
      </c>
      <c r="I551" s="108">
        <f>'NOGAL '!$B551+'NOGAL '!$C551+'NOGAL '!$D551+'NOGAL '!$E551+'NOGAL '!$F551+'NOGAL '!$G551+'NOGAL '!$H551</f>
        <v>0</v>
      </c>
      <c r="J551" s="300">
        <f>'NOGAL '!$I551/7</f>
        <v>0</v>
      </c>
    </row>
    <row r="552" spans="1:10" s="71" customFormat="1" x14ac:dyDescent="0.25">
      <c r="A552" s="82" t="s">
        <v>30</v>
      </c>
      <c r="B552" s="410">
        <f>(2943400/1.16)-B553</f>
        <v>2412423.7931034486</v>
      </c>
      <c r="C552" s="136">
        <f>(3269900/1.16)-C553</f>
        <v>2687424.3103448278</v>
      </c>
      <c r="D552" s="136">
        <f>(4138900/1.16)-D553</f>
        <v>3406392.2413793104</v>
      </c>
      <c r="E552" s="398">
        <f>(5576300/1.16)-E553</f>
        <v>4576570.1724137934</v>
      </c>
      <c r="F552" s="137">
        <f>(8762400/1.16)-F553</f>
        <v>7189598.1034482764</v>
      </c>
      <c r="G552" s="91">
        <f>(9857600/1.16)-G553</f>
        <v>8101411.0344827585</v>
      </c>
      <c r="H552" s="91">
        <f>(9482400/1.16)-H553</f>
        <v>7726242.7586206906</v>
      </c>
      <c r="I552" s="111">
        <f>SUM(I547:I551)</f>
        <v>36100062.413793109</v>
      </c>
      <c r="J552" s="361">
        <f>'NOGAL '!$I552/7</f>
        <v>5157151.7733990159</v>
      </c>
    </row>
    <row r="553" spans="1:10" s="71" customFormat="1" x14ac:dyDescent="0.25">
      <c r="A553" s="77" t="s">
        <v>31</v>
      </c>
      <c r="B553" s="263">
        <f t="shared" ref="B553:G553" si="229">2155*B534</f>
        <v>124990</v>
      </c>
      <c r="C553" s="139">
        <f t="shared" si="229"/>
        <v>131455</v>
      </c>
      <c r="D553" s="139">
        <f t="shared" si="229"/>
        <v>161625</v>
      </c>
      <c r="E553" s="113">
        <f t="shared" si="229"/>
        <v>230585</v>
      </c>
      <c r="F553" s="112">
        <f t="shared" si="229"/>
        <v>364195</v>
      </c>
      <c r="G553" s="94">
        <f t="shared" si="229"/>
        <v>396520</v>
      </c>
      <c r="H553" s="94">
        <f>2155*H534</f>
        <v>448240</v>
      </c>
      <c r="I553" s="109">
        <f>2155*I534</f>
        <v>1857610</v>
      </c>
      <c r="J553" s="302">
        <f>2155*J534</f>
        <v>265372.85714285716</v>
      </c>
    </row>
    <row r="554" spans="1:10" s="71" customFormat="1" x14ac:dyDescent="0.25">
      <c r="A554" s="83" t="s">
        <v>32</v>
      </c>
      <c r="B554" s="411">
        <f>B552+B553</f>
        <v>2537413.7931034486</v>
      </c>
      <c r="C554" s="40">
        <f>C552+C553</f>
        <v>2818879.3103448278</v>
      </c>
      <c r="D554" s="40">
        <f t="shared" ref="D554:J554" si="230">D552+D553</f>
        <v>3568017.2413793104</v>
      </c>
      <c r="E554" s="399">
        <f t="shared" si="230"/>
        <v>4807155.1724137934</v>
      </c>
      <c r="F554" s="140">
        <f t="shared" si="230"/>
        <v>7553793.1034482764</v>
      </c>
      <c r="G554" s="39">
        <f t="shared" si="230"/>
        <v>8497931.0344827585</v>
      </c>
      <c r="H554" s="39">
        <f t="shared" si="230"/>
        <v>8174482.7586206906</v>
      </c>
      <c r="I554" s="412">
        <f t="shared" si="230"/>
        <v>37957672.413793109</v>
      </c>
      <c r="J554" s="364">
        <f t="shared" si="230"/>
        <v>5422524.6305418732</v>
      </c>
    </row>
    <row r="555" spans="1:10" s="71" customFormat="1" x14ac:dyDescent="0.25">
      <c r="A555" s="77" t="s">
        <v>33</v>
      </c>
      <c r="B555" s="413">
        <f>B554*16%</f>
        <v>405986.20689655177</v>
      </c>
      <c r="C555" s="42">
        <f>C554*16%</f>
        <v>451020.68965517246</v>
      </c>
      <c r="D555" s="42">
        <f t="shared" ref="D555:J555" si="231">D554*16%</f>
        <v>570882.75862068962</v>
      </c>
      <c r="E555" s="400">
        <f t="shared" si="231"/>
        <v>769144.82758620696</v>
      </c>
      <c r="F555" s="141">
        <f t="shared" si="231"/>
        <v>1208606.8965517243</v>
      </c>
      <c r="G555" s="41">
        <f t="shared" si="231"/>
        <v>1359668.9655172413</v>
      </c>
      <c r="H555" s="41">
        <f t="shared" si="231"/>
        <v>1307917.2413793106</v>
      </c>
      <c r="I555" s="414">
        <f t="shared" si="231"/>
        <v>6073227.5862068972</v>
      </c>
      <c r="J555" s="415">
        <f t="shared" si="231"/>
        <v>867603.94088669971</v>
      </c>
    </row>
    <row r="556" spans="1:10" s="71" customFormat="1" x14ac:dyDescent="0.25">
      <c r="A556" s="142" t="s">
        <v>34</v>
      </c>
      <c r="B556" s="438">
        <f t="shared" ref="B556:H556" si="232">B554+B555</f>
        <v>2943400.0000000005</v>
      </c>
      <c r="C556" s="143">
        <f t="shared" si="232"/>
        <v>3269900.0000000005</v>
      </c>
      <c r="D556" s="143">
        <f t="shared" si="232"/>
        <v>4138900</v>
      </c>
      <c r="E556" s="439">
        <f t="shared" si="232"/>
        <v>5576300</v>
      </c>
      <c r="F556" s="145">
        <f t="shared" si="232"/>
        <v>8762400</v>
      </c>
      <c r="G556" s="144">
        <f t="shared" si="232"/>
        <v>9857600</v>
      </c>
      <c r="H556" s="144">
        <f t="shared" si="232"/>
        <v>9482400.0000000019</v>
      </c>
      <c r="I556" s="440">
        <f>'NOGAL '!$B556+'NOGAL '!$C556+'NOGAL '!$D556+'NOGAL '!$E556+'NOGAL '!$F556+'NOGAL '!$G556+'NOGAL '!$H556</f>
        <v>44030900</v>
      </c>
      <c r="J556" s="441">
        <f>'NOGAL '!$I556/7</f>
        <v>6290128.5714285718</v>
      </c>
    </row>
    <row r="557" spans="1:10" s="71" customFormat="1" x14ac:dyDescent="0.25">
      <c r="A557" s="69"/>
      <c r="B557" s="424"/>
      <c r="C557" s="424"/>
      <c r="D557" s="424"/>
      <c r="E557" s="424"/>
      <c r="F557" s="424"/>
      <c r="G557" s="424"/>
      <c r="H557" s="424"/>
      <c r="I557" s="424"/>
      <c r="J557" s="424"/>
    </row>
    <row r="558" spans="1:10" s="71" customFormat="1" ht="15.75" thickBot="1" x14ac:dyDescent="0.3">
      <c r="A558" s="69"/>
      <c r="B558" s="424"/>
      <c r="C558" s="424"/>
      <c r="D558" s="424"/>
      <c r="E558" s="424"/>
      <c r="F558" s="424"/>
      <c r="G558" s="424"/>
      <c r="H558" s="424"/>
      <c r="I558" s="424"/>
      <c r="J558" s="424"/>
    </row>
    <row r="559" spans="1:10" s="71" customFormat="1" ht="26.25" x14ac:dyDescent="0.25">
      <c r="A559" s="85"/>
      <c r="B559" s="1002" t="s">
        <v>361</v>
      </c>
      <c r="C559" s="1002"/>
      <c r="D559" s="1002"/>
      <c r="E559" s="1002"/>
      <c r="F559" s="1002"/>
      <c r="G559" s="1002"/>
      <c r="H559" s="1002"/>
      <c r="I559" s="1002"/>
      <c r="J559" s="85"/>
    </row>
    <row r="560" spans="1:10" s="71" customFormat="1" ht="15.75" x14ac:dyDescent="0.25">
      <c r="A560" s="72" t="s">
        <v>2</v>
      </c>
      <c r="B560" s="429" t="s">
        <v>241</v>
      </c>
      <c r="C560" s="51" t="s">
        <v>242</v>
      </c>
      <c r="D560" s="349" t="s">
        <v>243</v>
      </c>
      <c r="E560" s="51" t="s">
        <v>244</v>
      </c>
      <c r="F560" s="51" t="s">
        <v>245</v>
      </c>
      <c r="G560" s="349" t="s">
        <v>246</v>
      </c>
      <c r="H560" s="349" t="s">
        <v>247</v>
      </c>
      <c r="I560" s="153" t="s">
        <v>10</v>
      </c>
      <c r="J560" s="421" t="s">
        <v>77</v>
      </c>
    </row>
    <row r="561" spans="1:10" s="71" customFormat="1" x14ac:dyDescent="0.25">
      <c r="A561" s="430" t="s">
        <v>11</v>
      </c>
      <c r="B561" s="431">
        <v>121</v>
      </c>
      <c r="C561" s="432">
        <v>128</v>
      </c>
      <c r="D561" s="433">
        <v>125</v>
      </c>
      <c r="E561" s="434">
        <v>155</v>
      </c>
      <c r="F561" s="435">
        <v>329</v>
      </c>
      <c r="G561" s="436">
        <v>324</v>
      </c>
      <c r="H561" s="434">
        <v>333</v>
      </c>
      <c r="I561" s="435">
        <f>SUM(B561:H561)</f>
        <v>1515</v>
      </c>
      <c r="J561" s="437">
        <f>'NOGAL '!$I561/7</f>
        <v>216.42857142857142</v>
      </c>
    </row>
    <row r="562" spans="1:10" s="71" customFormat="1" x14ac:dyDescent="0.25">
      <c r="A562" s="77" t="s">
        <v>12</v>
      </c>
      <c r="B562" s="233">
        <v>67</v>
      </c>
      <c r="C562" s="13">
        <v>84</v>
      </c>
      <c r="D562" s="13">
        <v>91</v>
      </c>
      <c r="E562" s="395">
        <v>91</v>
      </c>
      <c r="F562" s="125">
        <v>186</v>
      </c>
      <c r="G562" s="11">
        <v>200</v>
      </c>
      <c r="H562" s="11">
        <v>239</v>
      </c>
      <c r="I562" s="403">
        <f>B562+C562+D562+E562+F562+G562+H562</f>
        <v>958</v>
      </c>
      <c r="J562" s="292">
        <f>'NOGAL '!$I562/7</f>
        <v>136.85714285714286</v>
      </c>
    </row>
    <row r="563" spans="1:10" s="71" customFormat="1" x14ac:dyDescent="0.25">
      <c r="A563" s="77" t="s">
        <v>13</v>
      </c>
      <c r="B563" s="233">
        <v>0</v>
      </c>
      <c r="C563" s="13">
        <v>2</v>
      </c>
      <c r="D563" s="13">
        <v>1</v>
      </c>
      <c r="E563" s="395">
        <v>2</v>
      </c>
      <c r="F563" s="125">
        <v>4</v>
      </c>
      <c r="G563" s="11">
        <v>7</v>
      </c>
      <c r="H563" s="11">
        <v>5</v>
      </c>
      <c r="I563" s="403">
        <f>B563+C563+D563+E563+F563+G563+H563</f>
        <v>21</v>
      </c>
      <c r="J563" s="292">
        <f>C563+D563+E563+F563+G563+H563+I563</f>
        <v>42</v>
      </c>
    </row>
    <row r="564" spans="1:10" s="71" customFormat="1" x14ac:dyDescent="0.25">
      <c r="A564" s="77" t="s">
        <v>14</v>
      </c>
      <c r="B564" s="233">
        <v>19</v>
      </c>
      <c r="C564" s="13">
        <v>18</v>
      </c>
      <c r="D564" s="13">
        <v>10</v>
      </c>
      <c r="E564" s="395">
        <v>20</v>
      </c>
      <c r="F564" s="125">
        <v>59</v>
      </c>
      <c r="G564" s="11">
        <v>37</v>
      </c>
      <c r="H564" s="11">
        <v>21</v>
      </c>
      <c r="I564" s="403">
        <f>B564+C564+D564+E564+F564+G564+H564</f>
        <v>184</v>
      </c>
      <c r="J564" s="292">
        <f>'NOGAL '!$I564/7</f>
        <v>26.285714285714285</v>
      </c>
    </row>
    <row r="565" spans="1:10" s="71" customFormat="1" x14ac:dyDescent="0.25">
      <c r="A565" s="77" t="s">
        <v>15</v>
      </c>
      <c r="B565" s="233">
        <v>13</v>
      </c>
      <c r="C565" s="13">
        <v>9</v>
      </c>
      <c r="D565" s="13">
        <v>7</v>
      </c>
      <c r="E565" s="395">
        <v>10</v>
      </c>
      <c r="F565" s="125">
        <v>19</v>
      </c>
      <c r="G565" s="11">
        <v>20</v>
      </c>
      <c r="H565" s="11">
        <v>20</v>
      </c>
      <c r="I565" s="403">
        <f>B565+C565+D565+E565+F565+G565+H565</f>
        <v>98</v>
      </c>
      <c r="J565" s="292">
        <f>'NOGAL '!$I565/7</f>
        <v>14</v>
      </c>
    </row>
    <row r="566" spans="1:10" s="71" customFormat="1" x14ac:dyDescent="0.25">
      <c r="A566" s="77" t="s">
        <v>16</v>
      </c>
      <c r="B566" s="233">
        <v>0</v>
      </c>
      <c r="C566" s="13">
        <v>0</v>
      </c>
      <c r="D566" s="13">
        <v>0</v>
      </c>
      <c r="E566" s="395">
        <v>1</v>
      </c>
      <c r="F566" s="125">
        <v>0</v>
      </c>
      <c r="G566" s="11">
        <v>0</v>
      </c>
      <c r="H566" s="11">
        <v>0</v>
      </c>
      <c r="I566" s="403">
        <f>B566+C566+D566+E566+F566+G566+H566</f>
        <v>1</v>
      </c>
      <c r="J566" s="292">
        <f>'NOGAL '!$I566/7</f>
        <v>0.14285714285714285</v>
      </c>
    </row>
    <row r="567" spans="1:10" s="71" customFormat="1" x14ac:dyDescent="0.25">
      <c r="A567" s="79" t="s">
        <v>17</v>
      </c>
      <c r="B567" s="102">
        <f>SUM(B562:B566)</f>
        <v>99</v>
      </c>
      <c r="C567" s="79">
        <f t="shared" ref="C567:H567" si="233">SUM(C562:C566)</f>
        <v>113</v>
      </c>
      <c r="D567" s="79">
        <f t="shared" si="233"/>
        <v>109</v>
      </c>
      <c r="E567" s="248">
        <f t="shared" si="233"/>
        <v>124</v>
      </c>
      <c r="F567" s="15">
        <f t="shared" si="233"/>
        <v>268</v>
      </c>
      <c r="G567" s="79">
        <f t="shared" si="233"/>
        <v>264</v>
      </c>
      <c r="H567" s="79">
        <f t="shared" si="233"/>
        <v>285</v>
      </c>
      <c r="I567" s="404">
        <f>SUM(I562:I566)</f>
        <v>1262</v>
      </c>
      <c r="J567" s="405">
        <f>'NOGAL '!$I567/7</f>
        <v>180.28571428571428</v>
      </c>
    </row>
    <row r="568" spans="1:10" s="71" customFormat="1" x14ac:dyDescent="0.25">
      <c r="A568" s="77" t="s">
        <v>18</v>
      </c>
      <c r="B568" s="445">
        <v>0.76</v>
      </c>
      <c r="C568" s="235">
        <v>0.78</v>
      </c>
      <c r="D568" s="235">
        <v>0.88</v>
      </c>
      <c r="E568" s="236">
        <v>0.81</v>
      </c>
      <c r="F568" s="236">
        <v>0.79</v>
      </c>
      <c r="G568" s="236">
        <v>0.84</v>
      </c>
      <c r="H568" s="236">
        <v>0.87</v>
      </c>
      <c r="I568" s="105">
        <f>I575/I580</f>
        <v>0.8250251374345281</v>
      </c>
      <c r="J568" s="297">
        <f>J575/J580</f>
        <v>0.82502513743452821</v>
      </c>
    </row>
    <row r="569" spans="1:10" s="71" customFormat="1" x14ac:dyDescent="0.25">
      <c r="A569" s="77" t="s">
        <v>19</v>
      </c>
      <c r="B569" s="445">
        <v>0</v>
      </c>
      <c r="C569" s="235">
        <v>0.01</v>
      </c>
      <c r="D569" s="235">
        <v>0.01</v>
      </c>
      <c r="E569" s="236">
        <v>0.01</v>
      </c>
      <c r="F569" s="236">
        <v>0.01</v>
      </c>
      <c r="G569" s="236">
        <v>0.02</v>
      </c>
      <c r="H569" s="236">
        <v>0.02</v>
      </c>
      <c r="I569" s="105">
        <f>I576/I580</f>
        <v>1.3675076502091476E-2</v>
      </c>
      <c r="J569" s="297">
        <f>J576/J580</f>
        <v>1.3675076502091476E-2</v>
      </c>
    </row>
    <row r="570" spans="1:10" s="71" customFormat="1" x14ac:dyDescent="0.25">
      <c r="A570" s="77" t="s">
        <v>20</v>
      </c>
      <c r="B570" s="445">
        <v>0.14000000000000001</v>
      </c>
      <c r="C570" s="235">
        <v>0.14000000000000001</v>
      </c>
      <c r="D570" s="235">
        <v>7.0000000000000007E-2</v>
      </c>
      <c r="E570" s="236">
        <v>0.12</v>
      </c>
      <c r="F570" s="236">
        <v>0.15</v>
      </c>
      <c r="G570" s="236">
        <v>0.08</v>
      </c>
      <c r="H570" s="236">
        <v>0.06</v>
      </c>
      <c r="I570" s="105">
        <f>I577/I580</f>
        <v>0.10221899937002397</v>
      </c>
      <c r="J570" s="297">
        <f>J577/J580</f>
        <v>0.10221899937002396</v>
      </c>
    </row>
    <row r="571" spans="1:10" s="71" customFormat="1" x14ac:dyDescent="0.25">
      <c r="A571" s="77" t="s">
        <v>21</v>
      </c>
      <c r="B571" s="445">
        <v>0.1</v>
      </c>
      <c r="C571" s="235">
        <v>0.06</v>
      </c>
      <c r="D571" s="235">
        <v>0.04</v>
      </c>
      <c r="E571" s="236">
        <v>0.05</v>
      </c>
      <c r="F571" s="236">
        <v>0.06</v>
      </c>
      <c r="G571" s="236">
        <v>0.06</v>
      </c>
      <c r="H571" s="236">
        <v>0.05</v>
      </c>
      <c r="I571" s="105">
        <f>I578/I580</f>
        <v>5.8123706251402792E-2</v>
      </c>
      <c r="J571" s="297">
        <f>J578/J580</f>
        <v>5.8123706251402792E-2</v>
      </c>
    </row>
    <row r="572" spans="1:10" s="71" customFormat="1" x14ac:dyDescent="0.25">
      <c r="A572" s="77" t="s">
        <v>22</v>
      </c>
      <c r="B572" s="445">
        <v>0</v>
      </c>
      <c r="C572" s="235">
        <v>0</v>
      </c>
      <c r="D572" s="235">
        <v>0</v>
      </c>
      <c r="E572" s="236">
        <v>0.01</v>
      </c>
      <c r="F572" s="236">
        <v>0</v>
      </c>
      <c r="G572" s="236">
        <v>0</v>
      </c>
      <c r="H572" s="236">
        <v>0</v>
      </c>
      <c r="I572" s="105">
        <f>I579/I580</f>
        <v>9.570804419536215E-4</v>
      </c>
      <c r="J572" s="297">
        <f>J579/J580</f>
        <v>9.570804419536215E-4</v>
      </c>
    </row>
    <row r="573" spans="1:10" s="71" customFormat="1" x14ac:dyDescent="0.25">
      <c r="A573" s="81" t="s">
        <v>23</v>
      </c>
      <c r="B573" s="409">
        <f t="shared" ref="B573:J573" si="234">B584/B567</f>
        <v>38185.858585858594</v>
      </c>
      <c r="C573" s="131">
        <f t="shared" si="234"/>
        <v>36295.575221238942</v>
      </c>
      <c r="D573" s="131">
        <f t="shared" si="234"/>
        <v>38057.798165137618</v>
      </c>
      <c r="E573" s="397">
        <f t="shared" si="234"/>
        <v>36492.741935483871</v>
      </c>
      <c r="F573" s="132">
        <f t="shared" si="234"/>
        <v>35182.462686567167</v>
      </c>
      <c r="G573" s="130">
        <f t="shared" si="234"/>
        <v>38760.227272727279</v>
      </c>
      <c r="H573" s="130">
        <f t="shared" si="234"/>
        <v>38704.210526315794</v>
      </c>
      <c r="I573" s="359">
        <f t="shared" si="234"/>
        <v>37438.589540412046</v>
      </c>
      <c r="J573" s="314">
        <f t="shared" si="234"/>
        <v>37438.589540412046</v>
      </c>
    </row>
    <row r="574" spans="1:10" s="71" customFormat="1" x14ac:dyDescent="0.25">
      <c r="A574" s="81" t="s">
        <v>24</v>
      </c>
      <c r="B574" s="409">
        <f t="shared" ref="B574:J574" si="235">B584/B561</f>
        <v>31242.975206611573</v>
      </c>
      <c r="C574" s="131">
        <f t="shared" si="235"/>
        <v>32042.187500000004</v>
      </c>
      <c r="D574" s="131">
        <f t="shared" si="235"/>
        <v>33186.400000000001</v>
      </c>
      <c r="E574" s="397">
        <f t="shared" si="235"/>
        <v>29194.193548387098</v>
      </c>
      <c r="F574" s="132">
        <f t="shared" si="235"/>
        <v>28659.270516717326</v>
      </c>
      <c r="G574" s="130">
        <f t="shared" si="235"/>
        <v>31582.407407407412</v>
      </c>
      <c r="H574" s="130">
        <f t="shared" si="235"/>
        <v>33125.225225225229</v>
      </c>
      <c r="I574" s="359">
        <f t="shared" si="235"/>
        <v>31186.468646864687</v>
      </c>
      <c r="J574" s="314">
        <f t="shared" si="235"/>
        <v>31186.468646864691</v>
      </c>
    </row>
    <row r="575" spans="1:10" s="71" customFormat="1" x14ac:dyDescent="0.25">
      <c r="A575" s="77" t="s">
        <v>25</v>
      </c>
      <c r="B575" s="255">
        <f t="shared" ref="B575:H575" si="236">B580*B568</f>
        <v>2367081.1931034485</v>
      </c>
      <c r="C575" s="133">
        <f t="shared" si="236"/>
        <v>2616642.3310344829</v>
      </c>
      <c r="D575" s="133">
        <f t="shared" si="236"/>
        <v>2974413.806896552</v>
      </c>
      <c r="E575" s="299">
        <f t="shared" si="236"/>
        <v>3000923.0534482761</v>
      </c>
      <c r="F575" s="134">
        <f t="shared" si="236"/>
        <v>6104750.3344827592</v>
      </c>
      <c r="G575" s="92">
        <f t="shared" si="236"/>
        <v>7047846.2068965528</v>
      </c>
      <c r="H575" s="92">
        <f t="shared" si="236"/>
        <v>7824935.8500000015</v>
      </c>
      <c r="I575" s="108">
        <f>'NOGAL '!$B575+'NOGAL '!$C575+'NOGAL '!$D575+'NOGAL '!$E575+'NOGAL '!$F575+'NOGAL '!$G575+'NOGAL '!$H575</f>
        <v>31936592.775862075</v>
      </c>
      <c r="J575" s="300">
        <f>'NOGAL '!$I575/7</f>
        <v>4562370.3965517255</v>
      </c>
    </row>
    <row r="576" spans="1:10" s="71" customFormat="1" x14ac:dyDescent="0.25">
      <c r="A576" s="77" t="s">
        <v>26</v>
      </c>
      <c r="B576" s="255">
        <f t="shared" ref="B576:H576" si="237">B580*B569</f>
        <v>0</v>
      </c>
      <c r="C576" s="133">
        <f t="shared" si="237"/>
        <v>33546.696551724141</v>
      </c>
      <c r="D576" s="133">
        <f t="shared" si="237"/>
        <v>33800.156896551729</v>
      </c>
      <c r="E576" s="299">
        <f t="shared" si="237"/>
        <v>37048.432758620693</v>
      </c>
      <c r="F576" s="134">
        <f t="shared" si="237"/>
        <v>77275.320689655186</v>
      </c>
      <c r="G576" s="92">
        <f t="shared" si="237"/>
        <v>167805.86206896554</v>
      </c>
      <c r="H576" s="92">
        <f t="shared" si="237"/>
        <v>179883.58275862073</v>
      </c>
      <c r="I576" s="108">
        <f>'NOGAL '!$B576+'NOGAL '!$C576+'NOGAL '!$D576+'NOGAL '!$E576+'NOGAL '!$F576+'NOGAL '!$G576+'NOGAL '!$H576</f>
        <v>529360.05172413797</v>
      </c>
      <c r="J576" s="300">
        <f>'NOGAL '!$I576/7</f>
        <v>75622.86453201971</v>
      </c>
    </row>
    <row r="577" spans="1:10" s="71" customFormat="1" x14ac:dyDescent="0.25">
      <c r="A577" s="77" t="s">
        <v>27</v>
      </c>
      <c r="B577" s="255">
        <f t="shared" ref="B577:H577" si="238">B580*B570</f>
        <v>436041.27241379319</v>
      </c>
      <c r="C577" s="133">
        <f t="shared" si="238"/>
        <v>469653.75172413804</v>
      </c>
      <c r="D577" s="133">
        <f t="shared" si="238"/>
        <v>236601.09827586211</v>
      </c>
      <c r="E577" s="299">
        <f t="shared" si="238"/>
        <v>444581.19310344831</v>
      </c>
      <c r="F577" s="134">
        <f t="shared" si="238"/>
        <v>1159129.8103448276</v>
      </c>
      <c r="G577" s="92">
        <f t="shared" si="238"/>
        <v>671223.44827586215</v>
      </c>
      <c r="H577" s="92">
        <f t="shared" si="238"/>
        <v>539650.74827586208</v>
      </c>
      <c r="I577" s="108">
        <f>'NOGAL '!$B577+'NOGAL '!$C577+'NOGAL '!$D577+'NOGAL '!$E577+'NOGAL '!$F577+'NOGAL '!$G577+'NOGAL '!$H577</f>
        <v>3956881.3224137938</v>
      </c>
      <c r="J577" s="300">
        <f>'NOGAL '!$I577/7</f>
        <v>565268.76034482766</v>
      </c>
    </row>
    <row r="578" spans="1:10" s="71" customFormat="1" x14ac:dyDescent="0.25">
      <c r="A578" s="77" t="s">
        <v>28</v>
      </c>
      <c r="B578" s="255">
        <f t="shared" ref="B578:H578" si="239">B580*B571</f>
        <v>311458.05172413797</v>
      </c>
      <c r="C578" s="133">
        <f t="shared" si="239"/>
        <v>201280.17931034483</v>
      </c>
      <c r="D578" s="133">
        <f t="shared" si="239"/>
        <v>135200.62758620692</v>
      </c>
      <c r="E578" s="299">
        <f t="shared" si="239"/>
        <v>185242.16379310348</v>
      </c>
      <c r="F578" s="134">
        <f t="shared" si="239"/>
        <v>463651.92413793108</v>
      </c>
      <c r="G578" s="92">
        <f t="shared" si="239"/>
        <v>503417.58620689664</v>
      </c>
      <c r="H578" s="92">
        <f t="shared" si="239"/>
        <v>449708.95689655183</v>
      </c>
      <c r="I578" s="108">
        <f>'NOGAL '!$B578+'NOGAL '!$C578+'NOGAL '!$D578+'NOGAL '!$E578+'NOGAL '!$F578+'NOGAL '!$G578+'NOGAL '!$H578</f>
        <v>2249959.4896551729</v>
      </c>
      <c r="J578" s="300">
        <f>'NOGAL '!$I578/7</f>
        <v>321422.7842364533</v>
      </c>
    </row>
    <row r="579" spans="1:10" s="71" customFormat="1" x14ac:dyDescent="0.25">
      <c r="A579" s="77" t="s">
        <v>29</v>
      </c>
      <c r="B579" s="255">
        <f t="shared" ref="B579:H579" si="240">B580*B572</f>
        <v>0</v>
      </c>
      <c r="C579" s="133">
        <f t="shared" si="240"/>
        <v>0</v>
      </c>
      <c r="D579" s="133">
        <f t="shared" si="240"/>
        <v>0</v>
      </c>
      <c r="E579" s="299">
        <f t="shared" si="240"/>
        <v>37048.432758620693</v>
      </c>
      <c r="F579" s="134">
        <f t="shared" si="240"/>
        <v>0</v>
      </c>
      <c r="G579" s="92">
        <f t="shared" si="240"/>
        <v>0</v>
      </c>
      <c r="H579" s="92">
        <f t="shared" si="240"/>
        <v>0</v>
      </c>
      <c r="I579" s="108">
        <f>'NOGAL '!$B579+'NOGAL '!$C579+'NOGAL '!$D579+'NOGAL '!$E579+'NOGAL '!$F579+'NOGAL '!$G579+'NOGAL '!$H579</f>
        <v>37048.432758620693</v>
      </c>
      <c r="J579" s="300">
        <f>'NOGAL '!$I579/7</f>
        <v>5292.6332512315275</v>
      </c>
    </row>
    <row r="580" spans="1:10" s="71" customFormat="1" x14ac:dyDescent="0.25">
      <c r="A580" s="82" t="s">
        <v>30</v>
      </c>
      <c r="B580" s="222">
        <f>(3780400/1.16)-B581</f>
        <v>3114580.5172413797</v>
      </c>
      <c r="C580" s="222">
        <f>(4101400/1.16)-C581</f>
        <v>3354669.6551724141</v>
      </c>
      <c r="D580" s="222">
        <f>(4148300/1.16)-D581</f>
        <v>3380015.6896551726</v>
      </c>
      <c r="E580" s="222">
        <f>(4525100/1.16)-E581</f>
        <v>3704843.2758620693</v>
      </c>
      <c r="F580" s="222">
        <f>(9428900/1.16)-F581</f>
        <v>7727532.0689655179</v>
      </c>
      <c r="G580" s="222">
        <f>(10232700/1.16)-G581</f>
        <v>8390293.1034482773</v>
      </c>
      <c r="H580" s="222">
        <f>(11030700/1.16)-H581</f>
        <v>8994179.1379310358</v>
      </c>
      <c r="I580" s="111">
        <f>SUM(I575:I579)</f>
        <v>38709842.072413802</v>
      </c>
      <c r="J580" s="361">
        <f>'NOGAL '!$I580/7</f>
        <v>5529977.4389162576</v>
      </c>
    </row>
    <row r="581" spans="1:10" s="71" customFormat="1" x14ac:dyDescent="0.25">
      <c r="A581" s="77" t="s">
        <v>31</v>
      </c>
      <c r="B581" s="263">
        <f t="shared" ref="B581:G581" si="241">2155*B562</f>
        <v>144385</v>
      </c>
      <c r="C581" s="139">
        <f t="shared" si="241"/>
        <v>181020</v>
      </c>
      <c r="D581" s="139">
        <f t="shared" si="241"/>
        <v>196105</v>
      </c>
      <c r="E581" s="113">
        <f t="shared" si="241"/>
        <v>196105</v>
      </c>
      <c r="F581" s="112">
        <f t="shared" si="241"/>
        <v>400830</v>
      </c>
      <c r="G581" s="94">
        <f t="shared" si="241"/>
        <v>431000</v>
      </c>
      <c r="H581" s="94">
        <f>2155*H562</f>
        <v>515045</v>
      </c>
      <c r="I581" s="109">
        <f>2155*I562</f>
        <v>2064490</v>
      </c>
      <c r="J581" s="302">
        <f>2155*J562</f>
        <v>294927.14285714284</v>
      </c>
    </row>
    <row r="582" spans="1:10" s="71" customFormat="1" x14ac:dyDescent="0.25">
      <c r="A582" s="83" t="s">
        <v>32</v>
      </c>
      <c r="B582" s="411">
        <f>B580+B581</f>
        <v>3258965.5172413797</v>
      </c>
      <c r="C582" s="40">
        <f>C580+C581</f>
        <v>3535689.6551724141</v>
      </c>
      <c r="D582" s="40">
        <f t="shared" ref="D582:J582" si="242">D580+D581</f>
        <v>3576120.6896551726</v>
      </c>
      <c r="E582" s="399">
        <f t="shared" si="242"/>
        <v>3900948.2758620693</v>
      </c>
      <c r="F582" s="140">
        <f t="shared" si="242"/>
        <v>8128362.0689655179</v>
      </c>
      <c r="G582" s="39">
        <f t="shared" si="242"/>
        <v>8821293.1034482773</v>
      </c>
      <c r="H582" s="39">
        <f t="shared" si="242"/>
        <v>9509224.1379310358</v>
      </c>
      <c r="I582" s="412">
        <f t="shared" si="242"/>
        <v>40774332.072413802</v>
      </c>
      <c r="J582" s="364">
        <f t="shared" si="242"/>
        <v>5824904.5817734003</v>
      </c>
    </row>
    <row r="583" spans="1:10" s="71" customFormat="1" x14ac:dyDescent="0.25">
      <c r="A583" s="77" t="s">
        <v>33</v>
      </c>
      <c r="B583" s="413">
        <f>B582*16%</f>
        <v>521434.48275862075</v>
      </c>
      <c r="C583" s="42">
        <f>C582*16%</f>
        <v>565710.34482758632</v>
      </c>
      <c r="D583" s="42">
        <f t="shared" ref="D583:J583" si="243">D582*16%</f>
        <v>572179.31034482759</v>
      </c>
      <c r="E583" s="400">
        <f t="shared" si="243"/>
        <v>624151.72413793113</v>
      </c>
      <c r="F583" s="141">
        <f t="shared" si="243"/>
        <v>1300537.9310344828</v>
      </c>
      <c r="G583" s="41">
        <f t="shared" si="243"/>
        <v>1411406.8965517243</v>
      </c>
      <c r="H583" s="41">
        <f t="shared" si="243"/>
        <v>1521475.8620689658</v>
      </c>
      <c r="I583" s="414">
        <f t="shared" si="243"/>
        <v>6523893.1315862089</v>
      </c>
      <c r="J583" s="415">
        <f t="shared" si="243"/>
        <v>931984.73308374407</v>
      </c>
    </row>
    <row r="584" spans="1:10" s="71" customFormat="1" x14ac:dyDescent="0.25">
      <c r="A584" s="142" t="s">
        <v>34</v>
      </c>
      <c r="B584" s="438">
        <f t="shared" ref="B584:H584" si="244">B582+B583</f>
        <v>3780400.0000000005</v>
      </c>
      <c r="C584" s="143">
        <f t="shared" si="244"/>
        <v>4101400.0000000005</v>
      </c>
      <c r="D584" s="143">
        <f t="shared" si="244"/>
        <v>4148300</v>
      </c>
      <c r="E584" s="439">
        <f t="shared" si="244"/>
        <v>4525100</v>
      </c>
      <c r="F584" s="145">
        <f t="shared" si="244"/>
        <v>9428900</v>
      </c>
      <c r="G584" s="144">
        <f t="shared" si="244"/>
        <v>10232700.000000002</v>
      </c>
      <c r="H584" s="144">
        <f t="shared" si="244"/>
        <v>11030700.000000002</v>
      </c>
      <c r="I584" s="440">
        <f>'NOGAL '!$B584+'NOGAL '!$C584+'NOGAL '!$D584+'NOGAL '!$E584+'NOGAL '!$F584+'NOGAL '!$G584+'NOGAL '!$H584</f>
        <v>47247500</v>
      </c>
      <c r="J584" s="441">
        <f>'NOGAL '!$I584/7</f>
        <v>6749642.8571428573</v>
      </c>
    </row>
    <row r="585" spans="1:10" s="71" customFormat="1" x14ac:dyDescent="0.25">
      <c r="A585" s="69"/>
      <c r="B585" s="424"/>
      <c r="C585" s="424"/>
      <c r="D585" s="424"/>
      <c r="E585" s="424"/>
      <c r="F585" s="424"/>
      <c r="G585" s="424"/>
      <c r="H585" s="424"/>
      <c r="I585" s="424"/>
      <c r="J585" s="424"/>
    </row>
    <row r="586" spans="1:10" s="71" customFormat="1" ht="15.75" thickBot="1" x14ac:dyDescent="0.3">
      <c r="A586" s="69"/>
      <c r="B586" s="424"/>
      <c r="C586" s="424"/>
      <c r="D586" s="424"/>
      <c r="E586" s="424"/>
      <c r="F586" s="424"/>
      <c r="G586" s="424"/>
      <c r="H586" s="424"/>
      <c r="I586" s="424"/>
      <c r="J586" s="424"/>
    </row>
    <row r="587" spans="1:10" s="71" customFormat="1" ht="26.25" x14ac:dyDescent="0.25">
      <c r="A587" s="85"/>
      <c r="B587" s="1002" t="s">
        <v>362</v>
      </c>
      <c r="C587" s="1002"/>
      <c r="D587" s="1002"/>
      <c r="E587" s="1002"/>
      <c r="F587" s="1002"/>
      <c r="G587" s="1002"/>
      <c r="H587" s="1002"/>
      <c r="I587" s="1002"/>
      <c r="J587" s="85"/>
    </row>
    <row r="588" spans="1:10" s="71" customFormat="1" ht="15.75" x14ac:dyDescent="0.25">
      <c r="A588" s="72" t="s">
        <v>2</v>
      </c>
      <c r="B588" s="429" t="s">
        <v>249</v>
      </c>
      <c r="C588" s="51" t="s">
        <v>250</v>
      </c>
      <c r="D588" s="349" t="s">
        <v>251</v>
      </c>
      <c r="E588" s="51" t="s">
        <v>220</v>
      </c>
      <c r="F588" s="51" t="s">
        <v>221</v>
      </c>
      <c r="G588" s="349" t="s">
        <v>222</v>
      </c>
      <c r="H588" s="349" t="s">
        <v>223</v>
      </c>
      <c r="I588" s="153" t="s">
        <v>10</v>
      </c>
      <c r="J588" s="421" t="s">
        <v>77</v>
      </c>
    </row>
    <row r="589" spans="1:10" s="71" customFormat="1" x14ac:dyDescent="0.25">
      <c r="A589" s="430" t="s">
        <v>11</v>
      </c>
      <c r="B589" s="431">
        <v>104</v>
      </c>
      <c r="C589" s="432">
        <v>163</v>
      </c>
      <c r="D589" s="433">
        <v>125</v>
      </c>
      <c r="E589" s="434">
        <v>145</v>
      </c>
      <c r="F589" s="434">
        <v>297</v>
      </c>
      <c r="G589" s="435">
        <v>319</v>
      </c>
      <c r="H589" s="434">
        <v>280</v>
      </c>
      <c r="I589" s="435">
        <f>SUM(B589:H589)</f>
        <v>1433</v>
      </c>
      <c r="J589" s="437">
        <f>'NOGAL '!$I589/7</f>
        <v>204.71428571428572</v>
      </c>
    </row>
    <row r="590" spans="1:10" s="71" customFormat="1" x14ac:dyDescent="0.25">
      <c r="A590" s="77" t="s">
        <v>12</v>
      </c>
      <c r="B590" s="233">
        <v>70</v>
      </c>
      <c r="C590" s="13">
        <v>94</v>
      </c>
      <c r="D590" s="13">
        <v>81</v>
      </c>
      <c r="E590" s="395">
        <v>85</v>
      </c>
      <c r="F590" s="395">
        <v>171</v>
      </c>
      <c r="G590" s="125">
        <v>206</v>
      </c>
      <c r="H590" s="11">
        <v>217</v>
      </c>
      <c r="I590" s="403">
        <f>B590+C590+D590+E590+F590+G590+H590</f>
        <v>924</v>
      </c>
      <c r="J590" s="292">
        <f>'NOGAL '!$I590/7</f>
        <v>132</v>
      </c>
    </row>
    <row r="591" spans="1:10" s="71" customFormat="1" x14ac:dyDescent="0.25">
      <c r="A591" s="77" t="s">
        <v>13</v>
      </c>
      <c r="B591" s="233">
        <v>3</v>
      </c>
      <c r="C591" s="13">
        <v>0</v>
      </c>
      <c r="D591" s="13">
        <v>1</v>
      </c>
      <c r="E591" s="395">
        <v>1</v>
      </c>
      <c r="F591" s="395">
        <v>2</v>
      </c>
      <c r="G591" s="125">
        <v>2</v>
      </c>
      <c r="H591" s="11">
        <v>2</v>
      </c>
      <c r="I591" s="403">
        <f>B591+C591+D591+E591+F591+G591+H591</f>
        <v>11</v>
      </c>
      <c r="J591" s="292">
        <f>C591+D591+E591+F591+G591+H591+I591</f>
        <v>19</v>
      </c>
    </row>
    <row r="592" spans="1:10" s="71" customFormat="1" x14ac:dyDescent="0.25">
      <c r="A592" s="77" t="s">
        <v>14</v>
      </c>
      <c r="B592" s="233">
        <v>16</v>
      </c>
      <c r="C592" s="13">
        <v>29</v>
      </c>
      <c r="D592" s="13">
        <v>24</v>
      </c>
      <c r="E592" s="395">
        <v>21</v>
      </c>
      <c r="F592" s="395">
        <v>49</v>
      </c>
      <c r="G592" s="125">
        <v>40</v>
      </c>
      <c r="H592" s="11">
        <v>25</v>
      </c>
      <c r="I592" s="403">
        <f>B592+C592+D592+E592+F592+G592+H592</f>
        <v>204</v>
      </c>
      <c r="J592" s="292">
        <f>'NOGAL '!$I592/7</f>
        <v>29.142857142857142</v>
      </c>
    </row>
    <row r="593" spans="1:10" s="71" customFormat="1" x14ac:dyDescent="0.25">
      <c r="A593" s="77" t="s">
        <v>15</v>
      </c>
      <c r="B593" s="233">
        <v>8</v>
      </c>
      <c r="C593" s="13">
        <v>14</v>
      </c>
      <c r="D593" s="13">
        <v>3</v>
      </c>
      <c r="E593" s="395">
        <v>10</v>
      </c>
      <c r="F593" s="395">
        <v>21</v>
      </c>
      <c r="G593" s="125">
        <v>11</v>
      </c>
      <c r="H593" s="11">
        <v>13</v>
      </c>
      <c r="I593" s="403">
        <f>B593+C593+D593+E593+F593+G593+H593</f>
        <v>80</v>
      </c>
      <c r="J593" s="292">
        <f>'NOGAL '!$I593/7</f>
        <v>11.428571428571429</v>
      </c>
    </row>
    <row r="594" spans="1:10" s="71" customFormat="1" x14ac:dyDescent="0.25">
      <c r="A594" s="77" t="s">
        <v>16</v>
      </c>
      <c r="B594" s="233">
        <v>0</v>
      </c>
      <c r="C594" s="13">
        <v>0</v>
      </c>
      <c r="D594" s="13">
        <v>0</v>
      </c>
      <c r="E594" s="395">
        <v>0</v>
      </c>
      <c r="F594" s="395">
        <v>1</v>
      </c>
      <c r="G594" s="125">
        <v>1</v>
      </c>
      <c r="H594" s="11">
        <v>0</v>
      </c>
      <c r="I594" s="403">
        <f>B594+C594+D594+E594+F594+G594+H594</f>
        <v>2</v>
      </c>
      <c r="J594" s="292">
        <f>'NOGAL '!$I594/7</f>
        <v>0.2857142857142857</v>
      </c>
    </row>
    <row r="595" spans="1:10" s="71" customFormat="1" x14ac:dyDescent="0.25">
      <c r="A595" s="79" t="s">
        <v>17</v>
      </c>
      <c r="B595" s="102">
        <f>SUM(B590:B594)</f>
        <v>97</v>
      </c>
      <c r="C595" s="79">
        <f t="shared" ref="C595:H595" si="245">SUM(C590:C594)</f>
        <v>137</v>
      </c>
      <c r="D595" s="79">
        <f t="shared" si="245"/>
        <v>109</v>
      </c>
      <c r="E595" s="248">
        <f t="shared" si="245"/>
        <v>117</v>
      </c>
      <c r="F595" s="15">
        <f t="shared" si="245"/>
        <v>244</v>
      </c>
      <c r="G595" s="79">
        <f t="shared" si="245"/>
        <v>260</v>
      </c>
      <c r="H595" s="79">
        <f t="shared" si="245"/>
        <v>257</v>
      </c>
      <c r="I595" s="404">
        <f>SUM(I590:I594)</f>
        <v>1221</v>
      </c>
      <c r="J595" s="405">
        <f>'NOGAL '!$I595/7</f>
        <v>174.42857142857142</v>
      </c>
    </row>
    <row r="596" spans="1:10" s="71" customFormat="1" x14ac:dyDescent="0.25">
      <c r="A596" s="77" t="s">
        <v>18</v>
      </c>
      <c r="B596" s="445">
        <v>0.83</v>
      </c>
      <c r="C596" s="235">
        <v>0.74</v>
      </c>
      <c r="D596" s="235">
        <v>0.81</v>
      </c>
      <c r="E596" s="236">
        <v>0.83</v>
      </c>
      <c r="F596" s="236">
        <v>0.77</v>
      </c>
      <c r="G596" s="236">
        <v>0.84</v>
      </c>
      <c r="H596" s="236">
        <v>0.88</v>
      </c>
      <c r="I596" s="105">
        <f>I603/I608</f>
        <v>0.81910893342331359</v>
      </c>
      <c r="J596" s="297">
        <f>J603/J608</f>
        <v>0.81910893342331359</v>
      </c>
    </row>
    <row r="597" spans="1:10" s="71" customFormat="1" x14ac:dyDescent="0.25">
      <c r="A597" s="77" t="s">
        <v>19</v>
      </c>
      <c r="B597" s="445">
        <v>0.02</v>
      </c>
      <c r="C597" s="235">
        <v>0</v>
      </c>
      <c r="D597" s="235">
        <v>0.01</v>
      </c>
      <c r="E597" s="236">
        <v>0.01</v>
      </c>
      <c r="F597" s="236">
        <v>0.01</v>
      </c>
      <c r="G597" s="236">
        <v>0.01</v>
      </c>
      <c r="H597" s="236">
        <v>0</v>
      </c>
      <c r="I597" s="105">
        <f>I604/I608</f>
        <v>7.500028506611754E-3</v>
      </c>
      <c r="J597" s="297">
        <f>J604/J608</f>
        <v>7.5000285066117531E-3</v>
      </c>
    </row>
    <row r="598" spans="1:10" s="71" customFormat="1" x14ac:dyDescent="0.25">
      <c r="A598" s="77" t="s">
        <v>20</v>
      </c>
      <c r="B598" s="445">
        <v>0.12</v>
      </c>
      <c r="C598" s="235">
        <v>0.18</v>
      </c>
      <c r="D598" s="235">
        <v>0.17</v>
      </c>
      <c r="E598" s="236">
        <v>0.12</v>
      </c>
      <c r="F598" s="236">
        <v>0.15</v>
      </c>
      <c r="G598" s="236">
        <v>0.11</v>
      </c>
      <c r="H598" s="236">
        <v>7.0000000000000007E-2</v>
      </c>
      <c r="I598" s="105">
        <f>I605/I608</f>
        <v>0.12410611975120506</v>
      </c>
      <c r="J598" s="297">
        <f>J605/J608</f>
        <v>0.12410611975120507</v>
      </c>
    </row>
    <row r="599" spans="1:10" s="71" customFormat="1" x14ac:dyDescent="0.25">
      <c r="A599" s="77" t="s">
        <v>21</v>
      </c>
      <c r="B599" s="445">
        <v>0.03</v>
      </c>
      <c r="C599" s="235">
        <v>0.08</v>
      </c>
      <c r="D599" s="235">
        <v>0.01</v>
      </c>
      <c r="E599" s="236">
        <v>0.04</v>
      </c>
      <c r="F599" s="236">
        <v>7.0000000000000007E-2</v>
      </c>
      <c r="G599" s="236">
        <v>0.03</v>
      </c>
      <c r="H599" s="236">
        <v>0.05</v>
      </c>
      <c r="I599" s="105">
        <f>I606/I608</f>
        <v>4.7069527867099538E-2</v>
      </c>
      <c r="J599" s="297">
        <f>J606/J608</f>
        <v>4.7069527867099531E-2</v>
      </c>
    </row>
    <row r="600" spans="1:10" s="71" customFormat="1" x14ac:dyDescent="0.25">
      <c r="A600" s="77" t="s">
        <v>22</v>
      </c>
      <c r="B600" s="445">
        <v>0</v>
      </c>
      <c r="C600" s="235">
        <v>0</v>
      </c>
      <c r="D600" s="235">
        <v>0</v>
      </c>
      <c r="E600" s="236">
        <v>0</v>
      </c>
      <c r="F600" s="236">
        <v>0</v>
      </c>
      <c r="G600" s="236">
        <v>0.01</v>
      </c>
      <c r="H600" s="236">
        <v>0</v>
      </c>
      <c r="I600" s="105">
        <f>I607/I608</f>
        <v>2.2153904517701875E-3</v>
      </c>
      <c r="J600" s="297">
        <f>J607/J608</f>
        <v>2.2153904517701875E-3</v>
      </c>
    </row>
    <row r="601" spans="1:10" s="71" customFormat="1" x14ac:dyDescent="0.25">
      <c r="A601" s="81" t="s">
        <v>23</v>
      </c>
      <c r="B601" s="409">
        <f t="shared" ref="B601:J601" si="246">B612/B595</f>
        <v>31742.268041237112</v>
      </c>
      <c r="C601" s="131">
        <f t="shared" si="246"/>
        <v>34793.43065693431</v>
      </c>
      <c r="D601" s="131">
        <f t="shared" si="246"/>
        <v>36491.743119266059</v>
      </c>
      <c r="E601" s="397">
        <f t="shared" si="246"/>
        <v>37858.974358974359</v>
      </c>
      <c r="F601" s="132">
        <f t="shared" si="246"/>
        <v>38645.081967213118</v>
      </c>
      <c r="G601" s="130">
        <f t="shared" si="246"/>
        <v>38745.769230769234</v>
      </c>
      <c r="H601" s="130">
        <f t="shared" si="246"/>
        <v>37749.416342412449</v>
      </c>
      <c r="I601" s="359">
        <f t="shared" si="246"/>
        <v>37229.893529893532</v>
      </c>
      <c r="J601" s="314">
        <f t="shared" si="246"/>
        <v>37229.893529893532</v>
      </c>
    </row>
    <row r="602" spans="1:10" s="71" customFormat="1" x14ac:dyDescent="0.25">
      <c r="A602" s="81" t="s">
        <v>24</v>
      </c>
      <c r="B602" s="409">
        <f t="shared" ref="B602:J602" si="247">B612/B589</f>
        <v>29605.76923076923</v>
      </c>
      <c r="C602" s="131">
        <f t="shared" si="247"/>
        <v>29243.558282208589</v>
      </c>
      <c r="D602" s="131">
        <f t="shared" si="247"/>
        <v>31820.800000000003</v>
      </c>
      <c r="E602" s="397">
        <f t="shared" si="247"/>
        <v>30548.275862068964</v>
      </c>
      <c r="F602" s="132">
        <f t="shared" si="247"/>
        <v>31748.82154882155</v>
      </c>
      <c r="G602" s="130">
        <f t="shared" si="247"/>
        <v>31579.62382445141</v>
      </c>
      <c r="H602" s="130">
        <f t="shared" si="247"/>
        <v>34648.571428571428</v>
      </c>
      <c r="I602" s="359">
        <f t="shared" si="247"/>
        <v>31722.051639916259</v>
      </c>
      <c r="J602" s="314">
        <f t="shared" si="247"/>
        <v>31722.051639916259</v>
      </c>
    </row>
    <row r="603" spans="1:10" s="71" customFormat="1" x14ac:dyDescent="0.25">
      <c r="A603" s="77" t="s">
        <v>25</v>
      </c>
      <c r="B603" s="255">
        <f t="shared" ref="B603:H603" si="248">B608*B596</f>
        <v>2077872.0862068965</v>
      </c>
      <c r="C603" s="133">
        <f t="shared" si="248"/>
        <v>2890924.0620689658</v>
      </c>
      <c r="D603" s="133">
        <f t="shared" si="248"/>
        <v>2636072.5189655176</v>
      </c>
      <c r="E603" s="299">
        <f t="shared" si="248"/>
        <v>3017348.3706896552</v>
      </c>
      <c r="F603" s="134">
        <f t="shared" si="248"/>
        <v>5975421.839655173</v>
      </c>
      <c r="G603" s="92">
        <f t="shared" si="248"/>
        <v>6921991.9034482753</v>
      </c>
      <c r="H603" s="92">
        <f t="shared" si="248"/>
        <v>6948315.6827586219</v>
      </c>
      <c r="I603" s="108">
        <f>'NOGAL '!$B603+'NOGAL '!$C603+'NOGAL '!$D603+'NOGAL '!$E603+'NOGAL '!$F603+'NOGAL '!$G603+'NOGAL '!$H603</f>
        <v>30467946.463793106</v>
      </c>
      <c r="J603" s="300">
        <f>'NOGAL '!$I603/7</f>
        <v>4352563.7805418726</v>
      </c>
    </row>
    <row r="604" spans="1:10" s="71" customFormat="1" x14ac:dyDescent="0.25">
      <c r="A604" s="77" t="s">
        <v>26</v>
      </c>
      <c r="B604" s="255">
        <f t="shared" ref="B604:H604" si="249">B608*B597</f>
        <v>50069.206896551725</v>
      </c>
      <c r="C604" s="133">
        <f t="shared" si="249"/>
        <v>0</v>
      </c>
      <c r="D604" s="133">
        <f t="shared" si="249"/>
        <v>32544.105172413798</v>
      </c>
      <c r="E604" s="299">
        <f t="shared" si="249"/>
        <v>36353.59482758621</v>
      </c>
      <c r="F604" s="134">
        <f t="shared" si="249"/>
        <v>77602.881034482765</v>
      </c>
      <c r="G604" s="92">
        <f t="shared" si="249"/>
        <v>82404.665517241374</v>
      </c>
      <c r="H604" s="92">
        <f t="shared" si="249"/>
        <v>0</v>
      </c>
      <c r="I604" s="108">
        <f>'NOGAL '!$B604+'NOGAL '!$C604+'NOGAL '!$D604+'NOGAL '!$E604+'NOGAL '!$F604+'NOGAL '!$G604+'NOGAL '!$H604</f>
        <v>278974.45344827586</v>
      </c>
      <c r="J604" s="300">
        <f>'NOGAL '!$I604/7</f>
        <v>39853.493349753691</v>
      </c>
    </row>
    <row r="605" spans="1:10" s="71" customFormat="1" x14ac:dyDescent="0.25">
      <c r="A605" s="77" t="s">
        <v>27</v>
      </c>
      <c r="B605" s="255">
        <f t="shared" ref="B605:H605" si="250">B608*B598</f>
        <v>300415.24137931032</v>
      </c>
      <c r="C605" s="133">
        <f t="shared" si="250"/>
        <v>703197.74482758623</v>
      </c>
      <c r="D605" s="133">
        <f t="shared" si="250"/>
        <v>553249.78793103457</v>
      </c>
      <c r="E605" s="299">
        <f t="shared" si="250"/>
        <v>436243.13793103449</v>
      </c>
      <c r="F605" s="134">
        <f t="shared" si="250"/>
        <v>1164043.2155172415</v>
      </c>
      <c r="G605" s="92">
        <f t="shared" si="250"/>
        <v>906451.32068965514</v>
      </c>
      <c r="H605" s="92">
        <f t="shared" si="250"/>
        <v>552706.92931034497</v>
      </c>
      <c r="I605" s="108">
        <f>'NOGAL '!$B605+'NOGAL '!$C605+'NOGAL '!$D605+'NOGAL '!$E605+'NOGAL '!$F605+'NOGAL '!$G605+'NOGAL '!$H605</f>
        <v>4616307.3775862074</v>
      </c>
      <c r="J605" s="300">
        <f>'NOGAL '!$I605/7</f>
        <v>659472.48251231539</v>
      </c>
    </row>
    <row r="606" spans="1:10" s="71" customFormat="1" x14ac:dyDescent="0.25">
      <c r="A606" s="77" t="s">
        <v>28</v>
      </c>
      <c r="B606" s="255">
        <f t="shared" ref="B606:H606" si="251">B608*B599</f>
        <v>75103.81034482758</v>
      </c>
      <c r="C606" s="133">
        <f t="shared" si="251"/>
        <v>312532.33103448281</v>
      </c>
      <c r="D606" s="133">
        <f t="shared" si="251"/>
        <v>32544.105172413798</v>
      </c>
      <c r="E606" s="299">
        <f t="shared" si="251"/>
        <v>145414.37931034484</v>
      </c>
      <c r="F606" s="134">
        <f t="shared" si="251"/>
        <v>543220.16724137939</v>
      </c>
      <c r="G606" s="92">
        <f t="shared" si="251"/>
        <v>247213.99655172412</v>
      </c>
      <c r="H606" s="92">
        <f t="shared" si="251"/>
        <v>394790.66379310354</v>
      </c>
      <c r="I606" s="108">
        <f>'NOGAL '!$B606+'NOGAL '!$C606+'NOGAL '!$D606+'NOGAL '!$E606+'NOGAL '!$F606+'NOGAL '!$G606+'NOGAL '!$H606</f>
        <v>1750819.4534482763</v>
      </c>
      <c r="J606" s="300">
        <f>'NOGAL '!$I606/7</f>
        <v>250117.06477832518</v>
      </c>
    </row>
    <row r="607" spans="1:10" s="71" customFormat="1" x14ac:dyDescent="0.25">
      <c r="A607" s="77" t="s">
        <v>29</v>
      </c>
      <c r="B607" s="255">
        <f t="shared" ref="B607:H607" si="252">B608*B600</f>
        <v>0</v>
      </c>
      <c r="C607" s="133">
        <f t="shared" si="252"/>
        <v>0</v>
      </c>
      <c r="D607" s="133">
        <f t="shared" si="252"/>
        <v>0</v>
      </c>
      <c r="E607" s="299">
        <f t="shared" si="252"/>
        <v>0</v>
      </c>
      <c r="F607" s="134">
        <f t="shared" si="252"/>
        <v>0</v>
      </c>
      <c r="G607" s="92">
        <f t="shared" si="252"/>
        <v>82404.665517241374</v>
      </c>
      <c r="H607" s="92">
        <f t="shared" si="252"/>
        <v>0</v>
      </c>
      <c r="I607" s="108">
        <f>'NOGAL '!$B607+'NOGAL '!$C607+'NOGAL '!$D607+'NOGAL '!$E607+'NOGAL '!$F607+'NOGAL '!$G607+'NOGAL '!$H607</f>
        <v>82404.665517241374</v>
      </c>
      <c r="J607" s="300">
        <f>'NOGAL '!$I607/7</f>
        <v>11772.095073891625</v>
      </c>
    </row>
    <row r="608" spans="1:10" s="71" customFormat="1" x14ac:dyDescent="0.25">
      <c r="A608" s="82" t="s">
        <v>30</v>
      </c>
      <c r="B608" s="222">
        <f>(3079000/1.16)-B609</f>
        <v>2503460.3448275863</v>
      </c>
      <c r="C608" s="222">
        <f>(4766700/1.16)-C609</f>
        <v>3906654.1379310349</v>
      </c>
      <c r="D608" s="222">
        <f>(3977600/1.16)-D609</f>
        <v>3254410.5172413797</v>
      </c>
      <c r="E608" s="222">
        <f>(4429500/1.16)-E609</f>
        <v>3635359.4827586208</v>
      </c>
      <c r="F608" s="222">
        <f>(9429400/1.16)-F609</f>
        <v>7760288.1034482764</v>
      </c>
      <c r="G608" s="222">
        <f>(10073900/1.16)-G609</f>
        <v>8240466.5517241377</v>
      </c>
      <c r="H608" s="222">
        <f>(9701600/1.16)-H609</f>
        <v>7895813.2758620698</v>
      </c>
      <c r="I608" s="111">
        <f>SUM(I603:I607)</f>
        <v>37196452.413793102</v>
      </c>
      <c r="J608" s="361">
        <f>'NOGAL '!$I608/7</f>
        <v>5313778.9162561577</v>
      </c>
    </row>
    <row r="609" spans="1:10" s="71" customFormat="1" x14ac:dyDescent="0.25">
      <c r="A609" s="77" t="s">
        <v>31</v>
      </c>
      <c r="B609" s="263">
        <f t="shared" ref="B609:G609" si="253">2155*B590</f>
        <v>150850</v>
      </c>
      <c r="C609" s="139">
        <f t="shared" si="253"/>
        <v>202570</v>
      </c>
      <c r="D609" s="139">
        <f t="shared" si="253"/>
        <v>174555</v>
      </c>
      <c r="E609" s="113">
        <f t="shared" si="253"/>
        <v>183175</v>
      </c>
      <c r="F609" s="112">
        <f t="shared" si="253"/>
        <v>368505</v>
      </c>
      <c r="G609" s="94">
        <f t="shared" si="253"/>
        <v>443930</v>
      </c>
      <c r="H609" s="94">
        <f>2155*H590</f>
        <v>467635</v>
      </c>
      <c r="I609" s="109">
        <f>2155*I590</f>
        <v>1991220</v>
      </c>
      <c r="J609" s="302">
        <f>2155*J590</f>
        <v>284460</v>
      </c>
    </row>
    <row r="610" spans="1:10" s="71" customFormat="1" x14ac:dyDescent="0.25">
      <c r="A610" s="83" t="s">
        <v>32</v>
      </c>
      <c r="B610" s="411">
        <f>B608+B609</f>
        <v>2654310.3448275863</v>
      </c>
      <c r="C610" s="40">
        <f>C608+C609</f>
        <v>4109224.1379310349</v>
      </c>
      <c r="D610" s="40">
        <f t="shared" ref="D610:J610" si="254">D608+D609</f>
        <v>3428965.5172413797</v>
      </c>
      <c r="E610" s="399">
        <f t="shared" si="254"/>
        <v>3818534.4827586208</v>
      </c>
      <c r="F610" s="140">
        <f t="shared" si="254"/>
        <v>8128793.1034482764</v>
      </c>
      <c r="G610" s="39">
        <f t="shared" si="254"/>
        <v>8684396.5517241377</v>
      </c>
      <c r="H610" s="39">
        <f t="shared" si="254"/>
        <v>8363448.2758620698</v>
      </c>
      <c r="I610" s="412">
        <f t="shared" si="254"/>
        <v>39187672.413793102</v>
      </c>
      <c r="J610" s="364">
        <f t="shared" si="254"/>
        <v>5598238.9162561577</v>
      </c>
    </row>
    <row r="611" spans="1:10" s="71" customFormat="1" x14ac:dyDescent="0.25">
      <c r="A611" s="77" t="s">
        <v>33</v>
      </c>
      <c r="B611" s="413">
        <f>B610*16%</f>
        <v>424689.6551724138</v>
      </c>
      <c r="C611" s="42">
        <f>C610*16%</f>
        <v>657475.86206896557</v>
      </c>
      <c r="D611" s="42">
        <f t="shared" ref="D611:J611" si="255">D610*16%</f>
        <v>548634.48275862075</v>
      </c>
      <c r="E611" s="400">
        <f t="shared" si="255"/>
        <v>610965.51724137936</v>
      </c>
      <c r="F611" s="141">
        <f t="shared" si="255"/>
        <v>1300606.8965517243</v>
      </c>
      <c r="G611" s="41">
        <f t="shared" si="255"/>
        <v>1389503.448275862</v>
      </c>
      <c r="H611" s="41">
        <f t="shared" si="255"/>
        <v>1338151.7241379311</v>
      </c>
      <c r="I611" s="414">
        <f t="shared" si="255"/>
        <v>6270027.5862068962</v>
      </c>
      <c r="J611" s="415">
        <f t="shared" si="255"/>
        <v>895718.22660098528</v>
      </c>
    </row>
    <row r="612" spans="1:10" s="71" customFormat="1" x14ac:dyDescent="0.25">
      <c r="A612" s="142" t="s">
        <v>34</v>
      </c>
      <c r="B612" s="438">
        <f t="shared" ref="B612:H612" si="256">B610+B611</f>
        <v>3079000</v>
      </c>
      <c r="C612" s="143">
        <f t="shared" si="256"/>
        <v>4766700</v>
      </c>
      <c r="D612" s="143">
        <f t="shared" si="256"/>
        <v>3977600.0000000005</v>
      </c>
      <c r="E612" s="439">
        <f t="shared" si="256"/>
        <v>4429500</v>
      </c>
      <c r="F612" s="145">
        <f t="shared" si="256"/>
        <v>9429400</v>
      </c>
      <c r="G612" s="144">
        <f t="shared" si="256"/>
        <v>10073900</v>
      </c>
      <c r="H612" s="144">
        <f t="shared" si="256"/>
        <v>9701600</v>
      </c>
      <c r="I612" s="440">
        <f>'NOGAL '!$B612+'NOGAL '!$C612+'NOGAL '!$D612+'NOGAL '!$E612+'NOGAL '!$F612+'NOGAL '!$G612+'NOGAL '!$H612</f>
        <v>45457700</v>
      </c>
      <c r="J612" s="441">
        <f>'NOGAL '!$I612/7</f>
        <v>6493957.1428571427</v>
      </c>
    </row>
    <row r="613" spans="1:10" s="71" customFormat="1" x14ac:dyDescent="0.25">
      <c r="A613" s="69"/>
      <c r="B613" s="424"/>
      <c r="C613" s="424"/>
      <c r="D613" s="424"/>
      <c r="E613" s="424"/>
      <c r="F613" s="424"/>
      <c r="G613" s="424"/>
      <c r="H613" s="424"/>
      <c r="I613" s="424"/>
      <c r="J613" s="424"/>
    </row>
    <row r="614" spans="1:10" s="71" customFormat="1" ht="15.75" thickBot="1" x14ac:dyDescent="0.3">
      <c r="A614" s="69"/>
      <c r="B614" s="424"/>
      <c r="C614" s="424"/>
      <c r="D614" s="424"/>
      <c r="E614" s="424"/>
      <c r="F614" s="424"/>
      <c r="G614" s="424"/>
      <c r="H614" s="424"/>
      <c r="I614" s="424"/>
      <c r="J614" s="424"/>
    </row>
    <row r="615" spans="1:10" s="71" customFormat="1" ht="26.25" x14ac:dyDescent="0.25">
      <c r="A615" s="85"/>
      <c r="B615" s="1002" t="s">
        <v>363</v>
      </c>
      <c r="C615" s="1002"/>
      <c r="D615" s="1002"/>
      <c r="E615" s="1002"/>
      <c r="F615" s="1002"/>
      <c r="G615" s="1002"/>
      <c r="H615" s="1002"/>
      <c r="I615" s="1002"/>
      <c r="J615" s="85"/>
    </row>
    <row r="616" spans="1:10" s="71" customFormat="1" ht="15.75" x14ac:dyDescent="0.25">
      <c r="A616" s="72" t="s">
        <v>2</v>
      </c>
      <c r="B616" s="429" t="s">
        <v>225</v>
      </c>
      <c r="C616" s="51" t="s">
        <v>226</v>
      </c>
      <c r="D616" s="349" t="s">
        <v>227</v>
      </c>
      <c r="E616" s="51" t="s">
        <v>228</v>
      </c>
      <c r="F616" s="51" t="s">
        <v>229</v>
      </c>
      <c r="G616" s="349" t="s">
        <v>230</v>
      </c>
      <c r="H616" s="349" t="s">
        <v>231</v>
      </c>
      <c r="I616" s="153" t="s">
        <v>10</v>
      </c>
      <c r="J616" s="421" t="s">
        <v>77</v>
      </c>
    </row>
    <row r="617" spans="1:10" s="71" customFormat="1" x14ac:dyDescent="0.25">
      <c r="A617" s="430" t="s">
        <v>11</v>
      </c>
      <c r="B617" s="431">
        <v>112</v>
      </c>
      <c r="C617" s="432">
        <v>145</v>
      </c>
      <c r="D617" s="433">
        <v>155</v>
      </c>
      <c r="E617" s="434">
        <v>141</v>
      </c>
      <c r="F617" s="434">
        <v>305</v>
      </c>
      <c r="G617" s="435">
        <v>251</v>
      </c>
      <c r="H617" s="434">
        <v>274</v>
      </c>
      <c r="I617" s="435">
        <f>SUM(B617:H617)</f>
        <v>1383</v>
      </c>
      <c r="J617" s="437">
        <f>'NOGAL '!$I617/7</f>
        <v>197.57142857142858</v>
      </c>
    </row>
    <row r="618" spans="1:10" s="71" customFormat="1" x14ac:dyDescent="0.25">
      <c r="A618" s="77" t="s">
        <v>12</v>
      </c>
      <c r="B618" s="233">
        <v>78</v>
      </c>
      <c r="C618" s="13">
        <v>94</v>
      </c>
      <c r="D618" s="13">
        <v>91</v>
      </c>
      <c r="E618" s="395">
        <v>83</v>
      </c>
      <c r="F618" s="395">
        <v>183</v>
      </c>
      <c r="G618" s="125">
        <v>156</v>
      </c>
      <c r="H618" s="11">
        <v>172</v>
      </c>
      <c r="I618" s="403">
        <f>B618+C618+D618+E618+F618+G618+H618</f>
        <v>857</v>
      </c>
      <c r="J618" s="292">
        <f>'NOGAL '!$I618/7</f>
        <v>122.42857142857143</v>
      </c>
    </row>
    <row r="619" spans="1:10" s="71" customFormat="1" x14ac:dyDescent="0.25">
      <c r="A619" s="77" t="s">
        <v>13</v>
      </c>
      <c r="B619" s="233">
        <v>1</v>
      </c>
      <c r="C619" s="13">
        <v>2</v>
      </c>
      <c r="D619" s="13">
        <v>2</v>
      </c>
      <c r="E619" s="395">
        <v>5</v>
      </c>
      <c r="F619" s="395">
        <v>2</v>
      </c>
      <c r="G619" s="125">
        <v>2</v>
      </c>
      <c r="H619" s="11">
        <v>5</v>
      </c>
      <c r="I619" s="403">
        <f>B619+C619+D619+E619+F619+G619+H619</f>
        <v>19</v>
      </c>
      <c r="J619" s="292">
        <f>C619+D619+E619+F619+G619+H619+I619</f>
        <v>37</v>
      </c>
    </row>
    <row r="620" spans="1:10" s="71" customFormat="1" x14ac:dyDescent="0.25">
      <c r="A620" s="77" t="s">
        <v>14</v>
      </c>
      <c r="B620" s="233">
        <v>15</v>
      </c>
      <c r="C620" s="13">
        <v>18</v>
      </c>
      <c r="D620" s="13">
        <v>19</v>
      </c>
      <c r="E620" s="395">
        <v>25</v>
      </c>
      <c r="F620" s="395">
        <v>39</v>
      </c>
      <c r="G620" s="125">
        <v>33</v>
      </c>
      <c r="H620" s="11">
        <v>34</v>
      </c>
      <c r="I620" s="403">
        <f>B620+C620+D620+E620+F620+G620+H620</f>
        <v>183</v>
      </c>
      <c r="J620" s="292">
        <f>'NOGAL '!$I620/7</f>
        <v>26.142857142857142</v>
      </c>
    </row>
    <row r="621" spans="1:10" s="71" customFormat="1" x14ac:dyDescent="0.25">
      <c r="A621" s="77" t="s">
        <v>15</v>
      </c>
      <c r="B621" s="233">
        <v>4</v>
      </c>
      <c r="C621" s="13">
        <v>6</v>
      </c>
      <c r="D621" s="13">
        <v>7</v>
      </c>
      <c r="E621" s="395">
        <v>8</v>
      </c>
      <c r="F621" s="395">
        <v>15</v>
      </c>
      <c r="G621" s="125">
        <v>12</v>
      </c>
      <c r="H621" s="11">
        <v>12</v>
      </c>
      <c r="I621" s="403">
        <f>B621+C621+D621+E621+F621+G621+H621</f>
        <v>64</v>
      </c>
      <c r="J621" s="292">
        <f>'NOGAL '!$I621/7</f>
        <v>9.1428571428571423</v>
      </c>
    </row>
    <row r="622" spans="1:10" s="71" customFormat="1" x14ac:dyDescent="0.25">
      <c r="A622" s="77" t="s">
        <v>16</v>
      </c>
      <c r="B622" s="233">
        <v>0</v>
      </c>
      <c r="C622" s="13">
        <v>0</v>
      </c>
      <c r="D622" s="13">
        <v>0</v>
      </c>
      <c r="E622" s="395">
        <v>1</v>
      </c>
      <c r="F622" s="395">
        <v>0</v>
      </c>
      <c r="G622" s="125">
        <v>0</v>
      </c>
      <c r="H622" s="11">
        <v>0</v>
      </c>
      <c r="I622" s="403">
        <f>B622+C622+D622+E622+F622+G622+H622</f>
        <v>1</v>
      </c>
      <c r="J622" s="292">
        <f>'NOGAL '!$I622/7</f>
        <v>0.14285714285714285</v>
      </c>
    </row>
    <row r="623" spans="1:10" s="71" customFormat="1" x14ac:dyDescent="0.25">
      <c r="A623" s="79" t="s">
        <v>17</v>
      </c>
      <c r="B623" s="102">
        <f>SUM(B618:B622)</f>
        <v>98</v>
      </c>
      <c r="C623" s="79">
        <f t="shared" ref="C623:H623" si="257">SUM(C618:C622)</f>
        <v>120</v>
      </c>
      <c r="D623" s="79">
        <f t="shared" si="257"/>
        <v>119</v>
      </c>
      <c r="E623" s="248">
        <f t="shared" si="257"/>
        <v>122</v>
      </c>
      <c r="F623" s="15">
        <f t="shared" si="257"/>
        <v>239</v>
      </c>
      <c r="G623" s="79">
        <f t="shared" si="257"/>
        <v>203</v>
      </c>
      <c r="H623" s="79">
        <f t="shared" si="257"/>
        <v>223</v>
      </c>
      <c r="I623" s="404">
        <f>SUM(I618:I622)</f>
        <v>1124</v>
      </c>
      <c r="J623" s="405">
        <f>'NOGAL '!$I623/7</f>
        <v>160.57142857142858</v>
      </c>
    </row>
    <row r="624" spans="1:10" s="71" customFormat="1" x14ac:dyDescent="0.25">
      <c r="A624" s="77" t="s">
        <v>18</v>
      </c>
      <c r="B624" s="445">
        <v>0.85</v>
      </c>
      <c r="C624" s="235">
        <v>0.8</v>
      </c>
      <c r="D624" s="235">
        <v>0.83</v>
      </c>
      <c r="E624" s="236">
        <v>0.74</v>
      </c>
      <c r="F624" s="236">
        <v>0.85</v>
      </c>
      <c r="G624" s="236">
        <v>0.82</v>
      </c>
      <c r="H624" s="236">
        <v>0.83</v>
      </c>
      <c r="I624" s="105">
        <f>I631/I636</f>
        <v>0.82187207288482134</v>
      </c>
      <c r="J624" s="297">
        <f>J631/J636</f>
        <v>0.82187207288482145</v>
      </c>
    </row>
    <row r="625" spans="1:10" s="71" customFormat="1" x14ac:dyDescent="0.25">
      <c r="A625" s="77" t="s">
        <v>19</v>
      </c>
      <c r="B625" s="445">
        <v>0.12</v>
      </c>
      <c r="C625" s="235">
        <v>0.02</v>
      </c>
      <c r="D625" s="235">
        <v>0.01</v>
      </c>
      <c r="E625" s="236">
        <v>0.05</v>
      </c>
      <c r="F625" s="236">
        <v>0</v>
      </c>
      <c r="G625" s="236">
        <v>0</v>
      </c>
      <c r="H625" s="236">
        <v>0.02</v>
      </c>
      <c r="I625" s="105">
        <f>I632/I636</f>
        <v>2.1592659282696668E-2</v>
      </c>
      <c r="J625" s="297">
        <f>J632/J636</f>
        <v>2.1592659282696672E-2</v>
      </c>
    </row>
    <row r="626" spans="1:10" s="71" customFormat="1" x14ac:dyDescent="0.25">
      <c r="A626" s="77" t="s">
        <v>20</v>
      </c>
      <c r="B626" s="445">
        <v>0</v>
      </c>
      <c r="C626" s="235">
        <v>0.11</v>
      </c>
      <c r="D626" s="235">
        <v>0.1</v>
      </c>
      <c r="E626" s="236">
        <v>0.13</v>
      </c>
      <c r="F626" s="236">
        <v>0.1</v>
      </c>
      <c r="G626" s="236">
        <v>0.12</v>
      </c>
      <c r="H626" s="236">
        <v>0.11</v>
      </c>
      <c r="I626" s="105">
        <f>I633/I636</f>
        <v>0.10182711632820879</v>
      </c>
      <c r="J626" s="297">
        <f>J633/J636</f>
        <v>0.1018271163282088</v>
      </c>
    </row>
    <row r="627" spans="1:10" s="71" customFormat="1" x14ac:dyDescent="0.25">
      <c r="A627" s="77" t="s">
        <v>21</v>
      </c>
      <c r="B627" s="445">
        <v>0.03</v>
      </c>
      <c r="C627" s="235">
        <v>7.0000000000000007E-2</v>
      </c>
      <c r="D627" s="235">
        <v>0.06</v>
      </c>
      <c r="E627" s="236">
        <v>0.06</v>
      </c>
      <c r="F627" s="236">
        <v>0.05</v>
      </c>
      <c r="G627" s="236">
        <v>0.06</v>
      </c>
      <c r="H627" s="236">
        <v>0.04</v>
      </c>
      <c r="I627" s="105">
        <f>I634/I636</f>
        <v>5.2654251114948217E-2</v>
      </c>
      <c r="J627" s="297">
        <f>J634/J636</f>
        <v>5.2654251114948224E-2</v>
      </c>
    </row>
    <row r="628" spans="1:10" s="71" customFormat="1" x14ac:dyDescent="0.25">
      <c r="A628" s="77" t="s">
        <v>22</v>
      </c>
      <c r="B628" s="445">
        <v>0</v>
      </c>
      <c r="C628" s="235">
        <v>0</v>
      </c>
      <c r="D628" s="235">
        <v>0</v>
      </c>
      <c r="E628" s="236">
        <v>0.02</v>
      </c>
      <c r="F628" s="236">
        <v>0</v>
      </c>
      <c r="G628" s="236">
        <v>0</v>
      </c>
      <c r="H628" s="236">
        <v>0</v>
      </c>
      <c r="I628" s="105">
        <f>I635/I636</f>
        <v>2.0539003893250856E-3</v>
      </c>
      <c r="J628" s="297">
        <f>J635/J636</f>
        <v>2.0539003893250861E-3</v>
      </c>
    </row>
    <row r="629" spans="1:10" s="71" customFormat="1" x14ac:dyDescent="0.25">
      <c r="A629" s="81" t="s">
        <v>23</v>
      </c>
      <c r="B629" s="409">
        <f t="shared" ref="B629:J629" si="258">B640/B623</f>
        <v>35129.591836734697</v>
      </c>
      <c r="C629" s="131">
        <f t="shared" si="258"/>
        <v>36676.666666666664</v>
      </c>
      <c r="D629" s="131">
        <f t="shared" si="258"/>
        <v>44652.941176470595</v>
      </c>
      <c r="E629" s="397">
        <f t="shared" si="258"/>
        <v>36513.934426229513</v>
      </c>
      <c r="F629" s="132">
        <f t="shared" si="258"/>
        <v>40109.205020920504</v>
      </c>
      <c r="G629" s="130">
        <f t="shared" si="258"/>
        <v>39577.339901477833</v>
      </c>
      <c r="H629" s="130">
        <f t="shared" si="258"/>
        <v>37073.094170403594</v>
      </c>
      <c r="I629" s="359">
        <f t="shared" si="258"/>
        <v>38700.978647686832</v>
      </c>
      <c r="J629" s="314">
        <f t="shared" si="258"/>
        <v>38700.978647686825</v>
      </c>
    </row>
    <row r="630" spans="1:10" s="71" customFormat="1" x14ac:dyDescent="0.25">
      <c r="A630" s="81" t="s">
        <v>24</v>
      </c>
      <c r="B630" s="409">
        <f t="shared" ref="B630:J630" si="259">B640/B617</f>
        <v>30738.392857142859</v>
      </c>
      <c r="C630" s="131">
        <f t="shared" si="259"/>
        <v>30353.103448275862</v>
      </c>
      <c r="D630" s="131">
        <f t="shared" si="259"/>
        <v>34281.935483870977</v>
      </c>
      <c r="E630" s="397">
        <f t="shared" si="259"/>
        <v>31593.617021276601</v>
      </c>
      <c r="F630" s="132">
        <f t="shared" si="259"/>
        <v>31429.836065573771</v>
      </c>
      <c r="G630" s="130">
        <f t="shared" si="259"/>
        <v>32008.764940239045</v>
      </c>
      <c r="H630" s="130">
        <f t="shared" si="259"/>
        <v>30172.627737226281</v>
      </c>
      <c r="I630" s="359">
        <f t="shared" si="259"/>
        <v>31453.289949385395</v>
      </c>
      <c r="J630" s="314">
        <f t="shared" si="259"/>
        <v>31453.289949385391</v>
      </c>
    </row>
    <row r="631" spans="1:10" s="71" customFormat="1" x14ac:dyDescent="0.25">
      <c r="A631" s="77" t="s">
        <v>25</v>
      </c>
      <c r="B631" s="255">
        <f t="shared" ref="B631:H631" si="260">B636*B624</f>
        <v>2379791.6034482759</v>
      </c>
      <c r="C631" s="133">
        <f t="shared" si="260"/>
        <v>2873254.3448275868</v>
      </c>
      <c r="D631" s="133">
        <f t="shared" si="260"/>
        <v>3639276.8155172416</v>
      </c>
      <c r="E631" s="299">
        <f t="shared" si="260"/>
        <v>2709431.2793103452</v>
      </c>
      <c r="F631" s="134">
        <f t="shared" si="260"/>
        <v>6689087.1637931038</v>
      </c>
      <c r="G631" s="92">
        <f t="shared" si="260"/>
        <v>5403680.6758620683</v>
      </c>
      <c r="H631" s="92">
        <f t="shared" si="260"/>
        <v>5607747.8896551728</v>
      </c>
      <c r="I631" s="108">
        <f>'NOGAL '!$B631+'NOGAL '!$C631+'NOGAL '!$D631+'NOGAL '!$E631+'NOGAL '!$F631+'NOGAL '!$G631+'NOGAL '!$H631</f>
        <v>29302269.77241379</v>
      </c>
      <c r="J631" s="300">
        <f>'NOGAL '!$I631/7</f>
        <v>4186038.5389162558</v>
      </c>
    </row>
    <row r="632" spans="1:10" s="71" customFormat="1" x14ac:dyDescent="0.25">
      <c r="A632" s="77" t="s">
        <v>26</v>
      </c>
      <c r="B632" s="255">
        <f t="shared" ref="B632:H632" si="261">B636*B625</f>
        <v>335970.57931034482</v>
      </c>
      <c r="C632" s="133">
        <f t="shared" si="261"/>
        <v>71831.358620689658</v>
      </c>
      <c r="D632" s="133">
        <f t="shared" si="261"/>
        <v>43846.708620689664</v>
      </c>
      <c r="E632" s="299">
        <f t="shared" si="261"/>
        <v>183069.68103448278</v>
      </c>
      <c r="F632" s="134">
        <f t="shared" si="261"/>
        <v>0</v>
      </c>
      <c r="G632" s="92">
        <f t="shared" si="261"/>
        <v>0</v>
      </c>
      <c r="H632" s="92">
        <f t="shared" si="261"/>
        <v>135126.45517241381</v>
      </c>
      <c r="I632" s="108">
        <f>'NOGAL '!$B632+'NOGAL '!$C632+'NOGAL '!$D632+'NOGAL '!$E632+'NOGAL '!$F632+'NOGAL '!$G632+'NOGAL '!$H632</f>
        <v>769844.7827586208</v>
      </c>
      <c r="J632" s="300">
        <f>'NOGAL '!$I632/7</f>
        <v>109977.8261083744</v>
      </c>
    </row>
    <row r="633" spans="1:10" s="71" customFormat="1" x14ac:dyDescent="0.25">
      <c r="A633" s="77" t="s">
        <v>27</v>
      </c>
      <c r="B633" s="255">
        <f t="shared" ref="B633:H633" si="262">B636*B626</f>
        <v>0</v>
      </c>
      <c r="C633" s="133">
        <f t="shared" si="262"/>
        <v>395072.47241379315</v>
      </c>
      <c r="D633" s="133">
        <f t="shared" si="262"/>
        <v>438467.08620689664</v>
      </c>
      <c r="E633" s="299">
        <f t="shared" si="262"/>
        <v>475981.17068965524</v>
      </c>
      <c r="F633" s="134">
        <f t="shared" si="262"/>
        <v>786951.4310344829</v>
      </c>
      <c r="G633" s="92">
        <f t="shared" si="262"/>
        <v>790782.53793103446</v>
      </c>
      <c r="H633" s="92">
        <f t="shared" si="262"/>
        <v>743195.50344827597</v>
      </c>
      <c r="I633" s="108">
        <f>'NOGAL '!$B633+'NOGAL '!$C633+'NOGAL '!$D633+'NOGAL '!$E633+'NOGAL '!$F633+'NOGAL '!$G633+'NOGAL '!$H633</f>
        <v>3630450.2017241381</v>
      </c>
      <c r="J633" s="300">
        <f>'NOGAL '!$I633/7</f>
        <v>518635.7431034483</v>
      </c>
    </row>
    <row r="634" spans="1:10" s="71" customFormat="1" x14ac:dyDescent="0.25">
      <c r="A634" s="77" t="s">
        <v>28</v>
      </c>
      <c r="B634" s="255">
        <f t="shared" ref="B634:H634" si="263">B636*B627</f>
        <v>83992.644827586206</v>
      </c>
      <c r="C634" s="133">
        <f t="shared" si="263"/>
        <v>251409.75517241383</v>
      </c>
      <c r="D634" s="133">
        <f t="shared" si="263"/>
        <v>263080.25172413792</v>
      </c>
      <c r="E634" s="299">
        <f t="shared" si="263"/>
        <v>219683.61724137934</v>
      </c>
      <c r="F634" s="134">
        <f t="shared" si="263"/>
        <v>393475.71551724145</v>
      </c>
      <c r="G634" s="92">
        <f t="shared" si="263"/>
        <v>395391.26896551723</v>
      </c>
      <c r="H634" s="92">
        <f t="shared" si="263"/>
        <v>270252.91034482763</v>
      </c>
      <c r="I634" s="108">
        <f>'NOGAL '!$B634+'NOGAL '!$C634+'NOGAL '!$D634+'NOGAL '!$E634+'NOGAL '!$F634+'NOGAL '!$G634+'NOGAL '!$H634</f>
        <v>1877286.1637931035</v>
      </c>
      <c r="J634" s="300">
        <f>'NOGAL '!$I634/7</f>
        <v>268183.7376847291</v>
      </c>
    </row>
    <row r="635" spans="1:10" s="71" customFormat="1" x14ac:dyDescent="0.25">
      <c r="A635" s="77" t="s">
        <v>29</v>
      </c>
      <c r="B635" s="255">
        <f t="shared" ref="B635:H635" si="264">B636*B628</f>
        <v>0</v>
      </c>
      <c r="C635" s="133">
        <f t="shared" si="264"/>
        <v>0</v>
      </c>
      <c r="D635" s="133">
        <f t="shared" si="264"/>
        <v>0</v>
      </c>
      <c r="E635" s="299">
        <f t="shared" si="264"/>
        <v>73227.872413793113</v>
      </c>
      <c r="F635" s="134">
        <f t="shared" si="264"/>
        <v>0</v>
      </c>
      <c r="G635" s="92">
        <f t="shared" si="264"/>
        <v>0</v>
      </c>
      <c r="H635" s="92">
        <f t="shared" si="264"/>
        <v>0</v>
      </c>
      <c r="I635" s="108">
        <f>'NOGAL '!$B635+'NOGAL '!$C635+'NOGAL '!$D635+'NOGAL '!$E635+'NOGAL '!$F635+'NOGAL '!$G635+'NOGAL '!$H635</f>
        <v>73227.872413793113</v>
      </c>
      <c r="J635" s="300">
        <f>'NOGAL '!$I635/7</f>
        <v>10461.124630541874</v>
      </c>
    </row>
    <row r="636" spans="1:10" s="71" customFormat="1" x14ac:dyDescent="0.25">
      <c r="A636" s="82" t="s">
        <v>30</v>
      </c>
      <c r="B636" s="222">
        <f>(3442700/1.16)-B637</f>
        <v>2799754.8275862071</v>
      </c>
      <c r="C636" s="222">
        <f>(4401200/1.16)-C637</f>
        <v>3591567.931034483</v>
      </c>
      <c r="D636" s="222">
        <f>(5313700/1.16)-D637</f>
        <v>4384670.862068966</v>
      </c>
      <c r="E636" s="222">
        <f>(4454700/1.16)-E637</f>
        <v>3661393.6206896557</v>
      </c>
      <c r="F636" s="222">
        <f>(9586100/1.16)-F637</f>
        <v>7869514.3103448283</v>
      </c>
      <c r="G636" s="222">
        <f>(8034200/1.16)-G637</f>
        <v>6589854.4827586208</v>
      </c>
      <c r="H636" s="222">
        <f>(8267300/1.16)-H637</f>
        <v>6756322.7586206906</v>
      </c>
      <c r="I636" s="111">
        <f>SUM(I631:I635)</f>
        <v>35653078.793103442</v>
      </c>
      <c r="J636" s="361">
        <f>'NOGAL '!$I636/7</f>
        <v>5093296.9704433484</v>
      </c>
    </row>
    <row r="637" spans="1:10" s="71" customFormat="1" x14ac:dyDescent="0.25">
      <c r="A637" s="77" t="s">
        <v>31</v>
      </c>
      <c r="B637" s="263">
        <f t="shared" ref="B637:G637" si="265">2155*B618</f>
        <v>168090</v>
      </c>
      <c r="C637" s="139">
        <f t="shared" si="265"/>
        <v>202570</v>
      </c>
      <c r="D637" s="139">
        <f t="shared" si="265"/>
        <v>196105</v>
      </c>
      <c r="E637" s="113">
        <f t="shared" si="265"/>
        <v>178865</v>
      </c>
      <c r="F637" s="112">
        <f t="shared" si="265"/>
        <v>394365</v>
      </c>
      <c r="G637" s="94">
        <f t="shared" si="265"/>
        <v>336180</v>
      </c>
      <c r="H637" s="94">
        <f>2155*H618</f>
        <v>370660</v>
      </c>
      <c r="I637" s="109">
        <f>2155*I618</f>
        <v>1846835</v>
      </c>
      <c r="J637" s="302">
        <f>2155*J618</f>
        <v>263833.57142857142</v>
      </c>
    </row>
    <row r="638" spans="1:10" s="71" customFormat="1" x14ac:dyDescent="0.25">
      <c r="A638" s="83" t="s">
        <v>32</v>
      </c>
      <c r="B638" s="411">
        <f>B636+B637</f>
        <v>2967844.8275862071</v>
      </c>
      <c r="C638" s="40">
        <f>C636+C637</f>
        <v>3794137.931034483</v>
      </c>
      <c r="D638" s="40">
        <f t="shared" ref="D638:J638" si="266">D636+D637</f>
        <v>4580775.862068966</v>
      </c>
      <c r="E638" s="399">
        <f t="shared" si="266"/>
        <v>3840258.6206896557</v>
      </c>
      <c r="F638" s="140">
        <f t="shared" si="266"/>
        <v>8263879.3103448283</v>
      </c>
      <c r="G638" s="39">
        <f t="shared" si="266"/>
        <v>6926034.4827586208</v>
      </c>
      <c r="H638" s="39">
        <f t="shared" si="266"/>
        <v>7126982.7586206906</v>
      </c>
      <c r="I638" s="412">
        <f t="shared" si="266"/>
        <v>37499913.793103442</v>
      </c>
      <c r="J638" s="364">
        <f t="shared" si="266"/>
        <v>5357130.5418719202</v>
      </c>
    </row>
    <row r="639" spans="1:10" s="71" customFormat="1" x14ac:dyDescent="0.25">
      <c r="A639" s="77" t="s">
        <v>33</v>
      </c>
      <c r="B639" s="413">
        <f>B638*16%</f>
        <v>474855.17241379316</v>
      </c>
      <c r="C639" s="42">
        <f>C638*16%</f>
        <v>607062.06896551733</v>
      </c>
      <c r="D639" s="42">
        <f t="shared" ref="D639:J639" si="267">D638*16%</f>
        <v>732924.13793103455</v>
      </c>
      <c r="E639" s="400">
        <f t="shared" si="267"/>
        <v>614441.37931034493</v>
      </c>
      <c r="F639" s="141">
        <f t="shared" si="267"/>
        <v>1322220.6896551726</v>
      </c>
      <c r="G639" s="41">
        <f t="shared" si="267"/>
        <v>1108165.5172413792</v>
      </c>
      <c r="H639" s="41">
        <f t="shared" si="267"/>
        <v>1140317.2413793106</v>
      </c>
      <c r="I639" s="414">
        <f t="shared" si="267"/>
        <v>5999986.206896551</v>
      </c>
      <c r="J639" s="415">
        <f t="shared" si="267"/>
        <v>857140.88669950725</v>
      </c>
    </row>
    <row r="640" spans="1:10" s="71" customFormat="1" x14ac:dyDescent="0.25">
      <c r="A640" s="142" t="s">
        <v>34</v>
      </c>
      <c r="B640" s="438">
        <f t="shared" ref="B640:H640" si="268">B638+B639</f>
        <v>3442700</v>
      </c>
      <c r="C640" s="143">
        <f t="shared" si="268"/>
        <v>4401200</v>
      </c>
      <c r="D640" s="143">
        <f t="shared" si="268"/>
        <v>5313700.0000000009</v>
      </c>
      <c r="E640" s="439">
        <f t="shared" si="268"/>
        <v>4454700.0000000009</v>
      </c>
      <c r="F640" s="145">
        <f t="shared" si="268"/>
        <v>9586100</v>
      </c>
      <c r="G640" s="144">
        <f t="shared" si="268"/>
        <v>8034200</v>
      </c>
      <c r="H640" s="144">
        <f t="shared" si="268"/>
        <v>8267300.0000000009</v>
      </c>
      <c r="I640" s="440">
        <f>'NOGAL '!$B640+'NOGAL '!$C640+'NOGAL '!$D640+'NOGAL '!$E640+'NOGAL '!$F640+'NOGAL '!$G640+'NOGAL '!$H640</f>
        <v>43499900</v>
      </c>
      <c r="J640" s="441">
        <f>'NOGAL '!$I640/7</f>
        <v>6214271.4285714282</v>
      </c>
    </row>
    <row r="641" spans="1:10" s="71" customFormat="1" x14ac:dyDescent="0.25">
      <c r="A641" s="69"/>
      <c r="B641" s="424"/>
      <c r="C641" s="424"/>
      <c r="D641" s="424"/>
      <c r="E641" s="424"/>
      <c r="F641" s="424"/>
      <c r="G641" s="424"/>
      <c r="H641" s="424"/>
      <c r="I641" s="424"/>
      <c r="J641" s="424"/>
    </row>
    <row r="642" spans="1:10" s="71" customFormat="1" ht="15.75" thickBot="1" x14ac:dyDescent="0.3">
      <c r="A642" s="69"/>
      <c r="B642" s="424"/>
      <c r="C642" s="424"/>
      <c r="D642" s="424"/>
      <c r="E642" s="424"/>
      <c r="F642" s="424"/>
      <c r="G642" s="424"/>
      <c r="H642" s="424"/>
      <c r="I642" s="424"/>
      <c r="J642" s="424"/>
    </row>
    <row r="643" spans="1:10" s="71" customFormat="1" ht="26.25" x14ac:dyDescent="0.25">
      <c r="A643" s="85"/>
      <c r="B643" s="1002" t="s">
        <v>364</v>
      </c>
      <c r="C643" s="1002"/>
      <c r="D643" s="1002"/>
      <c r="E643" s="1002"/>
      <c r="F643" s="1002"/>
      <c r="G643" s="1002"/>
      <c r="H643" s="1002"/>
      <c r="I643" s="1002"/>
      <c r="J643" s="85"/>
    </row>
    <row r="644" spans="1:10" s="71" customFormat="1" ht="15.75" x14ac:dyDescent="0.25">
      <c r="A644" s="72" t="s">
        <v>2</v>
      </c>
      <c r="B644" s="121" t="s">
        <v>233</v>
      </c>
      <c r="C644" s="121" t="s">
        <v>234</v>
      </c>
      <c r="D644" s="121" t="s">
        <v>235</v>
      </c>
      <c r="E644" s="121" t="s">
        <v>236</v>
      </c>
      <c r="F644" s="121" t="s">
        <v>237</v>
      </c>
      <c r="G644" s="121" t="s">
        <v>238</v>
      </c>
      <c r="H644" s="121" t="s">
        <v>239</v>
      </c>
      <c r="I644" s="153" t="s">
        <v>10</v>
      </c>
      <c r="J644" s="421" t="s">
        <v>77</v>
      </c>
    </row>
    <row r="645" spans="1:10" s="71" customFormat="1" x14ac:dyDescent="0.25">
      <c r="A645" s="430" t="s">
        <v>11</v>
      </c>
      <c r="B645" s="431">
        <v>312</v>
      </c>
      <c r="C645" s="432">
        <v>142</v>
      </c>
      <c r="D645" s="433">
        <v>139</v>
      </c>
      <c r="E645" s="434">
        <v>146</v>
      </c>
      <c r="F645" s="434">
        <v>285</v>
      </c>
      <c r="G645" s="435">
        <v>337</v>
      </c>
      <c r="H645" s="434">
        <v>291</v>
      </c>
      <c r="I645" s="435">
        <f>SUM(B645:H645)</f>
        <v>1652</v>
      </c>
      <c r="J645" s="437">
        <f>'NOGAL '!$I645/7</f>
        <v>236</v>
      </c>
    </row>
    <row r="646" spans="1:10" s="71" customFormat="1" x14ac:dyDescent="0.25">
      <c r="A646" s="77" t="s">
        <v>12</v>
      </c>
      <c r="B646" s="233">
        <v>232</v>
      </c>
      <c r="C646" s="13">
        <v>92</v>
      </c>
      <c r="D646" s="13">
        <v>85</v>
      </c>
      <c r="E646" s="395">
        <v>84</v>
      </c>
      <c r="F646" s="395">
        <v>174</v>
      </c>
      <c r="G646" s="125">
        <v>217</v>
      </c>
      <c r="H646" s="11">
        <v>200</v>
      </c>
      <c r="I646" s="403">
        <f>B646+C646+D646+E646+F646+G646+H646</f>
        <v>1084</v>
      </c>
      <c r="J646" s="292">
        <f>'NOGAL '!$I646/7</f>
        <v>154.85714285714286</v>
      </c>
    </row>
    <row r="647" spans="1:10" s="71" customFormat="1" x14ac:dyDescent="0.25">
      <c r="A647" s="77" t="s">
        <v>13</v>
      </c>
      <c r="B647" s="233">
        <v>6</v>
      </c>
      <c r="C647" s="13">
        <v>1</v>
      </c>
      <c r="D647" s="13">
        <v>0</v>
      </c>
      <c r="E647" s="395">
        <v>2</v>
      </c>
      <c r="F647" s="395">
        <v>6</v>
      </c>
      <c r="G647" s="125">
        <v>5</v>
      </c>
      <c r="H647" s="11">
        <v>3</v>
      </c>
      <c r="I647" s="403">
        <f>B647+C647+D647+E647+F647+G647+H647</f>
        <v>23</v>
      </c>
      <c r="J647" s="292">
        <f>C647+D647+E647+F647+G647+H647+I647</f>
        <v>40</v>
      </c>
    </row>
    <row r="648" spans="1:10" s="71" customFormat="1" x14ac:dyDescent="0.25">
      <c r="A648" s="77" t="s">
        <v>14</v>
      </c>
      <c r="B648" s="233">
        <v>17</v>
      </c>
      <c r="C648" s="13">
        <v>20</v>
      </c>
      <c r="D648" s="13">
        <v>20</v>
      </c>
      <c r="E648" s="395">
        <v>35</v>
      </c>
      <c r="F648" s="395">
        <v>32</v>
      </c>
      <c r="G648" s="125">
        <v>38</v>
      </c>
      <c r="H648" s="11">
        <v>14</v>
      </c>
      <c r="I648" s="403">
        <f>B648+C648+D648+E648+F648+G648+H648</f>
        <v>176</v>
      </c>
      <c r="J648" s="292">
        <f>'NOGAL '!$I648/7</f>
        <v>25.142857142857142</v>
      </c>
    </row>
    <row r="649" spans="1:10" s="71" customFormat="1" x14ac:dyDescent="0.25">
      <c r="A649" s="77" t="s">
        <v>15</v>
      </c>
      <c r="B649" s="233">
        <v>12</v>
      </c>
      <c r="C649" s="13">
        <v>6</v>
      </c>
      <c r="D649" s="13">
        <v>6</v>
      </c>
      <c r="E649" s="395">
        <v>9</v>
      </c>
      <c r="F649" s="395">
        <v>9</v>
      </c>
      <c r="G649" s="125">
        <v>18</v>
      </c>
      <c r="H649" s="11">
        <v>19</v>
      </c>
      <c r="I649" s="403">
        <f>B649+C649+D649+E649+F649+G649+H649</f>
        <v>79</v>
      </c>
      <c r="J649" s="292">
        <f>'NOGAL '!$I649/7</f>
        <v>11.285714285714286</v>
      </c>
    </row>
    <row r="650" spans="1:10" s="71" customFormat="1" x14ac:dyDescent="0.25">
      <c r="A650" s="77" t="s">
        <v>16</v>
      </c>
      <c r="B650" s="233">
        <v>0</v>
      </c>
      <c r="C650" s="13">
        <v>0</v>
      </c>
      <c r="D650" s="13">
        <v>0</v>
      </c>
      <c r="E650" s="395">
        <v>0</v>
      </c>
      <c r="F650" s="395">
        <v>1</v>
      </c>
      <c r="G650" s="125">
        <v>0</v>
      </c>
      <c r="H650" s="11">
        <v>0</v>
      </c>
      <c r="I650" s="403">
        <f>B650+C650+D650+E650+F650+G650+H650</f>
        <v>1</v>
      </c>
      <c r="J650" s="292">
        <f>'NOGAL '!$I650/7</f>
        <v>0.14285714285714285</v>
      </c>
    </row>
    <row r="651" spans="1:10" s="71" customFormat="1" x14ac:dyDescent="0.25">
      <c r="A651" s="79" t="s">
        <v>17</v>
      </c>
      <c r="B651" s="102">
        <f>SUM(B646:B650)</f>
        <v>267</v>
      </c>
      <c r="C651" s="79">
        <f t="shared" ref="C651:H651" si="269">SUM(C646:C650)</f>
        <v>119</v>
      </c>
      <c r="D651" s="79">
        <f t="shared" si="269"/>
        <v>111</v>
      </c>
      <c r="E651" s="248">
        <f t="shared" si="269"/>
        <v>130</v>
      </c>
      <c r="F651" s="15">
        <f t="shared" si="269"/>
        <v>222</v>
      </c>
      <c r="G651" s="79">
        <f t="shared" si="269"/>
        <v>278</v>
      </c>
      <c r="H651" s="79">
        <f t="shared" si="269"/>
        <v>236</v>
      </c>
      <c r="I651" s="404">
        <f>SUM(I646:I650)</f>
        <v>1363</v>
      </c>
      <c r="J651" s="405">
        <f>'NOGAL '!$I651/7</f>
        <v>194.71428571428572</v>
      </c>
    </row>
    <row r="652" spans="1:10" s="71" customFormat="1" x14ac:dyDescent="0.25">
      <c r="A652" s="77" t="s">
        <v>18</v>
      </c>
      <c r="B652" s="445">
        <v>0.9</v>
      </c>
      <c r="C652" s="235">
        <v>0.85</v>
      </c>
      <c r="D652" s="235">
        <v>0.86</v>
      </c>
      <c r="E652" s="236">
        <v>0.77</v>
      </c>
      <c r="F652" s="236">
        <v>0.84</v>
      </c>
      <c r="G652" s="236">
        <v>0.8</v>
      </c>
      <c r="H652" s="236">
        <v>0.87</v>
      </c>
      <c r="I652" s="105">
        <f>I659/I664</f>
        <v>0.84469734431310151</v>
      </c>
      <c r="J652" s="297">
        <f>J659/J664</f>
        <v>0.84469734431310162</v>
      </c>
    </row>
    <row r="653" spans="1:10" s="71" customFormat="1" x14ac:dyDescent="0.25">
      <c r="A653" s="77" t="s">
        <v>19</v>
      </c>
      <c r="B653" s="445">
        <v>0.02</v>
      </c>
      <c r="C653" s="235">
        <v>0.01</v>
      </c>
      <c r="D653" s="235">
        <v>0</v>
      </c>
      <c r="E653" s="236">
        <v>0.01</v>
      </c>
      <c r="F653" s="236">
        <v>0.02</v>
      </c>
      <c r="G653" s="236">
        <v>0.02</v>
      </c>
      <c r="H653" s="236">
        <v>0.01</v>
      </c>
      <c r="I653" s="105">
        <f>I660/I664</f>
        <v>1.4814564033300639E-2</v>
      </c>
      <c r="J653" s="297">
        <f>J660/J664</f>
        <v>1.4814564033300639E-2</v>
      </c>
    </row>
    <row r="654" spans="1:10" s="71" customFormat="1" x14ac:dyDescent="0.25">
      <c r="A654" s="77" t="s">
        <v>20</v>
      </c>
      <c r="B654" s="445">
        <v>0.04</v>
      </c>
      <c r="C654" s="235">
        <v>0.11</v>
      </c>
      <c r="D654" s="235">
        <v>0.1</v>
      </c>
      <c r="E654" s="236">
        <v>0.17</v>
      </c>
      <c r="F654" s="236">
        <v>0.09</v>
      </c>
      <c r="G654" s="236">
        <v>0.13</v>
      </c>
      <c r="H654" s="236">
        <v>0.06</v>
      </c>
      <c r="I654" s="105">
        <f>I661/I664</f>
        <v>9.3292819207557665E-2</v>
      </c>
      <c r="J654" s="297">
        <f>J661/J664</f>
        <v>9.3292819207557678E-2</v>
      </c>
    </row>
    <row r="655" spans="1:10" s="71" customFormat="1" x14ac:dyDescent="0.25">
      <c r="A655" s="77" t="s">
        <v>21</v>
      </c>
      <c r="B655" s="445">
        <v>0.04</v>
      </c>
      <c r="C655" s="235">
        <v>0.03</v>
      </c>
      <c r="D655" s="235">
        <v>0.04</v>
      </c>
      <c r="E655" s="236">
        <v>0.05</v>
      </c>
      <c r="F655" s="236">
        <v>0.04</v>
      </c>
      <c r="G655" s="236">
        <v>0.05</v>
      </c>
      <c r="H655" s="236">
        <v>0.06</v>
      </c>
      <c r="I655" s="105">
        <f>I662/I664</f>
        <v>4.5469466034532585E-2</v>
      </c>
      <c r="J655" s="297">
        <f>J662/J664</f>
        <v>4.5469466034532592E-2</v>
      </c>
    </row>
    <row r="656" spans="1:10" s="71" customFormat="1" x14ac:dyDescent="0.25">
      <c r="A656" s="77" t="s">
        <v>22</v>
      </c>
      <c r="B656" s="445">
        <v>0</v>
      </c>
      <c r="C656" s="235">
        <v>0</v>
      </c>
      <c r="D656" s="235">
        <v>0</v>
      </c>
      <c r="E656" s="236">
        <v>0</v>
      </c>
      <c r="F656" s="236">
        <v>0.01</v>
      </c>
      <c r="G656" s="236">
        <v>0</v>
      </c>
      <c r="H656" s="236">
        <v>0</v>
      </c>
      <c r="I656" s="105">
        <f>I663/I664</f>
        <v>1.7258064115077652E-3</v>
      </c>
      <c r="J656" s="297">
        <f>J663/J664</f>
        <v>1.7258064115077654E-3</v>
      </c>
    </row>
    <row r="657" spans="1:10" s="71" customFormat="1" x14ac:dyDescent="0.25">
      <c r="A657" s="81" t="s">
        <v>23</v>
      </c>
      <c r="B657" s="409">
        <f t="shared" ref="B657:J657" si="270">B668/B651</f>
        <v>37244.194756554316</v>
      </c>
      <c r="C657" s="131">
        <f t="shared" si="270"/>
        <v>36410.924369747911</v>
      </c>
      <c r="D657" s="131">
        <f t="shared" si="270"/>
        <v>41184.684684684682</v>
      </c>
      <c r="E657" s="397">
        <f t="shared" si="270"/>
        <v>34883.076923076922</v>
      </c>
      <c r="F657" s="132">
        <f t="shared" si="270"/>
        <v>39976.576576576575</v>
      </c>
      <c r="G657" s="130">
        <f t="shared" si="270"/>
        <v>38282.014388489217</v>
      </c>
      <c r="H657" s="130">
        <f t="shared" si="270"/>
        <v>36919.067796610172</v>
      </c>
      <c r="I657" s="359">
        <f t="shared" si="270"/>
        <v>37867.571533382252</v>
      </c>
      <c r="J657" s="314">
        <f t="shared" si="270"/>
        <v>37867.571533382245</v>
      </c>
    </row>
    <row r="658" spans="1:10" s="71" customFormat="1" x14ac:dyDescent="0.25">
      <c r="A658" s="81" t="s">
        <v>24</v>
      </c>
      <c r="B658" s="409">
        <f t="shared" ref="B658:J658" si="271">B668/B645</f>
        <v>31872.435897435902</v>
      </c>
      <c r="C658" s="131">
        <f t="shared" si="271"/>
        <v>30513.380281690148</v>
      </c>
      <c r="D658" s="131">
        <f t="shared" si="271"/>
        <v>32888.489208633095</v>
      </c>
      <c r="E658" s="397">
        <f t="shared" si="271"/>
        <v>31060.273972602739</v>
      </c>
      <c r="F658" s="132">
        <f t="shared" si="271"/>
        <v>31139.649122807019</v>
      </c>
      <c r="G658" s="130">
        <f t="shared" si="271"/>
        <v>31579.821958456978</v>
      </c>
      <c r="H658" s="130">
        <f t="shared" si="271"/>
        <v>29941.237113402061</v>
      </c>
      <c r="I658" s="359">
        <f t="shared" si="271"/>
        <v>31243.038740920103</v>
      </c>
      <c r="J658" s="314">
        <f t="shared" si="271"/>
        <v>31243.038740920099</v>
      </c>
    </row>
    <row r="659" spans="1:10" s="71" customFormat="1" x14ac:dyDescent="0.25">
      <c r="A659" s="77" t="s">
        <v>25</v>
      </c>
      <c r="B659" s="255">
        <f t="shared" ref="B659:H659" si="272">B664*B652</f>
        <v>7265363.5862068981</v>
      </c>
      <c r="C659" s="133">
        <f t="shared" si="272"/>
        <v>3006448.8275862071</v>
      </c>
      <c r="D659" s="133">
        <f t="shared" si="272"/>
        <v>3231685.0172413797</v>
      </c>
      <c r="E659" s="299">
        <f t="shared" si="272"/>
        <v>2870783.5655172416</v>
      </c>
      <c r="F659" s="134">
        <f t="shared" si="272"/>
        <v>6111604.5103448275</v>
      </c>
      <c r="G659" s="92">
        <f t="shared" si="272"/>
        <v>6965478.2068965528</v>
      </c>
      <c r="H659" s="92">
        <f t="shared" si="272"/>
        <v>6159705</v>
      </c>
      <c r="I659" s="108">
        <f>'NOGAL '!$B659+'NOGAL '!$C659+'NOGAL '!$D659+'NOGAL '!$E659+'NOGAL '!$F659+'NOGAL '!$G659+'NOGAL '!$H659</f>
        <v>35611068.713793106</v>
      </c>
      <c r="J659" s="300">
        <f>'NOGAL '!$I659/7</f>
        <v>5087295.5305418726</v>
      </c>
    </row>
    <row r="660" spans="1:10" s="71" customFormat="1" x14ac:dyDescent="0.25">
      <c r="A660" s="77" t="s">
        <v>26</v>
      </c>
      <c r="B660" s="255">
        <f t="shared" ref="B660:H660" si="273">B664*B653</f>
        <v>161452.52413793106</v>
      </c>
      <c r="C660" s="133">
        <f t="shared" si="273"/>
        <v>35369.986206896559</v>
      </c>
      <c r="D660" s="133">
        <f t="shared" si="273"/>
        <v>0</v>
      </c>
      <c r="E660" s="299">
        <f t="shared" si="273"/>
        <v>37282.903448275865</v>
      </c>
      <c r="F660" s="134">
        <f t="shared" si="273"/>
        <v>145514.3931034483</v>
      </c>
      <c r="G660" s="92">
        <f t="shared" si="273"/>
        <v>174136.95517241381</v>
      </c>
      <c r="H660" s="92">
        <f t="shared" si="273"/>
        <v>70801.206896551725</v>
      </c>
      <c r="I660" s="108">
        <f>'NOGAL '!$B660+'NOGAL '!$C660+'NOGAL '!$D660+'NOGAL '!$E660+'NOGAL '!$F660+'NOGAL '!$G660+'NOGAL '!$H660</f>
        <v>624557.96896551736</v>
      </c>
      <c r="J660" s="300">
        <f>'NOGAL '!$I660/7</f>
        <v>89222.56699507391</v>
      </c>
    </row>
    <row r="661" spans="1:10" s="71" customFormat="1" x14ac:dyDescent="0.25">
      <c r="A661" s="77" t="s">
        <v>27</v>
      </c>
      <c r="B661" s="255">
        <f t="shared" ref="B661:H661" si="274">B664*B654</f>
        <v>322905.04827586212</v>
      </c>
      <c r="C661" s="133">
        <f t="shared" si="274"/>
        <v>389069.84827586211</v>
      </c>
      <c r="D661" s="133">
        <f t="shared" si="274"/>
        <v>375777.32758620696</v>
      </c>
      <c r="E661" s="299">
        <f t="shared" si="274"/>
        <v>633809.35862068972</v>
      </c>
      <c r="F661" s="134">
        <f t="shared" si="274"/>
        <v>654814.76896551729</v>
      </c>
      <c r="G661" s="92">
        <f t="shared" si="274"/>
        <v>1131890.2086206898</v>
      </c>
      <c r="H661" s="92">
        <f t="shared" si="274"/>
        <v>424807.24137931032</v>
      </c>
      <c r="I661" s="108">
        <f>'NOGAL '!$B661+'NOGAL '!$C661+'NOGAL '!$D661+'NOGAL '!$E661+'NOGAL '!$F661+'NOGAL '!$G661+'NOGAL '!$H661</f>
        <v>3933073.8017241382</v>
      </c>
      <c r="J661" s="300">
        <f>'NOGAL '!$I661/7</f>
        <v>561867.68596059119</v>
      </c>
    </row>
    <row r="662" spans="1:10" s="71" customFormat="1" x14ac:dyDescent="0.25">
      <c r="A662" s="77" t="s">
        <v>28</v>
      </c>
      <c r="B662" s="255">
        <f t="shared" ref="B662:H662" si="275">B664*B655</f>
        <v>322905.04827586212</v>
      </c>
      <c r="C662" s="133">
        <f t="shared" si="275"/>
        <v>106109.95862068966</v>
      </c>
      <c r="D662" s="133">
        <f t="shared" si="275"/>
        <v>150310.93103448278</v>
      </c>
      <c r="E662" s="299">
        <f t="shared" si="275"/>
        <v>186414.51724137933</v>
      </c>
      <c r="F662" s="134">
        <f t="shared" si="275"/>
        <v>291028.78620689659</v>
      </c>
      <c r="G662" s="92">
        <f t="shared" si="275"/>
        <v>435342.38793103455</v>
      </c>
      <c r="H662" s="92">
        <f t="shared" si="275"/>
        <v>424807.24137931032</v>
      </c>
      <c r="I662" s="108">
        <f>'NOGAL '!$B662+'NOGAL '!$C662+'NOGAL '!$D662+'NOGAL '!$E662+'NOGAL '!$F662+'NOGAL '!$G662+'NOGAL '!$H662</f>
        <v>1916918.8706896557</v>
      </c>
      <c r="J662" s="300">
        <f>'NOGAL '!$I662/7</f>
        <v>273845.5529556651</v>
      </c>
    </row>
    <row r="663" spans="1:10" s="71" customFormat="1" x14ac:dyDescent="0.25">
      <c r="A663" s="77" t="s">
        <v>29</v>
      </c>
      <c r="B663" s="255">
        <f t="shared" ref="B663:H663" si="276">B664*B656</f>
        <v>0</v>
      </c>
      <c r="C663" s="133">
        <f t="shared" si="276"/>
        <v>0</v>
      </c>
      <c r="D663" s="133">
        <f t="shared" si="276"/>
        <v>0</v>
      </c>
      <c r="E663" s="299">
        <f t="shared" si="276"/>
        <v>0</v>
      </c>
      <c r="F663" s="134">
        <f t="shared" si="276"/>
        <v>72757.196551724148</v>
      </c>
      <c r="G663" s="92">
        <f t="shared" si="276"/>
        <v>0</v>
      </c>
      <c r="H663" s="92">
        <f t="shared" si="276"/>
        <v>0</v>
      </c>
      <c r="I663" s="108">
        <f>'NOGAL '!$B663+'NOGAL '!$C663+'NOGAL '!$D663+'NOGAL '!$E663+'NOGAL '!$F663+'NOGAL '!$G663+'NOGAL '!$H663</f>
        <v>72757.196551724148</v>
      </c>
      <c r="J663" s="300">
        <f>'NOGAL '!$I663/7</f>
        <v>10393.885221674878</v>
      </c>
    </row>
    <row r="664" spans="1:10" s="71" customFormat="1" x14ac:dyDescent="0.25">
      <c r="A664" s="82" t="s">
        <v>30</v>
      </c>
      <c r="B664" s="222">
        <f>(9944200/1.16)-B665</f>
        <v>8072626.2068965528</v>
      </c>
      <c r="C664" s="222">
        <f>(4332900/1.16)-C665</f>
        <v>3536998.6206896557</v>
      </c>
      <c r="D664" s="222">
        <f>(4571500/1.16)-D665</f>
        <v>3757773.2758620693</v>
      </c>
      <c r="E664" s="222">
        <f>(4534800/1.16)-E665</f>
        <v>3728290.3448275863</v>
      </c>
      <c r="F664" s="222">
        <f>(8874800/1.16)-F665</f>
        <v>7275719.6551724141</v>
      </c>
      <c r="G664" s="222">
        <f>(10642400/1.16)-G665</f>
        <v>8706847.7586206906</v>
      </c>
      <c r="H664" s="222">
        <f>(8712900/1.16)-H665</f>
        <v>7080120.6896551726</v>
      </c>
      <c r="I664" s="111">
        <f>SUM(I659:I663)</f>
        <v>42158376.551724136</v>
      </c>
      <c r="J664" s="361">
        <f>'NOGAL '!$I664/7</f>
        <v>6022625.2216748763</v>
      </c>
    </row>
    <row r="665" spans="1:10" s="71" customFormat="1" x14ac:dyDescent="0.25">
      <c r="A665" s="77" t="s">
        <v>31</v>
      </c>
      <c r="B665" s="263">
        <f t="shared" ref="B665:G665" si="277">2155*B646</f>
        <v>499960</v>
      </c>
      <c r="C665" s="139">
        <f t="shared" si="277"/>
        <v>198260</v>
      </c>
      <c r="D665" s="139">
        <f t="shared" si="277"/>
        <v>183175</v>
      </c>
      <c r="E665" s="113">
        <f t="shared" si="277"/>
        <v>181020</v>
      </c>
      <c r="F665" s="112">
        <f t="shared" si="277"/>
        <v>374970</v>
      </c>
      <c r="G665" s="94">
        <f t="shared" si="277"/>
        <v>467635</v>
      </c>
      <c r="H665" s="94">
        <f>2155*H646</f>
        <v>431000</v>
      </c>
      <c r="I665" s="109">
        <f>2155*I646</f>
        <v>2336020</v>
      </c>
      <c r="J665" s="302">
        <f>2155*J646</f>
        <v>333717.14285714284</v>
      </c>
    </row>
    <row r="666" spans="1:10" s="71" customFormat="1" x14ac:dyDescent="0.25">
      <c r="A666" s="83" t="s">
        <v>32</v>
      </c>
      <c r="B666" s="411">
        <f>B664+B665</f>
        <v>8572586.2068965528</v>
      </c>
      <c r="C666" s="40">
        <f>C664+C665</f>
        <v>3735258.6206896557</v>
      </c>
      <c r="D666" s="40">
        <f t="shared" ref="D666:J666" si="278">D664+D665</f>
        <v>3940948.2758620693</v>
      </c>
      <c r="E666" s="399">
        <f t="shared" si="278"/>
        <v>3909310.3448275863</v>
      </c>
      <c r="F666" s="140">
        <f t="shared" si="278"/>
        <v>7650689.6551724141</v>
      </c>
      <c r="G666" s="39">
        <f t="shared" si="278"/>
        <v>9174482.7586206906</v>
      </c>
      <c r="H666" s="39">
        <f t="shared" si="278"/>
        <v>7511120.6896551726</v>
      </c>
      <c r="I666" s="412">
        <f t="shared" si="278"/>
        <v>44494396.551724136</v>
      </c>
      <c r="J666" s="364">
        <f t="shared" si="278"/>
        <v>6356342.364532019</v>
      </c>
    </row>
    <row r="667" spans="1:10" s="71" customFormat="1" x14ac:dyDescent="0.25">
      <c r="A667" s="77" t="s">
        <v>33</v>
      </c>
      <c r="B667" s="413">
        <f>B666*16%</f>
        <v>1371613.7931034486</v>
      </c>
      <c r="C667" s="42">
        <f>C666*16%</f>
        <v>597641.37931034493</v>
      </c>
      <c r="D667" s="42">
        <f t="shared" ref="D667:J667" si="279">D666*16%</f>
        <v>630551.72413793113</v>
      </c>
      <c r="E667" s="400">
        <f t="shared" si="279"/>
        <v>625489.6551724138</v>
      </c>
      <c r="F667" s="141">
        <f t="shared" si="279"/>
        <v>1224110.3448275863</v>
      </c>
      <c r="G667" s="41">
        <f t="shared" si="279"/>
        <v>1467917.2413793106</v>
      </c>
      <c r="H667" s="41">
        <f t="shared" si="279"/>
        <v>1201779.3103448276</v>
      </c>
      <c r="I667" s="414">
        <f t="shared" si="279"/>
        <v>7119103.4482758623</v>
      </c>
      <c r="J667" s="415">
        <f t="shared" si="279"/>
        <v>1017014.778325123</v>
      </c>
    </row>
    <row r="668" spans="1:10" s="71" customFormat="1" x14ac:dyDescent="0.25">
      <c r="A668" s="142" t="s">
        <v>34</v>
      </c>
      <c r="B668" s="438">
        <f t="shared" ref="B668:H668" si="280">B666+B667</f>
        <v>9944200.0000000019</v>
      </c>
      <c r="C668" s="143">
        <f t="shared" si="280"/>
        <v>4332900.0000000009</v>
      </c>
      <c r="D668" s="143">
        <f t="shared" si="280"/>
        <v>4571500</v>
      </c>
      <c r="E668" s="439">
        <f t="shared" si="280"/>
        <v>4534800</v>
      </c>
      <c r="F668" s="145">
        <f t="shared" si="280"/>
        <v>8874800</v>
      </c>
      <c r="G668" s="144">
        <f t="shared" si="280"/>
        <v>10642400.000000002</v>
      </c>
      <c r="H668" s="144">
        <f t="shared" si="280"/>
        <v>8712900</v>
      </c>
      <c r="I668" s="440">
        <f>'NOGAL '!$B668+'NOGAL '!$C668+'NOGAL '!$D668+'NOGAL '!$E668+'NOGAL '!$F668+'NOGAL '!$G668+'NOGAL '!$H668</f>
        <v>51613500.000000007</v>
      </c>
      <c r="J668" s="441">
        <f>'NOGAL '!$I668/7</f>
        <v>7373357.1428571437</v>
      </c>
    </row>
    <row r="669" spans="1:10" s="71" customFormat="1" ht="15.75" thickBot="1" x14ac:dyDescent="0.3">
      <c r="A669" s="69"/>
      <c r="B669" s="424"/>
      <c r="C669" s="424"/>
      <c r="D669" s="424"/>
      <c r="E669" s="424"/>
      <c r="F669" s="424"/>
      <c r="G669" s="424"/>
      <c r="H669" s="424"/>
      <c r="I669" s="424"/>
      <c r="J669" s="424"/>
    </row>
    <row r="670" spans="1:10" s="71" customFormat="1" ht="26.25" x14ac:dyDescent="0.25">
      <c r="A670" s="85"/>
      <c r="B670" s="1002" t="s">
        <v>365</v>
      </c>
      <c r="C670" s="1002"/>
      <c r="D670" s="1002"/>
      <c r="E670" s="1002"/>
      <c r="F670" s="1002"/>
      <c r="G670" s="1002"/>
      <c r="H670" s="1002"/>
      <c r="I670" s="1002"/>
      <c r="J670" s="85"/>
    </row>
    <row r="671" spans="1:10" s="71" customFormat="1" ht="15.75" x14ac:dyDescent="0.25">
      <c r="A671" s="72" t="s">
        <v>2</v>
      </c>
      <c r="B671" s="121" t="s">
        <v>241</v>
      </c>
      <c r="C671" s="121" t="s">
        <v>255</v>
      </c>
      <c r="D671" s="121" t="s">
        <v>256</v>
      </c>
      <c r="E671" s="121" t="s">
        <v>257</v>
      </c>
      <c r="F671" s="121" t="s">
        <v>258</v>
      </c>
      <c r="G671" s="121" t="s">
        <v>259</v>
      </c>
      <c r="H671" s="121" t="s">
        <v>260</v>
      </c>
      <c r="I671" s="153" t="s">
        <v>10</v>
      </c>
      <c r="J671" s="421" t="s">
        <v>77</v>
      </c>
    </row>
    <row r="672" spans="1:10" s="71" customFormat="1" x14ac:dyDescent="0.25">
      <c r="A672" s="430" t="s">
        <v>11</v>
      </c>
      <c r="B672" s="431">
        <v>95</v>
      </c>
      <c r="C672" s="432">
        <v>143</v>
      </c>
      <c r="D672" s="433">
        <v>155</v>
      </c>
      <c r="E672" s="434">
        <v>169</v>
      </c>
      <c r="F672" s="434">
        <v>322</v>
      </c>
      <c r="G672" s="435">
        <v>287</v>
      </c>
      <c r="H672" s="434">
        <v>70</v>
      </c>
      <c r="I672" s="435">
        <f>SUM(B672:H672)</f>
        <v>1241</v>
      </c>
      <c r="J672" s="437">
        <f>'NOGAL '!$I672/7</f>
        <v>177.28571428571428</v>
      </c>
    </row>
    <row r="673" spans="1:10" s="71" customFormat="1" x14ac:dyDescent="0.25">
      <c r="A673" s="77" t="s">
        <v>12</v>
      </c>
      <c r="B673" s="233">
        <v>63</v>
      </c>
      <c r="C673" s="13">
        <v>84</v>
      </c>
      <c r="D673" s="13">
        <v>89</v>
      </c>
      <c r="E673" s="395">
        <v>94</v>
      </c>
      <c r="F673" s="395">
        <v>178</v>
      </c>
      <c r="G673" s="125">
        <v>199</v>
      </c>
      <c r="H673" s="11">
        <v>23</v>
      </c>
      <c r="I673" s="403">
        <f>B673+C673+D673+E673+F673+G673+H673</f>
        <v>730</v>
      </c>
      <c r="J673" s="292">
        <f>'NOGAL '!$I673/7</f>
        <v>104.28571428571429</v>
      </c>
    </row>
    <row r="674" spans="1:10" s="71" customFormat="1" x14ac:dyDescent="0.25">
      <c r="A674" s="77" t="s">
        <v>13</v>
      </c>
      <c r="B674" s="233">
        <v>1</v>
      </c>
      <c r="C674" s="13">
        <v>3</v>
      </c>
      <c r="D674" s="13">
        <v>2</v>
      </c>
      <c r="E674" s="395">
        <v>2</v>
      </c>
      <c r="F674" s="395">
        <v>6</v>
      </c>
      <c r="G674" s="125">
        <v>2</v>
      </c>
      <c r="H674" s="11">
        <v>0</v>
      </c>
      <c r="I674" s="403">
        <f>B674+C674+D674+E674+F674+G674+H674</f>
        <v>16</v>
      </c>
      <c r="J674" s="292">
        <f>C674+D674+E674+F674+G674+H674+I674</f>
        <v>31</v>
      </c>
    </row>
    <row r="675" spans="1:10" s="71" customFormat="1" x14ac:dyDescent="0.25">
      <c r="A675" s="77" t="s">
        <v>14</v>
      </c>
      <c r="B675" s="233">
        <v>15</v>
      </c>
      <c r="C675" s="13">
        <v>23</v>
      </c>
      <c r="D675" s="13">
        <v>17</v>
      </c>
      <c r="E675" s="395">
        <v>28</v>
      </c>
      <c r="F675" s="395">
        <v>47</v>
      </c>
      <c r="G675" s="125">
        <v>30</v>
      </c>
      <c r="H675" s="11">
        <v>31</v>
      </c>
      <c r="I675" s="403">
        <f>B675+C675+D675+E675+F675+G675+H675</f>
        <v>191</v>
      </c>
      <c r="J675" s="292">
        <f>'NOGAL '!$I675/7</f>
        <v>27.285714285714285</v>
      </c>
    </row>
    <row r="676" spans="1:10" s="71" customFormat="1" x14ac:dyDescent="0.25">
      <c r="A676" s="77" t="s">
        <v>15</v>
      </c>
      <c r="B676" s="233">
        <v>6</v>
      </c>
      <c r="C676" s="13">
        <v>3</v>
      </c>
      <c r="D676" s="13">
        <v>10</v>
      </c>
      <c r="E676" s="395">
        <v>5</v>
      </c>
      <c r="F676" s="395">
        <v>10</v>
      </c>
      <c r="G676" s="125">
        <v>19</v>
      </c>
      <c r="H676" s="11">
        <v>6</v>
      </c>
      <c r="I676" s="403">
        <f>B676+C676+D676+E676+F676+G676+H676</f>
        <v>59</v>
      </c>
      <c r="J676" s="292">
        <f>'NOGAL '!$I676/7</f>
        <v>8.4285714285714288</v>
      </c>
    </row>
    <row r="677" spans="1:10" s="71" customFormat="1" x14ac:dyDescent="0.25">
      <c r="A677" s="77" t="s">
        <v>16</v>
      </c>
      <c r="B677" s="233">
        <v>1</v>
      </c>
      <c r="C677" s="13">
        <v>0</v>
      </c>
      <c r="D677" s="13">
        <v>0</v>
      </c>
      <c r="E677" s="395">
        <v>0</v>
      </c>
      <c r="F677" s="395">
        <v>0</v>
      </c>
      <c r="G677" s="125">
        <v>1</v>
      </c>
      <c r="H677" s="11">
        <v>0</v>
      </c>
      <c r="I677" s="403">
        <f>B677+C677+D677+E677+F677+G677+H677</f>
        <v>2</v>
      </c>
      <c r="J677" s="292">
        <f>'NOGAL '!$I677/7</f>
        <v>0.2857142857142857</v>
      </c>
    </row>
    <row r="678" spans="1:10" s="71" customFormat="1" x14ac:dyDescent="0.25">
      <c r="A678" s="79" t="s">
        <v>17</v>
      </c>
      <c r="B678" s="102">
        <f>SUM(B673:B677)</f>
        <v>86</v>
      </c>
      <c r="C678" s="79">
        <f t="shared" ref="C678:H678" si="281">SUM(C673:C677)</f>
        <v>113</v>
      </c>
      <c r="D678" s="79">
        <f t="shared" si="281"/>
        <v>118</v>
      </c>
      <c r="E678" s="248">
        <f t="shared" si="281"/>
        <v>129</v>
      </c>
      <c r="F678" s="15">
        <f t="shared" si="281"/>
        <v>241</v>
      </c>
      <c r="G678" s="79">
        <f t="shared" si="281"/>
        <v>251</v>
      </c>
      <c r="H678" s="79">
        <f t="shared" si="281"/>
        <v>60</v>
      </c>
      <c r="I678" s="404">
        <f>SUM(I673:I677)</f>
        <v>998</v>
      </c>
      <c r="J678" s="405">
        <f>'NOGAL '!$I678/7</f>
        <v>142.57142857142858</v>
      </c>
    </row>
    <row r="679" spans="1:10" s="71" customFormat="1" x14ac:dyDescent="0.25">
      <c r="A679" s="77" t="s">
        <v>18</v>
      </c>
      <c r="B679" s="445">
        <v>0.84</v>
      </c>
      <c r="C679" s="235">
        <v>0.81</v>
      </c>
      <c r="D679" s="235">
        <v>0.82</v>
      </c>
      <c r="E679" s="236">
        <v>0.72</v>
      </c>
      <c r="F679" s="236">
        <v>0.77</v>
      </c>
      <c r="G679" s="236">
        <v>0.81</v>
      </c>
      <c r="H679" s="236">
        <v>0.49</v>
      </c>
      <c r="I679" s="105">
        <f>I686/I691</f>
        <v>0.77345427183429227</v>
      </c>
      <c r="J679" s="297">
        <f>J686/J691</f>
        <v>0.77345427183429227</v>
      </c>
    </row>
    <row r="680" spans="1:10" s="71" customFormat="1" x14ac:dyDescent="0.25">
      <c r="A680" s="77" t="s">
        <v>19</v>
      </c>
      <c r="B680" s="445">
        <v>0.01</v>
      </c>
      <c r="C680" s="235">
        <v>0.02</v>
      </c>
      <c r="D680" s="235">
        <v>0.01</v>
      </c>
      <c r="E680" s="236">
        <v>0.02</v>
      </c>
      <c r="F680" s="236">
        <v>0.01</v>
      </c>
      <c r="G680" s="236">
        <v>0</v>
      </c>
      <c r="H680" s="236">
        <v>0</v>
      </c>
      <c r="I680" s="105">
        <f>I687/I691</f>
        <v>9.1782429531402955E-3</v>
      </c>
      <c r="J680" s="297">
        <f>J687/J691</f>
        <v>9.1782429531402955E-3</v>
      </c>
    </row>
    <row r="681" spans="1:10" s="71" customFormat="1" x14ac:dyDescent="0.25">
      <c r="A681" s="77" t="s">
        <v>20</v>
      </c>
      <c r="B681" s="445">
        <v>0.11</v>
      </c>
      <c r="C681" s="235">
        <v>0.15</v>
      </c>
      <c r="D681" s="235">
        <v>0.12</v>
      </c>
      <c r="E681" s="236">
        <v>0.2</v>
      </c>
      <c r="F681" s="236">
        <v>0.19</v>
      </c>
      <c r="G681" s="236">
        <v>0.12</v>
      </c>
      <c r="H681" s="236">
        <v>0.41</v>
      </c>
      <c r="I681" s="105">
        <f>I688/I691</f>
        <v>0.16685613086083323</v>
      </c>
      <c r="J681" s="297">
        <f>J688/J691</f>
        <v>0.16685613086083323</v>
      </c>
    </row>
    <row r="682" spans="1:10" s="71" customFormat="1" x14ac:dyDescent="0.25">
      <c r="A682" s="77" t="s">
        <v>21</v>
      </c>
      <c r="B682" s="445">
        <v>0.03</v>
      </c>
      <c r="C682" s="235">
        <v>0.02</v>
      </c>
      <c r="D682" s="235">
        <v>0.05</v>
      </c>
      <c r="E682" s="236">
        <v>0.06</v>
      </c>
      <c r="F682" s="236">
        <v>0.03</v>
      </c>
      <c r="G682" s="236">
        <v>7.0000000000000007E-2</v>
      </c>
      <c r="H682" s="236">
        <v>0.1</v>
      </c>
      <c r="I682" s="105">
        <f>I689/I691</f>
        <v>4.975864446673077E-2</v>
      </c>
      <c r="J682" s="297">
        <f>J689/J691</f>
        <v>4.975864446673077E-2</v>
      </c>
    </row>
    <row r="683" spans="1:10" s="71" customFormat="1" x14ac:dyDescent="0.25">
      <c r="A683" s="77" t="s">
        <v>22</v>
      </c>
      <c r="B683" s="445">
        <v>0.01</v>
      </c>
      <c r="C683" s="235">
        <v>0</v>
      </c>
      <c r="D683" s="235">
        <v>0</v>
      </c>
      <c r="E683" s="236">
        <v>0</v>
      </c>
      <c r="F683" s="236">
        <v>0</v>
      </c>
      <c r="G683" s="236">
        <v>0</v>
      </c>
      <c r="H683" s="236">
        <v>0</v>
      </c>
      <c r="I683" s="105">
        <f>I690/I691</f>
        <v>7.5270988500337837E-4</v>
      </c>
      <c r="J683" s="297">
        <f>J690/J691</f>
        <v>7.5270988500337837E-4</v>
      </c>
    </row>
    <row r="684" spans="1:10" s="71" customFormat="1" x14ac:dyDescent="0.25">
      <c r="A684" s="81" t="s">
        <v>23</v>
      </c>
      <c r="B684" s="409">
        <f t="shared" ref="B684:J684" si="282">B695/B678</f>
        <v>33254.651162790702</v>
      </c>
      <c r="C684" s="131">
        <f t="shared" si="282"/>
        <v>34745.132743362839</v>
      </c>
      <c r="D684" s="131">
        <f t="shared" si="282"/>
        <v>40498.305084745763</v>
      </c>
      <c r="E684" s="397">
        <f t="shared" si="282"/>
        <v>38004.651162790702</v>
      </c>
      <c r="F684" s="132">
        <f t="shared" si="282"/>
        <v>38882.572614107885</v>
      </c>
      <c r="G684" s="130">
        <f t="shared" si="282"/>
        <v>38900.796812749002</v>
      </c>
      <c r="H684" s="130">
        <f t="shared" si="282"/>
        <v>35416.666666666664</v>
      </c>
      <c r="I684" s="359">
        <f t="shared" si="282"/>
        <v>37802.905811623248</v>
      </c>
      <c r="J684" s="314">
        <f t="shared" si="282"/>
        <v>37802.905811623241</v>
      </c>
    </row>
    <row r="685" spans="1:10" s="71" customFormat="1" x14ac:dyDescent="0.25">
      <c r="A685" s="81" t="s">
        <v>24</v>
      </c>
      <c r="B685" s="409">
        <f t="shared" ref="B685:J685" si="283">B695/B672</f>
        <v>30104.210526315794</v>
      </c>
      <c r="C685" s="131">
        <f t="shared" si="283"/>
        <v>27455.944055944059</v>
      </c>
      <c r="D685" s="131">
        <f t="shared" si="283"/>
        <v>30830.967741935485</v>
      </c>
      <c r="E685" s="397">
        <f t="shared" si="283"/>
        <v>29009.467455621307</v>
      </c>
      <c r="F685" s="132">
        <f t="shared" si="283"/>
        <v>29101.552795031057</v>
      </c>
      <c r="G685" s="130">
        <f t="shared" si="283"/>
        <v>34021.254355400699</v>
      </c>
      <c r="H685" s="130">
        <f t="shared" si="283"/>
        <v>30357.142857142859</v>
      </c>
      <c r="I685" s="359">
        <f t="shared" si="283"/>
        <v>30400.725221595487</v>
      </c>
      <c r="J685" s="314">
        <f t="shared" si="283"/>
        <v>30400.725221595487</v>
      </c>
    </row>
    <row r="686" spans="1:10" s="71" customFormat="1" x14ac:dyDescent="0.25">
      <c r="A686" s="77" t="s">
        <v>25</v>
      </c>
      <c r="B686" s="255">
        <f t="shared" ref="B686:H686" si="284">B691*B679</f>
        <v>1956919.4689655174</v>
      </c>
      <c r="C686" s="133">
        <f t="shared" si="284"/>
        <v>2594944.4896551729</v>
      </c>
      <c r="D686" s="133">
        <f t="shared" si="284"/>
        <v>3220845.3413793105</v>
      </c>
      <c r="E686" s="299">
        <f t="shared" si="284"/>
        <v>2897142.703448276</v>
      </c>
      <c r="F686" s="134">
        <f t="shared" si="284"/>
        <v>5924841.7344827587</v>
      </c>
      <c r="G686" s="92">
        <f t="shared" si="284"/>
        <v>6470670.8948275866</v>
      </c>
      <c r="H686" s="92">
        <f t="shared" si="284"/>
        <v>873342.46034482762</v>
      </c>
      <c r="I686" s="108">
        <f>'NOGAL '!$B686+'NOGAL '!$C686+'NOGAL '!$D686+'NOGAL '!$E686+'NOGAL '!$F686+'NOGAL '!$G686+'NOGAL '!$H686</f>
        <v>23938707.09310345</v>
      </c>
      <c r="J686" s="300">
        <f>'NOGAL '!$I686/7</f>
        <v>3419815.2990147783</v>
      </c>
    </row>
    <row r="687" spans="1:10" s="71" customFormat="1" x14ac:dyDescent="0.25">
      <c r="A687" s="77" t="s">
        <v>26</v>
      </c>
      <c r="B687" s="255">
        <f t="shared" ref="B687:H687" si="285">B691*B680</f>
        <v>23296.660344827589</v>
      </c>
      <c r="C687" s="133">
        <f t="shared" si="285"/>
        <v>64072.703448275868</v>
      </c>
      <c r="D687" s="133">
        <f t="shared" si="285"/>
        <v>39278.601724137938</v>
      </c>
      <c r="E687" s="299">
        <f t="shared" si="285"/>
        <v>80476.186206896571</v>
      </c>
      <c r="F687" s="134">
        <f t="shared" si="285"/>
        <v>76945.996551724136</v>
      </c>
      <c r="G687" s="92">
        <f t="shared" si="285"/>
        <v>0</v>
      </c>
      <c r="H687" s="92">
        <f t="shared" si="285"/>
        <v>0</v>
      </c>
      <c r="I687" s="108">
        <f>'NOGAL '!$B687+'NOGAL '!$C687+'NOGAL '!$D687+'NOGAL '!$E687+'NOGAL '!$F687+'NOGAL '!$G687+'NOGAL '!$H687</f>
        <v>284070.1482758621</v>
      </c>
      <c r="J687" s="300">
        <f>'NOGAL '!$I687/7</f>
        <v>40581.449753694586</v>
      </c>
    </row>
    <row r="688" spans="1:10" s="71" customFormat="1" x14ac:dyDescent="0.25">
      <c r="A688" s="77" t="s">
        <v>27</v>
      </c>
      <c r="B688" s="255">
        <f t="shared" ref="B688:H688" si="286">B691*B681</f>
        <v>256263.26379310348</v>
      </c>
      <c r="C688" s="133">
        <f t="shared" si="286"/>
        <v>480545.27586206899</v>
      </c>
      <c r="D688" s="133">
        <f t="shared" si="286"/>
        <v>471343.22068965517</v>
      </c>
      <c r="E688" s="299">
        <f t="shared" si="286"/>
        <v>804761.86206896568</v>
      </c>
      <c r="F688" s="134">
        <f t="shared" si="286"/>
        <v>1461973.9344827586</v>
      </c>
      <c r="G688" s="92">
        <f t="shared" si="286"/>
        <v>958617.91034482745</v>
      </c>
      <c r="H688" s="92">
        <f t="shared" si="286"/>
        <v>730755.93620689656</v>
      </c>
      <c r="I688" s="108">
        <f>'NOGAL '!$B688+'NOGAL '!$C688+'NOGAL '!$D688+'NOGAL '!$E688+'NOGAL '!$F688+'NOGAL '!$G688+'NOGAL '!$H688</f>
        <v>5164261.4034482753</v>
      </c>
      <c r="J688" s="300">
        <f>'NOGAL '!$I688/7</f>
        <v>737751.62906403933</v>
      </c>
    </row>
    <row r="689" spans="1:10" s="71" customFormat="1" x14ac:dyDescent="0.25">
      <c r="A689" s="77" t="s">
        <v>28</v>
      </c>
      <c r="B689" s="255">
        <f t="shared" ref="B689:H689" si="287">B691*B682</f>
        <v>69889.981034482771</v>
      </c>
      <c r="C689" s="133">
        <f t="shared" si="287"/>
        <v>64072.703448275868</v>
      </c>
      <c r="D689" s="133">
        <f t="shared" si="287"/>
        <v>196393.00862068968</v>
      </c>
      <c r="E689" s="299">
        <f t="shared" si="287"/>
        <v>241428.5586206897</v>
      </c>
      <c r="F689" s="134">
        <f t="shared" si="287"/>
        <v>230837.98965517242</v>
      </c>
      <c r="G689" s="92">
        <f t="shared" si="287"/>
        <v>559193.78103448276</v>
      </c>
      <c r="H689" s="92">
        <f t="shared" si="287"/>
        <v>178233.1551724138</v>
      </c>
      <c r="I689" s="108">
        <f>'NOGAL '!$B689+'NOGAL '!$C689+'NOGAL '!$D689+'NOGAL '!$E689+'NOGAL '!$F689+'NOGAL '!$G689+'NOGAL '!$H689</f>
        <v>1540049.1775862072</v>
      </c>
      <c r="J689" s="300">
        <f>'NOGAL '!$I689/7</f>
        <v>220007.02536945816</v>
      </c>
    </row>
    <row r="690" spans="1:10" s="71" customFormat="1" x14ac:dyDescent="0.25">
      <c r="A690" s="77" t="s">
        <v>29</v>
      </c>
      <c r="B690" s="255">
        <f t="shared" ref="B690:H690" si="288">B691*B683</f>
        <v>23296.660344827589</v>
      </c>
      <c r="C690" s="133">
        <f t="shared" si="288"/>
        <v>0</v>
      </c>
      <c r="D690" s="133">
        <f t="shared" si="288"/>
        <v>0</v>
      </c>
      <c r="E690" s="299">
        <f t="shared" si="288"/>
        <v>0</v>
      </c>
      <c r="F690" s="134">
        <f t="shared" si="288"/>
        <v>0</v>
      </c>
      <c r="G690" s="92">
        <f t="shared" si="288"/>
        <v>0</v>
      </c>
      <c r="H690" s="92">
        <f t="shared" si="288"/>
        <v>0</v>
      </c>
      <c r="I690" s="108">
        <f>'NOGAL '!$B690+'NOGAL '!$C690+'NOGAL '!$D690+'NOGAL '!$E690+'NOGAL '!$F690+'NOGAL '!$G690+'NOGAL '!$H690</f>
        <v>23296.660344827589</v>
      </c>
      <c r="J690" s="300">
        <f>'NOGAL '!$I690/7</f>
        <v>3328.0943349753697</v>
      </c>
    </row>
    <row r="691" spans="1:10" s="71" customFormat="1" x14ac:dyDescent="0.25">
      <c r="A691" s="82" t="s">
        <v>30</v>
      </c>
      <c r="B691" s="222">
        <f>(2859900/1.16)-B692</f>
        <v>2329666.034482759</v>
      </c>
      <c r="C691" s="222">
        <f>(3926200/1.16)-C692</f>
        <v>3203635.1724137934</v>
      </c>
      <c r="D691" s="222">
        <f>(4778800/1.16)-D692</f>
        <v>3927860.1724137934</v>
      </c>
      <c r="E691" s="222">
        <f>(4902600/1.16)-E692</f>
        <v>4023809.3103448283</v>
      </c>
      <c r="F691" s="222">
        <f>(9370700/1.16)-F692</f>
        <v>7694599.6551724141</v>
      </c>
      <c r="G691" s="222">
        <f>(9764100/1.16)-G692</f>
        <v>7988482.5862068962</v>
      </c>
      <c r="H691" s="222">
        <f>(2125000/1.16)-H692</f>
        <v>1782331.551724138</v>
      </c>
      <c r="I691" s="111">
        <f>SUM(I686:I690)</f>
        <v>30950384.482758623</v>
      </c>
      <c r="J691" s="361">
        <f>'NOGAL '!$I691/7</f>
        <v>4421483.4975369461</v>
      </c>
    </row>
    <row r="692" spans="1:10" s="71" customFormat="1" x14ac:dyDescent="0.25">
      <c r="A692" s="77" t="s">
        <v>31</v>
      </c>
      <c r="B692" s="263">
        <f t="shared" ref="B692:G692" si="289">2155*B673</f>
        <v>135765</v>
      </c>
      <c r="C692" s="139">
        <f t="shared" si="289"/>
        <v>181020</v>
      </c>
      <c r="D692" s="139">
        <f t="shared" si="289"/>
        <v>191795</v>
      </c>
      <c r="E692" s="113">
        <f t="shared" si="289"/>
        <v>202570</v>
      </c>
      <c r="F692" s="112">
        <f t="shared" si="289"/>
        <v>383590</v>
      </c>
      <c r="G692" s="94">
        <f t="shared" si="289"/>
        <v>428845</v>
      </c>
      <c r="H692" s="94">
        <f>2155*H673</f>
        <v>49565</v>
      </c>
      <c r="I692" s="109">
        <f>2155*I673</f>
        <v>1573150</v>
      </c>
      <c r="J692" s="302">
        <f>2155*J673</f>
        <v>224735.71428571429</v>
      </c>
    </row>
    <row r="693" spans="1:10" s="71" customFormat="1" x14ac:dyDescent="0.25">
      <c r="A693" s="83" t="s">
        <v>32</v>
      </c>
      <c r="B693" s="411">
        <f>B691+B692</f>
        <v>2465431.034482759</v>
      </c>
      <c r="C693" s="40">
        <f>C691+C692</f>
        <v>3384655.1724137934</v>
      </c>
      <c r="D693" s="40">
        <f t="shared" ref="D693:J693" si="290">D691+D692</f>
        <v>4119655.1724137934</v>
      </c>
      <c r="E693" s="399">
        <f t="shared" si="290"/>
        <v>4226379.3103448283</v>
      </c>
      <c r="F693" s="140">
        <f t="shared" si="290"/>
        <v>8078189.6551724141</v>
      </c>
      <c r="G693" s="39">
        <f t="shared" si="290"/>
        <v>8417327.5862068962</v>
      </c>
      <c r="H693" s="39">
        <f t="shared" si="290"/>
        <v>1831896.551724138</v>
      </c>
      <c r="I693" s="412">
        <f t="shared" si="290"/>
        <v>32523534.482758623</v>
      </c>
      <c r="J693" s="364">
        <f t="shared" si="290"/>
        <v>4646219.2118226606</v>
      </c>
    </row>
    <row r="694" spans="1:10" s="71" customFormat="1" x14ac:dyDescent="0.25">
      <c r="A694" s="77" t="s">
        <v>33</v>
      </c>
      <c r="B694" s="413">
        <f>B693*16%</f>
        <v>394468.96551724145</v>
      </c>
      <c r="C694" s="42">
        <f>C693*16%</f>
        <v>541544.82758620696</v>
      </c>
      <c r="D694" s="42">
        <f t="shared" ref="D694:J694" si="291">D693*16%</f>
        <v>659144.82758620696</v>
      </c>
      <c r="E694" s="400">
        <f t="shared" si="291"/>
        <v>676220.68965517252</v>
      </c>
      <c r="F694" s="141">
        <f t="shared" si="291"/>
        <v>1292510.3448275863</v>
      </c>
      <c r="G694" s="41">
        <f t="shared" si="291"/>
        <v>1346772.4137931035</v>
      </c>
      <c r="H694" s="41">
        <f t="shared" si="291"/>
        <v>293103.44827586209</v>
      </c>
      <c r="I694" s="414">
        <f t="shared" si="291"/>
        <v>5203765.5172413802</v>
      </c>
      <c r="J694" s="415">
        <f t="shared" si="291"/>
        <v>743395.07389162574</v>
      </c>
    </row>
    <row r="695" spans="1:10" s="71" customFormat="1" x14ac:dyDescent="0.25">
      <c r="A695" s="142" t="s">
        <v>34</v>
      </c>
      <c r="B695" s="438">
        <f t="shared" ref="B695:H695" si="292">B693+B694</f>
        <v>2859900.0000000005</v>
      </c>
      <c r="C695" s="143">
        <f t="shared" si="292"/>
        <v>3926200.0000000005</v>
      </c>
      <c r="D695" s="143">
        <f t="shared" si="292"/>
        <v>4778800</v>
      </c>
      <c r="E695" s="439">
        <f t="shared" si="292"/>
        <v>4902600.0000000009</v>
      </c>
      <c r="F695" s="145">
        <f t="shared" si="292"/>
        <v>9370700</v>
      </c>
      <c r="G695" s="144">
        <f t="shared" si="292"/>
        <v>9764100</v>
      </c>
      <c r="H695" s="144">
        <f t="shared" si="292"/>
        <v>2125000</v>
      </c>
      <c r="I695" s="440">
        <f>'NOGAL '!$B695+'NOGAL '!$C695+'NOGAL '!$D695+'NOGAL '!$E695+'NOGAL '!$F695+'NOGAL '!$G695+'NOGAL '!$H695</f>
        <v>37727300</v>
      </c>
      <c r="J695" s="441">
        <f>'NOGAL '!$I695/7</f>
        <v>5389614.2857142854</v>
      </c>
    </row>
    <row r="696" spans="1:10" s="71" customFormat="1" ht="15.75" thickBot="1" x14ac:dyDescent="0.3">
      <c r="A696" s="69"/>
      <c r="B696" s="424"/>
      <c r="C696" s="424"/>
      <c r="D696" s="424"/>
      <c r="E696" s="424"/>
      <c r="F696" s="424"/>
      <c r="G696" s="424"/>
      <c r="H696" s="424"/>
      <c r="I696" s="424"/>
      <c r="J696" s="424"/>
    </row>
    <row r="697" spans="1:10" s="71" customFormat="1" ht="26.25" x14ac:dyDescent="0.25">
      <c r="A697" s="85"/>
      <c r="B697" s="1002" t="s">
        <v>366</v>
      </c>
      <c r="C697" s="1002"/>
      <c r="D697" s="1002"/>
      <c r="E697" s="1002"/>
      <c r="F697" s="1002"/>
      <c r="G697" s="1002"/>
      <c r="H697" s="1002"/>
      <c r="I697" s="1002"/>
      <c r="J697" s="85"/>
    </row>
    <row r="698" spans="1:10" s="71" customFormat="1" ht="15.75" x14ac:dyDescent="0.25">
      <c r="A698" s="72" t="s">
        <v>2</v>
      </c>
      <c r="B698" s="121" t="s">
        <v>262</v>
      </c>
      <c r="C698" s="121" t="s">
        <v>263</v>
      </c>
      <c r="D698" s="121" t="s">
        <v>264</v>
      </c>
      <c r="E698" s="121" t="s">
        <v>265</v>
      </c>
      <c r="F698" s="121" t="s">
        <v>266</v>
      </c>
      <c r="G698" s="121" t="s">
        <v>267</v>
      </c>
      <c r="H698" s="121" t="s">
        <v>105</v>
      </c>
      <c r="I698" s="153" t="s">
        <v>10</v>
      </c>
      <c r="J698" s="421" t="s">
        <v>77</v>
      </c>
    </row>
    <row r="699" spans="1:10" s="71" customFormat="1" x14ac:dyDescent="0.25">
      <c r="A699" s="430" t="s">
        <v>11</v>
      </c>
      <c r="B699" s="431">
        <v>141</v>
      </c>
      <c r="C699" s="432">
        <v>81</v>
      </c>
      <c r="D699" s="433">
        <v>141</v>
      </c>
      <c r="E699" s="434">
        <v>171</v>
      </c>
      <c r="F699" s="434">
        <v>324</v>
      </c>
      <c r="G699" s="435">
        <v>347</v>
      </c>
      <c r="H699" s="434">
        <v>349</v>
      </c>
      <c r="I699" s="435">
        <f>SUM(B699:H699)</f>
        <v>1554</v>
      </c>
      <c r="J699" s="437">
        <f>'NOGAL '!$I699/7</f>
        <v>222</v>
      </c>
    </row>
    <row r="700" spans="1:10" s="71" customFormat="1" x14ac:dyDescent="0.25">
      <c r="A700" s="77" t="s">
        <v>12</v>
      </c>
      <c r="B700" s="233">
        <v>82</v>
      </c>
      <c r="C700" s="13">
        <v>39</v>
      </c>
      <c r="D700" s="13">
        <v>76</v>
      </c>
      <c r="E700" s="395">
        <v>105</v>
      </c>
      <c r="F700" s="395">
        <v>186</v>
      </c>
      <c r="G700" s="125">
        <v>200</v>
      </c>
      <c r="H700" s="11">
        <v>228</v>
      </c>
      <c r="I700" s="403">
        <f>B700+C700+D700+E700+F700+G700+H700</f>
        <v>916</v>
      </c>
      <c r="J700" s="292">
        <f>'NOGAL '!$I700/7</f>
        <v>130.85714285714286</v>
      </c>
    </row>
    <row r="701" spans="1:10" s="71" customFormat="1" x14ac:dyDescent="0.25">
      <c r="A701" s="77" t="s">
        <v>13</v>
      </c>
      <c r="B701" s="233">
        <v>1</v>
      </c>
      <c r="C701" s="13">
        <v>0</v>
      </c>
      <c r="D701" s="13">
        <v>0</v>
      </c>
      <c r="E701" s="395">
        <v>0</v>
      </c>
      <c r="F701" s="395">
        <v>1</v>
      </c>
      <c r="G701" s="125">
        <v>6</v>
      </c>
      <c r="H701" s="11">
        <v>2</v>
      </c>
      <c r="I701" s="403">
        <f>B701+C701+D701+E701+F701+G701+H701</f>
        <v>10</v>
      </c>
      <c r="J701" s="292">
        <f>C701+D701+E701+F701+G701+H701+I701</f>
        <v>19</v>
      </c>
    </row>
    <row r="702" spans="1:10" s="71" customFormat="1" x14ac:dyDescent="0.25">
      <c r="A702" s="77" t="s">
        <v>14</v>
      </c>
      <c r="B702" s="233">
        <v>21</v>
      </c>
      <c r="C702" s="13">
        <v>21</v>
      </c>
      <c r="D702" s="13">
        <v>23</v>
      </c>
      <c r="E702" s="395">
        <v>27</v>
      </c>
      <c r="F702" s="395">
        <v>36</v>
      </c>
      <c r="G702" s="125">
        <v>21</v>
      </c>
      <c r="H702" s="11">
        <v>18</v>
      </c>
      <c r="I702" s="403">
        <f>B702+C702+D702+E702+F702+G702+H702</f>
        <v>167</v>
      </c>
      <c r="J702" s="292">
        <f>'NOGAL '!$I702/7</f>
        <v>23.857142857142858</v>
      </c>
    </row>
    <row r="703" spans="1:10" s="71" customFormat="1" x14ac:dyDescent="0.25">
      <c r="A703" s="77" t="s">
        <v>15</v>
      </c>
      <c r="B703" s="233">
        <v>15</v>
      </c>
      <c r="C703" s="13">
        <v>3</v>
      </c>
      <c r="D703" s="13">
        <v>6</v>
      </c>
      <c r="E703" s="395">
        <v>9</v>
      </c>
      <c r="F703" s="395">
        <v>16</v>
      </c>
      <c r="G703" s="125">
        <v>22</v>
      </c>
      <c r="H703" s="11">
        <v>12</v>
      </c>
      <c r="I703" s="403">
        <f>B703+C703+D703+E703+F703+G703+H703</f>
        <v>83</v>
      </c>
      <c r="J703" s="292">
        <f>'NOGAL '!$I703/7</f>
        <v>11.857142857142858</v>
      </c>
    </row>
    <row r="704" spans="1:10" s="71" customFormat="1" x14ac:dyDescent="0.25">
      <c r="A704" s="77" t="s">
        <v>16</v>
      </c>
      <c r="B704" s="233">
        <v>0</v>
      </c>
      <c r="C704" s="13">
        <v>0</v>
      </c>
      <c r="D704" s="13">
        <v>1</v>
      </c>
      <c r="E704" s="395">
        <v>0</v>
      </c>
      <c r="F704" s="395">
        <v>0</v>
      </c>
      <c r="G704" s="125">
        <v>0</v>
      </c>
      <c r="H704" s="11">
        <v>0</v>
      </c>
      <c r="I704" s="403">
        <f>B704+C704+D704+E704+F704+G704+H704</f>
        <v>1</v>
      </c>
      <c r="J704" s="292">
        <f>'NOGAL '!$I704/7</f>
        <v>0.14285714285714285</v>
      </c>
    </row>
    <row r="705" spans="1:10" s="71" customFormat="1" x14ac:dyDescent="0.25">
      <c r="A705" s="79" t="s">
        <v>17</v>
      </c>
      <c r="B705" s="102">
        <f>SUM(B700:B704)</f>
        <v>119</v>
      </c>
      <c r="C705" s="79">
        <f t="shared" ref="C705:H705" si="293">SUM(C700:C704)</f>
        <v>63</v>
      </c>
      <c r="D705" s="79">
        <f t="shared" si="293"/>
        <v>106</v>
      </c>
      <c r="E705" s="248">
        <f t="shared" si="293"/>
        <v>141</v>
      </c>
      <c r="F705" s="15">
        <f t="shared" si="293"/>
        <v>239</v>
      </c>
      <c r="G705" s="79">
        <f t="shared" si="293"/>
        <v>249</v>
      </c>
      <c r="H705" s="79">
        <f t="shared" si="293"/>
        <v>260</v>
      </c>
      <c r="I705" s="404">
        <f>SUM(I700:I704)</f>
        <v>1177</v>
      </c>
      <c r="J705" s="405">
        <f>'NOGAL '!$I705/7</f>
        <v>168.14285714285714</v>
      </c>
    </row>
    <row r="706" spans="1:10" s="71" customFormat="1" x14ac:dyDescent="0.25">
      <c r="A706" s="77" t="s">
        <v>18</v>
      </c>
      <c r="B706" s="445">
        <v>0.8</v>
      </c>
      <c r="C706" s="235">
        <v>0.64</v>
      </c>
      <c r="D706" s="235">
        <v>0.72</v>
      </c>
      <c r="E706" s="236">
        <v>0.8</v>
      </c>
      <c r="F706" s="236">
        <v>0.86</v>
      </c>
      <c r="G706" s="236">
        <v>0.9</v>
      </c>
      <c r="H706" s="236">
        <v>0.93</v>
      </c>
      <c r="I706" s="105">
        <f>I713/I718</f>
        <v>0.84776401728279549</v>
      </c>
      <c r="J706" s="297">
        <f>J713/J718</f>
        <v>0.84776401728279549</v>
      </c>
    </row>
    <row r="707" spans="1:10" s="71" customFormat="1" x14ac:dyDescent="0.25">
      <c r="A707" s="77" t="s">
        <v>19</v>
      </c>
      <c r="B707" s="445">
        <v>0</v>
      </c>
      <c r="C707" s="235">
        <v>0</v>
      </c>
      <c r="D707" s="235">
        <v>0</v>
      </c>
      <c r="E707" s="236">
        <v>0</v>
      </c>
      <c r="F707" s="236">
        <v>0</v>
      </c>
      <c r="G707" s="236">
        <v>0.02</v>
      </c>
      <c r="H707" s="236">
        <v>0.01</v>
      </c>
      <c r="I707" s="105">
        <f>I714/I718</f>
        <v>6.5352408372701806E-3</v>
      </c>
      <c r="J707" s="297">
        <f>J714/J718</f>
        <v>6.5352408372701806E-3</v>
      </c>
    </row>
    <row r="708" spans="1:10" s="71" customFormat="1" x14ac:dyDescent="0.25">
      <c r="A708" s="77" t="s">
        <v>20</v>
      </c>
      <c r="B708" s="445">
        <v>0.11</v>
      </c>
      <c r="C708" s="235">
        <v>0.27</v>
      </c>
      <c r="D708" s="235">
        <v>0.22</v>
      </c>
      <c r="E708" s="236">
        <v>0.14000000000000001</v>
      </c>
      <c r="F708" s="236">
        <v>0.1</v>
      </c>
      <c r="G708" s="236">
        <v>0.03</v>
      </c>
      <c r="H708" s="236">
        <v>0.03</v>
      </c>
      <c r="I708" s="105">
        <f>I715/I718</f>
        <v>9.4598667568487574E-2</v>
      </c>
      <c r="J708" s="297">
        <f>J715/J718</f>
        <v>9.4598667568487574E-2</v>
      </c>
    </row>
    <row r="709" spans="1:10" s="71" customFormat="1" x14ac:dyDescent="0.25">
      <c r="A709" s="77" t="s">
        <v>21</v>
      </c>
      <c r="B709" s="445">
        <v>0.09</v>
      </c>
      <c r="C709" s="235">
        <v>0.09</v>
      </c>
      <c r="D709" s="235">
        <v>0.02</v>
      </c>
      <c r="E709" s="236">
        <v>0.06</v>
      </c>
      <c r="F709" s="236">
        <v>0.04</v>
      </c>
      <c r="G709" s="236">
        <v>0.05</v>
      </c>
      <c r="H709" s="236">
        <v>0.03</v>
      </c>
      <c r="I709" s="105">
        <f>I716/I718</f>
        <v>4.7468865973960196E-2</v>
      </c>
      <c r="J709" s="297">
        <f>J716/J718</f>
        <v>4.7468865973960189E-2</v>
      </c>
    </row>
    <row r="710" spans="1:10" s="71" customFormat="1" x14ac:dyDescent="0.25">
      <c r="A710" s="77" t="s">
        <v>22</v>
      </c>
      <c r="B710" s="445">
        <v>0</v>
      </c>
      <c r="C710" s="235">
        <v>0</v>
      </c>
      <c r="D710" s="235">
        <v>0.04</v>
      </c>
      <c r="E710" s="236">
        <v>0</v>
      </c>
      <c r="F710" s="236">
        <v>0</v>
      </c>
      <c r="G710" s="236">
        <v>0</v>
      </c>
      <c r="H710" s="236">
        <v>0</v>
      </c>
      <c r="I710" s="105">
        <f>I717/I718</f>
        <v>3.6332083374865294E-3</v>
      </c>
      <c r="J710" s="297">
        <f>J717/J718</f>
        <v>3.6332083374865289E-3</v>
      </c>
    </row>
    <row r="711" spans="1:10" s="71" customFormat="1" x14ac:dyDescent="0.25">
      <c r="A711" s="81" t="s">
        <v>23</v>
      </c>
      <c r="B711" s="409">
        <f t="shared" ref="B711:J711" si="294">B722/B705</f>
        <v>34353.781512605048</v>
      </c>
      <c r="C711" s="131">
        <f t="shared" si="294"/>
        <v>38201.5873015873</v>
      </c>
      <c r="D711" s="131">
        <f t="shared" si="294"/>
        <v>38840.566037735851</v>
      </c>
      <c r="E711" s="397">
        <f t="shared" si="294"/>
        <v>35795.744680851065</v>
      </c>
      <c r="F711" s="132">
        <f t="shared" si="294"/>
        <v>41135.146443514655</v>
      </c>
      <c r="G711" s="130">
        <f t="shared" si="294"/>
        <v>39318.473895582327</v>
      </c>
      <c r="H711" s="130">
        <f t="shared" si="294"/>
        <v>39403.461538461539</v>
      </c>
      <c r="I711" s="359">
        <f t="shared" si="294"/>
        <v>38679.354290569245</v>
      </c>
      <c r="J711" s="314">
        <f t="shared" si="294"/>
        <v>38679.354290569245</v>
      </c>
    </row>
    <row r="712" spans="1:10" s="71" customFormat="1" x14ac:dyDescent="0.25">
      <c r="A712" s="81" t="s">
        <v>24</v>
      </c>
      <c r="B712" s="409">
        <f t="shared" ref="B712:J712" si="295">B722/B699</f>
        <v>28993.617021276597</v>
      </c>
      <c r="C712" s="131">
        <f t="shared" si="295"/>
        <v>29712.345679012345</v>
      </c>
      <c r="D712" s="131">
        <f t="shared" si="295"/>
        <v>29199.290780141848</v>
      </c>
      <c r="E712" s="397">
        <f t="shared" si="295"/>
        <v>29515.78947368421</v>
      </c>
      <c r="F712" s="132">
        <f t="shared" si="295"/>
        <v>30343.518518518526</v>
      </c>
      <c r="G712" s="130">
        <f t="shared" si="295"/>
        <v>28214.121037463978</v>
      </c>
      <c r="H712" s="130">
        <f t="shared" si="295"/>
        <v>29355.014326647564</v>
      </c>
      <c r="I712" s="359">
        <f t="shared" si="295"/>
        <v>29295.752895752896</v>
      </c>
      <c r="J712" s="314">
        <f t="shared" si="295"/>
        <v>29295.752895752896</v>
      </c>
    </row>
    <row r="713" spans="1:10" s="71" customFormat="1" x14ac:dyDescent="0.25">
      <c r="A713" s="77" t="s">
        <v>25</v>
      </c>
      <c r="B713" s="255">
        <f t="shared" ref="B713:H713" si="296">B718*B706</f>
        <v>2678011.3103448283</v>
      </c>
      <c r="C713" s="133">
        <f t="shared" si="296"/>
        <v>1274045.6827586209</v>
      </c>
      <c r="D713" s="133">
        <f t="shared" si="296"/>
        <v>2437519.7793103452</v>
      </c>
      <c r="E713" s="299">
        <f t="shared" si="296"/>
        <v>3299807.5862068967</v>
      </c>
      <c r="F713" s="134">
        <f t="shared" si="296"/>
        <v>6944008.6137931049</v>
      </c>
      <c r="G713" s="92">
        <f t="shared" si="296"/>
        <v>7208022.4137931047</v>
      </c>
      <c r="H713" s="92">
        <f t="shared" si="296"/>
        <v>7756637.4206896564</v>
      </c>
      <c r="I713" s="108">
        <f>'NOGAL '!$B713+'NOGAL '!$C713+'NOGAL '!$D713+'NOGAL '!$E713+'NOGAL '!$F713+'NOGAL '!$G713+'NOGAL '!$H713</f>
        <v>31598052.806896556</v>
      </c>
      <c r="J713" s="300">
        <f>'NOGAL '!$I713/7</f>
        <v>4514007.543842365</v>
      </c>
    </row>
    <row r="714" spans="1:10" s="71" customFormat="1" x14ac:dyDescent="0.25">
      <c r="A714" s="77" t="s">
        <v>26</v>
      </c>
      <c r="B714" s="255">
        <f t="shared" ref="B714:H714" si="297">B718*B707</f>
        <v>0</v>
      </c>
      <c r="C714" s="133">
        <f t="shared" si="297"/>
        <v>0</v>
      </c>
      <c r="D714" s="133">
        <f t="shared" si="297"/>
        <v>0</v>
      </c>
      <c r="E714" s="299">
        <f t="shared" si="297"/>
        <v>0</v>
      </c>
      <c r="F714" s="134">
        <f t="shared" si="297"/>
        <v>0</v>
      </c>
      <c r="G714" s="92">
        <f t="shared" si="297"/>
        <v>160178.27586206899</v>
      </c>
      <c r="H714" s="92">
        <f t="shared" si="297"/>
        <v>83404.703448275875</v>
      </c>
      <c r="I714" s="108">
        <f>'NOGAL '!$B714+'NOGAL '!$C714+'NOGAL '!$D714+'NOGAL '!$E714+'NOGAL '!$F714+'NOGAL '!$G714+'NOGAL '!$H714</f>
        <v>243582.97931034485</v>
      </c>
      <c r="J714" s="300">
        <f>'NOGAL '!$I714/7</f>
        <v>34797.568472906409</v>
      </c>
    </row>
    <row r="715" spans="1:10" s="71" customFormat="1" x14ac:dyDescent="0.25">
      <c r="A715" s="77" t="s">
        <v>27</v>
      </c>
      <c r="B715" s="255">
        <f t="shared" ref="B715:H715" si="298">B718*B708</f>
        <v>368226.55517241382</v>
      </c>
      <c r="C715" s="133">
        <f t="shared" si="298"/>
        <v>537488.02241379325</v>
      </c>
      <c r="D715" s="133">
        <f t="shared" si="298"/>
        <v>744797.71034482773</v>
      </c>
      <c r="E715" s="299">
        <f t="shared" si="298"/>
        <v>577466.32758620696</v>
      </c>
      <c r="F715" s="134">
        <f t="shared" si="298"/>
        <v>807442.86206896568</v>
      </c>
      <c r="G715" s="92">
        <f t="shared" si="298"/>
        <v>240267.41379310345</v>
      </c>
      <c r="H715" s="92">
        <f t="shared" si="298"/>
        <v>250214.11034482758</v>
      </c>
      <c r="I715" s="108">
        <f>'NOGAL '!$B715+'NOGAL '!$C715+'NOGAL '!$D715+'NOGAL '!$E715+'NOGAL '!$F715+'NOGAL '!$G715+'NOGAL '!$H715</f>
        <v>3525903.0017241384</v>
      </c>
      <c r="J715" s="300">
        <f>'NOGAL '!$I715/7</f>
        <v>503700.42881773406</v>
      </c>
    </row>
    <row r="716" spans="1:10" s="71" customFormat="1" x14ac:dyDescent="0.25">
      <c r="A716" s="77" t="s">
        <v>28</v>
      </c>
      <c r="B716" s="255">
        <f t="shared" ref="B716:H716" si="299">B718*B709</f>
        <v>301276.27241379314</v>
      </c>
      <c r="C716" s="133">
        <f t="shared" si="299"/>
        <v>179162.67413793106</v>
      </c>
      <c r="D716" s="133">
        <f t="shared" si="299"/>
        <v>67708.882758620704</v>
      </c>
      <c r="E716" s="299">
        <f t="shared" si="299"/>
        <v>247485.56896551725</v>
      </c>
      <c r="F716" s="134">
        <f t="shared" si="299"/>
        <v>322977.14482758625</v>
      </c>
      <c r="G716" s="92">
        <f t="shared" si="299"/>
        <v>400445.68965517246</v>
      </c>
      <c r="H716" s="92">
        <f t="shared" si="299"/>
        <v>250214.11034482758</v>
      </c>
      <c r="I716" s="108">
        <f>'NOGAL '!$B716+'NOGAL '!$C716+'NOGAL '!$D716+'NOGAL '!$E716+'NOGAL '!$F716+'NOGAL '!$G716+'NOGAL '!$H716</f>
        <v>1769270.3431034484</v>
      </c>
      <c r="J716" s="300">
        <f>'NOGAL '!$I716/7</f>
        <v>252752.90615763547</v>
      </c>
    </row>
    <row r="717" spans="1:10" s="71" customFormat="1" x14ac:dyDescent="0.25">
      <c r="A717" s="77" t="s">
        <v>29</v>
      </c>
      <c r="B717" s="255">
        <f t="shared" ref="B717:H717" si="300">B718*B710</f>
        <v>0</v>
      </c>
      <c r="C717" s="133">
        <f t="shared" si="300"/>
        <v>0</v>
      </c>
      <c r="D717" s="133">
        <f t="shared" si="300"/>
        <v>135417.76551724141</v>
      </c>
      <c r="E717" s="299">
        <f t="shared" si="300"/>
        <v>0</v>
      </c>
      <c r="F717" s="134">
        <f t="shared" si="300"/>
        <v>0</v>
      </c>
      <c r="G717" s="92">
        <f t="shared" si="300"/>
        <v>0</v>
      </c>
      <c r="H717" s="92">
        <f t="shared" si="300"/>
        <v>0</v>
      </c>
      <c r="I717" s="108">
        <f>'NOGAL '!$B717+'NOGAL '!$C717+'NOGAL '!$D717+'NOGAL '!$E717+'NOGAL '!$F717+'NOGAL '!$G717+'NOGAL '!$H717</f>
        <v>135417.76551724141</v>
      </c>
      <c r="J717" s="300">
        <f>'NOGAL '!$I717/7</f>
        <v>19345.395073891628</v>
      </c>
    </row>
    <row r="718" spans="1:10" s="71" customFormat="1" x14ac:dyDescent="0.25">
      <c r="A718" s="82" t="s">
        <v>30</v>
      </c>
      <c r="B718" s="222">
        <f>(4088100/1.16)-B719</f>
        <v>3347514.1379310349</v>
      </c>
      <c r="C718" s="222">
        <f>(2406700/1.16)-C719</f>
        <v>1990696.379310345</v>
      </c>
      <c r="D718" s="222">
        <f>(4117100/1.16)-D719</f>
        <v>3385444.1379310349</v>
      </c>
      <c r="E718" s="222">
        <f>(5047200/1.16)-E719</f>
        <v>4124759.4827586208</v>
      </c>
      <c r="F718" s="222">
        <f>(9831300/1.16)-F719</f>
        <v>8074428.6206896566</v>
      </c>
      <c r="G718" s="222">
        <f>(9790300/1.16)-G719</f>
        <v>8008913.793103449</v>
      </c>
      <c r="H718" s="222">
        <f>(10244900/1.16)-H719</f>
        <v>8340470.3448275868</v>
      </c>
      <c r="I718" s="111">
        <f>SUM(I713:I717)</f>
        <v>37272226.896551728</v>
      </c>
      <c r="J718" s="361">
        <f>'NOGAL '!$I718/7</f>
        <v>5324603.8423645329</v>
      </c>
    </row>
    <row r="719" spans="1:10" s="71" customFormat="1" x14ac:dyDescent="0.25">
      <c r="A719" s="77" t="s">
        <v>31</v>
      </c>
      <c r="B719" s="263">
        <f t="shared" ref="B719:G719" si="301">2155*B700</f>
        <v>176710</v>
      </c>
      <c r="C719" s="139">
        <f t="shared" si="301"/>
        <v>84045</v>
      </c>
      <c r="D719" s="139">
        <f t="shared" si="301"/>
        <v>163780</v>
      </c>
      <c r="E719" s="113">
        <f t="shared" si="301"/>
        <v>226275</v>
      </c>
      <c r="F719" s="112">
        <f t="shared" si="301"/>
        <v>400830</v>
      </c>
      <c r="G719" s="94">
        <f t="shared" si="301"/>
        <v>431000</v>
      </c>
      <c r="H719" s="94">
        <f>2155*H700</f>
        <v>491340</v>
      </c>
      <c r="I719" s="109">
        <f>2155*I700</f>
        <v>1973980</v>
      </c>
      <c r="J719" s="302">
        <f>2155*J700</f>
        <v>281997.14285714284</v>
      </c>
    </row>
    <row r="720" spans="1:10" s="71" customFormat="1" x14ac:dyDescent="0.25">
      <c r="A720" s="83" t="s">
        <v>32</v>
      </c>
      <c r="B720" s="411">
        <f>B718+B719</f>
        <v>3524224.1379310349</v>
      </c>
      <c r="C720" s="40">
        <f>C718+C719</f>
        <v>2074741.379310345</v>
      </c>
      <c r="D720" s="40">
        <f t="shared" ref="D720:J720" si="302">D718+D719</f>
        <v>3549224.1379310349</v>
      </c>
      <c r="E720" s="399">
        <f t="shared" si="302"/>
        <v>4351034.4827586208</v>
      </c>
      <c r="F720" s="140">
        <f t="shared" si="302"/>
        <v>8475258.6206896566</v>
      </c>
      <c r="G720" s="39">
        <f t="shared" si="302"/>
        <v>8439913.793103449</v>
      </c>
      <c r="H720" s="39">
        <f t="shared" si="302"/>
        <v>8831810.3448275868</v>
      </c>
      <c r="I720" s="412">
        <f t="shared" si="302"/>
        <v>39246206.896551728</v>
      </c>
      <c r="J720" s="364">
        <f t="shared" si="302"/>
        <v>5606600.9852216756</v>
      </c>
    </row>
    <row r="721" spans="1:10" s="71" customFormat="1" x14ac:dyDescent="0.25">
      <c r="A721" s="77" t="s">
        <v>33</v>
      </c>
      <c r="B721" s="413">
        <f>B720*16%</f>
        <v>563875.86206896557</v>
      </c>
      <c r="C721" s="42">
        <f>C720*16%</f>
        <v>331958.62068965519</v>
      </c>
      <c r="D721" s="42">
        <f t="shared" ref="D721:J721" si="303">D720*16%</f>
        <v>567875.86206896557</v>
      </c>
      <c r="E721" s="400">
        <f t="shared" si="303"/>
        <v>696165.51724137936</v>
      </c>
      <c r="F721" s="141">
        <f t="shared" si="303"/>
        <v>1356041.379310345</v>
      </c>
      <c r="G721" s="41">
        <f t="shared" si="303"/>
        <v>1350386.2068965519</v>
      </c>
      <c r="H721" s="41">
        <f t="shared" si="303"/>
        <v>1413089.6551724139</v>
      </c>
      <c r="I721" s="414">
        <f t="shared" si="303"/>
        <v>6279393.1034482764</v>
      </c>
      <c r="J721" s="415">
        <f t="shared" si="303"/>
        <v>897056.15763546806</v>
      </c>
    </row>
    <row r="722" spans="1:10" s="71" customFormat="1" x14ac:dyDescent="0.25">
      <c r="A722" s="142" t="s">
        <v>34</v>
      </c>
      <c r="B722" s="438">
        <f t="shared" ref="B722:H722" si="304">B720+B721</f>
        <v>4088100.0000000005</v>
      </c>
      <c r="C722" s="143">
        <f t="shared" si="304"/>
        <v>2406700</v>
      </c>
      <c r="D722" s="143">
        <f t="shared" si="304"/>
        <v>4117100.0000000005</v>
      </c>
      <c r="E722" s="439">
        <f t="shared" si="304"/>
        <v>5047200</v>
      </c>
      <c r="F722" s="145">
        <f t="shared" si="304"/>
        <v>9831300.0000000019</v>
      </c>
      <c r="G722" s="144">
        <f t="shared" si="304"/>
        <v>9790300</v>
      </c>
      <c r="H722" s="144">
        <f t="shared" si="304"/>
        <v>10244900</v>
      </c>
      <c r="I722" s="440">
        <f>'NOGAL '!$B722+'NOGAL '!$C722+'NOGAL '!$D722+'NOGAL '!$E722+'NOGAL '!$F722+'NOGAL '!$G722+'NOGAL '!$H722</f>
        <v>45525600</v>
      </c>
      <c r="J722" s="441">
        <f>'NOGAL '!$I722/7</f>
        <v>6503657.1428571427</v>
      </c>
    </row>
    <row r="723" spans="1:10" s="71" customFormat="1" ht="15.75" thickBot="1" x14ac:dyDescent="0.3">
      <c r="A723" s="69"/>
      <c r="B723" s="424"/>
      <c r="C723" s="424"/>
      <c r="D723" s="424"/>
      <c r="E723" s="424"/>
      <c r="F723" s="424"/>
      <c r="G723" s="424"/>
      <c r="H723" s="424"/>
      <c r="I723" s="424"/>
      <c r="J723" s="424"/>
    </row>
    <row r="724" spans="1:10" s="71" customFormat="1" ht="26.25" x14ac:dyDescent="0.25">
      <c r="A724" s="85"/>
      <c r="B724" s="1002" t="s">
        <v>367</v>
      </c>
      <c r="C724" s="1002"/>
      <c r="D724" s="1002"/>
      <c r="E724" s="1002"/>
      <c r="F724" s="1002"/>
      <c r="G724" s="1002"/>
      <c r="H724" s="1002"/>
      <c r="I724" s="1002"/>
      <c r="J724" s="85"/>
    </row>
    <row r="725" spans="1:10" s="71" customFormat="1" ht="15.75" x14ac:dyDescent="0.25">
      <c r="A725" s="72" t="s">
        <v>2</v>
      </c>
      <c r="B725" s="121" t="s">
        <v>107</v>
      </c>
      <c r="C725" s="121" t="s">
        <v>108</v>
      </c>
      <c r="D725" s="121" t="s">
        <v>109</v>
      </c>
      <c r="E725" s="121" t="s">
        <v>110</v>
      </c>
      <c r="F725" s="121" t="s">
        <v>111</v>
      </c>
      <c r="G725" s="121" t="s">
        <v>112</v>
      </c>
      <c r="H725" s="121" t="s">
        <v>113</v>
      </c>
      <c r="I725" s="153" t="s">
        <v>10</v>
      </c>
      <c r="J725" s="421" t="s">
        <v>77</v>
      </c>
    </row>
    <row r="726" spans="1:10" s="71" customFormat="1" x14ac:dyDescent="0.25">
      <c r="A726" s="430" t="s">
        <v>11</v>
      </c>
      <c r="B726" s="431">
        <v>139</v>
      </c>
      <c r="C726" s="432">
        <v>138</v>
      </c>
      <c r="D726" s="433">
        <v>168</v>
      </c>
      <c r="E726" s="434">
        <v>199</v>
      </c>
      <c r="F726" s="434">
        <v>285</v>
      </c>
      <c r="G726" s="435">
        <v>255</v>
      </c>
      <c r="H726" s="434">
        <v>229</v>
      </c>
      <c r="I726" s="435">
        <f>SUM(B726:H726)</f>
        <v>1413</v>
      </c>
      <c r="J726" s="437">
        <f>'NOGAL '!$I726/7</f>
        <v>201.85714285714286</v>
      </c>
    </row>
    <row r="727" spans="1:10" s="71" customFormat="1" x14ac:dyDescent="0.25">
      <c r="A727" s="77" t="s">
        <v>12</v>
      </c>
      <c r="B727" s="233">
        <v>86</v>
      </c>
      <c r="C727" s="13">
        <v>90</v>
      </c>
      <c r="D727" s="13">
        <v>98</v>
      </c>
      <c r="E727" s="395">
        <v>114</v>
      </c>
      <c r="F727" s="395">
        <v>164</v>
      </c>
      <c r="G727" s="125">
        <v>156</v>
      </c>
      <c r="H727" s="11">
        <v>149</v>
      </c>
      <c r="I727" s="403">
        <f>B727+C727+D727+E727+F727+G727+H727</f>
        <v>857</v>
      </c>
      <c r="J727" s="292">
        <f>'NOGAL '!$I727/7</f>
        <v>122.42857142857143</v>
      </c>
    </row>
    <row r="728" spans="1:10" s="71" customFormat="1" x14ac:dyDescent="0.25">
      <c r="A728" s="77" t="s">
        <v>13</v>
      </c>
      <c r="B728" s="233">
        <v>2</v>
      </c>
      <c r="C728" s="13">
        <v>3</v>
      </c>
      <c r="D728" s="13">
        <v>2</v>
      </c>
      <c r="E728" s="395">
        <v>6</v>
      </c>
      <c r="F728" s="395">
        <v>3</v>
      </c>
      <c r="G728" s="125">
        <v>6</v>
      </c>
      <c r="H728" s="11">
        <v>4</v>
      </c>
      <c r="I728" s="403">
        <f>B728+C728+D728+E728+F728+G728+H728</f>
        <v>26</v>
      </c>
      <c r="J728" s="292">
        <f>C728+D728+E728+F728+G728+H728+I728</f>
        <v>50</v>
      </c>
    </row>
    <row r="729" spans="1:10" s="71" customFormat="1" x14ac:dyDescent="0.25">
      <c r="A729" s="77" t="s">
        <v>14</v>
      </c>
      <c r="B729" s="233">
        <v>22</v>
      </c>
      <c r="C729" s="13">
        <v>11</v>
      </c>
      <c r="D729" s="13">
        <v>18</v>
      </c>
      <c r="E729" s="395">
        <v>12</v>
      </c>
      <c r="F729" s="395">
        <v>41</v>
      </c>
      <c r="G729" s="125">
        <v>19</v>
      </c>
      <c r="H729" s="11">
        <v>21</v>
      </c>
      <c r="I729" s="403">
        <f>B729+C729+D729+E729+F729+G729+H729</f>
        <v>144</v>
      </c>
      <c r="J729" s="292">
        <f>'NOGAL '!$I729/7</f>
        <v>20.571428571428573</v>
      </c>
    </row>
    <row r="730" spans="1:10" s="71" customFormat="1" x14ac:dyDescent="0.25">
      <c r="A730" s="77" t="s">
        <v>15</v>
      </c>
      <c r="B730" s="233">
        <v>5</v>
      </c>
      <c r="C730" s="13">
        <v>4</v>
      </c>
      <c r="D730" s="13">
        <v>15</v>
      </c>
      <c r="E730" s="395">
        <v>6</v>
      </c>
      <c r="F730" s="395">
        <v>10</v>
      </c>
      <c r="G730" s="125">
        <v>14</v>
      </c>
      <c r="H730" s="11">
        <v>13</v>
      </c>
      <c r="I730" s="403">
        <f>B730+C730+D730+E730+F730+G730+H730</f>
        <v>67</v>
      </c>
      <c r="J730" s="292">
        <f>'NOGAL '!$I730/7</f>
        <v>9.5714285714285712</v>
      </c>
    </row>
    <row r="731" spans="1:10" s="71" customFormat="1" x14ac:dyDescent="0.25">
      <c r="A731" s="77" t="s">
        <v>16</v>
      </c>
      <c r="B731" s="233">
        <v>0</v>
      </c>
      <c r="C731" s="13">
        <v>0</v>
      </c>
      <c r="D731" s="13">
        <v>0</v>
      </c>
      <c r="E731" s="395">
        <v>0</v>
      </c>
      <c r="F731" s="395">
        <v>0</v>
      </c>
      <c r="G731" s="125">
        <v>0</v>
      </c>
      <c r="H731" s="11">
        <v>0</v>
      </c>
      <c r="I731" s="403">
        <f>B731+C731+D731+E731+F731+G731+H731</f>
        <v>0</v>
      </c>
      <c r="J731" s="292">
        <f>'NOGAL '!$I731/7</f>
        <v>0</v>
      </c>
    </row>
    <row r="732" spans="1:10" s="71" customFormat="1" x14ac:dyDescent="0.25">
      <c r="A732" s="79" t="s">
        <v>17</v>
      </c>
      <c r="B732" s="102">
        <f>SUM(B727:B731)</f>
        <v>115</v>
      </c>
      <c r="C732" s="79">
        <f t="shared" ref="C732:H732" si="305">SUM(C727:C731)</f>
        <v>108</v>
      </c>
      <c r="D732" s="79">
        <f t="shared" si="305"/>
        <v>133</v>
      </c>
      <c r="E732" s="248">
        <f t="shared" si="305"/>
        <v>138</v>
      </c>
      <c r="F732" s="15">
        <f t="shared" si="305"/>
        <v>218</v>
      </c>
      <c r="G732" s="79">
        <f t="shared" si="305"/>
        <v>195</v>
      </c>
      <c r="H732" s="79">
        <f t="shared" si="305"/>
        <v>187</v>
      </c>
      <c r="I732" s="404">
        <f>SUM(I727:I731)</f>
        <v>1094</v>
      </c>
      <c r="J732" s="405">
        <f>'NOGAL '!$I732/7</f>
        <v>156.28571428571428</v>
      </c>
    </row>
    <row r="733" spans="1:10" s="71" customFormat="1" x14ac:dyDescent="0.25">
      <c r="A733" s="77" t="s">
        <v>18</v>
      </c>
      <c r="B733" s="445">
        <v>0.87</v>
      </c>
      <c r="C733" s="235">
        <v>0.89</v>
      </c>
      <c r="D733" s="235">
        <v>0.82</v>
      </c>
      <c r="E733" s="236">
        <v>0.87</v>
      </c>
      <c r="F733" s="236">
        <v>0.82</v>
      </c>
      <c r="G733" s="236">
        <v>0.87</v>
      </c>
      <c r="H733" s="236">
        <v>0.86</v>
      </c>
      <c r="I733" s="105">
        <f>I740/I745</f>
        <v>0.85449825292401771</v>
      </c>
      <c r="J733" s="297">
        <f>J740/J745</f>
        <v>0.8544982529240176</v>
      </c>
    </row>
    <row r="734" spans="1:10" s="71" customFormat="1" x14ac:dyDescent="0.25">
      <c r="A734" s="77" t="s">
        <v>19</v>
      </c>
      <c r="B734" s="445">
        <v>0.02</v>
      </c>
      <c r="C734" s="235">
        <v>0.03</v>
      </c>
      <c r="D734" s="235">
        <v>0.04</v>
      </c>
      <c r="E734" s="236">
        <v>0.06</v>
      </c>
      <c r="F734" s="236">
        <v>0.02</v>
      </c>
      <c r="G734" s="236">
        <v>0.02</v>
      </c>
      <c r="H734" s="236">
        <v>0.02</v>
      </c>
      <c r="I734" s="105">
        <f>I741/I745</f>
        <v>2.9075821973233877E-2</v>
      </c>
      <c r="J734" s="297">
        <f>J741/J745</f>
        <v>2.9075821973233877E-2</v>
      </c>
    </row>
    <row r="735" spans="1:10" s="71" customFormat="1" x14ac:dyDescent="0.25">
      <c r="A735" s="77" t="s">
        <v>20</v>
      </c>
      <c r="B735" s="445">
        <v>0.09</v>
      </c>
      <c r="C735" s="235">
        <v>0.06</v>
      </c>
      <c r="D735" s="235">
        <v>0.08</v>
      </c>
      <c r="E735" s="236">
        <v>0.04</v>
      </c>
      <c r="F735" s="236">
        <v>0.13</v>
      </c>
      <c r="G735" s="236">
        <v>0.06</v>
      </c>
      <c r="H735" s="236">
        <v>7.0000000000000007E-2</v>
      </c>
      <c r="I735" s="105">
        <f>I742/I745</f>
        <v>7.7924717554763281E-2</v>
      </c>
      <c r="J735" s="297">
        <f>J742/J745</f>
        <v>7.7924717554763281E-2</v>
      </c>
    </row>
    <row r="736" spans="1:10" s="71" customFormat="1" x14ac:dyDescent="0.25">
      <c r="A736" s="77" t="s">
        <v>21</v>
      </c>
      <c r="B736" s="445">
        <v>0.02</v>
      </c>
      <c r="C736" s="235">
        <v>0.02</v>
      </c>
      <c r="D736" s="235">
        <v>0.06</v>
      </c>
      <c r="E736" s="236">
        <v>0.03</v>
      </c>
      <c r="F736" s="236">
        <v>0.03</v>
      </c>
      <c r="G736" s="236">
        <v>0.05</v>
      </c>
      <c r="H736" s="236">
        <v>0.05</v>
      </c>
      <c r="I736" s="105">
        <f>I743/I745</f>
        <v>3.8501207547985236E-2</v>
      </c>
      <c r="J736" s="297">
        <f>J743/J745</f>
        <v>3.8501207547985236E-2</v>
      </c>
    </row>
    <row r="737" spans="1:10" s="71" customFormat="1" x14ac:dyDescent="0.25">
      <c r="A737" s="77" t="s">
        <v>22</v>
      </c>
      <c r="B737" s="445">
        <v>0</v>
      </c>
      <c r="C737" s="235">
        <v>0</v>
      </c>
      <c r="D737" s="235">
        <v>0</v>
      </c>
      <c r="E737" s="236">
        <v>0</v>
      </c>
      <c r="F737" s="236">
        <v>0</v>
      </c>
      <c r="G737" s="236">
        <v>0</v>
      </c>
      <c r="H737" s="236">
        <v>0</v>
      </c>
      <c r="I737" s="105">
        <f>I744/I745</f>
        <v>0</v>
      </c>
      <c r="J737" s="297">
        <f>J744/J745</f>
        <v>0</v>
      </c>
    </row>
    <row r="738" spans="1:10" s="71" customFormat="1" x14ac:dyDescent="0.25">
      <c r="A738" s="81" t="s">
        <v>23</v>
      </c>
      <c r="B738" s="409">
        <f t="shared" ref="B738:J738" si="306">B749/B732</f>
        <v>36279.130434782615</v>
      </c>
      <c r="C738" s="131">
        <f t="shared" si="306"/>
        <v>38551.851851851854</v>
      </c>
      <c r="D738" s="131">
        <f t="shared" si="306"/>
        <v>37981.954887218053</v>
      </c>
      <c r="E738" s="397">
        <f t="shared" si="306"/>
        <v>43345.65217391304</v>
      </c>
      <c r="F738" s="132">
        <f t="shared" si="306"/>
        <v>38041.284403669728</v>
      </c>
      <c r="G738" s="130">
        <f t="shared" si="306"/>
        <v>39232.820512820515</v>
      </c>
      <c r="H738" s="130">
        <f t="shared" si="306"/>
        <v>36732.620320855618</v>
      </c>
      <c r="I738" s="359">
        <f t="shared" si="306"/>
        <v>38557.038391224865</v>
      </c>
      <c r="J738" s="314">
        <f t="shared" si="306"/>
        <v>38557.038391224865</v>
      </c>
    </row>
    <row r="739" spans="1:10" s="71" customFormat="1" x14ac:dyDescent="0.25">
      <c r="A739" s="81" t="s">
        <v>24</v>
      </c>
      <c r="B739" s="409">
        <f t="shared" ref="B739:J739" si="307">B749/B726</f>
        <v>30015.107913669068</v>
      </c>
      <c r="C739" s="131">
        <f t="shared" si="307"/>
        <v>30171.014492753624</v>
      </c>
      <c r="D739" s="131">
        <f t="shared" si="307"/>
        <v>30069.047619047626</v>
      </c>
      <c r="E739" s="397">
        <f t="shared" si="307"/>
        <v>30058.793969849245</v>
      </c>
      <c r="F739" s="132">
        <f t="shared" si="307"/>
        <v>29098.245614035088</v>
      </c>
      <c r="G739" s="130">
        <f t="shared" si="307"/>
        <v>30001.568627450979</v>
      </c>
      <c r="H739" s="130">
        <f t="shared" si="307"/>
        <v>29995.633187772924</v>
      </c>
      <c r="I739" s="359">
        <f t="shared" si="307"/>
        <v>29852.37084217976</v>
      </c>
      <c r="J739" s="314">
        <f t="shared" si="307"/>
        <v>29852.370842179756</v>
      </c>
    </row>
    <row r="740" spans="1:10" s="71" customFormat="1" x14ac:dyDescent="0.25">
      <c r="A740" s="77" t="s">
        <v>25</v>
      </c>
      <c r="B740" s="255">
        <f t="shared" ref="B740:H740" si="308">B745*B733</f>
        <v>2967837.9000000004</v>
      </c>
      <c r="C740" s="133">
        <f t="shared" si="308"/>
        <v>3021870.7068965519</v>
      </c>
      <c r="D740" s="133">
        <f t="shared" si="308"/>
        <v>3397782.8206896554</v>
      </c>
      <c r="E740" s="299">
        <f t="shared" si="308"/>
        <v>4272542.1000000006</v>
      </c>
      <c r="F740" s="134">
        <f t="shared" si="308"/>
        <v>5572488.703448276</v>
      </c>
      <c r="G740" s="92">
        <f t="shared" si="308"/>
        <v>5445323.4000000004</v>
      </c>
      <c r="H740" s="92">
        <f t="shared" si="308"/>
        <v>4816392.7827586206</v>
      </c>
      <c r="I740" s="108">
        <f>'NOGAL '!$B740+'NOGAL '!$C740+'NOGAL '!$D740+'NOGAL '!$E740+'NOGAL '!$F740+'NOGAL '!$G740+'NOGAL '!$H740</f>
        <v>29494238.413793106</v>
      </c>
      <c r="J740" s="300">
        <f>'NOGAL '!$I740/7</f>
        <v>4213462.6305418722</v>
      </c>
    </row>
    <row r="741" spans="1:10" s="71" customFormat="1" x14ac:dyDescent="0.25">
      <c r="A741" s="77" t="s">
        <v>26</v>
      </c>
      <c r="B741" s="255">
        <f t="shared" ref="B741:H741" si="309">B745*B734</f>
        <v>68226.158620689661</v>
      </c>
      <c r="C741" s="133">
        <f t="shared" si="309"/>
        <v>101860.81034482758</v>
      </c>
      <c r="D741" s="133">
        <f t="shared" si="309"/>
        <v>165745.50344827588</v>
      </c>
      <c r="E741" s="299">
        <f t="shared" si="309"/>
        <v>294658.07586206897</v>
      </c>
      <c r="F741" s="134">
        <f t="shared" si="309"/>
        <v>135914.35862068966</v>
      </c>
      <c r="G741" s="92">
        <f t="shared" si="309"/>
        <v>125179.84827586208</v>
      </c>
      <c r="H741" s="92">
        <f t="shared" si="309"/>
        <v>112009.13448275863</v>
      </c>
      <c r="I741" s="108">
        <f>'NOGAL '!$B741+'NOGAL '!$C741+'NOGAL '!$D741+'NOGAL '!$E741+'NOGAL '!$F741+'NOGAL '!$G741+'NOGAL '!$H741</f>
        <v>1003593.8896551725</v>
      </c>
      <c r="J741" s="300">
        <f>'NOGAL '!$I741/7</f>
        <v>143370.55566502464</v>
      </c>
    </row>
    <row r="742" spans="1:10" s="71" customFormat="1" x14ac:dyDescent="0.25">
      <c r="A742" s="77" t="s">
        <v>27</v>
      </c>
      <c r="B742" s="255">
        <f t="shared" ref="B742:H742" si="310">B745*B735</f>
        <v>307017.71379310347</v>
      </c>
      <c r="C742" s="133">
        <f t="shared" si="310"/>
        <v>203721.62068965516</v>
      </c>
      <c r="D742" s="133">
        <f t="shared" si="310"/>
        <v>331491.00689655176</v>
      </c>
      <c r="E742" s="299">
        <f t="shared" si="310"/>
        <v>196438.71724137932</v>
      </c>
      <c r="F742" s="134">
        <f t="shared" si="310"/>
        <v>883443.33103448281</v>
      </c>
      <c r="G742" s="92">
        <f t="shared" si="310"/>
        <v>375539.54482758621</v>
      </c>
      <c r="H742" s="92">
        <f t="shared" si="310"/>
        <v>392031.97068965522</v>
      </c>
      <c r="I742" s="108">
        <f>'NOGAL '!$B742+'NOGAL '!$C742+'NOGAL '!$D742+'NOGAL '!$E742+'NOGAL '!$F742+'NOGAL '!$G742+'NOGAL '!$H742</f>
        <v>2689683.9051724141</v>
      </c>
      <c r="J742" s="300">
        <f>'NOGAL '!$I742/7</f>
        <v>384240.55788177345</v>
      </c>
    </row>
    <row r="743" spans="1:10" s="71" customFormat="1" x14ac:dyDescent="0.25">
      <c r="A743" s="77" t="s">
        <v>28</v>
      </c>
      <c r="B743" s="255">
        <f t="shared" ref="B743:H743" si="311">B745*B736</f>
        <v>68226.158620689661</v>
      </c>
      <c r="C743" s="133">
        <f t="shared" si="311"/>
        <v>67907.206896551725</v>
      </c>
      <c r="D743" s="133">
        <f t="shared" si="311"/>
        <v>248618.25517241383</v>
      </c>
      <c r="E743" s="299">
        <f t="shared" si="311"/>
        <v>147329.03793103449</v>
      </c>
      <c r="F743" s="134">
        <f t="shared" si="311"/>
        <v>203871.53793103449</v>
      </c>
      <c r="G743" s="92">
        <f t="shared" si="311"/>
        <v>312949.62068965519</v>
      </c>
      <c r="H743" s="92">
        <f t="shared" si="311"/>
        <v>280022.83620689658</v>
      </c>
      <c r="I743" s="108">
        <f>'NOGAL '!$B743+'NOGAL '!$C743+'NOGAL '!$D743+'NOGAL '!$E743+'NOGAL '!$F743+'NOGAL '!$G743+'NOGAL '!$H743</f>
        <v>1328924.6534482758</v>
      </c>
      <c r="J743" s="300">
        <f>'NOGAL '!$I743/7</f>
        <v>189846.37906403939</v>
      </c>
    </row>
    <row r="744" spans="1:10" s="71" customFormat="1" x14ac:dyDescent="0.25">
      <c r="A744" s="77" t="s">
        <v>29</v>
      </c>
      <c r="B744" s="255">
        <f t="shared" ref="B744:H744" si="312">B745*B737</f>
        <v>0</v>
      </c>
      <c r="C744" s="133">
        <f t="shared" si="312"/>
        <v>0</v>
      </c>
      <c r="D744" s="133">
        <f t="shared" si="312"/>
        <v>0</v>
      </c>
      <c r="E744" s="299">
        <f t="shared" si="312"/>
        <v>0</v>
      </c>
      <c r="F744" s="134">
        <f t="shared" si="312"/>
        <v>0</v>
      </c>
      <c r="G744" s="92">
        <f t="shared" si="312"/>
        <v>0</v>
      </c>
      <c r="H744" s="92">
        <f t="shared" si="312"/>
        <v>0</v>
      </c>
      <c r="I744" s="108">
        <f>'NOGAL '!$B744+'NOGAL '!$C744+'NOGAL '!$D744+'NOGAL '!$E744+'NOGAL '!$F744+'NOGAL '!$G744+'NOGAL '!$H744</f>
        <v>0</v>
      </c>
      <c r="J744" s="300">
        <f>'NOGAL '!$I744/7</f>
        <v>0</v>
      </c>
    </row>
    <row r="745" spans="1:10" s="71" customFormat="1" x14ac:dyDescent="0.25">
      <c r="A745" s="82" t="s">
        <v>30</v>
      </c>
      <c r="B745" s="222">
        <f>(4172100/1.16)-B746</f>
        <v>3411307.931034483</v>
      </c>
      <c r="C745" s="222">
        <f>(4163600/1.16)-C746</f>
        <v>3395360.3448275863</v>
      </c>
      <c r="D745" s="222">
        <f>(5051600/1.16)-D746</f>
        <v>4143637.5862068972</v>
      </c>
      <c r="E745" s="222">
        <f>(5981700/1.16)-E746</f>
        <v>4910967.931034483</v>
      </c>
      <c r="F745" s="222">
        <f>(8293000/1.16)-F746</f>
        <v>6795717.931034483</v>
      </c>
      <c r="G745" s="222">
        <f>(7650400/1.16)-G746</f>
        <v>6258992.4137931038</v>
      </c>
      <c r="H745" s="222">
        <f>(6869000/1.16)-H746</f>
        <v>5600456.7241379311</v>
      </c>
      <c r="I745" s="111">
        <f>SUM(I740:I744)</f>
        <v>34516440.862068966</v>
      </c>
      <c r="J745" s="361">
        <f>'NOGAL '!$I745/7</f>
        <v>4930920.1231527096</v>
      </c>
    </row>
    <row r="746" spans="1:10" s="71" customFormat="1" x14ac:dyDescent="0.25">
      <c r="A746" s="77" t="s">
        <v>31</v>
      </c>
      <c r="B746" s="263">
        <f t="shared" ref="B746:G746" si="313">2155*B727</f>
        <v>185330</v>
      </c>
      <c r="C746" s="139">
        <f t="shared" si="313"/>
        <v>193950</v>
      </c>
      <c r="D746" s="139">
        <f t="shared" si="313"/>
        <v>211190</v>
      </c>
      <c r="E746" s="113">
        <f t="shared" si="313"/>
        <v>245670</v>
      </c>
      <c r="F746" s="112">
        <f t="shared" si="313"/>
        <v>353420</v>
      </c>
      <c r="G746" s="94">
        <f t="shared" si="313"/>
        <v>336180</v>
      </c>
      <c r="H746" s="94">
        <f>2155*H727</f>
        <v>321095</v>
      </c>
      <c r="I746" s="109">
        <f>2155*I727</f>
        <v>1846835</v>
      </c>
      <c r="J746" s="302">
        <f>2155*J727</f>
        <v>263833.57142857142</v>
      </c>
    </row>
    <row r="747" spans="1:10" s="71" customFormat="1" x14ac:dyDescent="0.25">
      <c r="A747" s="83" t="s">
        <v>32</v>
      </c>
      <c r="B747" s="411">
        <f>B745+B746</f>
        <v>3596637.931034483</v>
      </c>
      <c r="C747" s="40">
        <f>C745+C746</f>
        <v>3589310.3448275863</v>
      </c>
      <c r="D747" s="40">
        <f t="shared" ref="D747:J747" si="314">D745+D746</f>
        <v>4354827.5862068972</v>
      </c>
      <c r="E747" s="399">
        <f t="shared" si="314"/>
        <v>5156637.931034483</v>
      </c>
      <c r="F747" s="140">
        <f t="shared" si="314"/>
        <v>7149137.931034483</v>
      </c>
      <c r="G747" s="39">
        <f t="shared" si="314"/>
        <v>6595172.4137931038</v>
      </c>
      <c r="H747" s="39">
        <f t="shared" si="314"/>
        <v>5921551.7241379311</v>
      </c>
      <c r="I747" s="412">
        <f t="shared" si="314"/>
        <v>36363275.862068966</v>
      </c>
      <c r="J747" s="364">
        <f t="shared" si="314"/>
        <v>5194753.6945812814</v>
      </c>
    </row>
    <row r="748" spans="1:10" s="71" customFormat="1" x14ac:dyDescent="0.25">
      <c r="A748" s="77" t="s">
        <v>33</v>
      </c>
      <c r="B748" s="413">
        <f>B747*16%</f>
        <v>575462.06896551733</v>
      </c>
      <c r="C748" s="42">
        <f>C747*16%</f>
        <v>574289.6551724138</v>
      </c>
      <c r="D748" s="42">
        <f t="shared" ref="D748:J748" si="315">D747*16%</f>
        <v>696772.41379310354</v>
      </c>
      <c r="E748" s="400">
        <f t="shared" si="315"/>
        <v>825062.06896551733</v>
      </c>
      <c r="F748" s="141">
        <f t="shared" si="315"/>
        <v>1143862.0689655172</v>
      </c>
      <c r="G748" s="41">
        <f t="shared" si="315"/>
        <v>1055227.5862068967</v>
      </c>
      <c r="H748" s="41">
        <f t="shared" si="315"/>
        <v>947448.27586206899</v>
      </c>
      <c r="I748" s="414">
        <f t="shared" si="315"/>
        <v>5818124.1379310349</v>
      </c>
      <c r="J748" s="415">
        <f t="shared" si="315"/>
        <v>831160.59113300499</v>
      </c>
    </row>
    <row r="749" spans="1:10" s="71" customFormat="1" x14ac:dyDescent="0.25">
      <c r="A749" s="142" t="s">
        <v>34</v>
      </c>
      <c r="B749" s="438">
        <f t="shared" ref="B749:H749" si="316">B747+B748</f>
        <v>4172100.0000000005</v>
      </c>
      <c r="C749" s="143">
        <f t="shared" si="316"/>
        <v>4163600</v>
      </c>
      <c r="D749" s="143">
        <f t="shared" si="316"/>
        <v>5051600.0000000009</v>
      </c>
      <c r="E749" s="439">
        <f t="shared" si="316"/>
        <v>5981700</v>
      </c>
      <c r="F749" s="145">
        <f t="shared" si="316"/>
        <v>8293000</v>
      </c>
      <c r="G749" s="144">
        <f t="shared" si="316"/>
        <v>7650400</v>
      </c>
      <c r="H749" s="144">
        <f t="shared" si="316"/>
        <v>6869000</v>
      </c>
      <c r="I749" s="440">
        <f>'NOGAL '!$B749+'NOGAL '!$C749+'NOGAL '!$D749+'NOGAL '!$E749+'NOGAL '!$F749+'NOGAL '!$G749+'NOGAL '!$H749</f>
        <v>42181400</v>
      </c>
      <c r="J749" s="441">
        <f>'NOGAL '!$I749/7</f>
        <v>6025914.2857142854</v>
      </c>
    </row>
    <row r="750" spans="1:10" s="71" customFormat="1" ht="15.75" thickBot="1" x14ac:dyDescent="0.3">
      <c r="A750" s="69"/>
      <c r="B750" s="424"/>
      <c r="C750" s="424"/>
      <c r="D750" s="424"/>
      <c r="E750" s="424"/>
      <c r="F750" s="424"/>
      <c r="G750" s="424"/>
      <c r="H750" s="424"/>
      <c r="I750" s="424"/>
      <c r="J750" s="424"/>
    </row>
    <row r="751" spans="1:10" s="71" customFormat="1" ht="26.25" x14ac:dyDescent="0.25">
      <c r="A751" s="85"/>
      <c r="B751" s="1002" t="s">
        <v>368</v>
      </c>
      <c r="C751" s="1002"/>
      <c r="D751" s="1002"/>
      <c r="E751" s="1002"/>
      <c r="F751" s="1002"/>
      <c r="G751" s="1002"/>
      <c r="H751" s="1002"/>
      <c r="I751" s="1002"/>
      <c r="J751" s="85"/>
    </row>
    <row r="752" spans="1:10" s="71" customFormat="1" ht="15.75" x14ac:dyDescent="0.25">
      <c r="A752" s="72" t="s">
        <v>2</v>
      </c>
      <c r="B752" s="121" t="s">
        <v>270</v>
      </c>
      <c r="C752" s="121" t="s">
        <v>116</v>
      </c>
      <c r="D752" s="121" t="s">
        <v>117</v>
      </c>
      <c r="E752" s="121" t="s">
        <v>118</v>
      </c>
      <c r="F752" s="121" t="s">
        <v>119</v>
      </c>
      <c r="G752" s="121" t="s">
        <v>120</v>
      </c>
      <c r="H752" s="121" t="s">
        <v>121</v>
      </c>
      <c r="I752" s="153" t="s">
        <v>10</v>
      </c>
      <c r="J752" s="421" t="s">
        <v>77</v>
      </c>
    </row>
    <row r="753" spans="1:10" s="71" customFormat="1" x14ac:dyDescent="0.25">
      <c r="A753" s="430" t="s">
        <v>11</v>
      </c>
      <c r="B753" s="431">
        <v>140</v>
      </c>
      <c r="C753" s="432">
        <v>150</v>
      </c>
      <c r="D753" s="433">
        <v>201</v>
      </c>
      <c r="E753" s="434">
        <v>127</v>
      </c>
      <c r="F753" s="434">
        <v>139</v>
      </c>
      <c r="G753" s="435">
        <v>228</v>
      </c>
      <c r="H753" s="434">
        <v>266</v>
      </c>
      <c r="I753" s="435">
        <f>SUM(B753:H753)</f>
        <v>1251</v>
      </c>
      <c r="J753" s="437">
        <f>'NOGAL '!$I753/7</f>
        <v>178.71428571428572</v>
      </c>
    </row>
    <row r="754" spans="1:10" s="71" customFormat="1" x14ac:dyDescent="0.25">
      <c r="A754" s="77" t="s">
        <v>12</v>
      </c>
      <c r="B754" s="233">
        <v>75</v>
      </c>
      <c r="C754" s="13">
        <v>82</v>
      </c>
      <c r="D754" s="13">
        <v>108</v>
      </c>
      <c r="E754" s="395">
        <v>66</v>
      </c>
      <c r="F754" s="395">
        <v>83</v>
      </c>
      <c r="G754" s="125">
        <v>128</v>
      </c>
      <c r="H754" s="11">
        <v>166</v>
      </c>
      <c r="I754" s="403">
        <f>B754+C754+D754+E754+F754+G754+H754</f>
        <v>708</v>
      </c>
      <c r="J754" s="292">
        <f>'NOGAL '!$I754/7</f>
        <v>101.14285714285714</v>
      </c>
    </row>
    <row r="755" spans="1:10" s="71" customFormat="1" x14ac:dyDescent="0.25">
      <c r="A755" s="77" t="s">
        <v>13</v>
      </c>
      <c r="B755" s="233">
        <v>1</v>
      </c>
      <c r="C755" s="13">
        <v>3</v>
      </c>
      <c r="D755" s="13">
        <v>5</v>
      </c>
      <c r="E755" s="395">
        <v>1</v>
      </c>
      <c r="F755" s="395">
        <v>4</v>
      </c>
      <c r="G755" s="125">
        <v>4</v>
      </c>
      <c r="H755" s="11">
        <v>6</v>
      </c>
      <c r="I755" s="403">
        <f>B755+C755+D755+E755+F755+G755+H755</f>
        <v>24</v>
      </c>
      <c r="J755" s="292">
        <f>C755+D755+E755+F755+G755+H755+I755</f>
        <v>47</v>
      </c>
    </row>
    <row r="756" spans="1:10" s="71" customFormat="1" x14ac:dyDescent="0.25">
      <c r="A756" s="77" t="s">
        <v>14</v>
      </c>
      <c r="B756" s="233">
        <v>18</v>
      </c>
      <c r="C756" s="13">
        <v>18</v>
      </c>
      <c r="D756" s="13">
        <v>29</v>
      </c>
      <c r="E756" s="395">
        <v>21</v>
      </c>
      <c r="F756" s="395">
        <v>17</v>
      </c>
      <c r="G756" s="125">
        <v>18</v>
      </c>
      <c r="H756" s="11">
        <v>27</v>
      </c>
      <c r="I756" s="403">
        <f>B756+C756+D756+E756+F756+G756+H756</f>
        <v>148</v>
      </c>
      <c r="J756" s="292">
        <f>'NOGAL '!$I756/7</f>
        <v>21.142857142857142</v>
      </c>
    </row>
    <row r="757" spans="1:10" s="71" customFormat="1" x14ac:dyDescent="0.25">
      <c r="A757" s="77" t="s">
        <v>15</v>
      </c>
      <c r="B757" s="233">
        <v>7</v>
      </c>
      <c r="C757" s="13">
        <v>7</v>
      </c>
      <c r="D757" s="13">
        <v>9</v>
      </c>
      <c r="E757" s="395">
        <v>7</v>
      </c>
      <c r="F757" s="395">
        <v>7</v>
      </c>
      <c r="G757" s="125">
        <v>20</v>
      </c>
      <c r="H757" s="11">
        <v>15</v>
      </c>
      <c r="I757" s="403">
        <f>B757+C757+D757+E757+F757+G757+H757</f>
        <v>72</v>
      </c>
      <c r="J757" s="292">
        <f>'NOGAL '!$I757/7</f>
        <v>10.285714285714286</v>
      </c>
    </row>
    <row r="758" spans="1:10" s="71" customFormat="1" x14ac:dyDescent="0.25">
      <c r="A758" s="77" t="s">
        <v>16</v>
      </c>
      <c r="B758" s="233">
        <v>0</v>
      </c>
      <c r="C758" s="13">
        <v>0</v>
      </c>
      <c r="D758" s="13">
        <v>0</v>
      </c>
      <c r="E758" s="395">
        <v>0</v>
      </c>
      <c r="F758" s="395">
        <v>0</v>
      </c>
      <c r="G758" s="125">
        <v>0</v>
      </c>
      <c r="H758" s="11">
        <v>1</v>
      </c>
      <c r="I758" s="403">
        <f>B758+C758+D758+E758+F758+G758+H758</f>
        <v>1</v>
      </c>
      <c r="J758" s="292">
        <f>'NOGAL '!$I758/7</f>
        <v>0.14285714285714285</v>
      </c>
    </row>
    <row r="759" spans="1:10" s="71" customFormat="1" x14ac:dyDescent="0.25">
      <c r="A759" s="79" t="s">
        <v>17</v>
      </c>
      <c r="B759" s="102">
        <f>SUM(B754:B758)</f>
        <v>101</v>
      </c>
      <c r="C759" s="79">
        <f t="shared" ref="C759:H759" si="317">SUM(C754:C758)</f>
        <v>110</v>
      </c>
      <c r="D759" s="79">
        <f t="shared" si="317"/>
        <v>151</v>
      </c>
      <c r="E759" s="248">
        <f t="shared" si="317"/>
        <v>95</v>
      </c>
      <c r="F759" s="15">
        <f t="shared" si="317"/>
        <v>111</v>
      </c>
      <c r="G759" s="79">
        <f t="shared" si="317"/>
        <v>170</v>
      </c>
      <c r="H759" s="79">
        <f t="shared" si="317"/>
        <v>215</v>
      </c>
      <c r="I759" s="404">
        <f>SUM(I754:I758)</f>
        <v>953</v>
      </c>
      <c r="J759" s="405">
        <f>'NOGAL '!$I759/7</f>
        <v>136.14285714285714</v>
      </c>
    </row>
    <row r="760" spans="1:10" s="71" customFormat="1" x14ac:dyDescent="0.25">
      <c r="A760" s="77" t="s">
        <v>18</v>
      </c>
      <c r="B760" s="445">
        <v>0.82</v>
      </c>
      <c r="C760" s="235">
        <v>0.81</v>
      </c>
      <c r="D760" s="235">
        <v>0.78</v>
      </c>
      <c r="E760" s="236">
        <v>0.76</v>
      </c>
      <c r="F760" s="236">
        <v>0.84</v>
      </c>
      <c r="G760" s="236">
        <v>0.83</v>
      </c>
      <c r="H760" s="236">
        <v>0.83</v>
      </c>
      <c r="I760" s="105">
        <f>I767/I772</f>
        <v>0.8121306356339113</v>
      </c>
      <c r="J760" s="297">
        <f>J767/J772</f>
        <v>0.8121306356339113</v>
      </c>
    </row>
    <row r="761" spans="1:10" s="71" customFormat="1" x14ac:dyDescent="0.25">
      <c r="A761" s="77" t="s">
        <v>19</v>
      </c>
      <c r="B761" s="445">
        <v>0</v>
      </c>
      <c r="C761" s="235">
        <v>0.02</v>
      </c>
      <c r="D761" s="235">
        <v>0.04</v>
      </c>
      <c r="E761" s="236">
        <v>0.01</v>
      </c>
      <c r="F761" s="236">
        <v>0.03</v>
      </c>
      <c r="G761" s="236">
        <v>0.02</v>
      </c>
      <c r="H761" s="236">
        <v>0.02</v>
      </c>
      <c r="I761" s="105">
        <f>I768/I772</f>
        <v>2.1094040396908136E-2</v>
      </c>
      <c r="J761" s="297">
        <f>J768/J772</f>
        <v>2.1094040396908133E-2</v>
      </c>
    </row>
    <row r="762" spans="1:10" s="71" customFormat="1" x14ac:dyDescent="0.25">
      <c r="A762" s="77" t="s">
        <v>20</v>
      </c>
      <c r="B762" s="445">
        <v>0.11</v>
      </c>
      <c r="C762" s="235">
        <v>0.1</v>
      </c>
      <c r="D762" s="235">
        <v>0.14000000000000001</v>
      </c>
      <c r="E762" s="236">
        <v>0.16</v>
      </c>
      <c r="F762" s="236">
        <v>0.08</v>
      </c>
      <c r="G762" s="236">
        <v>7.0000000000000007E-2</v>
      </c>
      <c r="H762" s="236">
        <v>0.1</v>
      </c>
      <c r="I762" s="105">
        <f>I769/I772</f>
        <v>0.10630984777677456</v>
      </c>
      <c r="J762" s="297">
        <f>J769/J772</f>
        <v>0.10630984777677456</v>
      </c>
    </row>
    <row r="763" spans="1:10" s="71" customFormat="1" x14ac:dyDescent="0.25">
      <c r="A763" s="77" t="s">
        <v>21</v>
      </c>
      <c r="B763" s="445">
        <v>7.0000000000000007E-2</v>
      </c>
      <c r="C763" s="235">
        <v>7.0000000000000007E-2</v>
      </c>
      <c r="D763" s="235">
        <v>0.04</v>
      </c>
      <c r="E763" s="236">
        <v>7.0000000000000007E-2</v>
      </c>
      <c r="F763" s="236">
        <v>0.05</v>
      </c>
      <c r="G763" s="236">
        <v>0.08</v>
      </c>
      <c r="H763" s="236">
        <v>0.05</v>
      </c>
      <c r="I763" s="105">
        <f>I770/I772</f>
        <v>6.0465476192405984E-2</v>
      </c>
      <c r="J763" s="297">
        <f>J770/J772</f>
        <v>6.0465476192405984E-2</v>
      </c>
    </row>
    <row r="764" spans="1:10" s="71" customFormat="1" x14ac:dyDescent="0.25">
      <c r="A764" s="77" t="s">
        <v>22</v>
      </c>
      <c r="B764" s="445">
        <v>0</v>
      </c>
      <c r="C764" s="235">
        <v>0</v>
      </c>
      <c r="D764" s="235">
        <v>0</v>
      </c>
      <c r="E764" s="236">
        <v>0</v>
      </c>
      <c r="F764" s="236">
        <v>0</v>
      </c>
      <c r="G764" s="236">
        <v>0</v>
      </c>
      <c r="H764" s="236">
        <v>0</v>
      </c>
      <c r="I764" s="105">
        <f>I771/I772</f>
        <v>0</v>
      </c>
      <c r="J764" s="297">
        <f>J771/J772</f>
        <v>0</v>
      </c>
    </row>
    <row r="765" spans="1:10" s="71" customFormat="1" x14ac:dyDescent="0.25">
      <c r="A765" s="81" t="s">
        <v>23</v>
      </c>
      <c r="B765" s="409">
        <f t="shared" ref="B765:J765" si="318">B776/B759</f>
        <v>37823.762376237624</v>
      </c>
      <c r="C765" s="131">
        <f t="shared" si="318"/>
        <v>39076.36363636364</v>
      </c>
      <c r="D765" s="131">
        <f t="shared" si="318"/>
        <v>37699.337748344376</v>
      </c>
      <c r="E765" s="397">
        <f t="shared" si="318"/>
        <v>38802.105263157893</v>
      </c>
      <c r="F765" s="132">
        <f t="shared" si="318"/>
        <v>34418.018018018025</v>
      </c>
      <c r="G765" s="130">
        <f t="shared" si="318"/>
        <v>37272.941176470595</v>
      </c>
      <c r="H765" s="130">
        <f t="shared" si="318"/>
        <v>35697.209302325587</v>
      </c>
      <c r="I765" s="359">
        <f t="shared" si="318"/>
        <v>37071.458551941236</v>
      </c>
      <c r="J765" s="314">
        <f t="shared" si="318"/>
        <v>37071.458551941236</v>
      </c>
    </row>
    <row r="766" spans="1:10" s="71" customFormat="1" x14ac:dyDescent="0.25">
      <c r="A766" s="81" t="s">
        <v>24</v>
      </c>
      <c r="B766" s="409">
        <f t="shared" ref="B766:J766" si="319">B776/B753</f>
        <v>27287.142857142859</v>
      </c>
      <c r="C766" s="131">
        <f t="shared" si="319"/>
        <v>28656</v>
      </c>
      <c r="D766" s="131">
        <f t="shared" si="319"/>
        <v>28321.393034825876</v>
      </c>
      <c r="E766" s="397">
        <f t="shared" si="319"/>
        <v>29025.196850393702</v>
      </c>
      <c r="F766" s="132">
        <f t="shared" si="319"/>
        <v>27484.892086330939</v>
      </c>
      <c r="G766" s="130">
        <f t="shared" si="319"/>
        <v>27791.228070175443</v>
      </c>
      <c r="H766" s="130">
        <f t="shared" si="319"/>
        <v>28853.007518796996</v>
      </c>
      <c r="I766" s="359">
        <f t="shared" si="319"/>
        <v>28240.687450039968</v>
      </c>
      <c r="J766" s="314">
        <f t="shared" si="319"/>
        <v>28240.687450039964</v>
      </c>
    </row>
    <row r="767" spans="1:10" s="71" customFormat="1" x14ac:dyDescent="0.25">
      <c r="A767" s="77" t="s">
        <v>25</v>
      </c>
      <c r="B767" s="255">
        <f t="shared" ref="B767:H767" si="320">B772*B760</f>
        <v>2567953.7068965514</v>
      </c>
      <c r="C767" s="133">
        <f t="shared" si="320"/>
        <v>2858333.8655172414</v>
      </c>
      <c r="D767" s="133">
        <f t="shared" si="320"/>
        <v>3646245.5586206904</v>
      </c>
      <c r="E767" s="299">
        <f t="shared" si="320"/>
        <v>2307001.7517241379</v>
      </c>
      <c r="F767" s="134">
        <f t="shared" si="320"/>
        <v>2616249.9517241381</v>
      </c>
      <c r="G767" s="92">
        <f t="shared" si="320"/>
        <v>4304856.2482758621</v>
      </c>
      <c r="H767" s="92">
        <f t="shared" si="320"/>
        <v>5194607.3758620694</v>
      </c>
      <c r="I767" s="108">
        <f>'NOGAL '!$B767+'NOGAL '!$C767+'NOGAL '!$D767+'NOGAL '!$E767+'NOGAL '!$F767+'NOGAL '!$G767+'NOGAL '!$H767</f>
        <v>23495248.45862069</v>
      </c>
      <c r="J767" s="300">
        <f>'NOGAL '!$I767/7</f>
        <v>3356464.0655172416</v>
      </c>
    </row>
    <row r="768" spans="1:10" s="71" customFormat="1" x14ac:dyDescent="0.25">
      <c r="A768" s="77" t="s">
        <v>26</v>
      </c>
      <c r="B768" s="255">
        <f t="shared" ref="B768:H768" si="321">B772*B761</f>
        <v>0</v>
      </c>
      <c r="C768" s="133">
        <f t="shared" si="321"/>
        <v>70576.144827586206</v>
      </c>
      <c r="D768" s="133">
        <f t="shared" si="321"/>
        <v>186986.95172413797</v>
      </c>
      <c r="E768" s="299">
        <f t="shared" si="321"/>
        <v>30355.286206896551</v>
      </c>
      <c r="F768" s="134">
        <f t="shared" si="321"/>
        <v>93437.498275862075</v>
      </c>
      <c r="G768" s="92">
        <f t="shared" si="321"/>
        <v>103731.47586206898</v>
      </c>
      <c r="H768" s="92">
        <f t="shared" si="321"/>
        <v>125171.26206896553</v>
      </c>
      <c r="I768" s="108">
        <f>'NOGAL '!$B768+'NOGAL '!$C768+'NOGAL '!$D768+'NOGAL '!$E768+'NOGAL '!$F768+'NOGAL '!$G768+'NOGAL '!$H768</f>
        <v>610258.61896551726</v>
      </c>
      <c r="J768" s="300">
        <f>'NOGAL '!$I768/7</f>
        <v>87179.802709359603</v>
      </c>
    </row>
    <row r="769" spans="1:10" s="71" customFormat="1" x14ac:dyDescent="0.25">
      <c r="A769" s="77" t="s">
        <v>27</v>
      </c>
      <c r="B769" s="255">
        <f t="shared" ref="B769:H769" si="322">B772*B762</f>
        <v>344481.5948275862</v>
      </c>
      <c r="C769" s="133">
        <f t="shared" si="322"/>
        <v>352880.72413793107</v>
      </c>
      <c r="D769" s="133">
        <f t="shared" si="322"/>
        <v>654454.33103448292</v>
      </c>
      <c r="E769" s="299">
        <f t="shared" si="322"/>
        <v>485684.57931034482</v>
      </c>
      <c r="F769" s="134">
        <f t="shared" si="322"/>
        <v>249166.66206896555</v>
      </c>
      <c r="G769" s="92">
        <f t="shared" si="322"/>
        <v>363060.16551724146</v>
      </c>
      <c r="H769" s="92">
        <f t="shared" si="322"/>
        <v>625856.31034482771</v>
      </c>
      <c r="I769" s="108">
        <f>'NOGAL '!$B769+'NOGAL '!$C769+'NOGAL '!$D769+'NOGAL '!$E769+'NOGAL '!$F769+'NOGAL '!$G769+'NOGAL '!$H769</f>
        <v>3075584.3672413798</v>
      </c>
      <c r="J769" s="300">
        <f>'NOGAL '!$I769/7</f>
        <v>439369.19532019709</v>
      </c>
    </row>
    <row r="770" spans="1:10" s="71" customFormat="1" x14ac:dyDescent="0.25">
      <c r="A770" s="77" t="s">
        <v>28</v>
      </c>
      <c r="B770" s="255">
        <f t="shared" ref="B770:H770" si="323">B772*B763</f>
        <v>219215.56034482762</v>
      </c>
      <c r="C770" s="133">
        <f t="shared" si="323"/>
        <v>247016.50689655176</v>
      </c>
      <c r="D770" s="133">
        <f t="shared" si="323"/>
        <v>186986.95172413797</v>
      </c>
      <c r="E770" s="299">
        <f t="shared" si="323"/>
        <v>212487.00344827588</v>
      </c>
      <c r="F770" s="134">
        <f t="shared" si="323"/>
        <v>155729.16379310348</v>
      </c>
      <c r="G770" s="92">
        <f t="shared" si="323"/>
        <v>414925.90344827593</v>
      </c>
      <c r="H770" s="92">
        <f t="shared" si="323"/>
        <v>312928.15517241386</v>
      </c>
      <c r="I770" s="108">
        <f>'NOGAL '!$B770+'NOGAL '!$C770+'NOGAL '!$D770+'NOGAL '!$E770+'NOGAL '!$F770+'NOGAL '!$G770+'NOGAL '!$H770</f>
        <v>1749289.2448275867</v>
      </c>
      <c r="J770" s="300">
        <f>'NOGAL '!$I770/7</f>
        <v>249898.4635467981</v>
      </c>
    </row>
    <row r="771" spans="1:10" s="71" customFormat="1" x14ac:dyDescent="0.25">
      <c r="A771" s="77" t="s">
        <v>29</v>
      </c>
      <c r="B771" s="255">
        <f t="shared" ref="B771:H771" si="324">B772*B764</f>
        <v>0</v>
      </c>
      <c r="C771" s="133">
        <f t="shared" si="324"/>
        <v>0</v>
      </c>
      <c r="D771" s="133">
        <f t="shared" si="324"/>
        <v>0</v>
      </c>
      <c r="E771" s="299">
        <f t="shared" si="324"/>
        <v>0</v>
      </c>
      <c r="F771" s="134">
        <f t="shared" si="324"/>
        <v>0</v>
      </c>
      <c r="G771" s="92">
        <f t="shared" si="324"/>
        <v>0</v>
      </c>
      <c r="H771" s="92">
        <f t="shared" si="324"/>
        <v>0</v>
      </c>
      <c r="I771" s="108">
        <f>'NOGAL '!$B771+'NOGAL '!$C771+'NOGAL '!$D771+'NOGAL '!$E771+'NOGAL '!$F771+'NOGAL '!$G771+'NOGAL '!$H771</f>
        <v>0</v>
      </c>
      <c r="J771" s="300">
        <f>'NOGAL '!$I771/7</f>
        <v>0</v>
      </c>
    </row>
    <row r="772" spans="1:10" s="71" customFormat="1" x14ac:dyDescent="0.25">
      <c r="A772" s="82" t="s">
        <v>30</v>
      </c>
      <c r="B772" s="222">
        <f>(3820200/1.16)-B773</f>
        <v>3131650.8620689656</v>
      </c>
      <c r="C772" s="222">
        <f>(4298400/1.16)-C773</f>
        <v>3528807.2413793104</v>
      </c>
      <c r="D772" s="222">
        <f>(5692600/1.16)-D773</f>
        <v>4674673.793103449</v>
      </c>
      <c r="E772" s="222">
        <f>(3686200/1.16)-E773</f>
        <v>3035528.6206896552</v>
      </c>
      <c r="F772" s="222">
        <f>(3820400/1.16)-F773</f>
        <v>3114583.2758620693</v>
      </c>
      <c r="G772" s="222">
        <f>(6336400/1.16)-G773</f>
        <v>5186573.793103449</v>
      </c>
      <c r="H772" s="222">
        <f>(7674900/1.16)-H773</f>
        <v>6258563.1034482764</v>
      </c>
      <c r="I772" s="111">
        <f>SUM(I767:I771)</f>
        <v>28930380.689655174</v>
      </c>
      <c r="J772" s="361">
        <f>'NOGAL '!$I772/7</f>
        <v>4132911.5270935963</v>
      </c>
    </row>
    <row r="773" spans="1:10" s="71" customFormat="1" x14ac:dyDescent="0.25">
      <c r="A773" s="77" t="s">
        <v>31</v>
      </c>
      <c r="B773" s="263">
        <f t="shared" ref="B773:G773" si="325">2155*B754</f>
        <v>161625</v>
      </c>
      <c r="C773" s="139">
        <f t="shared" si="325"/>
        <v>176710</v>
      </c>
      <c r="D773" s="139">
        <f t="shared" si="325"/>
        <v>232740</v>
      </c>
      <c r="E773" s="113">
        <f t="shared" si="325"/>
        <v>142230</v>
      </c>
      <c r="F773" s="112">
        <f t="shared" si="325"/>
        <v>178865</v>
      </c>
      <c r="G773" s="94">
        <f t="shared" si="325"/>
        <v>275840</v>
      </c>
      <c r="H773" s="94">
        <f>2155*H754</f>
        <v>357730</v>
      </c>
      <c r="I773" s="109">
        <f>2155*I754</f>
        <v>1525740</v>
      </c>
      <c r="J773" s="302">
        <f>2155*J754</f>
        <v>217962.85714285713</v>
      </c>
    </row>
    <row r="774" spans="1:10" s="71" customFormat="1" x14ac:dyDescent="0.25">
      <c r="A774" s="83" t="s">
        <v>32</v>
      </c>
      <c r="B774" s="411">
        <f>B772+B773</f>
        <v>3293275.8620689656</v>
      </c>
      <c r="C774" s="40">
        <f>C772+C773</f>
        <v>3705517.2413793104</v>
      </c>
      <c r="D774" s="40">
        <f t="shared" ref="D774:J774" si="326">D772+D773</f>
        <v>4907413.793103449</v>
      </c>
      <c r="E774" s="399">
        <f t="shared" si="326"/>
        <v>3177758.6206896552</v>
      </c>
      <c r="F774" s="140">
        <f t="shared" si="326"/>
        <v>3293448.2758620693</v>
      </c>
      <c r="G774" s="39">
        <f t="shared" si="326"/>
        <v>5462413.793103449</v>
      </c>
      <c r="H774" s="39">
        <f t="shared" si="326"/>
        <v>6616293.1034482764</v>
      </c>
      <c r="I774" s="412">
        <f t="shared" si="326"/>
        <v>30456120.689655174</v>
      </c>
      <c r="J774" s="364">
        <f t="shared" si="326"/>
        <v>4350874.3842364531</v>
      </c>
    </row>
    <row r="775" spans="1:10" s="71" customFormat="1" x14ac:dyDescent="0.25">
      <c r="A775" s="77" t="s">
        <v>33</v>
      </c>
      <c r="B775" s="413">
        <f>B774*16%</f>
        <v>526924.13793103455</v>
      </c>
      <c r="C775" s="42">
        <f>C774*16%</f>
        <v>592882.75862068962</v>
      </c>
      <c r="D775" s="42">
        <f t="shared" ref="D775:J775" si="327">D774*16%</f>
        <v>785186.20689655188</v>
      </c>
      <c r="E775" s="400">
        <f t="shared" si="327"/>
        <v>508441.37931034487</v>
      </c>
      <c r="F775" s="141">
        <f t="shared" si="327"/>
        <v>526951.72413793113</v>
      </c>
      <c r="G775" s="41">
        <f t="shared" si="327"/>
        <v>873986.20689655188</v>
      </c>
      <c r="H775" s="41">
        <f t="shared" si="327"/>
        <v>1058606.8965517243</v>
      </c>
      <c r="I775" s="414">
        <f t="shared" si="327"/>
        <v>4872979.3103448283</v>
      </c>
      <c r="J775" s="415">
        <f t="shared" si="327"/>
        <v>696139.90147783246</v>
      </c>
    </row>
    <row r="776" spans="1:10" s="71" customFormat="1" x14ac:dyDescent="0.25">
      <c r="A776" s="142" t="s">
        <v>34</v>
      </c>
      <c r="B776" s="438">
        <f t="shared" ref="B776:H776" si="328">B774+B775</f>
        <v>3820200</v>
      </c>
      <c r="C776" s="143">
        <f t="shared" si="328"/>
        <v>4298400</v>
      </c>
      <c r="D776" s="143">
        <f t="shared" si="328"/>
        <v>5692600.0000000009</v>
      </c>
      <c r="E776" s="439">
        <f t="shared" si="328"/>
        <v>3686200</v>
      </c>
      <c r="F776" s="145">
        <f t="shared" si="328"/>
        <v>3820400.0000000005</v>
      </c>
      <c r="G776" s="144">
        <f t="shared" si="328"/>
        <v>6336400.0000000009</v>
      </c>
      <c r="H776" s="144">
        <f t="shared" si="328"/>
        <v>7674900.0000000009</v>
      </c>
      <c r="I776" s="440">
        <f>+I774+I775</f>
        <v>35329100</v>
      </c>
      <c r="J776" s="441">
        <f>'NOGAL '!$I776/7</f>
        <v>5047014.2857142854</v>
      </c>
    </row>
    <row r="777" spans="1:10" s="71" customFormat="1" ht="15.75" thickBot="1" x14ac:dyDescent="0.3">
      <c r="A777" s="69"/>
      <c r="B777" s="424"/>
      <c r="C777" s="424"/>
      <c r="D777" s="424"/>
      <c r="E777" s="424"/>
      <c r="F777" s="424"/>
      <c r="G777" s="424"/>
      <c r="H777" s="424"/>
      <c r="I777" s="424"/>
      <c r="J777" s="424"/>
    </row>
    <row r="778" spans="1:10" s="71" customFormat="1" ht="26.25" x14ac:dyDescent="0.25">
      <c r="A778" s="85"/>
      <c r="B778" s="1002" t="s">
        <v>369</v>
      </c>
      <c r="C778" s="1002"/>
      <c r="D778" s="1002"/>
      <c r="E778" s="1002"/>
      <c r="F778" s="1002"/>
      <c r="G778" s="1002"/>
      <c r="H778" s="1002"/>
      <c r="I778" s="1002"/>
      <c r="J778" s="85"/>
    </row>
    <row r="779" spans="1:10" s="71" customFormat="1" ht="15.75" x14ac:dyDescent="0.25">
      <c r="A779" s="72" t="s">
        <v>2</v>
      </c>
      <c r="B779" s="121" t="s">
        <v>123</v>
      </c>
      <c r="C779" s="121" t="s">
        <v>124</v>
      </c>
      <c r="D779" s="121" t="s">
        <v>125</v>
      </c>
      <c r="E779" s="121" t="s">
        <v>126</v>
      </c>
      <c r="F779" s="121" t="s">
        <v>127</v>
      </c>
      <c r="G779" s="121" t="s">
        <v>128</v>
      </c>
      <c r="H779" s="121" t="s">
        <v>272</v>
      </c>
      <c r="I779" s="153" t="s">
        <v>10</v>
      </c>
      <c r="J779" s="421" t="s">
        <v>77</v>
      </c>
    </row>
    <row r="780" spans="1:10" s="71" customFormat="1" x14ac:dyDescent="0.25">
      <c r="A780" s="430" t="s">
        <v>11</v>
      </c>
      <c r="B780" s="431">
        <v>119</v>
      </c>
      <c r="C780" s="432">
        <v>124</v>
      </c>
      <c r="D780" s="433">
        <v>139</v>
      </c>
      <c r="E780" s="434">
        <v>166</v>
      </c>
      <c r="F780" s="434">
        <v>349</v>
      </c>
      <c r="G780" s="435">
        <v>321</v>
      </c>
      <c r="H780" s="434">
        <v>353</v>
      </c>
      <c r="I780" s="435">
        <f>SUM(B780:H780)</f>
        <v>1571</v>
      </c>
      <c r="J780" s="437">
        <f>'NOGAL '!$I780/7</f>
        <v>224.42857142857142</v>
      </c>
    </row>
    <row r="781" spans="1:10" s="71" customFormat="1" x14ac:dyDescent="0.25">
      <c r="A781" s="77" t="s">
        <v>12</v>
      </c>
      <c r="B781" s="233">
        <v>78</v>
      </c>
      <c r="C781" s="13">
        <v>73</v>
      </c>
      <c r="D781" s="13">
        <v>80</v>
      </c>
      <c r="E781" s="395">
        <v>93</v>
      </c>
      <c r="F781" s="395">
        <v>194</v>
      </c>
      <c r="G781" s="125">
        <v>197</v>
      </c>
      <c r="H781" s="11">
        <v>223</v>
      </c>
      <c r="I781" s="403">
        <f>B781+C781+D781+E781+F781+G781+H781</f>
        <v>938</v>
      </c>
      <c r="J781" s="292">
        <f>'NOGAL '!$I781/7</f>
        <v>134</v>
      </c>
    </row>
    <row r="782" spans="1:10" s="71" customFormat="1" x14ac:dyDescent="0.25">
      <c r="A782" s="77" t="s">
        <v>13</v>
      </c>
      <c r="B782" s="233">
        <v>0</v>
      </c>
      <c r="C782" s="13">
        <v>1</v>
      </c>
      <c r="D782" s="13">
        <v>0</v>
      </c>
      <c r="E782" s="395">
        <v>2</v>
      </c>
      <c r="F782" s="395">
        <v>3</v>
      </c>
      <c r="G782" s="125">
        <v>6</v>
      </c>
      <c r="H782" s="11">
        <v>5</v>
      </c>
      <c r="I782" s="403">
        <f>B782+C782+D782+E782+F782+G782+H782</f>
        <v>17</v>
      </c>
      <c r="J782" s="292">
        <f>C782+D782+E782+F782+G782+H782+I782</f>
        <v>34</v>
      </c>
    </row>
    <row r="783" spans="1:10" s="71" customFormat="1" x14ac:dyDescent="0.25">
      <c r="A783" s="77" t="s">
        <v>14</v>
      </c>
      <c r="B783" s="233">
        <v>13</v>
      </c>
      <c r="C783" s="13">
        <v>16</v>
      </c>
      <c r="D783" s="13">
        <v>17</v>
      </c>
      <c r="E783" s="395">
        <v>31</v>
      </c>
      <c r="F783" s="395">
        <v>45</v>
      </c>
      <c r="G783" s="125">
        <v>25</v>
      </c>
      <c r="H783" s="11">
        <v>30</v>
      </c>
      <c r="I783" s="403">
        <f>B783+C783+D783+E783+F783+G783+H783</f>
        <v>177</v>
      </c>
      <c r="J783" s="292">
        <f>'NOGAL '!$I783/7</f>
        <v>25.285714285714285</v>
      </c>
    </row>
    <row r="784" spans="1:10" s="71" customFormat="1" x14ac:dyDescent="0.25">
      <c r="A784" s="77" t="s">
        <v>15</v>
      </c>
      <c r="B784" s="233">
        <v>5</v>
      </c>
      <c r="C784" s="13">
        <v>5</v>
      </c>
      <c r="D784" s="13">
        <v>5</v>
      </c>
      <c r="E784" s="395">
        <v>5</v>
      </c>
      <c r="F784" s="395">
        <v>7</v>
      </c>
      <c r="G784" s="125">
        <v>12</v>
      </c>
      <c r="H784" s="11">
        <v>12</v>
      </c>
      <c r="I784" s="403">
        <f>B784+C784+D784+E784+F784+G784+H784</f>
        <v>51</v>
      </c>
      <c r="J784" s="292">
        <f>'NOGAL '!$I784/7</f>
        <v>7.2857142857142856</v>
      </c>
    </row>
    <row r="785" spans="1:10" s="71" customFormat="1" x14ac:dyDescent="0.25">
      <c r="A785" s="77" t="s">
        <v>16</v>
      </c>
      <c r="B785" s="233">
        <v>0</v>
      </c>
      <c r="C785" s="13">
        <v>1</v>
      </c>
      <c r="D785" s="13">
        <v>0</v>
      </c>
      <c r="E785" s="395">
        <v>0</v>
      </c>
      <c r="F785" s="395">
        <v>1</v>
      </c>
      <c r="G785" s="125">
        <v>0</v>
      </c>
      <c r="H785" s="11">
        <v>1</v>
      </c>
      <c r="I785" s="403">
        <f>B785+C785+D785+E785+F785+G785+H785</f>
        <v>3</v>
      </c>
      <c r="J785" s="292">
        <f>'NOGAL '!$I785/7</f>
        <v>0.42857142857142855</v>
      </c>
    </row>
    <row r="786" spans="1:10" s="71" customFormat="1" x14ac:dyDescent="0.25">
      <c r="A786" s="79" t="s">
        <v>17</v>
      </c>
      <c r="B786" s="102">
        <f>SUM(B781:B785)</f>
        <v>96</v>
      </c>
      <c r="C786" s="79">
        <f t="shared" ref="C786:H786" si="329">SUM(C781:C785)</f>
        <v>96</v>
      </c>
      <c r="D786" s="79">
        <f t="shared" si="329"/>
        <v>102</v>
      </c>
      <c r="E786" s="248">
        <f t="shared" si="329"/>
        <v>131</v>
      </c>
      <c r="F786" s="15">
        <f t="shared" si="329"/>
        <v>250</v>
      </c>
      <c r="G786" s="79">
        <f t="shared" si="329"/>
        <v>240</v>
      </c>
      <c r="H786" s="79">
        <f t="shared" si="329"/>
        <v>271</v>
      </c>
      <c r="I786" s="404">
        <f>SUM(I781:I785)</f>
        <v>1186</v>
      </c>
      <c r="J786" s="405">
        <f>'NOGAL '!$I786/7</f>
        <v>169.42857142857142</v>
      </c>
    </row>
    <row r="787" spans="1:10" s="71" customFormat="1" x14ac:dyDescent="0.25">
      <c r="A787" s="77" t="s">
        <v>18</v>
      </c>
      <c r="B787" s="445">
        <v>0.89</v>
      </c>
      <c r="C787" s="235">
        <v>0.82</v>
      </c>
      <c r="D787" s="235">
        <v>0.87</v>
      </c>
      <c r="E787" s="236">
        <v>0.78</v>
      </c>
      <c r="F787" s="236">
        <v>0.83</v>
      </c>
      <c r="G787" s="236">
        <v>0.87</v>
      </c>
      <c r="H787" s="236">
        <v>0.88</v>
      </c>
      <c r="I787" s="105">
        <f>I794/I799</f>
        <v>0.85162275946897348</v>
      </c>
      <c r="J787" s="297">
        <f>J794/J799</f>
        <v>0.85162275946897348</v>
      </c>
    </row>
    <row r="788" spans="1:10" s="71" customFormat="1" x14ac:dyDescent="0.25">
      <c r="A788" s="77" t="s">
        <v>19</v>
      </c>
      <c r="B788" s="445">
        <v>0</v>
      </c>
      <c r="C788" s="235">
        <v>0.01</v>
      </c>
      <c r="D788" s="235">
        <v>0</v>
      </c>
      <c r="E788" s="236">
        <v>0.01</v>
      </c>
      <c r="F788" s="236">
        <v>0.01</v>
      </c>
      <c r="G788" s="236">
        <v>0.02</v>
      </c>
      <c r="H788" s="236">
        <v>0.02</v>
      </c>
      <c r="I788" s="105">
        <f>I795/I799</f>
        <v>1.2687136392645468E-2</v>
      </c>
      <c r="J788" s="297">
        <f>J795/J799</f>
        <v>1.2687136392645466E-2</v>
      </c>
    </row>
    <row r="789" spans="1:10" s="71" customFormat="1" x14ac:dyDescent="0.25">
      <c r="A789" s="77" t="s">
        <v>20</v>
      </c>
      <c r="B789" s="445">
        <v>0.08</v>
      </c>
      <c r="C789" s="235">
        <v>0.1</v>
      </c>
      <c r="D789" s="235">
        <v>0.08</v>
      </c>
      <c r="E789" s="236">
        <v>0.19</v>
      </c>
      <c r="F789" s="236">
        <v>0.14000000000000001</v>
      </c>
      <c r="G789" s="236">
        <v>0.06</v>
      </c>
      <c r="H789" s="236">
        <v>0.06</v>
      </c>
      <c r="I789" s="105">
        <f>I796/I799</f>
        <v>9.7570055726191138E-2</v>
      </c>
      <c r="J789" s="297">
        <f>J796/J799</f>
        <v>9.7570055726191152E-2</v>
      </c>
    </row>
    <row r="790" spans="1:10" s="71" customFormat="1" x14ac:dyDescent="0.25">
      <c r="A790" s="77" t="s">
        <v>21</v>
      </c>
      <c r="B790" s="445">
        <v>0.03</v>
      </c>
      <c r="C790" s="235">
        <v>0.04</v>
      </c>
      <c r="D790" s="235">
        <v>0.05</v>
      </c>
      <c r="E790" s="236">
        <v>0.02</v>
      </c>
      <c r="F790" s="236">
        <v>0.02</v>
      </c>
      <c r="G790" s="236">
        <v>0.05</v>
      </c>
      <c r="H790" s="236">
        <v>0.04</v>
      </c>
      <c r="I790" s="105">
        <f>I797/I799</f>
        <v>3.5823476801141903E-2</v>
      </c>
      <c r="J790" s="297">
        <f>J797/J799</f>
        <v>3.5823476801141903E-2</v>
      </c>
    </row>
    <row r="791" spans="1:10" s="71" customFormat="1" x14ac:dyDescent="0.25">
      <c r="A791" s="77" t="s">
        <v>22</v>
      </c>
      <c r="B791" s="445">
        <v>0</v>
      </c>
      <c r="C791" s="235">
        <v>0.03</v>
      </c>
      <c r="D791" s="235">
        <v>0</v>
      </c>
      <c r="E791" s="236">
        <v>0</v>
      </c>
      <c r="F791" s="236">
        <v>0</v>
      </c>
      <c r="G791" s="236">
        <v>0</v>
      </c>
      <c r="H791" s="236">
        <v>0</v>
      </c>
      <c r="I791" s="105">
        <f>I798/I799</f>
        <v>2.296571611047946E-3</v>
      </c>
      <c r="J791" s="297">
        <f>J798/J799</f>
        <v>2.296571611047946E-3</v>
      </c>
    </row>
    <row r="792" spans="1:10" s="71" customFormat="1" x14ac:dyDescent="0.25">
      <c r="A792" s="81" t="s">
        <v>23</v>
      </c>
      <c r="B792" s="409">
        <f t="shared" ref="B792:J792" si="330">B803/B786</f>
        <v>34517.708333333336</v>
      </c>
      <c r="C792" s="131">
        <f t="shared" si="330"/>
        <v>36700</v>
      </c>
      <c r="D792" s="131">
        <f t="shared" si="330"/>
        <v>42028.431372549021</v>
      </c>
      <c r="E792" s="397">
        <f t="shared" si="330"/>
        <v>36723.664122137408</v>
      </c>
      <c r="F792" s="132">
        <f t="shared" si="330"/>
        <v>40270.80000000001</v>
      </c>
      <c r="G792" s="130">
        <f t="shared" si="330"/>
        <v>40084.166666666664</v>
      </c>
      <c r="H792" s="130">
        <f t="shared" si="330"/>
        <v>38235.79335793358</v>
      </c>
      <c r="I792" s="359">
        <f t="shared" si="330"/>
        <v>38772.68128161889</v>
      </c>
      <c r="J792" s="314">
        <f t="shared" si="330"/>
        <v>38772.681281618898</v>
      </c>
    </row>
    <row r="793" spans="1:10" s="71" customFormat="1" x14ac:dyDescent="0.25">
      <c r="A793" s="81" t="s">
        <v>24</v>
      </c>
      <c r="B793" s="409">
        <f t="shared" ref="B793:J793" si="331">B803/B780</f>
        <v>27846.218487394963</v>
      </c>
      <c r="C793" s="131">
        <f t="shared" si="331"/>
        <v>28412.903225806451</v>
      </c>
      <c r="D793" s="131">
        <f t="shared" si="331"/>
        <v>30841.007194244605</v>
      </c>
      <c r="E793" s="397">
        <f t="shared" si="331"/>
        <v>28980.722891566271</v>
      </c>
      <c r="F793" s="132">
        <f t="shared" si="331"/>
        <v>28847.277936962757</v>
      </c>
      <c r="G793" s="130">
        <f t="shared" si="331"/>
        <v>29969.470404984422</v>
      </c>
      <c r="H793" s="130">
        <f t="shared" si="331"/>
        <v>29353.824362606232</v>
      </c>
      <c r="I793" s="359">
        <f t="shared" si="331"/>
        <v>29270.782940802041</v>
      </c>
      <c r="J793" s="314">
        <f t="shared" si="331"/>
        <v>29270.782940802044</v>
      </c>
    </row>
    <row r="794" spans="1:10" s="71" customFormat="1" x14ac:dyDescent="0.25">
      <c r="A794" s="77" t="s">
        <v>25</v>
      </c>
      <c r="B794" s="255">
        <f t="shared" ref="B794:H794" si="332">B799*B787</f>
        <v>2392807.65862069</v>
      </c>
      <c r="C794" s="133">
        <f t="shared" si="332"/>
        <v>2361539.6310344827</v>
      </c>
      <c r="D794" s="133">
        <f t="shared" si="332"/>
        <v>3065187</v>
      </c>
      <c r="E794" s="299">
        <f t="shared" si="332"/>
        <v>3078524.5758620696</v>
      </c>
      <c r="F794" s="134">
        <f t="shared" si="332"/>
        <v>6856614.8310344834</v>
      </c>
      <c r="G794" s="92">
        <f t="shared" si="332"/>
        <v>6845804.5500000007</v>
      </c>
      <c r="H794" s="92">
        <f t="shared" si="332"/>
        <v>7437854.5241379309</v>
      </c>
      <c r="I794" s="108">
        <f>'NOGAL '!$B794+'NOGAL '!$C794+'NOGAL '!$D794+'NOGAL '!$E794+'NOGAL '!$F794+'NOGAL '!$G794+'NOGAL '!$H794</f>
        <v>32038332.770689659</v>
      </c>
      <c r="J794" s="300">
        <f>'NOGAL '!$I794/7</f>
        <v>4576904.681527094</v>
      </c>
    </row>
    <row r="795" spans="1:10" s="71" customFormat="1" x14ac:dyDescent="0.25">
      <c r="A795" s="77" t="s">
        <v>26</v>
      </c>
      <c r="B795" s="255">
        <f t="shared" ref="B795:H795" si="333">B799*B788</f>
        <v>0</v>
      </c>
      <c r="C795" s="133">
        <f t="shared" si="333"/>
        <v>28799.263793103448</v>
      </c>
      <c r="D795" s="133">
        <f t="shared" si="333"/>
        <v>0</v>
      </c>
      <c r="E795" s="299">
        <f t="shared" si="333"/>
        <v>39468.263793103455</v>
      </c>
      <c r="F795" s="134">
        <f t="shared" si="333"/>
        <v>82609.817241379322</v>
      </c>
      <c r="G795" s="92">
        <f t="shared" si="333"/>
        <v>157374.81724137932</v>
      </c>
      <c r="H795" s="92">
        <f t="shared" si="333"/>
        <v>169042.14827586207</v>
      </c>
      <c r="I795" s="108">
        <f>'NOGAL '!$B795+'NOGAL '!$C795+'NOGAL '!$D795+'NOGAL '!$E795+'NOGAL '!$F795+'NOGAL '!$G795+'NOGAL '!$H795</f>
        <v>477294.31034482759</v>
      </c>
      <c r="J795" s="300">
        <f>'NOGAL '!$I795/7</f>
        <v>68184.901477832507</v>
      </c>
    </row>
    <row r="796" spans="1:10" s="71" customFormat="1" x14ac:dyDescent="0.25">
      <c r="A796" s="77" t="s">
        <v>27</v>
      </c>
      <c r="B796" s="255">
        <f t="shared" ref="B796:H796" si="334">B799*B789</f>
        <v>215083.83448275866</v>
      </c>
      <c r="C796" s="133">
        <f t="shared" si="334"/>
        <v>287992.63793103449</v>
      </c>
      <c r="D796" s="133">
        <f t="shared" si="334"/>
        <v>281856.27586206899</v>
      </c>
      <c r="E796" s="299">
        <f t="shared" si="334"/>
        <v>749897.01206896559</v>
      </c>
      <c r="F796" s="134">
        <f t="shared" si="334"/>
        <v>1156537.4413793106</v>
      </c>
      <c r="G796" s="92">
        <f t="shared" si="334"/>
        <v>472124.45172413794</v>
      </c>
      <c r="H796" s="92">
        <f t="shared" si="334"/>
        <v>507126.44482758618</v>
      </c>
      <c r="I796" s="108">
        <f>'NOGAL '!$B796+'NOGAL '!$C796+'NOGAL '!$D796+'NOGAL '!$E796+'NOGAL '!$F796+'NOGAL '!$G796+'NOGAL '!$H796</f>
        <v>3670618.0982758626</v>
      </c>
      <c r="J796" s="300">
        <f>'NOGAL '!$I796/7</f>
        <v>524374.014039409</v>
      </c>
    </row>
    <row r="797" spans="1:10" s="71" customFormat="1" x14ac:dyDescent="0.25">
      <c r="A797" s="77" t="s">
        <v>28</v>
      </c>
      <c r="B797" s="255">
        <f t="shared" ref="B797:H797" si="335">B799*B790</f>
        <v>80656.437931034481</v>
      </c>
      <c r="C797" s="133">
        <f t="shared" si="335"/>
        <v>115197.05517241379</v>
      </c>
      <c r="D797" s="133">
        <f t="shared" si="335"/>
        <v>176160.17241379313</v>
      </c>
      <c r="E797" s="299">
        <f t="shared" si="335"/>
        <v>78936.52758620691</v>
      </c>
      <c r="F797" s="134">
        <f t="shared" si="335"/>
        <v>165219.63448275864</v>
      </c>
      <c r="G797" s="92">
        <f t="shared" si="335"/>
        <v>393437.04310344835</v>
      </c>
      <c r="H797" s="92">
        <f t="shared" si="335"/>
        <v>338084.29655172414</v>
      </c>
      <c r="I797" s="108">
        <f>'NOGAL '!$B797+'NOGAL '!$C797+'NOGAL '!$D797+'NOGAL '!$E797+'NOGAL '!$F797+'NOGAL '!$G797+'NOGAL '!$H797</f>
        <v>1347691.1672413794</v>
      </c>
      <c r="J797" s="300">
        <f>'NOGAL '!$I797/7</f>
        <v>192527.30960591134</v>
      </c>
    </row>
    <row r="798" spans="1:10" s="71" customFormat="1" x14ac:dyDescent="0.25">
      <c r="A798" s="77" t="s">
        <v>29</v>
      </c>
      <c r="B798" s="255">
        <f t="shared" ref="B798:H798" si="336">B799*B791</f>
        <v>0</v>
      </c>
      <c r="C798" s="133">
        <f t="shared" si="336"/>
        <v>86397.791379310336</v>
      </c>
      <c r="D798" s="133">
        <f t="shared" si="336"/>
        <v>0</v>
      </c>
      <c r="E798" s="299">
        <f t="shared" si="336"/>
        <v>0</v>
      </c>
      <c r="F798" s="134">
        <f t="shared" si="336"/>
        <v>0</v>
      </c>
      <c r="G798" s="92">
        <f t="shared" si="336"/>
        <v>0</v>
      </c>
      <c r="H798" s="92">
        <f t="shared" si="336"/>
        <v>0</v>
      </c>
      <c r="I798" s="108">
        <f>'NOGAL '!$B798+'NOGAL '!$C798+'NOGAL '!$D798+'NOGAL '!$E798+'NOGAL '!$F798+'NOGAL '!$G798+'NOGAL '!$H798</f>
        <v>86397.791379310336</v>
      </c>
      <c r="J798" s="300">
        <f>'NOGAL '!$I798/7</f>
        <v>12342.541625615762</v>
      </c>
    </row>
    <row r="799" spans="1:10" s="71" customFormat="1" x14ac:dyDescent="0.25">
      <c r="A799" s="82" t="s">
        <v>30</v>
      </c>
      <c r="B799" s="222">
        <f>(3313700/1.16)-B800</f>
        <v>2688547.931034483</v>
      </c>
      <c r="C799" s="222">
        <f>(3523200/1.16)-C800</f>
        <v>2879926.3793103448</v>
      </c>
      <c r="D799" s="222">
        <f>(4286900/1.16)-D800</f>
        <v>3523203.4482758623</v>
      </c>
      <c r="E799" s="222">
        <f>(4810800/1.16)-E800</f>
        <v>3946826.3793103453</v>
      </c>
      <c r="F799" s="222">
        <f>(10067700/1.16)-F800</f>
        <v>8260981.7241379321</v>
      </c>
      <c r="G799" s="222">
        <f>(9620200/1.16)-G800</f>
        <v>7868740.862068966</v>
      </c>
      <c r="H799" s="222">
        <f>(10361900/1.16)-H800</f>
        <v>8452107.4137931038</v>
      </c>
      <c r="I799" s="111">
        <f>SUM(I794:I798)</f>
        <v>37620334.137931041</v>
      </c>
      <c r="J799" s="361">
        <f>'NOGAL '!$I799/7</f>
        <v>5374333.4482758632</v>
      </c>
    </row>
    <row r="800" spans="1:10" s="71" customFormat="1" x14ac:dyDescent="0.25">
      <c r="A800" s="77" t="s">
        <v>31</v>
      </c>
      <c r="B800" s="263">
        <f t="shared" ref="B800:G800" si="337">2155*B781</f>
        <v>168090</v>
      </c>
      <c r="C800" s="139">
        <f t="shared" si="337"/>
        <v>157315</v>
      </c>
      <c r="D800" s="139">
        <f t="shared" si="337"/>
        <v>172400</v>
      </c>
      <c r="E800" s="113">
        <f t="shared" si="337"/>
        <v>200415</v>
      </c>
      <c r="F800" s="112">
        <f t="shared" si="337"/>
        <v>418070</v>
      </c>
      <c r="G800" s="94">
        <f t="shared" si="337"/>
        <v>424535</v>
      </c>
      <c r="H800" s="94">
        <f>2155*H781</f>
        <v>480565</v>
      </c>
      <c r="I800" s="109">
        <f>2155*I781</f>
        <v>2021390</v>
      </c>
      <c r="J800" s="302">
        <f>2155*J781</f>
        <v>288770</v>
      </c>
    </row>
    <row r="801" spans="1:10" s="71" customFormat="1" x14ac:dyDescent="0.25">
      <c r="A801" s="83" t="s">
        <v>32</v>
      </c>
      <c r="B801" s="411">
        <f>B799+B800</f>
        <v>2856637.931034483</v>
      </c>
      <c r="C801" s="40">
        <f>C799+C800</f>
        <v>3037241.3793103448</v>
      </c>
      <c r="D801" s="40">
        <f t="shared" ref="D801:J801" si="338">D799+D800</f>
        <v>3695603.4482758623</v>
      </c>
      <c r="E801" s="399">
        <f t="shared" si="338"/>
        <v>4147241.3793103453</v>
      </c>
      <c r="F801" s="140">
        <f t="shared" si="338"/>
        <v>8679051.7241379321</v>
      </c>
      <c r="G801" s="39">
        <f t="shared" si="338"/>
        <v>8293275.862068966</v>
      </c>
      <c r="H801" s="39">
        <f t="shared" si="338"/>
        <v>8932672.4137931038</v>
      </c>
      <c r="I801" s="412">
        <f t="shared" si="338"/>
        <v>39641724.137931041</v>
      </c>
      <c r="J801" s="364">
        <f t="shared" si="338"/>
        <v>5663103.4482758632</v>
      </c>
    </row>
    <row r="802" spans="1:10" s="71" customFormat="1" x14ac:dyDescent="0.25">
      <c r="A802" s="77" t="s">
        <v>33</v>
      </c>
      <c r="B802" s="413">
        <f>B801*16%</f>
        <v>457062.06896551728</v>
      </c>
      <c r="C802" s="42">
        <f>C801*16%</f>
        <v>485958.62068965519</v>
      </c>
      <c r="D802" s="42">
        <f t="shared" ref="D802:J802" si="339">D801*16%</f>
        <v>591296.55172413797</v>
      </c>
      <c r="E802" s="400">
        <f t="shared" si="339"/>
        <v>663558.6206896553</v>
      </c>
      <c r="F802" s="141">
        <f t="shared" si="339"/>
        <v>1388648.2758620691</v>
      </c>
      <c r="G802" s="41">
        <f t="shared" si="339"/>
        <v>1326924.1379310347</v>
      </c>
      <c r="H802" s="41">
        <f t="shared" si="339"/>
        <v>1429227.5862068967</v>
      </c>
      <c r="I802" s="414">
        <f t="shared" si="339"/>
        <v>6342675.862068967</v>
      </c>
      <c r="J802" s="415">
        <f t="shared" si="339"/>
        <v>906096.55172413809</v>
      </c>
    </row>
    <row r="803" spans="1:10" s="71" customFormat="1" x14ac:dyDescent="0.25">
      <c r="A803" s="142" t="s">
        <v>34</v>
      </c>
      <c r="B803" s="438">
        <f t="shared" ref="B803:H803" si="340">B801+B802</f>
        <v>3313700.0000000005</v>
      </c>
      <c r="C803" s="143">
        <f t="shared" si="340"/>
        <v>3523200</v>
      </c>
      <c r="D803" s="143">
        <f t="shared" si="340"/>
        <v>4286900</v>
      </c>
      <c r="E803" s="439">
        <f t="shared" si="340"/>
        <v>4810800.0000000009</v>
      </c>
      <c r="F803" s="145">
        <f t="shared" si="340"/>
        <v>10067700.000000002</v>
      </c>
      <c r="G803" s="144">
        <f t="shared" si="340"/>
        <v>9620200</v>
      </c>
      <c r="H803" s="144">
        <f t="shared" si="340"/>
        <v>10361900</v>
      </c>
      <c r="I803" s="440">
        <f>+I801+I802</f>
        <v>45984400.000000007</v>
      </c>
      <c r="J803" s="441">
        <f>'NOGAL '!$I803/7</f>
        <v>6569200.0000000009</v>
      </c>
    </row>
    <row r="804" spans="1:10" s="71" customFormat="1" ht="15.75" thickBot="1" x14ac:dyDescent="0.3">
      <c r="A804" s="69"/>
      <c r="B804" s="424"/>
      <c r="C804" s="424"/>
      <c r="D804" s="424"/>
      <c r="E804" s="424"/>
      <c r="F804" s="424"/>
      <c r="G804" s="424"/>
      <c r="H804" s="424"/>
      <c r="I804" s="424"/>
      <c r="J804" s="424"/>
    </row>
    <row r="805" spans="1:10" s="71" customFormat="1" ht="26.25" x14ac:dyDescent="0.25">
      <c r="A805" s="85"/>
      <c r="B805" s="1002" t="s">
        <v>370</v>
      </c>
      <c r="C805" s="1002"/>
      <c r="D805" s="1002"/>
      <c r="E805" s="1002"/>
      <c r="F805" s="1002"/>
      <c r="G805" s="1002"/>
      <c r="H805" s="1002"/>
      <c r="I805" s="1002"/>
      <c r="J805" s="85"/>
    </row>
    <row r="806" spans="1:10" s="71" customFormat="1" ht="15.75" x14ac:dyDescent="0.25">
      <c r="A806" s="72" t="s">
        <v>2</v>
      </c>
      <c r="B806" s="121" t="s">
        <v>274</v>
      </c>
      <c r="C806" s="121" t="s">
        <v>275</v>
      </c>
      <c r="D806" s="121" t="s">
        <v>276</v>
      </c>
      <c r="E806" s="121" t="s">
        <v>277</v>
      </c>
      <c r="F806" s="121" t="s">
        <v>278</v>
      </c>
      <c r="G806" s="121" t="s">
        <v>279</v>
      </c>
      <c r="H806" s="121" t="s">
        <v>280</v>
      </c>
      <c r="I806" s="153" t="s">
        <v>10</v>
      </c>
      <c r="J806" s="421" t="s">
        <v>77</v>
      </c>
    </row>
    <row r="807" spans="1:10" s="71" customFormat="1" x14ac:dyDescent="0.25">
      <c r="A807" s="430" t="s">
        <v>11</v>
      </c>
      <c r="B807" s="431">
        <v>88</v>
      </c>
      <c r="C807" s="432">
        <v>146</v>
      </c>
      <c r="D807" s="433">
        <v>162</v>
      </c>
      <c r="E807" s="434">
        <v>168</v>
      </c>
      <c r="F807" s="434">
        <v>302</v>
      </c>
      <c r="G807" s="435">
        <v>292</v>
      </c>
      <c r="H807" s="434">
        <v>233</v>
      </c>
      <c r="I807" s="435">
        <f>SUM(B807:H807)</f>
        <v>1391</v>
      </c>
      <c r="J807" s="437">
        <f>'NOGAL '!$I807/7</f>
        <v>198.71428571428572</v>
      </c>
    </row>
    <row r="808" spans="1:10" s="71" customFormat="1" x14ac:dyDescent="0.25">
      <c r="A808" s="77" t="s">
        <v>12</v>
      </c>
      <c r="B808" s="233">
        <v>56</v>
      </c>
      <c r="C808" s="13">
        <v>82</v>
      </c>
      <c r="D808" s="13">
        <v>89</v>
      </c>
      <c r="E808" s="395">
        <v>99</v>
      </c>
      <c r="F808" s="395">
        <v>178</v>
      </c>
      <c r="G808" s="125">
        <v>166</v>
      </c>
      <c r="H808" s="11">
        <v>151</v>
      </c>
      <c r="I808" s="403">
        <f>B808+C808+D808+E808+F808+G808+H808</f>
        <v>821</v>
      </c>
      <c r="J808" s="292">
        <f>'NOGAL '!$I808/7</f>
        <v>117.28571428571429</v>
      </c>
    </row>
    <row r="809" spans="1:10" s="71" customFormat="1" x14ac:dyDescent="0.25">
      <c r="A809" s="77" t="s">
        <v>13</v>
      </c>
      <c r="B809" s="233">
        <v>3</v>
      </c>
      <c r="C809" s="13">
        <v>2</v>
      </c>
      <c r="D809" s="13">
        <v>1</v>
      </c>
      <c r="E809" s="395">
        <v>1</v>
      </c>
      <c r="F809" s="395">
        <v>5</v>
      </c>
      <c r="G809" s="125">
        <v>2</v>
      </c>
      <c r="H809" s="11">
        <v>4</v>
      </c>
      <c r="I809" s="403">
        <f>B809+C809+D809+E809+F809+G809+H809</f>
        <v>18</v>
      </c>
      <c r="J809" s="292">
        <f>C809+D809+E809+F809+G809+H809+I809</f>
        <v>33</v>
      </c>
    </row>
    <row r="810" spans="1:10" s="71" customFormat="1" x14ac:dyDescent="0.25">
      <c r="A810" s="77" t="s">
        <v>14</v>
      </c>
      <c r="B810" s="233">
        <v>12</v>
      </c>
      <c r="C810" s="13">
        <v>25</v>
      </c>
      <c r="D810" s="13">
        <v>25</v>
      </c>
      <c r="E810" s="395">
        <v>29</v>
      </c>
      <c r="F810" s="395">
        <v>31</v>
      </c>
      <c r="G810" s="125">
        <v>49</v>
      </c>
      <c r="H810" s="11">
        <v>14</v>
      </c>
      <c r="I810" s="403">
        <f>B810+C810+D810+E810+F810+G810+H810</f>
        <v>185</v>
      </c>
      <c r="J810" s="292">
        <f>'NOGAL '!$I810/7</f>
        <v>26.428571428571427</v>
      </c>
    </row>
    <row r="811" spans="1:10" s="71" customFormat="1" x14ac:dyDescent="0.25">
      <c r="A811" s="77" t="s">
        <v>15</v>
      </c>
      <c r="B811" s="233">
        <v>6</v>
      </c>
      <c r="C811" s="13">
        <v>4</v>
      </c>
      <c r="D811" s="13">
        <v>8</v>
      </c>
      <c r="E811" s="395">
        <v>6</v>
      </c>
      <c r="F811" s="395">
        <v>11</v>
      </c>
      <c r="G811" s="125">
        <v>5</v>
      </c>
      <c r="H811" s="11">
        <v>10</v>
      </c>
      <c r="I811" s="403">
        <f>B811+C811+D811+E811+F811+G811+H811</f>
        <v>50</v>
      </c>
      <c r="J811" s="292">
        <f>'NOGAL '!$I811/7</f>
        <v>7.1428571428571432</v>
      </c>
    </row>
    <row r="812" spans="1:10" s="71" customFormat="1" x14ac:dyDescent="0.25">
      <c r="A812" s="77" t="s">
        <v>16</v>
      </c>
      <c r="B812" s="233">
        <v>0</v>
      </c>
      <c r="C812" s="13">
        <v>0</v>
      </c>
      <c r="D812" s="13">
        <v>0</v>
      </c>
      <c r="E812" s="395">
        <v>0</v>
      </c>
      <c r="F812" s="395">
        <v>0</v>
      </c>
      <c r="G812" s="125">
        <v>0</v>
      </c>
      <c r="H812" s="11">
        <v>0</v>
      </c>
      <c r="I812" s="403">
        <f>B812+C812+D812+E812+F812+G812+H812</f>
        <v>0</v>
      </c>
      <c r="J812" s="292">
        <f>'NOGAL '!$I812/7</f>
        <v>0</v>
      </c>
    </row>
    <row r="813" spans="1:10" s="71" customFormat="1" x14ac:dyDescent="0.25">
      <c r="A813" s="79" t="s">
        <v>17</v>
      </c>
      <c r="B813" s="102">
        <f>SUM(B808:B812)</f>
        <v>77</v>
      </c>
      <c r="C813" s="79">
        <f t="shared" ref="C813:H813" si="341">SUM(C808:C812)</f>
        <v>113</v>
      </c>
      <c r="D813" s="79">
        <f t="shared" si="341"/>
        <v>123</v>
      </c>
      <c r="E813" s="248">
        <f t="shared" si="341"/>
        <v>135</v>
      </c>
      <c r="F813" s="15">
        <f t="shared" si="341"/>
        <v>225</v>
      </c>
      <c r="G813" s="79">
        <f t="shared" si="341"/>
        <v>222</v>
      </c>
      <c r="H813" s="79">
        <f t="shared" si="341"/>
        <v>179</v>
      </c>
      <c r="I813" s="404">
        <f>SUM(I808:I812)</f>
        <v>1074</v>
      </c>
      <c r="J813" s="405">
        <f>'NOGAL '!$I813/7</f>
        <v>153.42857142857142</v>
      </c>
    </row>
    <row r="814" spans="1:10" s="71" customFormat="1" x14ac:dyDescent="0.25">
      <c r="A814" s="77" t="s">
        <v>18</v>
      </c>
      <c r="B814" s="445">
        <v>0.85</v>
      </c>
      <c r="C814" s="235">
        <v>0.81</v>
      </c>
      <c r="D814" s="235">
        <v>0.81</v>
      </c>
      <c r="E814" s="236">
        <v>0.83</v>
      </c>
      <c r="F814" s="236">
        <v>0.85</v>
      </c>
      <c r="G814" s="236">
        <v>0.83</v>
      </c>
      <c r="H814" s="236">
        <v>0.9</v>
      </c>
      <c r="I814" s="105">
        <f>I821/I826</f>
        <v>0.84262105064723558</v>
      </c>
      <c r="J814" s="297">
        <f>J821/J826</f>
        <v>0.84262105064723558</v>
      </c>
    </row>
    <row r="815" spans="1:10" s="71" customFormat="1" x14ac:dyDescent="0.25">
      <c r="A815" s="77" t="s">
        <v>19</v>
      </c>
      <c r="B815" s="445">
        <v>0.02</v>
      </c>
      <c r="C815" s="235">
        <v>0.02</v>
      </c>
      <c r="D815" s="235">
        <v>0.01</v>
      </c>
      <c r="E815" s="236">
        <v>0.01</v>
      </c>
      <c r="F815" s="236">
        <v>0.02</v>
      </c>
      <c r="G815" s="236">
        <v>0.01</v>
      </c>
      <c r="H815" s="236">
        <v>0.03</v>
      </c>
      <c r="I815" s="105">
        <f>I822/I826</f>
        <v>1.7113804429730324E-2</v>
      </c>
      <c r="J815" s="297">
        <f>J822/J826</f>
        <v>1.7113804429730321E-2</v>
      </c>
    </row>
    <row r="816" spans="1:10" s="71" customFormat="1" x14ac:dyDescent="0.25">
      <c r="A816" s="77" t="s">
        <v>20</v>
      </c>
      <c r="B816" s="445">
        <v>0.09</v>
      </c>
      <c r="C816" s="235">
        <v>0.14000000000000001</v>
      </c>
      <c r="D816" s="235">
        <v>0.12</v>
      </c>
      <c r="E816" s="236">
        <v>0.12</v>
      </c>
      <c r="F816" s="236">
        <v>0.1</v>
      </c>
      <c r="G816" s="236">
        <v>0.15</v>
      </c>
      <c r="H816" s="236">
        <v>0.03</v>
      </c>
      <c r="I816" s="105">
        <f>I823/I826</f>
        <v>0.10795706687815751</v>
      </c>
      <c r="J816" s="297">
        <f>J823/J826</f>
        <v>0.10795706687815752</v>
      </c>
    </row>
    <row r="817" spans="1:10" s="71" customFormat="1" x14ac:dyDescent="0.25">
      <c r="A817" s="77" t="s">
        <v>21</v>
      </c>
      <c r="B817" s="445">
        <v>0.04</v>
      </c>
      <c r="C817" s="235">
        <v>0.03</v>
      </c>
      <c r="D817" s="235">
        <v>0.06</v>
      </c>
      <c r="E817" s="236">
        <v>0.04</v>
      </c>
      <c r="F817" s="236">
        <v>0.03</v>
      </c>
      <c r="G817" s="236">
        <v>0.01</v>
      </c>
      <c r="H817" s="236">
        <v>0.04</v>
      </c>
      <c r="I817" s="105">
        <f>I824/I826</f>
        <v>3.2308078044876627E-2</v>
      </c>
      <c r="J817" s="297">
        <f>J824/J826</f>
        <v>3.2308078044876634E-2</v>
      </c>
    </row>
    <row r="818" spans="1:10" s="71" customFormat="1" x14ac:dyDescent="0.25">
      <c r="A818" s="77" t="s">
        <v>22</v>
      </c>
      <c r="B818" s="445">
        <v>0</v>
      </c>
      <c r="C818" s="235">
        <v>0</v>
      </c>
      <c r="D818" s="235">
        <v>0</v>
      </c>
      <c r="E818" s="236">
        <v>0</v>
      </c>
      <c r="F818" s="236">
        <v>0</v>
      </c>
      <c r="G818" s="236">
        <v>0</v>
      </c>
      <c r="H818" s="236">
        <v>0</v>
      </c>
      <c r="I818" s="105">
        <f>I825/I826</f>
        <v>0</v>
      </c>
      <c r="J818" s="297">
        <f>J825/J826</f>
        <v>0</v>
      </c>
    </row>
    <row r="819" spans="1:10" s="71" customFormat="1" x14ac:dyDescent="0.25">
      <c r="A819" s="81" t="s">
        <v>23</v>
      </c>
      <c r="B819" s="409">
        <f t="shared" ref="B819:J819" si="342">B830/B813</f>
        <v>34785.714285714283</v>
      </c>
      <c r="C819" s="131">
        <f t="shared" si="342"/>
        <v>38597.345132743365</v>
      </c>
      <c r="D819" s="131">
        <f t="shared" si="342"/>
        <v>35535.772357723574</v>
      </c>
      <c r="E819" s="397">
        <f t="shared" si="342"/>
        <v>37061.481481481482</v>
      </c>
      <c r="F819" s="132">
        <f t="shared" si="342"/>
        <v>39355.555555555555</v>
      </c>
      <c r="G819" s="130">
        <f t="shared" si="342"/>
        <v>40218.018018018018</v>
      </c>
      <c r="H819" s="130">
        <f t="shared" si="342"/>
        <v>36925.698324022349</v>
      </c>
      <c r="I819" s="359">
        <f t="shared" si="342"/>
        <v>37995.623836126637</v>
      </c>
      <c r="J819" s="314">
        <f t="shared" si="342"/>
        <v>37995.623836126637</v>
      </c>
    </row>
    <row r="820" spans="1:10" s="71" customFormat="1" x14ac:dyDescent="0.25">
      <c r="A820" s="81" t="s">
        <v>24</v>
      </c>
      <c r="B820" s="409">
        <f t="shared" ref="B820:J820" si="343">B830/B807</f>
        <v>30437.5</v>
      </c>
      <c r="C820" s="131">
        <f t="shared" si="343"/>
        <v>29873.287671232876</v>
      </c>
      <c r="D820" s="131">
        <f t="shared" si="343"/>
        <v>26980.864197530864</v>
      </c>
      <c r="E820" s="397">
        <f t="shared" si="343"/>
        <v>29781.547619047618</v>
      </c>
      <c r="F820" s="132">
        <f t="shared" si="343"/>
        <v>29321.192052980132</v>
      </c>
      <c r="G820" s="130">
        <f t="shared" si="343"/>
        <v>30576.712328767124</v>
      </c>
      <c r="H820" s="130">
        <f t="shared" si="343"/>
        <v>28367.811158798282</v>
      </c>
      <c r="I820" s="359">
        <f t="shared" si="343"/>
        <v>29336.664270309135</v>
      </c>
      <c r="J820" s="314">
        <f t="shared" si="343"/>
        <v>29336.664270309131</v>
      </c>
    </row>
    <row r="821" spans="1:10" s="71" customFormat="1" x14ac:dyDescent="0.25">
      <c r="A821" s="77" t="s">
        <v>25</v>
      </c>
      <c r="B821" s="255">
        <f t="shared" ref="B821:H821" si="344">B826*B814</f>
        <v>1860115.9655172415</v>
      </c>
      <c r="C821" s="133">
        <f t="shared" si="344"/>
        <v>2902395.0724137938</v>
      </c>
      <c r="D821" s="133">
        <f t="shared" si="344"/>
        <v>2896740.0155172418</v>
      </c>
      <c r="E821" s="299">
        <f t="shared" si="344"/>
        <v>3402871.0637931037</v>
      </c>
      <c r="F821" s="134">
        <f t="shared" si="344"/>
        <v>6162526.0862068962</v>
      </c>
      <c r="G821" s="92">
        <f t="shared" si="344"/>
        <v>6091508.2379310345</v>
      </c>
      <c r="H821" s="92">
        <f t="shared" si="344"/>
        <v>4835351.0172413792</v>
      </c>
      <c r="I821" s="108">
        <f>'NOGAL '!$B821+'NOGAL '!$C821+'NOGAL '!$D821+'NOGAL '!$E821+'NOGAL '!$F821+'NOGAL '!$G821+'NOGAL '!$H821</f>
        <v>28151507.45862069</v>
      </c>
      <c r="J821" s="300">
        <f>'NOGAL '!$I821/7</f>
        <v>4021643.9226600984</v>
      </c>
    </row>
    <row r="822" spans="1:10" s="71" customFormat="1" x14ac:dyDescent="0.25">
      <c r="A822" s="77" t="s">
        <v>26</v>
      </c>
      <c r="B822" s="255">
        <f t="shared" ref="B822:H822" si="345">B826*B815</f>
        <v>43767.434482758625</v>
      </c>
      <c r="C822" s="133">
        <f t="shared" si="345"/>
        <v>71664.075862068974</v>
      </c>
      <c r="D822" s="133">
        <f t="shared" si="345"/>
        <v>35762.222413793104</v>
      </c>
      <c r="E822" s="299">
        <f t="shared" si="345"/>
        <v>40998.446551724141</v>
      </c>
      <c r="F822" s="134">
        <f t="shared" si="345"/>
        <v>145000.61379310346</v>
      </c>
      <c r="G822" s="92">
        <f t="shared" si="345"/>
        <v>73391.665517241388</v>
      </c>
      <c r="H822" s="92">
        <f t="shared" si="345"/>
        <v>161178.36724137931</v>
      </c>
      <c r="I822" s="108">
        <f>'NOGAL '!$B822+'NOGAL '!$C822+'NOGAL '!$D822+'NOGAL '!$E822+'NOGAL '!$F822+'NOGAL '!$G822+'NOGAL '!$H822</f>
        <v>571762.82586206903</v>
      </c>
      <c r="J822" s="300">
        <f>'NOGAL '!$I822/7</f>
        <v>81680.403694581284</v>
      </c>
    </row>
    <row r="823" spans="1:10" s="71" customFormat="1" x14ac:dyDescent="0.25">
      <c r="A823" s="77" t="s">
        <v>27</v>
      </c>
      <c r="B823" s="255">
        <f t="shared" ref="B823:H823" si="346">B826*B816</f>
        <v>196953.45517241379</v>
      </c>
      <c r="C823" s="133">
        <f t="shared" si="346"/>
        <v>501648.53103448288</v>
      </c>
      <c r="D823" s="133">
        <f t="shared" si="346"/>
        <v>429146.66896551725</v>
      </c>
      <c r="E823" s="299">
        <f t="shared" si="346"/>
        <v>491981.35862068966</v>
      </c>
      <c r="F823" s="134">
        <f t="shared" si="346"/>
        <v>725003.06896551733</v>
      </c>
      <c r="G823" s="92">
        <f t="shared" si="346"/>
        <v>1100874.9827586208</v>
      </c>
      <c r="H823" s="92">
        <f t="shared" si="346"/>
        <v>161178.36724137931</v>
      </c>
      <c r="I823" s="108">
        <f>'NOGAL '!$B823+'NOGAL '!$C823+'NOGAL '!$D823+'NOGAL '!$E823+'NOGAL '!$F823+'NOGAL '!$G823+'NOGAL '!$H823</f>
        <v>3606786.4327586209</v>
      </c>
      <c r="J823" s="300">
        <f>'NOGAL '!$I823/7</f>
        <v>515255.20467980299</v>
      </c>
    </row>
    <row r="824" spans="1:10" s="71" customFormat="1" x14ac:dyDescent="0.25">
      <c r="A824" s="77" t="s">
        <v>28</v>
      </c>
      <c r="B824" s="255">
        <f t="shared" ref="B824:H824" si="347">B826*B817</f>
        <v>87534.868965517249</v>
      </c>
      <c r="C824" s="133">
        <f t="shared" si="347"/>
        <v>107496.11379310345</v>
      </c>
      <c r="D824" s="133">
        <f t="shared" si="347"/>
        <v>214573.33448275863</v>
      </c>
      <c r="E824" s="299">
        <f t="shared" si="347"/>
        <v>163993.78620689656</v>
      </c>
      <c r="F824" s="134">
        <f t="shared" si="347"/>
        <v>217500.92068965518</v>
      </c>
      <c r="G824" s="92">
        <f t="shared" si="347"/>
        <v>73391.665517241388</v>
      </c>
      <c r="H824" s="92">
        <f t="shared" si="347"/>
        <v>214904.48965517242</v>
      </c>
      <c r="I824" s="108">
        <f>'NOGAL '!$B824+'NOGAL '!$C824+'NOGAL '!$D824+'NOGAL '!$E824+'NOGAL '!$F824+'NOGAL '!$G824+'NOGAL '!$H824</f>
        <v>1079395.1793103446</v>
      </c>
      <c r="J824" s="300">
        <f>'NOGAL '!$I824/7</f>
        <v>154199.31133004924</v>
      </c>
    </row>
    <row r="825" spans="1:10" s="71" customFormat="1" x14ac:dyDescent="0.25">
      <c r="A825" s="77" t="s">
        <v>29</v>
      </c>
      <c r="B825" s="255">
        <f t="shared" ref="B825:H825" si="348">B826*B818</f>
        <v>0</v>
      </c>
      <c r="C825" s="133">
        <f t="shared" si="348"/>
        <v>0</v>
      </c>
      <c r="D825" s="133">
        <f t="shared" si="348"/>
        <v>0</v>
      </c>
      <c r="E825" s="299">
        <f t="shared" si="348"/>
        <v>0</v>
      </c>
      <c r="F825" s="134">
        <f t="shared" si="348"/>
        <v>0</v>
      </c>
      <c r="G825" s="92">
        <f t="shared" si="348"/>
        <v>0</v>
      </c>
      <c r="H825" s="92">
        <f t="shared" si="348"/>
        <v>0</v>
      </c>
      <c r="I825" s="108">
        <f>'NOGAL '!$B825+'NOGAL '!$C825+'NOGAL '!$D825+'NOGAL '!$E825+'NOGAL '!$F825+'NOGAL '!$G825+'NOGAL '!$H825</f>
        <v>0</v>
      </c>
      <c r="J825" s="300">
        <f>'NOGAL '!$I825/7</f>
        <v>0</v>
      </c>
    </row>
    <row r="826" spans="1:10" s="71" customFormat="1" x14ac:dyDescent="0.25">
      <c r="A826" s="82" t="s">
        <v>30</v>
      </c>
      <c r="B826" s="222">
        <f>(2678500/1.16)-B827</f>
        <v>2188371.7241379311</v>
      </c>
      <c r="C826" s="222">
        <f>(4361500/1.16)-C827</f>
        <v>3583203.7931034486</v>
      </c>
      <c r="D826" s="222">
        <f>(4370900/1.16)-D827</f>
        <v>3576222.2413793104</v>
      </c>
      <c r="E826" s="222">
        <f>(5003300/1.16)-E827</f>
        <v>4099844.6551724141</v>
      </c>
      <c r="F826" s="222">
        <f>(8855000/1.16)-F827</f>
        <v>7250030.6896551726</v>
      </c>
      <c r="G826" s="222">
        <f>(8928400/1.16)-G827</f>
        <v>7339166.5517241387</v>
      </c>
      <c r="H826" s="222">
        <f>(6609700/1.16)-H827</f>
        <v>5372612.2413793104</v>
      </c>
      <c r="I826" s="111">
        <f>SUM(I821:I825)</f>
        <v>33409451.896551725</v>
      </c>
      <c r="J826" s="361">
        <f>'NOGAL '!$I826/7</f>
        <v>4772778.8423645319</v>
      </c>
    </row>
    <row r="827" spans="1:10" s="71" customFormat="1" x14ac:dyDescent="0.25">
      <c r="A827" s="77" t="s">
        <v>31</v>
      </c>
      <c r="B827" s="263">
        <f t="shared" ref="B827:G827" si="349">2155*B808</f>
        <v>120680</v>
      </c>
      <c r="C827" s="139">
        <f t="shared" si="349"/>
        <v>176710</v>
      </c>
      <c r="D827" s="139">
        <f t="shared" si="349"/>
        <v>191795</v>
      </c>
      <c r="E827" s="113">
        <f t="shared" si="349"/>
        <v>213345</v>
      </c>
      <c r="F827" s="112">
        <f t="shared" si="349"/>
        <v>383590</v>
      </c>
      <c r="G827" s="94">
        <f t="shared" si="349"/>
        <v>357730</v>
      </c>
      <c r="H827" s="94">
        <f>2155*H808</f>
        <v>325405</v>
      </c>
      <c r="I827" s="109">
        <f>2155*I808</f>
        <v>1769255</v>
      </c>
      <c r="J827" s="302">
        <f>2155*J808</f>
        <v>252750.71428571429</v>
      </c>
    </row>
    <row r="828" spans="1:10" s="71" customFormat="1" x14ac:dyDescent="0.25">
      <c r="A828" s="83" t="s">
        <v>32</v>
      </c>
      <c r="B828" s="411">
        <f>B826+B827</f>
        <v>2309051.7241379311</v>
      </c>
      <c r="C828" s="40">
        <f>C826+C827</f>
        <v>3759913.7931034486</v>
      </c>
      <c r="D828" s="40">
        <f t="shared" ref="D828:J828" si="350">D826+D827</f>
        <v>3768017.2413793104</v>
      </c>
      <c r="E828" s="399">
        <f t="shared" si="350"/>
        <v>4313189.6551724141</v>
      </c>
      <c r="F828" s="140">
        <f t="shared" si="350"/>
        <v>7633620.6896551726</v>
      </c>
      <c r="G828" s="39">
        <f t="shared" si="350"/>
        <v>7696896.5517241387</v>
      </c>
      <c r="H828" s="39">
        <f t="shared" si="350"/>
        <v>5698017.2413793104</v>
      </c>
      <c r="I828" s="412">
        <f t="shared" si="350"/>
        <v>35178706.896551728</v>
      </c>
      <c r="J828" s="364">
        <f t="shared" si="350"/>
        <v>5025529.5566502465</v>
      </c>
    </row>
    <row r="829" spans="1:10" s="71" customFormat="1" x14ac:dyDescent="0.25">
      <c r="A829" s="77" t="s">
        <v>33</v>
      </c>
      <c r="B829" s="413">
        <f>B828*16%</f>
        <v>369448.27586206899</v>
      </c>
      <c r="C829" s="42">
        <f>C828*16%</f>
        <v>601586.20689655177</v>
      </c>
      <c r="D829" s="42">
        <f t="shared" ref="D829:J829" si="351">D828*16%</f>
        <v>602882.75862068962</v>
      </c>
      <c r="E829" s="400">
        <f t="shared" si="351"/>
        <v>690110.34482758632</v>
      </c>
      <c r="F829" s="141">
        <f t="shared" si="351"/>
        <v>1221379.3103448276</v>
      </c>
      <c r="G829" s="41">
        <f t="shared" si="351"/>
        <v>1231503.4482758623</v>
      </c>
      <c r="H829" s="41">
        <f t="shared" si="351"/>
        <v>911682.75862068962</v>
      </c>
      <c r="I829" s="414">
        <f t="shared" si="351"/>
        <v>5628593.1034482764</v>
      </c>
      <c r="J829" s="415">
        <f t="shared" si="351"/>
        <v>804084.72906403942</v>
      </c>
    </row>
    <row r="830" spans="1:10" s="71" customFormat="1" x14ac:dyDescent="0.25">
      <c r="A830" s="142" t="s">
        <v>34</v>
      </c>
      <c r="B830" s="438">
        <f t="shared" ref="B830:H830" si="352">B828+B829</f>
        <v>2678500</v>
      </c>
      <c r="C830" s="143">
        <f t="shared" si="352"/>
        <v>4361500</v>
      </c>
      <c r="D830" s="143">
        <f t="shared" si="352"/>
        <v>4370900</v>
      </c>
      <c r="E830" s="439">
        <f t="shared" si="352"/>
        <v>5003300</v>
      </c>
      <c r="F830" s="145">
        <f t="shared" si="352"/>
        <v>8855000</v>
      </c>
      <c r="G830" s="144">
        <f t="shared" si="352"/>
        <v>8928400</v>
      </c>
      <c r="H830" s="144">
        <f t="shared" si="352"/>
        <v>6609700</v>
      </c>
      <c r="I830" s="440">
        <f>+I828+I829</f>
        <v>40807300.000000007</v>
      </c>
      <c r="J830" s="441">
        <f>'NOGAL '!$I830/7</f>
        <v>5829614.2857142864</v>
      </c>
    </row>
    <row r="831" spans="1:10" s="71" customFormat="1" ht="15.75" thickBot="1" x14ac:dyDescent="0.3">
      <c r="A831" s="69"/>
      <c r="B831" s="424"/>
      <c r="C831" s="424"/>
      <c r="D831" s="424"/>
      <c r="E831" s="424"/>
      <c r="F831" s="424"/>
      <c r="G831" s="424"/>
      <c r="H831" s="424"/>
      <c r="I831" s="424"/>
      <c r="J831" s="424"/>
    </row>
    <row r="832" spans="1:10" s="71" customFormat="1" ht="26.25" x14ac:dyDescent="0.25">
      <c r="A832" s="85"/>
      <c r="B832" s="1002" t="s">
        <v>371</v>
      </c>
      <c r="C832" s="1002"/>
      <c r="D832" s="1002"/>
      <c r="E832" s="1002"/>
      <c r="F832" s="1002"/>
      <c r="G832" s="1002"/>
      <c r="H832" s="1002"/>
      <c r="I832" s="1002"/>
      <c r="J832" s="85"/>
    </row>
    <row r="833" spans="1:10" s="71" customFormat="1" ht="15.75" x14ac:dyDescent="0.25">
      <c r="A833" s="72" t="s">
        <v>2</v>
      </c>
      <c r="B833" s="121" t="s">
        <v>282</v>
      </c>
      <c r="C833" s="121" t="s">
        <v>4</v>
      </c>
      <c r="D833" s="121" t="s">
        <v>5</v>
      </c>
      <c r="E833" s="121" t="s">
        <v>6</v>
      </c>
      <c r="F833" s="121" t="s">
        <v>7</v>
      </c>
      <c r="G833" s="121" t="s">
        <v>283</v>
      </c>
      <c r="H833" s="121" t="s">
        <v>9</v>
      </c>
      <c r="I833" s="153" t="s">
        <v>10</v>
      </c>
      <c r="J833" s="421" t="s">
        <v>77</v>
      </c>
    </row>
    <row r="834" spans="1:10" s="71" customFormat="1" x14ac:dyDescent="0.25">
      <c r="A834" s="430" t="s">
        <v>11</v>
      </c>
      <c r="B834" s="431">
        <v>102</v>
      </c>
      <c r="C834" s="432">
        <v>119</v>
      </c>
      <c r="D834" s="433">
        <v>140</v>
      </c>
      <c r="E834" s="434">
        <v>190</v>
      </c>
      <c r="F834" s="434">
        <v>382</v>
      </c>
      <c r="G834" s="435">
        <v>331</v>
      </c>
      <c r="H834" s="434">
        <v>342</v>
      </c>
      <c r="I834" s="435">
        <f>SUM(B834:H834)</f>
        <v>1606</v>
      </c>
      <c r="J834" s="437">
        <f>'NOGAL '!$I834/7</f>
        <v>229.42857142857142</v>
      </c>
    </row>
    <row r="835" spans="1:10" s="71" customFormat="1" x14ac:dyDescent="0.25">
      <c r="A835" s="77" t="s">
        <v>12</v>
      </c>
      <c r="B835" s="233">
        <v>66</v>
      </c>
      <c r="C835" s="13">
        <v>72</v>
      </c>
      <c r="D835" s="13">
        <v>77</v>
      </c>
      <c r="E835" s="395">
        <v>105</v>
      </c>
      <c r="F835" s="395">
        <v>217</v>
      </c>
      <c r="G835" s="125">
        <v>183</v>
      </c>
      <c r="H835" s="11">
        <v>245</v>
      </c>
      <c r="I835" s="403">
        <f>B835+C835+D835+E835+F835+G835+H835</f>
        <v>965</v>
      </c>
      <c r="J835" s="292">
        <f>'NOGAL '!$I835/7</f>
        <v>137.85714285714286</v>
      </c>
    </row>
    <row r="836" spans="1:10" s="71" customFormat="1" x14ac:dyDescent="0.25">
      <c r="A836" s="77" t="s">
        <v>13</v>
      </c>
      <c r="B836" s="233">
        <v>4</v>
      </c>
      <c r="C836" s="13">
        <v>2</v>
      </c>
      <c r="D836" s="13">
        <v>3</v>
      </c>
      <c r="E836" s="395">
        <v>4</v>
      </c>
      <c r="F836" s="395">
        <v>0</v>
      </c>
      <c r="G836" s="125">
        <v>3</v>
      </c>
      <c r="H836" s="11">
        <v>0</v>
      </c>
      <c r="I836" s="403">
        <f>B836+C836+D836+E836+F836+G836+H836</f>
        <v>16</v>
      </c>
      <c r="J836" s="292">
        <f>C836+D836+E836+F836+G836+H836+I836</f>
        <v>28</v>
      </c>
    </row>
    <row r="837" spans="1:10" s="71" customFormat="1" x14ac:dyDescent="0.25">
      <c r="A837" s="77" t="s">
        <v>14</v>
      </c>
      <c r="B837" s="233">
        <v>17</v>
      </c>
      <c r="C837" s="13">
        <v>22</v>
      </c>
      <c r="D837" s="13">
        <v>26</v>
      </c>
      <c r="E837" s="395">
        <v>33</v>
      </c>
      <c r="F837" s="395">
        <v>42</v>
      </c>
      <c r="G837" s="125">
        <v>35</v>
      </c>
      <c r="H837" s="11">
        <v>25</v>
      </c>
      <c r="I837" s="403">
        <f>B837+C837+D837+E837+F837+G837+H837</f>
        <v>200</v>
      </c>
      <c r="J837" s="292">
        <f>'NOGAL '!$I837/7</f>
        <v>28.571428571428573</v>
      </c>
    </row>
    <row r="838" spans="1:10" s="71" customFormat="1" x14ac:dyDescent="0.25">
      <c r="A838" s="77" t="s">
        <v>15</v>
      </c>
      <c r="B838" s="233">
        <v>5</v>
      </c>
      <c r="C838" s="13">
        <v>7</v>
      </c>
      <c r="D838" s="13">
        <v>2</v>
      </c>
      <c r="E838" s="395">
        <v>0</v>
      </c>
      <c r="F838" s="395">
        <v>12</v>
      </c>
      <c r="G838" s="125">
        <v>13</v>
      </c>
      <c r="H838" s="11">
        <v>13</v>
      </c>
      <c r="I838" s="403">
        <f>B838+C838+D838+E838+F838+G838+H838</f>
        <v>52</v>
      </c>
      <c r="J838" s="292">
        <f>'NOGAL '!$I838/7</f>
        <v>7.4285714285714288</v>
      </c>
    </row>
    <row r="839" spans="1:10" s="71" customFormat="1" x14ac:dyDescent="0.25">
      <c r="A839" s="77" t="s">
        <v>16</v>
      </c>
      <c r="B839" s="233">
        <v>0</v>
      </c>
      <c r="C839" s="13">
        <v>0</v>
      </c>
      <c r="D839" s="13">
        <v>2</v>
      </c>
      <c r="E839" s="395">
        <v>0</v>
      </c>
      <c r="F839" s="395">
        <v>0</v>
      </c>
      <c r="G839" s="125">
        <v>0</v>
      </c>
      <c r="H839" s="11">
        <v>0</v>
      </c>
      <c r="I839" s="403">
        <f>B839+C839+D839+E839+F839+G839+H839</f>
        <v>2</v>
      </c>
      <c r="J839" s="292">
        <f>'NOGAL '!$I839/7</f>
        <v>0.2857142857142857</v>
      </c>
    </row>
    <row r="840" spans="1:10" s="71" customFormat="1" x14ac:dyDescent="0.25">
      <c r="A840" s="79" t="s">
        <v>17</v>
      </c>
      <c r="B840" s="102">
        <f>SUM(B835:B839)</f>
        <v>92</v>
      </c>
      <c r="C840" s="79">
        <f t="shared" ref="C840:H840" si="353">SUM(C835:C839)</f>
        <v>103</v>
      </c>
      <c r="D840" s="79">
        <f t="shared" si="353"/>
        <v>110</v>
      </c>
      <c r="E840" s="248">
        <f t="shared" si="353"/>
        <v>142</v>
      </c>
      <c r="F840" s="15">
        <f t="shared" si="353"/>
        <v>271</v>
      </c>
      <c r="G840" s="79">
        <f t="shared" si="353"/>
        <v>234</v>
      </c>
      <c r="H840" s="79">
        <f t="shared" si="353"/>
        <v>283</v>
      </c>
      <c r="I840" s="404">
        <f>SUM(I835:I839)</f>
        <v>1235</v>
      </c>
      <c r="J840" s="405">
        <f>'NOGAL '!$I840/7</f>
        <v>176.42857142857142</v>
      </c>
    </row>
    <row r="841" spans="1:10" s="71" customFormat="1" x14ac:dyDescent="0.25">
      <c r="A841" s="77" t="s">
        <v>18</v>
      </c>
      <c r="B841" s="445">
        <v>0.85</v>
      </c>
      <c r="C841" s="235">
        <v>0.79</v>
      </c>
      <c r="D841" s="235">
        <v>0.82</v>
      </c>
      <c r="E841" s="236">
        <v>0.82</v>
      </c>
      <c r="F841" s="236">
        <v>0.88</v>
      </c>
      <c r="G841" s="236">
        <v>0.84</v>
      </c>
      <c r="H841" s="236">
        <v>0.89</v>
      </c>
      <c r="I841" s="105">
        <f>I848/I853</f>
        <v>0.85379358206212996</v>
      </c>
      <c r="J841" s="297">
        <f>J848/J853</f>
        <v>0.85379358206212996</v>
      </c>
    </row>
    <row r="842" spans="1:10" s="71" customFormat="1" x14ac:dyDescent="0.25">
      <c r="A842" s="77" t="s">
        <v>19</v>
      </c>
      <c r="B842" s="445">
        <v>0.03</v>
      </c>
      <c r="C842" s="235">
        <v>0.02</v>
      </c>
      <c r="D842" s="235">
        <v>0.02</v>
      </c>
      <c r="E842" s="236">
        <v>0.03</v>
      </c>
      <c r="F842" s="236">
        <v>0</v>
      </c>
      <c r="G842" s="236">
        <v>0.01</v>
      </c>
      <c r="H842" s="236">
        <v>0</v>
      </c>
      <c r="I842" s="105">
        <f>I849/I853</f>
        <v>1.0476405740631934E-2</v>
      </c>
      <c r="J842" s="297">
        <f>J849/J853</f>
        <v>1.0476405740631932E-2</v>
      </c>
    </row>
    <row r="843" spans="1:10" s="71" customFormat="1" x14ac:dyDescent="0.25">
      <c r="A843" s="77" t="s">
        <v>20</v>
      </c>
      <c r="B843" s="445">
        <v>0.1</v>
      </c>
      <c r="C843" s="235">
        <v>0.14000000000000001</v>
      </c>
      <c r="D843" s="235">
        <v>0.14000000000000001</v>
      </c>
      <c r="E843" s="236">
        <v>0.15</v>
      </c>
      <c r="F843" s="236">
        <v>0.09</v>
      </c>
      <c r="G843" s="236">
        <v>0.11</v>
      </c>
      <c r="H843" s="236">
        <v>0.08</v>
      </c>
      <c r="I843" s="105">
        <f>I850/I853</f>
        <v>0.10715920893731402</v>
      </c>
      <c r="J843" s="297">
        <f>J850/J853</f>
        <v>0.10715920893731401</v>
      </c>
    </row>
    <row r="844" spans="1:10" s="71" customFormat="1" x14ac:dyDescent="0.25">
      <c r="A844" s="77" t="s">
        <v>21</v>
      </c>
      <c r="B844" s="445">
        <v>0.02</v>
      </c>
      <c r="C844" s="235">
        <v>0.05</v>
      </c>
      <c r="D844" s="235">
        <v>0.01</v>
      </c>
      <c r="E844" s="236">
        <v>0</v>
      </c>
      <c r="F844" s="236">
        <v>0.03</v>
      </c>
      <c r="G844" s="236">
        <v>0.04</v>
      </c>
      <c r="H844" s="236">
        <v>0.03</v>
      </c>
      <c r="I844" s="105">
        <f>I851/I853</f>
        <v>2.7711686268464604E-2</v>
      </c>
      <c r="J844" s="297">
        <f>J851/J853</f>
        <v>2.7711686268464601E-2</v>
      </c>
    </row>
    <row r="845" spans="1:10" s="71" customFormat="1" x14ac:dyDescent="0.25">
      <c r="A845" s="77" t="s">
        <v>22</v>
      </c>
      <c r="B845" s="445">
        <v>0</v>
      </c>
      <c r="C845" s="235">
        <v>0</v>
      </c>
      <c r="D845" s="235">
        <v>0.01</v>
      </c>
      <c r="E845" s="236">
        <v>0</v>
      </c>
      <c r="F845" s="236">
        <v>0</v>
      </c>
      <c r="G845" s="236">
        <v>0</v>
      </c>
      <c r="H845" s="236">
        <v>0</v>
      </c>
      <c r="I845" s="105">
        <f>I852/I853</f>
        <v>8.5911699145959784E-4</v>
      </c>
      <c r="J845" s="297">
        <f>J852/J853</f>
        <v>8.5911699145959774E-4</v>
      </c>
    </row>
    <row r="846" spans="1:10" s="71" customFormat="1" x14ac:dyDescent="0.25">
      <c r="A846" s="81" t="s">
        <v>23</v>
      </c>
      <c r="B846" s="409">
        <f t="shared" ref="B846:J846" si="354">B857/B840</f>
        <v>32342.391304347828</v>
      </c>
      <c r="C846" s="131">
        <f t="shared" si="354"/>
        <v>32100</v>
      </c>
      <c r="D846" s="131">
        <f t="shared" si="354"/>
        <v>36526.36363636364</v>
      </c>
      <c r="E846" s="397">
        <f t="shared" si="354"/>
        <v>37404.929577464798</v>
      </c>
      <c r="F846" s="132">
        <f t="shared" si="354"/>
        <v>41700.738007380081</v>
      </c>
      <c r="G846" s="130">
        <f t="shared" si="354"/>
        <v>41128.20512820514</v>
      </c>
      <c r="H846" s="130">
        <f t="shared" si="354"/>
        <v>36761.484098939931</v>
      </c>
      <c r="I846" s="359">
        <f t="shared" si="354"/>
        <v>38007.77327935223</v>
      </c>
      <c r="J846" s="314">
        <f t="shared" si="354"/>
        <v>38007.77327935223</v>
      </c>
    </row>
    <row r="847" spans="1:10" s="71" customFormat="1" x14ac:dyDescent="0.25">
      <c r="A847" s="81" t="s">
        <v>24</v>
      </c>
      <c r="B847" s="409">
        <f t="shared" ref="B847:J847" si="355">B857/B834</f>
        <v>29171.568627450979</v>
      </c>
      <c r="C847" s="131">
        <f t="shared" si="355"/>
        <v>27784.033613445379</v>
      </c>
      <c r="D847" s="131">
        <f t="shared" si="355"/>
        <v>28699.285714285717</v>
      </c>
      <c r="E847" s="397">
        <f t="shared" si="355"/>
        <v>27955.26315789474</v>
      </c>
      <c r="F847" s="132">
        <f t="shared" si="355"/>
        <v>29583.507853403145</v>
      </c>
      <c r="G847" s="130">
        <f t="shared" si="355"/>
        <v>29075.52870090635</v>
      </c>
      <c r="H847" s="130">
        <f t="shared" si="355"/>
        <v>30419.590643274852</v>
      </c>
      <c r="I847" s="359">
        <f t="shared" si="355"/>
        <v>29227.646326276463</v>
      </c>
      <c r="J847" s="314">
        <f t="shared" si="355"/>
        <v>29227.646326276463</v>
      </c>
    </row>
    <row r="848" spans="1:10" s="71" customFormat="1" x14ac:dyDescent="0.25">
      <c r="A848" s="77" t="s">
        <v>25</v>
      </c>
      <c r="B848" s="255">
        <f t="shared" ref="B848:H848" si="356">B853*B841</f>
        <v>2059427.7758620691</v>
      </c>
      <c r="C848" s="133">
        <f t="shared" si="356"/>
        <v>2129127.9103448279</v>
      </c>
      <c r="D848" s="133">
        <f t="shared" si="356"/>
        <v>2704172.955172414</v>
      </c>
      <c r="E848" s="299">
        <f t="shared" si="356"/>
        <v>3569135.534482759</v>
      </c>
      <c r="F848" s="134">
        <f t="shared" si="356"/>
        <v>8161577.7517241389</v>
      </c>
      <c r="G848" s="92">
        <f t="shared" si="356"/>
        <v>6637836.8482758626</v>
      </c>
      <c r="H848" s="92">
        <f t="shared" si="356"/>
        <v>7512097.9396551726</v>
      </c>
      <c r="I848" s="108">
        <f>'NOGAL '!$B848+'NOGAL '!$C848+'NOGAL '!$D848+'NOGAL '!$E848+'NOGAL '!$F848+'NOGAL '!$G848+'NOGAL '!$H848</f>
        <v>32773376.715517245</v>
      </c>
      <c r="J848" s="300">
        <f>'NOGAL '!$I848/7</f>
        <v>4681910.9593596067</v>
      </c>
    </row>
    <row r="849" spans="1:10" s="71" customFormat="1" x14ac:dyDescent="0.25">
      <c r="A849" s="77" t="s">
        <v>26</v>
      </c>
      <c r="B849" s="255">
        <f t="shared" ref="B849:H849" si="357">B853*B842</f>
        <v>72685.686206896557</v>
      </c>
      <c r="C849" s="133">
        <f t="shared" si="357"/>
        <v>53901.972413793104</v>
      </c>
      <c r="D849" s="133">
        <f t="shared" si="357"/>
        <v>65955.437931034496</v>
      </c>
      <c r="E849" s="299">
        <f t="shared" si="357"/>
        <v>130578.12931034484</v>
      </c>
      <c r="F849" s="134">
        <f t="shared" si="357"/>
        <v>0</v>
      </c>
      <c r="G849" s="92">
        <f t="shared" si="357"/>
        <v>79021.867241379325</v>
      </c>
      <c r="H849" s="92">
        <f t="shared" si="357"/>
        <v>0</v>
      </c>
      <c r="I849" s="108">
        <f>'NOGAL '!$B849+'NOGAL '!$C849+'NOGAL '!$D849+'NOGAL '!$E849+'NOGAL '!$F849+'NOGAL '!$G849+'NOGAL '!$H849</f>
        <v>402143.09310344834</v>
      </c>
      <c r="J849" s="300">
        <f>'NOGAL '!$I849/7</f>
        <v>57449.013300492617</v>
      </c>
    </row>
    <row r="850" spans="1:10" s="71" customFormat="1" x14ac:dyDescent="0.25">
      <c r="A850" s="77" t="s">
        <v>27</v>
      </c>
      <c r="B850" s="255">
        <f t="shared" ref="B850:H850" si="358">B853*B843</f>
        <v>242285.62068965519</v>
      </c>
      <c r="C850" s="133">
        <f t="shared" si="358"/>
        <v>377313.80689655175</v>
      </c>
      <c r="D850" s="133">
        <f t="shared" si="358"/>
        <v>461688.06551724148</v>
      </c>
      <c r="E850" s="299">
        <f t="shared" si="358"/>
        <v>652890.64655172417</v>
      </c>
      <c r="F850" s="134">
        <f t="shared" si="358"/>
        <v>834706.81551724148</v>
      </c>
      <c r="G850" s="92">
        <f t="shared" si="358"/>
        <v>869240.5396551725</v>
      </c>
      <c r="H850" s="92">
        <f t="shared" si="358"/>
        <v>675244.75862068962</v>
      </c>
      <c r="I850" s="108">
        <f>'NOGAL '!$B850+'NOGAL '!$C850+'NOGAL '!$D850+'NOGAL '!$E850+'NOGAL '!$F850+'NOGAL '!$G850+'NOGAL '!$H850</f>
        <v>4113370.2534482758</v>
      </c>
      <c r="J850" s="300">
        <f>'NOGAL '!$I850/7</f>
        <v>587624.32192118221</v>
      </c>
    </row>
    <row r="851" spans="1:10" s="71" customFormat="1" x14ac:dyDescent="0.25">
      <c r="A851" s="77" t="s">
        <v>28</v>
      </c>
      <c r="B851" s="255">
        <f t="shared" ref="B851:H851" si="359">B853*B844</f>
        <v>48457.124137931038</v>
      </c>
      <c r="C851" s="133">
        <f t="shared" si="359"/>
        <v>134754.93103448275</v>
      </c>
      <c r="D851" s="133">
        <f t="shared" si="359"/>
        <v>32977.718965517248</v>
      </c>
      <c r="E851" s="299">
        <f t="shared" si="359"/>
        <v>0</v>
      </c>
      <c r="F851" s="134">
        <f t="shared" si="359"/>
        <v>278235.60517241381</v>
      </c>
      <c r="G851" s="92">
        <f t="shared" si="359"/>
        <v>316087.4689655173</v>
      </c>
      <c r="H851" s="92">
        <f t="shared" si="359"/>
        <v>253216.78448275861</v>
      </c>
      <c r="I851" s="108">
        <f>'NOGAL '!$B851+'NOGAL '!$C851+'NOGAL '!$D851+'NOGAL '!$E851+'NOGAL '!$F851+'NOGAL '!$G851+'NOGAL '!$H851</f>
        <v>1063729.6327586207</v>
      </c>
      <c r="J851" s="300">
        <f>'NOGAL '!$I851/7</f>
        <v>151961.37610837439</v>
      </c>
    </row>
    <row r="852" spans="1:10" s="71" customFormat="1" x14ac:dyDescent="0.25">
      <c r="A852" s="77" t="s">
        <v>29</v>
      </c>
      <c r="B852" s="255">
        <f t="shared" ref="B852:H852" si="360">B853*B845</f>
        <v>0</v>
      </c>
      <c r="C852" s="133">
        <f t="shared" si="360"/>
        <v>0</v>
      </c>
      <c r="D852" s="133">
        <f t="shared" si="360"/>
        <v>32977.718965517248</v>
      </c>
      <c r="E852" s="299">
        <f t="shared" si="360"/>
        <v>0</v>
      </c>
      <c r="F852" s="134">
        <f t="shared" si="360"/>
        <v>0</v>
      </c>
      <c r="G852" s="92">
        <f t="shared" si="360"/>
        <v>0</v>
      </c>
      <c r="H852" s="92">
        <f t="shared" si="360"/>
        <v>0</v>
      </c>
      <c r="I852" s="108">
        <f>'NOGAL '!$B852+'NOGAL '!$C852+'NOGAL '!$D852+'NOGAL '!$E852+'NOGAL '!$F852+'NOGAL '!$G852+'NOGAL '!$H852</f>
        <v>32977.718965517248</v>
      </c>
      <c r="J852" s="300">
        <f>'NOGAL '!$I852/7</f>
        <v>4711.1027093596067</v>
      </c>
    </row>
    <row r="853" spans="1:10" s="71" customFormat="1" x14ac:dyDescent="0.25">
      <c r="A853" s="82" t="s">
        <v>30</v>
      </c>
      <c r="B853" s="222">
        <f>(2975500/1.16)-B854</f>
        <v>2422856.2068965519</v>
      </c>
      <c r="C853" s="222">
        <f>(3306300/1.16)-C854</f>
        <v>2695098.6206896552</v>
      </c>
      <c r="D853" s="222">
        <f>(4017900/1.16)-D854</f>
        <v>3297771.8965517245</v>
      </c>
      <c r="E853" s="222">
        <f>(5311500/1.16)-E854</f>
        <v>4352604.3103448283</v>
      </c>
      <c r="F853" s="222">
        <f>(11300900/1.16)-F854</f>
        <v>9274520.1724137943</v>
      </c>
      <c r="G853" s="222">
        <f>(9624000/1.16)-G854</f>
        <v>7902186.7241379321</v>
      </c>
      <c r="H853" s="222">
        <f>(10403500/1.16)-H854</f>
        <v>8440559.4827586208</v>
      </c>
      <c r="I853" s="111">
        <f>SUM(I848:I852)</f>
        <v>38385597.413793102</v>
      </c>
      <c r="J853" s="361">
        <f>'NOGAL '!$I853/7</f>
        <v>5483656.773399015</v>
      </c>
    </row>
    <row r="854" spans="1:10" s="71" customFormat="1" x14ac:dyDescent="0.25">
      <c r="A854" s="77" t="s">
        <v>31</v>
      </c>
      <c r="B854" s="263">
        <f t="shared" ref="B854:G854" si="361">2155*B835</f>
        <v>142230</v>
      </c>
      <c r="C854" s="139">
        <f t="shared" si="361"/>
        <v>155160</v>
      </c>
      <c r="D854" s="139">
        <f t="shared" si="361"/>
        <v>165935</v>
      </c>
      <c r="E854" s="113">
        <f t="shared" si="361"/>
        <v>226275</v>
      </c>
      <c r="F854" s="112">
        <f t="shared" si="361"/>
        <v>467635</v>
      </c>
      <c r="G854" s="94">
        <f t="shared" si="361"/>
        <v>394365</v>
      </c>
      <c r="H854" s="94">
        <f>2155*H835</f>
        <v>527975</v>
      </c>
      <c r="I854" s="109">
        <f>2155*I835</f>
        <v>2079575</v>
      </c>
      <c r="J854" s="302">
        <f>2155*J835</f>
        <v>297082.14285714284</v>
      </c>
    </row>
    <row r="855" spans="1:10" s="71" customFormat="1" x14ac:dyDescent="0.25">
      <c r="A855" s="83" t="s">
        <v>32</v>
      </c>
      <c r="B855" s="411">
        <f>B853+B854</f>
        <v>2565086.2068965519</v>
      </c>
      <c r="C855" s="40">
        <f>C853+C854</f>
        <v>2850258.6206896552</v>
      </c>
      <c r="D855" s="40">
        <f t="shared" ref="D855:J855" si="362">D853+D854</f>
        <v>3463706.8965517245</v>
      </c>
      <c r="E855" s="399">
        <f t="shared" si="362"/>
        <v>4578879.3103448283</v>
      </c>
      <c r="F855" s="140">
        <f t="shared" si="362"/>
        <v>9742155.1724137943</v>
      </c>
      <c r="G855" s="39">
        <f t="shared" si="362"/>
        <v>8296551.7241379321</v>
      </c>
      <c r="H855" s="39">
        <f t="shared" si="362"/>
        <v>8968534.4827586208</v>
      </c>
      <c r="I855" s="412">
        <f t="shared" si="362"/>
        <v>40465172.413793102</v>
      </c>
      <c r="J855" s="364">
        <f t="shared" si="362"/>
        <v>5780738.9162561577</v>
      </c>
    </row>
    <row r="856" spans="1:10" s="71" customFormat="1" x14ac:dyDescent="0.25">
      <c r="A856" s="77" t="s">
        <v>33</v>
      </c>
      <c r="B856" s="413">
        <f>B855*16%</f>
        <v>410413.79310344829</v>
      </c>
      <c r="C856" s="42">
        <f>C855*16%</f>
        <v>456041.37931034481</v>
      </c>
      <c r="D856" s="42">
        <f t="shared" ref="D856:J856" si="363">D855*16%</f>
        <v>554193.10344827594</v>
      </c>
      <c r="E856" s="400">
        <f t="shared" si="363"/>
        <v>732620.68965517252</v>
      </c>
      <c r="F856" s="141">
        <f t="shared" si="363"/>
        <v>1558744.8275862071</v>
      </c>
      <c r="G856" s="41">
        <f t="shared" si="363"/>
        <v>1327448.2758620691</v>
      </c>
      <c r="H856" s="41">
        <f t="shared" si="363"/>
        <v>1434965.5172413792</v>
      </c>
      <c r="I856" s="414">
        <f t="shared" si="363"/>
        <v>6474427.5862068962</v>
      </c>
      <c r="J856" s="415">
        <f t="shared" si="363"/>
        <v>924918.22660098528</v>
      </c>
    </row>
    <row r="857" spans="1:10" s="71" customFormat="1" x14ac:dyDescent="0.25">
      <c r="A857" s="142" t="s">
        <v>34</v>
      </c>
      <c r="B857" s="438">
        <f t="shared" ref="B857:H857" si="364">B855+B856</f>
        <v>2975500</v>
      </c>
      <c r="C857" s="143">
        <f t="shared" si="364"/>
        <v>3306300</v>
      </c>
      <c r="D857" s="143">
        <f t="shared" si="364"/>
        <v>4017900.0000000005</v>
      </c>
      <c r="E857" s="439">
        <f t="shared" si="364"/>
        <v>5311500.0000000009</v>
      </c>
      <c r="F857" s="145">
        <f t="shared" si="364"/>
        <v>11300900.000000002</v>
      </c>
      <c r="G857" s="144">
        <f t="shared" si="364"/>
        <v>9624000.0000000019</v>
      </c>
      <c r="H857" s="144">
        <f t="shared" si="364"/>
        <v>10403500</v>
      </c>
      <c r="I857" s="440">
        <f>+I855+I856</f>
        <v>46939600</v>
      </c>
      <c r="J857" s="441">
        <f>'NOGAL '!$I857/7</f>
        <v>6705657.1428571427</v>
      </c>
    </row>
    <row r="858" spans="1:10" s="71" customFormat="1" ht="15.75" thickBot="1" x14ac:dyDescent="0.3">
      <c r="A858" s="69"/>
      <c r="B858" s="424"/>
      <c r="C858" s="424"/>
      <c r="D858" s="424"/>
      <c r="E858" s="424"/>
      <c r="F858" s="424"/>
      <c r="G858" s="424"/>
      <c r="H858" s="424"/>
      <c r="I858" s="424"/>
      <c r="J858" s="424"/>
    </row>
    <row r="859" spans="1:10" s="71" customFormat="1" ht="26.25" x14ac:dyDescent="0.25">
      <c r="A859" s="85"/>
      <c r="B859" s="1002" t="s">
        <v>372</v>
      </c>
      <c r="C859" s="1002"/>
      <c r="D859" s="1002"/>
      <c r="E859" s="1002"/>
      <c r="F859" s="1002"/>
      <c r="G859" s="1002"/>
      <c r="H859" s="1002"/>
      <c r="I859" s="1002"/>
      <c r="J859" s="85"/>
    </row>
    <row r="860" spans="1:10" s="71" customFormat="1" ht="15.75" x14ac:dyDescent="0.25">
      <c r="A860" s="72" t="s">
        <v>2</v>
      </c>
      <c r="B860" s="121" t="s">
        <v>285</v>
      </c>
      <c r="C860" s="121" t="s">
        <v>37</v>
      </c>
      <c r="D860" s="121" t="s">
        <v>286</v>
      </c>
      <c r="E860" s="121" t="s">
        <v>39</v>
      </c>
      <c r="F860" s="121" t="s">
        <v>40</v>
      </c>
      <c r="G860" s="121" t="s">
        <v>287</v>
      </c>
      <c r="H860" s="121" t="s">
        <v>42</v>
      </c>
      <c r="I860" s="153" t="s">
        <v>10</v>
      </c>
      <c r="J860" s="421" t="s">
        <v>77</v>
      </c>
    </row>
    <row r="861" spans="1:10" s="71" customFormat="1" x14ac:dyDescent="0.25">
      <c r="A861" s="430" t="s">
        <v>11</v>
      </c>
      <c r="B861" s="431">
        <f>57+22+7</f>
        <v>86</v>
      </c>
      <c r="C861" s="432">
        <f>115+33+14</f>
        <v>162</v>
      </c>
      <c r="D861" s="433">
        <f>90+23+20</f>
        <v>133</v>
      </c>
      <c r="E861" s="434">
        <f>107+51+13</f>
        <v>171</v>
      </c>
      <c r="F861" s="434">
        <f>199+103+24</f>
        <v>326</v>
      </c>
      <c r="G861" s="435">
        <f>132+84+18</f>
        <v>234</v>
      </c>
      <c r="H861" s="434">
        <f>207+105+54</f>
        <v>366</v>
      </c>
      <c r="I861" s="435">
        <f>SUM(B861:H861)</f>
        <v>1478</v>
      </c>
      <c r="J861" s="437">
        <f>'NOGAL '!$I861/7</f>
        <v>211.14285714285714</v>
      </c>
    </row>
    <row r="862" spans="1:10" s="71" customFormat="1" x14ac:dyDescent="0.25">
      <c r="A862" s="77" t="s">
        <v>12</v>
      </c>
      <c r="B862" s="233">
        <v>51</v>
      </c>
      <c r="C862" s="13">
        <v>84</v>
      </c>
      <c r="D862" s="13">
        <v>79</v>
      </c>
      <c r="E862" s="395">
        <v>97</v>
      </c>
      <c r="F862" s="446">
        <v>202</v>
      </c>
      <c r="G862" s="125">
        <v>150</v>
      </c>
      <c r="H862" s="11">
        <v>233</v>
      </c>
      <c r="I862" s="403">
        <f>B862+C862+D862+E862+F862+G862+H862</f>
        <v>896</v>
      </c>
      <c r="J862" s="292">
        <f>'NOGAL '!$I862/7</f>
        <v>128</v>
      </c>
    </row>
    <row r="863" spans="1:10" s="71" customFormat="1" x14ac:dyDescent="0.25">
      <c r="A863" s="77" t="s">
        <v>13</v>
      </c>
      <c r="B863" s="233">
        <v>0</v>
      </c>
      <c r="C863" s="13">
        <v>3</v>
      </c>
      <c r="D863" s="13">
        <v>2</v>
      </c>
      <c r="E863" s="395">
        <v>0</v>
      </c>
      <c r="F863" s="395">
        <v>4</v>
      </c>
      <c r="G863" s="125">
        <v>3</v>
      </c>
      <c r="H863" s="11">
        <v>7</v>
      </c>
      <c r="I863" s="403">
        <f>B863+C863+D863+E863+F863+G863+H863</f>
        <v>19</v>
      </c>
      <c r="J863" s="292">
        <f>C863+D863+E863+F863+G863+H863+I863</f>
        <v>38</v>
      </c>
    </row>
    <row r="864" spans="1:10" s="71" customFormat="1" x14ac:dyDescent="0.25">
      <c r="A864" s="77" t="s">
        <v>14</v>
      </c>
      <c r="B864" s="233">
        <v>19</v>
      </c>
      <c r="C864" s="13">
        <v>23</v>
      </c>
      <c r="D864" s="13">
        <v>16</v>
      </c>
      <c r="E864" s="395">
        <v>27</v>
      </c>
      <c r="F864" s="395">
        <v>45</v>
      </c>
      <c r="G864" s="125">
        <v>29</v>
      </c>
      <c r="H864" s="11">
        <v>38</v>
      </c>
      <c r="I864" s="403">
        <f>B864+C864+D864+E864+F864+G864+H864</f>
        <v>197</v>
      </c>
      <c r="J864" s="292">
        <f>'NOGAL '!$I864/7</f>
        <v>28.142857142857142</v>
      </c>
    </row>
    <row r="865" spans="1:10" s="71" customFormat="1" x14ac:dyDescent="0.25">
      <c r="A865" s="77" t="s">
        <v>15</v>
      </c>
      <c r="B865" s="233">
        <v>4</v>
      </c>
      <c r="C865" s="13">
        <v>7</v>
      </c>
      <c r="D865" s="13">
        <v>5</v>
      </c>
      <c r="E865" s="395">
        <v>5</v>
      </c>
      <c r="F865" s="395">
        <v>10</v>
      </c>
      <c r="G865" s="125">
        <v>8</v>
      </c>
      <c r="H865" s="11">
        <v>16</v>
      </c>
      <c r="I865" s="403">
        <f>B865+C865+D865+E865+F865+G865+H865</f>
        <v>55</v>
      </c>
      <c r="J865" s="292">
        <f>'NOGAL '!$I865/7</f>
        <v>7.8571428571428568</v>
      </c>
    </row>
    <row r="866" spans="1:10" s="71" customFormat="1" x14ac:dyDescent="0.25">
      <c r="A866" s="77" t="s">
        <v>16</v>
      </c>
      <c r="B866" s="233">
        <v>2</v>
      </c>
      <c r="C866" s="13">
        <v>0</v>
      </c>
      <c r="D866" s="13">
        <v>0</v>
      </c>
      <c r="E866" s="395">
        <v>0</v>
      </c>
      <c r="F866" s="395">
        <v>0</v>
      </c>
      <c r="G866" s="125">
        <v>0</v>
      </c>
      <c r="H866" s="11">
        <v>0</v>
      </c>
      <c r="I866" s="403">
        <f>B866+C866+D866+E866+F866+G866+H866</f>
        <v>2</v>
      </c>
      <c r="J866" s="292">
        <f>'NOGAL '!$I866/7</f>
        <v>0.2857142857142857</v>
      </c>
    </row>
    <row r="867" spans="1:10" s="71" customFormat="1" x14ac:dyDescent="0.25">
      <c r="A867" s="79" t="s">
        <v>17</v>
      </c>
      <c r="B867" s="102">
        <f>SUM(B862:B866)</f>
        <v>76</v>
      </c>
      <c r="C867" s="79">
        <f t="shared" ref="C867:H867" si="365">SUM(C862:C866)</f>
        <v>117</v>
      </c>
      <c r="D867" s="79">
        <f t="shared" si="365"/>
        <v>102</v>
      </c>
      <c r="E867" s="248">
        <f t="shared" si="365"/>
        <v>129</v>
      </c>
      <c r="F867" s="15">
        <f t="shared" si="365"/>
        <v>261</v>
      </c>
      <c r="G867" s="79">
        <f t="shared" si="365"/>
        <v>190</v>
      </c>
      <c r="H867" s="79">
        <f t="shared" si="365"/>
        <v>294</v>
      </c>
      <c r="I867" s="404">
        <f>SUM(I862:I866)</f>
        <v>1169</v>
      </c>
      <c r="J867" s="405">
        <f>'NOGAL '!$I867/7</f>
        <v>167</v>
      </c>
    </row>
    <row r="868" spans="1:10" s="71" customFormat="1" x14ac:dyDescent="0.25">
      <c r="A868" s="77" t="s">
        <v>18</v>
      </c>
      <c r="B868" s="445">
        <v>0.77</v>
      </c>
      <c r="C868" s="235">
        <v>0.78</v>
      </c>
      <c r="D868" s="235">
        <v>0.86</v>
      </c>
      <c r="E868" s="236">
        <v>0.82</v>
      </c>
      <c r="F868" s="236">
        <v>0.82</v>
      </c>
      <c r="G868" s="236">
        <v>0.83</v>
      </c>
      <c r="H868" s="236">
        <v>0.87</v>
      </c>
      <c r="I868" s="105">
        <f>I875/I880</f>
        <v>0.82943783463658693</v>
      </c>
      <c r="J868" s="297">
        <f>J875/J880</f>
        <v>0.82943783463658693</v>
      </c>
    </row>
    <row r="869" spans="1:10" s="71" customFormat="1" x14ac:dyDescent="0.25">
      <c r="A869" s="77" t="s">
        <v>19</v>
      </c>
      <c r="B869" s="445">
        <v>0</v>
      </c>
      <c r="C869" s="235">
        <v>0.02</v>
      </c>
      <c r="D869" s="235">
        <v>0.02</v>
      </c>
      <c r="E869" s="236">
        <v>0</v>
      </c>
      <c r="F869" s="236">
        <v>0.02</v>
      </c>
      <c r="G869" s="236">
        <v>0.02</v>
      </c>
      <c r="H869" s="236">
        <v>0.02</v>
      </c>
      <c r="I869" s="105">
        <f>I876/I880</f>
        <v>1.6486748122853161E-2</v>
      </c>
      <c r="J869" s="297">
        <f>J876/J880</f>
        <v>1.6486748122853161E-2</v>
      </c>
    </row>
    <row r="870" spans="1:10" s="71" customFormat="1" x14ac:dyDescent="0.25">
      <c r="A870" s="77" t="s">
        <v>20</v>
      </c>
      <c r="B870" s="445">
        <v>0.15</v>
      </c>
      <c r="C870" s="235">
        <v>0.13</v>
      </c>
      <c r="D870" s="235">
        <v>0.09</v>
      </c>
      <c r="E870" s="236">
        <v>0.16</v>
      </c>
      <c r="F870" s="236">
        <v>0.13</v>
      </c>
      <c r="G870" s="236">
        <v>0.11</v>
      </c>
      <c r="H870" s="236">
        <v>7.0000000000000007E-2</v>
      </c>
      <c r="I870" s="105">
        <f>I877/I880</f>
        <v>0.11403021327452571</v>
      </c>
      <c r="J870" s="297">
        <f>J877/J880</f>
        <v>0.1140302132745257</v>
      </c>
    </row>
    <row r="871" spans="1:10" s="71" customFormat="1" x14ac:dyDescent="0.25">
      <c r="A871" s="77" t="s">
        <v>21</v>
      </c>
      <c r="B871" s="445">
        <v>0.05</v>
      </c>
      <c r="C871" s="235">
        <v>7.0000000000000007E-2</v>
      </c>
      <c r="D871" s="235">
        <v>0.03</v>
      </c>
      <c r="E871" s="236">
        <v>0.02</v>
      </c>
      <c r="F871" s="236">
        <v>0.03</v>
      </c>
      <c r="G871" s="236">
        <v>0.04</v>
      </c>
      <c r="H871" s="236">
        <v>0.04</v>
      </c>
      <c r="I871" s="105">
        <f>I878/I880</f>
        <v>3.8247464374118377E-2</v>
      </c>
      <c r="J871" s="297">
        <f>J878/J880</f>
        <v>3.8247464374118377E-2</v>
      </c>
    </row>
    <row r="872" spans="1:10" s="71" customFormat="1" x14ac:dyDescent="0.25">
      <c r="A872" s="77" t="s">
        <v>22</v>
      </c>
      <c r="B872" s="445">
        <v>0.03</v>
      </c>
      <c r="C872" s="235">
        <v>0</v>
      </c>
      <c r="D872" s="235">
        <v>0</v>
      </c>
      <c r="E872" s="236">
        <v>0</v>
      </c>
      <c r="F872" s="236">
        <v>0</v>
      </c>
      <c r="G872" s="236">
        <v>0</v>
      </c>
      <c r="H872" s="236">
        <v>0</v>
      </c>
      <c r="I872" s="105">
        <f>I879/I880</f>
        <v>1.7977395919157773E-3</v>
      </c>
      <c r="J872" s="297">
        <f>J879/J880</f>
        <v>1.7977395919157773E-3</v>
      </c>
    </row>
    <row r="873" spans="1:10" s="71" customFormat="1" x14ac:dyDescent="0.25">
      <c r="A873" s="81" t="s">
        <v>23</v>
      </c>
      <c r="B873" s="409">
        <f t="shared" ref="B873:J873" si="366">B884/B867</f>
        <v>33475.000000000007</v>
      </c>
      <c r="C873" s="131">
        <f t="shared" si="366"/>
        <v>38139.316239316242</v>
      </c>
      <c r="D873" s="131">
        <f t="shared" si="366"/>
        <v>36346.078431372553</v>
      </c>
      <c r="E873" s="397">
        <f t="shared" si="366"/>
        <v>38061.240310077519</v>
      </c>
      <c r="F873" s="132">
        <f t="shared" si="366"/>
        <v>37936.398467432955</v>
      </c>
      <c r="G873" s="130">
        <f t="shared" si="366"/>
        <v>37908.947368421053</v>
      </c>
      <c r="H873" s="130">
        <f t="shared" si="366"/>
        <v>33468.027210884356</v>
      </c>
      <c r="I873" s="359">
        <f t="shared" si="366"/>
        <v>36413.430282292567</v>
      </c>
      <c r="J873" s="314">
        <f t="shared" si="366"/>
        <v>36413.430282292567</v>
      </c>
    </row>
    <row r="874" spans="1:10" s="71" customFormat="1" x14ac:dyDescent="0.25">
      <c r="A874" s="81" t="s">
        <v>24</v>
      </c>
      <c r="B874" s="409">
        <f t="shared" ref="B874:J874" si="367">B884/B861</f>
        <v>29582.558139534889</v>
      </c>
      <c r="C874" s="131">
        <f t="shared" si="367"/>
        <v>27545.061728395063</v>
      </c>
      <c r="D874" s="131">
        <f t="shared" si="367"/>
        <v>27874.436090225568</v>
      </c>
      <c r="E874" s="397">
        <f t="shared" si="367"/>
        <v>28712.865497076022</v>
      </c>
      <c r="F874" s="132">
        <f t="shared" si="367"/>
        <v>30372.392638036814</v>
      </c>
      <c r="G874" s="130">
        <f t="shared" si="367"/>
        <v>30780.76923076923</v>
      </c>
      <c r="H874" s="130">
        <f t="shared" si="367"/>
        <v>26884.153005464479</v>
      </c>
      <c r="I874" s="359">
        <f t="shared" si="367"/>
        <v>28800.608930987826</v>
      </c>
      <c r="J874" s="314">
        <f t="shared" si="367"/>
        <v>28800.608930987826</v>
      </c>
    </row>
    <row r="875" spans="1:10" s="71" customFormat="1" x14ac:dyDescent="0.25">
      <c r="A875" s="77" t="s">
        <v>25</v>
      </c>
      <c r="B875" s="255">
        <f t="shared" ref="B875:H875" si="368">B880*B868</f>
        <v>1604129.1844827589</v>
      </c>
      <c r="C875" s="133">
        <f t="shared" si="368"/>
        <v>2859316.4689655174</v>
      </c>
      <c r="D875" s="133">
        <f t="shared" si="368"/>
        <v>2602104.8172413795</v>
      </c>
      <c r="E875" s="299">
        <f t="shared" si="368"/>
        <v>3299382.6793103451</v>
      </c>
      <c r="F875" s="134">
        <f t="shared" si="368"/>
        <v>6642311.31724138</v>
      </c>
      <c r="G875" s="92">
        <f t="shared" si="368"/>
        <v>4885358.5344827585</v>
      </c>
      <c r="H875" s="92">
        <f t="shared" si="368"/>
        <v>6942859.9500000002</v>
      </c>
      <c r="I875" s="108">
        <f>'NOGAL '!$B875+'NOGAL '!$C875+'NOGAL '!$D875+'NOGAL '!$E875+'NOGAL '!$F875+'NOGAL '!$G875+'NOGAL '!$H875</f>
        <v>28835462.951724142</v>
      </c>
      <c r="J875" s="300">
        <f>'NOGAL '!$I875/7</f>
        <v>4119351.850246306</v>
      </c>
    </row>
    <row r="876" spans="1:10" s="71" customFormat="1" x14ac:dyDescent="0.25">
      <c r="A876" s="77" t="s">
        <v>26</v>
      </c>
      <c r="B876" s="255">
        <f t="shared" ref="B876:H876" si="369">B880*B869</f>
        <v>0</v>
      </c>
      <c r="C876" s="133">
        <f t="shared" si="369"/>
        <v>73315.80689655173</v>
      </c>
      <c r="D876" s="133">
        <f t="shared" si="369"/>
        <v>60514.06551724139</v>
      </c>
      <c r="E876" s="299">
        <f t="shared" si="369"/>
        <v>0</v>
      </c>
      <c r="F876" s="134">
        <f t="shared" si="369"/>
        <v>162007.59310344831</v>
      </c>
      <c r="G876" s="92">
        <f t="shared" si="369"/>
        <v>117719.4827586207</v>
      </c>
      <c r="H876" s="92">
        <f t="shared" si="369"/>
        <v>159605.975862069</v>
      </c>
      <c r="I876" s="108">
        <f>'NOGAL '!$B876+'NOGAL '!$C876+'NOGAL '!$D876+'NOGAL '!$E876+'NOGAL '!$F876+'NOGAL '!$G876+'NOGAL '!$H876</f>
        <v>573162.92413793108</v>
      </c>
      <c r="J876" s="300">
        <f>'NOGAL '!$I876/7</f>
        <v>81880.417733990151</v>
      </c>
    </row>
    <row r="877" spans="1:10" s="71" customFormat="1" x14ac:dyDescent="0.25">
      <c r="A877" s="77" t="s">
        <v>27</v>
      </c>
      <c r="B877" s="255">
        <f t="shared" ref="B877:H877" si="370">B880*B870</f>
        <v>312492.69827586209</v>
      </c>
      <c r="C877" s="133">
        <f t="shared" si="370"/>
        <v>476552.74482758623</v>
      </c>
      <c r="D877" s="133">
        <f t="shared" si="370"/>
        <v>272313.29482758621</v>
      </c>
      <c r="E877" s="299">
        <f t="shared" si="370"/>
        <v>643781.9862068966</v>
      </c>
      <c r="F877" s="134">
        <f t="shared" si="370"/>
        <v>1053049.3551724141</v>
      </c>
      <c r="G877" s="92">
        <f t="shared" si="370"/>
        <v>647457.1551724138</v>
      </c>
      <c r="H877" s="92">
        <f t="shared" si="370"/>
        <v>558620.91551724146</v>
      </c>
      <c r="I877" s="108">
        <f>'NOGAL '!$B877+'NOGAL '!$C877+'NOGAL '!$D877+'NOGAL '!$E877+'NOGAL '!$F877+'NOGAL '!$G877+'NOGAL '!$H877</f>
        <v>3964268.1500000004</v>
      </c>
      <c r="J877" s="300">
        <f>'NOGAL '!$I877/7</f>
        <v>566324.02142857143</v>
      </c>
    </row>
    <row r="878" spans="1:10" s="71" customFormat="1" x14ac:dyDescent="0.25">
      <c r="A878" s="77" t="s">
        <v>28</v>
      </c>
      <c r="B878" s="255">
        <f t="shared" ref="B878:H878" si="371">B880*B871</f>
        <v>104164.23275862071</v>
      </c>
      <c r="C878" s="133">
        <f t="shared" si="371"/>
        <v>256605.32413793108</v>
      </c>
      <c r="D878" s="133">
        <f t="shared" si="371"/>
        <v>90771.098275862081</v>
      </c>
      <c r="E878" s="299">
        <f t="shared" si="371"/>
        <v>80472.748275862075</v>
      </c>
      <c r="F878" s="134">
        <f t="shared" si="371"/>
        <v>243011.38965517245</v>
      </c>
      <c r="G878" s="92">
        <f t="shared" si="371"/>
        <v>235438.96551724139</v>
      </c>
      <c r="H878" s="92">
        <f t="shared" si="371"/>
        <v>319211.95172413799</v>
      </c>
      <c r="I878" s="108">
        <f>'NOGAL '!$B878+'NOGAL '!$C878+'NOGAL '!$D878+'NOGAL '!$E878+'NOGAL '!$F878+'NOGAL '!$G878+'NOGAL '!$H878</f>
        <v>1329675.7103448277</v>
      </c>
      <c r="J878" s="300">
        <f>'NOGAL '!$I878/7</f>
        <v>189953.67290640395</v>
      </c>
    </row>
    <row r="879" spans="1:10" s="71" customFormat="1" x14ac:dyDescent="0.25">
      <c r="A879" s="77" t="s">
        <v>29</v>
      </c>
      <c r="B879" s="255">
        <f t="shared" ref="B879:H879" si="372">B880*B872</f>
        <v>62498.539655172419</v>
      </c>
      <c r="C879" s="133">
        <f t="shared" si="372"/>
        <v>0</v>
      </c>
      <c r="D879" s="133">
        <f t="shared" si="372"/>
        <v>0</v>
      </c>
      <c r="E879" s="299">
        <f t="shared" si="372"/>
        <v>0</v>
      </c>
      <c r="F879" s="134">
        <f t="shared" si="372"/>
        <v>0</v>
      </c>
      <c r="G879" s="92">
        <f t="shared" si="372"/>
        <v>0</v>
      </c>
      <c r="H879" s="92">
        <f t="shared" si="372"/>
        <v>0</v>
      </c>
      <c r="I879" s="108">
        <f>'NOGAL '!$B879+'NOGAL '!$C879+'NOGAL '!$D879+'NOGAL '!$E879+'NOGAL '!$F879+'NOGAL '!$G879+'NOGAL '!$H879</f>
        <v>62498.539655172419</v>
      </c>
      <c r="J879" s="300">
        <f>'NOGAL '!$I879/7</f>
        <v>8928.3628078817746</v>
      </c>
    </row>
    <row r="880" spans="1:10" s="71" customFormat="1" x14ac:dyDescent="0.25">
      <c r="A880" s="82" t="s">
        <v>30</v>
      </c>
      <c r="B880" s="222">
        <f>(2544100/1.16)-B881</f>
        <v>2083284.6551724141</v>
      </c>
      <c r="C880" s="222">
        <f>(4462300/1.16)-C881</f>
        <v>3665790.3448275863</v>
      </c>
      <c r="D880" s="222">
        <f>(3707300/1.16)-D881</f>
        <v>3025703.2758620693</v>
      </c>
      <c r="E880" s="222">
        <f>(4909900/1.16)-E881</f>
        <v>4023637.4137931038</v>
      </c>
      <c r="F880" s="222">
        <f>(9901400/1.16)-F881</f>
        <v>8100379.6551724151</v>
      </c>
      <c r="G880" s="222">
        <f>(7202700/1.16)-G881</f>
        <v>5885974.1379310349</v>
      </c>
      <c r="H880" s="222">
        <f>(9839600/1.16)-H881</f>
        <v>7980298.793103449</v>
      </c>
      <c r="I880" s="111">
        <f>SUM(I875:I879)</f>
        <v>34765068.275862075</v>
      </c>
      <c r="J880" s="361">
        <f>'NOGAL '!$I880/7</f>
        <v>4966438.3251231536</v>
      </c>
    </row>
    <row r="881" spans="1:10" s="71" customFormat="1" x14ac:dyDescent="0.25">
      <c r="A881" s="77" t="s">
        <v>31</v>
      </c>
      <c r="B881" s="263">
        <f t="shared" ref="B881:G881" si="373">2155*B862</f>
        <v>109905</v>
      </c>
      <c r="C881" s="139">
        <f t="shared" si="373"/>
        <v>181020</v>
      </c>
      <c r="D881" s="139">
        <f t="shared" si="373"/>
        <v>170245</v>
      </c>
      <c r="E881" s="113">
        <f t="shared" si="373"/>
        <v>209035</v>
      </c>
      <c r="F881" s="112">
        <f t="shared" si="373"/>
        <v>435310</v>
      </c>
      <c r="G881" s="94">
        <f t="shared" si="373"/>
        <v>323250</v>
      </c>
      <c r="H881" s="94">
        <f>2155*H862</f>
        <v>502115</v>
      </c>
      <c r="I881" s="109">
        <f>2155*I862</f>
        <v>1930880</v>
      </c>
      <c r="J881" s="302">
        <f>2155*J862</f>
        <v>275840</v>
      </c>
    </row>
    <row r="882" spans="1:10" s="71" customFormat="1" x14ac:dyDescent="0.25">
      <c r="A882" s="83" t="s">
        <v>32</v>
      </c>
      <c r="B882" s="411">
        <f>B880+B881</f>
        <v>2193189.6551724141</v>
      </c>
      <c r="C882" s="40">
        <f>C880+C881</f>
        <v>3846810.3448275863</v>
      </c>
      <c r="D882" s="40">
        <f t="shared" ref="D882:J882" si="374">D880+D881</f>
        <v>3195948.2758620693</v>
      </c>
      <c r="E882" s="399">
        <f t="shared" si="374"/>
        <v>4232672.4137931038</v>
      </c>
      <c r="F882" s="140">
        <f t="shared" si="374"/>
        <v>8535689.6551724151</v>
      </c>
      <c r="G882" s="39">
        <f t="shared" si="374"/>
        <v>6209224.1379310349</v>
      </c>
      <c r="H882" s="39">
        <f t="shared" si="374"/>
        <v>8482413.793103449</v>
      </c>
      <c r="I882" s="412">
        <f t="shared" si="374"/>
        <v>36695948.275862075</v>
      </c>
      <c r="J882" s="364">
        <f t="shared" si="374"/>
        <v>5242278.3251231536</v>
      </c>
    </row>
    <row r="883" spans="1:10" s="71" customFormat="1" x14ac:dyDescent="0.25">
      <c r="A883" s="77" t="s">
        <v>33</v>
      </c>
      <c r="B883" s="413">
        <f>B882*16%</f>
        <v>350910.34482758626</v>
      </c>
      <c r="C883" s="42">
        <f>C882*16%</f>
        <v>615489.6551724138</v>
      </c>
      <c r="D883" s="42">
        <f t="shared" ref="D883:J883" si="375">D882*16%</f>
        <v>511351.72413793113</v>
      </c>
      <c r="E883" s="400">
        <f t="shared" si="375"/>
        <v>677227.58620689658</v>
      </c>
      <c r="F883" s="141">
        <f t="shared" si="375"/>
        <v>1365710.3448275866</v>
      </c>
      <c r="G883" s="41">
        <f t="shared" si="375"/>
        <v>993475.86206896557</v>
      </c>
      <c r="H883" s="41">
        <f t="shared" si="375"/>
        <v>1357186.2068965519</v>
      </c>
      <c r="I883" s="414">
        <f t="shared" si="375"/>
        <v>5871351.7241379321</v>
      </c>
      <c r="J883" s="415">
        <f t="shared" si="375"/>
        <v>838764.53201970458</v>
      </c>
    </row>
    <row r="884" spans="1:10" s="71" customFormat="1" x14ac:dyDescent="0.25">
      <c r="A884" s="142" t="s">
        <v>34</v>
      </c>
      <c r="B884" s="438">
        <f t="shared" ref="B884:H884" si="376">B882+B883</f>
        <v>2544100.0000000005</v>
      </c>
      <c r="C884" s="143">
        <f t="shared" si="376"/>
        <v>4462300</v>
      </c>
      <c r="D884" s="143">
        <f t="shared" si="376"/>
        <v>3707300.0000000005</v>
      </c>
      <c r="E884" s="439">
        <f t="shared" si="376"/>
        <v>4909900</v>
      </c>
      <c r="F884" s="145">
        <f t="shared" si="376"/>
        <v>9901400.0000000019</v>
      </c>
      <c r="G884" s="144">
        <f t="shared" si="376"/>
        <v>7202700</v>
      </c>
      <c r="H884" s="144">
        <f t="shared" si="376"/>
        <v>9839600</v>
      </c>
      <c r="I884" s="440">
        <f>+I882+I883</f>
        <v>42567300.000000007</v>
      </c>
      <c r="J884" s="441">
        <f>'NOGAL '!$I884/7</f>
        <v>6081042.8571428582</v>
      </c>
    </row>
    <row r="885" spans="1:10" s="71" customFormat="1" ht="15.75" thickBot="1" x14ac:dyDescent="0.3">
      <c r="A885" s="69"/>
      <c r="B885" s="424"/>
      <c r="C885" s="424"/>
      <c r="D885" s="424"/>
      <c r="E885" s="424"/>
      <c r="F885" s="424"/>
      <c r="G885" s="424"/>
      <c r="H885" s="424"/>
      <c r="I885" s="424"/>
      <c r="J885" s="424"/>
    </row>
    <row r="886" spans="1:10" s="71" customFormat="1" ht="26.25" x14ac:dyDescent="0.25">
      <c r="A886" s="85"/>
      <c r="B886" s="1002" t="s">
        <v>373</v>
      </c>
      <c r="C886" s="1002"/>
      <c r="D886" s="1002"/>
      <c r="E886" s="1002"/>
      <c r="F886" s="1002"/>
      <c r="G886" s="1002"/>
      <c r="H886" s="1002"/>
      <c r="I886" s="1002"/>
      <c r="J886" s="85"/>
    </row>
    <row r="887" spans="1:10" s="71" customFormat="1" ht="15.75" x14ac:dyDescent="0.25">
      <c r="A887" s="72" t="s">
        <v>2</v>
      </c>
      <c r="B887" s="121" t="s">
        <v>45</v>
      </c>
      <c r="C887" s="121" t="s">
        <v>289</v>
      </c>
      <c r="D887" s="121" t="s">
        <v>47</v>
      </c>
      <c r="E887" s="121" t="s">
        <v>48</v>
      </c>
      <c r="F887" s="121" t="s">
        <v>49</v>
      </c>
      <c r="G887" s="121" t="s">
        <v>50</v>
      </c>
      <c r="H887" s="121" t="s">
        <v>290</v>
      </c>
      <c r="I887" s="153" t="s">
        <v>10</v>
      </c>
      <c r="J887" s="421" t="s">
        <v>77</v>
      </c>
    </row>
    <row r="888" spans="1:10" s="71" customFormat="1" x14ac:dyDescent="0.25">
      <c r="A888" s="430" t="s">
        <v>11</v>
      </c>
      <c r="B888" s="431">
        <f>82+28+8</f>
        <v>118</v>
      </c>
      <c r="C888" s="432">
        <f>90+34+13</f>
        <v>137</v>
      </c>
      <c r="D888" s="433">
        <f>85+35+16</f>
        <v>136</v>
      </c>
      <c r="E888" s="434">
        <f>119+53+25</f>
        <v>197</v>
      </c>
      <c r="F888" s="434">
        <f>197+83+20</f>
        <v>300</v>
      </c>
      <c r="G888" s="435">
        <f>244+104+49</f>
        <v>397</v>
      </c>
      <c r="H888" s="434">
        <f>195+98+32</f>
        <v>325</v>
      </c>
      <c r="I888" s="435">
        <f>SUM(B888:H888)</f>
        <v>1610</v>
      </c>
      <c r="J888" s="437">
        <f>'NOGAL '!$I888/7</f>
        <v>230</v>
      </c>
    </row>
    <row r="889" spans="1:10" s="71" customFormat="1" x14ac:dyDescent="0.25">
      <c r="A889" s="77" t="s">
        <v>12</v>
      </c>
      <c r="B889" s="233">
        <v>63</v>
      </c>
      <c r="C889" s="13">
        <v>86</v>
      </c>
      <c r="D889" s="13">
        <v>78</v>
      </c>
      <c r="E889" s="395">
        <v>125</v>
      </c>
      <c r="F889" s="446">
        <v>168</v>
      </c>
      <c r="G889" s="125">
        <v>223</v>
      </c>
      <c r="H889" s="11">
        <v>211</v>
      </c>
      <c r="I889" s="403">
        <f>B889+C889+D889+E889+F889+G889+H889</f>
        <v>954</v>
      </c>
      <c r="J889" s="292">
        <f>'NOGAL '!$I889/7</f>
        <v>136.28571428571428</v>
      </c>
    </row>
    <row r="890" spans="1:10" s="71" customFormat="1" x14ac:dyDescent="0.25">
      <c r="A890" s="77" t="s">
        <v>13</v>
      </c>
      <c r="B890" s="233">
        <v>2</v>
      </c>
      <c r="C890" s="13">
        <v>1</v>
      </c>
      <c r="D890" s="13">
        <v>1</v>
      </c>
      <c r="E890" s="395">
        <v>1</v>
      </c>
      <c r="F890" s="395">
        <v>3</v>
      </c>
      <c r="G890" s="125">
        <v>2</v>
      </c>
      <c r="H890" s="11">
        <v>3</v>
      </c>
      <c r="I890" s="403">
        <f>B890+C890+D890+E890+F890+G890+H890</f>
        <v>13</v>
      </c>
      <c r="J890" s="292">
        <f>C890+D890+E890+F890+G890+H890+I890</f>
        <v>24</v>
      </c>
    </row>
    <row r="891" spans="1:10" s="71" customFormat="1" x14ac:dyDescent="0.25">
      <c r="A891" s="77" t="s">
        <v>14</v>
      </c>
      <c r="B891" s="233">
        <v>15</v>
      </c>
      <c r="C891" s="13">
        <v>14</v>
      </c>
      <c r="D891" s="13">
        <v>16</v>
      </c>
      <c r="E891" s="395">
        <v>14</v>
      </c>
      <c r="F891" s="395">
        <v>35</v>
      </c>
      <c r="G891" s="125">
        <v>40</v>
      </c>
      <c r="H891" s="11">
        <v>22</v>
      </c>
      <c r="I891" s="403">
        <f>B891+C891+D891+E891+F891+G891+H891</f>
        <v>156</v>
      </c>
      <c r="J891" s="292">
        <f>'NOGAL '!$I891/7</f>
        <v>22.285714285714285</v>
      </c>
    </row>
    <row r="892" spans="1:10" s="71" customFormat="1" x14ac:dyDescent="0.25">
      <c r="A892" s="77" t="s">
        <v>15</v>
      </c>
      <c r="B892" s="233">
        <v>3</v>
      </c>
      <c r="C892" s="13">
        <v>2</v>
      </c>
      <c r="D892" s="13">
        <v>5</v>
      </c>
      <c r="E892" s="395">
        <v>3</v>
      </c>
      <c r="F892" s="395">
        <v>9</v>
      </c>
      <c r="G892" s="125">
        <v>12</v>
      </c>
      <c r="H892" s="11">
        <v>10</v>
      </c>
      <c r="I892" s="403">
        <f>B892+C892+D892+E892+F892+G892+H892</f>
        <v>44</v>
      </c>
      <c r="J892" s="292">
        <f>'NOGAL '!$I892/7</f>
        <v>6.2857142857142856</v>
      </c>
    </row>
    <row r="893" spans="1:10" s="71" customFormat="1" x14ac:dyDescent="0.25">
      <c r="A893" s="77" t="s">
        <v>16</v>
      </c>
      <c r="B893" s="233">
        <v>0</v>
      </c>
      <c r="C893" s="13">
        <v>0</v>
      </c>
      <c r="D893" s="13">
        <v>0</v>
      </c>
      <c r="E893" s="395">
        <v>0</v>
      </c>
      <c r="F893" s="395">
        <v>0</v>
      </c>
      <c r="G893" s="125">
        <v>1</v>
      </c>
      <c r="H893" s="11">
        <v>0</v>
      </c>
      <c r="I893" s="403">
        <f>B893+C893+D893+E893+F893+G893+H893</f>
        <v>1</v>
      </c>
      <c r="J893" s="292">
        <f>'NOGAL '!$I893/7</f>
        <v>0.14285714285714285</v>
      </c>
    </row>
    <row r="894" spans="1:10" s="71" customFormat="1" x14ac:dyDescent="0.25">
      <c r="A894" s="79" t="s">
        <v>17</v>
      </c>
      <c r="B894" s="102">
        <f>SUM(B889:B893)</f>
        <v>83</v>
      </c>
      <c r="C894" s="79">
        <f t="shared" ref="C894:H894" si="377">SUM(C889:C893)</f>
        <v>103</v>
      </c>
      <c r="D894" s="79">
        <f t="shared" si="377"/>
        <v>100</v>
      </c>
      <c r="E894" s="248">
        <f t="shared" si="377"/>
        <v>143</v>
      </c>
      <c r="F894" s="15">
        <f t="shared" si="377"/>
        <v>215</v>
      </c>
      <c r="G894" s="79">
        <f t="shared" si="377"/>
        <v>278</v>
      </c>
      <c r="H894" s="79">
        <f t="shared" si="377"/>
        <v>246</v>
      </c>
      <c r="I894" s="404">
        <f>SUM(I889:I893)</f>
        <v>1168</v>
      </c>
      <c r="J894" s="405">
        <f>'NOGAL '!$I894/7</f>
        <v>166.85714285714286</v>
      </c>
    </row>
    <row r="895" spans="1:10" s="71" customFormat="1" x14ac:dyDescent="0.25">
      <c r="A895" s="77" t="s">
        <v>18</v>
      </c>
      <c r="B895" s="445">
        <v>0.86</v>
      </c>
      <c r="C895" s="235">
        <v>0.89</v>
      </c>
      <c r="D895" s="235">
        <v>0.84</v>
      </c>
      <c r="E895" s="236">
        <v>0.92</v>
      </c>
      <c r="F895" s="236">
        <v>0.82</v>
      </c>
      <c r="G895" s="236">
        <v>0.88</v>
      </c>
      <c r="H895" s="236">
        <v>0.88</v>
      </c>
      <c r="I895" s="105">
        <f>I902/I907</f>
        <v>0.86921036651854511</v>
      </c>
      <c r="J895" s="297">
        <f>J902/J907</f>
        <v>0.869210366518545</v>
      </c>
    </row>
    <row r="896" spans="1:10" s="71" customFormat="1" x14ac:dyDescent="0.25">
      <c r="A896" s="77" t="s">
        <v>19</v>
      </c>
      <c r="B896" s="445">
        <v>0.01</v>
      </c>
      <c r="C896" s="235">
        <v>0.01</v>
      </c>
      <c r="D896" s="235">
        <v>0</v>
      </c>
      <c r="E896" s="236">
        <v>0.01</v>
      </c>
      <c r="F896" s="236">
        <v>0.01</v>
      </c>
      <c r="G896" s="236">
        <v>0.01</v>
      </c>
      <c r="H896" s="236">
        <v>0.02</v>
      </c>
      <c r="I896" s="105">
        <f>I903/I907</f>
        <v>1.112884470739783E-2</v>
      </c>
      <c r="J896" s="297">
        <f>J903/J907</f>
        <v>1.112884470739783E-2</v>
      </c>
    </row>
    <row r="897" spans="1:10" s="71" customFormat="1" x14ac:dyDescent="0.25">
      <c r="A897" s="77" t="s">
        <v>20</v>
      </c>
      <c r="B897" s="445">
        <v>0.11</v>
      </c>
      <c r="C897" s="235">
        <v>0.08</v>
      </c>
      <c r="D897" s="235">
        <v>0.12</v>
      </c>
      <c r="E897" s="236">
        <v>0.05</v>
      </c>
      <c r="F897" s="236">
        <v>0.13</v>
      </c>
      <c r="G897" s="236">
        <v>0.08</v>
      </c>
      <c r="H897" s="236">
        <v>0.05</v>
      </c>
      <c r="I897" s="105">
        <f>I904/I907</f>
        <v>8.5799430567492854E-2</v>
      </c>
      <c r="J897" s="297">
        <f>J904/J907</f>
        <v>8.5799430567492854E-2</v>
      </c>
    </row>
    <row r="898" spans="1:10" s="71" customFormat="1" x14ac:dyDescent="0.25">
      <c r="A898" s="77" t="s">
        <v>21</v>
      </c>
      <c r="B898" s="445">
        <v>0.02</v>
      </c>
      <c r="C898" s="235">
        <v>0.02</v>
      </c>
      <c r="D898" s="235">
        <v>0.04</v>
      </c>
      <c r="E898" s="236">
        <v>0.02</v>
      </c>
      <c r="F898" s="236">
        <v>0.04</v>
      </c>
      <c r="G898" s="236">
        <v>0.03</v>
      </c>
      <c r="H898" s="236">
        <v>0.05</v>
      </c>
      <c r="I898" s="105">
        <f>I905/I907</f>
        <v>3.3861358206564093E-2</v>
      </c>
      <c r="J898" s="297">
        <f>J905/J907</f>
        <v>3.3861358206564093E-2</v>
      </c>
    </row>
    <row r="899" spans="1:10" s="71" customFormat="1" x14ac:dyDescent="0.25">
      <c r="A899" s="77" t="s">
        <v>22</v>
      </c>
      <c r="B899" s="445">
        <v>0</v>
      </c>
      <c r="C899" s="235">
        <v>0</v>
      </c>
      <c r="D899" s="235">
        <v>0</v>
      </c>
      <c r="E899" s="236">
        <v>0</v>
      </c>
      <c r="F899" s="236">
        <v>0</v>
      </c>
      <c r="G899" s="236">
        <v>0</v>
      </c>
      <c r="H899" s="236">
        <v>0</v>
      </c>
      <c r="I899" s="105">
        <f>I906/I907</f>
        <v>0</v>
      </c>
      <c r="J899" s="297">
        <f>J906/J907</f>
        <v>0</v>
      </c>
    </row>
    <row r="900" spans="1:10" s="71" customFormat="1" x14ac:dyDescent="0.25">
      <c r="A900" s="81" t="s">
        <v>23</v>
      </c>
      <c r="B900" s="409">
        <f t="shared" ref="B900:J900" si="378">B911/B894</f>
        <v>45160.240963855424</v>
      </c>
      <c r="C900" s="131">
        <f t="shared" si="378"/>
        <v>37452.427184466018</v>
      </c>
      <c r="D900" s="131">
        <f t="shared" si="378"/>
        <v>39255</v>
      </c>
      <c r="E900" s="397">
        <f t="shared" si="378"/>
        <v>39171.32867132868</v>
      </c>
      <c r="F900" s="132">
        <f t="shared" si="378"/>
        <v>41939.534883720931</v>
      </c>
      <c r="G900" s="130">
        <f t="shared" si="378"/>
        <v>43782.733812949649</v>
      </c>
      <c r="H900" s="130">
        <f t="shared" si="378"/>
        <v>38100.406504065038</v>
      </c>
      <c r="I900" s="359">
        <f t="shared" si="378"/>
        <v>40834.07534246576</v>
      </c>
      <c r="J900" s="314">
        <f t="shared" si="378"/>
        <v>40834.07534246576</v>
      </c>
    </row>
    <row r="901" spans="1:10" s="71" customFormat="1" x14ac:dyDescent="0.25">
      <c r="A901" s="81" t="s">
        <v>24</v>
      </c>
      <c r="B901" s="409">
        <f t="shared" ref="B901:J901" si="379">B911/B888</f>
        <v>31765.254237288136</v>
      </c>
      <c r="C901" s="131">
        <f t="shared" si="379"/>
        <v>28157.664233576641</v>
      </c>
      <c r="D901" s="131">
        <f t="shared" si="379"/>
        <v>28863.970588235294</v>
      </c>
      <c r="E901" s="397">
        <f t="shared" si="379"/>
        <v>28434.010152284267</v>
      </c>
      <c r="F901" s="132">
        <f t="shared" si="379"/>
        <v>30056.666666666668</v>
      </c>
      <c r="G901" s="130">
        <f t="shared" si="379"/>
        <v>30658.942065491188</v>
      </c>
      <c r="H901" s="130">
        <f t="shared" si="379"/>
        <v>28839.076923076922</v>
      </c>
      <c r="I901" s="359">
        <f t="shared" si="379"/>
        <v>29623.726708074541</v>
      </c>
      <c r="J901" s="314">
        <f t="shared" si="379"/>
        <v>29623.726708074537</v>
      </c>
    </row>
    <row r="902" spans="1:10" s="71" customFormat="1" x14ac:dyDescent="0.25">
      <c r="A902" s="77" t="s">
        <v>25</v>
      </c>
      <c r="B902" s="255">
        <f t="shared" ref="B902:H902" si="380">B907*B895</f>
        <v>2662154.1689655171</v>
      </c>
      <c r="C902" s="133">
        <f t="shared" si="380"/>
        <v>2794766.6448275861</v>
      </c>
      <c r="D902" s="133">
        <f t="shared" si="380"/>
        <v>2701407.8482758622</v>
      </c>
      <c r="E902" s="299">
        <f t="shared" si="380"/>
        <v>4194743.9655172424</v>
      </c>
      <c r="F902" s="134">
        <f t="shared" si="380"/>
        <v>6077213.4068965521</v>
      </c>
      <c r="G902" s="92">
        <f t="shared" si="380"/>
        <v>8810730.386206897</v>
      </c>
      <c r="H902" s="92">
        <f t="shared" si="380"/>
        <v>6710183.7379310355</v>
      </c>
      <c r="I902" s="108">
        <f>'NOGAL '!$B902+'NOGAL '!$C902+'NOGAL '!$D902+'NOGAL '!$E902+'NOGAL '!$F902+'NOGAL '!$G902+'NOGAL '!$H902</f>
        <v>33951200.158620693</v>
      </c>
      <c r="J902" s="300">
        <f>'NOGAL '!$I902/7</f>
        <v>4850171.4512315271</v>
      </c>
    </row>
    <row r="903" spans="1:10" s="71" customFormat="1" x14ac:dyDescent="0.25">
      <c r="A903" s="77" t="s">
        <v>26</v>
      </c>
      <c r="B903" s="255">
        <f t="shared" ref="B903:H903" si="381">B907*B896</f>
        <v>30955.281034482759</v>
      </c>
      <c r="C903" s="133">
        <f t="shared" si="381"/>
        <v>31401.872413793106</v>
      </c>
      <c r="D903" s="133">
        <f t="shared" si="381"/>
        <v>0</v>
      </c>
      <c r="E903" s="299">
        <f t="shared" si="381"/>
        <v>45595.043103448283</v>
      </c>
      <c r="F903" s="134">
        <f t="shared" si="381"/>
        <v>74112.358620689658</v>
      </c>
      <c r="G903" s="92">
        <f t="shared" si="381"/>
        <v>100121.93620689657</v>
      </c>
      <c r="H903" s="92">
        <f t="shared" si="381"/>
        <v>152504.17586206898</v>
      </c>
      <c r="I903" s="108">
        <f>'NOGAL '!$B903+'NOGAL '!$C903+'NOGAL '!$D903+'NOGAL '!$E903+'NOGAL '!$F903+'NOGAL '!$G903+'NOGAL '!$H903</f>
        <v>434690.66724137939</v>
      </c>
      <c r="J903" s="300">
        <f>'NOGAL '!$I903/7</f>
        <v>62098.666748768483</v>
      </c>
    </row>
    <row r="904" spans="1:10" s="71" customFormat="1" x14ac:dyDescent="0.25">
      <c r="A904" s="77" t="s">
        <v>27</v>
      </c>
      <c r="B904" s="255">
        <f t="shared" ref="B904:H904" si="382">B907*B897</f>
        <v>340508.09137931035</v>
      </c>
      <c r="C904" s="133">
        <f t="shared" si="382"/>
        <v>251214.97931034485</v>
      </c>
      <c r="D904" s="133">
        <f t="shared" si="382"/>
        <v>385915.40689655172</v>
      </c>
      <c r="E904" s="299">
        <f t="shared" si="382"/>
        <v>227975.21551724142</v>
      </c>
      <c r="F904" s="134">
        <f t="shared" si="382"/>
        <v>963460.66206896561</v>
      </c>
      <c r="G904" s="92">
        <f t="shared" si="382"/>
        <v>800975.48965517257</v>
      </c>
      <c r="H904" s="92">
        <f t="shared" si="382"/>
        <v>381260.43965517246</v>
      </c>
      <c r="I904" s="108">
        <f>'NOGAL '!$B904+'NOGAL '!$C904+'NOGAL '!$D904+'NOGAL '!$E904+'NOGAL '!$F904+'NOGAL '!$G904+'NOGAL '!$H904</f>
        <v>3351310.284482759</v>
      </c>
      <c r="J904" s="300">
        <f>'NOGAL '!$I904/7</f>
        <v>478758.61206896557</v>
      </c>
    </row>
    <row r="905" spans="1:10" s="71" customFormat="1" x14ac:dyDescent="0.25">
      <c r="A905" s="77" t="s">
        <v>28</v>
      </c>
      <c r="B905" s="255">
        <f t="shared" ref="B905:H905" si="383">B907*B898</f>
        <v>61910.562068965519</v>
      </c>
      <c r="C905" s="133">
        <f t="shared" si="383"/>
        <v>62803.744827586212</v>
      </c>
      <c r="D905" s="133">
        <f t="shared" si="383"/>
        <v>128638.46896551726</v>
      </c>
      <c r="E905" s="299">
        <f t="shared" si="383"/>
        <v>91190.086206896565</v>
      </c>
      <c r="F905" s="134">
        <f t="shared" si="383"/>
        <v>296449.43448275863</v>
      </c>
      <c r="G905" s="92">
        <f t="shared" si="383"/>
        <v>300365.80862068967</v>
      </c>
      <c r="H905" s="92">
        <f t="shared" si="383"/>
        <v>381260.43965517246</v>
      </c>
      <c r="I905" s="108">
        <f>'NOGAL '!$B905+'NOGAL '!$C905+'NOGAL '!$D905+'NOGAL '!$E905+'NOGAL '!$F905+'NOGAL '!$G905+'NOGAL '!$H905</f>
        <v>1322618.5448275863</v>
      </c>
      <c r="J905" s="300">
        <f>'NOGAL '!$I905/7</f>
        <v>188945.5064039409</v>
      </c>
    </row>
    <row r="906" spans="1:10" s="71" customFormat="1" x14ac:dyDescent="0.25">
      <c r="A906" s="77" t="s">
        <v>29</v>
      </c>
      <c r="B906" s="255">
        <f t="shared" ref="B906:H906" si="384">B907*B899</f>
        <v>0</v>
      </c>
      <c r="C906" s="133">
        <f t="shared" si="384"/>
        <v>0</v>
      </c>
      <c r="D906" s="133">
        <f t="shared" si="384"/>
        <v>0</v>
      </c>
      <c r="E906" s="299">
        <f t="shared" si="384"/>
        <v>0</v>
      </c>
      <c r="F906" s="134">
        <f t="shared" si="384"/>
        <v>0</v>
      </c>
      <c r="G906" s="92">
        <f t="shared" si="384"/>
        <v>0</v>
      </c>
      <c r="H906" s="92">
        <f t="shared" si="384"/>
        <v>0</v>
      </c>
      <c r="I906" s="108">
        <f>'NOGAL '!$B906+'NOGAL '!$C906+'NOGAL '!$D906+'NOGAL '!$E906+'NOGAL '!$F906+'NOGAL '!$G906+'NOGAL '!$H906</f>
        <v>0</v>
      </c>
      <c r="J906" s="300">
        <f>'NOGAL '!$I906/7</f>
        <v>0</v>
      </c>
    </row>
    <row r="907" spans="1:10" s="71" customFormat="1" x14ac:dyDescent="0.25">
      <c r="A907" s="82" t="s">
        <v>30</v>
      </c>
      <c r="B907" s="222">
        <f>(3748300/1.16)-B908</f>
        <v>3095528.1034482759</v>
      </c>
      <c r="C907" s="222">
        <f>(3857600/1.16)-C908</f>
        <v>3140187.2413793104</v>
      </c>
      <c r="D907" s="222">
        <f>(3925500/1.16)-D908</f>
        <v>3215961.7241379311</v>
      </c>
      <c r="E907" s="222">
        <f>(5601500/1.16)-E908</f>
        <v>4559504.3103448283</v>
      </c>
      <c r="F907" s="222">
        <f>(9017000/1.16)-F908</f>
        <v>7411235.862068966</v>
      </c>
      <c r="G907" s="222">
        <f>(12171600/1.16)-G908</f>
        <v>10012193.620689657</v>
      </c>
      <c r="H907" s="222">
        <f>(9372700/1.16)-H908</f>
        <v>7625208.793103449</v>
      </c>
      <c r="I907" s="111">
        <f>SUM(I902:I906)</f>
        <v>39059819.655172423</v>
      </c>
      <c r="J907" s="361">
        <f>'NOGAL '!$I907/7</f>
        <v>5579974.2364532035</v>
      </c>
    </row>
    <row r="908" spans="1:10" s="71" customFormat="1" x14ac:dyDescent="0.25">
      <c r="A908" s="77" t="s">
        <v>31</v>
      </c>
      <c r="B908" s="263">
        <f t="shared" ref="B908:G908" si="385">2155*B889</f>
        <v>135765</v>
      </c>
      <c r="C908" s="139">
        <f t="shared" si="385"/>
        <v>185330</v>
      </c>
      <c r="D908" s="139">
        <f t="shared" si="385"/>
        <v>168090</v>
      </c>
      <c r="E908" s="113">
        <f t="shared" si="385"/>
        <v>269375</v>
      </c>
      <c r="F908" s="112">
        <f t="shared" si="385"/>
        <v>362040</v>
      </c>
      <c r="G908" s="94">
        <f t="shared" si="385"/>
        <v>480565</v>
      </c>
      <c r="H908" s="94">
        <f>2155*H889</f>
        <v>454705</v>
      </c>
      <c r="I908" s="109">
        <f>2155*I889</f>
        <v>2055870</v>
      </c>
      <c r="J908" s="302">
        <f>2155*J889</f>
        <v>293695.71428571426</v>
      </c>
    </row>
    <row r="909" spans="1:10" s="71" customFormat="1" x14ac:dyDescent="0.25">
      <c r="A909" s="83" t="s">
        <v>32</v>
      </c>
      <c r="B909" s="411">
        <f>B907+B908</f>
        <v>3231293.1034482759</v>
      </c>
      <c r="C909" s="40">
        <f>C907+C908</f>
        <v>3325517.2413793104</v>
      </c>
      <c r="D909" s="40">
        <f t="shared" ref="D909:J909" si="386">D907+D908</f>
        <v>3384051.7241379311</v>
      </c>
      <c r="E909" s="399">
        <f t="shared" si="386"/>
        <v>4828879.3103448283</v>
      </c>
      <c r="F909" s="140">
        <f t="shared" si="386"/>
        <v>7773275.862068966</v>
      </c>
      <c r="G909" s="39">
        <f t="shared" si="386"/>
        <v>10492758.620689657</v>
      </c>
      <c r="H909" s="39">
        <f t="shared" si="386"/>
        <v>8079913.793103449</v>
      </c>
      <c r="I909" s="412">
        <f t="shared" si="386"/>
        <v>41115689.655172423</v>
      </c>
      <c r="J909" s="364">
        <f t="shared" si="386"/>
        <v>5873669.950738918</v>
      </c>
    </row>
    <row r="910" spans="1:10" s="71" customFormat="1" x14ac:dyDescent="0.25">
      <c r="A910" s="77" t="s">
        <v>33</v>
      </c>
      <c r="B910" s="413">
        <f>B909*16%</f>
        <v>517006.89655172417</v>
      </c>
      <c r="C910" s="42">
        <f>C909*16%</f>
        <v>532082.75862068962</v>
      </c>
      <c r="D910" s="42">
        <f t="shared" ref="D910:J910" si="387">D909*16%</f>
        <v>541448.27586206899</v>
      </c>
      <c r="E910" s="400">
        <f t="shared" si="387"/>
        <v>772620.68965517252</v>
      </c>
      <c r="F910" s="141">
        <f t="shared" si="387"/>
        <v>1243724.1379310347</v>
      </c>
      <c r="G910" s="41">
        <f t="shared" si="387"/>
        <v>1678841.379310345</v>
      </c>
      <c r="H910" s="41">
        <f t="shared" si="387"/>
        <v>1292786.2068965519</v>
      </c>
      <c r="I910" s="414">
        <f t="shared" si="387"/>
        <v>6578510.3448275877</v>
      </c>
      <c r="J910" s="415">
        <f t="shared" si="387"/>
        <v>939787.1921182269</v>
      </c>
    </row>
    <row r="911" spans="1:10" s="71" customFormat="1" x14ac:dyDescent="0.25">
      <c r="A911" s="142" t="s">
        <v>34</v>
      </c>
      <c r="B911" s="438">
        <f t="shared" ref="B911:H911" si="388">B909+B910</f>
        <v>3748300</v>
      </c>
      <c r="C911" s="143">
        <f t="shared" si="388"/>
        <v>3857600</v>
      </c>
      <c r="D911" s="143">
        <f t="shared" si="388"/>
        <v>3925500</v>
      </c>
      <c r="E911" s="439">
        <f t="shared" si="388"/>
        <v>5601500.0000000009</v>
      </c>
      <c r="F911" s="145">
        <f t="shared" si="388"/>
        <v>9017000</v>
      </c>
      <c r="G911" s="144">
        <f t="shared" si="388"/>
        <v>12171600.000000002</v>
      </c>
      <c r="H911" s="144">
        <f t="shared" si="388"/>
        <v>9372700</v>
      </c>
      <c r="I911" s="440">
        <f>+I909+I910</f>
        <v>47694200.000000007</v>
      </c>
      <c r="J911" s="441">
        <f>'NOGAL '!$I911/7</f>
        <v>6813457.1428571437</v>
      </c>
    </row>
    <row r="912" spans="1:10" s="71" customFormat="1" ht="15.75" thickBot="1" x14ac:dyDescent="0.3">
      <c r="A912" s="69"/>
      <c r="B912" s="424"/>
      <c r="C912" s="424"/>
      <c r="D912" s="424"/>
      <c r="E912" s="424"/>
      <c r="F912" s="424"/>
      <c r="G912" s="424"/>
      <c r="H912" s="424"/>
      <c r="I912" s="424"/>
      <c r="J912" s="424"/>
    </row>
    <row r="913" spans="1:10" s="71" customFormat="1" ht="26.25" x14ac:dyDescent="0.25">
      <c r="A913" s="85"/>
      <c r="B913" s="1002" t="s">
        <v>374</v>
      </c>
      <c r="C913" s="1002"/>
      <c r="D913" s="1002"/>
      <c r="E913" s="1002"/>
      <c r="F913" s="1002"/>
      <c r="G913" s="1002"/>
      <c r="H913" s="1002"/>
      <c r="I913" s="1002"/>
      <c r="J913" s="85"/>
    </row>
    <row r="914" spans="1:10" s="71" customFormat="1" ht="15.75" x14ac:dyDescent="0.25">
      <c r="A914" s="72" t="s">
        <v>2</v>
      </c>
      <c r="B914" s="121" t="s">
        <v>53</v>
      </c>
      <c r="C914" s="121" t="s">
        <v>54</v>
      </c>
      <c r="D914" s="121" t="s">
        <v>292</v>
      </c>
      <c r="E914" s="121" t="s">
        <v>293</v>
      </c>
      <c r="F914" s="121" t="s">
        <v>294</v>
      </c>
      <c r="G914" s="121" t="s">
        <v>295</v>
      </c>
      <c r="H914" s="121" t="s">
        <v>296</v>
      </c>
      <c r="I914" s="153" t="s">
        <v>10</v>
      </c>
      <c r="J914" s="421" t="s">
        <v>77</v>
      </c>
    </row>
    <row r="915" spans="1:10" s="71" customFormat="1" x14ac:dyDescent="0.25">
      <c r="A915" s="430" t="s">
        <v>11</v>
      </c>
      <c r="B915" s="431">
        <f>72+30+11</f>
        <v>113</v>
      </c>
      <c r="C915" s="432">
        <f>114+39+13</f>
        <v>166</v>
      </c>
      <c r="D915" s="433">
        <f>115+41+19</f>
        <v>175</v>
      </c>
      <c r="E915" s="434">
        <f>123+65+20</f>
        <v>208</v>
      </c>
      <c r="F915" s="434">
        <f>147+110+27</f>
        <v>284</v>
      </c>
      <c r="G915" s="435">
        <f>148+87+17</f>
        <v>252</v>
      </c>
      <c r="H915" s="434">
        <f>169+79+38</f>
        <v>286</v>
      </c>
      <c r="I915" s="435">
        <f>SUM(B915:H915)</f>
        <v>1484</v>
      </c>
      <c r="J915" s="437">
        <f>'NOGAL '!$I915/7</f>
        <v>212</v>
      </c>
    </row>
    <row r="916" spans="1:10" s="71" customFormat="1" x14ac:dyDescent="0.25">
      <c r="A916" s="77" t="s">
        <v>12</v>
      </c>
      <c r="B916" s="233">
        <v>69</v>
      </c>
      <c r="C916" s="13">
        <v>96</v>
      </c>
      <c r="D916" s="13">
        <v>110</v>
      </c>
      <c r="E916" s="395">
        <v>130</v>
      </c>
      <c r="F916" s="446">
        <v>181</v>
      </c>
      <c r="G916" s="125">
        <v>152</v>
      </c>
      <c r="H916" s="11">
        <v>157</v>
      </c>
      <c r="I916" s="403">
        <f>B916+C916+D916+E916+F916+G916+H916</f>
        <v>895</v>
      </c>
      <c r="J916" s="292">
        <f>'NOGAL '!$I916/7</f>
        <v>127.85714285714286</v>
      </c>
    </row>
    <row r="917" spans="1:10" s="71" customFormat="1" x14ac:dyDescent="0.25">
      <c r="A917" s="77" t="s">
        <v>13</v>
      </c>
      <c r="B917" s="233">
        <v>0</v>
      </c>
      <c r="C917" s="13">
        <v>1</v>
      </c>
      <c r="D917" s="13">
        <v>0</v>
      </c>
      <c r="E917" s="395">
        <v>2</v>
      </c>
      <c r="F917" s="395">
        <v>2</v>
      </c>
      <c r="G917" s="125">
        <v>4</v>
      </c>
      <c r="H917" s="11">
        <v>11</v>
      </c>
      <c r="I917" s="403">
        <f>B917+C917+D917+E917+F917+G917+H917</f>
        <v>20</v>
      </c>
      <c r="J917" s="292">
        <f>C917+D917+E917+F917+G917+H917+I917</f>
        <v>40</v>
      </c>
    </row>
    <row r="918" spans="1:10" s="71" customFormat="1" x14ac:dyDescent="0.25">
      <c r="A918" s="77" t="s">
        <v>14</v>
      </c>
      <c r="B918" s="233">
        <v>18</v>
      </c>
      <c r="C918" s="13">
        <v>14</v>
      </c>
      <c r="D918" s="13">
        <v>25</v>
      </c>
      <c r="E918" s="395">
        <v>25</v>
      </c>
      <c r="F918" s="395">
        <v>30</v>
      </c>
      <c r="G918" s="125">
        <v>25</v>
      </c>
      <c r="H918" s="11">
        <v>29</v>
      </c>
      <c r="I918" s="403">
        <f>B918+C918+D918+E918+F918+G918+H918</f>
        <v>166</v>
      </c>
      <c r="J918" s="292">
        <f>'NOGAL '!$I918/7</f>
        <v>23.714285714285715</v>
      </c>
    </row>
    <row r="919" spans="1:10" s="71" customFormat="1" x14ac:dyDescent="0.25">
      <c r="A919" s="77" t="s">
        <v>15</v>
      </c>
      <c r="B919" s="233">
        <v>8</v>
      </c>
      <c r="C919" s="13">
        <v>7</v>
      </c>
      <c r="D919" s="13">
        <v>7</v>
      </c>
      <c r="E919" s="395">
        <v>3</v>
      </c>
      <c r="F919" s="395">
        <v>6</v>
      </c>
      <c r="G919" s="125">
        <v>17</v>
      </c>
      <c r="H919" s="11">
        <v>12</v>
      </c>
      <c r="I919" s="403">
        <f>B919+C919+D919+E919+F919+G919+H919</f>
        <v>60</v>
      </c>
      <c r="J919" s="292">
        <f>'NOGAL '!$I919/7</f>
        <v>8.5714285714285712</v>
      </c>
    </row>
    <row r="920" spans="1:10" s="71" customFormat="1" x14ac:dyDescent="0.25">
      <c r="A920" s="77" t="s">
        <v>16</v>
      </c>
      <c r="B920" s="233">
        <v>0</v>
      </c>
      <c r="C920" s="13">
        <v>0</v>
      </c>
      <c r="D920" s="13">
        <v>0</v>
      </c>
      <c r="E920" s="395">
        <v>0</v>
      </c>
      <c r="F920" s="395">
        <v>0</v>
      </c>
      <c r="G920" s="125">
        <v>0</v>
      </c>
      <c r="H920" s="11">
        <v>1</v>
      </c>
      <c r="I920" s="403">
        <f>B920+C920+D920+E920+F920+G920+H920</f>
        <v>1</v>
      </c>
      <c r="J920" s="292">
        <f>'NOGAL '!$I920/7</f>
        <v>0.14285714285714285</v>
      </c>
    </row>
    <row r="921" spans="1:10" s="71" customFormat="1" x14ac:dyDescent="0.25">
      <c r="A921" s="79" t="s">
        <v>17</v>
      </c>
      <c r="B921" s="102">
        <f>SUM(B916:B920)</f>
        <v>95</v>
      </c>
      <c r="C921" s="79">
        <f t="shared" ref="C921:H921" si="389">SUM(C916:C920)</f>
        <v>118</v>
      </c>
      <c r="D921" s="79">
        <f t="shared" si="389"/>
        <v>142</v>
      </c>
      <c r="E921" s="248">
        <f t="shared" si="389"/>
        <v>160</v>
      </c>
      <c r="F921" s="15">
        <f t="shared" si="389"/>
        <v>219</v>
      </c>
      <c r="G921" s="79">
        <f t="shared" si="389"/>
        <v>198</v>
      </c>
      <c r="H921" s="79">
        <f t="shared" si="389"/>
        <v>210</v>
      </c>
      <c r="I921" s="404">
        <f>SUM(I916:I920)</f>
        <v>1142</v>
      </c>
      <c r="J921" s="405">
        <f>'NOGAL '!$I921/7</f>
        <v>163.14285714285714</v>
      </c>
    </row>
    <row r="922" spans="1:10" s="71" customFormat="1" x14ac:dyDescent="0.25">
      <c r="A922" s="77" t="s">
        <v>18</v>
      </c>
      <c r="B922" s="445">
        <v>0.8</v>
      </c>
      <c r="C922" s="235">
        <v>0.89</v>
      </c>
      <c r="D922" s="235">
        <v>0.82</v>
      </c>
      <c r="E922" s="236">
        <v>0.87</v>
      </c>
      <c r="F922" s="236">
        <v>0.87</v>
      </c>
      <c r="G922" s="236">
        <v>0.83</v>
      </c>
      <c r="H922" s="236">
        <v>0.8</v>
      </c>
      <c r="I922" s="105">
        <f>I929/I934</f>
        <v>0.84160929308983201</v>
      </c>
      <c r="J922" s="297">
        <f>J929/J934</f>
        <v>0.84160929308983212</v>
      </c>
    </row>
    <row r="923" spans="1:10" s="71" customFormat="1" x14ac:dyDescent="0.25">
      <c r="A923" s="77" t="s">
        <v>19</v>
      </c>
      <c r="B923" s="445">
        <v>0</v>
      </c>
      <c r="C923" s="235">
        <v>0</v>
      </c>
      <c r="D923" s="235">
        <v>0</v>
      </c>
      <c r="E923" s="236">
        <v>0.01</v>
      </c>
      <c r="F923" s="236">
        <v>0.01</v>
      </c>
      <c r="G923" s="236">
        <v>0.02</v>
      </c>
      <c r="H923" s="236">
        <v>0.04</v>
      </c>
      <c r="I923" s="105">
        <f>I930/I934</f>
        <v>1.4246533535470635E-2</v>
      </c>
      <c r="J923" s="297">
        <f>J930/J934</f>
        <v>1.4246533535470637E-2</v>
      </c>
    </row>
    <row r="924" spans="1:10" s="71" customFormat="1" x14ac:dyDescent="0.25">
      <c r="A924" s="77" t="s">
        <v>20</v>
      </c>
      <c r="B924" s="445">
        <v>0.16</v>
      </c>
      <c r="C924" s="235">
        <v>7.0000000000000007E-2</v>
      </c>
      <c r="D924" s="235">
        <v>0.15</v>
      </c>
      <c r="E924" s="236">
        <v>0.11</v>
      </c>
      <c r="F924" s="236">
        <v>0.1</v>
      </c>
      <c r="G924" s="236">
        <v>0.09</v>
      </c>
      <c r="H924" s="236">
        <v>0.1</v>
      </c>
      <c r="I924" s="105">
        <f>I931/I934</f>
        <v>0.10633293521159549</v>
      </c>
      <c r="J924" s="297">
        <f>J931/J934</f>
        <v>0.10633293521159551</v>
      </c>
    </row>
    <row r="925" spans="1:10" s="71" customFormat="1" x14ac:dyDescent="0.25">
      <c r="A925" s="77" t="s">
        <v>21</v>
      </c>
      <c r="B925" s="445">
        <v>0.04</v>
      </c>
      <c r="C925" s="235">
        <v>0.04</v>
      </c>
      <c r="D925" s="235">
        <v>0.03</v>
      </c>
      <c r="E925" s="236">
        <v>0.01</v>
      </c>
      <c r="F925" s="236">
        <v>0.02</v>
      </c>
      <c r="G925" s="236">
        <v>0.06</v>
      </c>
      <c r="H925" s="236">
        <v>0.05</v>
      </c>
      <c r="I925" s="105">
        <f>I932/I934</f>
        <v>3.6012684309377228E-2</v>
      </c>
      <c r="J925" s="297">
        <f>J932/J934</f>
        <v>3.6012684309377228E-2</v>
      </c>
    </row>
    <row r="926" spans="1:10" s="71" customFormat="1" x14ac:dyDescent="0.25">
      <c r="A926" s="77" t="s">
        <v>22</v>
      </c>
      <c r="B926" s="445">
        <v>0</v>
      </c>
      <c r="C926" s="235">
        <v>0</v>
      </c>
      <c r="D926" s="235">
        <v>0</v>
      </c>
      <c r="E926" s="236">
        <v>0</v>
      </c>
      <c r="F926" s="236">
        <v>0</v>
      </c>
      <c r="G926" s="236">
        <v>0</v>
      </c>
      <c r="H926" s="236">
        <v>0.01</v>
      </c>
      <c r="I926" s="105">
        <f>I933/I934</f>
        <v>1.7985538537243862E-3</v>
      </c>
      <c r="J926" s="297">
        <f>J933/J934</f>
        <v>1.7985538537243864E-3</v>
      </c>
    </row>
    <row r="927" spans="1:10" s="71" customFormat="1" x14ac:dyDescent="0.25">
      <c r="A927" s="81" t="s">
        <v>23</v>
      </c>
      <c r="B927" s="409">
        <f t="shared" ref="B927:J927" si="390">B938/B921</f>
        <v>33405.26315789474</v>
      </c>
      <c r="C927" s="131">
        <f t="shared" si="390"/>
        <v>40477.118644067807</v>
      </c>
      <c r="D927" s="131">
        <f t="shared" si="390"/>
        <v>35257.042253521126</v>
      </c>
      <c r="E927" s="397">
        <f t="shared" si="390"/>
        <v>37853.75</v>
      </c>
      <c r="F927" s="132">
        <f t="shared" si="390"/>
        <v>41079.908675799088</v>
      </c>
      <c r="G927" s="130">
        <f t="shared" si="390"/>
        <v>39792.42424242424</v>
      </c>
      <c r="H927" s="130">
        <f t="shared" si="390"/>
        <v>37419.523809523809</v>
      </c>
      <c r="I927" s="359">
        <f t="shared" si="390"/>
        <v>38306.830122591949</v>
      </c>
      <c r="J927" s="314">
        <f t="shared" si="390"/>
        <v>38306.830122591949</v>
      </c>
    </row>
    <row r="928" spans="1:10" s="71" customFormat="1" x14ac:dyDescent="0.25">
      <c r="A928" s="81" t="s">
        <v>24</v>
      </c>
      <c r="B928" s="409">
        <f t="shared" ref="B928:J928" si="391">B938/B915</f>
        <v>28084.070796460175</v>
      </c>
      <c r="C928" s="131">
        <f t="shared" si="391"/>
        <v>28772.891566265065</v>
      </c>
      <c r="D928" s="131">
        <f t="shared" si="391"/>
        <v>28608.571428571428</v>
      </c>
      <c r="E928" s="397">
        <f t="shared" si="391"/>
        <v>29118.26923076923</v>
      </c>
      <c r="F928" s="132">
        <f t="shared" si="391"/>
        <v>31677.816901408452</v>
      </c>
      <c r="G928" s="130">
        <f t="shared" si="391"/>
        <v>31265.476190476191</v>
      </c>
      <c r="H928" s="130">
        <f t="shared" si="391"/>
        <v>27475.874125874125</v>
      </c>
      <c r="I928" s="359">
        <f t="shared" si="391"/>
        <v>29478.706199460921</v>
      </c>
      <c r="J928" s="314">
        <f t="shared" si="391"/>
        <v>29478.706199460921</v>
      </c>
    </row>
    <row r="929" spans="1:10" s="71" customFormat="1" x14ac:dyDescent="0.25">
      <c r="A929" s="77" t="s">
        <v>25</v>
      </c>
      <c r="B929" s="255">
        <f t="shared" ref="B929:H929" si="392">B934*B922</f>
        <v>2069664.6896551726</v>
      </c>
      <c r="C929" s="133">
        <f t="shared" si="392"/>
        <v>3480451.8000000003</v>
      </c>
      <c r="D929" s="133">
        <f t="shared" si="392"/>
        <v>3344696.5862068962</v>
      </c>
      <c r="E929" s="299">
        <f t="shared" si="392"/>
        <v>4298719.5</v>
      </c>
      <c r="F929" s="134">
        <f t="shared" si="392"/>
        <v>6408027.1500000004</v>
      </c>
      <c r="G929" s="92">
        <f t="shared" si="392"/>
        <v>5365613.9931034483</v>
      </c>
      <c r="H929" s="92">
        <f t="shared" si="392"/>
        <v>5148711.3103448283</v>
      </c>
      <c r="I929" s="108">
        <f>'NOGAL '!$B929+'NOGAL '!$C929+'NOGAL '!$D929+'NOGAL '!$E929+'NOGAL '!$F929+'NOGAL '!$G929+'NOGAL '!$H929</f>
        <v>30115885.029310346</v>
      </c>
      <c r="J929" s="300">
        <f>'NOGAL '!$I929/7</f>
        <v>4302269.2899014782</v>
      </c>
    </row>
    <row r="930" spans="1:10" s="71" customFormat="1" x14ac:dyDescent="0.25">
      <c r="A930" s="77" t="s">
        <v>26</v>
      </c>
      <c r="B930" s="255">
        <f t="shared" ref="B930:H930" si="393">B934*B923</f>
        <v>0</v>
      </c>
      <c r="C930" s="133">
        <f t="shared" si="393"/>
        <v>0</v>
      </c>
      <c r="D930" s="133">
        <f t="shared" si="393"/>
        <v>0</v>
      </c>
      <c r="E930" s="299">
        <f t="shared" si="393"/>
        <v>49410.568965517246</v>
      </c>
      <c r="F930" s="134">
        <f t="shared" si="393"/>
        <v>73655.48448275862</v>
      </c>
      <c r="G930" s="92">
        <f t="shared" si="393"/>
        <v>129291.90344827587</v>
      </c>
      <c r="H930" s="92">
        <f t="shared" si="393"/>
        <v>257435.5655172414</v>
      </c>
      <c r="I930" s="108">
        <f>'NOGAL '!$B930+'NOGAL '!$C930+'NOGAL '!$D930+'NOGAL '!$E930+'NOGAL '!$F930+'NOGAL '!$G930+'NOGAL '!$H930</f>
        <v>509793.52241379314</v>
      </c>
      <c r="J930" s="300">
        <f>'NOGAL '!$I930/7</f>
        <v>72827.646059113307</v>
      </c>
    </row>
    <row r="931" spans="1:10" s="71" customFormat="1" x14ac:dyDescent="0.25">
      <c r="A931" s="77" t="s">
        <v>27</v>
      </c>
      <c r="B931" s="255">
        <f t="shared" ref="B931:H931" si="394">B934*B924</f>
        <v>413932.93793103448</v>
      </c>
      <c r="C931" s="133">
        <f t="shared" si="394"/>
        <v>273743.40000000008</v>
      </c>
      <c r="D931" s="133">
        <f t="shared" si="394"/>
        <v>611834.74137931026</v>
      </c>
      <c r="E931" s="299">
        <f t="shared" si="394"/>
        <v>543516.25862068974</v>
      </c>
      <c r="F931" s="134">
        <f t="shared" si="394"/>
        <v>736554.84482758632</v>
      </c>
      <c r="G931" s="92">
        <f t="shared" si="394"/>
        <v>581813.56551724137</v>
      </c>
      <c r="H931" s="92">
        <f t="shared" si="394"/>
        <v>643588.91379310354</v>
      </c>
      <c r="I931" s="108">
        <f>'NOGAL '!$B931+'NOGAL '!$C931+'NOGAL '!$D931+'NOGAL '!$E931+'NOGAL '!$F931+'NOGAL '!$G931+'NOGAL '!$H931</f>
        <v>3804984.6620689658</v>
      </c>
      <c r="J931" s="300">
        <f>'NOGAL '!$I931/7</f>
        <v>543569.23743842368</v>
      </c>
    </row>
    <row r="932" spans="1:10" s="71" customFormat="1" x14ac:dyDescent="0.25">
      <c r="A932" s="77" t="s">
        <v>28</v>
      </c>
      <c r="B932" s="255">
        <f t="shared" ref="B932:H932" si="395">B934*B925</f>
        <v>103483.23448275862</v>
      </c>
      <c r="C932" s="133">
        <f t="shared" si="395"/>
        <v>156424.80000000002</v>
      </c>
      <c r="D932" s="133">
        <f t="shared" si="395"/>
        <v>122366.94827586206</v>
      </c>
      <c r="E932" s="299">
        <f t="shared" si="395"/>
        <v>49410.568965517246</v>
      </c>
      <c r="F932" s="134">
        <f t="shared" si="395"/>
        <v>147310.96896551724</v>
      </c>
      <c r="G932" s="92">
        <f t="shared" si="395"/>
        <v>387875.71034482762</v>
      </c>
      <c r="H932" s="92">
        <f t="shared" si="395"/>
        <v>321794.45689655177</v>
      </c>
      <c r="I932" s="108">
        <f>'NOGAL '!$B932+'NOGAL '!$C932+'NOGAL '!$D932+'NOGAL '!$E932+'NOGAL '!$F932+'NOGAL '!$G932+'NOGAL '!$H932</f>
        <v>1288666.6879310347</v>
      </c>
      <c r="J932" s="300">
        <f>'NOGAL '!$I932/7</f>
        <v>184095.24113300495</v>
      </c>
    </row>
    <row r="933" spans="1:10" s="71" customFormat="1" x14ac:dyDescent="0.25">
      <c r="A933" s="77" t="s">
        <v>29</v>
      </c>
      <c r="B933" s="255">
        <f t="shared" ref="B933:H933" si="396">B934*B926</f>
        <v>0</v>
      </c>
      <c r="C933" s="133">
        <f t="shared" si="396"/>
        <v>0</v>
      </c>
      <c r="D933" s="133">
        <f t="shared" si="396"/>
        <v>0</v>
      </c>
      <c r="E933" s="299">
        <f t="shared" si="396"/>
        <v>0</v>
      </c>
      <c r="F933" s="134">
        <f t="shared" si="396"/>
        <v>0</v>
      </c>
      <c r="G933" s="92">
        <f t="shared" si="396"/>
        <v>0</v>
      </c>
      <c r="H933" s="92">
        <f t="shared" si="396"/>
        <v>64358.891379310349</v>
      </c>
      <c r="I933" s="108">
        <f>'NOGAL '!$B933+'NOGAL '!$C933+'NOGAL '!$D933+'NOGAL '!$E933+'NOGAL '!$F933+'NOGAL '!$G933+'NOGAL '!$H933</f>
        <v>64358.891379310349</v>
      </c>
      <c r="J933" s="300">
        <f>'NOGAL '!$I933/7</f>
        <v>9194.127339901479</v>
      </c>
    </row>
    <row r="934" spans="1:10" s="71" customFormat="1" x14ac:dyDescent="0.25">
      <c r="A934" s="82" t="s">
        <v>30</v>
      </c>
      <c r="B934" s="222">
        <f>(3173500/1.16)-B935</f>
        <v>2587080.8620689656</v>
      </c>
      <c r="C934" s="222">
        <f>(4776300/1.16)-C935</f>
        <v>3910620.0000000005</v>
      </c>
      <c r="D934" s="222">
        <f>(5006500/1.16)-D935</f>
        <v>4078898.2758620689</v>
      </c>
      <c r="E934" s="222">
        <f>(6056600/1.16)-E935</f>
        <v>4941056.8965517245</v>
      </c>
      <c r="F934" s="222">
        <f>(8996500/1.16)-F935</f>
        <v>7365548.4482758623</v>
      </c>
      <c r="G934" s="222">
        <f>(7878900/1.16)-G935</f>
        <v>6464595.1724137934</v>
      </c>
      <c r="H934" s="222">
        <f>(7858100/1.16)-H935</f>
        <v>6435889.1379310349</v>
      </c>
      <c r="I934" s="111">
        <f>SUM(I929:I933)</f>
        <v>35783688.793103456</v>
      </c>
      <c r="J934" s="361">
        <f>'NOGAL '!$I934/7</f>
        <v>5111955.5418719221</v>
      </c>
    </row>
    <row r="935" spans="1:10" s="71" customFormat="1" x14ac:dyDescent="0.25">
      <c r="A935" s="77" t="s">
        <v>31</v>
      </c>
      <c r="B935" s="263">
        <f t="shared" ref="B935:G935" si="397">2155*B916</f>
        <v>148695</v>
      </c>
      <c r="C935" s="139">
        <f t="shared" si="397"/>
        <v>206880</v>
      </c>
      <c r="D935" s="139">
        <f t="shared" si="397"/>
        <v>237050</v>
      </c>
      <c r="E935" s="113">
        <f t="shared" si="397"/>
        <v>280150</v>
      </c>
      <c r="F935" s="112">
        <f t="shared" si="397"/>
        <v>390055</v>
      </c>
      <c r="G935" s="94">
        <f t="shared" si="397"/>
        <v>327560</v>
      </c>
      <c r="H935" s="94">
        <f>2155*H916</f>
        <v>338335</v>
      </c>
      <c r="I935" s="109">
        <f>2155*I916</f>
        <v>1928725</v>
      </c>
      <c r="J935" s="302">
        <f>2155*J916</f>
        <v>275532.14285714284</v>
      </c>
    </row>
    <row r="936" spans="1:10" s="71" customFormat="1" x14ac:dyDescent="0.25">
      <c r="A936" s="83" t="s">
        <v>32</v>
      </c>
      <c r="B936" s="411">
        <f>B934+B935</f>
        <v>2735775.8620689656</v>
      </c>
      <c r="C936" s="40">
        <f>C934+C935</f>
        <v>4117500.0000000005</v>
      </c>
      <c r="D936" s="40">
        <f t="shared" ref="D936:J936" si="398">D934+D935</f>
        <v>4315948.2758620689</v>
      </c>
      <c r="E936" s="399">
        <f t="shared" si="398"/>
        <v>5221206.8965517245</v>
      </c>
      <c r="F936" s="140">
        <f t="shared" si="398"/>
        <v>7755603.4482758623</v>
      </c>
      <c r="G936" s="39">
        <f t="shared" si="398"/>
        <v>6792155.1724137934</v>
      </c>
      <c r="H936" s="39">
        <f t="shared" si="398"/>
        <v>6774224.1379310349</v>
      </c>
      <c r="I936" s="412">
        <f t="shared" si="398"/>
        <v>37712413.793103456</v>
      </c>
      <c r="J936" s="364">
        <f t="shared" si="398"/>
        <v>5387487.6847290648</v>
      </c>
    </row>
    <row r="937" spans="1:10" s="71" customFormat="1" x14ac:dyDescent="0.25">
      <c r="A937" s="77" t="s">
        <v>33</v>
      </c>
      <c r="B937" s="413">
        <f>B936*16%</f>
        <v>437724.13793103449</v>
      </c>
      <c r="C937" s="42">
        <f>C936*16%</f>
        <v>658800.00000000012</v>
      </c>
      <c r="D937" s="42">
        <f t="shared" ref="D937:J937" si="399">D936*16%</f>
        <v>690551.72413793101</v>
      </c>
      <c r="E937" s="400">
        <f t="shared" si="399"/>
        <v>835393.10344827594</v>
      </c>
      <c r="F937" s="141">
        <f t="shared" si="399"/>
        <v>1240896.551724138</v>
      </c>
      <c r="G937" s="41">
        <f t="shared" si="399"/>
        <v>1086744.8275862071</v>
      </c>
      <c r="H937" s="41">
        <f t="shared" si="399"/>
        <v>1083875.8620689656</v>
      </c>
      <c r="I937" s="414">
        <f t="shared" si="399"/>
        <v>6033986.2068965528</v>
      </c>
      <c r="J937" s="415">
        <f t="shared" si="399"/>
        <v>861998.02955665044</v>
      </c>
    </row>
    <row r="938" spans="1:10" s="71" customFormat="1" x14ac:dyDescent="0.25">
      <c r="A938" s="142" t="s">
        <v>34</v>
      </c>
      <c r="B938" s="438">
        <f t="shared" ref="B938:H938" si="400">B936+B937</f>
        <v>3173500</v>
      </c>
      <c r="C938" s="143">
        <f t="shared" si="400"/>
        <v>4776300.0000000009</v>
      </c>
      <c r="D938" s="143">
        <f t="shared" si="400"/>
        <v>5006500</v>
      </c>
      <c r="E938" s="439">
        <f t="shared" si="400"/>
        <v>6056600</v>
      </c>
      <c r="F938" s="145">
        <f t="shared" si="400"/>
        <v>8996500</v>
      </c>
      <c r="G938" s="144">
        <f t="shared" si="400"/>
        <v>7878900</v>
      </c>
      <c r="H938" s="144">
        <f t="shared" si="400"/>
        <v>7858100</v>
      </c>
      <c r="I938" s="440">
        <f>+I936+I937</f>
        <v>43746400.000000007</v>
      </c>
      <c r="J938" s="441">
        <f>'NOGAL '!$I938/7</f>
        <v>6249485.7142857155</v>
      </c>
    </row>
    <row r="939" spans="1:10" s="71" customFormat="1" ht="15.75" thickBot="1" x14ac:dyDescent="0.3">
      <c r="A939" s="69"/>
      <c r="B939" s="424"/>
      <c r="C939" s="424"/>
      <c r="D939" s="424"/>
      <c r="E939" s="424"/>
      <c r="F939" s="424"/>
      <c r="G939" s="424"/>
      <c r="H939" s="424"/>
      <c r="I939" s="424"/>
      <c r="J939" s="424"/>
    </row>
    <row r="940" spans="1:10" s="71" customFormat="1" ht="26.25" x14ac:dyDescent="0.25">
      <c r="A940" s="85"/>
      <c r="B940" s="1002" t="s">
        <v>375</v>
      </c>
      <c r="C940" s="1002"/>
      <c r="D940" s="1002"/>
      <c r="E940" s="1002"/>
      <c r="F940" s="1002"/>
      <c r="G940" s="1002"/>
      <c r="H940" s="1002"/>
      <c r="I940" s="1002"/>
      <c r="J940" s="85"/>
    </row>
    <row r="941" spans="1:10" s="71" customFormat="1" ht="15.75" x14ac:dyDescent="0.25">
      <c r="A941" s="72" t="s">
        <v>2</v>
      </c>
      <c r="B941" s="121" t="s">
        <v>298</v>
      </c>
      <c r="C941" s="121" t="s">
        <v>299</v>
      </c>
      <c r="D941" s="121" t="s">
        <v>300</v>
      </c>
      <c r="E941" s="121" t="s">
        <v>301</v>
      </c>
      <c r="F941" s="121" t="s">
        <v>65</v>
      </c>
      <c r="G941" s="121" t="s">
        <v>66</v>
      </c>
      <c r="H941" s="121" t="s">
        <v>67</v>
      </c>
      <c r="I941" s="153" t="s">
        <v>10</v>
      </c>
      <c r="J941" s="421" t="s">
        <v>77</v>
      </c>
    </row>
    <row r="942" spans="1:10" s="71" customFormat="1" x14ac:dyDescent="0.25">
      <c r="A942" s="430" t="s">
        <v>11</v>
      </c>
      <c r="B942" s="431">
        <f>170+77+32</f>
        <v>279</v>
      </c>
      <c r="C942" s="432">
        <f>73+37+10</f>
        <v>120</v>
      </c>
      <c r="D942" s="433">
        <f>78+28+11</f>
        <v>117</v>
      </c>
      <c r="E942" s="434">
        <f>114+41+28</f>
        <v>183</v>
      </c>
      <c r="F942" s="434">
        <f>169+87+25</f>
        <v>281</v>
      </c>
      <c r="G942" s="435">
        <f>167+70+31</f>
        <v>268</v>
      </c>
      <c r="H942" s="434">
        <f>178+81+44</f>
        <v>303</v>
      </c>
      <c r="I942" s="435">
        <f>SUM(B942:H942)</f>
        <v>1551</v>
      </c>
      <c r="J942" s="437">
        <f>'NOGAL '!$I942/7</f>
        <v>221.57142857142858</v>
      </c>
    </row>
    <row r="943" spans="1:10" s="71" customFormat="1" x14ac:dyDescent="0.25">
      <c r="A943" s="77" t="s">
        <v>12</v>
      </c>
      <c r="B943" s="233">
        <v>180</v>
      </c>
      <c r="C943" s="13">
        <v>77</v>
      </c>
      <c r="D943" s="13">
        <v>70</v>
      </c>
      <c r="E943" s="395">
        <v>95</v>
      </c>
      <c r="F943" s="446">
        <v>168</v>
      </c>
      <c r="G943" s="125">
        <v>147</v>
      </c>
      <c r="H943" s="11">
        <v>201</v>
      </c>
      <c r="I943" s="403">
        <f>B943+C943+D943+E943+F943+G943+H943</f>
        <v>938</v>
      </c>
      <c r="J943" s="292">
        <f>'NOGAL '!$I943/7</f>
        <v>134</v>
      </c>
    </row>
    <row r="944" spans="1:10" s="71" customFormat="1" x14ac:dyDescent="0.25">
      <c r="A944" s="77" t="s">
        <v>13</v>
      </c>
      <c r="B944" s="233">
        <v>4</v>
      </c>
      <c r="C944" s="13">
        <v>1</v>
      </c>
      <c r="D944" s="13">
        <v>0</v>
      </c>
      <c r="E944" s="395">
        <v>1</v>
      </c>
      <c r="F944" s="395">
        <v>5</v>
      </c>
      <c r="G944" s="125">
        <v>2</v>
      </c>
      <c r="H944" s="11">
        <v>5</v>
      </c>
      <c r="I944" s="403">
        <f>B944+C944+D944+E944+F944+G944+H944</f>
        <v>18</v>
      </c>
      <c r="J944" s="292">
        <f>C944+D944+E944+F944+G944+H944+I944</f>
        <v>32</v>
      </c>
    </row>
    <row r="945" spans="1:10" s="71" customFormat="1" x14ac:dyDescent="0.25">
      <c r="A945" s="77" t="s">
        <v>14</v>
      </c>
      <c r="B945" s="233">
        <v>18</v>
      </c>
      <c r="C945" s="13">
        <v>14</v>
      </c>
      <c r="D945" s="13">
        <v>10</v>
      </c>
      <c r="E945" s="395">
        <v>30</v>
      </c>
      <c r="F945" s="395">
        <v>34</v>
      </c>
      <c r="G945" s="125">
        <v>32</v>
      </c>
      <c r="H945" s="11">
        <v>22</v>
      </c>
      <c r="I945" s="403">
        <f>B945+C945+D945+E945+F945+G945+H945</f>
        <v>160</v>
      </c>
      <c r="J945" s="292">
        <f>'NOGAL '!$I945/7</f>
        <v>22.857142857142858</v>
      </c>
    </row>
    <row r="946" spans="1:10" s="71" customFormat="1" x14ac:dyDescent="0.25">
      <c r="A946" s="77" t="s">
        <v>15</v>
      </c>
      <c r="B946" s="233">
        <v>11</v>
      </c>
      <c r="C946" s="13">
        <v>3</v>
      </c>
      <c r="D946" s="13">
        <v>3</v>
      </c>
      <c r="E946" s="395">
        <v>7</v>
      </c>
      <c r="F946" s="395">
        <v>11</v>
      </c>
      <c r="G946" s="125">
        <v>11</v>
      </c>
      <c r="H946" s="11">
        <v>7</v>
      </c>
      <c r="I946" s="403">
        <f>B946+C946+D946+E946+F946+G946+H946</f>
        <v>53</v>
      </c>
      <c r="J946" s="292">
        <f>'NOGAL '!$I946/7</f>
        <v>7.5714285714285712</v>
      </c>
    </row>
    <row r="947" spans="1:10" s="71" customFormat="1" x14ac:dyDescent="0.25">
      <c r="A947" s="77" t="s">
        <v>16</v>
      </c>
      <c r="B947" s="233">
        <v>0</v>
      </c>
      <c r="C947" s="13">
        <v>0</v>
      </c>
      <c r="D947" s="13">
        <v>0</v>
      </c>
      <c r="E947" s="395">
        <v>2</v>
      </c>
      <c r="F947" s="395">
        <v>0</v>
      </c>
      <c r="G947" s="125">
        <v>1</v>
      </c>
      <c r="H947" s="11">
        <v>1</v>
      </c>
      <c r="I947" s="403">
        <f>B947+C947+D947+E947+F947+G947+H947</f>
        <v>4</v>
      </c>
      <c r="J947" s="292">
        <f>'NOGAL '!$I947/7</f>
        <v>0.5714285714285714</v>
      </c>
    </row>
    <row r="948" spans="1:10" s="71" customFormat="1" x14ac:dyDescent="0.25">
      <c r="A948" s="79" t="s">
        <v>17</v>
      </c>
      <c r="B948" s="102">
        <f>SUM(B943:B947)</f>
        <v>213</v>
      </c>
      <c r="C948" s="79">
        <f t="shared" ref="C948:H948" si="401">SUM(C943:C947)</f>
        <v>95</v>
      </c>
      <c r="D948" s="79">
        <f t="shared" si="401"/>
        <v>83</v>
      </c>
      <c r="E948" s="248">
        <f t="shared" si="401"/>
        <v>135</v>
      </c>
      <c r="F948" s="15">
        <f t="shared" si="401"/>
        <v>218</v>
      </c>
      <c r="G948" s="79">
        <f t="shared" si="401"/>
        <v>193</v>
      </c>
      <c r="H948" s="79">
        <f t="shared" si="401"/>
        <v>236</v>
      </c>
      <c r="I948" s="404">
        <f>SUM(I943:I947)</f>
        <v>1173</v>
      </c>
      <c r="J948" s="405">
        <f>'NOGAL '!$I948/7</f>
        <v>167.57142857142858</v>
      </c>
    </row>
    <row r="949" spans="1:10" s="71" customFormat="1" x14ac:dyDescent="0.25">
      <c r="A949" s="77" t="s">
        <v>18</v>
      </c>
      <c r="B949" s="445">
        <v>0.89</v>
      </c>
      <c r="C949" s="235">
        <v>0.86</v>
      </c>
      <c r="D949" s="235">
        <v>0.91</v>
      </c>
      <c r="E949" s="236">
        <v>0.82</v>
      </c>
      <c r="F949" s="236">
        <v>0.84</v>
      </c>
      <c r="G949" s="236">
        <v>0.8</v>
      </c>
      <c r="H949" s="236">
        <v>0.88</v>
      </c>
      <c r="I949" s="105">
        <f>I956/I961</f>
        <v>0.85434118316010854</v>
      </c>
      <c r="J949" s="297">
        <f>J956/J961</f>
        <v>0.85434118316010854</v>
      </c>
    </row>
    <row r="950" spans="1:10" s="71" customFormat="1" x14ac:dyDescent="0.25">
      <c r="A950" s="77" t="s">
        <v>19</v>
      </c>
      <c r="B950" s="445">
        <v>0.02</v>
      </c>
      <c r="C950" s="235">
        <v>0</v>
      </c>
      <c r="D950" s="235">
        <v>0</v>
      </c>
      <c r="E950" s="236">
        <v>0</v>
      </c>
      <c r="F950" s="236">
        <v>0.02</v>
      </c>
      <c r="G950" s="236">
        <v>0.02</v>
      </c>
      <c r="H950" s="236">
        <v>0.03</v>
      </c>
      <c r="I950" s="105">
        <f>I957/I961</f>
        <v>1.6491159253153399E-2</v>
      </c>
      <c r="J950" s="297">
        <f>J957/J961</f>
        <v>1.6491159253153399E-2</v>
      </c>
    </row>
    <row r="951" spans="1:10" s="71" customFormat="1" x14ac:dyDescent="0.25">
      <c r="A951" s="77" t="s">
        <v>20</v>
      </c>
      <c r="B951" s="445">
        <v>0.05</v>
      </c>
      <c r="C951" s="235">
        <v>0.11</v>
      </c>
      <c r="D951" s="235">
        <v>0.06</v>
      </c>
      <c r="E951" s="236">
        <v>0.13</v>
      </c>
      <c r="F951" s="236">
        <v>0.12</v>
      </c>
      <c r="G951" s="236">
        <v>0.13</v>
      </c>
      <c r="H951" s="236">
        <v>0.06</v>
      </c>
      <c r="I951" s="105">
        <f>I958/I961</f>
        <v>9.357596888785509E-2</v>
      </c>
      <c r="J951" s="297">
        <f>J958/J961</f>
        <v>9.3575968887855104E-2</v>
      </c>
    </row>
    <row r="952" spans="1:10" s="71" customFormat="1" x14ac:dyDescent="0.25">
      <c r="A952" s="77" t="s">
        <v>21</v>
      </c>
      <c r="B952" s="445">
        <v>0.04</v>
      </c>
      <c r="C952" s="235">
        <v>0.03</v>
      </c>
      <c r="D952" s="235">
        <v>0.03</v>
      </c>
      <c r="E952" s="236">
        <v>0.04</v>
      </c>
      <c r="F952" s="236">
        <v>0.02</v>
      </c>
      <c r="G952" s="236">
        <v>0.05</v>
      </c>
      <c r="H952" s="236">
        <v>0.02</v>
      </c>
      <c r="I952" s="105">
        <f>I959/I961</f>
        <v>3.2558068056488719E-2</v>
      </c>
      <c r="J952" s="297">
        <f>J959/J961</f>
        <v>3.2558068056488712E-2</v>
      </c>
    </row>
    <row r="953" spans="1:10" s="71" customFormat="1" x14ac:dyDescent="0.25">
      <c r="A953" s="77" t="s">
        <v>22</v>
      </c>
      <c r="B953" s="445">
        <v>0</v>
      </c>
      <c r="C953" s="235">
        <v>0</v>
      </c>
      <c r="D953" s="235">
        <v>0</v>
      </c>
      <c r="E953" s="236">
        <v>0.01</v>
      </c>
      <c r="F953" s="236">
        <v>0</v>
      </c>
      <c r="G953" s="236">
        <v>0</v>
      </c>
      <c r="H953" s="236">
        <v>0.01</v>
      </c>
      <c r="I953" s="105">
        <f>I960/I961</f>
        <v>3.0336206423942015E-3</v>
      </c>
      <c r="J953" s="297">
        <f>J960/J961</f>
        <v>3.0336206423942015E-3</v>
      </c>
    </row>
    <row r="954" spans="1:10" s="71" customFormat="1" x14ac:dyDescent="0.25">
      <c r="A954" s="81" t="s">
        <v>23</v>
      </c>
      <c r="B954" s="409">
        <f t="shared" ref="B954:J954" si="402">B965/B948</f>
        <v>37136.619718309856</v>
      </c>
      <c r="C954" s="131">
        <f t="shared" si="402"/>
        <v>38123.157894736847</v>
      </c>
      <c r="D954" s="131">
        <f t="shared" si="402"/>
        <v>43062.650602409645</v>
      </c>
      <c r="E954" s="397">
        <f t="shared" si="402"/>
        <v>37119.259259259263</v>
      </c>
      <c r="F954" s="132">
        <f t="shared" si="402"/>
        <v>38775.688073394493</v>
      </c>
      <c r="G954" s="130">
        <f t="shared" si="402"/>
        <v>40602.590673575134</v>
      </c>
      <c r="H954" s="130">
        <f t="shared" si="402"/>
        <v>36871.186440677964</v>
      </c>
      <c r="I954" s="359">
        <f t="shared" si="402"/>
        <v>38455.32821824382</v>
      </c>
      <c r="J954" s="314">
        <f t="shared" si="402"/>
        <v>38455.328218243812</v>
      </c>
    </row>
    <row r="955" spans="1:10" s="71" customFormat="1" x14ac:dyDescent="0.25">
      <c r="A955" s="81" t="s">
        <v>24</v>
      </c>
      <c r="B955" s="409">
        <f t="shared" ref="B955:J955" si="403">B965/B942</f>
        <v>28351.612903225807</v>
      </c>
      <c r="C955" s="131">
        <f t="shared" si="403"/>
        <v>30180.833333333336</v>
      </c>
      <c r="D955" s="131">
        <f t="shared" si="403"/>
        <v>30548.717948717953</v>
      </c>
      <c r="E955" s="397">
        <f t="shared" si="403"/>
        <v>27383.060109289618</v>
      </c>
      <c r="F955" s="132">
        <f t="shared" si="403"/>
        <v>30082.206405693949</v>
      </c>
      <c r="G955" s="130">
        <f t="shared" si="403"/>
        <v>29239.925373134331</v>
      </c>
      <c r="H955" s="130">
        <f t="shared" si="403"/>
        <v>28718.151815181518</v>
      </c>
      <c r="I955" s="359">
        <f t="shared" si="403"/>
        <v>29083.236621534495</v>
      </c>
      <c r="J955" s="314">
        <f t="shared" si="403"/>
        <v>29083.236621534492</v>
      </c>
    </row>
    <row r="956" spans="1:10" s="71" customFormat="1" x14ac:dyDescent="0.25">
      <c r="A956" s="77" t="s">
        <v>25</v>
      </c>
      <c r="B956" s="255">
        <f t="shared" ref="B956:H956" si="404">B961*B949</f>
        <v>5723725.0344827585</v>
      </c>
      <c r="C956" s="133">
        <f t="shared" si="404"/>
        <v>2542349.3482758622</v>
      </c>
      <c r="D956" s="133">
        <f t="shared" si="404"/>
        <v>2666624.7758620693</v>
      </c>
      <c r="E956" s="299">
        <f t="shared" si="404"/>
        <v>3374454.8103448274</v>
      </c>
      <c r="F956" s="134">
        <f t="shared" si="404"/>
        <v>5817096.7448275862</v>
      </c>
      <c r="G956" s="92">
        <f t="shared" si="404"/>
        <v>5150916.8275862075</v>
      </c>
      <c r="H956" s="92">
        <f t="shared" si="404"/>
        <v>6220037.3931034487</v>
      </c>
      <c r="I956" s="108">
        <f>'NOGAL '!$B956+'NOGAL '!$C956+'NOGAL '!$D956+'NOGAL '!$E956+'NOGAL '!$F956+'NOGAL '!$G956+'NOGAL '!$H956</f>
        <v>31495204.934482761</v>
      </c>
      <c r="J956" s="300">
        <f>'NOGAL '!$I956/7</f>
        <v>4499314.9906403944</v>
      </c>
    </row>
    <row r="957" spans="1:10" s="71" customFormat="1" x14ac:dyDescent="0.25">
      <c r="A957" s="77" t="s">
        <v>26</v>
      </c>
      <c r="B957" s="255">
        <f t="shared" ref="B957:H957" si="405">B961*B950</f>
        <v>128623.03448275862</v>
      </c>
      <c r="C957" s="133">
        <f t="shared" si="405"/>
        <v>0</v>
      </c>
      <c r="D957" s="133">
        <f t="shared" si="405"/>
        <v>0</v>
      </c>
      <c r="E957" s="299">
        <f t="shared" si="405"/>
        <v>0</v>
      </c>
      <c r="F957" s="134">
        <f t="shared" si="405"/>
        <v>138502.30344827587</v>
      </c>
      <c r="G957" s="92">
        <f t="shared" si="405"/>
        <v>128772.92068965519</v>
      </c>
      <c r="H957" s="92">
        <f t="shared" si="405"/>
        <v>212046.72931034485</v>
      </c>
      <c r="I957" s="108">
        <f>'NOGAL '!$B957+'NOGAL '!$C957+'NOGAL '!$D957+'NOGAL '!$E957+'NOGAL '!$F957+'NOGAL '!$G957+'NOGAL '!$H957</f>
        <v>607944.98793103453</v>
      </c>
      <c r="J957" s="300">
        <f>'NOGAL '!$I957/7</f>
        <v>86849.283990147786</v>
      </c>
    </row>
    <row r="958" spans="1:10" s="71" customFormat="1" x14ac:dyDescent="0.25">
      <c r="A958" s="77" t="s">
        <v>27</v>
      </c>
      <c r="B958" s="255">
        <f t="shared" ref="B958:H958" si="406">B961*B951</f>
        <v>321557.58620689658</v>
      </c>
      <c r="C958" s="133">
        <f t="shared" si="406"/>
        <v>325184.2189655173</v>
      </c>
      <c r="D958" s="133">
        <f t="shared" si="406"/>
        <v>175821.41379310348</v>
      </c>
      <c r="E958" s="299">
        <f t="shared" si="406"/>
        <v>534974.54310344823</v>
      </c>
      <c r="F958" s="134">
        <f t="shared" si="406"/>
        <v>831013.82068965514</v>
      </c>
      <c r="G958" s="92">
        <f t="shared" si="406"/>
        <v>837023.98448275879</v>
      </c>
      <c r="H958" s="92">
        <f t="shared" si="406"/>
        <v>424093.45862068969</v>
      </c>
      <c r="I958" s="108">
        <f>'NOGAL '!$B958+'NOGAL '!$C958+'NOGAL '!$D958+'NOGAL '!$E958+'NOGAL '!$F958+'NOGAL '!$G958+'NOGAL '!$H958</f>
        <v>3449669.0258620689</v>
      </c>
      <c r="J958" s="300">
        <f>'NOGAL '!$I958/7</f>
        <v>492809.86083743843</v>
      </c>
    </row>
    <row r="959" spans="1:10" s="71" customFormat="1" x14ac:dyDescent="0.25">
      <c r="A959" s="77" t="s">
        <v>28</v>
      </c>
      <c r="B959" s="255">
        <f t="shared" ref="B959:H959" si="407">B961*B952</f>
        <v>257246.06896551725</v>
      </c>
      <c r="C959" s="133">
        <f t="shared" si="407"/>
        <v>88686.605172413794</v>
      </c>
      <c r="D959" s="133">
        <f t="shared" si="407"/>
        <v>87910.706896551739</v>
      </c>
      <c r="E959" s="299">
        <f t="shared" si="407"/>
        <v>164607.55172413794</v>
      </c>
      <c r="F959" s="134">
        <f t="shared" si="407"/>
        <v>138502.30344827587</v>
      </c>
      <c r="G959" s="92">
        <f t="shared" si="407"/>
        <v>321932.30172413797</v>
      </c>
      <c r="H959" s="92">
        <f t="shared" si="407"/>
        <v>141364.48620689657</v>
      </c>
      <c r="I959" s="108">
        <f>'NOGAL '!$B959+'NOGAL '!$C959+'NOGAL '!$D959+'NOGAL '!$E959+'NOGAL '!$F959+'NOGAL '!$G959+'NOGAL '!$H959</f>
        <v>1200250.0241379312</v>
      </c>
      <c r="J959" s="300">
        <f>'NOGAL '!$I959/7</f>
        <v>171464.28916256159</v>
      </c>
    </row>
    <row r="960" spans="1:10" s="71" customFormat="1" x14ac:dyDescent="0.25">
      <c r="A960" s="77" t="s">
        <v>29</v>
      </c>
      <c r="B960" s="255">
        <f t="shared" ref="B960:H960" si="408">B961*B953</f>
        <v>0</v>
      </c>
      <c r="C960" s="133">
        <f t="shared" si="408"/>
        <v>0</v>
      </c>
      <c r="D960" s="133">
        <f t="shared" si="408"/>
        <v>0</v>
      </c>
      <c r="E960" s="299">
        <f t="shared" si="408"/>
        <v>41151.887931034486</v>
      </c>
      <c r="F960" s="134">
        <f t="shared" si="408"/>
        <v>0</v>
      </c>
      <c r="G960" s="92">
        <f t="shared" si="408"/>
        <v>0</v>
      </c>
      <c r="H960" s="92">
        <f t="shared" si="408"/>
        <v>70682.243103448287</v>
      </c>
      <c r="I960" s="108">
        <f>'NOGAL '!$B960+'NOGAL '!$C960+'NOGAL '!$D960+'NOGAL '!$E960+'NOGAL '!$F960+'NOGAL '!$G960+'NOGAL '!$H960</f>
        <v>111834.13103448277</v>
      </c>
      <c r="J960" s="300">
        <f>'NOGAL '!$I960/7</f>
        <v>15976.304433497538</v>
      </c>
    </row>
    <row r="961" spans="1:10" s="71" customFormat="1" x14ac:dyDescent="0.25">
      <c r="A961" s="82" t="s">
        <v>30</v>
      </c>
      <c r="B961" s="222">
        <f>(7910100/1.16)-B962</f>
        <v>6431151.7241379311</v>
      </c>
      <c r="C961" s="222">
        <f>(3621700/1.16)-C962</f>
        <v>2956220.1724137934</v>
      </c>
      <c r="D961" s="222">
        <f>(3574200/1.16)-D962</f>
        <v>2930356.8965517245</v>
      </c>
      <c r="E961" s="222">
        <f>(5011100/1.16)-E962</f>
        <v>4115188.7931034481</v>
      </c>
      <c r="F961" s="222">
        <f>(8453100/1.16)-F962</f>
        <v>6925115.1724137934</v>
      </c>
      <c r="G961" s="222">
        <f>(7836300/1.16)-G962</f>
        <v>6438646.0344827594</v>
      </c>
      <c r="H961" s="222">
        <f>(8701600/1.16)-H962</f>
        <v>7068224.3103448283</v>
      </c>
      <c r="I961" s="111">
        <f>SUM(I956:I960)</f>
        <v>36864903.103448279</v>
      </c>
      <c r="J961" s="361">
        <f>'NOGAL '!$I961/7</f>
        <v>5266414.7290640399</v>
      </c>
    </row>
    <row r="962" spans="1:10" s="71" customFormat="1" x14ac:dyDescent="0.25">
      <c r="A962" s="77" t="s">
        <v>31</v>
      </c>
      <c r="B962" s="263">
        <f t="shared" ref="B962:G962" si="409">2155*B943</f>
        <v>387900</v>
      </c>
      <c r="C962" s="139">
        <f t="shared" si="409"/>
        <v>165935</v>
      </c>
      <c r="D962" s="139">
        <f t="shared" si="409"/>
        <v>150850</v>
      </c>
      <c r="E962" s="113">
        <f t="shared" si="409"/>
        <v>204725</v>
      </c>
      <c r="F962" s="112">
        <f t="shared" si="409"/>
        <v>362040</v>
      </c>
      <c r="G962" s="94">
        <f t="shared" si="409"/>
        <v>316785</v>
      </c>
      <c r="H962" s="94">
        <f>2155*H943</f>
        <v>433155</v>
      </c>
      <c r="I962" s="109">
        <f>2155*I943</f>
        <v>2021390</v>
      </c>
      <c r="J962" s="302">
        <f>2155*J943</f>
        <v>288770</v>
      </c>
    </row>
    <row r="963" spans="1:10" s="71" customFormat="1" x14ac:dyDescent="0.25">
      <c r="A963" s="83" t="s">
        <v>32</v>
      </c>
      <c r="B963" s="411">
        <f>B961+B962</f>
        <v>6819051.7241379311</v>
      </c>
      <c r="C963" s="40">
        <f>C961+C962</f>
        <v>3122155.1724137934</v>
      </c>
      <c r="D963" s="40">
        <f t="shared" ref="D963:J963" si="410">D961+D962</f>
        <v>3081206.8965517245</v>
      </c>
      <c r="E963" s="399">
        <f t="shared" si="410"/>
        <v>4319913.7931034481</v>
      </c>
      <c r="F963" s="140">
        <f t="shared" si="410"/>
        <v>7287155.1724137934</v>
      </c>
      <c r="G963" s="39">
        <f t="shared" si="410"/>
        <v>6755431.0344827594</v>
      </c>
      <c r="H963" s="39">
        <f t="shared" si="410"/>
        <v>7501379.3103448283</v>
      </c>
      <c r="I963" s="412">
        <f t="shared" si="410"/>
        <v>38886293.103448279</v>
      </c>
      <c r="J963" s="364">
        <f t="shared" si="410"/>
        <v>5555184.7290640399</v>
      </c>
    </row>
    <row r="964" spans="1:10" s="71" customFormat="1" x14ac:dyDescent="0.25">
      <c r="A964" s="77" t="s">
        <v>33</v>
      </c>
      <c r="B964" s="413">
        <f>B963*16%</f>
        <v>1091048.2758620691</v>
      </c>
      <c r="C964" s="42">
        <f>C963*16%</f>
        <v>499544.82758620696</v>
      </c>
      <c r="D964" s="42">
        <f t="shared" ref="D964:J964" si="411">D963*16%</f>
        <v>492993.10344827594</v>
      </c>
      <c r="E964" s="400">
        <f t="shared" si="411"/>
        <v>691186.20689655177</v>
      </c>
      <c r="F964" s="141">
        <f t="shared" si="411"/>
        <v>1165944.8275862071</v>
      </c>
      <c r="G964" s="41">
        <f t="shared" si="411"/>
        <v>1080868.9655172415</v>
      </c>
      <c r="H964" s="41">
        <f t="shared" si="411"/>
        <v>1200220.6896551726</v>
      </c>
      <c r="I964" s="414">
        <f t="shared" si="411"/>
        <v>6221806.8965517245</v>
      </c>
      <c r="J964" s="415">
        <f t="shared" si="411"/>
        <v>888829.55665024638</v>
      </c>
    </row>
    <row r="965" spans="1:10" s="71" customFormat="1" x14ac:dyDescent="0.25">
      <c r="A965" s="142" t="s">
        <v>34</v>
      </c>
      <c r="B965" s="438">
        <f t="shared" ref="B965:H965" si="412">B963+B964</f>
        <v>7910100</v>
      </c>
      <c r="C965" s="143">
        <f t="shared" si="412"/>
        <v>3621700.0000000005</v>
      </c>
      <c r="D965" s="143">
        <f t="shared" si="412"/>
        <v>3574200.0000000005</v>
      </c>
      <c r="E965" s="439">
        <f t="shared" si="412"/>
        <v>5011100</v>
      </c>
      <c r="F965" s="145">
        <f t="shared" si="412"/>
        <v>8453100</v>
      </c>
      <c r="G965" s="144">
        <f t="shared" si="412"/>
        <v>7836300.0000000009</v>
      </c>
      <c r="H965" s="144">
        <f t="shared" si="412"/>
        <v>8701600</v>
      </c>
      <c r="I965" s="440">
        <f>+I963+I964</f>
        <v>45108100</v>
      </c>
      <c r="J965" s="441">
        <f>'NOGAL '!$I965/7</f>
        <v>6444014.2857142854</v>
      </c>
    </row>
    <row r="966" spans="1:10" s="71" customFormat="1" ht="15.75" thickBot="1" x14ac:dyDescent="0.3">
      <c r="A966" s="69"/>
      <c r="B966" s="424"/>
      <c r="C966" s="424"/>
      <c r="D966" s="424"/>
      <c r="E966" s="424"/>
      <c r="F966" s="424"/>
      <c r="G966" s="424"/>
      <c r="H966" s="424"/>
      <c r="I966" s="424"/>
      <c r="J966" s="424"/>
    </row>
    <row r="967" spans="1:10" s="71" customFormat="1" ht="26.25" x14ac:dyDescent="0.25">
      <c r="A967" s="85"/>
      <c r="B967" s="1002" t="s">
        <v>376</v>
      </c>
      <c r="C967" s="1002"/>
      <c r="D967" s="1002"/>
      <c r="E967" s="1002"/>
      <c r="F967" s="1002"/>
      <c r="G967" s="1002"/>
      <c r="H967" s="1002"/>
      <c r="I967" s="1002"/>
      <c r="J967" s="85"/>
    </row>
    <row r="968" spans="1:10" s="71" customFormat="1" ht="15.75" x14ac:dyDescent="0.25">
      <c r="A968" s="72" t="s">
        <v>2</v>
      </c>
      <c r="B968" s="228" t="s">
        <v>70</v>
      </c>
      <c r="C968" s="228" t="s">
        <v>71</v>
      </c>
      <c r="D968" s="228" t="s">
        <v>72</v>
      </c>
      <c r="E968" s="228" t="s">
        <v>73</v>
      </c>
      <c r="F968" s="228" t="s">
        <v>74</v>
      </c>
      <c r="G968" s="228" t="s">
        <v>75</v>
      </c>
      <c r="H968" s="228" t="s">
        <v>76</v>
      </c>
      <c r="I968" s="153" t="s">
        <v>10</v>
      </c>
      <c r="J968" s="421" t="s">
        <v>77</v>
      </c>
    </row>
    <row r="969" spans="1:10" s="71" customFormat="1" x14ac:dyDescent="0.25">
      <c r="A969" s="430" t="s">
        <v>11</v>
      </c>
      <c r="B969" s="431">
        <f>54+31+15</f>
        <v>100</v>
      </c>
      <c r="C969" s="432">
        <f>101+28+12</f>
        <v>141</v>
      </c>
      <c r="D969" s="433">
        <f>110+39+21</f>
        <v>170</v>
      </c>
      <c r="E969" s="434">
        <f>123+49+21</f>
        <v>193</v>
      </c>
      <c r="F969" s="434">
        <f>162+73+20</f>
        <v>255</v>
      </c>
      <c r="G969" s="435">
        <f>151+73+22</f>
        <v>246</v>
      </c>
      <c r="H969" s="434">
        <f>156+56+34</f>
        <v>246</v>
      </c>
      <c r="I969" s="435">
        <f>SUM(B969:H969)</f>
        <v>1351</v>
      </c>
      <c r="J969" s="437">
        <f>'NOGAL '!$I969/7</f>
        <v>193</v>
      </c>
    </row>
    <row r="970" spans="1:10" s="71" customFormat="1" x14ac:dyDescent="0.25">
      <c r="A970" s="77" t="s">
        <v>12</v>
      </c>
      <c r="B970" s="233">
        <v>59</v>
      </c>
      <c r="C970" s="13">
        <v>79</v>
      </c>
      <c r="D970" s="13">
        <v>97</v>
      </c>
      <c r="E970" s="446">
        <v>99</v>
      </c>
      <c r="F970" s="446">
        <v>150</v>
      </c>
      <c r="G970" s="125">
        <v>169</v>
      </c>
      <c r="H970" s="11">
        <v>150</v>
      </c>
      <c r="I970" s="403">
        <f>B970+C970+D970+E970+F970+G970+H970</f>
        <v>803</v>
      </c>
      <c r="J970" s="292">
        <f>'NOGAL '!$I970/7</f>
        <v>114.71428571428571</v>
      </c>
    </row>
    <row r="971" spans="1:10" s="71" customFormat="1" x14ac:dyDescent="0.25">
      <c r="A971" s="77" t="s">
        <v>13</v>
      </c>
      <c r="B971" s="233">
        <v>0</v>
      </c>
      <c r="C971" s="13">
        <v>2</v>
      </c>
      <c r="D971" s="13">
        <v>1</v>
      </c>
      <c r="E971" s="395">
        <v>4</v>
      </c>
      <c r="F971" s="395">
        <v>3</v>
      </c>
      <c r="G971" s="125">
        <v>4</v>
      </c>
      <c r="H971" s="11">
        <v>3</v>
      </c>
      <c r="I971" s="403">
        <f>B971+C971+D971+E971+F971+G971+H971</f>
        <v>17</v>
      </c>
      <c r="J971" s="292">
        <f>C971+D971+E971+F971+G971+H971+I971</f>
        <v>34</v>
      </c>
    </row>
    <row r="972" spans="1:10" s="71" customFormat="1" x14ac:dyDescent="0.25">
      <c r="A972" s="77" t="s">
        <v>14</v>
      </c>
      <c r="B972" s="233">
        <v>18</v>
      </c>
      <c r="C972" s="13">
        <v>20</v>
      </c>
      <c r="D972" s="13">
        <v>38</v>
      </c>
      <c r="E972" s="395">
        <v>32</v>
      </c>
      <c r="F972" s="395">
        <v>24</v>
      </c>
      <c r="G972" s="125">
        <v>14</v>
      </c>
      <c r="H972" s="11">
        <v>13</v>
      </c>
      <c r="I972" s="403">
        <f>B972+C972+D972+E972+F972+G972+H972</f>
        <v>159</v>
      </c>
      <c r="J972" s="292">
        <f>'NOGAL '!$I972/7</f>
        <v>22.714285714285715</v>
      </c>
    </row>
    <row r="973" spans="1:10" s="71" customFormat="1" x14ac:dyDescent="0.25">
      <c r="A973" s="77" t="s">
        <v>15</v>
      </c>
      <c r="B973" s="233">
        <v>6</v>
      </c>
      <c r="C973" s="13">
        <v>5</v>
      </c>
      <c r="D973" s="13">
        <v>5</v>
      </c>
      <c r="E973" s="395">
        <v>8</v>
      </c>
      <c r="F973" s="395">
        <v>14</v>
      </c>
      <c r="G973" s="125">
        <v>6</v>
      </c>
      <c r="H973" s="11">
        <v>14</v>
      </c>
      <c r="I973" s="403">
        <f>B973+C973+D973+E973+F973+G973+H973</f>
        <v>58</v>
      </c>
      <c r="J973" s="292">
        <f>'NOGAL '!$I973/7</f>
        <v>8.2857142857142865</v>
      </c>
    </row>
    <row r="974" spans="1:10" s="71" customFormat="1" x14ac:dyDescent="0.25">
      <c r="A974" s="77" t="s">
        <v>16</v>
      </c>
      <c r="B974" s="233">
        <v>0</v>
      </c>
      <c r="C974" s="13">
        <v>0</v>
      </c>
      <c r="D974" s="13">
        <v>0</v>
      </c>
      <c r="E974" s="395">
        <v>0</v>
      </c>
      <c r="F974" s="395">
        <v>0</v>
      </c>
      <c r="G974" s="125">
        <v>0</v>
      </c>
      <c r="H974" s="11">
        <v>0</v>
      </c>
      <c r="I974" s="403">
        <f>B974+C974+D974+E974+F974+G974+H974</f>
        <v>0</v>
      </c>
      <c r="J974" s="292">
        <f>'NOGAL '!$I974/7</f>
        <v>0</v>
      </c>
    </row>
    <row r="975" spans="1:10" s="71" customFormat="1" x14ac:dyDescent="0.25">
      <c r="A975" s="79" t="s">
        <v>17</v>
      </c>
      <c r="B975" s="102">
        <f>SUM(B970:B974)</f>
        <v>83</v>
      </c>
      <c r="C975" s="79">
        <f t="shared" ref="C975:H975" si="413">SUM(C970:C974)</f>
        <v>106</v>
      </c>
      <c r="D975" s="79">
        <f t="shared" si="413"/>
        <v>141</v>
      </c>
      <c r="E975" s="248">
        <f t="shared" si="413"/>
        <v>143</v>
      </c>
      <c r="F975" s="15">
        <f t="shared" si="413"/>
        <v>191</v>
      </c>
      <c r="G975" s="79">
        <f t="shared" si="413"/>
        <v>193</v>
      </c>
      <c r="H975" s="79">
        <f t="shared" si="413"/>
        <v>180</v>
      </c>
      <c r="I975" s="404">
        <f>SUM(I970:I974)</f>
        <v>1037</v>
      </c>
      <c r="J975" s="405">
        <f>'NOGAL '!$I975/7</f>
        <v>148.14285714285714</v>
      </c>
    </row>
    <row r="976" spans="1:10" s="71" customFormat="1" x14ac:dyDescent="0.25">
      <c r="A976" s="77" t="s">
        <v>18</v>
      </c>
      <c r="B976" s="445">
        <v>0.8</v>
      </c>
      <c r="C976" s="235">
        <v>0.86</v>
      </c>
      <c r="D976" s="235">
        <v>0.82</v>
      </c>
      <c r="E976" s="236">
        <v>0.81</v>
      </c>
      <c r="F976" s="236">
        <v>0.85</v>
      </c>
      <c r="G976" s="236">
        <v>0.93</v>
      </c>
      <c r="H976" s="236">
        <v>0.87</v>
      </c>
      <c r="I976" s="105">
        <f>I983/I988</f>
        <v>0.85654275262316037</v>
      </c>
      <c r="J976" s="297">
        <f>J983/J988</f>
        <v>0.85654275262316037</v>
      </c>
    </row>
    <row r="977" spans="1:10" s="71" customFormat="1" x14ac:dyDescent="0.25">
      <c r="A977" s="77" t="s">
        <v>19</v>
      </c>
      <c r="B977" s="445">
        <v>0</v>
      </c>
      <c r="C977" s="235">
        <v>0.01</v>
      </c>
      <c r="D977" s="235">
        <v>0.01</v>
      </c>
      <c r="E977" s="236">
        <v>0.02</v>
      </c>
      <c r="F977" s="236">
        <v>0.01</v>
      </c>
      <c r="G977" s="236">
        <v>0.01</v>
      </c>
      <c r="H977" s="236">
        <v>0.02</v>
      </c>
      <c r="I977" s="105">
        <f>I984/I988</f>
        <v>1.2545125406842637E-2</v>
      </c>
      <c r="J977" s="297">
        <f>J984/J988</f>
        <v>1.2545125406842635E-2</v>
      </c>
    </row>
    <row r="978" spans="1:10" s="71" customFormat="1" x14ac:dyDescent="0.25">
      <c r="A978" s="77" t="s">
        <v>20</v>
      </c>
      <c r="B978" s="445">
        <v>0.15</v>
      </c>
      <c r="C978" s="235">
        <v>0.11</v>
      </c>
      <c r="D978" s="235">
        <v>0.15</v>
      </c>
      <c r="E978" s="236">
        <v>0.14000000000000001</v>
      </c>
      <c r="F978" s="236">
        <v>0.09</v>
      </c>
      <c r="G978" s="236">
        <v>0.03</v>
      </c>
      <c r="H978" s="236">
        <v>0.03</v>
      </c>
      <c r="I978" s="105">
        <f>I985/I988</f>
        <v>8.8938759015630989E-2</v>
      </c>
      <c r="J978" s="297">
        <f>J985/J988</f>
        <v>8.8938759015630989E-2</v>
      </c>
    </row>
    <row r="979" spans="1:10" s="71" customFormat="1" x14ac:dyDescent="0.25">
      <c r="A979" s="77" t="s">
        <v>21</v>
      </c>
      <c r="B979" s="445">
        <v>0.05</v>
      </c>
      <c r="C979" s="235">
        <v>0.02</v>
      </c>
      <c r="D979" s="235">
        <v>0.02</v>
      </c>
      <c r="E979" s="236">
        <v>0.03</v>
      </c>
      <c r="F979" s="236">
        <v>0.05</v>
      </c>
      <c r="G979" s="236">
        <v>0.03</v>
      </c>
      <c r="H979" s="236">
        <v>0.08</v>
      </c>
      <c r="I979" s="105">
        <f>I986/I988</f>
        <v>4.1973362954365961E-2</v>
      </c>
      <c r="J979" s="297">
        <f>J986/J988</f>
        <v>4.1973362954365961E-2</v>
      </c>
    </row>
    <row r="980" spans="1:10" s="71" customFormat="1" x14ac:dyDescent="0.25">
      <c r="A980" s="77" t="s">
        <v>22</v>
      </c>
      <c r="B980" s="445">
        <v>0</v>
      </c>
      <c r="C980" s="235">
        <v>0</v>
      </c>
      <c r="D980" s="235">
        <v>0</v>
      </c>
      <c r="E980" s="236">
        <v>0</v>
      </c>
      <c r="F980" s="236">
        <v>0</v>
      </c>
      <c r="G980" s="236">
        <v>0</v>
      </c>
      <c r="H980" s="236">
        <v>0</v>
      </c>
      <c r="I980" s="105">
        <f>I987/I988</f>
        <v>0</v>
      </c>
      <c r="J980" s="297">
        <f>J987/J988</f>
        <v>0</v>
      </c>
    </row>
    <row r="981" spans="1:10" s="71" customFormat="1" x14ac:dyDescent="0.25">
      <c r="A981" s="81" t="s">
        <v>23</v>
      </c>
      <c r="B981" s="409">
        <f t="shared" ref="B981:J981" si="414">B992/B975</f>
        <v>33632.530120481926</v>
      </c>
      <c r="C981" s="131">
        <f t="shared" si="414"/>
        <v>38496.226415094337</v>
      </c>
      <c r="D981" s="131">
        <f t="shared" si="414"/>
        <v>34478.723404255317</v>
      </c>
      <c r="E981" s="397">
        <f t="shared" si="414"/>
        <v>40523.776223776222</v>
      </c>
      <c r="F981" s="132">
        <f t="shared" si="414"/>
        <v>40900.000000000007</v>
      </c>
      <c r="G981" s="130">
        <f t="shared" si="414"/>
        <v>38916.580310880832</v>
      </c>
      <c r="H981" s="130">
        <f t="shared" si="414"/>
        <v>39658.888888888891</v>
      </c>
      <c r="I981" s="359">
        <f t="shared" si="414"/>
        <v>38563.066538090643</v>
      </c>
      <c r="J981" s="314">
        <f t="shared" si="414"/>
        <v>38563.06653809065</v>
      </c>
    </row>
    <row r="982" spans="1:10" s="71" customFormat="1" x14ac:dyDescent="0.25">
      <c r="A982" s="81" t="s">
        <v>24</v>
      </c>
      <c r="B982" s="409">
        <f t="shared" ref="B982:J982" si="415">B992/B969</f>
        <v>27915</v>
      </c>
      <c r="C982" s="131">
        <f t="shared" si="415"/>
        <v>28940.425531914894</v>
      </c>
      <c r="D982" s="131">
        <f t="shared" si="415"/>
        <v>28597.058823529413</v>
      </c>
      <c r="E982" s="397">
        <f t="shared" si="415"/>
        <v>30025.388601036269</v>
      </c>
      <c r="F982" s="132">
        <f t="shared" si="415"/>
        <v>30634.901960784318</v>
      </c>
      <c r="G982" s="130">
        <f t="shared" si="415"/>
        <v>30532.113821138217</v>
      </c>
      <c r="H982" s="130">
        <f t="shared" si="415"/>
        <v>29018.699186991875</v>
      </c>
      <c r="I982" s="359">
        <f t="shared" si="415"/>
        <v>29600.222057735013</v>
      </c>
      <c r="J982" s="314">
        <f t="shared" si="415"/>
        <v>29600.222057735013</v>
      </c>
    </row>
    <row r="983" spans="1:10" s="71" customFormat="1" x14ac:dyDescent="0.25">
      <c r="A983" s="77" t="s">
        <v>25</v>
      </c>
      <c r="B983" s="255">
        <f t="shared" ref="B983:H983" si="416">B988*B976</f>
        <v>1823456.4137931035</v>
      </c>
      <c r="C983" s="133">
        <f t="shared" si="416"/>
        <v>2878861.7137931036</v>
      </c>
      <c r="D983" s="133">
        <f t="shared" si="416"/>
        <v>3265168.8862068965</v>
      </c>
      <c r="E983" s="299">
        <f t="shared" si="416"/>
        <v>3873629.3431034489</v>
      </c>
      <c r="F983" s="134">
        <f t="shared" si="416"/>
        <v>5449474.5689655179</v>
      </c>
      <c r="G983" s="92">
        <f t="shared" si="416"/>
        <v>5682968.4775862079</v>
      </c>
      <c r="H983" s="92">
        <f t="shared" si="416"/>
        <v>5072722.5000000009</v>
      </c>
      <c r="I983" s="108">
        <f>'NOGAL '!$B983+'NOGAL '!$C983+'NOGAL '!$D983+'NOGAL '!$E983+'NOGAL '!$F983+'NOGAL '!$G983+'NOGAL '!$H983</f>
        <v>28046281.903448276</v>
      </c>
      <c r="J983" s="300">
        <f>'NOGAL '!$I983/7</f>
        <v>4006611.7004926107</v>
      </c>
    </row>
    <row r="984" spans="1:10" s="71" customFormat="1" x14ac:dyDescent="0.25">
      <c r="A984" s="77" t="s">
        <v>26</v>
      </c>
      <c r="B984" s="255">
        <f t="shared" ref="B984:H984" si="417">B988*B977</f>
        <v>0</v>
      </c>
      <c r="C984" s="133">
        <f t="shared" si="417"/>
        <v>33475.136206896554</v>
      </c>
      <c r="D984" s="133">
        <f t="shared" si="417"/>
        <v>39819.132758620697</v>
      </c>
      <c r="E984" s="299">
        <f t="shared" si="417"/>
        <v>95645.168965517252</v>
      </c>
      <c r="F984" s="134">
        <f t="shared" si="417"/>
        <v>64111.465517241391</v>
      </c>
      <c r="G984" s="92">
        <f t="shared" si="417"/>
        <v>61107.187931034488</v>
      </c>
      <c r="H984" s="92">
        <f t="shared" si="417"/>
        <v>116614.31034482761</v>
      </c>
      <c r="I984" s="108">
        <f>'NOGAL '!$B984+'NOGAL '!$C984+'NOGAL '!$D984+'NOGAL '!$E984+'NOGAL '!$F984+'NOGAL '!$G984+'NOGAL '!$H984</f>
        <v>410772.40172413801</v>
      </c>
      <c r="J984" s="300">
        <f>'NOGAL '!$I984/7</f>
        <v>58681.771674876858</v>
      </c>
    </row>
    <row r="985" spans="1:10" s="71" customFormat="1" x14ac:dyDescent="0.25">
      <c r="A985" s="77" t="s">
        <v>27</v>
      </c>
      <c r="B985" s="255">
        <f t="shared" ref="B985:H985" si="418">B988*B978</f>
        <v>341898.0775862069</v>
      </c>
      <c r="C985" s="133">
        <f t="shared" si="418"/>
        <v>368226.49827586208</v>
      </c>
      <c r="D985" s="133">
        <f t="shared" si="418"/>
        <v>597286.99137931038</v>
      </c>
      <c r="E985" s="299">
        <f t="shared" si="418"/>
        <v>669516.18275862082</v>
      </c>
      <c r="F985" s="134">
        <f t="shared" si="418"/>
        <v>577003.18965517241</v>
      </c>
      <c r="G985" s="92">
        <f t="shared" si="418"/>
        <v>183321.56379310347</v>
      </c>
      <c r="H985" s="92">
        <f t="shared" si="418"/>
        <v>174921.46551724139</v>
      </c>
      <c r="I985" s="108">
        <f>'NOGAL '!$B985+'NOGAL '!$C985+'NOGAL '!$D985+'NOGAL '!$E985+'NOGAL '!$F985+'NOGAL '!$G985+'NOGAL '!$H985</f>
        <v>2912173.9689655178</v>
      </c>
      <c r="J985" s="300">
        <f>'NOGAL '!$I985/7</f>
        <v>416024.85270935966</v>
      </c>
    </row>
    <row r="986" spans="1:10" s="71" customFormat="1" x14ac:dyDescent="0.25">
      <c r="A986" s="77" t="s">
        <v>28</v>
      </c>
      <c r="B986" s="255">
        <f t="shared" ref="B986:H986" si="419">B988*B979</f>
        <v>113966.02586206897</v>
      </c>
      <c r="C986" s="133">
        <f t="shared" si="419"/>
        <v>66950.272413793107</v>
      </c>
      <c r="D986" s="133">
        <f t="shared" si="419"/>
        <v>79638.265517241394</v>
      </c>
      <c r="E986" s="299">
        <f t="shared" si="419"/>
        <v>143467.75344827585</v>
      </c>
      <c r="F986" s="134">
        <f t="shared" si="419"/>
        <v>320557.32758620696</v>
      </c>
      <c r="G986" s="92">
        <f t="shared" si="419"/>
        <v>183321.56379310347</v>
      </c>
      <c r="H986" s="92">
        <f t="shared" si="419"/>
        <v>466457.24137931044</v>
      </c>
      <c r="I986" s="108">
        <f>'NOGAL '!$B986+'NOGAL '!$C986+'NOGAL '!$D986+'NOGAL '!$E986+'NOGAL '!$F986+'NOGAL '!$G986+'NOGAL '!$H986</f>
        <v>1374358.4500000002</v>
      </c>
      <c r="J986" s="300">
        <f>'NOGAL '!$I986/7</f>
        <v>196336.92142857146</v>
      </c>
    </row>
    <row r="987" spans="1:10" s="71" customFormat="1" x14ac:dyDescent="0.25">
      <c r="A987" s="77" t="s">
        <v>29</v>
      </c>
      <c r="B987" s="255">
        <f t="shared" ref="B987:H987" si="420">B988*B980</f>
        <v>0</v>
      </c>
      <c r="C987" s="133">
        <f t="shared" si="420"/>
        <v>0</v>
      </c>
      <c r="D987" s="133">
        <f t="shared" si="420"/>
        <v>0</v>
      </c>
      <c r="E987" s="299">
        <f t="shared" si="420"/>
        <v>0</v>
      </c>
      <c r="F987" s="134">
        <f t="shared" si="420"/>
        <v>0</v>
      </c>
      <c r="G987" s="92">
        <f t="shared" si="420"/>
        <v>0</v>
      </c>
      <c r="H987" s="92">
        <f t="shared" si="420"/>
        <v>0</v>
      </c>
      <c r="I987" s="108">
        <f>'NOGAL '!$B987+'NOGAL '!$C987+'NOGAL '!$D987+'NOGAL '!$E987+'NOGAL '!$F987+'NOGAL '!$G987+'NOGAL '!$H987</f>
        <v>0</v>
      </c>
      <c r="J987" s="300">
        <f>'NOGAL '!$I987/7</f>
        <v>0</v>
      </c>
    </row>
    <row r="988" spans="1:10" s="71" customFormat="1" x14ac:dyDescent="0.25">
      <c r="A988" s="82" t="s">
        <v>30</v>
      </c>
      <c r="B988" s="222">
        <f>(2791500/1.16)-B989</f>
        <v>2279320.5172413792</v>
      </c>
      <c r="C988" s="222">
        <f>(4080600/1.16)-C989</f>
        <v>3347513.6206896552</v>
      </c>
      <c r="D988" s="222">
        <f>(4861500/1.16)-D989</f>
        <v>3981913.2758620693</v>
      </c>
      <c r="E988" s="222">
        <f>(5794900/1.16)-E989</f>
        <v>4782258.4482758623</v>
      </c>
      <c r="F988" s="222">
        <f>(7811900/1.16)-F989</f>
        <v>6411146.5517241387</v>
      </c>
      <c r="G988" s="222">
        <f>(7510900/1.16)-G989</f>
        <v>6110718.793103449</v>
      </c>
      <c r="H988" s="222">
        <f>(7138600/1.16)-H989</f>
        <v>5830715.5172413802</v>
      </c>
      <c r="I988" s="111">
        <f>SUM(I983:I987)</f>
        <v>32743586.724137932</v>
      </c>
      <c r="J988" s="361">
        <f>'NOGAL '!$I988/7</f>
        <v>4677655.2463054191</v>
      </c>
    </row>
    <row r="989" spans="1:10" s="71" customFormat="1" x14ac:dyDescent="0.25">
      <c r="A989" s="77" t="s">
        <v>31</v>
      </c>
      <c r="B989" s="263">
        <f t="shared" ref="B989:G989" si="421">2155*B970</f>
        <v>127145</v>
      </c>
      <c r="C989" s="139">
        <f t="shared" si="421"/>
        <v>170245</v>
      </c>
      <c r="D989" s="139">
        <f t="shared" si="421"/>
        <v>209035</v>
      </c>
      <c r="E989" s="113">
        <f t="shared" si="421"/>
        <v>213345</v>
      </c>
      <c r="F989" s="112">
        <f t="shared" si="421"/>
        <v>323250</v>
      </c>
      <c r="G989" s="94">
        <f t="shared" si="421"/>
        <v>364195</v>
      </c>
      <c r="H989" s="94">
        <f>2155*H970</f>
        <v>323250</v>
      </c>
      <c r="I989" s="109">
        <f>2155*I970</f>
        <v>1730465</v>
      </c>
      <c r="J989" s="302">
        <f>2155*J970</f>
        <v>247209.28571428571</v>
      </c>
    </row>
    <row r="990" spans="1:10" s="71" customFormat="1" x14ac:dyDescent="0.25">
      <c r="A990" s="83" t="s">
        <v>32</v>
      </c>
      <c r="B990" s="411">
        <f>B988+B989</f>
        <v>2406465.5172413792</v>
      </c>
      <c r="C990" s="40">
        <f>C988+C989</f>
        <v>3517758.6206896552</v>
      </c>
      <c r="D990" s="40">
        <f t="shared" ref="D990:J990" si="422">D988+D989</f>
        <v>4190948.2758620693</v>
      </c>
      <c r="E990" s="399">
        <f t="shared" si="422"/>
        <v>4995603.4482758623</v>
      </c>
      <c r="F990" s="140">
        <f t="shared" si="422"/>
        <v>6734396.5517241387</v>
      </c>
      <c r="G990" s="39">
        <f t="shared" si="422"/>
        <v>6474913.793103449</v>
      </c>
      <c r="H990" s="39">
        <f t="shared" si="422"/>
        <v>6153965.5172413802</v>
      </c>
      <c r="I990" s="412">
        <f t="shared" si="422"/>
        <v>34474051.724137932</v>
      </c>
      <c r="J990" s="364">
        <f t="shared" si="422"/>
        <v>4924864.5320197046</v>
      </c>
    </row>
    <row r="991" spans="1:10" s="71" customFormat="1" x14ac:dyDescent="0.25">
      <c r="A991" s="77" t="s">
        <v>33</v>
      </c>
      <c r="B991" s="413">
        <f>B990*16%</f>
        <v>385034.4827586207</v>
      </c>
      <c r="C991" s="42">
        <f>C990*16%</f>
        <v>562841.37931034481</v>
      </c>
      <c r="D991" s="42">
        <f t="shared" ref="D991:J991" si="423">D990*16%</f>
        <v>670551.72413793113</v>
      </c>
      <c r="E991" s="400">
        <f t="shared" si="423"/>
        <v>799296.55172413797</v>
      </c>
      <c r="F991" s="141">
        <f t="shared" si="423"/>
        <v>1077503.4482758623</v>
      </c>
      <c r="G991" s="41">
        <f t="shared" si="423"/>
        <v>1035986.2068965519</v>
      </c>
      <c r="H991" s="41">
        <f t="shared" si="423"/>
        <v>984634.48275862087</v>
      </c>
      <c r="I991" s="414">
        <f t="shared" si="423"/>
        <v>5515848.2758620689</v>
      </c>
      <c r="J991" s="415">
        <f t="shared" si="423"/>
        <v>787978.3251231527</v>
      </c>
    </row>
    <row r="992" spans="1:10" s="71" customFormat="1" x14ac:dyDescent="0.25">
      <c r="A992" s="142" t="s">
        <v>34</v>
      </c>
      <c r="B992" s="438">
        <f t="shared" ref="B992:H992" si="424">B990+B991</f>
        <v>2791500</v>
      </c>
      <c r="C992" s="143">
        <f t="shared" si="424"/>
        <v>4080600</v>
      </c>
      <c r="D992" s="143">
        <f t="shared" si="424"/>
        <v>4861500</v>
      </c>
      <c r="E992" s="439">
        <f t="shared" si="424"/>
        <v>5794900</v>
      </c>
      <c r="F992" s="145">
        <f t="shared" si="424"/>
        <v>7811900.0000000009</v>
      </c>
      <c r="G992" s="144">
        <f t="shared" si="424"/>
        <v>7510900.0000000009</v>
      </c>
      <c r="H992" s="144">
        <f t="shared" si="424"/>
        <v>7138600.0000000009</v>
      </c>
      <c r="I992" s="440">
        <f>+I990+I991</f>
        <v>39989900</v>
      </c>
      <c r="J992" s="441">
        <f>'NOGAL '!$I992/7</f>
        <v>5712842.8571428573</v>
      </c>
    </row>
    <row r="993" spans="1:10" s="71" customFormat="1" ht="15.75" thickBot="1" x14ac:dyDescent="0.3">
      <c r="A993" s="69"/>
      <c r="B993" s="424"/>
      <c r="C993" s="424"/>
      <c r="D993" s="424"/>
      <c r="E993" s="424"/>
      <c r="F993" s="424"/>
      <c r="G993" s="424"/>
      <c r="H993" s="424"/>
      <c r="I993" s="424"/>
      <c r="J993" s="424"/>
    </row>
    <row r="994" spans="1:10" s="71" customFormat="1" ht="26.25" x14ac:dyDescent="0.25">
      <c r="A994" s="85"/>
      <c r="B994" s="1002" t="s">
        <v>377</v>
      </c>
      <c r="C994" s="1002"/>
      <c r="D994" s="1002"/>
      <c r="E994" s="1002"/>
      <c r="F994" s="1002"/>
      <c r="G994" s="1002"/>
      <c r="H994" s="1002"/>
      <c r="I994" s="1002"/>
      <c r="J994" s="85"/>
    </row>
    <row r="995" spans="1:10" s="71" customFormat="1" ht="15.75" x14ac:dyDescent="0.25">
      <c r="A995" s="72" t="s">
        <v>2</v>
      </c>
      <c r="B995" s="228" t="s">
        <v>81</v>
      </c>
      <c r="C995" s="228" t="s">
        <v>82</v>
      </c>
      <c r="D995" s="228" t="s">
        <v>83</v>
      </c>
      <c r="E995" s="228" t="s">
        <v>84</v>
      </c>
      <c r="F995" s="228" t="s">
        <v>85</v>
      </c>
      <c r="G995" s="228" t="s">
        <v>86</v>
      </c>
      <c r="H995" s="228" t="s">
        <v>87</v>
      </c>
      <c r="I995" s="153" t="s">
        <v>10</v>
      </c>
      <c r="J995" s="421" t="s">
        <v>77</v>
      </c>
    </row>
    <row r="996" spans="1:10" s="71" customFormat="1" x14ac:dyDescent="0.25">
      <c r="A996" s="430" t="s">
        <v>11</v>
      </c>
      <c r="B996" s="431">
        <f>83+24+8</f>
        <v>115</v>
      </c>
      <c r="C996" s="432">
        <f>99+26+21</f>
        <v>146</v>
      </c>
      <c r="D996" s="433">
        <f>107+27+19</f>
        <v>153</v>
      </c>
      <c r="E996" s="434">
        <f>98+35+20</f>
        <v>153</v>
      </c>
      <c r="F996" s="434">
        <f>186+71+26</f>
        <v>283</v>
      </c>
      <c r="G996" s="435">
        <f>141+49+27</f>
        <v>217</v>
      </c>
      <c r="H996" s="434">
        <f>120+46+27</f>
        <v>193</v>
      </c>
      <c r="I996" s="435">
        <f>SUM(B996:H996)</f>
        <v>1260</v>
      </c>
      <c r="J996" s="437">
        <f>'NOGAL '!$I996/7</f>
        <v>180</v>
      </c>
    </row>
    <row r="997" spans="1:10" s="71" customFormat="1" x14ac:dyDescent="0.25">
      <c r="A997" s="77" t="s">
        <v>12</v>
      </c>
      <c r="B997" s="233">
        <v>65</v>
      </c>
      <c r="C997" s="13">
        <v>84</v>
      </c>
      <c r="D997" s="13">
        <v>90</v>
      </c>
      <c r="E997" s="446">
        <v>85</v>
      </c>
      <c r="F997" s="446">
        <v>172</v>
      </c>
      <c r="G997" s="125">
        <v>131</v>
      </c>
      <c r="H997" s="11">
        <v>118</v>
      </c>
      <c r="I997" s="403">
        <f>B997+C997+D997+E997+F997+G997+H997</f>
        <v>745</v>
      </c>
      <c r="J997" s="292">
        <f>'NOGAL '!$I997/7</f>
        <v>106.42857142857143</v>
      </c>
    </row>
    <row r="998" spans="1:10" s="71" customFormat="1" x14ac:dyDescent="0.25">
      <c r="A998" s="77" t="s">
        <v>13</v>
      </c>
      <c r="B998" s="233">
        <v>2</v>
      </c>
      <c r="C998" s="13">
        <v>1</v>
      </c>
      <c r="D998" s="13">
        <v>0</v>
      </c>
      <c r="E998" s="395">
        <v>1</v>
      </c>
      <c r="F998" s="395">
        <v>2</v>
      </c>
      <c r="G998" s="125">
        <v>3</v>
      </c>
      <c r="H998" s="11">
        <v>2</v>
      </c>
      <c r="I998" s="403">
        <f>B998+C998+D998+E998+F998+G998+H998</f>
        <v>11</v>
      </c>
      <c r="J998" s="292">
        <f>C998+D998+E998+F998+G998+H998+I998</f>
        <v>20</v>
      </c>
    </row>
    <row r="999" spans="1:10" s="71" customFormat="1" x14ac:dyDescent="0.25">
      <c r="A999" s="77" t="s">
        <v>14</v>
      </c>
      <c r="B999" s="233">
        <v>20</v>
      </c>
      <c r="C999" s="13">
        <v>16</v>
      </c>
      <c r="D999" s="13">
        <v>22</v>
      </c>
      <c r="E999" s="395">
        <v>26</v>
      </c>
      <c r="F999" s="395">
        <v>30</v>
      </c>
      <c r="G999" s="125">
        <v>31</v>
      </c>
      <c r="H999" s="11">
        <v>20</v>
      </c>
      <c r="I999" s="403">
        <f>B999+C999+D999+E999+F999+G999+H999</f>
        <v>165</v>
      </c>
      <c r="J999" s="292">
        <f>'NOGAL '!$I999/7</f>
        <v>23.571428571428573</v>
      </c>
    </row>
    <row r="1000" spans="1:10" s="71" customFormat="1" x14ac:dyDescent="0.25">
      <c r="A1000" s="77" t="s">
        <v>15</v>
      </c>
      <c r="B1000" s="233">
        <v>4</v>
      </c>
      <c r="C1000" s="13">
        <v>6</v>
      </c>
      <c r="D1000" s="13">
        <v>3</v>
      </c>
      <c r="E1000" s="395">
        <v>8</v>
      </c>
      <c r="F1000" s="395">
        <v>11</v>
      </c>
      <c r="G1000" s="125">
        <v>7</v>
      </c>
      <c r="H1000" s="11">
        <v>5</v>
      </c>
      <c r="I1000" s="403">
        <f>B1000+C1000+D1000+E1000+F1000+G1000+H1000</f>
        <v>44</v>
      </c>
      <c r="J1000" s="292">
        <f>'NOGAL '!$I1000/7</f>
        <v>6.2857142857142856</v>
      </c>
    </row>
    <row r="1001" spans="1:10" s="71" customFormat="1" x14ac:dyDescent="0.25">
      <c r="A1001" s="77" t="s">
        <v>16</v>
      </c>
      <c r="B1001" s="233">
        <v>0</v>
      </c>
      <c r="C1001" s="13">
        <v>0</v>
      </c>
      <c r="D1001" s="13">
        <v>0</v>
      </c>
      <c r="E1001" s="395">
        <v>1</v>
      </c>
      <c r="F1001" s="395">
        <v>0</v>
      </c>
      <c r="G1001" s="125">
        <v>1</v>
      </c>
      <c r="H1001" s="11">
        <v>0</v>
      </c>
      <c r="I1001" s="403">
        <f>B1001+C1001+D1001+E1001+F1001+G1001+H1001</f>
        <v>2</v>
      </c>
      <c r="J1001" s="292">
        <f>'NOGAL '!$I1001/7</f>
        <v>0.2857142857142857</v>
      </c>
    </row>
    <row r="1002" spans="1:10" s="71" customFormat="1" x14ac:dyDescent="0.25">
      <c r="A1002" s="79" t="s">
        <v>17</v>
      </c>
      <c r="B1002" s="102">
        <f>SUM(B997:B1001)</f>
        <v>91</v>
      </c>
      <c r="C1002" s="79">
        <f t="shared" ref="C1002:H1002" si="425">SUM(C997:C1001)</f>
        <v>107</v>
      </c>
      <c r="D1002" s="79">
        <f t="shared" si="425"/>
        <v>115</v>
      </c>
      <c r="E1002" s="248">
        <f t="shared" si="425"/>
        <v>121</v>
      </c>
      <c r="F1002" s="15">
        <f t="shared" si="425"/>
        <v>215</v>
      </c>
      <c r="G1002" s="79">
        <f t="shared" si="425"/>
        <v>173</v>
      </c>
      <c r="H1002" s="79">
        <f t="shared" si="425"/>
        <v>145</v>
      </c>
      <c r="I1002" s="404">
        <f>SUM(I997:I1001)</f>
        <v>967</v>
      </c>
      <c r="J1002" s="405">
        <f>'NOGAL '!$I1002/7</f>
        <v>138.14285714285714</v>
      </c>
    </row>
    <row r="1003" spans="1:10" s="71" customFormat="1" x14ac:dyDescent="0.25">
      <c r="A1003" s="77" t="s">
        <v>18</v>
      </c>
      <c r="B1003" s="445">
        <v>0.77</v>
      </c>
      <c r="C1003" s="235">
        <v>0.86</v>
      </c>
      <c r="D1003" s="235">
        <v>0.86</v>
      </c>
      <c r="E1003" s="236">
        <v>0.8</v>
      </c>
      <c r="F1003" s="236">
        <v>0.83</v>
      </c>
      <c r="G1003" s="236">
        <v>0.83</v>
      </c>
      <c r="H1003" s="236">
        <v>0.85</v>
      </c>
      <c r="I1003" s="105">
        <f>I1010/I1015</f>
        <v>0.83021888285958068</v>
      </c>
      <c r="J1003" s="297">
        <f>J1010/J1015</f>
        <v>0.83021888285958068</v>
      </c>
    </row>
    <row r="1004" spans="1:10" s="71" customFormat="1" x14ac:dyDescent="0.25">
      <c r="A1004" s="77" t="s">
        <v>19</v>
      </c>
      <c r="B1004" s="445">
        <v>0.03</v>
      </c>
      <c r="C1004" s="235">
        <v>0.01</v>
      </c>
      <c r="D1004" s="235">
        <v>0</v>
      </c>
      <c r="E1004" s="236">
        <v>0.01</v>
      </c>
      <c r="F1004" s="236">
        <v>0.01</v>
      </c>
      <c r="G1004" s="236">
        <v>0.01</v>
      </c>
      <c r="H1004" s="236">
        <v>0.01</v>
      </c>
      <c r="I1004" s="105">
        <f>I1011/I1015</f>
        <v>1.0873885622832579E-2</v>
      </c>
      <c r="J1004" s="297">
        <f>J1011/J1015</f>
        <v>1.0873885622832579E-2</v>
      </c>
    </row>
    <row r="1005" spans="1:10" s="71" customFormat="1" x14ac:dyDescent="0.25">
      <c r="A1005" s="77" t="s">
        <v>20</v>
      </c>
      <c r="B1005" s="445">
        <v>0.17</v>
      </c>
      <c r="C1005" s="235">
        <v>0.09</v>
      </c>
      <c r="D1005" s="235">
        <v>0.12</v>
      </c>
      <c r="E1005" s="236">
        <v>0.13</v>
      </c>
      <c r="F1005" s="236">
        <v>0.11</v>
      </c>
      <c r="G1005" s="236">
        <v>0.12</v>
      </c>
      <c r="H1005" s="236">
        <v>0.11</v>
      </c>
      <c r="I1005" s="105">
        <f>I1012/I1015</f>
        <v>0.11896675249387072</v>
      </c>
      <c r="J1005" s="297">
        <f>J1012/J1015</f>
        <v>0.1189667524938707</v>
      </c>
    </row>
    <row r="1006" spans="1:10" s="71" customFormat="1" x14ac:dyDescent="0.25">
      <c r="A1006" s="77" t="s">
        <v>21</v>
      </c>
      <c r="B1006" s="445">
        <v>0.03</v>
      </c>
      <c r="C1006" s="235">
        <v>0.04</v>
      </c>
      <c r="D1006" s="235">
        <v>0.02</v>
      </c>
      <c r="E1006" s="236">
        <v>0.05</v>
      </c>
      <c r="F1006" s="236">
        <v>0.05</v>
      </c>
      <c r="G1006" s="236">
        <v>0.03</v>
      </c>
      <c r="H1006" s="236">
        <v>0.03</v>
      </c>
      <c r="I1006" s="105">
        <f>I1013/I1015</f>
        <v>3.7029790957624868E-2</v>
      </c>
      <c r="J1006" s="297">
        <f>J1013/J1015</f>
        <v>3.7029790957624868E-2</v>
      </c>
    </row>
    <row r="1007" spans="1:10" s="71" customFormat="1" x14ac:dyDescent="0.25">
      <c r="A1007" s="77" t="s">
        <v>22</v>
      </c>
      <c r="B1007" s="445">
        <v>0</v>
      </c>
      <c r="C1007" s="235">
        <v>0</v>
      </c>
      <c r="D1007" s="235">
        <v>0</v>
      </c>
      <c r="E1007" s="236">
        <v>0.01</v>
      </c>
      <c r="F1007" s="236">
        <v>0</v>
      </c>
      <c r="G1007" s="236">
        <v>0.01</v>
      </c>
      <c r="H1007" s="236">
        <v>0</v>
      </c>
      <c r="I1007" s="105">
        <f>I1014/I1015</f>
        <v>2.9106880660912052E-3</v>
      </c>
      <c r="J1007" s="297">
        <f>J1014/J1015</f>
        <v>2.9106880660912048E-3</v>
      </c>
    </row>
    <row r="1008" spans="1:10" s="71" customFormat="1" x14ac:dyDescent="0.25">
      <c r="A1008" s="81" t="s">
        <v>23</v>
      </c>
      <c r="B1008" s="409">
        <f t="shared" ref="B1008:J1008" si="426">B1019/B1002</f>
        <v>39481.318681318684</v>
      </c>
      <c r="C1008" s="131">
        <f t="shared" si="426"/>
        <v>38220.560747663549</v>
      </c>
      <c r="D1008" s="131">
        <f t="shared" si="426"/>
        <v>35377.391304347831</v>
      </c>
      <c r="E1008" s="397">
        <f t="shared" si="426"/>
        <v>36824.793388429753</v>
      </c>
      <c r="F1008" s="132">
        <f t="shared" si="426"/>
        <v>38624.186046511633</v>
      </c>
      <c r="G1008" s="130">
        <f t="shared" si="426"/>
        <v>35454.91329479769</v>
      </c>
      <c r="H1008" s="130">
        <f t="shared" si="426"/>
        <v>39615.172413793109</v>
      </c>
      <c r="I1008" s="359">
        <f t="shared" si="426"/>
        <v>37630.506721820064</v>
      </c>
      <c r="J1008" s="314">
        <f t="shared" si="426"/>
        <v>37630.506721820064</v>
      </c>
    </row>
    <row r="1009" spans="1:12" s="71" customFormat="1" x14ac:dyDescent="0.25">
      <c r="A1009" s="81" t="s">
        <v>24</v>
      </c>
      <c r="B1009" s="409">
        <f t="shared" ref="B1009:J1009" si="427">B1019/B996</f>
        <v>31241.739130434784</v>
      </c>
      <c r="C1009" s="131">
        <f t="shared" si="427"/>
        <v>28010.95890410959</v>
      </c>
      <c r="D1009" s="131">
        <f t="shared" si="427"/>
        <v>26590.849673202618</v>
      </c>
      <c r="E1009" s="397">
        <f t="shared" si="427"/>
        <v>29122.875816993463</v>
      </c>
      <c r="F1009" s="132">
        <f t="shared" si="427"/>
        <v>29343.462897526504</v>
      </c>
      <c r="G1009" s="130">
        <f t="shared" si="427"/>
        <v>28265.898617511521</v>
      </c>
      <c r="H1009" s="130">
        <f t="shared" si="427"/>
        <v>29762.694300518138</v>
      </c>
      <c r="I1009" s="359">
        <f t="shared" si="427"/>
        <v>28879.920634920636</v>
      </c>
      <c r="J1009" s="314">
        <f t="shared" si="427"/>
        <v>28879.920634920636</v>
      </c>
    </row>
    <row r="1010" spans="1:12" s="71" customFormat="1" x14ac:dyDescent="0.25">
      <c r="A1010" s="77" t="s">
        <v>25</v>
      </c>
      <c r="B1010" s="255">
        <f t="shared" ref="B1010:H1010" si="428">B1015*B1003</f>
        <v>2277018.1120689656</v>
      </c>
      <c r="C1010" s="133">
        <f t="shared" si="428"/>
        <v>2876267.6275862069</v>
      </c>
      <c r="D1010" s="133">
        <f t="shared" si="428"/>
        <v>2849430.5862068967</v>
      </c>
      <c r="E1010" s="299">
        <f t="shared" si="428"/>
        <v>2926425.5172413797</v>
      </c>
      <c r="F1010" s="134">
        <f t="shared" si="428"/>
        <v>5634150.4758620691</v>
      </c>
      <c r="G1010" s="92">
        <f t="shared" si="428"/>
        <v>4154454.953448276</v>
      </c>
      <c r="H1010" s="92">
        <f t="shared" si="428"/>
        <v>3992965.5689655179</v>
      </c>
      <c r="I1010" s="108">
        <f>'NOGAL '!$B1010+'NOGAL '!$C1010+'NOGAL '!$D1010+'NOGAL '!$E1010+'NOGAL '!$F1010+'NOGAL '!$G1010+'NOGAL '!$H1010</f>
        <v>24710712.841379311</v>
      </c>
      <c r="J1010" s="300">
        <f>'NOGAL '!$I1010/7</f>
        <v>3530101.8344827588</v>
      </c>
    </row>
    <row r="1011" spans="1:12" s="71" customFormat="1" x14ac:dyDescent="0.25">
      <c r="A1011" s="77" t="s">
        <v>26</v>
      </c>
      <c r="B1011" s="255">
        <f t="shared" ref="B1011:H1011" si="429">B1015*B1004</f>
        <v>88714.991379310348</v>
      </c>
      <c r="C1011" s="133">
        <f t="shared" si="429"/>
        <v>33444.972413793104</v>
      </c>
      <c r="D1011" s="133">
        <f t="shared" si="429"/>
        <v>0</v>
      </c>
      <c r="E1011" s="299">
        <f t="shared" si="429"/>
        <v>36580.318965517246</v>
      </c>
      <c r="F1011" s="134">
        <f t="shared" si="429"/>
        <v>67881.331034482762</v>
      </c>
      <c r="G1011" s="92">
        <f t="shared" si="429"/>
        <v>50053.674137931041</v>
      </c>
      <c r="H1011" s="92">
        <f t="shared" si="429"/>
        <v>46976.06551724139</v>
      </c>
      <c r="I1011" s="108">
        <f>'NOGAL '!$B1011+'NOGAL '!$C1011+'NOGAL '!$D1011+'NOGAL '!$E1011+'NOGAL '!$F1011+'NOGAL '!$G1011+'NOGAL '!$H1011</f>
        <v>323651.35344827583</v>
      </c>
      <c r="J1011" s="300">
        <f>'NOGAL '!$I1011/7</f>
        <v>46235.907635467978</v>
      </c>
    </row>
    <row r="1012" spans="1:12" s="71" customFormat="1" x14ac:dyDescent="0.25">
      <c r="A1012" s="77" t="s">
        <v>27</v>
      </c>
      <c r="B1012" s="255">
        <f t="shared" ref="B1012:H1012" si="430">B1015*B1005</f>
        <v>502718.28448275867</v>
      </c>
      <c r="C1012" s="133">
        <f t="shared" si="430"/>
        <v>301004.75172413792</v>
      </c>
      <c r="D1012" s="133">
        <f t="shared" si="430"/>
        <v>397594.96551724139</v>
      </c>
      <c r="E1012" s="299">
        <f t="shared" si="430"/>
        <v>475544.14655172423</v>
      </c>
      <c r="F1012" s="134">
        <f t="shared" si="430"/>
        <v>746694.6413793104</v>
      </c>
      <c r="G1012" s="92">
        <f t="shared" si="430"/>
        <v>600644.08965517243</v>
      </c>
      <c r="H1012" s="92">
        <f t="shared" si="430"/>
        <v>516736.72068965528</v>
      </c>
      <c r="I1012" s="108">
        <f>'NOGAL '!$B1012+'NOGAL '!$C1012+'NOGAL '!$D1012+'NOGAL '!$E1012+'NOGAL '!$F1012+'NOGAL '!$G1012+'NOGAL '!$H1012</f>
        <v>3540937.6000000006</v>
      </c>
      <c r="J1012" s="300">
        <f>'NOGAL '!$I1012/7</f>
        <v>505848.22857142863</v>
      </c>
    </row>
    <row r="1013" spans="1:12" s="71" customFormat="1" x14ac:dyDescent="0.25">
      <c r="A1013" s="77" t="s">
        <v>28</v>
      </c>
      <c r="B1013" s="255">
        <f t="shared" ref="B1013:H1013" si="431">B1015*B1006</f>
        <v>88714.991379310348</v>
      </c>
      <c r="C1013" s="133">
        <f t="shared" si="431"/>
        <v>133779.88965517242</v>
      </c>
      <c r="D1013" s="133">
        <f t="shared" si="431"/>
        <v>66265.827586206913</v>
      </c>
      <c r="E1013" s="299">
        <f t="shared" si="431"/>
        <v>182901.59482758623</v>
      </c>
      <c r="F1013" s="134">
        <f t="shared" si="431"/>
        <v>339406.65517241386</v>
      </c>
      <c r="G1013" s="92">
        <f t="shared" si="431"/>
        <v>150161.02241379311</v>
      </c>
      <c r="H1013" s="92">
        <f t="shared" si="431"/>
        <v>140928.19655172416</v>
      </c>
      <c r="I1013" s="108">
        <f>'NOGAL '!$B1013+'NOGAL '!$C1013+'NOGAL '!$D1013+'NOGAL '!$E1013+'NOGAL '!$F1013+'NOGAL '!$G1013+'NOGAL '!$H1013</f>
        <v>1102158.1775862072</v>
      </c>
      <c r="J1013" s="300">
        <f>'NOGAL '!$I1013/7</f>
        <v>157451.16822660103</v>
      </c>
    </row>
    <row r="1014" spans="1:12" s="71" customFormat="1" x14ac:dyDescent="0.25">
      <c r="A1014" s="77" t="s">
        <v>29</v>
      </c>
      <c r="B1014" s="255">
        <f t="shared" ref="B1014:H1014" si="432">B1015*B1007</f>
        <v>0</v>
      </c>
      <c r="C1014" s="133">
        <f t="shared" si="432"/>
        <v>0</v>
      </c>
      <c r="D1014" s="133">
        <f t="shared" si="432"/>
        <v>0</v>
      </c>
      <c r="E1014" s="299">
        <f t="shared" si="432"/>
        <v>36580.318965517246</v>
      </c>
      <c r="F1014" s="134">
        <f t="shared" si="432"/>
        <v>0</v>
      </c>
      <c r="G1014" s="92">
        <f t="shared" si="432"/>
        <v>50053.674137931041</v>
      </c>
      <c r="H1014" s="92">
        <f t="shared" si="432"/>
        <v>0</v>
      </c>
      <c r="I1014" s="108">
        <f>'NOGAL '!$B1014+'NOGAL '!$C1014+'NOGAL '!$D1014+'NOGAL '!$E1014+'NOGAL '!$F1014+'NOGAL '!$G1014+'NOGAL '!$H1014</f>
        <v>86633.993103448287</v>
      </c>
      <c r="J1014" s="300">
        <f>'NOGAL '!$I1014/7</f>
        <v>12376.28472906404</v>
      </c>
    </row>
    <row r="1015" spans="1:12" s="71" customFormat="1" x14ac:dyDescent="0.25">
      <c r="A1015" s="82" t="s">
        <v>30</v>
      </c>
      <c r="B1015" s="222">
        <f>(3592800/1.16)-B1016</f>
        <v>2957166.3793103448</v>
      </c>
      <c r="C1015" s="222">
        <f>(4089600/1.16)-C1016</f>
        <v>3344497.2413793104</v>
      </c>
      <c r="D1015" s="222">
        <f>(4068400/1.16)-D1016</f>
        <v>3313291.3793103453</v>
      </c>
      <c r="E1015" s="222">
        <f>(4455800/1.16)-E1016</f>
        <v>3658031.8965517245</v>
      </c>
      <c r="F1015" s="222">
        <f>(8304200/1.16)-F1016</f>
        <v>6788133.1034482764</v>
      </c>
      <c r="G1015" s="222">
        <f>(6133700/1.16)-G1016</f>
        <v>5005367.4137931038</v>
      </c>
      <c r="H1015" s="222">
        <f>(5744200/1.16)-H1016</f>
        <v>4697606.5517241387</v>
      </c>
      <c r="I1015" s="111">
        <f>SUM(I1010:I1014)</f>
        <v>29764093.965517242</v>
      </c>
      <c r="J1015" s="361">
        <f>'NOGAL '!$I1015/7</f>
        <v>4252013.4236453203</v>
      </c>
    </row>
    <row r="1016" spans="1:12" s="71" customFormat="1" x14ac:dyDescent="0.25">
      <c r="A1016" s="77" t="s">
        <v>31</v>
      </c>
      <c r="B1016" s="263">
        <f t="shared" ref="B1016:G1016" si="433">2155*B997</f>
        <v>140075</v>
      </c>
      <c r="C1016" s="139">
        <f t="shared" si="433"/>
        <v>181020</v>
      </c>
      <c r="D1016" s="139">
        <f t="shared" si="433"/>
        <v>193950</v>
      </c>
      <c r="E1016" s="113">
        <f t="shared" si="433"/>
        <v>183175</v>
      </c>
      <c r="F1016" s="112">
        <f t="shared" si="433"/>
        <v>370660</v>
      </c>
      <c r="G1016" s="94">
        <f t="shared" si="433"/>
        <v>282305</v>
      </c>
      <c r="H1016" s="94">
        <f>2155*H997</f>
        <v>254290</v>
      </c>
      <c r="I1016" s="109">
        <f>2155*I997</f>
        <v>1605475</v>
      </c>
      <c r="J1016" s="302">
        <f>2155*J997</f>
        <v>229353.57142857142</v>
      </c>
    </row>
    <row r="1017" spans="1:12" s="71" customFormat="1" x14ac:dyDescent="0.25">
      <c r="A1017" s="83" t="s">
        <v>32</v>
      </c>
      <c r="B1017" s="411">
        <f>B1015+B1016</f>
        <v>3097241.3793103448</v>
      </c>
      <c r="C1017" s="40">
        <f>C1015+C1016</f>
        <v>3525517.2413793104</v>
      </c>
      <c r="D1017" s="40">
        <f t="shared" ref="D1017:J1017" si="434">D1015+D1016</f>
        <v>3507241.3793103453</v>
      </c>
      <c r="E1017" s="399">
        <f t="shared" si="434"/>
        <v>3841206.8965517245</v>
      </c>
      <c r="F1017" s="140">
        <f t="shared" si="434"/>
        <v>7158793.1034482764</v>
      </c>
      <c r="G1017" s="39">
        <f t="shared" si="434"/>
        <v>5287672.4137931038</v>
      </c>
      <c r="H1017" s="39">
        <f t="shared" si="434"/>
        <v>4951896.5517241387</v>
      </c>
      <c r="I1017" s="412">
        <f t="shared" si="434"/>
        <v>31369568.965517242</v>
      </c>
      <c r="J1017" s="364">
        <f t="shared" si="434"/>
        <v>4481366.9950738922</v>
      </c>
    </row>
    <row r="1018" spans="1:12" s="71" customFormat="1" x14ac:dyDescent="0.25">
      <c r="A1018" s="77" t="s">
        <v>33</v>
      </c>
      <c r="B1018" s="413">
        <f>B1017*16%</f>
        <v>495558.62068965519</v>
      </c>
      <c r="C1018" s="42">
        <f>C1017*16%</f>
        <v>564082.75862068962</v>
      </c>
      <c r="D1018" s="42">
        <f t="shared" ref="D1018:J1018" si="435">D1017*16%</f>
        <v>561158.6206896553</v>
      </c>
      <c r="E1018" s="400">
        <f t="shared" si="435"/>
        <v>614593.10344827594</v>
      </c>
      <c r="F1018" s="141">
        <f t="shared" si="435"/>
        <v>1145406.8965517243</v>
      </c>
      <c r="G1018" s="41">
        <f t="shared" si="435"/>
        <v>846027.58620689658</v>
      </c>
      <c r="H1018" s="41">
        <f t="shared" si="435"/>
        <v>792303.44827586226</v>
      </c>
      <c r="I1018" s="414">
        <f t="shared" si="435"/>
        <v>5019131.0344827585</v>
      </c>
      <c r="J1018" s="415">
        <f t="shared" si="435"/>
        <v>717018.71921182272</v>
      </c>
    </row>
    <row r="1019" spans="1:12" s="71" customFormat="1" x14ac:dyDescent="0.25">
      <c r="A1019" s="142" t="s">
        <v>34</v>
      </c>
      <c r="B1019" s="438">
        <f t="shared" ref="B1019:H1019" si="436">B1017+B1018</f>
        <v>3592800</v>
      </c>
      <c r="C1019" s="143">
        <f t="shared" si="436"/>
        <v>4089600</v>
      </c>
      <c r="D1019" s="143">
        <f t="shared" si="436"/>
        <v>4068400.0000000005</v>
      </c>
      <c r="E1019" s="439">
        <f t="shared" si="436"/>
        <v>4455800</v>
      </c>
      <c r="F1019" s="145">
        <f t="shared" si="436"/>
        <v>8304200.0000000009</v>
      </c>
      <c r="G1019" s="144">
        <f t="shared" si="436"/>
        <v>6133700</v>
      </c>
      <c r="H1019" s="144">
        <f t="shared" si="436"/>
        <v>5744200.0000000009</v>
      </c>
      <c r="I1019" s="440">
        <f>+I1017+I1018</f>
        <v>36388700</v>
      </c>
      <c r="J1019" s="441">
        <f>'NOGAL '!$I1019/7</f>
        <v>5198385.7142857146</v>
      </c>
    </row>
    <row r="1020" spans="1:12" s="71" customFormat="1" ht="15.75" thickBot="1" x14ac:dyDescent="0.3">
      <c r="A1020" s="69"/>
      <c r="B1020" s="424"/>
      <c r="C1020" s="424"/>
      <c r="D1020" s="424"/>
      <c r="E1020" s="424"/>
      <c r="F1020" s="424"/>
      <c r="G1020" s="424"/>
      <c r="H1020" s="424"/>
      <c r="I1020" s="424"/>
      <c r="J1020" s="424"/>
    </row>
    <row r="1021" spans="1:12" s="71" customFormat="1" ht="26.25" x14ac:dyDescent="0.25">
      <c r="A1021" s="85"/>
      <c r="B1021" s="1002" t="s">
        <v>378</v>
      </c>
      <c r="C1021" s="1002"/>
      <c r="D1021" s="1002"/>
      <c r="E1021" s="1002"/>
      <c r="F1021" s="1002"/>
      <c r="G1021" s="1002"/>
      <c r="H1021" s="1002"/>
      <c r="I1021" s="1002"/>
      <c r="J1021" s="85"/>
    </row>
    <row r="1022" spans="1:12" s="71" customFormat="1" ht="15.75" x14ac:dyDescent="0.25">
      <c r="A1022" s="72" t="s">
        <v>2</v>
      </c>
      <c r="B1022" s="228" t="s">
        <v>89</v>
      </c>
      <c r="C1022" s="228" t="s">
        <v>90</v>
      </c>
      <c r="D1022" s="228" t="s">
        <v>172</v>
      </c>
      <c r="E1022" s="228" t="s">
        <v>92</v>
      </c>
      <c r="F1022" s="228" t="s">
        <v>258</v>
      </c>
      <c r="G1022" s="228" t="s">
        <v>259</v>
      </c>
      <c r="H1022" s="228" t="s">
        <v>260</v>
      </c>
      <c r="I1022" s="153" t="s">
        <v>10</v>
      </c>
      <c r="J1022" s="421" t="s">
        <v>77</v>
      </c>
    </row>
    <row r="1023" spans="1:12" s="71" customFormat="1" x14ac:dyDescent="0.25">
      <c r="A1023" s="430" t="s">
        <v>11</v>
      </c>
      <c r="B1023" s="431">
        <f>154+65+25</f>
        <v>244</v>
      </c>
      <c r="C1023" s="432">
        <f>96+20+6</f>
        <v>122</v>
      </c>
      <c r="D1023" s="433">
        <f>99+38+12</f>
        <v>149</v>
      </c>
      <c r="E1023" s="434">
        <f>140+48+25</f>
        <v>213</v>
      </c>
      <c r="F1023" s="434">
        <f>155+71+17</f>
        <v>243</v>
      </c>
      <c r="G1023" s="435">
        <f>128+54+32</f>
        <v>214</v>
      </c>
      <c r="H1023" s="434">
        <f>121+49+35</f>
        <v>205</v>
      </c>
      <c r="I1023" s="435">
        <f>SUM(B1023:H1023)</f>
        <v>1390</v>
      </c>
      <c r="J1023" s="437">
        <f>'NOGAL '!$I1023/7</f>
        <v>198.57142857142858</v>
      </c>
    </row>
    <row r="1024" spans="1:12" s="71" customFormat="1" x14ac:dyDescent="0.25">
      <c r="A1024" s="77" t="s">
        <v>12</v>
      </c>
      <c r="B1024" s="233">
        <v>153</v>
      </c>
      <c r="C1024" s="13">
        <v>72</v>
      </c>
      <c r="D1024" s="13">
        <v>90</v>
      </c>
      <c r="E1024" s="446">
        <v>124</v>
      </c>
      <c r="F1024" s="446">
        <v>147</v>
      </c>
      <c r="G1024" s="125">
        <v>126</v>
      </c>
      <c r="H1024" s="11">
        <v>117</v>
      </c>
      <c r="I1024" s="403">
        <f>B1024+C1024+D1024+E1024+F1024+G1024+H1024</f>
        <v>829</v>
      </c>
      <c r="J1024" s="292">
        <f>'NOGAL '!$I1024/7</f>
        <v>118.42857142857143</v>
      </c>
      <c r="L1024" s="447"/>
    </row>
    <row r="1025" spans="1:12" s="71" customFormat="1" x14ac:dyDescent="0.25">
      <c r="A1025" s="77" t="s">
        <v>13</v>
      </c>
      <c r="B1025" s="233">
        <v>4</v>
      </c>
      <c r="C1025" s="13">
        <v>3</v>
      </c>
      <c r="D1025" s="13">
        <v>0</v>
      </c>
      <c r="E1025" s="395">
        <v>6</v>
      </c>
      <c r="F1025" s="395">
        <v>1</v>
      </c>
      <c r="G1025" s="125">
        <v>2</v>
      </c>
      <c r="H1025" s="11">
        <v>5</v>
      </c>
      <c r="I1025" s="403">
        <f>B1025+C1025+D1025+E1025+F1025+G1025+H1025</f>
        <v>21</v>
      </c>
      <c r="J1025" s="292">
        <f>C1025+D1025+E1025+F1025+G1025+H1025+I1025</f>
        <v>38</v>
      </c>
      <c r="L1025" s="447"/>
    </row>
    <row r="1026" spans="1:12" s="71" customFormat="1" x14ac:dyDescent="0.25">
      <c r="A1026" s="77" t="s">
        <v>14</v>
      </c>
      <c r="B1026" s="233">
        <v>16</v>
      </c>
      <c r="C1026" s="13">
        <v>21</v>
      </c>
      <c r="D1026" s="13">
        <v>12</v>
      </c>
      <c r="E1026" s="395">
        <v>25</v>
      </c>
      <c r="F1026" s="395">
        <v>31</v>
      </c>
      <c r="G1026" s="125">
        <v>23</v>
      </c>
      <c r="H1026" s="11">
        <v>28</v>
      </c>
      <c r="I1026" s="403">
        <f>B1026+C1026+D1026+E1026+F1026+G1026+H1026</f>
        <v>156</v>
      </c>
      <c r="J1026" s="292">
        <f>'NOGAL '!$I1026/7</f>
        <v>22.285714285714285</v>
      </c>
      <c r="L1026" s="447"/>
    </row>
    <row r="1027" spans="1:12" s="71" customFormat="1" x14ac:dyDescent="0.25">
      <c r="A1027" s="77" t="s">
        <v>15</v>
      </c>
      <c r="B1027" s="233">
        <v>12</v>
      </c>
      <c r="C1027" s="13">
        <v>5</v>
      </c>
      <c r="D1027" s="13">
        <v>5</v>
      </c>
      <c r="E1027" s="395">
        <v>6</v>
      </c>
      <c r="F1027" s="395">
        <v>12</v>
      </c>
      <c r="G1027" s="125">
        <v>6</v>
      </c>
      <c r="H1027" s="11">
        <v>3</v>
      </c>
      <c r="I1027" s="403">
        <f>B1027+C1027+D1027+E1027+F1027+G1027+H1027</f>
        <v>49</v>
      </c>
      <c r="J1027" s="292">
        <f>'NOGAL '!$I1027/7</f>
        <v>7</v>
      </c>
      <c r="L1027" s="447"/>
    </row>
    <row r="1028" spans="1:12" s="71" customFormat="1" x14ac:dyDescent="0.25">
      <c r="A1028" s="77" t="s">
        <v>16</v>
      </c>
      <c r="B1028" s="233">
        <v>0</v>
      </c>
      <c r="C1028" s="13">
        <v>1</v>
      </c>
      <c r="D1028" s="13">
        <v>0</v>
      </c>
      <c r="E1028" s="395">
        <v>0</v>
      </c>
      <c r="F1028" s="395">
        <v>0</v>
      </c>
      <c r="G1028" s="125">
        <v>1</v>
      </c>
      <c r="H1028" s="11">
        <v>0</v>
      </c>
      <c r="I1028" s="403">
        <f>B1028+C1028+D1028+E1028+F1028+G1028+H1028</f>
        <v>2</v>
      </c>
      <c r="J1028" s="292">
        <f>'NOGAL '!$I1028/7</f>
        <v>0.2857142857142857</v>
      </c>
      <c r="L1028" s="447"/>
    </row>
    <row r="1029" spans="1:12" s="71" customFormat="1" x14ac:dyDescent="0.25">
      <c r="A1029" s="79" t="s">
        <v>17</v>
      </c>
      <c r="B1029" s="102">
        <f>SUM(B1024:B1028)</f>
        <v>185</v>
      </c>
      <c r="C1029" s="79">
        <f t="shared" ref="C1029:H1029" si="437">SUM(C1024:C1028)</f>
        <v>102</v>
      </c>
      <c r="D1029" s="79">
        <f t="shared" si="437"/>
        <v>107</v>
      </c>
      <c r="E1029" s="248">
        <f t="shared" si="437"/>
        <v>161</v>
      </c>
      <c r="F1029" s="15">
        <f t="shared" si="437"/>
        <v>191</v>
      </c>
      <c r="G1029" s="79">
        <f t="shared" si="437"/>
        <v>158</v>
      </c>
      <c r="H1029" s="79">
        <f t="shared" si="437"/>
        <v>153</v>
      </c>
      <c r="I1029" s="404">
        <f>SUM(I1024:I1028)</f>
        <v>1057</v>
      </c>
      <c r="J1029" s="405">
        <f>'NOGAL '!$I1029/7</f>
        <v>151</v>
      </c>
    </row>
    <row r="1030" spans="1:12" s="71" customFormat="1" x14ac:dyDescent="0.25">
      <c r="A1030" s="77" t="s">
        <v>18</v>
      </c>
      <c r="B1030" s="445">
        <v>0.85</v>
      </c>
      <c r="C1030" s="235">
        <v>0.77</v>
      </c>
      <c r="D1030" s="235">
        <v>0.9</v>
      </c>
      <c r="E1030" s="236">
        <v>0.88</v>
      </c>
      <c r="F1030" s="236">
        <v>0.83</v>
      </c>
      <c r="G1030" s="236">
        <v>0.82</v>
      </c>
      <c r="H1030" s="236">
        <v>0.82</v>
      </c>
      <c r="I1030" s="105">
        <f>I1037/I1042</f>
        <v>0.84063071775706044</v>
      </c>
      <c r="J1030" s="297">
        <f>J1037/J1042</f>
        <v>0.84063071775706044</v>
      </c>
    </row>
    <row r="1031" spans="1:12" s="71" customFormat="1" x14ac:dyDescent="0.25">
      <c r="A1031" s="77" t="s">
        <v>19</v>
      </c>
      <c r="B1031" s="445">
        <v>0.02</v>
      </c>
      <c r="C1031" s="235">
        <v>0.03</v>
      </c>
      <c r="D1031" s="235">
        <v>0</v>
      </c>
      <c r="E1031" s="236">
        <v>0.02</v>
      </c>
      <c r="F1031" s="236">
        <v>0</v>
      </c>
      <c r="G1031" s="236">
        <v>0.01</v>
      </c>
      <c r="H1031" s="236">
        <v>0.02</v>
      </c>
      <c r="I1031" s="105">
        <f>I1038/I1042</f>
        <v>1.3664564215076129E-2</v>
      </c>
      <c r="J1031" s="297">
        <f>J1038/J1042</f>
        <v>1.3664564215076128E-2</v>
      </c>
    </row>
    <row r="1032" spans="1:12" s="71" customFormat="1" x14ac:dyDescent="0.25">
      <c r="A1032" s="77" t="s">
        <v>20</v>
      </c>
      <c r="B1032" s="445">
        <v>7.0000000000000007E-2</v>
      </c>
      <c r="C1032" s="235">
        <v>0.13</v>
      </c>
      <c r="D1032" s="235">
        <v>0.06</v>
      </c>
      <c r="E1032" s="236">
        <v>7.0000000000000007E-2</v>
      </c>
      <c r="F1032" s="236">
        <v>0.12</v>
      </c>
      <c r="G1032" s="236">
        <v>0.12</v>
      </c>
      <c r="H1032" s="236">
        <v>0.14000000000000001</v>
      </c>
      <c r="I1032" s="105">
        <f>I1039/I1042</f>
        <v>0.10097214358635949</v>
      </c>
      <c r="J1032" s="297">
        <f>J1039/J1042</f>
        <v>0.10097214358635949</v>
      </c>
    </row>
    <row r="1033" spans="1:12" s="71" customFormat="1" x14ac:dyDescent="0.25">
      <c r="A1033" s="77" t="s">
        <v>21</v>
      </c>
      <c r="B1033" s="445">
        <v>0.06</v>
      </c>
      <c r="C1033" s="235">
        <v>0.06</v>
      </c>
      <c r="D1033" s="235">
        <v>0.04</v>
      </c>
      <c r="E1033" s="236">
        <v>0.03</v>
      </c>
      <c r="F1033" s="236">
        <v>0.05</v>
      </c>
      <c r="G1033" s="236">
        <v>0.05</v>
      </c>
      <c r="H1033" s="236">
        <v>0.02</v>
      </c>
      <c r="I1033" s="105">
        <f>I1040/I1042</f>
        <v>4.3885020311718717E-2</v>
      </c>
      <c r="J1033" s="297">
        <f>J1040/J1042</f>
        <v>4.388502031171871E-2</v>
      </c>
    </row>
    <row r="1034" spans="1:12" s="71" customFormat="1" x14ac:dyDescent="0.25">
      <c r="A1034" s="77" t="s">
        <v>22</v>
      </c>
      <c r="B1034" s="445">
        <v>0</v>
      </c>
      <c r="C1034" s="235">
        <v>0.01</v>
      </c>
      <c r="D1034" s="235">
        <v>0</v>
      </c>
      <c r="E1034" s="236">
        <v>0</v>
      </c>
      <c r="F1034" s="236">
        <v>0</v>
      </c>
      <c r="G1034" s="236">
        <v>0</v>
      </c>
      <c r="H1034" s="236">
        <v>0</v>
      </c>
      <c r="I1034" s="105">
        <f>I1041/I1042</f>
        <v>8.4755412978524205E-4</v>
      </c>
      <c r="J1034" s="297">
        <f>J1041/J1042</f>
        <v>8.4755412978524205E-4</v>
      </c>
    </row>
    <row r="1035" spans="1:12" s="71" customFormat="1" x14ac:dyDescent="0.25">
      <c r="A1035" s="81" t="s">
        <v>23</v>
      </c>
      <c r="B1035" s="409">
        <f t="shared" ref="B1035:J1035" si="438">B1046/B1029</f>
        <v>37707.027027027027</v>
      </c>
      <c r="C1035" s="131">
        <f t="shared" si="438"/>
        <v>33463.725490196077</v>
      </c>
      <c r="D1035" s="131">
        <f t="shared" si="438"/>
        <v>39921.495327102806</v>
      </c>
      <c r="E1035" s="397">
        <f t="shared" si="438"/>
        <v>39173.913043478264</v>
      </c>
      <c r="F1035" s="132">
        <f t="shared" si="438"/>
        <v>37186.387434554978</v>
      </c>
      <c r="G1035" s="130">
        <f t="shared" si="438"/>
        <v>38947.468354430384</v>
      </c>
      <c r="H1035" s="130">
        <f t="shared" si="438"/>
        <v>39196.7320261438</v>
      </c>
      <c r="I1035" s="359">
        <f t="shared" si="438"/>
        <v>38052.128666035947</v>
      </c>
      <c r="J1035" s="314">
        <f t="shared" si="438"/>
        <v>38052.128666035947</v>
      </c>
    </row>
    <row r="1036" spans="1:12" s="71" customFormat="1" x14ac:dyDescent="0.25">
      <c r="A1036" s="81" t="s">
        <v>24</v>
      </c>
      <c r="B1036" s="409">
        <f t="shared" ref="B1036:J1036" si="439">B1046/B1023</f>
        <v>28589.344262295082</v>
      </c>
      <c r="C1036" s="131">
        <f t="shared" si="439"/>
        <v>27977.868852459018</v>
      </c>
      <c r="D1036" s="131">
        <f t="shared" si="439"/>
        <v>28668.456375838927</v>
      </c>
      <c r="E1036" s="397">
        <f t="shared" si="439"/>
        <v>29610.328638497653</v>
      </c>
      <c r="F1036" s="132">
        <f t="shared" si="439"/>
        <v>29228.806584362144</v>
      </c>
      <c r="G1036" s="130">
        <f t="shared" si="439"/>
        <v>28755.60747663552</v>
      </c>
      <c r="H1036" s="130">
        <f t="shared" si="439"/>
        <v>29254.14634146342</v>
      </c>
      <c r="I1036" s="359">
        <f t="shared" si="439"/>
        <v>28936.043165467625</v>
      </c>
      <c r="J1036" s="314">
        <f t="shared" si="439"/>
        <v>28936.043165467621</v>
      </c>
    </row>
    <row r="1037" spans="1:12" s="71" customFormat="1" x14ac:dyDescent="0.25">
      <c r="A1037" s="77" t="s">
        <v>25</v>
      </c>
      <c r="B1037" s="255">
        <f t="shared" ref="B1037:H1037" si="440">B1042*B1030</f>
        <v>4831319.8362068962</v>
      </c>
      <c r="C1037" s="133">
        <f t="shared" si="440"/>
        <v>2146251.8000000003</v>
      </c>
      <c r="D1037" s="133">
        <f t="shared" si="440"/>
        <v>3139617.4137931038</v>
      </c>
      <c r="E1037" s="299">
        <f t="shared" si="440"/>
        <v>4549467.089655173</v>
      </c>
      <c r="F1037" s="134">
        <f t="shared" si="440"/>
        <v>4819101.2086206898</v>
      </c>
      <c r="G1037" s="92">
        <f t="shared" si="440"/>
        <v>4127374.7103448282</v>
      </c>
      <c r="H1037" s="92">
        <f t="shared" si="440"/>
        <v>4032578.6103448281</v>
      </c>
      <c r="I1037" s="108">
        <f>'NOGAL '!$B1037+'NOGAL '!$C1037+'NOGAL '!$D1037+'NOGAL '!$E1037+'NOGAL '!$F1037+'NOGAL '!$G1037+'NOGAL '!$H1037</f>
        <v>27645710.668965518</v>
      </c>
      <c r="J1037" s="300">
        <f>'NOGAL '!$I1037/7</f>
        <v>3949387.2384236455</v>
      </c>
    </row>
    <row r="1038" spans="1:12" s="71" customFormat="1" x14ac:dyDescent="0.25">
      <c r="A1038" s="77" t="s">
        <v>26</v>
      </c>
      <c r="B1038" s="255">
        <f t="shared" ref="B1038:H1038" si="441">B1042*B1031</f>
        <v>113678.11379310346</v>
      </c>
      <c r="C1038" s="133">
        <f t="shared" si="441"/>
        <v>83620.2</v>
      </c>
      <c r="D1038" s="133">
        <f t="shared" si="441"/>
        <v>0</v>
      </c>
      <c r="E1038" s="299">
        <f t="shared" si="441"/>
        <v>103396.97931034483</v>
      </c>
      <c r="F1038" s="134">
        <f t="shared" si="441"/>
        <v>0</v>
      </c>
      <c r="G1038" s="92">
        <f t="shared" si="441"/>
        <v>50333.83793103449</v>
      </c>
      <c r="H1038" s="92">
        <f t="shared" si="441"/>
        <v>98355.575862068988</v>
      </c>
      <c r="I1038" s="108">
        <f>'NOGAL '!$B1038+'NOGAL '!$C1038+'NOGAL '!$D1038+'NOGAL '!$E1038+'NOGAL '!$F1038+'NOGAL '!$G1038+'NOGAL '!$H1038</f>
        <v>449384.70689655177</v>
      </c>
      <c r="J1038" s="300">
        <f>'NOGAL '!$I1038/7</f>
        <v>64197.815270935964</v>
      </c>
    </row>
    <row r="1039" spans="1:12" s="71" customFormat="1" x14ac:dyDescent="0.25">
      <c r="A1039" s="77" t="s">
        <v>27</v>
      </c>
      <c r="B1039" s="255">
        <f t="shared" ref="B1039:H1039" si="442">B1042*B1032</f>
        <v>397873.3982758621</v>
      </c>
      <c r="C1039" s="133">
        <f t="shared" si="442"/>
        <v>362354.2</v>
      </c>
      <c r="D1039" s="133">
        <f t="shared" si="442"/>
        <v>209307.8275862069</v>
      </c>
      <c r="E1039" s="299">
        <f t="shared" si="442"/>
        <v>361889.42758620693</v>
      </c>
      <c r="F1039" s="134">
        <f t="shared" si="442"/>
        <v>696737.52413793106</v>
      </c>
      <c r="G1039" s="92">
        <f t="shared" si="442"/>
        <v>604006.05517241382</v>
      </c>
      <c r="H1039" s="92">
        <f t="shared" si="442"/>
        <v>688489.03103448288</v>
      </c>
      <c r="I1039" s="108">
        <f>'NOGAL '!$B1039+'NOGAL '!$C1039+'NOGAL '!$D1039+'NOGAL '!$E1039+'NOGAL '!$F1039+'NOGAL '!$G1039+'NOGAL '!$H1039</f>
        <v>3320657.4637931036</v>
      </c>
      <c r="J1039" s="300">
        <f>'NOGAL '!$I1039/7</f>
        <v>474379.63768472907</v>
      </c>
    </row>
    <row r="1040" spans="1:12" s="71" customFormat="1" x14ac:dyDescent="0.25">
      <c r="A1040" s="77" t="s">
        <v>28</v>
      </c>
      <c r="B1040" s="255">
        <f t="shared" ref="B1040:H1040" si="443">B1042*B1033</f>
        <v>341034.34137931035</v>
      </c>
      <c r="C1040" s="133">
        <f t="shared" si="443"/>
        <v>167240.4</v>
      </c>
      <c r="D1040" s="133">
        <f t="shared" si="443"/>
        <v>139538.55172413794</v>
      </c>
      <c r="E1040" s="299">
        <f t="shared" si="443"/>
        <v>155095.46896551724</v>
      </c>
      <c r="F1040" s="134">
        <f t="shared" si="443"/>
        <v>290307.30172413797</v>
      </c>
      <c r="G1040" s="92">
        <f t="shared" si="443"/>
        <v>251669.18965517246</v>
      </c>
      <c r="H1040" s="92">
        <f t="shared" si="443"/>
        <v>98355.575862068988</v>
      </c>
      <c r="I1040" s="108">
        <f>'NOGAL '!$B1040+'NOGAL '!$C1040+'NOGAL '!$D1040+'NOGAL '!$E1040+'NOGAL '!$F1040+'NOGAL '!$G1040+'NOGAL '!$H1040</f>
        <v>1443240.829310345</v>
      </c>
      <c r="J1040" s="300">
        <f>'NOGAL '!$I1040/7</f>
        <v>206177.26133004928</v>
      </c>
    </row>
    <row r="1041" spans="1:10" s="71" customFormat="1" x14ac:dyDescent="0.25">
      <c r="A1041" s="77" t="s">
        <v>29</v>
      </c>
      <c r="B1041" s="255">
        <f t="shared" ref="B1041:H1041" si="444">B1042*B1034</f>
        <v>0</v>
      </c>
      <c r="C1041" s="133">
        <f t="shared" si="444"/>
        <v>27873.4</v>
      </c>
      <c r="D1041" s="133">
        <f t="shared" si="444"/>
        <v>0</v>
      </c>
      <c r="E1041" s="299">
        <f t="shared" si="444"/>
        <v>0</v>
      </c>
      <c r="F1041" s="134">
        <f t="shared" si="444"/>
        <v>0</v>
      </c>
      <c r="G1041" s="92">
        <f t="shared" si="444"/>
        <v>0</v>
      </c>
      <c r="H1041" s="92">
        <f t="shared" si="444"/>
        <v>0</v>
      </c>
      <c r="I1041" s="108">
        <f>'NOGAL '!$B1041+'NOGAL '!$C1041+'NOGAL '!$D1041+'NOGAL '!$E1041+'NOGAL '!$F1041+'NOGAL '!$G1041+'NOGAL '!$H1041</f>
        <v>27873.4</v>
      </c>
      <c r="J1041" s="300">
        <f>'NOGAL '!$I1041/7</f>
        <v>3981.9142857142861</v>
      </c>
    </row>
    <row r="1042" spans="1:10" s="71" customFormat="1" x14ac:dyDescent="0.25">
      <c r="A1042" s="82" t="s">
        <v>30</v>
      </c>
      <c r="B1042" s="222">
        <f>(6975800/1.16)-B1043</f>
        <v>5683905.6896551726</v>
      </c>
      <c r="C1042" s="222">
        <f>(3413300/1.16)-C1043</f>
        <v>2787340</v>
      </c>
      <c r="D1042" s="222">
        <f>(4271600/1.16)-D1043</f>
        <v>3488463.7931034486</v>
      </c>
      <c r="E1042" s="222">
        <f>(6307000/1.16)-E1043</f>
        <v>5169848.9655172415</v>
      </c>
      <c r="F1042" s="222">
        <f>(7102600/1.16)-F1043</f>
        <v>5806146.0344827594</v>
      </c>
      <c r="G1042" s="222">
        <f>(6153700/1.16)-G1043</f>
        <v>5033383.793103449</v>
      </c>
      <c r="H1042" s="222">
        <f>(5997100/1.16)-H1043</f>
        <v>4917778.793103449</v>
      </c>
      <c r="I1042" s="111">
        <f>SUM(I1037:I1041)</f>
        <v>32886867.068965517</v>
      </c>
      <c r="J1042" s="361">
        <f>'NOGAL '!$I1042/7</f>
        <v>4698123.8669950739</v>
      </c>
    </row>
    <row r="1043" spans="1:10" s="71" customFormat="1" x14ac:dyDescent="0.25">
      <c r="A1043" s="77" t="s">
        <v>31</v>
      </c>
      <c r="B1043" s="263">
        <f t="shared" ref="B1043:G1043" si="445">2155*B1024</f>
        <v>329715</v>
      </c>
      <c r="C1043" s="139">
        <f t="shared" si="445"/>
        <v>155160</v>
      </c>
      <c r="D1043" s="139">
        <f t="shared" si="445"/>
        <v>193950</v>
      </c>
      <c r="E1043" s="113">
        <f t="shared" si="445"/>
        <v>267220</v>
      </c>
      <c r="F1043" s="112">
        <f t="shared" si="445"/>
        <v>316785</v>
      </c>
      <c r="G1043" s="94">
        <f t="shared" si="445"/>
        <v>271530</v>
      </c>
      <c r="H1043" s="94">
        <f>2155*H1024</f>
        <v>252135</v>
      </c>
      <c r="I1043" s="109">
        <f>2155*I1024</f>
        <v>1786495</v>
      </c>
      <c r="J1043" s="302">
        <f>2155*J1024</f>
        <v>255213.57142857142</v>
      </c>
    </row>
    <row r="1044" spans="1:10" s="71" customFormat="1" x14ac:dyDescent="0.25">
      <c r="A1044" s="83" t="s">
        <v>32</v>
      </c>
      <c r="B1044" s="411">
        <f>B1042+B1043</f>
        <v>6013620.6896551726</v>
      </c>
      <c r="C1044" s="40">
        <f>C1042+C1043</f>
        <v>2942500</v>
      </c>
      <c r="D1044" s="40">
        <f t="shared" ref="D1044:J1044" si="446">D1042+D1043</f>
        <v>3682413.7931034486</v>
      </c>
      <c r="E1044" s="399">
        <f t="shared" si="446"/>
        <v>5437068.9655172415</v>
      </c>
      <c r="F1044" s="140">
        <f t="shared" si="446"/>
        <v>6122931.0344827594</v>
      </c>
      <c r="G1044" s="39">
        <f t="shared" si="446"/>
        <v>5304913.793103449</v>
      </c>
      <c r="H1044" s="39">
        <f t="shared" si="446"/>
        <v>5169913.793103449</v>
      </c>
      <c r="I1044" s="412">
        <f t="shared" si="446"/>
        <v>34673362.068965517</v>
      </c>
      <c r="J1044" s="364">
        <f t="shared" si="446"/>
        <v>4953337.4384236457</v>
      </c>
    </row>
    <row r="1045" spans="1:10" s="71" customFormat="1" x14ac:dyDescent="0.25">
      <c r="A1045" s="77" t="s">
        <v>33</v>
      </c>
      <c r="B1045" s="413">
        <f>B1044*16%</f>
        <v>962179.31034482759</v>
      </c>
      <c r="C1045" s="42">
        <f>C1044*16%</f>
        <v>470800</v>
      </c>
      <c r="D1045" s="42">
        <f t="shared" ref="D1045:J1045" si="447">D1044*16%</f>
        <v>589186.20689655177</v>
      </c>
      <c r="E1045" s="400">
        <f t="shared" si="447"/>
        <v>869931.03448275861</v>
      </c>
      <c r="F1045" s="141">
        <f t="shared" si="447"/>
        <v>979668.96551724151</v>
      </c>
      <c r="G1045" s="41">
        <f t="shared" si="447"/>
        <v>848786.20689655188</v>
      </c>
      <c r="H1045" s="41">
        <f t="shared" si="447"/>
        <v>827186.20689655188</v>
      </c>
      <c r="I1045" s="414">
        <f t="shared" si="447"/>
        <v>5547737.931034483</v>
      </c>
      <c r="J1045" s="415">
        <f t="shared" si="447"/>
        <v>792533.9901477833</v>
      </c>
    </row>
    <row r="1046" spans="1:10" s="71" customFormat="1" x14ac:dyDescent="0.25">
      <c r="A1046" s="142" t="s">
        <v>34</v>
      </c>
      <c r="B1046" s="438">
        <f t="shared" ref="B1046:H1046" si="448">B1044+B1045</f>
        <v>6975800</v>
      </c>
      <c r="C1046" s="143">
        <f t="shared" si="448"/>
        <v>3413300</v>
      </c>
      <c r="D1046" s="143">
        <f t="shared" si="448"/>
        <v>4271600</v>
      </c>
      <c r="E1046" s="439">
        <f t="shared" si="448"/>
        <v>6307000</v>
      </c>
      <c r="F1046" s="145">
        <f t="shared" si="448"/>
        <v>7102600.0000000009</v>
      </c>
      <c r="G1046" s="144">
        <f t="shared" si="448"/>
        <v>6153700.0000000009</v>
      </c>
      <c r="H1046" s="144">
        <f t="shared" si="448"/>
        <v>5997100.0000000009</v>
      </c>
      <c r="I1046" s="440">
        <f>+I1044+I1045</f>
        <v>40221100</v>
      </c>
      <c r="J1046" s="441">
        <f>'NOGAL '!$I1046/7</f>
        <v>5745871.4285714282</v>
      </c>
    </row>
    <row r="1047" spans="1:10" s="71" customFormat="1" ht="15.75" thickBot="1" x14ac:dyDescent="0.3">
      <c r="A1047" s="69"/>
      <c r="B1047" s="424"/>
      <c r="C1047" s="424"/>
      <c r="D1047" s="424"/>
      <c r="E1047" s="424"/>
      <c r="F1047" s="424"/>
      <c r="G1047" s="424"/>
      <c r="H1047" s="424"/>
      <c r="I1047" s="424"/>
      <c r="J1047" s="424"/>
    </row>
    <row r="1048" spans="1:10" s="71" customFormat="1" ht="27" thickBot="1" x14ac:dyDescent="0.3">
      <c r="A1048" s="85"/>
      <c r="B1048" s="1002" t="s">
        <v>379</v>
      </c>
      <c r="C1048" s="1002"/>
      <c r="D1048" s="1002"/>
      <c r="E1048" s="1002"/>
      <c r="F1048" s="1002"/>
      <c r="G1048" s="1002"/>
      <c r="H1048" s="1002"/>
      <c r="I1048" s="1002"/>
      <c r="J1048" s="85"/>
    </row>
    <row r="1049" spans="1:10" s="71" customFormat="1" ht="16.5" thickBot="1" x14ac:dyDescent="0.3">
      <c r="A1049" s="72" t="s">
        <v>2</v>
      </c>
      <c r="B1049" s="232" t="s">
        <v>262</v>
      </c>
      <c r="C1049" s="232" t="s">
        <v>263</v>
      </c>
      <c r="D1049" s="232" t="s">
        <v>264</v>
      </c>
      <c r="E1049" s="232" t="s">
        <v>265</v>
      </c>
      <c r="F1049" s="232" t="s">
        <v>266</v>
      </c>
      <c r="G1049" s="232" t="s">
        <v>267</v>
      </c>
      <c r="H1049" s="232" t="s">
        <v>105</v>
      </c>
      <c r="I1049" s="153" t="s">
        <v>10</v>
      </c>
      <c r="J1049" s="421" t="s">
        <v>77</v>
      </c>
    </row>
    <row r="1050" spans="1:10" s="71" customFormat="1" ht="15.75" thickTop="1" x14ac:dyDescent="0.25">
      <c r="A1050" s="430" t="s">
        <v>11</v>
      </c>
      <c r="B1050" s="431">
        <f>143+70+29</f>
        <v>242</v>
      </c>
      <c r="C1050" s="432">
        <f>64+30+10</f>
        <v>104</v>
      </c>
      <c r="D1050" s="433">
        <f>148+50+15</f>
        <v>213</v>
      </c>
      <c r="E1050" s="434">
        <f>89+34+11</f>
        <v>134</v>
      </c>
      <c r="F1050" s="434">
        <f>158+69+33</f>
        <v>260</v>
      </c>
      <c r="G1050" s="435">
        <f>143+60+21</f>
        <v>224</v>
      </c>
      <c r="H1050" s="434">
        <f>136+75+39</f>
        <v>250</v>
      </c>
      <c r="I1050" s="435">
        <f>SUM(B1050:H1050)</f>
        <v>1427</v>
      </c>
      <c r="J1050" s="437">
        <f>'NOGAL '!$I1050/7</f>
        <v>203.85714285714286</v>
      </c>
    </row>
    <row r="1051" spans="1:10" s="71" customFormat="1" x14ac:dyDescent="0.25">
      <c r="A1051" s="77" t="s">
        <v>12</v>
      </c>
      <c r="B1051" s="233">
        <v>170</v>
      </c>
      <c r="C1051" s="13">
        <v>57</v>
      </c>
      <c r="D1051" s="13">
        <v>117</v>
      </c>
      <c r="E1051" s="446">
        <v>84</v>
      </c>
      <c r="F1051" s="446">
        <v>153</v>
      </c>
      <c r="G1051" s="125">
        <v>133</v>
      </c>
      <c r="H1051" s="11">
        <v>152</v>
      </c>
      <c r="I1051" s="403">
        <f>B1051+C1051+D1051+E1051+F1051+G1051+H1051</f>
        <v>866</v>
      </c>
      <c r="J1051" s="292">
        <f>'NOGAL '!$I1051/7</f>
        <v>123.71428571428571</v>
      </c>
    </row>
    <row r="1052" spans="1:10" s="71" customFormat="1" x14ac:dyDescent="0.25">
      <c r="A1052" s="77" t="s">
        <v>13</v>
      </c>
      <c r="B1052" s="233">
        <v>2</v>
      </c>
      <c r="C1052" s="13">
        <v>2</v>
      </c>
      <c r="D1052" s="13">
        <v>1</v>
      </c>
      <c r="E1052" s="395">
        <v>0</v>
      </c>
      <c r="F1052" s="395">
        <v>1</v>
      </c>
      <c r="G1052" s="125">
        <v>2</v>
      </c>
      <c r="H1052" s="11">
        <v>2</v>
      </c>
      <c r="I1052" s="403">
        <f>B1052+C1052+D1052+E1052+F1052+G1052+H1052</f>
        <v>10</v>
      </c>
      <c r="J1052" s="292">
        <f>C1052+D1052+E1052+F1052+G1052+H1052+I1052</f>
        <v>18</v>
      </c>
    </row>
    <row r="1053" spans="1:10" s="71" customFormat="1" x14ac:dyDescent="0.25">
      <c r="A1053" s="77" t="s">
        <v>14</v>
      </c>
      <c r="B1053" s="233">
        <v>13</v>
      </c>
      <c r="C1053" s="13">
        <v>18</v>
      </c>
      <c r="D1053" s="13">
        <v>26</v>
      </c>
      <c r="E1053" s="395">
        <v>25</v>
      </c>
      <c r="F1053" s="395">
        <v>25</v>
      </c>
      <c r="G1053" s="125">
        <v>23</v>
      </c>
      <c r="H1053" s="11">
        <v>22</v>
      </c>
      <c r="I1053" s="403">
        <f>B1053+C1053+D1053+E1053+F1053+G1053+H1053</f>
        <v>152</v>
      </c>
      <c r="J1053" s="292">
        <f>'NOGAL '!$I1053/7</f>
        <v>21.714285714285715</v>
      </c>
    </row>
    <row r="1054" spans="1:10" s="71" customFormat="1" x14ac:dyDescent="0.25">
      <c r="A1054" s="77" t="s">
        <v>15</v>
      </c>
      <c r="B1054" s="233">
        <v>11</v>
      </c>
      <c r="C1054" s="13">
        <v>6</v>
      </c>
      <c r="D1054" s="13">
        <v>3</v>
      </c>
      <c r="E1054" s="395">
        <v>10</v>
      </c>
      <c r="F1054" s="395">
        <v>11</v>
      </c>
      <c r="G1054" s="125">
        <v>9</v>
      </c>
      <c r="H1054" s="11">
        <v>4</v>
      </c>
      <c r="I1054" s="403">
        <f>B1054+C1054+D1054+E1054+F1054+G1054+H1054</f>
        <v>54</v>
      </c>
      <c r="J1054" s="292">
        <f>'NOGAL '!$I1054/7</f>
        <v>7.7142857142857144</v>
      </c>
    </row>
    <row r="1055" spans="1:10" s="71" customFormat="1" x14ac:dyDescent="0.25">
      <c r="A1055" s="77" t="s">
        <v>16</v>
      </c>
      <c r="B1055" s="233">
        <v>0</v>
      </c>
      <c r="C1055" s="13">
        <v>0</v>
      </c>
      <c r="D1055" s="13">
        <v>1</v>
      </c>
      <c r="E1055" s="395">
        <v>0</v>
      </c>
      <c r="F1055" s="395">
        <v>0</v>
      </c>
      <c r="G1055" s="125">
        <v>0</v>
      </c>
      <c r="H1055" s="11">
        <v>0</v>
      </c>
      <c r="I1055" s="403">
        <f>B1055+C1055+D1055+E1055+F1055+G1055+H1055</f>
        <v>1</v>
      </c>
      <c r="J1055" s="292">
        <f>'NOGAL '!$I1055/7</f>
        <v>0.14285714285714285</v>
      </c>
    </row>
    <row r="1056" spans="1:10" s="71" customFormat="1" x14ac:dyDescent="0.25">
      <c r="A1056" s="79" t="s">
        <v>17</v>
      </c>
      <c r="B1056" s="102">
        <f>SUM(B1051:B1055)</f>
        <v>196</v>
      </c>
      <c r="C1056" s="79">
        <f t="shared" ref="C1056:H1056" si="449">SUM(C1051:C1055)</f>
        <v>83</v>
      </c>
      <c r="D1056" s="79">
        <f t="shared" si="449"/>
        <v>148</v>
      </c>
      <c r="E1056" s="248">
        <f t="shared" si="449"/>
        <v>119</v>
      </c>
      <c r="F1056" s="15">
        <f t="shared" si="449"/>
        <v>190</v>
      </c>
      <c r="G1056" s="79">
        <f t="shared" si="449"/>
        <v>167</v>
      </c>
      <c r="H1056" s="79">
        <f t="shared" si="449"/>
        <v>180</v>
      </c>
      <c r="I1056" s="404">
        <f>SUM(I1051:I1055)</f>
        <v>1083</v>
      </c>
      <c r="J1056" s="405">
        <f>'NOGAL '!$I1056/7</f>
        <v>154.71428571428572</v>
      </c>
    </row>
    <row r="1057" spans="1:10" s="71" customFormat="1" x14ac:dyDescent="0.25">
      <c r="A1057" s="77" t="s">
        <v>18</v>
      </c>
      <c r="B1057" s="445">
        <v>0.91</v>
      </c>
      <c r="C1057" s="235">
        <v>0.85</v>
      </c>
      <c r="D1057" s="235">
        <v>0.87</v>
      </c>
      <c r="E1057" s="236">
        <v>0.79</v>
      </c>
      <c r="F1057" s="236">
        <v>0.83</v>
      </c>
      <c r="G1057" s="236">
        <v>0.86</v>
      </c>
      <c r="H1057" s="236">
        <v>0.89</v>
      </c>
      <c r="I1057" s="105">
        <f>I1064/I1069</f>
        <v>0.86280176930273722</v>
      </c>
      <c r="J1057" s="297">
        <f>J1064/J1069</f>
        <v>0.86280176930273722</v>
      </c>
    </row>
    <row r="1058" spans="1:10" s="71" customFormat="1" x14ac:dyDescent="0.25">
      <c r="A1058" s="77" t="s">
        <v>19</v>
      </c>
      <c r="B1058" s="445">
        <v>0.01</v>
      </c>
      <c r="C1058" s="235">
        <v>0.02</v>
      </c>
      <c r="D1058" s="235">
        <v>0</v>
      </c>
      <c r="E1058" s="236">
        <v>0</v>
      </c>
      <c r="F1058" s="236">
        <v>0.01</v>
      </c>
      <c r="G1058" s="236">
        <v>0.01</v>
      </c>
      <c r="H1058" s="236">
        <v>0.01</v>
      </c>
      <c r="I1058" s="105">
        <f>I1065/I1069</f>
        <v>8.2925259701749614E-3</v>
      </c>
      <c r="J1058" s="297">
        <f>J1065/J1069</f>
        <v>8.2925259701749614E-3</v>
      </c>
    </row>
    <row r="1059" spans="1:10" s="71" customFormat="1" x14ac:dyDescent="0.25">
      <c r="A1059" s="77" t="s">
        <v>20</v>
      </c>
      <c r="B1059" s="445">
        <v>0.04</v>
      </c>
      <c r="C1059" s="235">
        <v>0.09</v>
      </c>
      <c r="D1059" s="235">
        <v>0.11</v>
      </c>
      <c r="E1059" s="236">
        <v>0.14000000000000001</v>
      </c>
      <c r="F1059" s="236">
        <v>0.12</v>
      </c>
      <c r="G1059" s="236">
        <v>0.1</v>
      </c>
      <c r="H1059" s="236">
        <v>0.08</v>
      </c>
      <c r="I1059" s="105">
        <f>I1066/I1069</f>
        <v>9.4364908011030826E-2</v>
      </c>
      <c r="J1059" s="297">
        <f>J1066/J1069</f>
        <v>9.436490801103084E-2</v>
      </c>
    </row>
    <row r="1060" spans="1:10" s="71" customFormat="1" x14ac:dyDescent="0.25">
      <c r="A1060" s="77" t="s">
        <v>21</v>
      </c>
      <c r="B1060" s="445">
        <v>0.04</v>
      </c>
      <c r="C1060" s="235">
        <v>0.04</v>
      </c>
      <c r="D1060" s="235">
        <v>0.01</v>
      </c>
      <c r="E1060" s="236">
        <v>7.0000000000000007E-2</v>
      </c>
      <c r="F1060" s="236">
        <v>0.04</v>
      </c>
      <c r="G1060" s="236">
        <v>0.03</v>
      </c>
      <c r="H1060" s="236">
        <v>0.02</v>
      </c>
      <c r="I1060" s="105">
        <f>I1067/I1069</f>
        <v>3.3016205981651212E-2</v>
      </c>
      <c r="J1060" s="297">
        <f>J1067/J1069</f>
        <v>3.3016205981651212E-2</v>
      </c>
    </row>
    <row r="1061" spans="1:10" s="71" customFormat="1" x14ac:dyDescent="0.25">
      <c r="A1061" s="77" t="s">
        <v>22</v>
      </c>
      <c r="B1061" s="445">
        <v>0</v>
      </c>
      <c r="C1061" s="235">
        <v>0</v>
      </c>
      <c r="D1061" s="235">
        <v>0.01</v>
      </c>
      <c r="E1061" s="236">
        <v>0</v>
      </c>
      <c r="F1061" s="236">
        <v>0</v>
      </c>
      <c r="G1061" s="236">
        <v>0</v>
      </c>
      <c r="H1061" s="236">
        <v>0</v>
      </c>
      <c r="I1061" s="105">
        <f>I1068/I1069</f>
        <v>1.5245907344058106E-3</v>
      </c>
      <c r="J1061" s="297">
        <f>J1068/J1069</f>
        <v>1.5245907344058106E-3</v>
      </c>
    </row>
    <row r="1062" spans="1:10" s="71" customFormat="1" x14ac:dyDescent="0.25">
      <c r="A1062" s="81" t="s">
        <v>23</v>
      </c>
      <c r="B1062" s="409">
        <f t="shared" ref="B1062:J1062" si="450">B1073/B1056</f>
        <v>36307.142857142855</v>
      </c>
      <c r="C1062" s="131">
        <f t="shared" si="450"/>
        <v>35009.638554216865</v>
      </c>
      <c r="D1062" s="131">
        <f t="shared" si="450"/>
        <v>42425.000000000007</v>
      </c>
      <c r="E1062" s="397">
        <f t="shared" si="450"/>
        <v>31020.168067226896</v>
      </c>
      <c r="F1062" s="132">
        <f t="shared" si="450"/>
        <v>39964.210526315794</v>
      </c>
      <c r="G1062" s="130">
        <f t="shared" si="450"/>
        <v>40062.275449101799</v>
      </c>
      <c r="H1062" s="130">
        <f t="shared" si="450"/>
        <v>39748.333333333336</v>
      </c>
      <c r="I1062" s="359">
        <f t="shared" si="450"/>
        <v>38255.401662049866</v>
      </c>
      <c r="J1062" s="314">
        <f t="shared" si="450"/>
        <v>38255.401662049866</v>
      </c>
    </row>
    <row r="1063" spans="1:10" s="71" customFormat="1" x14ac:dyDescent="0.25">
      <c r="A1063" s="81" t="s">
        <v>24</v>
      </c>
      <c r="B1063" s="409">
        <f t="shared" ref="B1063:J1063" si="451">B1073/B1050</f>
        <v>29405.785123966944</v>
      </c>
      <c r="C1063" s="131">
        <f t="shared" si="451"/>
        <v>27940.384615384617</v>
      </c>
      <c r="D1063" s="131">
        <f t="shared" si="451"/>
        <v>29478.403755868549</v>
      </c>
      <c r="E1063" s="397">
        <f t="shared" si="451"/>
        <v>27547.761194029856</v>
      </c>
      <c r="F1063" s="132">
        <f t="shared" si="451"/>
        <v>29204.615384615387</v>
      </c>
      <c r="G1063" s="130">
        <f t="shared" si="451"/>
        <v>29867.857142857141</v>
      </c>
      <c r="H1063" s="130">
        <f t="shared" si="451"/>
        <v>28618.800000000003</v>
      </c>
      <c r="I1063" s="359">
        <f t="shared" si="451"/>
        <v>29033.356692361602</v>
      </c>
      <c r="J1063" s="314">
        <f t="shared" si="451"/>
        <v>29033.356692361602</v>
      </c>
    </row>
    <row r="1064" spans="1:10" s="71" customFormat="1" x14ac:dyDescent="0.25">
      <c r="A1064" s="77" t="s">
        <v>25</v>
      </c>
      <c r="B1064" s="255">
        <f t="shared" ref="B1064:H1064" si="452">B1069*B1057</f>
        <v>5249157.7068965519</v>
      </c>
      <c r="C1064" s="133">
        <f t="shared" si="452"/>
        <v>2024840.25</v>
      </c>
      <c r="D1064" s="133">
        <f t="shared" si="452"/>
        <v>4489817.5500000007</v>
      </c>
      <c r="E1064" s="299">
        <f t="shared" si="452"/>
        <v>2370964.8896551728</v>
      </c>
      <c r="F1064" s="134">
        <f t="shared" si="452"/>
        <v>5159402.06724138</v>
      </c>
      <c r="G1064" s="92">
        <f t="shared" si="452"/>
        <v>4713635.2379310345</v>
      </c>
      <c r="H1064" s="92">
        <f t="shared" si="452"/>
        <v>5197853.4965517251</v>
      </c>
      <c r="I1064" s="108">
        <f>'NOGAL '!$B1064+'NOGAL '!$C1064+'NOGAL '!$D1064+'NOGAL '!$E1064+'NOGAL '!$F1064+'NOGAL '!$G1064+'NOGAL '!$H1064</f>
        <v>29205671.198275868</v>
      </c>
      <c r="J1064" s="300">
        <f>'NOGAL '!$I1064/7</f>
        <v>4172238.7426108383</v>
      </c>
    </row>
    <row r="1065" spans="1:10" s="71" customFormat="1" x14ac:dyDescent="0.25">
      <c r="A1065" s="77" t="s">
        <v>26</v>
      </c>
      <c r="B1065" s="255">
        <f t="shared" ref="B1065:H1065" si="453">B1069*B1058</f>
        <v>57683.051724137935</v>
      </c>
      <c r="C1065" s="133">
        <f t="shared" si="453"/>
        <v>47643.3</v>
      </c>
      <c r="D1065" s="133">
        <f t="shared" si="453"/>
        <v>0</v>
      </c>
      <c r="E1065" s="299">
        <f t="shared" si="453"/>
        <v>0</v>
      </c>
      <c r="F1065" s="134">
        <f t="shared" si="453"/>
        <v>62161.47068965518</v>
      </c>
      <c r="G1065" s="92">
        <f t="shared" si="453"/>
        <v>54809.71206896552</v>
      </c>
      <c r="H1065" s="92">
        <f t="shared" si="453"/>
        <v>58402.848275862074</v>
      </c>
      <c r="I1065" s="108">
        <f>'NOGAL '!$B1065+'NOGAL '!$C1065+'NOGAL '!$D1065+'NOGAL '!$E1065+'NOGAL '!$F1065+'NOGAL '!$G1065+'NOGAL '!$H1065</f>
        <v>280700.38275862072</v>
      </c>
      <c r="J1065" s="300">
        <f>'NOGAL '!$I1065/7</f>
        <v>40100.054679802961</v>
      </c>
    </row>
    <row r="1066" spans="1:10" s="71" customFormat="1" x14ac:dyDescent="0.25">
      <c r="A1066" s="77" t="s">
        <v>27</v>
      </c>
      <c r="B1066" s="255">
        <f t="shared" ref="B1066:H1066" si="454">B1069*B1059</f>
        <v>230732.20689655174</v>
      </c>
      <c r="C1066" s="133">
        <f t="shared" si="454"/>
        <v>214394.85</v>
      </c>
      <c r="D1066" s="133">
        <f t="shared" si="454"/>
        <v>567678.08103448281</v>
      </c>
      <c r="E1066" s="299">
        <f t="shared" si="454"/>
        <v>420170.99310344836</v>
      </c>
      <c r="F1066" s="134">
        <f t="shared" si="454"/>
        <v>745937.6482758621</v>
      </c>
      <c r="G1066" s="92">
        <f t="shared" si="454"/>
        <v>548097.12068965519</v>
      </c>
      <c r="H1066" s="92">
        <f t="shared" si="454"/>
        <v>467222.78620689659</v>
      </c>
      <c r="I1066" s="108">
        <f>'NOGAL '!$B1066+'NOGAL '!$C1066+'NOGAL '!$D1066+'NOGAL '!$E1066+'NOGAL '!$F1066+'NOGAL '!$G1066+'NOGAL '!$H1066</f>
        <v>3194233.6862068968</v>
      </c>
      <c r="J1066" s="300">
        <f>'NOGAL '!$I1066/7</f>
        <v>456319.09802955668</v>
      </c>
    </row>
    <row r="1067" spans="1:10" s="71" customFormat="1" x14ac:dyDescent="0.25">
      <c r="A1067" s="77" t="s">
        <v>28</v>
      </c>
      <c r="B1067" s="255">
        <f t="shared" ref="B1067:H1067" si="455">B1069*B1060</f>
        <v>230732.20689655174</v>
      </c>
      <c r="C1067" s="133">
        <f t="shared" si="455"/>
        <v>95286.6</v>
      </c>
      <c r="D1067" s="133">
        <f t="shared" si="455"/>
        <v>51607.098275862074</v>
      </c>
      <c r="E1067" s="299">
        <f t="shared" si="455"/>
        <v>210085.49655172418</v>
      </c>
      <c r="F1067" s="134">
        <f t="shared" si="455"/>
        <v>248645.88275862072</v>
      </c>
      <c r="G1067" s="92">
        <f t="shared" si="455"/>
        <v>164429.13620689654</v>
      </c>
      <c r="H1067" s="92">
        <f t="shared" si="455"/>
        <v>116805.69655172415</v>
      </c>
      <c r="I1067" s="108">
        <f>'NOGAL '!$B1067+'NOGAL '!$C1067+'NOGAL '!$D1067+'NOGAL '!$E1067+'NOGAL '!$F1067+'NOGAL '!$G1067+'NOGAL '!$H1067</f>
        <v>1117592.1172413793</v>
      </c>
      <c r="J1067" s="300">
        <f>'NOGAL '!$I1067/7</f>
        <v>159656.01674876848</v>
      </c>
    </row>
    <row r="1068" spans="1:10" s="71" customFormat="1" x14ac:dyDescent="0.25">
      <c r="A1068" s="77" t="s">
        <v>29</v>
      </c>
      <c r="B1068" s="255">
        <f t="shared" ref="B1068:H1068" si="456">B1069*B1061</f>
        <v>0</v>
      </c>
      <c r="C1068" s="133">
        <f t="shared" si="456"/>
        <v>0</v>
      </c>
      <c r="D1068" s="133">
        <f t="shared" si="456"/>
        <v>51607.098275862074</v>
      </c>
      <c r="E1068" s="299">
        <f t="shared" si="456"/>
        <v>0</v>
      </c>
      <c r="F1068" s="134">
        <f t="shared" si="456"/>
        <v>0</v>
      </c>
      <c r="G1068" s="92">
        <f t="shared" si="456"/>
        <v>0</v>
      </c>
      <c r="H1068" s="92">
        <f t="shared" si="456"/>
        <v>0</v>
      </c>
      <c r="I1068" s="108">
        <f>'NOGAL '!$B1068+'NOGAL '!$C1068+'NOGAL '!$D1068+'NOGAL '!$E1068+'NOGAL '!$F1068+'NOGAL '!$G1068+'NOGAL '!$H1068</f>
        <v>51607.098275862074</v>
      </c>
      <c r="J1068" s="300">
        <f>'NOGAL '!$I1068/7</f>
        <v>7372.4426108374391</v>
      </c>
    </row>
    <row r="1069" spans="1:10" s="71" customFormat="1" x14ac:dyDescent="0.25">
      <c r="A1069" s="82" t="s">
        <v>30</v>
      </c>
      <c r="B1069" s="222">
        <f>(7116200/1.16)-B1070</f>
        <v>5768305.1724137934</v>
      </c>
      <c r="C1069" s="222">
        <f>(2905800/1.16)-C1070</f>
        <v>2382165</v>
      </c>
      <c r="D1069" s="222">
        <f>(6278900/1.16)-D1070</f>
        <v>5160709.8275862075</v>
      </c>
      <c r="E1069" s="222">
        <f>(3691400/1.16)-E1070</f>
        <v>3001221.3793103453</v>
      </c>
      <c r="F1069" s="222">
        <f>(7593200/1.16)-F1070</f>
        <v>6216147.0689655179</v>
      </c>
      <c r="G1069" s="222">
        <f>(6690400/1.16)-G1070</f>
        <v>5480971.2068965519</v>
      </c>
      <c r="H1069" s="222">
        <f>(7154700/1.16)-H1070</f>
        <v>5840284.8275862075</v>
      </c>
      <c r="I1069" s="111">
        <f>SUM(I1064:I1068)</f>
        <v>33849804.482758626</v>
      </c>
      <c r="J1069" s="361">
        <f>'NOGAL '!$I1069/7</f>
        <v>4835686.3546798034</v>
      </c>
    </row>
    <row r="1070" spans="1:10" s="71" customFormat="1" x14ac:dyDescent="0.25">
      <c r="A1070" s="77" t="s">
        <v>31</v>
      </c>
      <c r="B1070" s="263">
        <f t="shared" ref="B1070:G1070" si="457">2155*B1051</f>
        <v>366350</v>
      </c>
      <c r="C1070" s="139">
        <f t="shared" si="457"/>
        <v>122835</v>
      </c>
      <c r="D1070" s="139">
        <f t="shared" si="457"/>
        <v>252135</v>
      </c>
      <c r="E1070" s="113">
        <f t="shared" si="457"/>
        <v>181020</v>
      </c>
      <c r="F1070" s="112">
        <f t="shared" si="457"/>
        <v>329715</v>
      </c>
      <c r="G1070" s="94">
        <f t="shared" si="457"/>
        <v>286615</v>
      </c>
      <c r="H1070" s="94">
        <f>2155*H1051</f>
        <v>327560</v>
      </c>
      <c r="I1070" s="109">
        <f>2155*I1051</f>
        <v>1866230</v>
      </c>
      <c r="J1070" s="302">
        <f>2155*J1051</f>
        <v>266604.28571428568</v>
      </c>
    </row>
    <row r="1071" spans="1:10" s="71" customFormat="1" x14ac:dyDescent="0.25">
      <c r="A1071" s="83" t="s">
        <v>32</v>
      </c>
      <c r="B1071" s="411">
        <f>B1069+B1070</f>
        <v>6134655.1724137934</v>
      </c>
      <c r="C1071" s="40">
        <f>C1069+C1070</f>
        <v>2505000</v>
      </c>
      <c r="D1071" s="40">
        <f t="shared" ref="D1071:J1071" si="458">D1069+D1070</f>
        <v>5412844.8275862075</v>
      </c>
      <c r="E1071" s="399">
        <f t="shared" si="458"/>
        <v>3182241.3793103453</v>
      </c>
      <c r="F1071" s="140">
        <f t="shared" si="458"/>
        <v>6545862.0689655179</v>
      </c>
      <c r="G1071" s="39">
        <f t="shared" si="458"/>
        <v>5767586.2068965519</v>
      </c>
      <c r="H1071" s="39">
        <f t="shared" si="458"/>
        <v>6167844.8275862075</v>
      </c>
      <c r="I1071" s="412">
        <f t="shared" si="458"/>
        <v>35716034.482758626</v>
      </c>
      <c r="J1071" s="364">
        <f t="shared" si="458"/>
        <v>5102290.6403940888</v>
      </c>
    </row>
    <row r="1072" spans="1:10" s="71" customFormat="1" x14ac:dyDescent="0.25">
      <c r="A1072" s="77" t="s">
        <v>33</v>
      </c>
      <c r="B1072" s="413">
        <f>B1071*16%</f>
        <v>981544.82758620696</v>
      </c>
      <c r="C1072" s="42">
        <f>C1071*16%</f>
        <v>400800</v>
      </c>
      <c r="D1072" s="42">
        <f t="shared" ref="D1072:J1072" si="459">D1071*16%</f>
        <v>866055.17241379328</v>
      </c>
      <c r="E1072" s="400">
        <f t="shared" si="459"/>
        <v>509158.62068965525</v>
      </c>
      <c r="F1072" s="141">
        <f t="shared" si="459"/>
        <v>1047337.9310344829</v>
      </c>
      <c r="G1072" s="41">
        <f t="shared" si="459"/>
        <v>922813.79310344835</v>
      </c>
      <c r="H1072" s="41">
        <f t="shared" si="459"/>
        <v>986855.17241379328</v>
      </c>
      <c r="I1072" s="414">
        <f t="shared" si="459"/>
        <v>5714565.5172413802</v>
      </c>
      <c r="J1072" s="415">
        <f t="shared" si="459"/>
        <v>816366.50246305426</v>
      </c>
    </row>
    <row r="1073" spans="1:10" s="71" customFormat="1" x14ac:dyDescent="0.25">
      <c r="A1073" s="142" t="s">
        <v>34</v>
      </c>
      <c r="B1073" s="438">
        <f t="shared" ref="B1073:H1073" si="460">B1071+B1072</f>
        <v>7116200</v>
      </c>
      <c r="C1073" s="143">
        <f t="shared" si="460"/>
        <v>2905800</v>
      </c>
      <c r="D1073" s="143">
        <f t="shared" si="460"/>
        <v>6278900.0000000009</v>
      </c>
      <c r="E1073" s="439">
        <f t="shared" si="460"/>
        <v>3691400.0000000005</v>
      </c>
      <c r="F1073" s="145">
        <f t="shared" si="460"/>
        <v>7593200.0000000009</v>
      </c>
      <c r="G1073" s="144">
        <f t="shared" si="460"/>
        <v>6690400</v>
      </c>
      <c r="H1073" s="144">
        <f t="shared" si="460"/>
        <v>7154700.0000000009</v>
      </c>
      <c r="I1073" s="440">
        <f>+I1071+I1072</f>
        <v>41430600.000000007</v>
      </c>
      <c r="J1073" s="441">
        <f>'NOGAL '!$I1073/7</f>
        <v>5918657.1428571437</v>
      </c>
    </row>
    <row r="1074" spans="1:10" s="71" customFormat="1" ht="15.75" thickBot="1" x14ac:dyDescent="0.3">
      <c r="A1074" s="69"/>
      <c r="B1074" s="424"/>
      <c r="C1074" s="424"/>
      <c r="D1074" s="424"/>
      <c r="E1074" s="424"/>
      <c r="F1074" s="424"/>
      <c r="G1074" s="424"/>
      <c r="H1074" s="424"/>
      <c r="I1074" s="424"/>
      <c r="J1074" s="424"/>
    </row>
    <row r="1075" spans="1:10" s="71" customFormat="1" ht="27" thickBot="1" x14ac:dyDescent="0.3">
      <c r="A1075" s="85"/>
      <c r="B1075" s="1002" t="s">
        <v>380</v>
      </c>
      <c r="C1075" s="1002"/>
      <c r="D1075" s="1002"/>
      <c r="E1075" s="1002"/>
      <c r="F1075" s="1002"/>
      <c r="G1075" s="1002"/>
      <c r="H1075" s="1002"/>
      <c r="I1075" s="1002"/>
      <c r="J1075" s="85"/>
    </row>
    <row r="1076" spans="1:10" s="71" customFormat="1" ht="16.5" thickBot="1" x14ac:dyDescent="0.3">
      <c r="A1076" s="72" t="s">
        <v>2</v>
      </c>
      <c r="B1076" s="232" t="s">
        <v>107</v>
      </c>
      <c r="C1076" s="232" t="s">
        <v>108</v>
      </c>
      <c r="D1076" s="232" t="s">
        <v>109</v>
      </c>
      <c r="E1076" s="232" t="s">
        <v>110</v>
      </c>
      <c r="F1076" s="232" t="s">
        <v>111</v>
      </c>
      <c r="G1076" s="232" t="s">
        <v>112</v>
      </c>
      <c r="H1076" s="232" t="s">
        <v>113</v>
      </c>
      <c r="I1076" s="153" t="s">
        <v>10</v>
      </c>
      <c r="J1076" s="421" t="s">
        <v>77</v>
      </c>
    </row>
    <row r="1077" spans="1:10" s="71" customFormat="1" ht="15.75" thickTop="1" x14ac:dyDescent="0.25">
      <c r="A1077" s="430" t="s">
        <v>11</v>
      </c>
      <c r="B1077" s="431">
        <f>85+33+17</f>
        <v>135</v>
      </c>
      <c r="C1077" s="432">
        <f>71+39+8</f>
        <v>118</v>
      </c>
      <c r="D1077" s="433">
        <f>100+42+16</f>
        <v>158</v>
      </c>
      <c r="E1077" s="434">
        <f>104+40+15</f>
        <v>159</v>
      </c>
      <c r="F1077" s="434">
        <f>160+68+24</f>
        <v>252</v>
      </c>
      <c r="G1077" s="435">
        <f>176+59+29</f>
        <v>264</v>
      </c>
      <c r="H1077" s="434">
        <f>152+63+25</f>
        <v>240</v>
      </c>
      <c r="I1077" s="435">
        <f>SUM(B1077:H1077)</f>
        <v>1326</v>
      </c>
      <c r="J1077" s="437">
        <f>'NOGAL '!$I1077/7</f>
        <v>189.42857142857142</v>
      </c>
    </row>
    <row r="1078" spans="1:10" s="71" customFormat="1" x14ac:dyDescent="0.25">
      <c r="A1078" s="77" t="s">
        <v>12</v>
      </c>
      <c r="B1078" s="233">
        <v>73</v>
      </c>
      <c r="C1078" s="13">
        <v>72</v>
      </c>
      <c r="D1078" s="13">
        <v>94</v>
      </c>
      <c r="E1078" s="446">
        <v>89</v>
      </c>
      <c r="F1078" s="446">
        <v>148</v>
      </c>
      <c r="G1078" s="125">
        <v>156</v>
      </c>
      <c r="H1078" s="11">
        <v>159</v>
      </c>
      <c r="I1078" s="403">
        <f>B1078+C1078+D1078+E1078+F1078+G1078+H1078</f>
        <v>791</v>
      </c>
      <c r="J1078" s="292">
        <f>'NOGAL '!$I1078/7</f>
        <v>113</v>
      </c>
    </row>
    <row r="1079" spans="1:10" s="71" customFormat="1" x14ac:dyDescent="0.25">
      <c r="A1079" s="77" t="s">
        <v>13</v>
      </c>
      <c r="B1079" s="233">
        <v>1</v>
      </c>
      <c r="C1079" s="13">
        <v>2</v>
      </c>
      <c r="D1079" s="13">
        <v>1</v>
      </c>
      <c r="E1079" s="395">
        <v>1</v>
      </c>
      <c r="F1079" s="395">
        <v>1</v>
      </c>
      <c r="G1079" s="125">
        <v>1</v>
      </c>
      <c r="H1079" s="11">
        <v>4</v>
      </c>
      <c r="I1079" s="403">
        <f>B1079+C1079+D1079+E1079+F1079+G1079+H1079</f>
        <v>11</v>
      </c>
      <c r="J1079" s="292">
        <f>C1079+D1079+E1079+F1079+G1079+H1079+I1079</f>
        <v>21</v>
      </c>
    </row>
    <row r="1080" spans="1:10" s="71" customFormat="1" x14ac:dyDescent="0.25">
      <c r="A1080" s="77" t="s">
        <v>14</v>
      </c>
      <c r="B1080" s="233">
        <v>22</v>
      </c>
      <c r="C1080" s="13">
        <v>14</v>
      </c>
      <c r="D1080" s="13">
        <v>18</v>
      </c>
      <c r="E1080" s="395">
        <v>17</v>
      </c>
      <c r="F1080" s="395">
        <v>29</v>
      </c>
      <c r="G1080" s="125">
        <v>27</v>
      </c>
      <c r="H1080" s="11">
        <v>14</v>
      </c>
      <c r="I1080" s="403">
        <f>B1080+C1080+D1080+E1080+F1080+G1080+H1080</f>
        <v>141</v>
      </c>
      <c r="J1080" s="292">
        <f>'NOGAL '!$I1080/7</f>
        <v>20.142857142857142</v>
      </c>
    </row>
    <row r="1081" spans="1:10" s="71" customFormat="1" x14ac:dyDescent="0.25">
      <c r="A1081" s="77" t="s">
        <v>15</v>
      </c>
      <c r="B1081" s="233">
        <v>6</v>
      </c>
      <c r="C1081" s="13">
        <v>3</v>
      </c>
      <c r="D1081" s="13">
        <v>2</v>
      </c>
      <c r="E1081" s="395">
        <v>2</v>
      </c>
      <c r="F1081" s="395">
        <v>6</v>
      </c>
      <c r="G1081" s="125">
        <v>5</v>
      </c>
      <c r="H1081" s="11">
        <v>8</v>
      </c>
      <c r="I1081" s="403">
        <f>B1081+C1081+D1081+E1081+F1081+G1081+H1081</f>
        <v>32</v>
      </c>
      <c r="J1081" s="292">
        <f>'NOGAL '!$I1081/7</f>
        <v>4.5714285714285712</v>
      </c>
    </row>
    <row r="1082" spans="1:10" s="71" customFormat="1" x14ac:dyDescent="0.25">
      <c r="A1082" s="77" t="s">
        <v>16</v>
      </c>
      <c r="B1082" s="233">
        <v>0</v>
      </c>
      <c r="C1082" s="13">
        <v>0</v>
      </c>
      <c r="D1082" s="13">
        <v>0</v>
      </c>
      <c r="E1082" s="395">
        <v>0</v>
      </c>
      <c r="F1082" s="395">
        <v>1</v>
      </c>
      <c r="G1082" s="125">
        <v>1</v>
      </c>
      <c r="H1082" s="11">
        <v>0</v>
      </c>
      <c r="I1082" s="403">
        <f>B1082+C1082+D1082+E1082+F1082+G1082+H1082</f>
        <v>2</v>
      </c>
      <c r="J1082" s="292">
        <f>'NOGAL '!$I1082/7</f>
        <v>0.2857142857142857</v>
      </c>
    </row>
    <row r="1083" spans="1:10" s="71" customFormat="1" x14ac:dyDescent="0.25">
      <c r="A1083" s="79" t="s">
        <v>17</v>
      </c>
      <c r="B1083" s="102">
        <f>SUM(B1078:B1082)</f>
        <v>102</v>
      </c>
      <c r="C1083" s="79">
        <f t="shared" ref="C1083:H1083" si="461">SUM(C1078:C1082)</f>
        <v>91</v>
      </c>
      <c r="D1083" s="79">
        <f t="shared" si="461"/>
        <v>115</v>
      </c>
      <c r="E1083" s="248">
        <f t="shared" si="461"/>
        <v>109</v>
      </c>
      <c r="F1083" s="15">
        <f t="shared" si="461"/>
        <v>185</v>
      </c>
      <c r="G1083" s="79">
        <f t="shared" si="461"/>
        <v>190</v>
      </c>
      <c r="H1083" s="79">
        <f t="shared" si="461"/>
        <v>185</v>
      </c>
      <c r="I1083" s="404">
        <f>SUM(I1078:I1082)</f>
        <v>977</v>
      </c>
      <c r="J1083" s="405">
        <f>'NOGAL '!$I1083/7</f>
        <v>139.57142857142858</v>
      </c>
    </row>
    <row r="1084" spans="1:10" s="71" customFormat="1" x14ac:dyDescent="0.25">
      <c r="A1084" s="77" t="s">
        <v>18</v>
      </c>
      <c r="B1084" s="445">
        <v>0.76</v>
      </c>
      <c r="C1084" s="235">
        <v>0.83</v>
      </c>
      <c r="D1084" s="235">
        <v>0.87</v>
      </c>
      <c r="E1084" s="236">
        <v>0.85</v>
      </c>
      <c r="F1084" s="236">
        <v>0.88</v>
      </c>
      <c r="G1084" s="236">
        <v>0.88</v>
      </c>
      <c r="H1084" s="236">
        <v>0.9</v>
      </c>
      <c r="I1084" s="105">
        <f>I1091/I1096</f>
        <v>0.8627989765778703</v>
      </c>
      <c r="J1084" s="297">
        <f>J1091/J1096</f>
        <v>0.8627989765778703</v>
      </c>
    </row>
    <row r="1085" spans="1:10" s="71" customFormat="1" x14ac:dyDescent="0.25">
      <c r="A1085" s="77" t="s">
        <v>19</v>
      </c>
      <c r="B1085" s="445">
        <v>0.01</v>
      </c>
      <c r="C1085" s="235">
        <v>0.01</v>
      </c>
      <c r="D1085" s="235">
        <v>0.01</v>
      </c>
      <c r="E1085" s="236">
        <v>0.01</v>
      </c>
      <c r="F1085" s="236">
        <v>0</v>
      </c>
      <c r="G1085" s="236">
        <v>0</v>
      </c>
      <c r="H1085" s="236">
        <v>0.03</v>
      </c>
      <c r="I1085" s="105">
        <f>I1092/I1096</f>
        <v>9.5327442392602012E-3</v>
      </c>
      <c r="J1085" s="297">
        <f>J1092/J1096</f>
        <v>9.5327442392602012E-3</v>
      </c>
    </row>
    <row r="1086" spans="1:10" s="71" customFormat="1" x14ac:dyDescent="0.25">
      <c r="A1086" s="77" t="s">
        <v>20</v>
      </c>
      <c r="B1086" s="445">
        <v>0.19</v>
      </c>
      <c r="C1086" s="235">
        <v>0.13</v>
      </c>
      <c r="D1086" s="235">
        <v>0.1</v>
      </c>
      <c r="E1086" s="236">
        <v>0.13</v>
      </c>
      <c r="F1086" s="236">
        <v>0.09</v>
      </c>
      <c r="G1086" s="236">
        <v>0.09</v>
      </c>
      <c r="H1086" s="236">
        <v>0.04</v>
      </c>
      <c r="I1086" s="105">
        <f>I1093/I1096</f>
        <v>0.10029322754237871</v>
      </c>
      <c r="J1086" s="297">
        <f>J1093/J1096</f>
        <v>0.1002932275423787</v>
      </c>
    </row>
    <row r="1087" spans="1:10" s="71" customFormat="1" x14ac:dyDescent="0.25">
      <c r="A1087" s="77" t="s">
        <v>21</v>
      </c>
      <c r="B1087" s="445">
        <v>0.04</v>
      </c>
      <c r="C1087" s="235">
        <v>0.03</v>
      </c>
      <c r="D1087" s="235">
        <v>0.02</v>
      </c>
      <c r="E1087" s="236">
        <v>0.01</v>
      </c>
      <c r="F1087" s="236">
        <v>0.02</v>
      </c>
      <c r="G1087" s="236">
        <v>0.02</v>
      </c>
      <c r="H1087" s="236">
        <v>0.03</v>
      </c>
      <c r="I1087" s="105">
        <f>I1094/I1096</f>
        <v>2.3374319695065194E-2</v>
      </c>
      <c r="J1087" s="297">
        <f>J1094/J1096</f>
        <v>2.3374319695065194E-2</v>
      </c>
    </row>
    <row r="1088" spans="1:10" s="71" customFormat="1" x14ac:dyDescent="0.25">
      <c r="A1088" s="77" t="s">
        <v>22</v>
      </c>
      <c r="B1088" s="445">
        <v>0</v>
      </c>
      <c r="C1088" s="235">
        <v>0</v>
      </c>
      <c r="D1088" s="235">
        <v>0</v>
      </c>
      <c r="E1088" s="236">
        <v>0</v>
      </c>
      <c r="F1088" s="236">
        <v>0.01</v>
      </c>
      <c r="G1088" s="236">
        <v>0.01</v>
      </c>
      <c r="H1088" s="236">
        <v>0</v>
      </c>
      <c r="I1088" s="105">
        <f>I1095/I1096</f>
        <v>4.0007319454256245E-3</v>
      </c>
      <c r="J1088" s="297">
        <f>J1095/J1096</f>
        <v>4.0007319454256236E-3</v>
      </c>
    </row>
    <row r="1089" spans="1:10" s="71" customFormat="1" x14ac:dyDescent="0.25">
      <c r="A1089" s="81" t="s">
        <v>23</v>
      </c>
      <c r="B1089" s="409">
        <f t="shared" ref="B1089:J1089" si="462">B1100/B1083</f>
        <v>36591.176470588238</v>
      </c>
      <c r="C1089" s="131">
        <f t="shared" si="462"/>
        <v>38529.670329670327</v>
      </c>
      <c r="D1089" s="131">
        <f t="shared" si="462"/>
        <v>40138.260869565216</v>
      </c>
      <c r="E1089" s="397">
        <f t="shared" si="462"/>
        <v>42933.944954128441</v>
      </c>
      <c r="F1089" s="132">
        <f t="shared" si="462"/>
        <v>41143.24324324324</v>
      </c>
      <c r="G1089" s="130">
        <f t="shared" si="462"/>
        <v>42116.315789473687</v>
      </c>
      <c r="H1089" s="130">
        <f t="shared" si="462"/>
        <v>37604.864864864867</v>
      </c>
      <c r="I1089" s="359">
        <f t="shared" si="462"/>
        <v>40025.281473899689</v>
      </c>
      <c r="J1089" s="314">
        <f t="shared" si="462"/>
        <v>40025.281473899689</v>
      </c>
    </row>
    <row r="1090" spans="1:10" s="71" customFormat="1" x14ac:dyDescent="0.25">
      <c r="A1090" s="81" t="s">
        <v>24</v>
      </c>
      <c r="B1090" s="409">
        <f t="shared" ref="B1090:J1090" si="463">B1100/B1077</f>
        <v>27646.666666666668</v>
      </c>
      <c r="C1090" s="131">
        <f t="shared" si="463"/>
        <v>29713.5593220339</v>
      </c>
      <c r="D1090" s="131">
        <f t="shared" si="463"/>
        <v>29214.556962025315</v>
      </c>
      <c r="E1090" s="397">
        <f t="shared" si="463"/>
        <v>29432.704402515723</v>
      </c>
      <c r="F1090" s="132">
        <f t="shared" si="463"/>
        <v>30204.365079365078</v>
      </c>
      <c r="G1090" s="130">
        <f t="shared" si="463"/>
        <v>30310.984848484852</v>
      </c>
      <c r="H1090" s="130">
        <f t="shared" si="463"/>
        <v>28987.083333333336</v>
      </c>
      <c r="I1090" s="359">
        <f t="shared" si="463"/>
        <v>29490.723981900454</v>
      </c>
      <c r="J1090" s="314">
        <f t="shared" si="463"/>
        <v>29490.723981900457</v>
      </c>
    </row>
    <row r="1091" spans="1:10" s="71" customFormat="1" x14ac:dyDescent="0.25">
      <c r="A1091" s="77" t="s">
        <v>25</v>
      </c>
      <c r="B1091" s="255">
        <f t="shared" ref="B1091:H1091" si="464">B1096*B1084</f>
        <v>2325740.6</v>
      </c>
      <c r="C1091" s="133">
        <f t="shared" si="464"/>
        <v>2379963.7517241379</v>
      </c>
      <c r="D1091" s="133">
        <f t="shared" si="464"/>
        <v>3285689.1000000006</v>
      </c>
      <c r="E1091" s="299">
        <f t="shared" si="464"/>
        <v>3266138.0431034481</v>
      </c>
      <c r="F1091" s="134">
        <f t="shared" si="464"/>
        <v>5493574.1793103451</v>
      </c>
      <c r="G1091" s="92">
        <f t="shared" si="464"/>
        <v>5774720.2206896562</v>
      </c>
      <c r="H1091" s="92">
        <f t="shared" si="464"/>
        <v>5089214.3275862075</v>
      </c>
      <c r="I1091" s="108">
        <f>'NOGAL '!$B1091+'NOGAL '!$C1091+'NOGAL '!$D1091+'NOGAL '!$E1091+'NOGAL '!$F1091+'NOGAL '!$G1091+'NOGAL '!$H1091</f>
        <v>27615040.222413797</v>
      </c>
      <c r="J1091" s="300">
        <f>'NOGAL '!$I1091/7</f>
        <v>3945005.7460591136</v>
      </c>
    </row>
    <row r="1092" spans="1:10" s="71" customFormat="1" x14ac:dyDescent="0.25">
      <c r="A1092" s="77" t="s">
        <v>26</v>
      </c>
      <c r="B1092" s="255">
        <f t="shared" ref="B1092:H1092" si="465">B1096*B1085</f>
        <v>30601.850000000002</v>
      </c>
      <c r="C1092" s="133">
        <f t="shared" si="465"/>
        <v>28674.26206896552</v>
      </c>
      <c r="D1092" s="133">
        <f t="shared" si="465"/>
        <v>37766.541379310351</v>
      </c>
      <c r="E1092" s="299">
        <f t="shared" si="465"/>
        <v>38425.153448275865</v>
      </c>
      <c r="F1092" s="134">
        <f t="shared" si="465"/>
        <v>0</v>
      </c>
      <c r="G1092" s="92">
        <f t="shared" si="465"/>
        <v>0</v>
      </c>
      <c r="H1092" s="92">
        <f t="shared" si="465"/>
        <v>169640.47758620692</v>
      </c>
      <c r="I1092" s="108">
        <f>'NOGAL '!$B1092+'NOGAL '!$C1092+'NOGAL '!$D1092+'NOGAL '!$E1092+'NOGAL '!$F1092+'NOGAL '!$G1092+'NOGAL '!$H1092</f>
        <v>305108.28448275867</v>
      </c>
      <c r="J1092" s="300">
        <f>'NOGAL '!$I1092/7</f>
        <v>43586.897783251239</v>
      </c>
    </row>
    <row r="1093" spans="1:10" s="71" customFormat="1" x14ac:dyDescent="0.25">
      <c r="A1093" s="77" t="s">
        <v>27</v>
      </c>
      <c r="B1093" s="255">
        <f t="shared" ref="B1093:H1093" si="466">B1096*B1086</f>
        <v>581435.15</v>
      </c>
      <c r="C1093" s="133">
        <f t="shared" si="466"/>
        <v>372765.40689655178</v>
      </c>
      <c r="D1093" s="133">
        <f t="shared" si="466"/>
        <v>377665.41379310354</v>
      </c>
      <c r="E1093" s="299">
        <f t="shared" si="466"/>
        <v>499526.99482758623</v>
      </c>
      <c r="F1093" s="134">
        <f t="shared" si="466"/>
        <v>561842.81379310344</v>
      </c>
      <c r="G1093" s="92">
        <f t="shared" si="466"/>
        <v>590596.38620689663</v>
      </c>
      <c r="H1093" s="92">
        <f t="shared" si="466"/>
        <v>226187.3034482759</v>
      </c>
      <c r="I1093" s="108">
        <f>'NOGAL '!$B1093+'NOGAL '!$C1093+'NOGAL '!$D1093+'NOGAL '!$E1093+'NOGAL '!$F1093+'NOGAL '!$G1093+'NOGAL '!$H1093</f>
        <v>3210019.4689655174</v>
      </c>
      <c r="J1093" s="300">
        <f>'NOGAL '!$I1093/7</f>
        <v>458574.20985221677</v>
      </c>
    </row>
    <row r="1094" spans="1:10" s="71" customFormat="1" x14ac:dyDescent="0.25">
      <c r="A1094" s="77" t="s">
        <v>28</v>
      </c>
      <c r="B1094" s="255">
        <f t="shared" ref="B1094:H1094" si="467">B1096*B1087</f>
        <v>122407.40000000001</v>
      </c>
      <c r="C1094" s="133">
        <f t="shared" si="467"/>
        <v>86022.786206896548</v>
      </c>
      <c r="D1094" s="133">
        <f t="shared" si="467"/>
        <v>75533.082758620701</v>
      </c>
      <c r="E1094" s="299">
        <f t="shared" si="467"/>
        <v>38425.153448275865</v>
      </c>
      <c r="F1094" s="134">
        <f t="shared" si="467"/>
        <v>124853.95862068966</v>
      </c>
      <c r="G1094" s="92">
        <f t="shared" si="467"/>
        <v>131243.64137931037</v>
      </c>
      <c r="H1094" s="92">
        <f t="shared" si="467"/>
        <v>169640.47758620692</v>
      </c>
      <c r="I1094" s="108">
        <f>'NOGAL '!$B1094+'NOGAL '!$C1094+'NOGAL '!$D1094+'NOGAL '!$E1094+'NOGAL '!$F1094+'NOGAL '!$G1094+'NOGAL '!$H1094</f>
        <v>748126.50000000023</v>
      </c>
      <c r="J1094" s="300">
        <f>'NOGAL '!$I1094/7</f>
        <v>106875.21428571432</v>
      </c>
    </row>
    <row r="1095" spans="1:10" s="71" customFormat="1" x14ac:dyDescent="0.25">
      <c r="A1095" s="77" t="s">
        <v>29</v>
      </c>
      <c r="B1095" s="255">
        <f t="shared" ref="B1095:H1095" si="468">B1096*B1088</f>
        <v>0</v>
      </c>
      <c r="C1095" s="133">
        <f t="shared" si="468"/>
        <v>0</v>
      </c>
      <c r="D1095" s="133">
        <f t="shared" si="468"/>
        <v>0</v>
      </c>
      <c r="E1095" s="299">
        <f t="shared" si="468"/>
        <v>0</v>
      </c>
      <c r="F1095" s="134">
        <f t="shared" si="468"/>
        <v>62426.979310344832</v>
      </c>
      <c r="G1095" s="92">
        <f t="shared" si="468"/>
        <v>65621.820689655186</v>
      </c>
      <c r="H1095" s="92">
        <f t="shared" si="468"/>
        <v>0</v>
      </c>
      <c r="I1095" s="108">
        <f>'NOGAL '!$B1095+'NOGAL '!$C1095+'NOGAL '!$D1095+'NOGAL '!$E1095+'NOGAL '!$F1095+'NOGAL '!$G1095+'NOGAL '!$H1095</f>
        <v>128048.80000000002</v>
      </c>
      <c r="J1095" s="300">
        <f>'NOGAL '!$I1095/7</f>
        <v>18292.685714285715</v>
      </c>
    </row>
    <row r="1096" spans="1:10" s="71" customFormat="1" x14ac:dyDescent="0.25">
      <c r="A1096" s="82" t="s">
        <v>30</v>
      </c>
      <c r="B1096" s="222">
        <f>(3732300/1.16)-B1097</f>
        <v>3060185</v>
      </c>
      <c r="C1096" s="222">
        <f>(3506200/1.16)-C1097</f>
        <v>2867426.2068965519</v>
      </c>
      <c r="D1096" s="222">
        <f>(4615900/1.16)-D1097</f>
        <v>3776654.1379310349</v>
      </c>
      <c r="E1096" s="222">
        <f>(4679800/1.16)-E1097</f>
        <v>3842515.3448275863</v>
      </c>
      <c r="F1096" s="222">
        <f>(7611500/1.16)-F1097</f>
        <v>6242697.931034483</v>
      </c>
      <c r="G1096" s="222">
        <f>(8002100/1.16)-G1097</f>
        <v>6562182.0689655179</v>
      </c>
      <c r="H1096" s="222">
        <f>(6956900/1.16)-H1097</f>
        <v>5654682.5862068972</v>
      </c>
      <c r="I1096" s="111">
        <f>SUM(I1091:I1095)</f>
        <v>32006343.275862072</v>
      </c>
      <c r="J1096" s="361">
        <f>'NOGAL '!$I1096/7</f>
        <v>4572334.7536945818</v>
      </c>
    </row>
    <row r="1097" spans="1:10" s="71" customFormat="1" x14ac:dyDescent="0.25">
      <c r="A1097" s="77" t="s">
        <v>31</v>
      </c>
      <c r="B1097" s="263">
        <f t="shared" ref="B1097:G1097" si="469">2155*B1078</f>
        <v>157315</v>
      </c>
      <c r="C1097" s="139">
        <f t="shared" si="469"/>
        <v>155160</v>
      </c>
      <c r="D1097" s="139">
        <f t="shared" si="469"/>
        <v>202570</v>
      </c>
      <c r="E1097" s="113">
        <f t="shared" si="469"/>
        <v>191795</v>
      </c>
      <c r="F1097" s="112">
        <f t="shared" si="469"/>
        <v>318940</v>
      </c>
      <c r="G1097" s="94">
        <f t="shared" si="469"/>
        <v>336180</v>
      </c>
      <c r="H1097" s="94">
        <f>2155*H1078</f>
        <v>342645</v>
      </c>
      <c r="I1097" s="109">
        <f>2155*I1078</f>
        <v>1704605</v>
      </c>
      <c r="J1097" s="302">
        <f>2155*J1078</f>
        <v>243515</v>
      </c>
    </row>
    <row r="1098" spans="1:10" s="71" customFormat="1" x14ac:dyDescent="0.25">
      <c r="A1098" s="83" t="s">
        <v>32</v>
      </c>
      <c r="B1098" s="411">
        <f>B1096+B1097</f>
        <v>3217500</v>
      </c>
      <c r="C1098" s="40">
        <f>C1096+C1097</f>
        <v>3022586.2068965519</v>
      </c>
      <c r="D1098" s="40">
        <f t="shared" ref="D1098:J1098" si="470">D1096+D1097</f>
        <v>3979224.1379310349</v>
      </c>
      <c r="E1098" s="399">
        <f t="shared" si="470"/>
        <v>4034310.3448275863</v>
      </c>
      <c r="F1098" s="140">
        <f t="shared" si="470"/>
        <v>6561637.931034483</v>
      </c>
      <c r="G1098" s="39">
        <f t="shared" si="470"/>
        <v>6898362.0689655179</v>
      </c>
      <c r="H1098" s="39">
        <f t="shared" si="470"/>
        <v>5997327.5862068972</v>
      </c>
      <c r="I1098" s="412">
        <f t="shared" si="470"/>
        <v>33710948.275862068</v>
      </c>
      <c r="J1098" s="364">
        <f t="shared" si="470"/>
        <v>4815849.7536945818</v>
      </c>
    </row>
    <row r="1099" spans="1:10" s="71" customFormat="1" x14ac:dyDescent="0.25">
      <c r="A1099" s="77" t="s">
        <v>33</v>
      </c>
      <c r="B1099" s="413">
        <f>B1098*16%</f>
        <v>514800</v>
      </c>
      <c r="C1099" s="42">
        <f>C1098*16%</f>
        <v>483613.79310344829</v>
      </c>
      <c r="D1099" s="42">
        <f t="shared" ref="D1099:J1099" si="471">D1098*16%</f>
        <v>636675.86206896557</v>
      </c>
      <c r="E1099" s="400">
        <f t="shared" si="471"/>
        <v>645489.6551724138</v>
      </c>
      <c r="F1099" s="141">
        <f t="shared" si="471"/>
        <v>1049862.0689655172</v>
      </c>
      <c r="G1099" s="41">
        <f t="shared" si="471"/>
        <v>1103737.9310344828</v>
      </c>
      <c r="H1099" s="41">
        <f t="shared" si="471"/>
        <v>959572.41379310354</v>
      </c>
      <c r="I1099" s="414">
        <f t="shared" si="471"/>
        <v>5393751.7241379311</v>
      </c>
      <c r="J1099" s="415">
        <f t="shared" si="471"/>
        <v>770535.9605911331</v>
      </c>
    </row>
    <row r="1100" spans="1:10" s="71" customFormat="1" x14ac:dyDescent="0.25">
      <c r="A1100" s="142" t="s">
        <v>34</v>
      </c>
      <c r="B1100" s="438">
        <f t="shared" ref="B1100:H1100" si="472">B1098+B1099</f>
        <v>3732300</v>
      </c>
      <c r="C1100" s="143">
        <f t="shared" si="472"/>
        <v>3506200</v>
      </c>
      <c r="D1100" s="143">
        <f t="shared" si="472"/>
        <v>4615900</v>
      </c>
      <c r="E1100" s="439">
        <f t="shared" si="472"/>
        <v>4679800</v>
      </c>
      <c r="F1100" s="145">
        <f t="shared" si="472"/>
        <v>7611500</v>
      </c>
      <c r="G1100" s="144">
        <f t="shared" si="472"/>
        <v>8002100.0000000009</v>
      </c>
      <c r="H1100" s="144">
        <f t="shared" si="472"/>
        <v>6956900.0000000009</v>
      </c>
      <c r="I1100" s="440">
        <f>+I1098+I1099</f>
        <v>39104700</v>
      </c>
      <c r="J1100" s="441">
        <f>'NOGAL '!$I1100/7</f>
        <v>5586385.7142857146</v>
      </c>
    </row>
    <row r="1101" spans="1:10" s="71" customFormat="1" ht="15.75" thickBot="1" x14ac:dyDescent="0.3">
      <c r="A1101" s="69"/>
      <c r="B1101" s="424"/>
      <c r="C1101" s="424"/>
      <c r="D1101" s="424"/>
      <c r="E1101" s="424"/>
      <c r="F1101" s="424"/>
      <c r="G1101" s="424"/>
      <c r="H1101" s="424"/>
      <c r="I1101" s="424"/>
      <c r="J1101" s="424"/>
    </row>
    <row r="1102" spans="1:10" s="71" customFormat="1" ht="27" thickBot="1" x14ac:dyDescent="0.3">
      <c r="A1102" s="85"/>
      <c r="B1102" s="1002" t="s">
        <v>381</v>
      </c>
      <c r="C1102" s="1002"/>
      <c r="D1102" s="1002"/>
      <c r="E1102" s="1002"/>
      <c r="F1102" s="1002"/>
      <c r="G1102" s="1002"/>
      <c r="H1102" s="1002"/>
      <c r="I1102" s="1002"/>
      <c r="J1102" s="85"/>
    </row>
    <row r="1103" spans="1:10" s="71" customFormat="1" ht="16.5" thickBot="1" x14ac:dyDescent="0.3">
      <c r="A1103" s="72" t="s">
        <v>2</v>
      </c>
      <c r="B1103" s="232" t="s">
        <v>270</v>
      </c>
      <c r="C1103" s="232" t="s">
        <v>116</v>
      </c>
      <c r="D1103" s="232" t="s">
        <v>117</v>
      </c>
      <c r="E1103" s="232" t="s">
        <v>118</v>
      </c>
      <c r="F1103" s="232" t="s">
        <v>119</v>
      </c>
      <c r="G1103" s="232" t="s">
        <v>120</v>
      </c>
      <c r="H1103" s="232" t="s">
        <v>121</v>
      </c>
      <c r="I1103" s="153" t="s">
        <v>10</v>
      </c>
      <c r="J1103" s="421" t="s">
        <v>77</v>
      </c>
    </row>
    <row r="1104" spans="1:10" s="71" customFormat="1" ht="15.75" thickTop="1" x14ac:dyDescent="0.25">
      <c r="A1104" s="430" t="s">
        <v>11</v>
      </c>
      <c r="B1104" s="431">
        <f>73+19+7</f>
        <v>99</v>
      </c>
      <c r="C1104" s="432">
        <f>114+46+15</f>
        <v>175</v>
      </c>
      <c r="D1104" s="433">
        <f>179+56+37</f>
        <v>272</v>
      </c>
      <c r="E1104" s="434">
        <f>64+32+6</f>
        <v>102</v>
      </c>
      <c r="F1104" s="434">
        <f>133+49+20</f>
        <v>202</v>
      </c>
      <c r="G1104" s="435">
        <f>143+68+24</f>
        <v>235</v>
      </c>
      <c r="H1104" s="434">
        <f>160+67+25</f>
        <v>252</v>
      </c>
      <c r="I1104" s="435">
        <f>SUM(B1104:H1104)</f>
        <v>1337</v>
      </c>
      <c r="J1104" s="437">
        <f>'NOGAL '!$I1104/7</f>
        <v>191</v>
      </c>
    </row>
    <row r="1105" spans="1:10" s="71" customFormat="1" x14ac:dyDescent="0.25">
      <c r="A1105" s="77" t="s">
        <v>12</v>
      </c>
      <c r="B1105" s="233">
        <v>55</v>
      </c>
      <c r="C1105" s="13">
        <v>104</v>
      </c>
      <c r="D1105" s="13">
        <v>177</v>
      </c>
      <c r="E1105" s="446">
        <v>60</v>
      </c>
      <c r="F1105" s="446">
        <v>115</v>
      </c>
      <c r="G1105" s="125">
        <v>141</v>
      </c>
      <c r="H1105" s="11">
        <v>165</v>
      </c>
      <c r="I1105" s="403">
        <f>B1105+C1105+D1105+E1105+F1105+G1105+H1105</f>
        <v>817</v>
      </c>
      <c r="J1105" s="292">
        <f>'NOGAL '!$I1105/7</f>
        <v>116.71428571428571</v>
      </c>
    </row>
    <row r="1106" spans="1:10" s="71" customFormat="1" x14ac:dyDescent="0.25">
      <c r="A1106" s="77" t="s">
        <v>13</v>
      </c>
      <c r="B1106" s="233">
        <v>1</v>
      </c>
      <c r="C1106" s="13">
        <v>2</v>
      </c>
      <c r="D1106" s="13">
        <v>4</v>
      </c>
      <c r="E1106" s="395">
        <v>3</v>
      </c>
      <c r="F1106" s="395">
        <v>4</v>
      </c>
      <c r="G1106" s="125">
        <v>4</v>
      </c>
      <c r="H1106" s="11">
        <v>2</v>
      </c>
      <c r="I1106" s="403">
        <f>B1106+C1106+D1106+E1106+F1106+G1106+H1106</f>
        <v>20</v>
      </c>
      <c r="J1106" s="292">
        <f>C1106+D1106+E1106+F1106+G1106+H1106+I1106</f>
        <v>39</v>
      </c>
    </row>
    <row r="1107" spans="1:10" s="71" customFormat="1" x14ac:dyDescent="0.25">
      <c r="A1107" s="77" t="s">
        <v>14</v>
      </c>
      <c r="B1107" s="233">
        <v>16</v>
      </c>
      <c r="C1107" s="13">
        <v>21</v>
      </c>
      <c r="D1107" s="13">
        <v>13</v>
      </c>
      <c r="E1107" s="395">
        <v>20</v>
      </c>
      <c r="F1107" s="395">
        <v>26</v>
      </c>
      <c r="G1107" s="125">
        <v>32</v>
      </c>
      <c r="H1107" s="11">
        <v>20</v>
      </c>
      <c r="I1107" s="403">
        <f>B1107+C1107+D1107+E1107+F1107+G1107+H1107</f>
        <v>148</v>
      </c>
      <c r="J1107" s="292">
        <f>'NOGAL '!$I1107/7</f>
        <v>21.142857142857142</v>
      </c>
    </row>
    <row r="1108" spans="1:10" s="71" customFormat="1" x14ac:dyDescent="0.25">
      <c r="A1108" s="77" t="s">
        <v>15</v>
      </c>
      <c r="B1108" s="233">
        <v>3</v>
      </c>
      <c r="C1108" s="13">
        <v>4</v>
      </c>
      <c r="D1108" s="13">
        <v>4</v>
      </c>
      <c r="E1108" s="395">
        <v>0</v>
      </c>
      <c r="F1108" s="395">
        <v>10</v>
      </c>
      <c r="G1108" s="125">
        <v>4</v>
      </c>
      <c r="H1108" s="11">
        <v>6</v>
      </c>
      <c r="I1108" s="403">
        <f>B1108+C1108+D1108+E1108+F1108+G1108+H1108</f>
        <v>31</v>
      </c>
      <c r="J1108" s="292">
        <f>'NOGAL '!$I1108/7</f>
        <v>4.4285714285714288</v>
      </c>
    </row>
    <row r="1109" spans="1:10" s="71" customFormat="1" x14ac:dyDescent="0.25">
      <c r="A1109" s="77" t="s">
        <v>16</v>
      </c>
      <c r="B1109" s="233">
        <v>0</v>
      </c>
      <c r="C1109" s="13">
        <v>0</v>
      </c>
      <c r="D1109" s="13">
        <v>0</v>
      </c>
      <c r="E1109" s="395">
        <v>0</v>
      </c>
      <c r="F1109" s="395">
        <v>1</v>
      </c>
      <c r="G1109" s="125">
        <v>1</v>
      </c>
      <c r="H1109" s="11">
        <v>0</v>
      </c>
      <c r="I1109" s="403">
        <f>B1109+C1109+D1109+E1109+F1109+G1109+H1109</f>
        <v>2</v>
      </c>
      <c r="J1109" s="292">
        <f>'NOGAL '!$I1109/7</f>
        <v>0.2857142857142857</v>
      </c>
    </row>
    <row r="1110" spans="1:10" s="71" customFormat="1" x14ac:dyDescent="0.25">
      <c r="A1110" s="79" t="s">
        <v>17</v>
      </c>
      <c r="B1110" s="102">
        <f>SUM(B1105:B1109)</f>
        <v>75</v>
      </c>
      <c r="C1110" s="79">
        <f t="shared" ref="C1110:H1110" si="473">SUM(C1105:C1109)</f>
        <v>131</v>
      </c>
      <c r="D1110" s="79">
        <f t="shared" si="473"/>
        <v>198</v>
      </c>
      <c r="E1110" s="248">
        <f t="shared" si="473"/>
        <v>83</v>
      </c>
      <c r="F1110" s="15">
        <f t="shared" si="473"/>
        <v>156</v>
      </c>
      <c r="G1110" s="79">
        <f t="shared" si="473"/>
        <v>182</v>
      </c>
      <c r="H1110" s="79">
        <f t="shared" si="473"/>
        <v>193</v>
      </c>
      <c r="I1110" s="404">
        <f>SUM(I1105:I1109)</f>
        <v>1018</v>
      </c>
      <c r="J1110" s="405">
        <f>'NOGAL '!$I1110/7</f>
        <v>145.42857142857142</v>
      </c>
    </row>
    <row r="1111" spans="1:10" s="71" customFormat="1" x14ac:dyDescent="0.25">
      <c r="A1111" s="77" t="s">
        <v>18</v>
      </c>
      <c r="B1111" s="445">
        <v>0.85</v>
      </c>
      <c r="C1111" s="235">
        <v>0.89</v>
      </c>
      <c r="D1111" s="235">
        <v>0.93</v>
      </c>
      <c r="E1111" s="236">
        <v>0.82</v>
      </c>
      <c r="F1111" s="236">
        <v>0.81</v>
      </c>
      <c r="G1111" s="236">
        <v>0.84</v>
      </c>
      <c r="H1111" s="236">
        <v>0.88</v>
      </c>
      <c r="I1111" s="105">
        <f>I1118/I1123</f>
        <v>0.86649097454488189</v>
      </c>
      <c r="J1111" s="297">
        <f>J1118/J1123</f>
        <v>0.86649097454488189</v>
      </c>
    </row>
    <row r="1112" spans="1:10" s="71" customFormat="1" x14ac:dyDescent="0.25">
      <c r="A1112" s="77" t="s">
        <v>19</v>
      </c>
      <c r="B1112" s="445">
        <v>0.01</v>
      </c>
      <c r="C1112" s="235">
        <v>0.01</v>
      </c>
      <c r="D1112" s="235">
        <v>0.02</v>
      </c>
      <c r="E1112" s="236">
        <v>0.03</v>
      </c>
      <c r="F1112" s="236">
        <v>0.01</v>
      </c>
      <c r="G1112" s="236">
        <v>0.02</v>
      </c>
      <c r="H1112" s="236">
        <v>0.01</v>
      </c>
      <c r="I1112" s="105">
        <f>I1119/I1123</f>
        <v>1.544074903231777E-2</v>
      </c>
      <c r="J1112" s="297">
        <f>J1119/J1123</f>
        <v>1.5440749032317768E-2</v>
      </c>
    </row>
    <row r="1113" spans="1:10" s="71" customFormat="1" x14ac:dyDescent="0.25">
      <c r="A1113" s="77" t="s">
        <v>20</v>
      </c>
      <c r="B1113" s="445">
        <v>0.12</v>
      </c>
      <c r="C1113" s="235">
        <v>0.09</v>
      </c>
      <c r="D1113" s="235">
        <v>0.04</v>
      </c>
      <c r="E1113" s="236">
        <v>0.15</v>
      </c>
      <c r="F1113" s="236">
        <v>0.12</v>
      </c>
      <c r="G1113" s="236">
        <v>0.13</v>
      </c>
      <c r="H1113" s="236">
        <v>0.08</v>
      </c>
      <c r="I1113" s="105">
        <f>I1120/I1123</f>
        <v>9.6847120917389409E-2</v>
      </c>
      <c r="J1113" s="297">
        <f>J1120/J1123</f>
        <v>9.6847120917389409E-2</v>
      </c>
    </row>
    <row r="1114" spans="1:10" s="71" customFormat="1" x14ac:dyDescent="0.25">
      <c r="A1114" s="77" t="s">
        <v>21</v>
      </c>
      <c r="B1114" s="445">
        <v>0.02</v>
      </c>
      <c r="C1114" s="235">
        <v>0.01</v>
      </c>
      <c r="D1114" s="235">
        <v>0.01</v>
      </c>
      <c r="E1114" s="236">
        <v>0</v>
      </c>
      <c r="F1114" s="236">
        <v>0.05</v>
      </c>
      <c r="G1114" s="236">
        <v>0.01</v>
      </c>
      <c r="H1114" s="236">
        <v>0.03</v>
      </c>
      <c r="I1114" s="105">
        <f>I1121/I1123</f>
        <v>1.9699453736532389E-2</v>
      </c>
      <c r="J1114" s="297">
        <f>J1121/J1123</f>
        <v>1.9699453736532389E-2</v>
      </c>
    </row>
    <row r="1115" spans="1:10" s="71" customFormat="1" x14ac:dyDescent="0.25">
      <c r="A1115" s="77" t="s">
        <v>22</v>
      </c>
      <c r="B1115" s="445">
        <v>0</v>
      </c>
      <c r="C1115" s="235">
        <v>0</v>
      </c>
      <c r="D1115" s="235">
        <v>0</v>
      </c>
      <c r="E1115" s="236">
        <v>0</v>
      </c>
      <c r="F1115" s="236">
        <v>0.01</v>
      </c>
      <c r="G1115" s="236">
        <v>0</v>
      </c>
      <c r="H1115" s="236">
        <v>0</v>
      </c>
      <c r="I1115" s="105">
        <f>I1122/I1123</f>
        <v>1.5217017688783443E-3</v>
      </c>
      <c r="J1115" s="297">
        <f>J1122/J1123</f>
        <v>1.5217017688783443E-3</v>
      </c>
    </row>
    <row r="1116" spans="1:10" s="71" customFormat="1" x14ac:dyDescent="0.25">
      <c r="A1116" s="81" t="s">
        <v>23</v>
      </c>
      <c r="B1116" s="409">
        <f t="shared" ref="B1116:J1116" si="474">B1127/B1110</f>
        <v>39300.000000000007</v>
      </c>
      <c r="C1116" s="131">
        <f t="shared" si="474"/>
        <v>38284.732824427483</v>
      </c>
      <c r="D1116" s="131">
        <f t="shared" si="474"/>
        <v>40936.36363636364</v>
      </c>
      <c r="E1116" s="397">
        <f t="shared" si="474"/>
        <v>38286.74698795181</v>
      </c>
      <c r="F1116" s="132">
        <f t="shared" si="474"/>
        <v>38654.487179487187</v>
      </c>
      <c r="G1116" s="130">
        <f t="shared" si="474"/>
        <v>39375.274725274729</v>
      </c>
      <c r="H1116" s="130">
        <f t="shared" si="474"/>
        <v>38021.243523316065</v>
      </c>
      <c r="I1116" s="359">
        <f t="shared" si="474"/>
        <v>39077.111984282914</v>
      </c>
      <c r="J1116" s="314">
        <f t="shared" si="474"/>
        <v>39077.111984282921</v>
      </c>
    </row>
    <row r="1117" spans="1:10" s="71" customFormat="1" x14ac:dyDescent="0.25">
      <c r="A1117" s="81" t="s">
        <v>24</v>
      </c>
      <c r="B1117" s="409">
        <f t="shared" ref="B1117:J1117" si="475">B1127/B1104</f>
        <v>29772.727272727276</v>
      </c>
      <c r="C1117" s="131">
        <f t="shared" si="475"/>
        <v>28658.857142857141</v>
      </c>
      <c r="D1117" s="131">
        <f t="shared" si="475"/>
        <v>29799.264705882357</v>
      </c>
      <c r="E1117" s="397">
        <f t="shared" si="475"/>
        <v>31154.901960784315</v>
      </c>
      <c r="F1117" s="132">
        <f t="shared" si="475"/>
        <v>29851.980198019806</v>
      </c>
      <c r="G1117" s="130">
        <f t="shared" si="475"/>
        <v>30494.89361702128</v>
      </c>
      <c r="H1117" s="130">
        <f t="shared" si="475"/>
        <v>29119.444444444449</v>
      </c>
      <c r="I1117" s="359">
        <f t="shared" si="475"/>
        <v>29753.552729992527</v>
      </c>
      <c r="J1117" s="314">
        <f t="shared" si="475"/>
        <v>29753.552729992527</v>
      </c>
    </row>
    <row r="1118" spans="1:10" s="71" customFormat="1" x14ac:dyDescent="0.25">
      <c r="A1118" s="77" t="s">
        <v>25</v>
      </c>
      <c r="B1118" s="255">
        <f t="shared" ref="B1118:H1118" si="476">B1123*B1111</f>
        <v>2059059.784482759</v>
      </c>
      <c r="C1118" s="133">
        <f t="shared" si="476"/>
        <v>3648478.8896551724</v>
      </c>
      <c r="D1118" s="133">
        <f t="shared" si="476"/>
        <v>6143560.2775862077</v>
      </c>
      <c r="E1118" s="299">
        <f t="shared" si="476"/>
        <v>2140349.8620689656</v>
      </c>
      <c r="F1118" s="134">
        <f t="shared" si="476"/>
        <v>4009935.0258620698</v>
      </c>
      <c r="G1118" s="92">
        <f t="shared" si="476"/>
        <v>4934151.455172414</v>
      </c>
      <c r="H1118" s="92">
        <f t="shared" si="476"/>
        <v>5253928.4827586217</v>
      </c>
      <c r="I1118" s="108">
        <f>'NOGAL '!$B1118+'NOGAL '!$C1118+'NOGAL '!$D1118+'NOGAL '!$E1118+'NOGAL '!$F1118+'NOGAL '!$G1118+'NOGAL '!$H1118</f>
        <v>28189463.777586211</v>
      </c>
      <c r="J1118" s="300">
        <f>'NOGAL '!$I1118/7</f>
        <v>4027066.2539408873</v>
      </c>
    </row>
    <row r="1119" spans="1:10" s="71" customFormat="1" x14ac:dyDescent="0.25">
      <c r="A1119" s="77" t="s">
        <v>26</v>
      </c>
      <c r="B1119" s="255">
        <f t="shared" ref="B1119:H1119" si="477">B1123*B1112</f>
        <v>24224.232758620692</v>
      </c>
      <c r="C1119" s="133">
        <f t="shared" si="477"/>
        <v>40994.144827586206</v>
      </c>
      <c r="D1119" s="133">
        <f t="shared" si="477"/>
        <v>132119.57586206897</v>
      </c>
      <c r="E1119" s="299">
        <f t="shared" si="477"/>
        <v>78305.482758620681</v>
      </c>
      <c r="F1119" s="134">
        <f t="shared" si="477"/>
        <v>49505.370689655181</v>
      </c>
      <c r="G1119" s="92">
        <f t="shared" si="477"/>
        <v>117479.79655172415</v>
      </c>
      <c r="H1119" s="92">
        <f t="shared" si="477"/>
        <v>59703.732758620696</v>
      </c>
      <c r="I1119" s="108">
        <f>'NOGAL '!$B1119+'NOGAL '!$C1119+'NOGAL '!$D1119+'NOGAL '!$E1119+'NOGAL '!$F1119+'NOGAL '!$G1119+'NOGAL '!$H1119</f>
        <v>502332.33620689658</v>
      </c>
      <c r="J1119" s="300">
        <f>'NOGAL '!$I1119/7</f>
        <v>71761.762315270942</v>
      </c>
    </row>
    <row r="1120" spans="1:10" s="71" customFormat="1" x14ac:dyDescent="0.25">
      <c r="A1120" s="77" t="s">
        <v>27</v>
      </c>
      <c r="B1120" s="255">
        <f t="shared" ref="B1120:H1120" si="478">B1123*B1113</f>
        <v>290690.79310344829</v>
      </c>
      <c r="C1120" s="133">
        <f t="shared" si="478"/>
        <v>368947.30344827584</v>
      </c>
      <c r="D1120" s="133">
        <f t="shared" si="478"/>
        <v>264239.15172413795</v>
      </c>
      <c r="E1120" s="299">
        <f t="shared" si="478"/>
        <v>391527.41379310342</v>
      </c>
      <c r="F1120" s="134">
        <f t="shared" si="478"/>
        <v>594064.44827586215</v>
      </c>
      <c r="G1120" s="92">
        <f t="shared" si="478"/>
        <v>763618.67758620705</v>
      </c>
      <c r="H1120" s="92">
        <f t="shared" si="478"/>
        <v>477629.86206896557</v>
      </c>
      <c r="I1120" s="108">
        <f>'NOGAL '!$B1120+'NOGAL '!$C1120+'NOGAL '!$D1120+'NOGAL '!$E1120+'NOGAL '!$F1120+'NOGAL '!$G1120+'NOGAL '!$H1120</f>
        <v>3150717.6500000004</v>
      </c>
      <c r="J1120" s="300">
        <f>'NOGAL '!$I1120/7</f>
        <v>450102.52142857149</v>
      </c>
    </row>
    <row r="1121" spans="1:10" s="71" customFormat="1" x14ac:dyDescent="0.25">
      <c r="A1121" s="77" t="s">
        <v>28</v>
      </c>
      <c r="B1121" s="255">
        <f t="shared" ref="B1121:H1121" si="479">B1123*B1114</f>
        <v>48448.465517241384</v>
      </c>
      <c r="C1121" s="133">
        <f t="shared" si="479"/>
        <v>40994.144827586206</v>
      </c>
      <c r="D1121" s="133">
        <f t="shared" si="479"/>
        <v>66059.787931034487</v>
      </c>
      <c r="E1121" s="299">
        <f t="shared" si="479"/>
        <v>0</v>
      </c>
      <c r="F1121" s="134">
        <f t="shared" si="479"/>
        <v>247526.85344827591</v>
      </c>
      <c r="G1121" s="92">
        <f t="shared" si="479"/>
        <v>58739.898275862077</v>
      </c>
      <c r="H1121" s="92">
        <f t="shared" si="479"/>
        <v>179111.19827586209</v>
      </c>
      <c r="I1121" s="108">
        <f>'NOGAL '!$B1121+'NOGAL '!$C1121+'NOGAL '!$D1121+'NOGAL '!$E1121+'NOGAL '!$F1121+'NOGAL '!$G1121+'NOGAL '!$H1121</f>
        <v>640880.34827586217</v>
      </c>
      <c r="J1121" s="300">
        <f>'NOGAL '!$I1121/7</f>
        <v>91554.335467980316</v>
      </c>
    </row>
    <row r="1122" spans="1:10" s="71" customFormat="1" x14ac:dyDescent="0.25">
      <c r="A1122" s="77" t="s">
        <v>29</v>
      </c>
      <c r="B1122" s="255">
        <f t="shared" ref="B1122:H1122" si="480">B1123*B1115</f>
        <v>0</v>
      </c>
      <c r="C1122" s="133">
        <f t="shared" si="480"/>
        <v>0</v>
      </c>
      <c r="D1122" s="133">
        <f t="shared" si="480"/>
        <v>0</v>
      </c>
      <c r="E1122" s="299">
        <f t="shared" si="480"/>
        <v>0</v>
      </c>
      <c r="F1122" s="134">
        <f t="shared" si="480"/>
        <v>49505.370689655181</v>
      </c>
      <c r="G1122" s="92">
        <f t="shared" si="480"/>
        <v>0</v>
      </c>
      <c r="H1122" s="92">
        <f t="shared" si="480"/>
        <v>0</v>
      </c>
      <c r="I1122" s="108">
        <f>'NOGAL '!$B1122+'NOGAL '!$C1122+'NOGAL '!$D1122+'NOGAL '!$E1122+'NOGAL '!$F1122+'NOGAL '!$G1122+'NOGAL '!$H1122</f>
        <v>49505.370689655181</v>
      </c>
      <c r="J1122" s="300">
        <f>'NOGAL '!$I1122/7</f>
        <v>7072.1958128078832</v>
      </c>
    </row>
    <row r="1123" spans="1:10" s="71" customFormat="1" x14ac:dyDescent="0.25">
      <c r="A1123" s="82" t="s">
        <v>30</v>
      </c>
      <c r="B1123" s="222">
        <f>(2947500/1.16)-B1124</f>
        <v>2422423.2758620693</v>
      </c>
      <c r="C1123" s="222">
        <f>(5015300/1.16)-C1124</f>
        <v>4099414.4827586208</v>
      </c>
      <c r="D1123" s="222">
        <f>(8105400/1.16)-D1124</f>
        <v>6605978.793103449</v>
      </c>
      <c r="E1123" s="222">
        <f>(3177800/1.16)-E1124</f>
        <v>2610182.7586206896</v>
      </c>
      <c r="F1123" s="222">
        <f>(6030100/1.16)-F1124</f>
        <v>4950537.0689655179</v>
      </c>
      <c r="G1123" s="222">
        <f>(7166300/1.16)-G1124</f>
        <v>5873989.8275862075</v>
      </c>
      <c r="H1123" s="222">
        <f>(7338100/1.16)-H1124</f>
        <v>5970373.2758620698</v>
      </c>
      <c r="I1123" s="111">
        <f>SUM(I1118:I1122)</f>
        <v>32532899.48275863</v>
      </c>
      <c r="J1123" s="361">
        <f>'NOGAL '!$I1123/7</f>
        <v>4647557.0689655188</v>
      </c>
    </row>
    <row r="1124" spans="1:10" s="71" customFormat="1" x14ac:dyDescent="0.25">
      <c r="A1124" s="77" t="s">
        <v>31</v>
      </c>
      <c r="B1124" s="263">
        <f t="shared" ref="B1124:G1124" si="481">2155*B1105</f>
        <v>118525</v>
      </c>
      <c r="C1124" s="139">
        <f t="shared" si="481"/>
        <v>224120</v>
      </c>
      <c r="D1124" s="139">
        <f t="shared" si="481"/>
        <v>381435</v>
      </c>
      <c r="E1124" s="113">
        <f t="shared" si="481"/>
        <v>129300</v>
      </c>
      <c r="F1124" s="112">
        <f t="shared" si="481"/>
        <v>247825</v>
      </c>
      <c r="G1124" s="94">
        <f t="shared" si="481"/>
        <v>303855</v>
      </c>
      <c r="H1124" s="94">
        <f>2155*H1105</f>
        <v>355575</v>
      </c>
      <c r="I1124" s="109">
        <f>2155*I1105</f>
        <v>1760635</v>
      </c>
      <c r="J1124" s="302">
        <f>2155*J1105</f>
        <v>251519.28571428571</v>
      </c>
    </row>
    <row r="1125" spans="1:10" s="71" customFormat="1" x14ac:dyDescent="0.25">
      <c r="A1125" s="83" t="s">
        <v>32</v>
      </c>
      <c r="B1125" s="411">
        <f>B1123+B1124</f>
        <v>2540948.2758620693</v>
      </c>
      <c r="C1125" s="40">
        <f>C1123+C1124</f>
        <v>4323534.4827586208</v>
      </c>
      <c r="D1125" s="40">
        <f t="shared" ref="D1125:J1125" si="482">D1123+D1124</f>
        <v>6987413.793103449</v>
      </c>
      <c r="E1125" s="399">
        <f t="shared" si="482"/>
        <v>2739482.7586206896</v>
      </c>
      <c r="F1125" s="140">
        <f t="shared" si="482"/>
        <v>5198362.0689655179</v>
      </c>
      <c r="G1125" s="39">
        <f t="shared" si="482"/>
        <v>6177844.8275862075</v>
      </c>
      <c r="H1125" s="39">
        <f t="shared" si="482"/>
        <v>6325948.2758620698</v>
      </c>
      <c r="I1125" s="412">
        <f t="shared" si="482"/>
        <v>34293534.482758626</v>
      </c>
      <c r="J1125" s="364">
        <f t="shared" si="482"/>
        <v>4899076.3546798043</v>
      </c>
    </row>
    <row r="1126" spans="1:10" s="71" customFormat="1" x14ac:dyDescent="0.25">
      <c r="A1126" s="77" t="s">
        <v>33</v>
      </c>
      <c r="B1126" s="413">
        <f>B1125*16%</f>
        <v>406551.72413793113</v>
      </c>
      <c r="C1126" s="42">
        <f>C1125*16%</f>
        <v>691765.51724137936</v>
      </c>
      <c r="D1126" s="42">
        <f t="shared" ref="D1126:J1126" si="483">D1125*16%</f>
        <v>1117986.2068965519</v>
      </c>
      <c r="E1126" s="400">
        <f t="shared" si="483"/>
        <v>438317.24137931038</v>
      </c>
      <c r="F1126" s="141">
        <f t="shared" si="483"/>
        <v>831737.9310344829</v>
      </c>
      <c r="G1126" s="41">
        <f t="shared" si="483"/>
        <v>988455.17241379328</v>
      </c>
      <c r="H1126" s="41">
        <f t="shared" si="483"/>
        <v>1012151.7241379312</v>
      </c>
      <c r="I1126" s="414">
        <f t="shared" si="483"/>
        <v>5486965.5172413802</v>
      </c>
      <c r="J1126" s="415">
        <f t="shared" si="483"/>
        <v>783852.2167487687</v>
      </c>
    </row>
    <row r="1127" spans="1:10" s="71" customFormat="1" x14ac:dyDescent="0.25">
      <c r="A1127" s="142" t="s">
        <v>34</v>
      </c>
      <c r="B1127" s="438">
        <f t="shared" ref="B1127:H1127" si="484">B1125+B1126</f>
        <v>2947500.0000000005</v>
      </c>
      <c r="C1127" s="143">
        <f t="shared" si="484"/>
        <v>5015300</v>
      </c>
      <c r="D1127" s="143">
        <f t="shared" si="484"/>
        <v>8105400.0000000009</v>
      </c>
      <c r="E1127" s="439">
        <f t="shared" si="484"/>
        <v>3177800</v>
      </c>
      <c r="F1127" s="145">
        <f t="shared" si="484"/>
        <v>6030100.0000000009</v>
      </c>
      <c r="G1127" s="144">
        <f t="shared" si="484"/>
        <v>7166300.0000000009</v>
      </c>
      <c r="H1127" s="144">
        <f t="shared" si="484"/>
        <v>7338100.0000000009</v>
      </c>
      <c r="I1127" s="440">
        <f>+I1125+I1126</f>
        <v>39780500.000000007</v>
      </c>
      <c r="J1127" s="441">
        <f>'NOGAL '!$I1127/7</f>
        <v>5682928.5714285728</v>
      </c>
    </row>
    <row r="1128" spans="1:10" s="71" customFormat="1" ht="15.75" thickBot="1" x14ac:dyDescent="0.3">
      <c r="A1128" s="69"/>
      <c r="B1128" s="424"/>
      <c r="C1128" s="424"/>
      <c r="D1128" s="424"/>
      <c r="E1128" s="424"/>
      <c r="F1128" s="424"/>
      <c r="G1128" s="424"/>
      <c r="H1128" s="424"/>
      <c r="I1128" s="424"/>
      <c r="J1128" s="424"/>
    </row>
    <row r="1129" spans="1:10" s="71" customFormat="1" ht="27" thickBot="1" x14ac:dyDescent="0.3">
      <c r="A1129" s="85"/>
      <c r="B1129" s="1002" t="s">
        <v>382</v>
      </c>
      <c r="C1129" s="1002"/>
      <c r="D1129" s="1002"/>
      <c r="E1129" s="1002"/>
      <c r="F1129" s="1002"/>
      <c r="G1129" s="1002"/>
      <c r="H1129" s="1002"/>
      <c r="I1129" s="1002"/>
      <c r="J1129" s="85"/>
    </row>
    <row r="1130" spans="1:10" s="71" customFormat="1" ht="16.5" thickBot="1" x14ac:dyDescent="0.3">
      <c r="A1130" s="72" t="s">
        <v>2</v>
      </c>
      <c r="B1130" s="232" t="s">
        <v>123</v>
      </c>
      <c r="C1130" s="232" t="s">
        <v>124</v>
      </c>
      <c r="D1130" s="232" t="s">
        <v>125</v>
      </c>
      <c r="E1130" s="232" t="s">
        <v>126</v>
      </c>
      <c r="F1130" s="232" t="s">
        <v>127</v>
      </c>
      <c r="G1130" s="232" t="s">
        <v>128</v>
      </c>
      <c r="H1130" s="232" t="s">
        <v>129</v>
      </c>
      <c r="I1130" s="153" t="s">
        <v>10</v>
      </c>
      <c r="J1130" s="421" t="s">
        <v>77</v>
      </c>
    </row>
    <row r="1131" spans="1:10" s="71" customFormat="1" ht="15.75" thickTop="1" x14ac:dyDescent="0.25">
      <c r="A1131" s="430" t="s">
        <v>11</v>
      </c>
      <c r="B1131" s="431">
        <f>64+26+7</f>
        <v>97</v>
      </c>
      <c r="C1131" s="432">
        <f>60+33+5</f>
        <v>98</v>
      </c>
      <c r="D1131" s="433">
        <f>86+34+12</f>
        <v>132</v>
      </c>
      <c r="E1131" s="434">
        <f>83+32+16</f>
        <v>131</v>
      </c>
      <c r="F1131" s="434">
        <f>180+83+33</f>
        <v>296</v>
      </c>
      <c r="G1131" s="435">
        <f>166+79+29</f>
        <v>274</v>
      </c>
      <c r="H1131" s="434">
        <f>164+80+24</f>
        <v>268</v>
      </c>
      <c r="I1131" s="435">
        <f>SUM(B1131:H1131)</f>
        <v>1296</v>
      </c>
      <c r="J1131" s="437">
        <f>'NOGAL '!$I1131/7</f>
        <v>185.14285714285714</v>
      </c>
    </row>
    <row r="1132" spans="1:10" s="71" customFormat="1" x14ac:dyDescent="0.25">
      <c r="A1132" s="77" t="s">
        <v>12</v>
      </c>
      <c r="B1132" s="233">
        <v>55</v>
      </c>
      <c r="C1132" s="320">
        <v>56</v>
      </c>
      <c r="D1132" s="13">
        <v>79</v>
      </c>
      <c r="E1132" s="446">
        <v>84</v>
      </c>
      <c r="F1132" s="446">
        <v>170</v>
      </c>
      <c r="G1132" s="125">
        <v>177</v>
      </c>
      <c r="H1132" s="11">
        <v>180</v>
      </c>
      <c r="I1132" s="403">
        <f>B1132+C1132+D1132+E1132+F1132+G1132+H1132</f>
        <v>801</v>
      </c>
      <c r="J1132" s="292">
        <f>'NOGAL '!$I1132/7</f>
        <v>114.42857142857143</v>
      </c>
    </row>
    <row r="1133" spans="1:10" s="71" customFormat="1" x14ac:dyDescent="0.25">
      <c r="A1133" s="77" t="s">
        <v>13</v>
      </c>
      <c r="B1133" s="233">
        <v>0</v>
      </c>
      <c r="C1133" s="13">
        <v>1</v>
      </c>
      <c r="D1133" s="13">
        <v>2</v>
      </c>
      <c r="E1133" s="395">
        <v>1</v>
      </c>
      <c r="F1133" s="395">
        <v>7</v>
      </c>
      <c r="G1133" s="125">
        <v>5</v>
      </c>
      <c r="H1133" s="11">
        <v>1</v>
      </c>
      <c r="I1133" s="403">
        <f>B1133+C1133+D1133+E1133+F1133+G1133+H1133</f>
        <v>17</v>
      </c>
      <c r="J1133" s="292">
        <f>C1133+D1133+E1133+F1133+G1133+H1133+I1133</f>
        <v>34</v>
      </c>
    </row>
    <row r="1134" spans="1:10" s="71" customFormat="1" x14ac:dyDescent="0.25">
      <c r="A1134" s="77" t="s">
        <v>14</v>
      </c>
      <c r="B1134" s="233">
        <v>16</v>
      </c>
      <c r="C1134" s="13">
        <v>17</v>
      </c>
      <c r="D1134" s="13">
        <v>19</v>
      </c>
      <c r="E1134" s="395">
        <v>17</v>
      </c>
      <c r="F1134" s="395">
        <v>21</v>
      </c>
      <c r="G1134" s="125">
        <v>22</v>
      </c>
      <c r="H1134" s="11">
        <v>20</v>
      </c>
      <c r="I1134" s="403">
        <f>B1134+C1134+D1134+E1134+F1134+G1134+H1134</f>
        <v>132</v>
      </c>
      <c r="J1134" s="292">
        <f>'NOGAL '!$I1134/7</f>
        <v>18.857142857142858</v>
      </c>
    </row>
    <row r="1135" spans="1:10" s="71" customFormat="1" x14ac:dyDescent="0.25">
      <c r="A1135" s="77" t="s">
        <v>15</v>
      </c>
      <c r="B1135" s="233">
        <v>1</v>
      </c>
      <c r="C1135" s="13">
        <v>2</v>
      </c>
      <c r="D1135" s="13">
        <v>3</v>
      </c>
      <c r="E1135" s="395">
        <v>3</v>
      </c>
      <c r="F1135" s="395">
        <v>8</v>
      </c>
      <c r="G1135" s="125">
        <v>5</v>
      </c>
      <c r="H1135" s="11">
        <v>5</v>
      </c>
      <c r="I1135" s="403">
        <f>B1135+C1135+D1135+E1135+F1135+G1135+H1135</f>
        <v>27</v>
      </c>
      <c r="J1135" s="292">
        <f>'NOGAL '!$I1135/7</f>
        <v>3.8571428571428572</v>
      </c>
    </row>
    <row r="1136" spans="1:10" s="71" customFormat="1" x14ac:dyDescent="0.25">
      <c r="A1136" s="77" t="s">
        <v>16</v>
      </c>
      <c r="B1136" s="233">
        <v>0</v>
      </c>
      <c r="C1136" s="13">
        <v>0</v>
      </c>
      <c r="D1136" s="13">
        <v>0</v>
      </c>
      <c r="E1136" s="395">
        <v>0</v>
      </c>
      <c r="F1136" s="395">
        <v>1</v>
      </c>
      <c r="G1136" s="125">
        <v>0</v>
      </c>
      <c r="H1136" s="11">
        <v>0</v>
      </c>
      <c r="I1136" s="403">
        <f>B1136+C1136+D1136+E1136+F1136+G1136+H1136</f>
        <v>1</v>
      </c>
      <c r="J1136" s="292">
        <f>'NOGAL '!$I1136/7</f>
        <v>0.14285714285714285</v>
      </c>
    </row>
    <row r="1137" spans="1:10" s="71" customFormat="1" x14ac:dyDescent="0.25">
      <c r="A1137" s="79" t="s">
        <v>17</v>
      </c>
      <c r="B1137" s="102">
        <f>SUM(B1132:B1136)</f>
        <v>72</v>
      </c>
      <c r="C1137" s="79">
        <f t="shared" ref="C1137:H1137" si="485">SUM(C1132:C1136)</f>
        <v>76</v>
      </c>
      <c r="D1137" s="79">
        <f t="shared" si="485"/>
        <v>103</v>
      </c>
      <c r="E1137" s="248">
        <f t="shared" si="485"/>
        <v>105</v>
      </c>
      <c r="F1137" s="15">
        <f t="shared" si="485"/>
        <v>207</v>
      </c>
      <c r="G1137" s="79">
        <f t="shared" si="485"/>
        <v>209</v>
      </c>
      <c r="H1137" s="79">
        <f t="shared" si="485"/>
        <v>206</v>
      </c>
      <c r="I1137" s="404">
        <f>SUM(I1132:I1136)</f>
        <v>978</v>
      </c>
      <c r="J1137" s="405">
        <f>'NOGAL '!$I1137/7</f>
        <v>139.71428571428572</v>
      </c>
    </row>
    <row r="1138" spans="1:10" s="71" customFormat="1" x14ac:dyDescent="0.25">
      <c r="A1138" s="77" t="s">
        <v>18</v>
      </c>
      <c r="B1138" s="445">
        <v>0.82</v>
      </c>
      <c r="C1138" s="235">
        <v>0.83</v>
      </c>
      <c r="D1138" s="235">
        <v>0.83</v>
      </c>
      <c r="E1138" s="236">
        <v>0.88</v>
      </c>
      <c r="F1138" s="236">
        <v>0.86</v>
      </c>
      <c r="G1138" s="236">
        <v>0.9</v>
      </c>
      <c r="H1138" s="236">
        <v>0.93</v>
      </c>
      <c r="I1138" s="105">
        <f>I1145/I1150</f>
        <v>0.87713945966522289</v>
      </c>
      <c r="J1138" s="297">
        <f>J1145/J1150</f>
        <v>0.87713945966522289</v>
      </c>
    </row>
    <row r="1139" spans="1:10" s="71" customFormat="1" x14ac:dyDescent="0.25">
      <c r="A1139" s="77" t="s">
        <v>19</v>
      </c>
      <c r="B1139" s="445">
        <v>0</v>
      </c>
      <c r="C1139" s="235">
        <v>0.01</v>
      </c>
      <c r="D1139" s="235">
        <v>0.01</v>
      </c>
      <c r="E1139" s="236">
        <v>0.01</v>
      </c>
      <c r="F1139" s="236">
        <v>0.04</v>
      </c>
      <c r="G1139" s="236">
        <v>0.02</v>
      </c>
      <c r="H1139" s="236">
        <v>0</v>
      </c>
      <c r="I1139" s="105">
        <f>I1146/I1150</f>
        <v>1.6114418747671774E-2</v>
      </c>
      <c r="J1139" s="297">
        <f>J1146/J1150</f>
        <v>1.6114418747671774E-2</v>
      </c>
    </row>
    <row r="1140" spans="1:10" s="71" customFormat="1" x14ac:dyDescent="0.25">
      <c r="A1140" s="77" t="s">
        <v>20</v>
      </c>
      <c r="B1140" s="445">
        <v>0.17</v>
      </c>
      <c r="C1140" s="235">
        <v>0.14000000000000001</v>
      </c>
      <c r="D1140" s="235">
        <v>0.14000000000000001</v>
      </c>
      <c r="E1140" s="236">
        <v>0.1</v>
      </c>
      <c r="F1140" s="236">
        <v>0.06</v>
      </c>
      <c r="G1140" s="236">
        <v>7.0000000000000007E-2</v>
      </c>
      <c r="H1140" s="236">
        <v>0.06</v>
      </c>
      <c r="I1140" s="105">
        <f>I1147/I1150</f>
        <v>8.8217115277086561E-2</v>
      </c>
      <c r="J1140" s="297">
        <f>J1147/J1150</f>
        <v>8.8217115277086575E-2</v>
      </c>
    </row>
    <row r="1141" spans="1:10" s="71" customFormat="1" x14ac:dyDescent="0.25">
      <c r="A1141" s="77" t="s">
        <v>21</v>
      </c>
      <c r="B1141" s="445">
        <v>0.01</v>
      </c>
      <c r="C1141" s="235">
        <v>0.02</v>
      </c>
      <c r="D1141" s="235">
        <v>0.02</v>
      </c>
      <c r="E1141" s="236">
        <v>0.01</v>
      </c>
      <c r="F1141" s="236">
        <v>0.03</v>
      </c>
      <c r="G1141" s="236">
        <v>0.01</v>
      </c>
      <c r="H1141" s="236">
        <v>0.01</v>
      </c>
      <c r="I1141" s="105">
        <f>I1148/I1150</f>
        <v>1.6253564286392196E-2</v>
      </c>
      <c r="J1141" s="297">
        <f>J1148/J1150</f>
        <v>1.6253564286392196E-2</v>
      </c>
    </row>
    <row r="1142" spans="1:10" s="71" customFormat="1" x14ac:dyDescent="0.25">
      <c r="A1142" s="77" t="s">
        <v>22</v>
      </c>
      <c r="B1142" s="445">
        <v>0</v>
      </c>
      <c r="C1142" s="235">
        <v>0</v>
      </c>
      <c r="D1142" s="235">
        <v>0</v>
      </c>
      <c r="E1142" s="236">
        <v>0</v>
      </c>
      <c r="F1142" s="236">
        <v>0.01</v>
      </c>
      <c r="G1142" s="236">
        <v>0</v>
      </c>
      <c r="H1142" s="236">
        <v>0</v>
      </c>
      <c r="I1142" s="105">
        <f>I1149/I1150</f>
        <v>2.2754420236265941E-3</v>
      </c>
      <c r="J1142" s="297">
        <f>J1149/J1150</f>
        <v>2.2754420236265937E-3</v>
      </c>
    </row>
    <row r="1143" spans="1:10" s="71" customFormat="1" x14ac:dyDescent="0.25">
      <c r="A1143" s="81" t="s">
        <v>23</v>
      </c>
      <c r="B1143" s="409">
        <f t="shared" ref="B1143:J1143" si="486">B1154/B1137</f>
        <v>40851.388888888891</v>
      </c>
      <c r="C1143" s="131">
        <f t="shared" si="486"/>
        <v>39207.894736842107</v>
      </c>
      <c r="D1143" s="131">
        <f t="shared" si="486"/>
        <v>34615.533980582528</v>
      </c>
      <c r="E1143" s="397">
        <f t="shared" si="486"/>
        <v>36536.190476190481</v>
      </c>
      <c r="F1143" s="132">
        <f t="shared" si="486"/>
        <v>42129.951690821268</v>
      </c>
      <c r="G1143" s="130">
        <f t="shared" si="486"/>
        <v>39755.980861244025</v>
      </c>
      <c r="H1143" s="130">
        <f t="shared" si="486"/>
        <v>39360.194174757286</v>
      </c>
      <c r="I1143" s="359">
        <f t="shared" si="486"/>
        <v>39326.073619631912</v>
      </c>
      <c r="J1143" s="314">
        <f t="shared" si="486"/>
        <v>39326.073619631905</v>
      </c>
    </row>
    <row r="1144" spans="1:10" s="71" customFormat="1" x14ac:dyDescent="0.25">
      <c r="A1144" s="81" t="s">
        <v>24</v>
      </c>
      <c r="B1144" s="409">
        <f t="shared" ref="B1144:J1144" si="487">B1154/B1131</f>
        <v>30322.680412371134</v>
      </c>
      <c r="C1144" s="131">
        <f t="shared" si="487"/>
        <v>30406.122448979593</v>
      </c>
      <c r="D1144" s="131">
        <f t="shared" si="487"/>
        <v>27010.606060606064</v>
      </c>
      <c r="E1144" s="397">
        <f t="shared" si="487"/>
        <v>29284.732824427483</v>
      </c>
      <c r="F1144" s="132">
        <f t="shared" si="487"/>
        <v>29462.500000000007</v>
      </c>
      <c r="G1144" s="130">
        <f t="shared" si="487"/>
        <v>30324.817518248179</v>
      </c>
      <c r="H1144" s="130">
        <f t="shared" si="487"/>
        <v>30254.477611940303</v>
      </c>
      <c r="I1144" s="359">
        <f t="shared" si="487"/>
        <v>29676.620370370376</v>
      </c>
      <c r="J1144" s="314">
        <f t="shared" si="487"/>
        <v>29676.620370370376</v>
      </c>
    </row>
    <row r="1145" spans="1:10" s="71" customFormat="1" x14ac:dyDescent="0.25">
      <c r="A1145" s="77" t="s">
        <v>25</v>
      </c>
      <c r="B1145" s="255">
        <f t="shared" ref="B1145:H1145" si="488">B1150*B1138</f>
        <v>1982004.3275862068</v>
      </c>
      <c r="C1145" s="133">
        <f t="shared" si="488"/>
        <v>2031933.875862069</v>
      </c>
      <c r="D1145" s="133">
        <f t="shared" si="488"/>
        <v>2409801.8224137933</v>
      </c>
      <c r="E1145" s="299">
        <f t="shared" si="488"/>
        <v>2750998.9517241381</v>
      </c>
      <c r="F1145" s="134">
        <f t="shared" si="488"/>
        <v>6150433.8275862075</v>
      </c>
      <c r="G1145" s="92">
        <f t="shared" si="488"/>
        <v>6103346.4310344839</v>
      </c>
      <c r="H1145" s="92">
        <f t="shared" si="488"/>
        <v>6139792.6551724151</v>
      </c>
      <c r="I1145" s="108">
        <f>'NOGAL '!$B1145+'NOGAL '!$C1145+'NOGAL '!$D1145+'NOGAL '!$E1145+'NOGAL '!$F1145+'NOGAL '!$G1145+'NOGAL '!$H1145</f>
        <v>27568311.891379315</v>
      </c>
      <c r="J1145" s="300">
        <f>'NOGAL '!$I1145/7</f>
        <v>3938330.2701970451</v>
      </c>
    </row>
    <row r="1146" spans="1:10" s="71" customFormat="1" x14ac:dyDescent="0.25">
      <c r="A1146" s="77" t="s">
        <v>26</v>
      </c>
      <c r="B1146" s="255">
        <f t="shared" ref="B1146:H1146" si="489">B1150*B1139</f>
        <v>0</v>
      </c>
      <c r="C1146" s="133">
        <f t="shared" si="489"/>
        <v>24481.131034482762</v>
      </c>
      <c r="D1146" s="133">
        <f t="shared" si="489"/>
        <v>29033.756896551728</v>
      </c>
      <c r="E1146" s="299">
        <f t="shared" si="489"/>
        <v>31261.351724137934</v>
      </c>
      <c r="F1146" s="134">
        <f t="shared" si="489"/>
        <v>286066.68965517246</v>
      </c>
      <c r="G1146" s="92">
        <f t="shared" si="489"/>
        <v>135629.92068965518</v>
      </c>
      <c r="H1146" s="92">
        <f t="shared" si="489"/>
        <v>0</v>
      </c>
      <c r="I1146" s="108">
        <f>'NOGAL '!$B1146+'NOGAL '!$C1146+'NOGAL '!$D1146+'NOGAL '!$E1146+'NOGAL '!$F1146+'NOGAL '!$G1146+'NOGAL '!$H1146</f>
        <v>506472.85000000003</v>
      </c>
      <c r="J1146" s="300">
        <f>'NOGAL '!$I1146/7</f>
        <v>72353.264285714293</v>
      </c>
    </row>
    <row r="1147" spans="1:10" s="71" customFormat="1" x14ac:dyDescent="0.25">
      <c r="A1147" s="77" t="s">
        <v>27</v>
      </c>
      <c r="B1147" s="255">
        <f t="shared" ref="B1147:H1147" si="490">B1150*B1140</f>
        <v>410903.33620689664</v>
      </c>
      <c r="C1147" s="133">
        <f t="shared" si="490"/>
        <v>342735.83448275866</v>
      </c>
      <c r="D1147" s="133">
        <f t="shared" si="490"/>
        <v>406472.59655172419</v>
      </c>
      <c r="E1147" s="299">
        <f t="shared" si="490"/>
        <v>312613.51724137936</v>
      </c>
      <c r="F1147" s="134">
        <f t="shared" si="490"/>
        <v>429100.03448275867</v>
      </c>
      <c r="G1147" s="92">
        <f t="shared" si="490"/>
        <v>474704.72241379321</v>
      </c>
      <c r="H1147" s="92">
        <f t="shared" si="490"/>
        <v>396115.6551724138</v>
      </c>
      <c r="I1147" s="108">
        <f>'NOGAL '!$B1147+'NOGAL '!$C1147+'NOGAL '!$D1147+'NOGAL '!$E1147+'NOGAL '!$F1147+'NOGAL '!$G1147+'NOGAL '!$H1147</f>
        <v>2772645.6965517248</v>
      </c>
      <c r="J1147" s="300">
        <f>'NOGAL '!$I1147/7</f>
        <v>396092.24236453214</v>
      </c>
    </row>
    <row r="1148" spans="1:10" s="71" customFormat="1" x14ac:dyDescent="0.25">
      <c r="A1148" s="77" t="s">
        <v>28</v>
      </c>
      <c r="B1148" s="255">
        <f t="shared" ref="B1148:H1148" si="491">B1150*B1141</f>
        <v>24170.784482758623</v>
      </c>
      <c r="C1148" s="133">
        <f t="shared" si="491"/>
        <v>48962.262068965523</v>
      </c>
      <c r="D1148" s="133">
        <f t="shared" si="491"/>
        <v>58067.513793103455</v>
      </c>
      <c r="E1148" s="299">
        <f t="shared" si="491"/>
        <v>31261.351724137934</v>
      </c>
      <c r="F1148" s="134">
        <f t="shared" si="491"/>
        <v>214550.01724137933</v>
      </c>
      <c r="G1148" s="92">
        <f t="shared" si="491"/>
        <v>67814.960344827588</v>
      </c>
      <c r="H1148" s="92">
        <f t="shared" si="491"/>
        <v>66019.275862068971</v>
      </c>
      <c r="I1148" s="108">
        <f>'NOGAL '!$B1148+'NOGAL '!$C1148+'NOGAL '!$D1148+'NOGAL '!$E1148+'NOGAL '!$F1148+'NOGAL '!$G1148+'NOGAL '!$H1148</f>
        <v>510846.16551724146</v>
      </c>
      <c r="J1148" s="300">
        <f>'NOGAL '!$I1148/7</f>
        <v>72978.023645320209</v>
      </c>
    </row>
    <row r="1149" spans="1:10" s="71" customFormat="1" x14ac:dyDescent="0.25">
      <c r="A1149" s="77" t="s">
        <v>29</v>
      </c>
      <c r="B1149" s="255">
        <f t="shared" ref="B1149:H1149" si="492">B1150*B1142</f>
        <v>0</v>
      </c>
      <c r="C1149" s="133">
        <f t="shared" si="492"/>
        <v>0</v>
      </c>
      <c r="D1149" s="133">
        <f t="shared" si="492"/>
        <v>0</v>
      </c>
      <c r="E1149" s="299">
        <f t="shared" si="492"/>
        <v>0</v>
      </c>
      <c r="F1149" s="134">
        <f t="shared" si="492"/>
        <v>71516.672413793116</v>
      </c>
      <c r="G1149" s="92">
        <f t="shared" si="492"/>
        <v>0</v>
      </c>
      <c r="H1149" s="92">
        <f t="shared" si="492"/>
        <v>0</v>
      </c>
      <c r="I1149" s="108">
        <f>'NOGAL '!$B1149+'NOGAL '!$C1149+'NOGAL '!$D1149+'NOGAL '!$E1149+'NOGAL '!$F1149+'NOGAL '!$G1149+'NOGAL '!$H1149</f>
        <v>71516.672413793116</v>
      </c>
      <c r="J1149" s="300">
        <f>'NOGAL '!$I1149/7</f>
        <v>10216.66748768473</v>
      </c>
    </row>
    <row r="1150" spans="1:10" s="71" customFormat="1" x14ac:dyDescent="0.25">
      <c r="A1150" s="82" t="s">
        <v>30</v>
      </c>
      <c r="B1150" s="222">
        <f>(2941300/1.16)-B1151</f>
        <v>2417078.4482758623</v>
      </c>
      <c r="C1150" s="222">
        <f>(2979800/1.16)-C1151</f>
        <v>2448113.1034482759</v>
      </c>
      <c r="D1150" s="222">
        <f>(3565400/1.16)-D1151</f>
        <v>2903375.6896551726</v>
      </c>
      <c r="E1150" s="222">
        <f>(3836300/1.16)-E1151</f>
        <v>3126135.1724137934</v>
      </c>
      <c r="F1150" s="222">
        <f>(8720900/1.16)-F1151</f>
        <v>7151667.2413793113</v>
      </c>
      <c r="G1150" s="222">
        <f>(8309000/1.16)-G1151</f>
        <v>6781496.0344827594</v>
      </c>
      <c r="H1150" s="222">
        <f>(8108200/1.16)-H1151</f>
        <v>6601927.5862068972</v>
      </c>
      <c r="I1150" s="111">
        <f>SUM(I1145:I1149)</f>
        <v>31429793.275862075</v>
      </c>
      <c r="J1150" s="361">
        <f>'NOGAL '!$I1150/7</f>
        <v>4489970.4679802964</v>
      </c>
    </row>
    <row r="1151" spans="1:10" s="71" customFormat="1" x14ac:dyDescent="0.25">
      <c r="A1151" s="77" t="s">
        <v>31</v>
      </c>
      <c r="B1151" s="263">
        <f t="shared" ref="B1151:G1151" si="493">2155*B1132</f>
        <v>118525</v>
      </c>
      <c r="C1151" s="139">
        <f t="shared" si="493"/>
        <v>120680</v>
      </c>
      <c r="D1151" s="139">
        <f t="shared" si="493"/>
        <v>170245</v>
      </c>
      <c r="E1151" s="113">
        <f t="shared" si="493"/>
        <v>181020</v>
      </c>
      <c r="F1151" s="112">
        <f t="shared" si="493"/>
        <v>366350</v>
      </c>
      <c r="G1151" s="94">
        <f t="shared" si="493"/>
        <v>381435</v>
      </c>
      <c r="H1151" s="94">
        <f>2155*H1132</f>
        <v>387900</v>
      </c>
      <c r="I1151" s="109">
        <f>2155*I1132</f>
        <v>1726155</v>
      </c>
      <c r="J1151" s="302">
        <f>2155*J1132</f>
        <v>246593.57142857142</v>
      </c>
    </row>
    <row r="1152" spans="1:10" s="71" customFormat="1" x14ac:dyDescent="0.25">
      <c r="A1152" s="83" t="s">
        <v>32</v>
      </c>
      <c r="B1152" s="411">
        <f>B1150+B1151</f>
        <v>2535603.4482758623</v>
      </c>
      <c r="C1152" s="40">
        <f>C1150+C1151</f>
        <v>2568793.1034482759</v>
      </c>
      <c r="D1152" s="40">
        <f t="shared" ref="D1152:J1152" si="494">D1150+D1151</f>
        <v>3073620.6896551726</v>
      </c>
      <c r="E1152" s="399">
        <f t="shared" si="494"/>
        <v>3307155.1724137934</v>
      </c>
      <c r="F1152" s="140">
        <f t="shared" si="494"/>
        <v>7518017.2413793113</v>
      </c>
      <c r="G1152" s="39">
        <f t="shared" si="494"/>
        <v>7162931.0344827594</v>
      </c>
      <c r="H1152" s="39">
        <f t="shared" si="494"/>
        <v>6989827.5862068972</v>
      </c>
      <c r="I1152" s="412">
        <f t="shared" si="494"/>
        <v>33155948.275862075</v>
      </c>
      <c r="J1152" s="364">
        <f t="shared" si="494"/>
        <v>4736564.0394088682</v>
      </c>
    </row>
    <row r="1153" spans="1:10" s="71" customFormat="1" x14ac:dyDescent="0.25">
      <c r="A1153" s="77" t="s">
        <v>33</v>
      </c>
      <c r="B1153" s="413">
        <f>B1152*16%</f>
        <v>405696.55172413797</v>
      </c>
      <c r="C1153" s="42">
        <f>C1152*16%</f>
        <v>411006.89655172417</v>
      </c>
      <c r="D1153" s="42">
        <f t="shared" ref="D1153:J1153" si="495">D1152*16%</f>
        <v>491779.31034482765</v>
      </c>
      <c r="E1153" s="400">
        <f t="shared" si="495"/>
        <v>529144.82758620696</v>
      </c>
      <c r="F1153" s="141">
        <f t="shared" si="495"/>
        <v>1202882.7586206899</v>
      </c>
      <c r="G1153" s="41">
        <f t="shared" si="495"/>
        <v>1146068.9655172415</v>
      </c>
      <c r="H1153" s="41">
        <f t="shared" si="495"/>
        <v>1118372.4137931035</v>
      </c>
      <c r="I1153" s="414">
        <f t="shared" si="495"/>
        <v>5304951.7241379321</v>
      </c>
      <c r="J1153" s="415">
        <f t="shared" si="495"/>
        <v>757850.2463054189</v>
      </c>
    </row>
    <row r="1154" spans="1:10" s="71" customFormat="1" x14ac:dyDescent="0.25">
      <c r="A1154" s="142" t="s">
        <v>34</v>
      </c>
      <c r="B1154" s="438">
        <f t="shared" ref="B1154:H1154" si="496">B1152+B1153</f>
        <v>2941300</v>
      </c>
      <c r="C1154" s="143">
        <f t="shared" si="496"/>
        <v>2979800</v>
      </c>
      <c r="D1154" s="143">
        <f t="shared" si="496"/>
        <v>3565400.0000000005</v>
      </c>
      <c r="E1154" s="439">
        <f t="shared" si="496"/>
        <v>3836300.0000000005</v>
      </c>
      <c r="F1154" s="145">
        <f t="shared" si="496"/>
        <v>8720900.0000000019</v>
      </c>
      <c r="G1154" s="144">
        <f t="shared" si="496"/>
        <v>8309000.0000000009</v>
      </c>
      <c r="H1154" s="144">
        <f t="shared" si="496"/>
        <v>8108200.0000000009</v>
      </c>
      <c r="I1154" s="440">
        <f>+I1152+I1153</f>
        <v>38460900.000000007</v>
      </c>
      <c r="J1154" s="441">
        <f>'NOGAL '!$I1154/7</f>
        <v>5494414.2857142864</v>
      </c>
    </row>
    <row r="1155" spans="1:10" s="71" customFormat="1" ht="15.75" thickBot="1" x14ac:dyDescent="0.3">
      <c r="A1155" s="69"/>
      <c r="B1155" s="424"/>
      <c r="C1155" s="424"/>
      <c r="D1155" s="424"/>
      <c r="E1155" s="424"/>
      <c r="F1155" s="424"/>
      <c r="G1155" s="424"/>
      <c r="H1155" s="424"/>
      <c r="I1155" s="424"/>
      <c r="J1155" s="424"/>
    </row>
    <row r="1156" spans="1:10" s="71" customFormat="1" ht="27" thickBot="1" x14ac:dyDescent="0.3">
      <c r="A1156" s="85"/>
      <c r="B1156" s="1002" t="s">
        <v>383</v>
      </c>
      <c r="C1156" s="1002"/>
      <c r="D1156" s="1002"/>
      <c r="E1156" s="1002"/>
      <c r="F1156" s="1002"/>
      <c r="G1156" s="1002"/>
      <c r="H1156" s="1002"/>
      <c r="I1156" s="1002"/>
      <c r="J1156" s="85"/>
    </row>
    <row r="1157" spans="1:10" s="71" customFormat="1" ht="16.5" thickBot="1" x14ac:dyDescent="0.3">
      <c r="A1157" s="72" t="s">
        <v>2</v>
      </c>
      <c r="B1157" s="232" t="s">
        <v>310</v>
      </c>
      <c r="C1157" s="239" t="s">
        <v>311</v>
      </c>
      <c r="D1157" s="239" t="s">
        <v>312</v>
      </c>
      <c r="E1157" s="239" t="s">
        <v>313</v>
      </c>
      <c r="F1157" s="239" t="s">
        <v>314</v>
      </c>
      <c r="G1157" s="239" t="s">
        <v>315</v>
      </c>
      <c r="H1157" s="239" t="s">
        <v>316</v>
      </c>
      <c r="I1157" s="153" t="s">
        <v>10</v>
      </c>
      <c r="J1157" s="421" t="s">
        <v>77</v>
      </c>
    </row>
    <row r="1158" spans="1:10" s="71" customFormat="1" ht="15.75" thickTop="1" x14ac:dyDescent="0.25">
      <c r="A1158" s="430" t="s">
        <v>11</v>
      </c>
      <c r="B1158" s="433">
        <f>83+24+10</f>
        <v>117</v>
      </c>
      <c r="C1158" s="75">
        <f>92+30+17</f>
        <v>139</v>
      </c>
      <c r="D1158" s="75">
        <f>74+27+4</f>
        <v>105</v>
      </c>
      <c r="E1158" s="316">
        <f>90+31+10</f>
        <v>131</v>
      </c>
      <c r="F1158" s="316">
        <f>191+69+32</f>
        <v>292</v>
      </c>
      <c r="G1158" s="316">
        <f>156+43+23</f>
        <v>222</v>
      </c>
      <c r="H1158" s="316">
        <f>152+69+32</f>
        <v>253</v>
      </c>
      <c r="I1158" s="316">
        <f>SUM(B1158:H1158)</f>
        <v>1259</v>
      </c>
      <c r="J1158" s="437">
        <f>'NOGAL '!$I1158/7</f>
        <v>179.85714285714286</v>
      </c>
    </row>
    <row r="1159" spans="1:10" s="71" customFormat="1" x14ac:dyDescent="0.25">
      <c r="A1159" s="77" t="s">
        <v>12</v>
      </c>
      <c r="B1159" s="448">
        <v>65</v>
      </c>
      <c r="C1159" s="86">
        <v>82</v>
      </c>
      <c r="D1159" s="11">
        <v>69</v>
      </c>
      <c r="E1159" s="86">
        <v>74</v>
      </c>
      <c r="F1159" s="86">
        <v>169</v>
      </c>
      <c r="G1159" s="11">
        <v>129</v>
      </c>
      <c r="H1159" s="11">
        <v>169</v>
      </c>
      <c r="I1159" s="11">
        <f>B1159+C1159+D1159+E1159+F1159+G1159+H1159</f>
        <v>757</v>
      </c>
      <c r="J1159" s="292">
        <f>'NOGAL '!$I1159/7</f>
        <v>108.14285714285714</v>
      </c>
    </row>
    <row r="1160" spans="1:10" s="71" customFormat="1" x14ac:dyDescent="0.25">
      <c r="A1160" s="77" t="s">
        <v>13</v>
      </c>
      <c r="B1160" s="448">
        <v>1</v>
      </c>
      <c r="C1160" s="11">
        <v>7</v>
      </c>
      <c r="D1160" s="11">
        <v>0</v>
      </c>
      <c r="E1160" s="11">
        <v>0</v>
      </c>
      <c r="F1160" s="11">
        <v>3</v>
      </c>
      <c r="G1160" s="11">
        <v>3</v>
      </c>
      <c r="H1160" s="11">
        <v>3</v>
      </c>
      <c r="I1160" s="11">
        <f>B1160+C1160+D1160+E1160+F1160+G1160+H1160</f>
        <v>17</v>
      </c>
      <c r="J1160" s="292">
        <f>C1160+D1160+E1160+F1160+G1160+H1160+I1160</f>
        <v>33</v>
      </c>
    </row>
    <row r="1161" spans="1:10" s="71" customFormat="1" x14ac:dyDescent="0.25">
      <c r="A1161" s="77" t="s">
        <v>14</v>
      </c>
      <c r="B1161" s="448">
        <v>18</v>
      </c>
      <c r="C1161" s="11">
        <v>10</v>
      </c>
      <c r="D1161" s="11">
        <v>16</v>
      </c>
      <c r="E1161" s="11">
        <v>20</v>
      </c>
      <c r="F1161" s="11">
        <v>21</v>
      </c>
      <c r="G1161" s="11">
        <v>22</v>
      </c>
      <c r="H1161" s="11">
        <v>22</v>
      </c>
      <c r="I1161" s="11">
        <f>B1161+C1161+D1161+E1161+F1161+G1161+H1161</f>
        <v>129</v>
      </c>
      <c r="J1161" s="292">
        <f>'NOGAL '!$I1161/7</f>
        <v>18.428571428571427</v>
      </c>
    </row>
    <row r="1162" spans="1:10" s="71" customFormat="1" x14ac:dyDescent="0.25">
      <c r="A1162" s="77" t="s">
        <v>15</v>
      </c>
      <c r="B1162" s="448">
        <v>5</v>
      </c>
      <c r="C1162" s="11">
        <v>5</v>
      </c>
      <c r="D1162" s="11">
        <v>4</v>
      </c>
      <c r="E1162" s="11">
        <v>2</v>
      </c>
      <c r="F1162" s="11">
        <v>8</v>
      </c>
      <c r="G1162" s="11">
        <v>16</v>
      </c>
      <c r="H1162" s="11">
        <v>9</v>
      </c>
      <c r="I1162" s="11">
        <f>B1162+C1162+D1162+E1162+F1162+G1162+H1162</f>
        <v>49</v>
      </c>
      <c r="J1162" s="292">
        <f>'NOGAL '!$I1162/7</f>
        <v>7</v>
      </c>
    </row>
    <row r="1163" spans="1:10" s="71" customFormat="1" x14ac:dyDescent="0.25">
      <c r="A1163" s="77" t="s">
        <v>16</v>
      </c>
      <c r="B1163" s="448">
        <v>0</v>
      </c>
      <c r="C1163" s="11">
        <v>0</v>
      </c>
      <c r="D1163" s="11">
        <v>0</v>
      </c>
      <c r="E1163" s="11">
        <v>0</v>
      </c>
      <c r="F1163" s="11">
        <v>0</v>
      </c>
      <c r="G1163" s="11">
        <v>1</v>
      </c>
      <c r="H1163" s="11">
        <v>0</v>
      </c>
      <c r="I1163" s="11">
        <f>B1163+C1163+D1163+E1163+F1163+G1163+H1163</f>
        <v>1</v>
      </c>
      <c r="J1163" s="292">
        <f>'NOGAL '!$I1163/7</f>
        <v>0.14285714285714285</v>
      </c>
    </row>
    <row r="1164" spans="1:10" s="71" customFormat="1" x14ac:dyDescent="0.25">
      <c r="A1164" s="79" t="s">
        <v>17</v>
      </c>
      <c r="B1164" s="102">
        <f>SUM(B1159:B1163)</f>
        <v>89</v>
      </c>
      <c r="C1164" s="103">
        <f t="shared" ref="C1164:H1164" si="497">SUM(C1159:C1163)</f>
        <v>104</v>
      </c>
      <c r="D1164" s="103">
        <f t="shared" si="497"/>
        <v>89</v>
      </c>
      <c r="E1164" s="103">
        <f t="shared" si="497"/>
        <v>96</v>
      </c>
      <c r="F1164" s="103">
        <f t="shared" si="497"/>
        <v>201</v>
      </c>
      <c r="G1164" s="103">
        <f t="shared" si="497"/>
        <v>171</v>
      </c>
      <c r="H1164" s="103">
        <f t="shared" si="497"/>
        <v>203</v>
      </c>
      <c r="I1164" s="103">
        <f>SUM(I1159:I1163)</f>
        <v>953</v>
      </c>
      <c r="J1164" s="405">
        <f>'NOGAL '!$I1164/7</f>
        <v>136.14285714285714</v>
      </c>
    </row>
    <row r="1165" spans="1:10" s="71" customFormat="1" x14ac:dyDescent="0.25">
      <c r="A1165" s="77" t="s">
        <v>18</v>
      </c>
      <c r="B1165" s="449">
        <v>0.78</v>
      </c>
      <c r="C1165" s="236">
        <v>0.85</v>
      </c>
      <c r="D1165" s="236">
        <v>0.86</v>
      </c>
      <c r="E1165" s="236">
        <v>0.81</v>
      </c>
      <c r="F1165" s="236">
        <v>0.89</v>
      </c>
      <c r="G1165" s="236">
        <v>0.83</v>
      </c>
      <c r="H1165" s="236">
        <v>0.87</v>
      </c>
      <c r="I1165" s="18">
        <f>I1172/I1177</f>
        <v>0.85058903130249464</v>
      </c>
      <c r="J1165" s="297">
        <f>J1172/J1177</f>
        <v>0.85058903130249475</v>
      </c>
    </row>
    <row r="1166" spans="1:10" s="71" customFormat="1" x14ac:dyDescent="0.25">
      <c r="A1166" s="77" t="s">
        <v>19</v>
      </c>
      <c r="B1166" s="449">
        <v>0</v>
      </c>
      <c r="C1166" s="236">
        <v>0.08</v>
      </c>
      <c r="D1166" s="236">
        <v>0</v>
      </c>
      <c r="E1166" s="236">
        <v>0</v>
      </c>
      <c r="F1166" s="236">
        <v>0.01</v>
      </c>
      <c r="G1166" s="236">
        <v>0.02</v>
      </c>
      <c r="H1166" s="236">
        <v>0.02</v>
      </c>
      <c r="I1166" s="18">
        <f>I1173/I1177</f>
        <v>1.8655939381950485E-2</v>
      </c>
      <c r="J1166" s="297">
        <f>J1173/J1177</f>
        <v>1.8655939381950488E-2</v>
      </c>
    </row>
    <row r="1167" spans="1:10" s="71" customFormat="1" x14ac:dyDescent="0.25">
      <c r="A1167" s="77" t="s">
        <v>20</v>
      </c>
      <c r="B1167" s="449">
        <v>0.15</v>
      </c>
      <c r="C1167" s="236">
        <v>0.05</v>
      </c>
      <c r="D1167" s="236">
        <v>0.12</v>
      </c>
      <c r="E1167" s="236">
        <v>0.17</v>
      </c>
      <c r="F1167" s="236">
        <v>0.08</v>
      </c>
      <c r="G1167" s="236">
        <v>7.0000000000000007E-2</v>
      </c>
      <c r="H1167" s="236">
        <v>0.08</v>
      </c>
      <c r="I1167" s="18">
        <f>I1174/I1177</f>
        <v>9.400972175562268E-2</v>
      </c>
      <c r="J1167" s="297">
        <f>J1174/J1177</f>
        <v>9.400972175562268E-2</v>
      </c>
    </row>
    <row r="1168" spans="1:10" s="71" customFormat="1" x14ac:dyDescent="0.25">
      <c r="A1168" s="77" t="s">
        <v>21</v>
      </c>
      <c r="B1168" s="449">
        <v>7.0000000000000007E-2</v>
      </c>
      <c r="C1168" s="236">
        <v>0.02</v>
      </c>
      <c r="D1168" s="236">
        <v>0.02</v>
      </c>
      <c r="E1168" s="236">
        <v>0.02</v>
      </c>
      <c r="F1168" s="236">
        <v>0.02</v>
      </c>
      <c r="G1168" s="236">
        <v>7.0000000000000007E-2</v>
      </c>
      <c r="H1168" s="236">
        <v>0.03</v>
      </c>
      <c r="I1168" s="18">
        <f>I1175/I1177</f>
        <v>3.5057772881843363E-2</v>
      </c>
      <c r="J1168" s="297">
        <f>J1175/J1177</f>
        <v>3.5057772881843363E-2</v>
      </c>
    </row>
    <row r="1169" spans="1:10" s="71" customFormat="1" x14ac:dyDescent="0.25">
      <c r="A1169" s="77" t="s">
        <v>22</v>
      </c>
      <c r="B1169" s="449">
        <v>0</v>
      </c>
      <c r="C1169" s="236">
        <v>0</v>
      </c>
      <c r="D1169" s="236">
        <v>0</v>
      </c>
      <c r="E1169" s="236">
        <v>0</v>
      </c>
      <c r="F1169" s="236">
        <v>0</v>
      </c>
      <c r="G1169" s="236">
        <v>0.01</v>
      </c>
      <c r="H1169" s="236">
        <v>0</v>
      </c>
      <c r="I1169" s="18">
        <f>I1176/I1177</f>
        <v>1.6875346780889375E-3</v>
      </c>
      <c r="J1169" s="297">
        <f>J1176/J1177</f>
        <v>1.6875346780889377E-3</v>
      </c>
    </row>
    <row r="1170" spans="1:10" s="71" customFormat="1" x14ac:dyDescent="0.25">
      <c r="A1170" s="81" t="s">
        <v>23</v>
      </c>
      <c r="B1170" s="450">
        <f t="shared" ref="B1170:J1170" si="498">B1181/B1164</f>
        <v>38814.606741573036</v>
      </c>
      <c r="C1170" s="130">
        <f t="shared" si="498"/>
        <v>39951.923076923078</v>
      </c>
      <c r="D1170" s="130">
        <f t="shared" si="498"/>
        <v>37030.33707865169</v>
      </c>
      <c r="E1170" s="130">
        <f t="shared" si="498"/>
        <v>38821.875</v>
      </c>
      <c r="F1170" s="130">
        <f t="shared" si="498"/>
        <v>44606.467661691546</v>
      </c>
      <c r="G1170" s="130">
        <f t="shared" si="498"/>
        <v>36818.128654970758</v>
      </c>
      <c r="H1170" s="130">
        <f t="shared" si="498"/>
        <v>36432.512315270935</v>
      </c>
      <c r="I1170" s="130">
        <f t="shared" si="498"/>
        <v>39128.751311647429</v>
      </c>
      <c r="J1170" s="314">
        <f t="shared" si="498"/>
        <v>39128.751311647429</v>
      </c>
    </row>
    <row r="1171" spans="1:10" s="71" customFormat="1" x14ac:dyDescent="0.25">
      <c r="A1171" s="81" t="s">
        <v>24</v>
      </c>
      <c r="B1171" s="450">
        <f t="shared" ref="B1171:J1171" si="499">B1181/B1158</f>
        <v>29525.641025641027</v>
      </c>
      <c r="C1171" s="130">
        <f t="shared" si="499"/>
        <v>29892.086330935253</v>
      </c>
      <c r="D1171" s="130">
        <f t="shared" si="499"/>
        <v>31387.619047619053</v>
      </c>
      <c r="E1171" s="130">
        <f t="shared" si="499"/>
        <v>28449.618320610687</v>
      </c>
      <c r="F1171" s="130">
        <f t="shared" si="499"/>
        <v>30705.136986301372</v>
      </c>
      <c r="G1171" s="130">
        <f t="shared" si="499"/>
        <v>28359.909909909911</v>
      </c>
      <c r="H1171" s="130">
        <f t="shared" si="499"/>
        <v>29232.411067193676</v>
      </c>
      <c r="I1171" s="130">
        <f t="shared" si="499"/>
        <v>29618.506751389992</v>
      </c>
      <c r="J1171" s="314">
        <f t="shared" si="499"/>
        <v>29618.506751389992</v>
      </c>
    </row>
    <row r="1172" spans="1:10" s="71" customFormat="1" x14ac:dyDescent="0.25">
      <c r="A1172" s="77" t="s">
        <v>25</v>
      </c>
      <c r="B1172" s="451">
        <f t="shared" ref="B1172:H1172" si="500">B1177*B1165</f>
        <v>2213594.9482758623</v>
      </c>
      <c r="C1172" s="92">
        <f t="shared" si="500"/>
        <v>2894408.5689655175</v>
      </c>
      <c r="D1172" s="92">
        <f t="shared" si="500"/>
        <v>2315486.0931034484</v>
      </c>
      <c r="E1172" s="92">
        <f t="shared" si="500"/>
        <v>2473233.6103448281</v>
      </c>
      <c r="F1172" s="92">
        <f t="shared" si="500"/>
        <v>6554875.9327586209</v>
      </c>
      <c r="G1172" s="92">
        <f t="shared" si="500"/>
        <v>4274089.1499999994</v>
      </c>
      <c r="H1172" s="92">
        <f t="shared" si="500"/>
        <v>5230000.3500000006</v>
      </c>
      <c r="I1172" s="92">
        <f>'NOGAL '!$B1172+'NOGAL '!$C1172+'NOGAL '!$D1172+'NOGAL '!$E1172+'NOGAL '!$F1172+'NOGAL '!$G1172+'NOGAL '!$H1172</f>
        <v>25955688.653448276</v>
      </c>
      <c r="J1172" s="300">
        <f>'NOGAL '!$I1172/7</f>
        <v>3707955.5219211825</v>
      </c>
    </row>
    <row r="1173" spans="1:10" s="71" customFormat="1" x14ac:dyDescent="0.25">
      <c r="A1173" s="77" t="s">
        <v>26</v>
      </c>
      <c r="B1173" s="451">
        <f t="shared" ref="B1173:H1173" si="501">B1177*B1166</f>
        <v>0</v>
      </c>
      <c r="C1173" s="92">
        <f t="shared" si="501"/>
        <v>272414.92413793108</v>
      </c>
      <c r="D1173" s="92">
        <f t="shared" si="501"/>
        <v>0</v>
      </c>
      <c r="E1173" s="92">
        <f t="shared" si="501"/>
        <v>0</v>
      </c>
      <c r="F1173" s="92">
        <f t="shared" si="501"/>
        <v>73650.291379310351</v>
      </c>
      <c r="G1173" s="92">
        <f t="shared" si="501"/>
        <v>102990.1</v>
      </c>
      <c r="H1173" s="92">
        <f t="shared" si="501"/>
        <v>120229.89310344828</v>
      </c>
      <c r="I1173" s="92">
        <f>'NOGAL '!$B1173+'NOGAL '!$C1173+'NOGAL '!$D1173+'NOGAL '!$E1173+'NOGAL '!$F1173+'NOGAL '!$G1173+'NOGAL '!$H1173</f>
        <v>569285.20862068981</v>
      </c>
      <c r="J1173" s="300">
        <f>'NOGAL '!$I1173/7</f>
        <v>81326.458374384252</v>
      </c>
    </row>
    <row r="1174" spans="1:10" s="71" customFormat="1" x14ac:dyDescent="0.25">
      <c r="A1174" s="77" t="s">
        <v>27</v>
      </c>
      <c r="B1174" s="451">
        <f t="shared" ref="B1174:H1174" si="502">B1177*B1167</f>
        <v>425691.33620689652</v>
      </c>
      <c r="C1174" s="92">
        <f t="shared" si="502"/>
        <v>170259.32758620693</v>
      </c>
      <c r="D1174" s="92">
        <f t="shared" si="502"/>
        <v>323091.08275862073</v>
      </c>
      <c r="E1174" s="92">
        <f t="shared" si="502"/>
        <v>519073.72068965522</v>
      </c>
      <c r="F1174" s="92">
        <f t="shared" si="502"/>
        <v>589202.33103448281</v>
      </c>
      <c r="G1174" s="92">
        <f t="shared" si="502"/>
        <v>360465.35000000003</v>
      </c>
      <c r="H1174" s="92">
        <f t="shared" si="502"/>
        <v>480919.57241379312</v>
      </c>
      <c r="I1174" s="92">
        <f>'NOGAL '!$B1174+'NOGAL '!$C1174+'NOGAL '!$D1174+'NOGAL '!$E1174+'NOGAL '!$F1174+'NOGAL '!$G1174+'NOGAL '!$H1174</f>
        <v>2868702.7206896557</v>
      </c>
      <c r="J1174" s="300">
        <f>'NOGAL '!$I1174/7</f>
        <v>409814.67438423651</v>
      </c>
    </row>
    <row r="1175" spans="1:10" s="71" customFormat="1" x14ac:dyDescent="0.25">
      <c r="A1175" s="77" t="s">
        <v>28</v>
      </c>
      <c r="B1175" s="451">
        <f t="shared" ref="B1175:H1175" si="503">B1177*B1168</f>
        <v>198655.95689655174</v>
      </c>
      <c r="C1175" s="92">
        <f t="shared" si="503"/>
        <v>68103.731034482771</v>
      </c>
      <c r="D1175" s="92">
        <f t="shared" si="503"/>
        <v>53848.513793103455</v>
      </c>
      <c r="E1175" s="92">
        <f t="shared" si="503"/>
        <v>61067.496551724144</v>
      </c>
      <c r="F1175" s="92">
        <f t="shared" si="503"/>
        <v>147300.5827586207</v>
      </c>
      <c r="G1175" s="92">
        <f t="shared" si="503"/>
        <v>360465.35000000003</v>
      </c>
      <c r="H1175" s="92">
        <f t="shared" si="503"/>
        <v>180344.83965517243</v>
      </c>
      <c r="I1175" s="92">
        <f>'NOGAL '!$B1175+'NOGAL '!$C1175+'NOGAL '!$D1175+'NOGAL '!$E1175+'NOGAL '!$F1175+'NOGAL '!$G1175+'NOGAL '!$H1175</f>
        <v>1069786.4706896553</v>
      </c>
      <c r="J1175" s="300">
        <f>'NOGAL '!$I1175/7</f>
        <v>152826.63866995074</v>
      </c>
    </row>
    <row r="1176" spans="1:10" s="71" customFormat="1" x14ac:dyDescent="0.25">
      <c r="A1176" s="77" t="s">
        <v>29</v>
      </c>
      <c r="B1176" s="451">
        <f t="shared" ref="B1176:H1176" si="504">B1177*B1169</f>
        <v>0</v>
      </c>
      <c r="C1176" s="92">
        <f t="shared" si="504"/>
        <v>0</v>
      </c>
      <c r="D1176" s="92">
        <f t="shared" si="504"/>
        <v>0</v>
      </c>
      <c r="E1176" s="92">
        <f t="shared" si="504"/>
        <v>0</v>
      </c>
      <c r="F1176" s="92">
        <f t="shared" si="504"/>
        <v>0</v>
      </c>
      <c r="G1176" s="92">
        <f t="shared" si="504"/>
        <v>51495.05</v>
      </c>
      <c r="H1176" s="92">
        <f t="shared" si="504"/>
        <v>0</v>
      </c>
      <c r="I1176" s="92">
        <f>'NOGAL '!$B1176+'NOGAL '!$C1176+'NOGAL '!$D1176+'NOGAL '!$E1176+'NOGAL '!$F1176+'NOGAL '!$G1176+'NOGAL '!$H1176</f>
        <v>51495.05</v>
      </c>
      <c r="J1176" s="300">
        <f>'NOGAL '!$I1176/7</f>
        <v>7356.4357142857143</v>
      </c>
    </row>
    <row r="1177" spans="1:10" s="71" customFormat="1" x14ac:dyDescent="0.25">
      <c r="A1177" s="82" t="s">
        <v>30</v>
      </c>
      <c r="B1177" s="237">
        <f>(3454500/1.16)-B1178</f>
        <v>2837942.2413793104</v>
      </c>
      <c r="C1177" s="222">
        <f>(4155000/1.16)-C1178</f>
        <v>3405186.5517241382</v>
      </c>
      <c r="D1177" s="222">
        <f>(3295700/1.16)-D1178</f>
        <v>2692425.6896551726</v>
      </c>
      <c r="E1177" s="222">
        <f>(3726900/1.16)-E1178</f>
        <v>3053374.8275862071</v>
      </c>
      <c r="F1177" s="222">
        <f>(8965900/1.16)-F1178</f>
        <v>7365029.1379310349</v>
      </c>
      <c r="G1177" s="222">
        <f>(6295900/1.16)-G1178</f>
        <v>5149505</v>
      </c>
      <c r="H1177" s="222">
        <f>(7395800/1.16)-H1178</f>
        <v>6011494.6551724141</v>
      </c>
      <c r="I1177" s="91">
        <f>SUM(I1172:I1176)</f>
        <v>30514958.103448275</v>
      </c>
      <c r="J1177" s="361">
        <f>'NOGAL '!$I1177/7</f>
        <v>4359279.729064039</v>
      </c>
    </row>
    <row r="1178" spans="1:10" s="71" customFormat="1" x14ac:dyDescent="0.25">
      <c r="A1178" s="77" t="s">
        <v>31</v>
      </c>
      <c r="B1178" s="452">
        <f t="shared" ref="B1178:G1178" si="505">2155*B1159</f>
        <v>140075</v>
      </c>
      <c r="C1178" s="94">
        <f t="shared" si="505"/>
        <v>176710</v>
      </c>
      <c r="D1178" s="94">
        <f t="shared" si="505"/>
        <v>148695</v>
      </c>
      <c r="E1178" s="94">
        <f t="shared" si="505"/>
        <v>159470</v>
      </c>
      <c r="F1178" s="94">
        <f t="shared" si="505"/>
        <v>364195</v>
      </c>
      <c r="G1178" s="94">
        <f t="shared" si="505"/>
        <v>277995</v>
      </c>
      <c r="H1178" s="94">
        <f>2155*H1159</f>
        <v>364195</v>
      </c>
      <c r="I1178" s="94">
        <f>2155*I1159</f>
        <v>1631335</v>
      </c>
      <c r="J1178" s="302">
        <f>2155*J1159</f>
        <v>233047.85714285713</v>
      </c>
    </row>
    <row r="1179" spans="1:10" s="71" customFormat="1" x14ac:dyDescent="0.25">
      <c r="A1179" s="83" t="s">
        <v>32</v>
      </c>
      <c r="B1179" s="453">
        <f>B1177+B1178</f>
        <v>2978017.2413793104</v>
      </c>
      <c r="C1179" s="39">
        <f>C1177+C1178</f>
        <v>3581896.5517241382</v>
      </c>
      <c r="D1179" s="39">
        <f t="shared" ref="D1179:J1179" si="506">D1177+D1178</f>
        <v>2841120.6896551726</v>
      </c>
      <c r="E1179" s="39">
        <f t="shared" si="506"/>
        <v>3212844.8275862071</v>
      </c>
      <c r="F1179" s="39">
        <f t="shared" si="506"/>
        <v>7729224.1379310349</v>
      </c>
      <c r="G1179" s="39">
        <f t="shared" si="506"/>
        <v>5427500</v>
      </c>
      <c r="H1179" s="39">
        <f t="shared" si="506"/>
        <v>6375689.6551724141</v>
      </c>
      <c r="I1179" s="39">
        <f t="shared" si="506"/>
        <v>32146293.103448275</v>
      </c>
      <c r="J1179" s="364">
        <f t="shared" si="506"/>
        <v>4592327.5862068962</v>
      </c>
    </row>
    <row r="1180" spans="1:10" s="71" customFormat="1" x14ac:dyDescent="0.25">
      <c r="A1180" s="77" t="s">
        <v>33</v>
      </c>
      <c r="B1180" s="454">
        <f>B1179*16%</f>
        <v>476482.75862068968</v>
      </c>
      <c r="C1180" s="41">
        <f>C1179*16%</f>
        <v>573103.44827586215</v>
      </c>
      <c r="D1180" s="41">
        <f t="shared" ref="D1180:J1180" si="507">D1179*16%</f>
        <v>454579.31034482765</v>
      </c>
      <c r="E1180" s="41">
        <f t="shared" si="507"/>
        <v>514055.17241379316</v>
      </c>
      <c r="F1180" s="41">
        <f t="shared" si="507"/>
        <v>1236675.8620689656</v>
      </c>
      <c r="G1180" s="41">
        <f t="shared" si="507"/>
        <v>868400</v>
      </c>
      <c r="H1180" s="41">
        <f t="shared" si="507"/>
        <v>1020110.3448275863</v>
      </c>
      <c r="I1180" s="41">
        <f t="shared" si="507"/>
        <v>5143406.8965517245</v>
      </c>
      <c r="J1180" s="415">
        <f t="shared" si="507"/>
        <v>734772.41379310342</v>
      </c>
    </row>
    <row r="1181" spans="1:10" s="71" customFormat="1" x14ac:dyDescent="0.25">
      <c r="A1181" s="142" t="s">
        <v>34</v>
      </c>
      <c r="B1181" s="438">
        <f t="shared" ref="B1181:H1181" si="508">B1179+B1180</f>
        <v>3454500</v>
      </c>
      <c r="C1181" s="144">
        <f t="shared" si="508"/>
        <v>4155000.0000000005</v>
      </c>
      <c r="D1181" s="144">
        <f t="shared" si="508"/>
        <v>3295700.0000000005</v>
      </c>
      <c r="E1181" s="144">
        <f t="shared" si="508"/>
        <v>3726900</v>
      </c>
      <c r="F1181" s="144">
        <f t="shared" si="508"/>
        <v>8965900</v>
      </c>
      <c r="G1181" s="144">
        <f t="shared" si="508"/>
        <v>6295900</v>
      </c>
      <c r="H1181" s="144">
        <f t="shared" si="508"/>
        <v>7395800</v>
      </c>
      <c r="I1181" s="144">
        <f>+I1179+I1180</f>
        <v>37289700</v>
      </c>
      <c r="J1181" s="441">
        <f>'NOGAL '!$I1181/7</f>
        <v>5327100</v>
      </c>
    </row>
    <row r="1182" spans="1:10" s="71" customFormat="1" ht="15.75" thickBot="1" x14ac:dyDescent="0.3">
      <c r="A1182" s="69"/>
      <c r="B1182" s="424"/>
      <c r="C1182" s="424"/>
      <c r="D1182" s="424"/>
      <c r="E1182" s="424"/>
      <c r="F1182" s="424"/>
      <c r="G1182" s="424"/>
      <c r="H1182" s="424"/>
      <c r="I1182" s="424"/>
      <c r="J1182" s="424"/>
    </row>
    <row r="1183" spans="1:10" s="71" customFormat="1" ht="27" thickBot="1" x14ac:dyDescent="0.3">
      <c r="A1183" s="85"/>
      <c r="B1183" s="1002" t="s">
        <v>384</v>
      </c>
      <c r="C1183" s="1002"/>
      <c r="D1183" s="1002"/>
      <c r="E1183" s="1002"/>
      <c r="F1183" s="1002"/>
      <c r="G1183" s="1002"/>
      <c r="H1183" s="1002"/>
      <c r="I1183" s="1002"/>
      <c r="J1183" s="85"/>
    </row>
    <row r="1184" spans="1:10" s="71" customFormat="1" ht="16.5" thickBot="1" x14ac:dyDescent="0.3">
      <c r="A1184" s="72" t="s">
        <v>2</v>
      </c>
      <c r="B1184" s="232" t="s">
        <v>318</v>
      </c>
      <c r="C1184" s="232" t="s">
        <v>319</v>
      </c>
      <c r="D1184" s="232" t="s">
        <v>141</v>
      </c>
      <c r="E1184" s="232" t="s">
        <v>142</v>
      </c>
      <c r="F1184" s="232" t="s">
        <v>143</v>
      </c>
      <c r="G1184" s="232" t="s">
        <v>144</v>
      </c>
      <c r="H1184" s="232" t="s">
        <v>145</v>
      </c>
      <c r="I1184" s="153" t="s">
        <v>10</v>
      </c>
      <c r="J1184" s="421" t="s">
        <v>77</v>
      </c>
    </row>
    <row r="1185" spans="1:10" s="71" customFormat="1" ht="15.75" thickTop="1" x14ac:dyDescent="0.25">
      <c r="A1185" s="430" t="s">
        <v>11</v>
      </c>
      <c r="B1185" s="433">
        <f>79+31+16</f>
        <v>126</v>
      </c>
      <c r="C1185" s="75">
        <f>107+45+14</f>
        <v>166</v>
      </c>
      <c r="D1185" s="75">
        <f>83+30+12</f>
        <v>125</v>
      </c>
      <c r="E1185" s="316">
        <f>89+38+10</f>
        <v>137</v>
      </c>
      <c r="F1185" s="316">
        <f>159+56+22</f>
        <v>237</v>
      </c>
      <c r="G1185" s="316">
        <f>181+65+21</f>
        <v>267</v>
      </c>
      <c r="H1185" s="316">
        <f>124+63+24</f>
        <v>211</v>
      </c>
      <c r="I1185" s="316">
        <f>SUM(B1185:H1185)</f>
        <v>1269</v>
      </c>
      <c r="J1185" s="437">
        <f>'NOGAL '!$I1185/7</f>
        <v>181.28571428571428</v>
      </c>
    </row>
    <row r="1186" spans="1:10" s="71" customFormat="1" x14ac:dyDescent="0.25">
      <c r="A1186" s="77" t="s">
        <v>12</v>
      </c>
      <c r="B1186" s="448">
        <v>67</v>
      </c>
      <c r="C1186" s="86">
        <v>106</v>
      </c>
      <c r="D1186" s="11">
        <v>75</v>
      </c>
      <c r="E1186" s="86">
        <v>82</v>
      </c>
      <c r="F1186" s="86">
        <v>147</v>
      </c>
      <c r="G1186" s="11">
        <v>165</v>
      </c>
      <c r="H1186" s="11">
        <v>125</v>
      </c>
      <c r="I1186" s="11">
        <f>B1186+C1186+D1186+E1186+F1186+G1186+H1186</f>
        <v>767</v>
      </c>
      <c r="J1186" s="292">
        <f>'NOGAL '!$I1186/7</f>
        <v>109.57142857142857</v>
      </c>
    </row>
    <row r="1187" spans="1:10" s="71" customFormat="1" x14ac:dyDescent="0.25">
      <c r="A1187" s="77" t="s">
        <v>13</v>
      </c>
      <c r="B1187" s="448">
        <v>4</v>
      </c>
      <c r="C1187" s="11">
        <v>3</v>
      </c>
      <c r="D1187" s="11">
        <v>2</v>
      </c>
      <c r="E1187" s="11">
        <v>2</v>
      </c>
      <c r="F1187" s="11">
        <v>3</v>
      </c>
      <c r="G1187" s="11">
        <v>2</v>
      </c>
      <c r="H1187" s="11">
        <v>7</v>
      </c>
      <c r="I1187" s="11">
        <f>B1187+C1187+D1187+E1187+F1187+G1187+H1187</f>
        <v>23</v>
      </c>
      <c r="J1187" s="292">
        <f>C1187+D1187+E1187+F1187+G1187+H1187+I1187</f>
        <v>42</v>
      </c>
    </row>
    <row r="1188" spans="1:10" s="71" customFormat="1" x14ac:dyDescent="0.25">
      <c r="A1188" s="77" t="s">
        <v>14</v>
      </c>
      <c r="B1188" s="448">
        <v>23</v>
      </c>
      <c r="C1188" s="11">
        <v>14</v>
      </c>
      <c r="D1188" s="11">
        <v>16</v>
      </c>
      <c r="E1188" s="11">
        <v>20</v>
      </c>
      <c r="F1188" s="11">
        <v>30</v>
      </c>
      <c r="G1188" s="11">
        <v>23</v>
      </c>
      <c r="H1188" s="11">
        <v>25</v>
      </c>
      <c r="I1188" s="11">
        <f>B1188+C1188+D1188+E1188+F1188+G1188+H1188</f>
        <v>151</v>
      </c>
      <c r="J1188" s="292">
        <f>'NOGAL '!$I1188/7</f>
        <v>21.571428571428573</v>
      </c>
    </row>
    <row r="1189" spans="1:10" s="71" customFormat="1" x14ac:dyDescent="0.25">
      <c r="A1189" s="77" t="s">
        <v>15</v>
      </c>
      <c r="B1189" s="448">
        <v>5</v>
      </c>
      <c r="C1189" s="11">
        <v>1</v>
      </c>
      <c r="D1189" s="11">
        <v>6</v>
      </c>
      <c r="E1189" s="11">
        <v>6</v>
      </c>
      <c r="F1189" s="11">
        <v>3</v>
      </c>
      <c r="G1189" s="11">
        <v>6</v>
      </c>
      <c r="H1189" s="11">
        <v>7</v>
      </c>
      <c r="I1189" s="11">
        <f>B1189+C1189+D1189+E1189+F1189+G1189+H1189</f>
        <v>34</v>
      </c>
      <c r="J1189" s="292">
        <f>'NOGAL '!$I1189/7</f>
        <v>4.8571428571428568</v>
      </c>
    </row>
    <row r="1190" spans="1:10" s="71" customFormat="1" x14ac:dyDescent="0.25">
      <c r="A1190" s="77" t="s">
        <v>16</v>
      </c>
      <c r="B1190" s="448">
        <v>0</v>
      </c>
      <c r="C1190" s="11">
        <v>0</v>
      </c>
      <c r="D1190" s="11">
        <v>0</v>
      </c>
      <c r="E1190" s="11">
        <v>0</v>
      </c>
      <c r="F1190" s="11">
        <v>0</v>
      </c>
      <c r="G1190" s="11">
        <v>0</v>
      </c>
      <c r="H1190" s="11">
        <v>2</v>
      </c>
      <c r="I1190" s="11">
        <f>B1190+C1190+D1190+E1190+F1190+G1190+H1190</f>
        <v>2</v>
      </c>
      <c r="J1190" s="292">
        <f>'NOGAL '!$I1190/7</f>
        <v>0.2857142857142857</v>
      </c>
    </row>
    <row r="1191" spans="1:10" s="71" customFormat="1" x14ac:dyDescent="0.25">
      <c r="A1191" s="79" t="s">
        <v>17</v>
      </c>
      <c r="B1191" s="102">
        <f>SUM(B1186:B1190)</f>
        <v>99</v>
      </c>
      <c r="C1191" s="103">
        <f t="shared" ref="C1191:H1191" si="509">SUM(C1186:C1190)</f>
        <v>124</v>
      </c>
      <c r="D1191" s="103">
        <f t="shared" si="509"/>
        <v>99</v>
      </c>
      <c r="E1191" s="103">
        <f t="shared" si="509"/>
        <v>110</v>
      </c>
      <c r="F1191" s="103">
        <f t="shared" si="509"/>
        <v>183</v>
      </c>
      <c r="G1191" s="103">
        <f t="shared" si="509"/>
        <v>196</v>
      </c>
      <c r="H1191" s="103">
        <f t="shared" si="509"/>
        <v>166</v>
      </c>
      <c r="I1191" s="103">
        <f>SUM(I1186:I1190)</f>
        <v>977</v>
      </c>
      <c r="J1191" s="405">
        <f>'NOGAL '!$I1191/7</f>
        <v>139.57142857142858</v>
      </c>
    </row>
    <row r="1192" spans="1:10" s="71" customFormat="1" x14ac:dyDescent="0.25">
      <c r="A1192" s="77" t="s">
        <v>18</v>
      </c>
      <c r="B1192" s="449">
        <v>0.78</v>
      </c>
      <c r="C1192" s="236">
        <v>0.91</v>
      </c>
      <c r="D1192" s="236">
        <v>0.83</v>
      </c>
      <c r="E1192" s="236">
        <v>0.85</v>
      </c>
      <c r="F1192" s="236">
        <v>0.88</v>
      </c>
      <c r="G1192" s="236">
        <v>0.9</v>
      </c>
      <c r="H1192" s="236">
        <v>0.81</v>
      </c>
      <c r="I1192" s="18">
        <f>I1199/I1204</f>
        <v>0.8602065196143831</v>
      </c>
      <c r="J1192" s="297">
        <f>J1199/J1204</f>
        <v>0.8602065196143831</v>
      </c>
    </row>
    <row r="1193" spans="1:10" s="71" customFormat="1" x14ac:dyDescent="0.25">
      <c r="A1193" s="77" t="s">
        <v>19</v>
      </c>
      <c r="B1193" s="449">
        <v>0.03</v>
      </c>
      <c r="C1193" s="236">
        <v>0.01</v>
      </c>
      <c r="D1193" s="236">
        <v>0.02</v>
      </c>
      <c r="E1193" s="236">
        <v>0.01</v>
      </c>
      <c r="F1193" s="236">
        <v>0.01</v>
      </c>
      <c r="G1193" s="236">
        <v>0.01</v>
      </c>
      <c r="H1193" s="236">
        <v>0.05</v>
      </c>
      <c r="I1193" s="18">
        <f>I1200/I1204</f>
        <v>1.9132507542619703E-2</v>
      </c>
      <c r="J1193" s="297">
        <f>J1200/J1204</f>
        <v>1.9132507542619699E-2</v>
      </c>
    </row>
    <row r="1194" spans="1:10" s="71" customFormat="1" x14ac:dyDescent="0.25">
      <c r="A1194" s="77" t="s">
        <v>20</v>
      </c>
      <c r="B1194" s="449">
        <v>0.15</v>
      </c>
      <c r="C1194" s="236">
        <v>7.0000000000000007E-2</v>
      </c>
      <c r="D1194" s="236">
        <v>0.11</v>
      </c>
      <c r="E1194" s="236">
        <v>0.11</v>
      </c>
      <c r="F1194" s="236">
        <v>0.1</v>
      </c>
      <c r="G1194" s="236">
        <v>7.0000000000000007E-2</v>
      </c>
      <c r="H1194" s="236">
        <v>0.09</v>
      </c>
      <c r="I1194" s="18">
        <f>I1201/I1204</f>
        <v>9.4238766294818491E-2</v>
      </c>
      <c r="J1194" s="297">
        <f>J1201/J1204</f>
        <v>9.4238766294818491E-2</v>
      </c>
    </row>
    <row r="1195" spans="1:10" s="71" customFormat="1" x14ac:dyDescent="0.25">
      <c r="A1195" s="77" t="s">
        <v>21</v>
      </c>
      <c r="B1195" s="449">
        <v>0.04</v>
      </c>
      <c r="C1195" s="236">
        <v>0.01</v>
      </c>
      <c r="D1195" s="236">
        <v>0.04</v>
      </c>
      <c r="E1195" s="236">
        <v>0.03</v>
      </c>
      <c r="F1195" s="236">
        <v>0.01</v>
      </c>
      <c r="G1195" s="236">
        <v>0.02</v>
      </c>
      <c r="H1195" s="236">
        <v>0.03</v>
      </c>
      <c r="I1195" s="18">
        <f>I1202/I1204</f>
        <v>2.3208905052237154E-2</v>
      </c>
      <c r="J1195" s="297">
        <f>J1202/J1204</f>
        <v>2.3208905052237154E-2</v>
      </c>
    </row>
    <row r="1196" spans="1:10" s="71" customFormat="1" x14ac:dyDescent="0.25">
      <c r="A1196" s="77" t="s">
        <v>22</v>
      </c>
      <c r="B1196" s="449">
        <v>0</v>
      </c>
      <c r="C1196" s="236">
        <v>0</v>
      </c>
      <c r="D1196" s="236">
        <v>0</v>
      </c>
      <c r="E1196" s="236">
        <v>0</v>
      </c>
      <c r="F1196" s="236">
        <v>0</v>
      </c>
      <c r="G1196" s="236">
        <v>0</v>
      </c>
      <c r="H1196" s="236">
        <v>0.02</v>
      </c>
      <c r="I1196" s="18">
        <f>I1203/I1204</f>
        <v>3.2133014959415031E-3</v>
      </c>
      <c r="J1196" s="297">
        <f>J1203/J1204</f>
        <v>3.2133014959415031E-3</v>
      </c>
    </row>
    <row r="1197" spans="1:10" s="71" customFormat="1" x14ac:dyDescent="0.25">
      <c r="A1197" s="81" t="s">
        <v>23</v>
      </c>
      <c r="B1197" s="450">
        <f t="shared" ref="B1197:J1197" si="510">B1208/B1191</f>
        <v>33955.555555555562</v>
      </c>
      <c r="C1197" s="130">
        <f t="shared" si="510"/>
        <v>41130.645161290326</v>
      </c>
      <c r="D1197" s="130">
        <f t="shared" si="510"/>
        <v>36230.303030303032</v>
      </c>
      <c r="E1197" s="130">
        <f t="shared" si="510"/>
        <v>39828.181818181816</v>
      </c>
      <c r="F1197" s="130">
        <f t="shared" si="510"/>
        <v>38796.174863387983</v>
      </c>
      <c r="G1197" s="130">
        <f t="shared" si="510"/>
        <v>43036.224489795917</v>
      </c>
      <c r="H1197" s="130">
        <f t="shared" si="510"/>
        <v>36890.963855421687</v>
      </c>
      <c r="I1197" s="130">
        <f t="shared" si="510"/>
        <v>38985.056294779948</v>
      </c>
      <c r="J1197" s="314">
        <f t="shared" si="510"/>
        <v>38985.056294779941</v>
      </c>
    </row>
    <row r="1198" spans="1:10" s="71" customFormat="1" x14ac:dyDescent="0.25">
      <c r="A1198" s="81" t="s">
        <v>24</v>
      </c>
      <c r="B1198" s="450">
        <f t="shared" ref="B1198:J1198" si="511">B1208/B1185</f>
        <v>26679.365079365081</v>
      </c>
      <c r="C1198" s="130">
        <f t="shared" si="511"/>
        <v>30724.096385542169</v>
      </c>
      <c r="D1198" s="130">
        <f t="shared" si="511"/>
        <v>28694.400000000001</v>
      </c>
      <c r="E1198" s="130">
        <f t="shared" si="511"/>
        <v>31978.832116788322</v>
      </c>
      <c r="F1198" s="130">
        <f t="shared" si="511"/>
        <v>29956.540084388191</v>
      </c>
      <c r="G1198" s="130">
        <f t="shared" si="511"/>
        <v>31592.134831460673</v>
      </c>
      <c r="H1198" s="130">
        <f t="shared" si="511"/>
        <v>29023.222748815166</v>
      </c>
      <c r="I1198" s="130">
        <f t="shared" si="511"/>
        <v>30014.499605988975</v>
      </c>
      <c r="J1198" s="314">
        <f t="shared" si="511"/>
        <v>30014.499605988975</v>
      </c>
    </row>
    <row r="1199" spans="1:10" s="71" customFormat="1" x14ac:dyDescent="0.25">
      <c r="A1199" s="77" t="s">
        <v>25</v>
      </c>
      <c r="B1199" s="451">
        <f t="shared" ref="B1199:H1199" si="512">B1204*B1192</f>
        <v>2147765.9068965521</v>
      </c>
      <c r="C1199" s="92">
        <f t="shared" si="512"/>
        <v>3793147.6655172417</v>
      </c>
      <c r="D1199" s="92">
        <f t="shared" si="512"/>
        <v>2432268.4913793104</v>
      </c>
      <c r="E1199" s="92">
        <f t="shared" si="512"/>
        <v>3060085.2931034481</v>
      </c>
      <c r="F1199" s="92">
        <f t="shared" si="512"/>
        <v>5107208.5103448285</v>
      </c>
      <c r="G1199" s="92">
        <f t="shared" si="512"/>
        <v>6224456.6379310349</v>
      </c>
      <c r="H1199" s="92">
        <f t="shared" si="512"/>
        <v>4057977.8017241387</v>
      </c>
      <c r="I1199" s="92">
        <f>'NOGAL '!$B1199+'NOGAL '!$C1199+'NOGAL '!$D1199+'NOGAL '!$E1199+'NOGAL '!$F1199+'NOGAL '!$G1199+'NOGAL '!$H1199</f>
        <v>26822910.306896556</v>
      </c>
      <c r="J1199" s="300">
        <f>'NOGAL '!$I1199/7</f>
        <v>3831844.3295566509</v>
      </c>
    </row>
    <row r="1200" spans="1:10" s="71" customFormat="1" x14ac:dyDescent="0.25">
      <c r="A1200" s="77" t="s">
        <v>26</v>
      </c>
      <c r="B1200" s="451">
        <f t="shared" ref="B1200:H1200" si="513">B1204*B1193</f>
        <v>82606.381034482765</v>
      </c>
      <c r="C1200" s="92">
        <f t="shared" si="513"/>
        <v>41682.941379310352</v>
      </c>
      <c r="D1200" s="92">
        <f t="shared" si="513"/>
        <v>58608.879310344833</v>
      </c>
      <c r="E1200" s="92">
        <f t="shared" si="513"/>
        <v>36001.003448275864</v>
      </c>
      <c r="F1200" s="92">
        <f t="shared" si="513"/>
        <v>58036.460344827596</v>
      </c>
      <c r="G1200" s="92">
        <f t="shared" si="513"/>
        <v>69160.629310344826</v>
      </c>
      <c r="H1200" s="92">
        <f t="shared" si="513"/>
        <v>250492.45689655177</v>
      </c>
      <c r="I1200" s="92">
        <f>'NOGAL '!$B1200+'NOGAL '!$C1200+'NOGAL '!$D1200+'NOGAL '!$E1200+'NOGAL '!$F1200+'NOGAL '!$G1200+'NOGAL '!$H1200</f>
        <v>596588.75172413804</v>
      </c>
      <c r="J1200" s="300">
        <f>'NOGAL '!$I1200/7</f>
        <v>85226.964532019716</v>
      </c>
    </row>
    <row r="1201" spans="1:10" s="71" customFormat="1" x14ac:dyDescent="0.25">
      <c r="A1201" s="77" t="s">
        <v>27</v>
      </c>
      <c r="B1201" s="451">
        <f t="shared" ref="B1201:H1201" si="514">B1204*B1194</f>
        <v>413031.90517241386</v>
      </c>
      <c r="C1201" s="92">
        <f t="shared" si="514"/>
        <v>291780.58965517249</v>
      </c>
      <c r="D1201" s="92">
        <f t="shared" si="514"/>
        <v>322348.83620689658</v>
      </c>
      <c r="E1201" s="92">
        <f t="shared" si="514"/>
        <v>396011.03793103452</v>
      </c>
      <c r="F1201" s="92">
        <f t="shared" si="514"/>
        <v>580364.60344827594</v>
      </c>
      <c r="G1201" s="92">
        <f t="shared" si="514"/>
        <v>484124.40517241386</v>
      </c>
      <c r="H1201" s="92">
        <f t="shared" si="514"/>
        <v>450886.4224137931</v>
      </c>
      <c r="I1201" s="92">
        <f>'NOGAL '!$B1201+'NOGAL '!$C1201+'NOGAL '!$D1201+'NOGAL '!$E1201+'NOGAL '!$F1201+'NOGAL '!$G1201+'NOGAL '!$H1201</f>
        <v>2938547.8000000003</v>
      </c>
      <c r="J1201" s="300">
        <f>'NOGAL '!$I1201/7</f>
        <v>419792.54285714292</v>
      </c>
    </row>
    <row r="1202" spans="1:10" s="71" customFormat="1" x14ac:dyDescent="0.25">
      <c r="A1202" s="77" t="s">
        <v>28</v>
      </c>
      <c r="B1202" s="451">
        <f t="shared" ref="B1202:H1202" si="515">B1204*B1195</f>
        <v>110141.84137931035</v>
      </c>
      <c r="C1202" s="92">
        <f t="shared" si="515"/>
        <v>41682.941379310352</v>
      </c>
      <c r="D1202" s="92">
        <f t="shared" si="515"/>
        <v>117217.75862068967</v>
      </c>
      <c r="E1202" s="92">
        <f t="shared" si="515"/>
        <v>108003.01034482759</v>
      </c>
      <c r="F1202" s="92">
        <f t="shared" si="515"/>
        <v>58036.460344827596</v>
      </c>
      <c r="G1202" s="92">
        <f t="shared" si="515"/>
        <v>138321.25862068965</v>
      </c>
      <c r="H1202" s="92">
        <f t="shared" si="515"/>
        <v>150295.47413793104</v>
      </c>
      <c r="I1202" s="92">
        <f>'NOGAL '!$B1202+'NOGAL '!$C1202+'NOGAL '!$D1202+'NOGAL '!$E1202+'NOGAL '!$F1202+'NOGAL '!$G1202+'NOGAL '!$H1202</f>
        <v>723698.74482758623</v>
      </c>
      <c r="J1202" s="300">
        <f>'NOGAL '!$I1202/7</f>
        <v>103385.53497536946</v>
      </c>
    </row>
    <row r="1203" spans="1:10" s="71" customFormat="1" x14ac:dyDescent="0.25">
      <c r="A1203" s="77" t="s">
        <v>29</v>
      </c>
      <c r="B1203" s="451">
        <f t="shared" ref="B1203:H1203" si="516">B1204*B1196</f>
        <v>0</v>
      </c>
      <c r="C1203" s="92">
        <f t="shared" si="516"/>
        <v>0</v>
      </c>
      <c r="D1203" s="92">
        <f t="shared" si="516"/>
        <v>0</v>
      </c>
      <c r="E1203" s="92">
        <f t="shared" si="516"/>
        <v>0</v>
      </c>
      <c r="F1203" s="92">
        <f t="shared" si="516"/>
        <v>0</v>
      </c>
      <c r="G1203" s="92">
        <f t="shared" si="516"/>
        <v>0</v>
      </c>
      <c r="H1203" s="92">
        <f t="shared" si="516"/>
        <v>100196.9827586207</v>
      </c>
      <c r="I1203" s="92">
        <f>'NOGAL '!$B1203+'NOGAL '!$C1203+'NOGAL '!$D1203+'NOGAL '!$E1203+'NOGAL '!$F1203+'NOGAL '!$G1203+'NOGAL '!$H1203</f>
        <v>100196.9827586207</v>
      </c>
      <c r="J1203" s="300">
        <f>'NOGAL '!$I1203/7</f>
        <v>14313.854679802957</v>
      </c>
    </row>
    <row r="1204" spans="1:10" s="71" customFormat="1" x14ac:dyDescent="0.25">
      <c r="A1204" s="82" t="s">
        <v>30</v>
      </c>
      <c r="B1204" s="237">
        <f>(3361600/1.16)-B1205</f>
        <v>2753546.034482759</v>
      </c>
      <c r="C1204" s="237">
        <f>(5100200/1.16)-C1205</f>
        <v>4168294.1379310349</v>
      </c>
      <c r="D1204" s="237">
        <f>(3586800/1.16)-D1205</f>
        <v>2930443.9655172415</v>
      </c>
      <c r="E1204" s="237">
        <f>(4381100/1.16)-E1205</f>
        <v>3600100.3448275863</v>
      </c>
      <c r="F1204" s="237">
        <f>(7099700/1.16)-F1205</f>
        <v>5803646.0344827594</v>
      </c>
      <c r="G1204" s="237">
        <f>(8435100/1.16)-G1205</f>
        <v>6916062.931034483</v>
      </c>
      <c r="H1204" s="237">
        <f>(6123900/1.16)-H1205</f>
        <v>5009849.1379310349</v>
      </c>
      <c r="I1204" s="91">
        <f>SUM(I1199:I1203)</f>
        <v>31181942.586206902</v>
      </c>
      <c r="J1204" s="361">
        <f>'NOGAL '!$I1204/7</f>
        <v>4454563.226600986</v>
      </c>
    </row>
    <row r="1205" spans="1:10" s="71" customFormat="1" x14ac:dyDescent="0.25">
      <c r="A1205" s="77" t="s">
        <v>31</v>
      </c>
      <c r="B1205" s="452">
        <f t="shared" ref="B1205:G1205" si="517">2155*B1186</f>
        <v>144385</v>
      </c>
      <c r="C1205" s="94">
        <f t="shared" si="517"/>
        <v>228430</v>
      </c>
      <c r="D1205" s="94">
        <f t="shared" si="517"/>
        <v>161625</v>
      </c>
      <c r="E1205" s="94">
        <f t="shared" si="517"/>
        <v>176710</v>
      </c>
      <c r="F1205" s="94">
        <f t="shared" si="517"/>
        <v>316785</v>
      </c>
      <c r="G1205" s="94">
        <f t="shared" si="517"/>
        <v>355575</v>
      </c>
      <c r="H1205" s="94">
        <f>2155*H1186</f>
        <v>269375</v>
      </c>
      <c r="I1205" s="94">
        <f>2155*I1186</f>
        <v>1652885</v>
      </c>
      <c r="J1205" s="302">
        <f>2155*J1186</f>
        <v>236126.42857142858</v>
      </c>
    </row>
    <row r="1206" spans="1:10" s="71" customFormat="1" x14ac:dyDescent="0.25">
      <c r="A1206" s="83" t="s">
        <v>32</v>
      </c>
      <c r="B1206" s="453">
        <f>B1204+B1205</f>
        <v>2897931.034482759</v>
      </c>
      <c r="C1206" s="39">
        <f>C1204+C1205</f>
        <v>4396724.1379310349</v>
      </c>
      <c r="D1206" s="39">
        <f t="shared" ref="D1206:J1206" si="518">D1204+D1205</f>
        <v>3092068.9655172415</v>
      </c>
      <c r="E1206" s="39">
        <f t="shared" si="518"/>
        <v>3776810.3448275863</v>
      </c>
      <c r="F1206" s="39">
        <f t="shared" si="518"/>
        <v>6120431.0344827594</v>
      </c>
      <c r="G1206" s="39">
        <f t="shared" si="518"/>
        <v>7271637.931034483</v>
      </c>
      <c r="H1206" s="39">
        <f t="shared" si="518"/>
        <v>5279224.1379310349</v>
      </c>
      <c r="I1206" s="39">
        <f t="shared" si="518"/>
        <v>32834827.586206902</v>
      </c>
      <c r="J1206" s="364">
        <f t="shared" si="518"/>
        <v>4690689.6551724141</v>
      </c>
    </row>
    <row r="1207" spans="1:10" s="71" customFormat="1" x14ac:dyDescent="0.25">
      <c r="A1207" s="77" t="s">
        <v>33</v>
      </c>
      <c r="B1207" s="454">
        <f>B1206*16%</f>
        <v>463668.96551724145</v>
      </c>
      <c r="C1207" s="41">
        <f>C1206*16%</f>
        <v>703475.86206896557</v>
      </c>
      <c r="D1207" s="41">
        <f t="shared" ref="D1207:J1207" si="519">D1206*16%</f>
        <v>494731.03448275867</v>
      </c>
      <c r="E1207" s="41">
        <f t="shared" si="519"/>
        <v>604289.6551724138</v>
      </c>
      <c r="F1207" s="41">
        <f t="shared" si="519"/>
        <v>979268.96551724151</v>
      </c>
      <c r="G1207" s="41">
        <f t="shared" si="519"/>
        <v>1163462.0689655172</v>
      </c>
      <c r="H1207" s="41">
        <f t="shared" si="519"/>
        <v>844675.86206896557</v>
      </c>
      <c r="I1207" s="41">
        <f t="shared" si="519"/>
        <v>5253572.4137931047</v>
      </c>
      <c r="J1207" s="415">
        <f t="shared" si="519"/>
        <v>750510.34482758632</v>
      </c>
    </row>
    <row r="1208" spans="1:10" s="71" customFormat="1" x14ac:dyDescent="0.25">
      <c r="A1208" s="142" t="s">
        <v>34</v>
      </c>
      <c r="B1208" s="438">
        <f t="shared" ref="B1208:H1208" si="520">B1206+B1207</f>
        <v>3361600.0000000005</v>
      </c>
      <c r="C1208" s="144">
        <f t="shared" si="520"/>
        <v>5100200</v>
      </c>
      <c r="D1208" s="144">
        <f t="shared" si="520"/>
        <v>3586800</v>
      </c>
      <c r="E1208" s="144">
        <f t="shared" si="520"/>
        <v>4381100</v>
      </c>
      <c r="F1208" s="144">
        <f t="shared" si="520"/>
        <v>7099700.0000000009</v>
      </c>
      <c r="G1208" s="144">
        <f t="shared" si="520"/>
        <v>8435100</v>
      </c>
      <c r="H1208" s="144">
        <f t="shared" si="520"/>
        <v>6123900</v>
      </c>
      <c r="I1208" s="144">
        <f>+I1206+I1207</f>
        <v>38088400.000000007</v>
      </c>
      <c r="J1208" s="441">
        <f>'NOGAL '!$I1208/7</f>
        <v>5441200.0000000009</v>
      </c>
    </row>
    <row r="1209" spans="1:10" s="71" customFormat="1" ht="15.75" thickBot="1" x14ac:dyDescent="0.3">
      <c r="A1209" s="69"/>
      <c r="B1209" s="424"/>
      <c r="C1209" s="424"/>
      <c r="D1209" s="424"/>
      <c r="E1209" s="424"/>
      <c r="F1209" s="424"/>
      <c r="G1209" s="424"/>
      <c r="H1209" s="424"/>
      <c r="I1209" s="424"/>
      <c r="J1209" s="424"/>
    </row>
    <row r="1210" spans="1:10" s="71" customFormat="1" ht="27" thickBot="1" x14ac:dyDescent="0.3">
      <c r="A1210" s="85"/>
      <c r="B1210" s="1002" t="s">
        <v>385</v>
      </c>
      <c r="C1210" s="1002"/>
      <c r="D1210" s="1002"/>
      <c r="E1210" s="1002"/>
      <c r="F1210" s="1002"/>
      <c r="G1210" s="1002"/>
      <c r="H1210" s="1002"/>
      <c r="I1210" s="1002"/>
      <c r="J1210" s="85"/>
    </row>
    <row r="1211" spans="1:10" s="71" customFormat="1" ht="16.5" thickBot="1" x14ac:dyDescent="0.3">
      <c r="A1211" s="72" t="s">
        <v>2</v>
      </c>
      <c r="B1211" s="232" t="s">
        <v>147</v>
      </c>
      <c r="C1211" s="232" t="s">
        <v>148</v>
      </c>
      <c r="D1211" s="232" t="s">
        <v>149</v>
      </c>
      <c r="E1211" s="232" t="s">
        <v>150</v>
      </c>
      <c r="F1211" s="232" t="s">
        <v>151</v>
      </c>
      <c r="G1211" s="232" t="s">
        <v>152</v>
      </c>
      <c r="H1211" s="232" t="s">
        <v>153</v>
      </c>
      <c r="I1211" s="153" t="s">
        <v>10</v>
      </c>
      <c r="J1211" s="421" t="s">
        <v>77</v>
      </c>
    </row>
    <row r="1212" spans="1:10" s="71" customFormat="1" ht="15.75" thickTop="1" x14ac:dyDescent="0.25">
      <c r="A1212" s="430" t="s">
        <v>11</v>
      </c>
      <c r="B1212" s="433">
        <f>159+64+35</f>
        <v>258</v>
      </c>
      <c r="C1212" s="75">
        <f>78+23+5</f>
        <v>106</v>
      </c>
      <c r="D1212" s="75">
        <f>90+35+12</f>
        <v>137</v>
      </c>
      <c r="E1212" s="316">
        <f>89+33+8</f>
        <v>130</v>
      </c>
      <c r="F1212" s="316">
        <f>155+66+40</f>
        <v>261</v>
      </c>
      <c r="G1212" s="316">
        <f>220+82+29</f>
        <v>331</v>
      </c>
      <c r="H1212" s="316">
        <f>159+76+33</f>
        <v>268</v>
      </c>
      <c r="I1212" s="316">
        <f>SUM(B1212:H1212)</f>
        <v>1491</v>
      </c>
      <c r="J1212" s="437">
        <f>'NOGAL '!$I1212/7</f>
        <v>213</v>
      </c>
    </row>
    <row r="1213" spans="1:10" s="71" customFormat="1" x14ac:dyDescent="0.25">
      <c r="A1213" s="77" t="s">
        <v>12</v>
      </c>
      <c r="B1213" s="448">
        <v>175</v>
      </c>
      <c r="C1213" s="86">
        <v>65</v>
      </c>
      <c r="D1213" s="11">
        <v>74</v>
      </c>
      <c r="E1213" s="86">
        <v>79</v>
      </c>
      <c r="F1213" s="86">
        <v>145</v>
      </c>
      <c r="G1213" s="11">
        <v>210</v>
      </c>
      <c r="H1213" s="11">
        <v>169</v>
      </c>
      <c r="I1213" s="11">
        <f>B1213+C1213+D1213+E1213+F1213+G1213+H1213</f>
        <v>917</v>
      </c>
      <c r="J1213" s="292">
        <f>'NOGAL '!$I1213/7</f>
        <v>131</v>
      </c>
    </row>
    <row r="1214" spans="1:10" s="71" customFormat="1" x14ac:dyDescent="0.25">
      <c r="A1214" s="77" t="s">
        <v>13</v>
      </c>
      <c r="B1214" s="448">
        <v>2</v>
      </c>
      <c r="C1214" s="11">
        <v>0</v>
      </c>
      <c r="D1214" s="11">
        <v>2</v>
      </c>
      <c r="E1214" s="11">
        <v>1</v>
      </c>
      <c r="F1214" s="11">
        <v>5</v>
      </c>
      <c r="G1214" s="11">
        <v>3</v>
      </c>
      <c r="H1214" s="11">
        <v>3</v>
      </c>
      <c r="I1214" s="11">
        <f>B1214+C1214+D1214+E1214+F1214+G1214+H1214</f>
        <v>16</v>
      </c>
      <c r="J1214" s="292">
        <f>C1214+D1214+E1214+F1214+G1214+H1214+I1214</f>
        <v>30</v>
      </c>
    </row>
    <row r="1215" spans="1:10" s="71" customFormat="1" x14ac:dyDescent="0.25">
      <c r="A1215" s="77" t="s">
        <v>14</v>
      </c>
      <c r="B1215" s="448">
        <v>14</v>
      </c>
      <c r="C1215" s="11">
        <v>21</v>
      </c>
      <c r="D1215" s="11">
        <v>27</v>
      </c>
      <c r="E1215" s="11">
        <v>12</v>
      </c>
      <c r="F1215" s="11">
        <v>39</v>
      </c>
      <c r="G1215" s="11">
        <v>27</v>
      </c>
      <c r="H1215" s="11">
        <v>22</v>
      </c>
      <c r="I1215" s="11">
        <f>B1215+C1215+D1215+E1215+F1215+G1215+H1215</f>
        <v>162</v>
      </c>
      <c r="J1215" s="292">
        <f>'NOGAL '!$I1215/7</f>
        <v>23.142857142857142</v>
      </c>
    </row>
    <row r="1216" spans="1:10" s="71" customFormat="1" x14ac:dyDescent="0.25">
      <c r="A1216" s="77" t="s">
        <v>15</v>
      </c>
      <c r="B1216" s="448">
        <v>3</v>
      </c>
      <c r="C1216" s="11">
        <v>0</v>
      </c>
      <c r="D1216" s="11">
        <v>1</v>
      </c>
      <c r="E1216" s="11">
        <v>1</v>
      </c>
      <c r="F1216" s="11">
        <v>3</v>
      </c>
      <c r="G1216" s="11">
        <v>1</v>
      </c>
      <c r="H1216" s="11">
        <v>4</v>
      </c>
      <c r="I1216" s="11">
        <f>B1216+C1216+D1216+E1216+F1216+G1216+H1216</f>
        <v>13</v>
      </c>
      <c r="J1216" s="292">
        <f>'NOGAL '!$I1216/7</f>
        <v>1.8571428571428572</v>
      </c>
    </row>
    <row r="1217" spans="1:10" s="71" customFormat="1" x14ac:dyDescent="0.25">
      <c r="A1217" s="77" t="s">
        <v>16</v>
      </c>
      <c r="B1217" s="448">
        <v>0</v>
      </c>
      <c r="C1217" s="11">
        <v>0</v>
      </c>
      <c r="D1217" s="11">
        <v>0</v>
      </c>
      <c r="E1217" s="11">
        <v>1</v>
      </c>
      <c r="F1217" s="11">
        <v>0</v>
      </c>
      <c r="G1217" s="11">
        <v>0</v>
      </c>
      <c r="H1217" s="11">
        <v>0</v>
      </c>
      <c r="I1217" s="11">
        <f>B1217+C1217+D1217+E1217+F1217+G1217+H1217</f>
        <v>1</v>
      </c>
      <c r="J1217" s="292">
        <f>'NOGAL '!$I1217/7</f>
        <v>0.14285714285714285</v>
      </c>
    </row>
    <row r="1218" spans="1:10" s="71" customFormat="1" x14ac:dyDescent="0.25">
      <c r="A1218" s="79" t="s">
        <v>17</v>
      </c>
      <c r="B1218" s="102">
        <f>SUM(B1213:B1217)</f>
        <v>194</v>
      </c>
      <c r="C1218" s="103">
        <f t="shared" ref="C1218:H1218" si="521">SUM(C1213:C1217)</f>
        <v>86</v>
      </c>
      <c r="D1218" s="103">
        <f t="shared" si="521"/>
        <v>104</v>
      </c>
      <c r="E1218" s="103">
        <f t="shared" si="521"/>
        <v>94</v>
      </c>
      <c r="F1218" s="103">
        <f t="shared" si="521"/>
        <v>192</v>
      </c>
      <c r="G1218" s="103">
        <f t="shared" si="521"/>
        <v>241</v>
      </c>
      <c r="H1218" s="103">
        <f t="shared" si="521"/>
        <v>198</v>
      </c>
      <c r="I1218" s="103">
        <f>SUM(I1213:I1217)</f>
        <v>1109</v>
      </c>
      <c r="J1218" s="405">
        <f>'NOGAL '!$I1218/7</f>
        <v>158.42857142857142</v>
      </c>
    </row>
    <row r="1219" spans="1:10" s="71" customFormat="1" x14ac:dyDescent="0.25">
      <c r="A1219" s="77" t="s">
        <v>18</v>
      </c>
      <c r="B1219" s="449">
        <v>0.93</v>
      </c>
      <c r="C1219" s="236">
        <v>0.86</v>
      </c>
      <c r="D1219" s="236">
        <v>0.79</v>
      </c>
      <c r="E1219" s="236">
        <v>0.9</v>
      </c>
      <c r="F1219" s="236">
        <v>0.84</v>
      </c>
      <c r="G1219" s="236">
        <v>0.91</v>
      </c>
      <c r="H1219" s="236">
        <v>0.89</v>
      </c>
      <c r="I1219" s="18">
        <f>I1226/I1231</f>
        <v>0.88269396834081726</v>
      </c>
      <c r="J1219" s="297">
        <f>J1226/J1231</f>
        <v>0.88269396834081737</v>
      </c>
    </row>
    <row r="1220" spans="1:10" s="71" customFormat="1" x14ac:dyDescent="0.25">
      <c r="A1220" s="77" t="s">
        <v>19</v>
      </c>
      <c r="B1220" s="449">
        <v>0.01</v>
      </c>
      <c r="C1220" s="236">
        <v>0</v>
      </c>
      <c r="D1220" s="236">
        <v>0.02</v>
      </c>
      <c r="E1220" s="236">
        <v>0.01</v>
      </c>
      <c r="F1220" s="236">
        <v>0.02</v>
      </c>
      <c r="G1220" s="236">
        <v>0.02</v>
      </c>
      <c r="H1220" s="236">
        <v>0.01</v>
      </c>
      <c r="I1220" s="18">
        <f>I1227/I1231</f>
        <v>1.4280621290250024E-2</v>
      </c>
      <c r="J1220" s="297">
        <f>J1227/J1231</f>
        <v>1.4280621290250026E-2</v>
      </c>
    </row>
    <row r="1221" spans="1:10" s="71" customFormat="1" x14ac:dyDescent="0.25">
      <c r="A1221" s="77" t="s">
        <v>20</v>
      </c>
      <c r="B1221" s="449">
        <v>0.04</v>
      </c>
      <c r="C1221" s="236">
        <v>0.14000000000000001</v>
      </c>
      <c r="D1221" s="236">
        <v>0.18</v>
      </c>
      <c r="E1221" s="236">
        <v>0.08</v>
      </c>
      <c r="F1221" s="236">
        <v>0.13</v>
      </c>
      <c r="G1221" s="236">
        <v>7.0000000000000007E-2</v>
      </c>
      <c r="H1221" s="236">
        <v>0.08</v>
      </c>
      <c r="I1221" s="18">
        <f>I1228/I1231</f>
        <v>9.2632327148117158E-2</v>
      </c>
      <c r="J1221" s="297">
        <f>J1228/J1231</f>
        <v>9.2632327148117172E-2</v>
      </c>
    </row>
    <row r="1222" spans="1:10" s="71" customFormat="1" x14ac:dyDescent="0.25">
      <c r="A1222" s="77" t="s">
        <v>21</v>
      </c>
      <c r="B1222" s="449">
        <v>0.02</v>
      </c>
      <c r="C1222" s="236">
        <v>0</v>
      </c>
      <c r="D1222" s="236">
        <v>0.01</v>
      </c>
      <c r="E1222" s="236">
        <v>0.01</v>
      </c>
      <c r="F1222" s="236">
        <v>0.01</v>
      </c>
      <c r="G1222" s="236">
        <v>0</v>
      </c>
      <c r="H1222" s="236">
        <v>0.02</v>
      </c>
      <c r="I1222" s="18">
        <f>I1229/I1231</f>
        <v>1.0393083220815585E-2</v>
      </c>
      <c r="J1222" s="297">
        <f>J1229/J1231</f>
        <v>1.0393083220815585E-2</v>
      </c>
    </row>
    <row r="1223" spans="1:10" s="71" customFormat="1" x14ac:dyDescent="0.25">
      <c r="A1223" s="77" t="s">
        <v>22</v>
      </c>
      <c r="B1223" s="449">
        <v>0</v>
      </c>
      <c r="C1223" s="236">
        <v>0</v>
      </c>
      <c r="D1223" s="236">
        <v>0</v>
      </c>
      <c r="E1223" s="236">
        <v>0</v>
      </c>
      <c r="F1223" s="236">
        <v>0</v>
      </c>
      <c r="G1223" s="236">
        <v>0</v>
      </c>
      <c r="H1223" s="236">
        <v>0</v>
      </c>
      <c r="I1223" s="18">
        <f>I1230/I1231</f>
        <v>0</v>
      </c>
      <c r="J1223" s="297">
        <f>J1230/J1231</f>
        <v>0</v>
      </c>
    </row>
    <row r="1224" spans="1:10" s="71" customFormat="1" x14ac:dyDescent="0.25">
      <c r="A1224" s="81" t="s">
        <v>23</v>
      </c>
      <c r="B1224" s="450">
        <f t="shared" ref="B1224:J1224" si="522">B1235/B1218</f>
        <v>38970.618556701033</v>
      </c>
      <c r="C1224" s="130">
        <f t="shared" si="522"/>
        <v>35093.023255813954</v>
      </c>
      <c r="D1224" s="130">
        <f t="shared" si="522"/>
        <v>40169.230769230773</v>
      </c>
      <c r="E1224" s="130">
        <f t="shared" si="522"/>
        <v>42726.595744680853</v>
      </c>
      <c r="F1224" s="130">
        <f t="shared" si="522"/>
        <v>37643.229166666664</v>
      </c>
      <c r="G1224" s="130">
        <f t="shared" si="522"/>
        <v>43428.215767634865</v>
      </c>
      <c r="H1224" s="130">
        <f t="shared" si="522"/>
        <v>39111.61616161617</v>
      </c>
      <c r="I1224" s="130">
        <f t="shared" si="522"/>
        <v>39864.743011722276</v>
      </c>
      <c r="J1224" s="314">
        <f t="shared" si="522"/>
        <v>39864.743011722283</v>
      </c>
    </row>
    <row r="1225" spans="1:10" s="71" customFormat="1" x14ac:dyDescent="0.25">
      <c r="A1225" s="81" t="s">
        <v>24</v>
      </c>
      <c r="B1225" s="450">
        <f t="shared" ref="B1225:J1225" si="523">B1235/B1212</f>
        <v>29303.488372093023</v>
      </c>
      <c r="C1225" s="130">
        <f t="shared" si="523"/>
        <v>28471.698113207549</v>
      </c>
      <c r="D1225" s="130">
        <f t="shared" si="523"/>
        <v>30493.43065693431</v>
      </c>
      <c r="E1225" s="130">
        <f t="shared" si="523"/>
        <v>30894.615384615383</v>
      </c>
      <c r="F1225" s="130">
        <f t="shared" si="523"/>
        <v>27691.570881226053</v>
      </c>
      <c r="G1225" s="130">
        <f t="shared" si="523"/>
        <v>31619.93957703928</v>
      </c>
      <c r="H1225" s="130">
        <f t="shared" si="523"/>
        <v>28895.895522388062</v>
      </c>
      <c r="I1225" s="130">
        <f t="shared" si="523"/>
        <v>29651.240778001345</v>
      </c>
      <c r="J1225" s="314">
        <f t="shared" si="523"/>
        <v>29651.240778001345</v>
      </c>
    </row>
    <row r="1226" spans="1:10" s="71" customFormat="1" x14ac:dyDescent="0.25">
      <c r="A1226" s="77" t="s">
        <v>25</v>
      </c>
      <c r="B1226" s="451">
        <f t="shared" ref="B1226:H1226" si="524">B1231*B1219</f>
        <v>5710548.75</v>
      </c>
      <c r="C1226" s="92">
        <f t="shared" si="524"/>
        <v>2117018.2586206896</v>
      </c>
      <c r="D1226" s="92">
        <f t="shared" si="524"/>
        <v>2719108.3551724143</v>
      </c>
      <c r="E1226" s="92">
        <f t="shared" si="524"/>
        <v>2962874.3275862071</v>
      </c>
      <c r="F1226" s="92">
        <f t="shared" si="524"/>
        <v>4971227.8965517245</v>
      </c>
      <c r="G1226" s="92">
        <f t="shared" si="524"/>
        <v>7798732.9482758632</v>
      </c>
      <c r="H1226" s="92">
        <f t="shared" si="524"/>
        <v>5617460.4155172426</v>
      </c>
      <c r="I1226" s="92">
        <f>'NOGAL '!$B1226+'NOGAL '!$C1226+'NOGAL '!$D1226+'NOGAL '!$E1226+'NOGAL '!$F1226+'NOGAL '!$G1226+'NOGAL '!$H1226</f>
        <v>31896970.951724142</v>
      </c>
      <c r="J1226" s="300">
        <f>'NOGAL '!$I1226/7</f>
        <v>4556710.135960592</v>
      </c>
    </row>
    <row r="1227" spans="1:10" s="71" customFormat="1" x14ac:dyDescent="0.25">
      <c r="A1227" s="77" t="s">
        <v>26</v>
      </c>
      <c r="B1227" s="451">
        <f t="shared" ref="B1227:H1227" si="525">B1231*B1220</f>
        <v>61403.75</v>
      </c>
      <c r="C1227" s="92">
        <f t="shared" si="525"/>
        <v>0</v>
      </c>
      <c r="D1227" s="92">
        <f t="shared" si="525"/>
        <v>68838.186206896557</v>
      </c>
      <c r="E1227" s="92">
        <f t="shared" si="525"/>
        <v>32920.825862068967</v>
      </c>
      <c r="F1227" s="92">
        <f t="shared" si="525"/>
        <v>118362.56896551725</v>
      </c>
      <c r="G1227" s="92">
        <f t="shared" si="525"/>
        <v>171400.72413793107</v>
      </c>
      <c r="H1227" s="92">
        <f t="shared" si="525"/>
        <v>63117.532758620699</v>
      </c>
      <c r="I1227" s="92">
        <f>'NOGAL '!$B1227+'NOGAL '!$C1227+'NOGAL '!$D1227+'NOGAL '!$E1227+'NOGAL '!$F1227+'NOGAL '!$G1227+'NOGAL '!$H1227</f>
        <v>516043.58793103456</v>
      </c>
      <c r="J1227" s="300">
        <f>'NOGAL '!$I1227/7</f>
        <v>73720.512561576368</v>
      </c>
    </row>
    <row r="1228" spans="1:10" s="71" customFormat="1" x14ac:dyDescent="0.25">
      <c r="A1228" s="77" t="s">
        <v>27</v>
      </c>
      <c r="B1228" s="451">
        <f t="shared" ref="B1228:H1228" si="526">B1231*B1221</f>
        <v>245615</v>
      </c>
      <c r="C1228" s="92">
        <f t="shared" si="526"/>
        <v>344630.87931034487</v>
      </c>
      <c r="D1228" s="92">
        <f t="shared" si="526"/>
        <v>619543.67586206901</v>
      </c>
      <c r="E1228" s="92">
        <f t="shared" si="526"/>
        <v>263366.60689655173</v>
      </c>
      <c r="F1228" s="92">
        <f t="shared" si="526"/>
        <v>769356.69827586215</v>
      </c>
      <c r="G1228" s="92">
        <f t="shared" si="526"/>
        <v>599902.53448275873</v>
      </c>
      <c r="H1228" s="92">
        <f t="shared" si="526"/>
        <v>504940.26206896559</v>
      </c>
      <c r="I1228" s="92">
        <f>'NOGAL '!$B1228+'NOGAL '!$C1228+'NOGAL '!$D1228+'NOGAL '!$E1228+'NOGAL '!$F1228+'NOGAL '!$G1228+'NOGAL '!$H1228</f>
        <v>3347355.6568965521</v>
      </c>
      <c r="J1228" s="300">
        <f>'NOGAL '!$I1228/7</f>
        <v>478193.66527093604</v>
      </c>
    </row>
    <row r="1229" spans="1:10" s="71" customFormat="1" x14ac:dyDescent="0.25">
      <c r="A1229" s="77" t="s">
        <v>28</v>
      </c>
      <c r="B1229" s="451">
        <f t="shared" ref="B1229:H1229" si="527">B1231*B1222</f>
        <v>122807.5</v>
      </c>
      <c r="C1229" s="92">
        <f t="shared" si="527"/>
        <v>0</v>
      </c>
      <c r="D1229" s="92">
        <f t="shared" si="527"/>
        <v>34419.093103448278</v>
      </c>
      <c r="E1229" s="92">
        <f t="shared" si="527"/>
        <v>32920.825862068967</v>
      </c>
      <c r="F1229" s="92">
        <f t="shared" si="527"/>
        <v>59181.284482758623</v>
      </c>
      <c r="G1229" s="92">
        <f t="shared" si="527"/>
        <v>0</v>
      </c>
      <c r="H1229" s="92">
        <f t="shared" si="527"/>
        <v>126235.0655172414</v>
      </c>
      <c r="I1229" s="92">
        <f>'NOGAL '!$B1229+'NOGAL '!$C1229+'NOGAL '!$D1229+'NOGAL '!$E1229+'NOGAL '!$F1229+'NOGAL '!$G1229+'NOGAL '!$H1229</f>
        <v>375563.76896551729</v>
      </c>
      <c r="J1229" s="300">
        <f>'NOGAL '!$I1229/7</f>
        <v>53651.966995073897</v>
      </c>
    </row>
    <row r="1230" spans="1:10" s="71" customFormat="1" x14ac:dyDescent="0.25">
      <c r="A1230" s="77" t="s">
        <v>29</v>
      </c>
      <c r="B1230" s="451">
        <f t="shared" ref="B1230:H1230" si="528">B1231*B1223</f>
        <v>0</v>
      </c>
      <c r="C1230" s="92">
        <f t="shared" si="528"/>
        <v>0</v>
      </c>
      <c r="D1230" s="92">
        <f t="shared" si="528"/>
        <v>0</v>
      </c>
      <c r="E1230" s="92">
        <f t="shared" si="528"/>
        <v>0</v>
      </c>
      <c r="F1230" s="92">
        <f t="shared" si="528"/>
        <v>0</v>
      </c>
      <c r="G1230" s="92">
        <f t="shared" si="528"/>
        <v>0</v>
      </c>
      <c r="H1230" s="92">
        <f t="shared" si="528"/>
        <v>0</v>
      </c>
      <c r="I1230" s="92">
        <f>'NOGAL '!$B1230+'NOGAL '!$C1230+'NOGAL '!$D1230+'NOGAL '!$E1230+'NOGAL '!$F1230+'NOGAL '!$G1230+'NOGAL '!$H1230</f>
        <v>0</v>
      </c>
      <c r="J1230" s="300">
        <f>'NOGAL '!$I1230/7</f>
        <v>0</v>
      </c>
    </row>
    <row r="1231" spans="1:10" s="71" customFormat="1" x14ac:dyDescent="0.25">
      <c r="A1231" s="82" t="s">
        <v>30</v>
      </c>
      <c r="B1231" s="237">
        <f>(7560300/1.16)-B1232</f>
        <v>6140375</v>
      </c>
      <c r="C1231" s="237">
        <f>(3018000/1.16)-C1232</f>
        <v>2461649.1379310344</v>
      </c>
      <c r="D1231" s="237">
        <f>(4177600/1.16)-D1232</f>
        <v>3441909.3103448278</v>
      </c>
      <c r="E1231" s="237">
        <f>(4016300/1.16)-E1232</f>
        <v>3292082.5862068967</v>
      </c>
      <c r="F1231" s="237">
        <f>(7227500/1.16)-F1232</f>
        <v>5918128.4482758623</v>
      </c>
      <c r="G1231" s="237">
        <f>(10466200/1.16)-G1232</f>
        <v>8570036.2068965528</v>
      </c>
      <c r="H1231" s="237">
        <f>(7744100/1.16)-H1232</f>
        <v>6311753.2758620698</v>
      </c>
      <c r="I1231" s="91">
        <f>SUM(I1226:I1230)</f>
        <v>36135933.965517245</v>
      </c>
      <c r="J1231" s="361">
        <f>'NOGAL '!$I1231/7</f>
        <v>5162276.2807881776</v>
      </c>
    </row>
    <row r="1232" spans="1:10" s="71" customFormat="1" x14ac:dyDescent="0.25">
      <c r="A1232" s="77" t="s">
        <v>31</v>
      </c>
      <c r="B1232" s="452">
        <f t="shared" ref="B1232:G1232" si="529">2155*B1213</f>
        <v>377125</v>
      </c>
      <c r="C1232" s="94">
        <f t="shared" si="529"/>
        <v>140075</v>
      </c>
      <c r="D1232" s="94">
        <f t="shared" si="529"/>
        <v>159470</v>
      </c>
      <c r="E1232" s="94">
        <f t="shared" si="529"/>
        <v>170245</v>
      </c>
      <c r="F1232" s="94">
        <f t="shared" si="529"/>
        <v>312475</v>
      </c>
      <c r="G1232" s="94">
        <f t="shared" si="529"/>
        <v>452550</v>
      </c>
      <c r="H1232" s="94">
        <f>2155*H1213</f>
        <v>364195</v>
      </c>
      <c r="I1232" s="94">
        <f>2155*I1213</f>
        <v>1976135</v>
      </c>
      <c r="J1232" s="302">
        <f>2155*J1213</f>
        <v>282305</v>
      </c>
    </row>
    <row r="1233" spans="1:10" s="71" customFormat="1" x14ac:dyDescent="0.25">
      <c r="A1233" s="83" t="s">
        <v>32</v>
      </c>
      <c r="B1233" s="453">
        <f>B1231+B1232</f>
        <v>6517500</v>
      </c>
      <c r="C1233" s="39">
        <f>C1231+C1232</f>
        <v>2601724.1379310344</v>
      </c>
      <c r="D1233" s="39">
        <f t="shared" ref="D1233:J1233" si="530">D1231+D1232</f>
        <v>3601379.3103448278</v>
      </c>
      <c r="E1233" s="39">
        <f t="shared" si="530"/>
        <v>3462327.5862068967</v>
      </c>
      <c r="F1233" s="39">
        <f t="shared" si="530"/>
        <v>6230603.4482758623</v>
      </c>
      <c r="G1233" s="39">
        <f t="shared" si="530"/>
        <v>9022586.2068965528</v>
      </c>
      <c r="H1233" s="39">
        <f t="shared" si="530"/>
        <v>6675948.2758620698</v>
      </c>
      <c r="I1233" s="39">
        <f t="shared" si="530"/>
        <v>38112068.965517245</v>
      </c>
      <c r="J1233" s="364">
        <f t="shared" si="530"/>
        <v>5444581.2807881776</v>
      </c>
    </row>
    <row r="1234" spans="1:10" s="71" customFormat="1" x14ac:dyDescent="0.25">
      <c r="A1234" s="77" t="s">
        <v>33</v>
      </c>
      <c r="B1234" s="454">
        <f>B1233*16%</f>
        <v>1042800</v>
      </c>
      <c r="C1234" s="41">
        <f>C1233*16%</f>
        <v>416275.86206896551</v>
      </c>
      <c r="D1234" s="41">
        <f t="shared" ref="D1234:J1234" si="531">D1233*16%</f>
        <v>576220.68965517252</v>
      </c>
      <c r="E1234" s="41">
        <f t="shared" si="531"/>
        <v>553972.41379310354</v>
      </c>
      <c r="F1234" s="41">
        <f t="shared" si="531"/>
        <v>996896.55172413797</v>
      </c>
      <c r="G1234" s="41">
        <f t="shared" si="531"/>
        <v>1443613.7931034486</v>
      </c>
      <c r="H1234" s="41">
        <f t="shared" si="531"/>
        <v>1068151.7241379311</v>
      </c>
      <c r="I1234" s="41">
        <f t="shared" si="531"/>
        <v>6097931.0344827594</v>
      </c>
      <c r="J1234" s="415">
        <f t="shared" si="531"/>
        <v>871133.00492610841</v>
      </c>
    </row>
    <row r="1235" spans="1:10" s="71" customFormat="1" x14ac:dyDescent="0.25">
      <c r="A1235" s="142" t="s">
        <v>34</v>
      </c>
      <c r="B1235" s="438">
        <f t="shared" ref="B1235:H1235" si="532">B1233+B1234</f>
        <v>7560300</v>
      </c>
      <c r="C1235" s="144">
        <f t="shared" si="532"/>
        <v>3018000</v>
      </c>
      <c r="D1235" s="144">
        <f t="shared" si="532"/>
        <v>4177600.0000000005</v>
      </c>
      <c r="E1235" s="144">
        <f t="shared" si="532"/>
        <v>4016300</v>
      </c>
      <c r="F1235" s="144">
        <f t="shared" si="532"/>
        <v>7227500</v>
      </c>
      <c r="G1235" s="144">
        <f t="shared" si="532"/>
        <v>10466200.000000002</v>
      </c>
      <c r="H1235" s="144">
        <f t="shared" si="532"/>
        <v>7744100.0000000009</v>
      </c>
      <c r="I1235" s="144">
        <f>+I1233+I1234</f>
        <v>44210000.000000007</v>
      </c>
      <c r="J1235" s="441">
        <f>'NOGAL '!$I1235/7</f>
        <v>6315714.2857142864</v>
      </c>
    </row>
    <row r="1236" spans="1:10" s="71" customFormat="1" ht="15.75" thickBot="1" x14ac:dyDescent="0.3">
      <c r="A1236" s="69"/>
      <c r="B1236" s="424"/>
      <c r="C1236" s="424"/>
      <c r="D1236" s="424"/>
      <c r="E1236" s="424"/>
      <c r="F1236" s="424"/>
      <c r="G1236" s="424"/>
      <c r="H1236" s="424"/>
      <c r="I1236" s="424"/>
      <c r="J1236" s="424"/>
    </row>
    <row r="1237" spans="1:10" s="71" customFormat="1" ht="27" thickBot="1" x14ac:dyDescent="0.3">
      <c r="A1237" s="85"/>
      <c r="B1237" s="1002" t="s">
        <v>386</v>
      </c>
      <c r="C1237" s="1002"/>
      <c r="D1237" s="1002"/>
      <c r="E1237" s="1002"/>
      <c r="F1237" s="1002"/>
      <c r="G1237" s="1002"/>
      <c r="H1237" s="1002"/>
      <c r="I1237" s="1002"/>
      <c r="J1237" s="85"/>
    </row>
    <row r="1238" spans="1:10" s="71" customFormat="1" ht="16.5" thickBot="1" x14ac:dyDescent="0.3">
      <c r="A1238" s="72" t="s">
        <v>2</v>
      </c>
      <c r="B1238" s="232" t="s">
        <v>155</v>
      </c>
      <c r="C1238" s="232" t="s">
        <v>156</v>
      </c>
      <c r="D1238" s="232" t="s">
        <v>157</v>
      </c>
      <c r="E1238" s="232" t="s">
        <v>158</v>
      </c>
      <c r="F1238" s="232" t="s">
        <v>159</v>
      </c>
      <c r="G1238" s="232" t="s">
        <v>160</v>
      </c>
      <c r="H1238" s="232" t="s">
        <v>161</v>
      </c>
      <c r="I1238" s="153" t="s">
        <v>10</v>
      </c>
      <c r="J1238" s="421" t="s">
        <v>77</v>
      </c>
    </row>
    <row r="1239" spans="1:10" s="71" customFormat="1" ht="15.75" thickTop="1" x14ac:dyDescent="0.25">
      <c r="A1239" s="430" t="s">
        <v>11</v>
      </c>
      <c r="B1239" s="433">
        <f>42+28+6</f>
        <v>76</v>
      </c>
      <c r="C1239" s="75">
        <f>113+35+10</f>
        <v>158</v>
      </c>
      <c r="D1239" s="75">
        <f>97+44+13</f>
        <v>154</v>
      </c>
      <c r="E1239" s="316">
        <f>82+39+13</f>
        <v>134</v>
      </c>
      <c r="F1239" s="316">
        <f>199+58+30</f>
        <v>287</v>
      </c>
      <c r="G1239" s="316">
        <f>187+77+33</f>
        <v>297</v>
      </c>
      <c r="H1239" s="316">
        <f>231+72+34</f>
        <v>337</v>
      </c>
      <c r="I1239" s="316">
        <f>SUM(B1239:H1239)</f>
        <v>1443</v>
      </c>
      <c r="J1239" s="437">
        <f>'NOGAL '!$I1239/7</f>
        <v>206.14285714285714</v>
      </c>
    </row>
    <row r="1240" spans="1:10" s="71" customFormat="1" x14ac:dyDescent="0.25">
      <c r="A1240" s="77" t="s">
        <v>12</v>
      </c>
      <c r="B1240" s="448">
        <v>52</v>
      </c>
      <c r="C1240" s="86">
        <v>98</v>
      </c>
      <c r="D1240" s="11">
        <v>87</v>
      </c>
      <c r="E1240" s="86">
        <v>78</v>
      </c>
      <c r="F1240" s="86">
        <v>153</v>
      </c>
      <c r="G1240" s="11">
        <v>167</v>
      </c>
      <c r="H1240" s="11">
        <v>227</v>
      </c>
      <c r="I1240" s="11">
        <f>B1240+C1240+D1240+E1240+F1240+G1240+H1240</f>
        <v>862</v>
      </c>
      <c r="J1240" s="292">
        <f>'NOGAL '!$I1240/7</f>
        <v>123.14285714285714</v>
      </c>
    </row>
    <row r="1241" spans="1:10" s="71" customFormat="1" x14ac:dyDescent="0.25">
      <c r="A1241" s="77" t="s">
        <v>13</v>
      </c>
      <c r="B1241" s="448">
        <v>3</v>
      </c>
      <c r="C1241" s="11">
        <v>2</v>
      </c>
      <c r="D1241" s="11">
        <v>1</v>
      </c>
      <c r="E1241" s="11">
        <v>4</v>
      </c>
      <c r="F1241" s="11">
        <v>5</v>
      </c>
      <c r="G1241" s="11">
        <v>6</v>
      </c>
      <c r="H1241" s="11">
        <v>4</v>
      </c>
      <c r="I1241" s="11">
        <f>B1241+C1241+D1241+E1241+F1241+G1241+H1241</f>
        <v>25</v>
      </c>
      <c r="J1241" s="292">
        <f>C1241+D1241+E1241+F1241+G1241+H1241+I1241</f>
        <v>47</v>
      </c>
    </row>
    <row r="1242" spans="1:10" s="71" customFormat="1" x14ac:dyDescent="0.25">
      <c r="A1242" s="77" t="s">
        <v>14</v>
      </c>
      <c r="B1242" s="448">
        <v>16</v>
      </c>
      <c r="C1242" s="11">
        <v>24</v>
      </c>
      <c r="D1242" s="11">
        <v>30</v>
      </c>
      <c r="E1242" s="11">
        <v>21</v>
      </c>
      <c r="F1242" s="11">
        <v>28</v>
      </c>
      <c r="G1242" s="11">
        <v>27</v>
      </c>
      <c r="H1242" s="11">
        <v>23</v>
      </c>
      <c r="I1242" s="11">
        <f>B1242+C1242+D1242+E1242+F1242+G1242+H1242</f>
        <v>169</v>
      </c>
      <c r="J1242" s="292">
        <f>'NOGAL '!$I1242/7</f>
        <v>24.142857142857142</v>
      </c>
    </row>
    <row r="1243" spans="1:10" s="71" customFormat="1" x14ac:dyDescent="0.25">
      <c r="A1243" s="77" t="s">
        <v>15</v>
      </c>
      <c r="B1243" s="448">
        <v>0</v>
      </c>
      <c r="C1243" s="11">
        <v>1</v>
      </c>
      <c r="D1243" s="11">
        <v>2</v>
      </c>
      <c r="E1243" s="11">
        <v>4</v>
      </c>
      <c r="F1243" s="11">
        <v>5</v>
      </c>
      <c r="G1243" s="11">
        <v>6</v>
      </c>
      <c r="H1243" s="11">
        <v>2</v>
      </c>
      <c r="I1243" s="11">
        <f>B1243+C1243+D1243+E1243+F1243+G1243+H1243</f>
        <v>20</v>
      </c>
      <c r="J1243" s="292">
        <f>'NOGAL '!$I1243/7</f>
        <v>2.8571428571428572</v>
      </c>
    </row>
    <row r="1244" spans="1:10" s="71" customFormat="1" x14ac:dyDescent="0.25">
      <c r="A1244" s="77" t="s">
        <v>16</v>
      </c>
      <c r="B1244" s="448">
        <v>0</v>
      </c>
      <c r="C1244" s="11">
        <v>0</v>
      </c>
      <c r="D1244" s="11">
        <v>0</v>
      </c>
      <c r="E1244" s="11">
        <v>0</v>
      </c>
      <c r="F1244" s="11">
        <v>0</v>
      </c>
      <c r="G1244" s="11">
        <v>0</v>
      </c>
      <c r="H1244" s="11">
        <v>0</v>
      </c>
      <c r="I1244" s="11">
        <f>B1244+C1244+D1244+E1244+F1244+G1244+H1244</f>
        <v>0</v>
      </c>
      <c r="J1244" s="292">
        <f>'NOGAL '!$I1244/7</f>
        <v>0</v>
      </c>
    </row>
    <row r="1245" spans="1:10" s="71" customFormat="1" x14ac:dyDescent="0.25">
      <c r="A1245" s="79" t="s">
        <v>17</v>
      </c>
      <c r="B1245" s="102">
        <f>SUM(B1240:B1244)</f>
        <v>71</v>
      </c>
      <c r="C1245" s="103">
        <f t="shared" ref="C1245:H1245" si="533">SUM(C1240:C1244)</f>
        <v>125</v>
      </c>
      <c r="D1245" s="103">
        <f t="shared" si="533"/>
        <v>120</v>
      </c>
      <c r="E1245" s="103">
        <f t="shared" si="533"/>
        <v>107</v>
      </c>
      <c r="F1245" s="103">
        <f t="shared" si="533"/>
        <v>191</v>
      </c>
      <c r="G1245" s="103">
        <f t="shared" si="533"/>
        <v>206</v>
      </c>
      <c r="H1245" s="103">
        <f t="shared" si="533"/>
        <v>256</v>
      </c>
      <c r="I1245" s="103">
        <f>SUM(I1240:I1244)</f>
        <v>1076</v>
      </c>
      <c r="J1245" s="405">
        <f>'NOGAL '!$I1245/7</f>
        <v>153.71428571428572</v>
      </c>
    </row>
    <row r="1246" spans="1:10" s="71" customFormat="1" x14ac:dyDescent="0.25">
      <c r="A1246" s="77" t="s">
        <v>18</v>
      </c>
      <c r="B1246" s="449">
        <v>0.8</v>
      </c>
      <c r="C1246" s="236">
        <v>0.89</v>
      </c>
      <c r="D1246" s="236">
        <v>0.77</v>
      </c>
      <c r="E1246" s="236">
        <v>0.81</v>
      </c>
      <c r="F1246" s="236">
        <v>0.86</v>
      </c>
      <c r="G1246" s="236">
        <v>0.87</v>
      </c>
      <c r="H1246" s="236">
        <v>0.92</v>
      </c>
      <c r="I1246" s="18">
        <f>I1253/I1258</f>
        <v>0.86189872630747555</v>
      </c>
      <c r="J1246" s="297">
        <f>J1253/J1258</f>
        <v>0.86189872630747544</v>
      </c>
    </row>
    <row r="1247" spans="1:10" s="71" customFormat="1" x14ac:dyDescent="0.25">
      <c r="A1247" s="77" t="s">
        <v>19</v>
      </c>
      <c r="B1247" s="449">
        <v>0.03</v>
      </c>
      <c r="C1247" s="236">
        <v>0.01</v>
      </c>
      <c r="D1247" s="236">
        <v>0</v>
      </c>
      <c r="E1247" s="236">
        <v>0.02</v>
      </c>
      <c r="F1247" s="236">
        <v>0.02</v>
      </c>
      <c r="G1247" s="236">
        <v>0.03</v>
      </c>
      <c r="H1247" s="236">
        <v>0.01</v>
      </c>
      <c r="I1247" s="18">
        <f>I1254/I1258</f>
        <v>1.706476849514987E-2</v>
      </c>
      <c r="J1247" s="297">
        <f>J1254/J1258</f>
        <v>1.7064768495149867E-2</v>
      </c>
    </row>
    <row r="1248" spans="1:10" s="71" customFormat="1" x14ac:dyDescent="0.25">
      <c r="A1248" s="77" t="s">
        <v>20</v>
      </c>
      <c r="B1248" s="449">
        <v>0.17</v>
      </c>
      <c r="C1248" s="236">
        <v>0.09</v>
      </c>
      <c r="D1248" s="236">
        <v>0.2</v>
      </c>
      <c r="E1248" s="236">
        <v>0.15</v>
      </c>
      <c r="F1248" s="236">
        <v>0.1</v>
      </c>
      <c r="G1248" s="236">
        <v>0.08</v>
      </c>
      <c r="H1248" s="236">
        <v>0.06</v>
      </c>
      <c r="I1248" s="18">
        <f>I1255/I1258</f>
        <v>0.10448628146452742</v>
      </c>
      <c r="J1248" s="297">
        <f>J1255/J1258</f>
        <v>0.10448628146452742</v>
      </c>
    </row>
    <row r="1249" spans="1:10" s="71" customFormat="1" x14ac:dyDescent="0.25">
      <c r="A1249" s="77" t="s">
        <v>21</v>
      </c>
      <c r="B1249" s="449">
        <v>0</v>
      </c>
      <c r="C1249" s="236">
        <v>0.01</v>
      </c>
      <c r="D1249" s="236">
        <v>0.03</v>
      </c>
      <c r="E1249" s="236">
        <v>0.02</v>
      </c>
      <c r="F1249" s="236">
        <v>0.02</v>
      </c>
      <c r="G1249" s="236">
        <v>0.02</v>
      </c>
      <c r="H1249" s="236">
        <v>0.01</v>
      </c>
      <c r="I1249" s="18">
        <f>I1256/I1258</f>
        <v>1.6550223732847195E-2</v>
      </c>
      <c r="J1249" s="297">
        <f>J1256/J1258</f>
        <v>1.6550223732847192E-2</v>
      </c>
    </row>
    <row r="1250" spans="1:10" s="71" customFormat="1" x14ac:dyDescent="0.25">
      <c r="A1250" s="77" t="s">
        <v>22</v>
      </c>
      <c r="B1250" s="449">
        <v>0</v>
      </c>
      <c r="C1250" s="236">
        <v>0</v>
      </c>
      <c r="D1250" s="236">
        <v>0</v>
      </c>
      <c r="E1250" s="236">
        <v>0</v>
      </c>
      <c r="F1250" s="236">
        <v>0</v>
      </c>
      <c r="G1250" s="236">
        <v>0</v>
      </c>
      <c r="H1250" s="236">
        <v>0</v>
      </c>
      <c r="I1250" s="18">
        <f>I1257/I1258</f>
        <v>0</v>
      </c>
      <c r="J1250" s="297">
        <f>J1257/J1258</f>
        <v>0</v>
      </c>
    </row>
    <row r="1251" spans="1:10" s="71" customFormat="1" x14ac:dyDescent="0.25">
      <c r="A1251" s="81" t="s">
        <v>23</v>
      </c>
      <c r="B1251" s="450">
        <f t="shared" ref="B1251:J1251" si="534">B1262/B1245</f>
        <v>32550.704225352114</v>
      </c>
      <c r="C1251" s="130">
        <f t="shared" si="534"/>
        <v>39780</v>
      </c>
      <c r="D1251" s="130">
        <f t="shared" si="534"/>
        <v>37793.333333333336</v>
      </c>
      <c r="E1251" s="130">
        <f t="shared" si="534"/>
        <v>37518.691588785048</v>
      </c>
      <c r="F1251" s="130">
        <f t="shared" si="534"/>
        <v>44041.884816753925</v>
      </c>
      <c r="G1251" s="130">
        <f t="shared" si="534"/>
        <v>43369.417475728158</v>
      </c>
      <c r="H1251" s="130">
        <f t="shared" si="534"/>
        <v>38752.34375</v>
      </c>
      <c r="I1251" s="130">
        <f t="shared" si="534"/>
        <v>40055.762081784393</v>
      </c>
      <c r="J1251" s="314">
        <f t="shared" si="534"/>
        <v>40055.762081784393</v>
      </c>
    </row>
    <row r="1252" spans="1:10" s="71" customFormat="1" x14ac:dyDescent="0.25">
      <c r="A1252" s="81" t="s">
        <v>24</v>
      </c>
      <c r="B1252" s="450">
        <f t="shared" ref="B1252:J1252" si="535">B1262/B1239</f>
        <v>30409.21052631579</v>
      </c>
      <c r="C1252" s="130">
        <f t="shared" si="535"/>
        <v>31471.518987341773</v>
      </c>
      <c r="D1252" s="130">
        <f t="shared" si="535"/>
        <v>29449.35064935065</v>
      </c>
      <c r="E1252" s="130">
        <f t="shared" si="535"/>
        <v>29958.955223880595</v>
      </c>
      <c r="F1252" s="130">
        <f t="shared" si="535"/>
        <v>29310.104529616725</v>
      </c>
      <c r="G1252" s="130">
        <f t="shared" si="535"/>
        <v>30081.14478114478</v>
      </c>
      <c r="H1252" s="130">
        <f t="shared" si="535"/>
        <v>29437.982195845696</v>
      </c>
      <c r="I1252" s="130">
        <f t="shared" si="535"/>
        <v>29868.329868329874</v>
      </c>
      <c r="J1252" s="314">
        <f t="shared" si="535"/>
        <v>29868.329868329874</v>
      </c>
    </row>
    <row r="1253" spans="1:10" s="71" customFormat="1" x14ac:dyDescent="0.25">
      <c r="A1253" s="77" t="s">
        <v>25</v>
      </c>
      <c r="B1253" s="451">
        <f t="shared" ref="B1253:H1253" si="536">B1258*B1246</f>
        <v>1504214.0689655175</v>
      </c>
      <c r="C1253" s="92">
        <f t="shared" si="536"/>
        <v>3627148.65862069</v>
      </c>
      <c r="D1253" s="92">
        <f t="shared" si="536"/>
        <v>2866071.032758621</v>
      </c>
      <c r="E1253" s="92">
        <f t="shared" si="536"/>
        <v>2667075.5482758624</v>
      </c>
      <c r="F1253" s="92">
        <f t="shared" si="536"/>
        <v>5952927.8586206902</v>
      </c>
      <c r="G1253" s="92">
        <f t="shared" si="536"/>
        <v>6387475.0500000007</v>
      </c>
      <c r="H1253" s="92">
        <f t="shared" si="536"/>
        <v>7418011.8689655177</v>
      </c>
      <c r="I1253" s="92">
        <f>'NOGAL '!$B1253+'NOGAL '!$C1253+'NOGAL '!$D1253+'NOGAL '!$E1253+'NOGAL '!$F1253+'NOGAL '!$G1253+'NOGAL '!$H1253</f>
        <v>30422924.086206902</v>
      </c>
      <c r="J1253" s="300">
        <f>'NOGAL '!$I1253/7</f>
        <v>4346132.0123152714</v>
      </c>
    </row>
    <row r="1254" spans="1:10" s="71" customFormat="1" x14ac:dyDescent="0.25">
      <c r="A1254" s="77" t="s">
        <v>26</v>
      </c>
      <c r="B1254" s="451">
        <f t="shared" ref="B1254:H1254" si="537">B1258*B1247</f>
        <v>56408.027586206896</v>
      </c>
      <c r="C1254" s="92">
        <f t="shared" si="537"/>
        <v>40754.479310344832</v>
      </c>
      <c r="D1254" s="92">
        <f t="shared" si="537"/>
        <v>0</v>
      </c>
      <c r="E1254" s="92">
        <f t="shared" si="537"/>
        <v>65853.717241379316</v>
      </c>
      <c r="F1254" s="92">
        <f t="shared" si="537"/>
        <v>138440.18275862071</v>
      </c>
      <c r="G1254" s="92">
        <f t="shared" si="537"/>
        <v>220257.76034482761</v>
      </c>
      <c r="H1254" s="92">
        <f t="shared" si="537"/>
        <v>80630.563793103458</v>
      </c>
      <c r="I1254" s="92">
        <f>'NOGAL '!$B1254+'NOGAL '!$C1254+'NOGAL '!$D1254+'NOGAL '!$E1254+'NOGAL '!$F1254+'NOGAL '!$G1254+'NOGAL '!$H1254</f>
        <v>602344.73103448283</v>
      </c>
      <c r="J1254" s="300">
        <f>'NOGAL '!$I1254/7</f>
        <v>86049.2472906404</v>
      </c>
    </row>
    <row r="1255" spans="1:10" s="71" customFormat="1" x14ac:dyDescent="0.25">
      <c r="A1255" s="77" t="s">
        <v>27</v>
      </c>
      <c r="B1255" s="451">
        <f t="shared" ref="B1255:H1255" si="538">B1258*B1248</f>
        <v>319645.48965517245</v>
      </c>
      <c r="C1255" s="92">
        <f t="shared" si="538"/>
        <v>366790.31379310344</v>
      </c>
      <c r="D1255" s="92">
        <f t="shared" si="538"/>
        <v>744434.03448275873</v>
      </c>
      <c r="E1255" s="92">
        <f t="shared" si="538"/>
        <v>493902.87931034481</v>
      </c>
      <c r="F1255" s="92">
        <f t="shared" si="538"/>
        <v>692200.91379310354</v>
      </c>
      <c r="G1255" s="92">
        <f t="shared" si="538"/>
        <v>587354.02758620691</v>
      </c>
      <c r="H1255" s="92">
        <f t="shared" si="538"/>
        <v>483783.38275862072</v>
      </c>
      <c r="I1255" s="92">
        <f>'NOGAL '!$B1255+'NOGAL '!$C1255+'NOGAL '!$D1255+'NOGAL '!$E1255+'NOGAL '!$F1255+'NOGAL '!$G1255+'NOGAL '!$H1255</f>
        <v>3688111.0413793107</v>
      </c>
      <c r="J1255" s="300">
        <f>'NOGAL '!$I1255/7</f>
        <v>526873.00591133011</v>
      </c>
    </row>
    <row r="1256" spans="1:10" s="71" customFormat="1" x14ac:dyDescent="0.25">
      <c r="A1256" s="77" t="s">
        <v>28</v>
      </c>
      <c r="B1256" s="451">
        <f t="shared" ref="B1256:H1256" si="539">B1258*B1249</f>
        <v>0</v>
      </c>
      <c r="C1256" s="92">
        <f t="shared" si="539"/>
        <v>40754.479310344832</v>
      </c>
      <c r="D1256" s="92">
        <f t="shared" si="539"/>
        <v>111665.10517241379</v>
      </c>
      <c r="E1256" s="92">
        <f t="shared" si="539"/>
        <v>65853.717241379316</v>
      </c>
      <c r="F1256" s="92">
        <f t="shared" si="539"/>
        <v>138440.18275862071</v>
      </c>
      <c r="G1256" s="92">
        <f t="shared" si="539"/>
        <v>146838.50689655173</v>
      </c>
      <c r="H1256" s="92">
        <f t="shared" si="539"/>
        <v>80630.563793103458</v>
      </c>
      <c r="I1256" s="92">
        <f>'NOGAL '!$B1256+'NOGAL '!$C1256+'NOGAL '!$D1256+'NOGAL '!$E1256+'NOGAL '!$F1256+'NOGAL '!$G1256+'NOGAL '!$H1256</f>
        <v>584182.55517241382</v>
      </c>
      <c r="J1256" s="300">
        <f>'NOGAL '!$I1256/7</f>
        <v>83454.650738916258</v>
      </c>
    </row>
    <row r="1257" spans="1:10" s="71" customFormat="1" x14ac:dyDescent="0.25">
      <c r="A1257" s="77" t="s">
        <v>29</v>
      </c>
      <c r="B1257" s="451">
        <f t="shared" ref="B1257:H1257" si="540">B1258*B1250</f>
        <v>0</v>
      </c>
      <c r="C1257" s="92">
        <f t="shared" si="540"/>
        <v>0</v>
      </c>
      <c r="D1257" s="92">
        <f t="shared" si="540"/>
        <v>0</v>
      </c>
      <c r="E1257" s="92">
        <f t="shared" si="540"/>
        <v>0</v>
      </c>
      <c r="F1257" s="92">
        <f t="shared" si="540"/>
        <v>0</v>
      </c>
      <c r="G1257" s="92">
        <f t="shared" si="540"/>
        <v>0</v>
      </c>
      <c r="H1257" s="92">
        <f t="shared" si="540"/>
        <v>0</v>
      </c>
      <c r="I1257" s="92">
        <f>'NOGAL '!$B1257+'NOGAL '!$C1257+'NOGAL '!$D1257+'NOGAL '!$E1257+'NOGAL '!$F1257+'NOGAL '!$G1257+'NOGAL '!$H1257</f>
        <v>0</v>
      </c>
      <c r="J1257" s="300">
        <f>'NOGAL '!$I1257/7</f>
        <v>0</v>
      </c>
    </row>
    <row r="1258" spans="1:10" s="71" customFormat="1" x14ac:dyDescent="0.25">
      <c r="A1258" s="82" t="s">
        <v>30</v>
      </c>
      <c r="B1258" s="237">
        <f>(2311100/1.16)-B1259</f>
        <v>1880267.5862068967</v>
      </c>
      <c r="C1258" s="237">
        <f>(4972500/1.16)-C1259</f>
        <v>4075447.931034483</v>
      </c>
      <c r="D1258" s="237">
        <f>(4535200/1.16)-D1259</f>
        <v>3722170.1724137934</v>
      </c>
      <c r="E1258" s="237">
        <f>(4014500/1.16)-E1259</f>
        <v>3292685.8620689656</v>
      </c>
      <c r="F1258" s="237">
        <f>(8412000/1.16)-F1259</f>
        <v>6922009.1379310349</v>
      </c>
      <c r="G1258" s="237">
        <f>(8934100/1.16)-G1259</f>
        <v>7341925.3448275868</v>
      </c>
      <c r="H1258" s="237">
        <f>(9920600/1.16)-H1259</f>
        <v>8063056.3793103453</v>
      </c>
      <c r="I1258" s="91">
        <f>SUM(I1253:I1257)</f>
        <v>35297562.413793109</v>
      </c>
      <c r="J1258" s="361">
        <f>'NOGAL '!$I1258/7</f>
        <v>5042508.9162561586</v>
      </c>
    </row>
    <row r="1259" spans="1:10" s="71" customFormat="1" x14ac:dyDescent="0.25">
      <c r="A1259" s="77" t="s">
        <v>31</v>
      </c>
      <c r="B1259" s="452">
        <f t="shared" ref="B1259:G1259" si="541">2155*B1240</f>
        <v>112060</v>
      </c>
      <c r="C1259" s="94">
        <f t="shared" si="541"/>
        <v>211190</v>
      </c>
      <c r="D1259" s="94">
        <f t="shared" si="541"/>
        <v>187485</v>
      </c>
      <c r="E1259" s="94">
        <f t="shared" si="541"/>
        <v>168090</v>
      </c>
      <c r="F1259" s="94">
        <f t="shared" si="541"/>
        <v>329715</v>
      </c>
      <c r="G1259" s="94">
        <f t="shared" si="541"/>
        <v>359885</v>
      </c>
      <c r="H1259" s="94">
        <f>2155*H1240</f>
        <v>489185</v>
      </c>
      <c r="I1259" s="94">
        <f>2155*I1240</f>
        <v>1857610</v>
      </c>
      <c r="J1259" s="302">
        <f>2155*J1240</f>
        <v>265372.85714285716</v>
      </c>
    </row>
    <row r="1260" spans="1:10" s="71" customFormat="1" x14ac:dyDescent="0.25">
      <c r="A1260" s="83" t="s">
        <v>32</v>
      </c>
      <c r="B1260" s="453">
        <f>B1258+B1259</f>
        <v>1992327.5862068967</v>
      </c>
      <c r="C1260" s="39">
        <f>C1258+C1259</f>
        <v>4286637.931034483</v>
      </c>
      <c r="D1260" s="39">
        <f t="shared" ref="D1260:J1260" si="542">D1258+D1259</f>
        <v>3909655.1724137934</v>
      </c>
      <c r="E1260" s="39">
        <f t="shared" si="542"/>
        <v>3460775.8620689656</v>
      </c>
      <c r="F1260" s="39">
        <f t="shared" si="542"/>
        <v>7251724.1379310349</v>
      </c>
      <c r="G1260" s="39">
        <f t="shared" si="542"/>
        <v>7701810.3448275868</v>
      </c>
      <c r="H1260" s="39">
        <f t="shared" si="542"/>
        <v>8552241.3793103453</v>
      </c>
      <c r="I1260" s="39">
        <f t="shared" si="542"/>
        <v>37155172.413793109</v>
      </c>
      <c r="J1260" s="364">
        <f t="shared" si="542"/>
        <v>5307881.7733990159</v>
      </c>
    </row>
    <row r="1261" spans="1:10" s="71" customFormat="1" x14ac:dyDescent="0.25">
      <c r="A1261" s="77" t="s">
        <v>33</v>
      </c>
      <c r="B1261" s="454">
        <f>B1260*16%</f>
        <v>318772.41379310348</v>
      </c>
      <c r="C1261" s="41">
        <f>C1260*16%</f>
        <v>685862.06896551733</v>
      </c>
      <c r="D1261" s="41">
        <f t="shared" ref="D1261:J1261" si="543">D1260*16%</f>
        <v>625544.82758620696</v>
      </c>
      <c r="E1261" s="41">
        <f t="shared" si="543"/>
        <v>553724.13793103455</v>
      </c>
      <c r="F1261" s="41">
        <f t="shared" si="543"/>
        <v>1160275.8620689656</v>
      </c>
      <c r="G1261" s="41">
        <f t="shared" si="543"/>
        <v>1232289.6551724139</v>
      </c>
      <c r="H1261" s="41">
        <f t="shared" si="543"/>
        <v>1368358.6206896552</v>
      </c>
      <c r="I1261" s="41">
        <f t="shared" si="543"/>
        <v>5944827.5862068972</v>
      </c>
      <c r="J1261" s="415">
        <f t="shared" si="543"/>
        <v>849261.08374384255</v>
      </c>
    </row>
    <row r="1262" spans="1:10" s="71" customFormat="1" x14ac:dyDescent="0.25">
      <c r="A1262" s="142" t="s">
        <v>34</v>
      </c>
      <c r="B1262" s="438">
        <f t="shared" ref="B1262:H1262" si="544">B1260+B1261</f>
        <v>2311100</v>
      </c>
      <c r="C1262" s="144">
        <f t="shared" si="544"/>
        <v>4972500</v>
      </c>
      <c r="D1262" s="144">
        <f t="shared" si="544"/>
        <v>4535200</v>
      </c>
      <c r="E1262" s="144">
        <f t="shared" si="544"/>
        <v>4014500</v>
      </c>
      <c r="F1262" s="144">
        <f t="shared" si="544"/>
        <v>8412000</v>
      </c>
      <c r="G1262" s="144">
        <f t="shared" si="544"/>
        <v>8934100</v>
      </c>
      <c r="H1262" s="144">
        <f t="shared" si="544"/>
        <v>9920600</v>
      </c>
      <c r="I1262" s="144">
        <f>+I1260+I1261</f>
        <v>43100000.000000007</v>
      </c>
      <c r="J1262" s="441">
        <f>'NOGAL '!$I1262/7</f>
        <v>6157142.8571428582</v>
      </c>
    </row>
    <row r="1263" spans="1:10" s="71" customFormat="1" ht="15.75" thickBot="1" x14ac:dyDescent="0.3">
      <c r="A1263" s="69"/>
      <c r="B1263" s="424"/>
      <c r="C1263" s="424"/>
      <c r="D1263" s="424"/>
      <c r="E1263" s="424"/>
      <c r="F1263" s="424"/>
      <c r="G1263" s="424"/>
      <c r="H1263" s="424"/>
      <c r="I1263" s="424"/>
      <c r="J1263" s="424"/>
    </row>
    <row r="1264" spans="1:10" s="71" customFormat="1" ht="27" thickBot="1" x14ac:dyDescent="0.3">
      <c r="A1264" s="85"/>
      <c r="B1264" s="1002" t="s">
        <v>387</v>
      </c>
      <c r="C1264" s="1002"/>
      <c r="D1264" s="1002"/>
      <c r="E1264" s="1002"/>
      <c r="F1264" s="1002"/>
      <c r="G1264" s="1002"/>
      <c r="H1264" s="1002"/>
      <c r="I1264" s="1002"/>
      <c r="J1264" s="85"/>
    </row>
    <row r="1265" spans="1:10" s="71" customFormat="1" ht="16.5" thickBot="1" x14ac:dyDescent="0.3">
      <c r="A1265" s="72" t="s">
        <v>2</v>
      </c>
      <c r="B1265" s="232" t="s">
        <v>163</v>
      </c>
      <c r="C1265" s="232" t="s">
        <v>164</v>
      </c>
      <c r="D1265" s="232" t="s">
        <v>323</v>
      </c>
      <c r="E1265" s="232" t="s">
        <v>324</v>
      </c>
      <c r="F1265" s="232" t="s">
        <v>325</v>
      </c>
      <c r="G1265" s="232" t="s">
        <v>326</v>
      </c>
      <c r="H1265" s="232" t="s">
        <v>327</v>
      </c>
      <c r="I1265" s="153" t="s">
        <v>10</v>
      </c>
      <c r="J1265" s="421" t="s">
        <v>77</v>
      </c>
    </row>
    <row r="1266" spans="1:10" s="71" customFormat="1" ht="15.75" thickTop="1" x14ac:dyDescent="0.25">
      <c r="A1266" s="430" t="s">
        <v>11</v>
      </c>
      <c r="B1266" s="433">
        <v>119</v>
      </c>
      <c r="C1266" s="75">
        <v>101</v>
      </c>
      <c r="D1266" s="75">
        <v>145</v>
      </c>
      <c r="E1266" s="316">
        <f>80+34+9</f>
        <v>123</v>
      </c>
      <c r="F1266" s="316">
        <f>201+69+33</f>
        <v>303</v>
      </c>
      <c r="G1266" s="316">
        <f>178+81+39</f>
        <v>298</v>
      </c>
      <c r="H1266" s="316">
        <f>187+71+41</f>
        <v>299</v>
      </c>
      <c r="I1266" s="316">
        <f>SUM(B1266:H1266)</f>
        <v>1388</v>
      </c>
      <c r="J1266" s="437">
        <f>'NOGAL '!$I1266/7</f>
        <v>198.28571428571428</v>
      </c>
    </row>
    <row r="1267" spans="1:10" s="71" customFormat="1" x14ac:dyDescent="0.25">
      <c r="A1267" s="77" t="s">
        <v>12</v>
      </c>
      <c r="B1267" s="448">
        <v>60</v>
      </c>
      <c r="C1267" s="86">
        <v>56</v>
      </c>
      <c r="D1267" s="11">
        <v>69</v>
      </c>
      <c r="E1267" s="86">
        <v>79</v>
      </c>
      <c r="F1267" s="86">
        <v>156</v>
      </c>
      <c r="G1267" s="11">
        <v>184</v>
      </c>
      <c r="H1267" s="11">
        <v>190</v>
      </c>
      <c r="I1267" s="11">
        <f>B1267+C1267+D1267+E1267+F1267+G1267+H1267</f>
        <v>794</v>
      </c>
      <c r="J1267" s="292">
        <f>'NOGAL '!$I1267/7</f>
        <v>113.42857142857143</v>
      </c>
    </row>
    <row r="1268" spans="1:10" s="71" customFormat="1" x14ac:dyDescent="0.25">
      <c r="A1268" s="77" t="s">
        <v>13</v>
      </c>
      <c r="B1268" s="448">
        <v>2</v>
      </c>
      <c r="C1268" s="11">
        <v>3</v>
      </c>
      <c r="D1268" s="11">
        <v>4</v>
      </c>
      <c r="E1268" s="11">
        <v>0</v>
      </c>
      <c r="F1268" s="11">
        <v>1</v>
      </c>
      <c r="G1268" s="11">
        <v>1</v>
      </c>
      <c r="H1268" s="11">
        <v>3</v>
      </c>
      <c r="I1268" s="11">
        <f>B1268+C1268+D1268+E1268+F1268+G1268+H1268</f>
        <v>14</v>
      </c>
      <c r="J1268" s="292">
        <f>C1268+D1268+E1268+F1268+G1268+H1268+I1268</f>
        <v>26</v>
      </c>
    </row>
    <row r="1269" spans="1:10" s="71" customFormat="1" x14ac:dyDescent="0.25">
      <c r="A1269" s="77" t="s">
        <v>14</v>
      </c>
      <c r="B1269" s="448">
        <v>18</v>
      </c>
      <c r="C1269" s="11">
        <v>18</v>
      </c>
      <c r="D1269" s="11">
        <v>24</v>
      </c>
      <c r="E1269" s="11">
        <v>23</v>
      </c>
      <c r="F1269" s="11">
        <v>49</v>
      </c>
      <c r="G1269" s="11">
        <v>28</v>
      </c>
      <c r="H1269" s="11">
        <v>25</v>
      </c>
      <c r="I1269" s="11">
        <f>B1269+C1269+D1269+E1269+F1269+G1269+H1269</f>
        <v>185</v>
      </c>
      <c r="J1269" s="292">
        <f>'NOGAL '!$I1269/7</f>
        <v>26.428571428571427</v>
      </c>
    </row>
    <row r="1270" spans="1:10" s="71" customFormat="1" x14ac:dyDescent="0.25">
      <c r="A1270" s="77" t="s">
        <v>15</v>
      </c>
      <c r="B1270" s="448">
        <v>2</v>
      </c>
      <c r="C1270" s="11">
        <v>2</v>
      </c>
      <c r="D1270" s="11">
        <v>0</v>
      </c>
      <c r="E1270" s="11">
        <v>0</v>
      </c>
      <c r="F1270" s="11">
        <v>5</v>
      </c>
      <c r="G1270" s="11">
        <v>6</v>
      </c>
      <c r="H1270" s="11">
        <v>4</v>
      </c>
      <c r="I1270" s="11">
        <f>B1270+C1270+D1270+E1270+F1270+G1270+H1270</f>
        <v>19</v>
      </c>
      <c r="J1270" s="292">
        <f>'NOGAL '!$I1270/7</f>
        <v>2.7142857142857144</v>
      </c>
    </row>
    <row r="1271" spans="1:10" s="71" customFormat="1" x14ac:dyDescent="0.25">
      <c r="A1271" s="77" t="s">
        <v>16</v>
      </c>
      <c r="B1271" s="448">
        <v>0</v>
      </c>
      <c r="C1271" s="11">
        <v>0</v>
      </c>
      <c r="D1271" s="11">
        <v>0</v>
      </c>
      <c r="E1271" s="11">
        <v>0</v>
      </c>
      <c r="F1271" s="11">
        <v>0</v>
      </c>
      <c r="G1271" s="11">
        <v>0</v>
      </c>
      <c r="H1271" s="11">
        <v>0</v>
      </c>
      <c r="I1271" s="11">
        <f>B1271+C1271+D1271+E1271+F1271+G1271+H1271</f>
        <v>0</v>
      </c>
      <c r="J1271" s="292">
        <f>'NOGAL '!$I1271/7</f>
        <v>0</v>
      </c>
    </row>
    <row r="1272" spans="1:10" s="71" customFormat="1" x14ac:dyDescent="0.25">
      <c r="A1272" s="79" t="s">
        <v>17</v>
      </c>
      <c r="B1272" s="102">
        <f>SUM(B1267:B1271)</f>
        <v>82</v>
      </c>
      <c r="C1272" s="103">
        <f t="shared" ref="C1272:H1272" si="545">SUM(C1267:C1271)</f>
        <v>79</v>
      </c>
      <c r="D1272" s="103">
        <f t="shared" si="545"/>
        <v>97</v>
      </c>
      <c r="E1272" s="103">
        <f t="shared" si="545"/>
        <v>102</v>
      </c>
      <c r="F1272" s="103">
        <f t="shared" si="545"/>
        <v>211</v>
      </c>
      <c r="G1272" s="103">
        <f t="shared" si="545"/>
        <v>219</v>
      </c>
      <c r="H1272" s="103">
        <f t="shared" si="545"/>
        <v>222</v>
      </c>
      <c r="I1272" s="103">
        <f>SUM(I1267:I1271)</f>
        <v>1012</v>
      </c>
      <c r="J1272" s="405">
        <f>'NOGAL '!$I1272/7</f>
        <v>144.57142857142858</v>
      </c>
    </row>
    <row r="1273" spans="1:10" s="71" customFormat="1" x14ac:dyDescent="0.25">
      <c r="A1273" s="77" t="s">
        <v>18</v>
      </c>
      <c r="B1273" s="449">
        <v>0.83</v>
      </c>
      <c r="C1273" s="236">
        <v>0.78</v>
      </c>
      <c r="D1273" s="236">
        <v>0.82</v>
      </c>
      <c r="E1273" s="236">
        <v>0.86</v>
      </c>
      <c r="F1273" s="236">
        <v>0.82</v>
      </c>
      <c r="G1273" s="236">
        <v>0.91</v>
      </c>
      <c r="H1273" s="236">
        <v>0.89</v>
      </c>
      <c r="I1273" s="18">
        <f>I1280/I1285</f>
        <v>0.85577537505432744</v>
      </c>
      <c r="J1273" s="297">
        <f>J1280/J1285</f>
        <v>0.85577537505432744</v>
      </c>
    </row>
    <row r="1274" spans="1:10" s="71" customFormat="1" x14ac:dyDescent="0.25">
      <c r="A1274" s="77" t="s">
        <v>19</v>
      </c>
      <c r="B1274" s="449">
        <v>0.02</v>
      </c>
      <c r="C1274" s="236">
        <v>0.01</v>
      </c>
      <c r="D1274" s="236">
        <v>0.03</v>
      </c>
      <c r="E1274" s="236">
        <v>0</v>
      </c>
      <c r="F1274" s="236">
        <v>0</v>
      </c>
      <c r="G1274" s="236">
        <v>0</v>
      </c>
      <c r="H1274" s="236">
        <v>0</v>
      </c>
      <c r="I1274" s="18">
        <f>I1281/I1285</f>
        <v>5.4975526984985187E-3</v>
      </c>
      <c r="J1274" s="297">
        <f>J1281/J1285</f>
        <v>5.4975526984985187E-3</v>
      </c>
    </row>
    <row r="1275" spans="1:10" s="71" customFormat="1" x14ac:dyDescent="0.25">
      <c r="A1275" s="77" t="s">
        <v>20</v>
      </c>
      <c r="B1275" s="449">
        <v>0.14000000000000001</v>
      </c>
      <c r="C1275" s="236">
        <v>0.18</v>
      </c>
      <c r="D1275" s="236">
        <v>0.15</v>
      </c>
      <c r="E1275" s="236">
        <v>0.14000000000000001</v>
      </c>
      <c r="F1275" s="236">
        <v>0.16</v>
      </c>
      <c r="G1275" s="236">
        <v>7.0000000000000007E-2</v>
      </c>
      <c r="H1275" s="236">
        <v>0.09</v>
      </c>
      <c r="I1275" s="18">
        <f>I1282/I1285</f>
        <v>0.1226635985180823</v>
      </c>
      <c r="J1275" s="297">
        <f>J1282/J1285</f>
        <v>0.12266359851808231</v>
      </c>
    </row>
    <row r="1276" spans="1:10" s="71" customFormat="1" x14ac:dyDescent="0.25">
      <c r="A1276" s="77" t="s">
        <v>21</v>
      </c>
      <c r="B1276" s="449">
        <v>0.01</v>
      </c>
      <c r="C1276" s="236">
        <v>0.03</v>
      </c>
      <c r="D1276" s="236">
        <v>0</v>
      </c>
      <c r="E1276" s="236">
        <v>0</v>
      </c>
      <c r="F1276" s="236">
        <v>0.02</v>
      </c>
      <c r="G1276" s="236">
        <v>0.02</v>
      </c>
      <c r="H1276" s="236">
        <v>0.02</v>
      </c>
      <c r="I1276" s="18">
        <f>I1283/I1285</f>
        <v>1.6063473729091789E-2</v>
      </c>
      <c r="J1276" s="297">
        <f>J1283/J1285</f>
        <v>1.6063473729091792E-2</v>
      </c>
    </row>
    <row r="1277" spans="1:10" s="71" customFormat="1" x14ac:dyDescent="0.25">
      <c r="A1277" s="77" t="s">
        <v>22</v>
      </c>
      <c r="B1277" s="449">
        <v>0</v>
      </c>
      <c r="C1277" s="236">
        <v>0</v>
      </c>
      <c r="D1277" s="236">
        <v>0</v>
      </c>
      <c r="E1277" s="236">
        <v>0</v>
      </c>
      <c r="F1277" s="236">
        <v>0</v>
      </c>
      <c r="G1277" s="236">
        <v>0</v>
      </c>
      <c r="H1277" s="236">
        <v>0</v>
      </c>
      <c r="I1277" s="18">
        <f>I1284/I1285</f>
        <v>0</v>
      </c>
      <c r="J1277" s="297">
        <f>J1284/J1285</f>
        <v>0</v>
      </c>
    </row>
    <row r="1278" spans="1:10" s="71" customFormat="1" x14ac:dyDescent="0.25">
      <c r="A1278" s="81" t="s">
        <v>23</v>
      </c>
      <c r="B1278" s="450">
        <f t="shared" ref="B1278:J1278" si="546">B1289/B1272</f>
        <v>38408.536585365851</v>
      </c>
      <c r="C1278" s="130">
        <f t="shared" si="546"/>
        <v>39087.3417721519</v>
      </c>
      <c r="D1278" s="130">
        <f t="shared" si="546"/>
        <v>44335.051546391755</v>
      </c>
      <c r="E1278" s="130">
        <f t="shared" si="546"/>
        <v>36085.294117647056</v>
      </c>
      <c r="F1278" s="130">
        <f t="shared" si="546"/>
        <v>42616.587677725118</v>
      </c>
      <c r="G1278" s="130">
        <f t="shared" si="546"/>
        <v>41347.488584474886</v>
      </c>
      <c r="H1278" s="130">
        <f t="shared" si="546"/>
        <v>38377.927927927929</v>
      </c>
      <c r="I1278" s="130">
        <f t="shared" si="546"/>
        <v>40302.075098814232</v>
      </c>
      <c r="J1278" s="314">
        <f t="shared" si="546"/>
        <v>40302.075098814232</v>
      </c>
    </row>
    <row r="1279" spans="1:10" s="71" customFormat="1" x14ac:dyDescent="0.25">
      <c r="A1279" s="81" t="s">
        <v>24</v>
      </c>
      <c r="B1279" s="450">
        <f t="shared" ref="B1279:J1279" si="547">B1289/B1266</f>
        <v>26466.386554621848</v>
      </c>
      <c r="C1279" s="130">
        <f t="shared" si="547"/>
        <v>30573.267326732672</v>
      </c>
      <c r="D1279" s="130">
        <f t="shared" si="547"/>
        <v>29658.620689655174</v>
      </c>
      <c r="E1279" s="130">
        <f t="shared" si="547"/>
        <v>29924.390243902439</v>
      </c>
      <c r="F1279" s="130">
        <f t="shared" si="547"/>
        <v>29676.897689768975</v>
      </c>
      <c r="G1279" s="130">
        <f t="shared" si="547"/>
        <v>30386.241610738256</v>
      </c>
      <c r="H1279" s="130">
        <f t="shared" si="547"/>
        <v>28494.648829431437</v>
      </c>
      <c r="I1279" s="130">
        <f t="shared" si="547"/>
        <v>29384.510086455331</v>
      </c>
      <c r="J1279" s="314">
        <f t="shared" si="547"/>
        <v>29384.510086455335</v>
      </c>
    </row>
    <row r="1280" spans="1:10" s="71" customFormat="1" x14ac:dyDescent="0.25">
      <c r="A1280" s="77" t="s">
        <v>25</v>
      </c>
      <c r="B1280" s="451">
        <f t="shared" ref="B1280:H1280" si="548">B1285*B1273</f>
        <v>2146202.5517241377</v>
      </c>
      <c r="C1280" s="92">
        <f t="shared" si="548"/>
        <v>1982216.1517241381</v>
      </c>
      <c r="D1280" s="92">
        <f t="shared" si="548"/>
        <v>2918078.7206896553</v>
      </c>
      <c r="E1280" s="92">
        <f t="shared" si="548"/>
        <v>2582384.1275862069</v>
      </c>
      <c r="F1280" s="92">
        <f t="shared" si="548"/>
        <v>6080816.8827586211</v>
      </c>
      <c r="G1280" s="92">
        <f t="shared" si="548"/>
        <v>6742736.6275862074</v>
      </c>
      <c r="H1280" s="92">
        <f t="shared" si="548"/>
        <v>6172409.3275862075</v>
      </c>
      <c r="I1280" s="92">
        <f>'NOGAL '!$B1280+'NOGAL '!$C1280+'NOGAL '!$D1280+'NOGAL '!$E1280+'NOGAL '!$F1280+'NOGAL '!$G1280+'NOGAL '!$H1280</f>
        <v>28624844.389655173</v>
      </c>
      <c r="J1280" s="300">
        <f>'NOGAL '!$I1280/7</f>
        <v>4089263.4842364532</v>
      </c>
    </row>
    <row r="1281" spans="1:10" s="71" customFormat="1" x14ac:dyDescent="0.25">
      <c r="A1281" s="77" t="s">
        <v>26</v>
      </c>
      <c r="B1281" s="451">
        <f t="shared" ref="B1281:H1281" si="549">B1285*B1274</f>
        <v>51715.724137931036</v>
      </c>
      <c r="C1281" s="92">
        <f t="shared" si="549"/>
        <v>25413.027586206896</v>
      </c>
      <c r="D1281" s="92">
        <f t="shared" si="549"/>
        <v>106758.97758620689</v>
      </c>
      <c r="E1281" s="92">
        <f t="shared" si="549"/>
        <v>0</v>
      </c>
      <c r="F1281" s="92">
        <f t="shared" si="549"/>
        <v>0</v>
      </c>
      <c r="G1281" s="92">
        <f t="shared" si="549"/>
        <v>0</v>
      </c>
      <c r="H1281" s="92">
        <f t="shared" si="549"/>
        <v>0</v>
      </c>
      <c r="I1281" s="92">
        <f>'NOGAL '!$B1281+'NOGAL '!$C1281+'NOGAL '!$D1281+'NOGAL '!$E1281+'NOGAL '!$F1281+'NOGAL '!$G1281+'NOGAL '!$H1281</f>
        <v>183887.72931034482</v>
      </c>
      <c r="J1281" s="300">
        <f>'NOGAL '!$I1281/7</f>
        <v>26269.675615763546</v>
      </c>
    </row>
    <row r="1282" spans="1:10" s="71" customFormat="1" x14ac:dyDescent="0.25">
      <c r="A1282" s="77" t="s">
        <v>27</v>
      </c>
      <c r="B1282" s="451">
        <f t="shared" ref="B1282:H1282" si="550">B1285*B1275</f>
        <v>362010.06896551728</v>
      </c>
      <c r="C1282" s="92">
        <f t="shared" si="550"/>
        <v>457434.49655172409</v>
      </c>
      <c r="D1282" s="92">
        <f t="shared" si="550"/>
        <v>533794.88793103443</v>
      </c>
      <c r="E1282" s="92">
        <f t="shared" si="550"/>
        <v>420388.11379310349</v>
      </c>
      <c r="F1282" s="92">
        <f t="shared" si="550"/>
        <v>1186500.8551724139</v>
      </c>
      <c r="G1282" s="92">
        <f t="shared" si="550"/>
        <v>518672.04827586212</v>
      </c>
      <c r="H1282" s="92">
        <f t="shared" si="550"/>
        <v>624176.22413793101</v>
      </c>
      <c r="I1282" s="92">
        <f>'NOGAL '!$B1282+'NOGAL '!$C1282+'NOGAL '!$D1282+'NOGAL '!$E1282+'NOGAL '!$F1282+'NOGAL '!$G1282+'NOGAL '!$H1282</f>
        <v>4102976.6948275864</v>
      </c>
      <c r="J1282" s="300">
        <f>'NOGAL '!$I1282/7</f>
        <v>586139.52783251239</v>
      </c>
    </row>
    <row r="1283" spans="1:10" s="71" customFormat="1" x14ac:dyDescent="0.25">
      <c r="A1283" s="77" t="s">
        <v>28</v>
      </c>
      <c r="B1283" s="451">
        <f t="shared" ref="B1283:H1283" si="551">B1285*B1276</f>
        <v>25857.862068965518</v>
      </c>
      <c r="C1283" s="92">
        <f t="shared" si="551"/>
        <v>76239.082758620687</v>
      </c>
      <c r="D1283" s="92">
        <f t="shared" si="551"/>
        <v>0</v>
      </c>
      <c r="E1283" s="92">
        <f t="shared" si="551"/>
        <v>0</v>
      </c>
      <c r="F1283" s="92">
        <f t="shared" si="551"/>
        <v>148312.60689655173</v>
      </c>
      <c r="G1283" s="92">
        <f t="shared" si="551"/>
        <v>148192.01379310346</v>
      </c>
      <c r="H1283" s="92">
        <f t="shared" si="551"/>
        <v>138705.8275862069</v>
      </c>
      <c r="I1283" s="92">
        <f>'NOGAL '!$B1283+'NOGAL '!$C1283+'NOGAL '!$D1283+'NOGAL '!$E1283+'NOGAL '!$F1283+'NOGAL '!$G1283+'NOGAL '!$H1283</f>
        <v>537307.39310344821</v>
      </c>
      <c r="J1283" s="300">
        <f>'NOGAL '!$I1283/7</f>
        <v>76758.199014778322</v>
      </c>
    </row>
    <row r="1284" spans="1:10" s="71" customFormat="1" x14ac:dyDescent="0.25">
      <c r="A1284" s="77" t="s">
        <v>29</v>
      </c>
      <c r="B1284" s="451">
        <f t="shared" ref="B1284:H1284" si="552">B1285*B1277</f>
        <v>0</v>
      </c>
      <c r="C1284" s="92">
        <f t="shared" si="552"/>
        <v>0</v>
      </c>
      <c r="D1284" s="92">
        <f t="shared" si="552"/>
        <v>0</v>
      </c>
      <c r="E1284" s="92">
        <f t="shared" si="552"/>
        <v>0</v>
      </c>
      <c r="F1284" s="92">
        <f t="shared" si="552"/>
        <v>0</v>
      </c>
      <c r="G1284" s="92">
        <f t="shared" si="552"/>
        <v>0</v>
      </c>
      <c r="H1284" s="92">
        <f t="shared" si="552"/>
        <v>0</v>
      </c>
      <c r="I1284" s="92">
        <f>'NOGAL '!$B1284+'NOGAL '!$C1284+'NOGAL '!$D1284+'NOGAL '!$E1284+'NOGAL '!$F1284+'NOGAL '!$G1284+'NOGAL '!$H1284</f>
        <v>0</v>
      </c>
      <c r="J1284" s="300">
        <f>'NOGAL '!$I1284/7</f>
        <v>0</v>
      </c>
    </row>
    <row r="1285" spans="1:10" s="71" customFormat="1" x14ac:dyDescent="0.25">
      <c r="A1285" s="82" t="s">
        <v>30</v>
      </c>
      <c r="B1285" s="237">
        <f>(3149500/1.16)-B1286</f>
        <v>2585786.2068965519</v>
      </c>
      <c r="C1285" s="237">
        <f>(3087900/1.16)-C1286</f>
        <v>2541302.7586206896</v>
      </c>
      <c r="D1285" s="237">
        <f>(4300500/1.16)-D1286</f>
        <v>3558632.5862068967</v>
      </c>
      <c r="E1285" s="237">
        <f>(3680700/1.16)-E1286</f>
        <v>3002772.2413793104</v>
      </c>
      <c r="F1285" s="237">
        <f>(8992100/1.16)-F1286</f>
        <v>7415630.3448275868</v>
      </c>
      <c r="G1285" s="237">
        <f>(9055100/1.16)-G1286</f>
        <v>7409600.6896551726</v>
      </c>
      <c r="H1285" s="237">
        <f>(8519900/1.16)-H1286</f>
        <v>6935291.3793103453</v>
      </c>
      <c r="I1285" s="91">
        <f>SUM(I1280:I1284)</f>
        <v>33449016.206896551</v>
      </c>
      <c r="J1285" s="361">
        <f>'NOGAL '!$I1285/7</f>
        <v>4778430.886699507</v>
      </c>
    </row>
    <row r="1286" spans="1:10" s="71" customFormat="1" x14ac:dyDescent="0.25">
      <c r="A1286" s="77" t="s">
        <v>31</v>
      </c>
      <c r="B1286" s="452">
        <f t="shared" ref="B1286:G1286" si="553">2155*B1267</f>
        <v>129300</v>
      </c>
      <c r="C1286" s="94">
        <f t="shared" si="553"/>
        <v>120680</v>
      </c>
      <c r="D1286" s="94">
        <f t="shared" si="553"/>
        <v>148695</v>
      </c>
      <c r="E1286" s="94">
        <f t="shared" si="553"/>
        <v>170245</v>
      </c>
      <c r="F1286" s="94">
        <f t="shared" si="553"/>
        <v>336180</v>
      </c>
      <c r="G1286" s="94">
        <f t="shared" si="553"/>
        <v>396520</v>
      </c>
      <c r="H1286" s="94">
        <f>2155*H1267</f>
        <v>409450</v>
      </c>
      <c r="I1286" s="94">
        <f>2155*I1267</f>
        <v>1711070</v>
      </c>
      <c r="J1286" s="302">
        <f>2155*J1267</f>
        <v>244438.57142857142</v>
      </c>
    </row>
    <row r="1287" spans="1:10" s="71" customFormat="1" x14ac:dyDescent="0.25">
      <c r="A1287" s="83" t="s">
        <v>32</v>
      </c>
      <c r="B1287" s="453">
        <f>B1285+B1286</f>
        <v>2715086.2068965519</v>
      </c>
      <c r="C1287" s="39">
        <f>C1285+C1286</f>
        <v>2661982.7586206896</v>
      </c>
      <c r="D1287" s="39">
        <f t="shared" ref="D1287:J1287" si="554">D1285+D1286</f>
        <v>3707327.5862068967</v>
      </c>
      <c r="E1287" s="39">
        <f t="shared" si="554"/>
        <v>3173017.2413793104</v>
      </c>
      <c r="F1287" s="39">
        <f t="shared" si="554"/>
        <v>7751810.3448275868</v>
      </c>
      <c r="G1287" s="39">
        <f t="shared" si="554"/>
        <v>7806120.6896551726</v>
      </c>
      <c r="H1287" s="39">
        <f t="shared" si="554"/>
        <v>7344741.3793103453</v>
      </c>
      <c r="I1287" s="39">
        <f t="shared" si="554"/>
        <v>35160086.206896551</v>
      </c>
      <c r="J1287" s="364">
        <f t="shared" si="554"/>
        <v>5022869.4581280788</v>
      </c>
    </row>
    <row r="1288" spans="1:10" s="71" customFormat="1" x14ac:dyDescent="0.25">
      <c r="A1288" s="77" t="s">
        <v>33</v>
      </c>
      <c r="B1288" s="454">
        <f>B1287*16%</f>
        <v>434413.79310344829</v>
      </c>
      <c r="C1288" s="41">
        <f>C1287*16%</f>
        <v>425917.24137931038</v>
      </c>
      <c r="D1288" s="41">
        <f t="shared" ref="D1288:J1288" si="555">D1287*16%</f>
        <v>593172.41379310354</v>
      </c>
      <c r="E1288" s="41">
        <f t="shared" si="555"/>
        <v>507682.75862068968</v>
      </c>
      <c r="F1288" s="41">
        <f t="shared" si="555"/>
        <v>1240289.6551724139</v>
      </c>
      <c r="G1288" s="41">
        <f t="shared" si="555"/>
        <v>1248979.3103448276</v>
      </c>
      <c r="H1288" s="41">
        <f t="shared" si="555"/>
        <v>1175158.6206896552</v>
      </c>
      <c r="I1288" s="41">
        <f t="shared" si="555"/>
        <v>5625613.7931034481</v>
      </c>
      <c r="J1288" s="415">
        <f t="shared" si="555"/>
        <v>803659.11330049264</v>
      </c>
    </row>
    <row r="1289" spans="1:10" s="71" customFormat="1" x14ac:dyDescent="0.25">
      <c r="A1289" s="142" t="s">
        <v>34</v>
      </c>
      <c r="B1289" s="438">
        <f t="shared" ref="B1289:H1289" si="556">B1287+B1288</f>
        <v>3149500</v>
      </c>
      <c r="C1289" s="144">
        <f t="shared" si="556"/>
        <v>3087900</v>
      </c>
      <c r="D1289" s="144">
        <f t="shared" si="556"/>
        <v>4300500</v>
      </c>
      <c r="E1289" s="144">
        <f t="shared" si="556"/>
        <v>3680700</v>
      </c>
      <c r="F1289" s="144">
        <f t="shared" si="556"/>
        <v>8992100</v>
      </c>
      <c r="G1289" s="144">
        <f t="shared" si="556"/>
        <v>9055100</v>
      </c>
      <c r="H1289" s="144">
        <f t="shared" si="556"/>
        <v>8519900</v>
      </c>
      <c r="I1289" s="144">
        <f>+I1287+I1288</f>
        <v>40785700</v>
      </c>
      <c r="J1289" s="441">
        <f>'NOGAL '!$I1289/7</f>
        <v>5826528.5714285718</v>
      </c>
    </row>
    <row r="1290" spans="1:10" s="71" customFormat="1" ht="15.75" thickBot="1" x14ac:dyDescent="0.3">
      <c r="A1290" s="69"/>
      <c r="B1290" s="424"/>
      <c r="C1290" s="424"/>
      <c r="D1290" s="424"/>
      <c r="E1290" s="424"/>
      <c r="F1290" s="424"/>
      <c r="G1290" s="424"/>
      <c r="H1290" s="424"/>
      <c r="I1290" s="424"/>
      <c r="J1290" s="424"/>
    </row>
    <row r="1291" spans="1:10" s="71" customFormat="1" ht="27" thickBot="1" x14ac:dyDescent="0.3">
      <c r="A1291" s="85"/>
      <c r="B1291" s="1002" t="s">
        <v>388</v>
      </c>
      <c r="C1291" s="1002"/>
      <c r="D1291" s="1002"/>
      <c r="E1291" s="1002"/>
      <c r="F1291" s="1002"/>
      <c r="G1291" s="1002"/>
      <c r="H1291" s="1002"/>
      <c r="I1291" s="1002"/>
      <c r="J1291" s="85"/>
    </row>
    <row r="1292" spans="1:10" s="71" customFormat="1" ht="16.5" thickBot="1" x14ac:dyDescent="0.3">
      <c r="A1292" s="72" t="s">
        <v>2</v>
      </c>
      <c r="B1292" s="232" t="s">
        <v>329</v>
      </c>
      <c r="C1292" s="232" t="s">
        <v>330</v>
      </c>
      <c r="D1292" s="232" t="s">
        <v>331</v>
      </c>
      <c r="E1292" s="232" t="s">
        <v>332</v>
      </c>
      <c r="F1292" s="232" t="s">
        <v>333</v>
      </c>
      <c r="G1292" s="232" t="s">
        <v>334</v>
      </c>
      <c r="H1292" s="232" t="s">
        <v>335</v>
      </c>
      <c r="I1292" s="153" t="s">
        <v>10</v>
      </c>
      <c r="J1292" s="421" t="s">
        <v>77</v>
      </c>
    </row>
    <row r="1293" spans="1:10" s="71" customFormat="1" ht="15.75" thickTop="1" x14ac:dyDescent="0.25">
      <c r="A1293" s="430" t="s">
        <v>11</v>
      </c>
      <c r="B1293" s="433">
        <f>85+26+2</f>
        <v>113</v>
      </c>
      <c r="C1293" s="75">
        <f>70+24+8</f>
        <v>102</v>
      </c>
      <c r="D1293" s="75">
        <f>92+21+14</f>
        <v>127</v>
      </c>
      <c r="E1293" s="316">
        <f>107+41+18</f>
        <v>166</v>
      </c>
      <c r="F1293" s="316">
        <f>201+74+33</f>
        <v>308</v>
      </c>
      <c r="G1293" s="316">
        <f>140+85+21</f>
        <v>246</v>
      </c>
      <c r="H1293" s="316">
        <f>179+73+32</f>
        <v>284</v>
      </c>
      <c r="I1293" s="316">
        <f>SUM(B1293:H1293)</f>
        <v>1346</v>
      </c>
      <c r="J1293" s="437">
        <f>'NOGAL '!$I1293/7</f>
        <v>192.28571428571428</v>
      </c>
    </row>
    <row r="1294" spans="1:10" s="71" customFormat="1" x14ac:dyDescent="0.25">
      <c r="A1294" s="77" t="s">
        <v>12</v>
      </c>
      <c r="B1294" s="448">
        <v>60</v>
      </c>
      <c r="C1294" s="86">
        <v>65</v>
      </c>
      <c r="D1294" s="11">
        <v>73</v>
      </c>
      <c r="E1294" s="86">
        <v>107</v>
      </c>
      <c r="F1294" s="86">
        <v>184</v>
      </c>
      <c r="G1294" s="11">
        <v>157</v>
      </c>
      <c r="H1294" s="11">
        <v>185</v>
      </c>
      <c r="I1294" s="11">
        <f>B1294+C1294+D1294+E1294+F1294+G1294+H1294</f>
        <v>831</v>
      </c>
      <c r="J1294" s="292">
        <f>'NOGAL '!$I1294/7</f>
        <v>118.71428571428571</v>
      </c>
    </row>
    <row r="1295" spans="1:10" s="71" customFormat="1" x14ac:dyDescent="0.25">
      <c r="A1295" s="77" t="s">
        <v>13</v>
      </c>
      <c r="B1295" s="448">
        <v>4</v>
      </c>
      <c r="C1295" s="11">
        <v>0</v>
      </c>
      <c r="D1295" s="11">
        <v>1</v>
      </c>
      <c r="E1295" s="11">
        <v>4</v>
      </c>
      <c r="F1295" s="11">
        <v>3</v>
      </c>
      <c r="G1295" s="11">
        <v>5</v>
      </c>
      <c r="H1295" s="11">
        <v>3</v>
      </c>
      <c r="I1295" s="11">
        <f>B1295+C1295+D1295+E1295+F1295+G1295+H1295</f>
        <v>20</v>
      </c>
      <c r="J1295" s="292">
        <f>C1295+D1295+E1295+F1295+G1295+H1295+I1295</f>
        <v>36</v>
      </c>
    </row>
    <row r="1296" spans="1:10" s="71" customFormat="1" x14ac:dyDescent="0.25">
      <c r="A1296" s="77" t="s">
        <v>14</v>
      </c>
      <c r="B1296" s="448">
        <v>17</v>
      </c>
      <c r="C1296" s="11">
        <v>21</v>
      </c>
      <c r="D1296" s="11">
        <v>15</v>
      </c>
      <c r="E1296" s="11">
        <v>21</v>
      </c>
      <c r="F1296" s="11">
        <v>31</v>
      </c>
      <c r="G1296" s="11">
        <v>28</v>
      </c>
      <c r="H1296" s="11">
        <v>16</v>
      </c>
      <c r="I1296" s="11">
        <f>B1296+C1296+D1296+E1296+F1296+G1296+H1296</f>
        <v>149</v>
      </c>
      <c r="J1296" s="292">
        <f>'NOGAL '!$I1296/7</f>
        <v>21.285714285714285</v>
      </c>
    </row>
    <row r="1297" spans="1:10" s="71" customFormat="1" x14ac:dyDescent="0.25">
      <c r="A1297" s="77" t="s">
        <v>15</v>
      </c>
      <c r="B1297" s="448">
        <v>1</v>
      </c>
      <c r="C1297" s="11">
        <v>0</v>
      </c>
      <c r="D1297" s="11">
        <v>0</v>
      </c>
      <c r="E1297" s="11">
        <v>0</v>
      </c>
      <c r="F1297" s="11">
        <v>4</v>
      </c>
      <c r="G1297" s="11">
        <v>12</v>
      </c>
      <c r="H1297" s="11">
        <v>9</v>
      </c>
      <c r="I1297" s="11">
        <f>B1297+C1297+D1297+E1297+F1297+G1297+H1297</f>
        <v>26</v>
      </c>
      <c r="J1297" s="292">
        <f>'NOGAL '!$I1297/7</f>
        <v>3.7142857142857144</v>
      </c>
    </row>
    <row r="1298" spans="1:10" s="71" customFormat="1" x14ac:dyDescent="0.25">
      <c r="A1298" s="77" t="s">
        <v>16</v>
      </c>
      <c r="B1298" s="448">
        <v>1</v>
      </c>
      <c r="C1298" s="11">
        <v>0</v>
      </c>
      <c r="D1298" s="11">
        <v>0</v>
      </c>
      <c r="E1298" s="11">
        <v>0</v>
      </c>
      <c r="F1298" s="11">
        <v>0</v>
      </c>
      <c r="G1298" s="11">
        <v>0</v>
      </c>
      <c r="H1298" s="11">
        <v>0</v>
      </c>
      <c r="I1298" s="11">
        <f>B1298+C1298+D1298+E1298+F1298+G1298+H1298</f>
        <v>1</v>
      </c>
      <c r="J1298" s="292">
        <f>'NOGAL '!$I1298/7</f>
        <v>0.14285714285714285</v>
      </c>
    </row>
    <row r="1299" spans="1:10" s="71" customFormat="1" x14ac:dyDescent="0.25">
      <c r="A1299" s="79" t="s">
        <v>17</v>
      </c>
      <c r="B1299" s="102">
        <f>SUM(B1294:B1298)</f>
        <v>83</v>
      </c>
      <c r="C1299" s="103">
        <f t="shared" ref="C1299:H1299" si="557">SUM(C1294:C1298)</f>
        <v>86</v>
      </c>
      <c r="D1299" s="103">
        <f t="shared" si="557"/>
        <v>89</v>
      </c>
      <c r="E1299" s="103">
        <f t="shared" si="557"/>
        <v>132</v>
      </c>
      <c r="F1299" s="103">
        <f t="shared" si="557"/>
        <v>222</v>
      </c>
      <c r="G1299" s="103">
        <f t="shared" si="557"/>
        <v>202</v>
      </c>
      <c r="H1299" s="103">
        <f t="shared" si="557"/>
        <v>213</v>
      </c>
      <c r="I1299" s="103">
        <f>SUM(I1294:I1298)</f>
        <v>1027</v>
      </c>
      <c r="J1299" s="405">
        <f>'NOGAL '!$I1299/7</f>
        <v>146.71428571428572</v>
      </c>
    </row>
    <row r="1300" spans="1:10" s="71" customFormat="1" x14ac:dyDescent="0.25">
      <c r="A1300" s="77" t="s">
        <v>18</v>
      </c>
      <c r="B1300" s="449">
        <v>0.78</v>
      </c>
      <c r="C1300" s="236">
        <v>0.83</v>
      </c>
      <c r="D1300" s="236">
        <v>0.9</v>
      </c>
      <c r="E1300" s="236">
        <v>0.86</v>
      </c>
      <c r="F1300" s="236">
        <v>0.9</v>
      </c>
      <c r="G1300" s="236">
        <v>0.85</v>
      </c>
      <c r="H1300" s="236">
        <v>0.91</v>
      </c>
      <c r="I1300" s="18">
        <f>I1307/I1312</f>
        <v>0.87106166102272775</v>
      </c>
      <c r="J1300" s="297">
        <f>J1307/J1312</f>
        <v>0.87106166102272775</v>
      </c>
    </row>
    <row r="1301" spans="1:10" s="71" customFormat="1" x14ac:dyDescent="0.25">
      <c r="A1301" s="77" t="s">
        <v>19</v>
      </c>
      <c r="B1301" s="449">
        <v>0.02</v>
      </c>
      <c r="C1301" s="236">
        <v>0</v>
      </c>
      <c r="D1301" s="236">
        <v>0.01</v>
      </c>
      <c r="E1301" s="236">
        <v>0.02</v>
      </c>
      <c r="F1301" s="236">
        <v>0.01</v>
      </c>
      <c r="G1301" s="236">
        <v>0.01</v>
      </c>
      <c r="H1301" s="236">
        <v>0.02</v>
      </c>
      <c r="I1301" s="18">
        <f>I1308/I1312</f>
        <v>1.3474097691954748E-2</v>
      </c>
      <c r="J1301" s="297">
        <f>J1308/J1312</f>
        <v>1.3474097691954746E-2</v>
      </c>
    </row>
    <row r="1302" spans="1:10" s="71" customFormat="1" x14ac:dyDescent="0.25">
      <c r="A1302" s="77" t="s">
        <v>20</v>
      </c>
      <c r="B1302" s="449">
        <v>0.18</v>
      </c>
      <c r="C1302" s="236">
        <v>0.17</v>
      </c>
      <c r="D1302" s="236">
        <v>0.09</v>
      </c>
      <c r="E1302" s="236">
        <v>0.12</v>
      </c>
      <c r="F1302" s="236">
        <v>0.08</v>
      </c>
      <c r="G1302" s="236">
        <v>0.1</v>
      </c>
      <c r="H1302" s="236">
        <v>0.04</v>
      </c>
      <c r="I1302" s="18">
        <f>I1309/I1312</f>
        <v>9.7607502127065288E-2</v>
      </c>
      <c r="J1302" s="297">
        <f>J1309/J1312</f>
        <v>9.7607502127065288E-2</v>
      </c>
    </row>
    <row r="1303" spans="1:10" s="71" customFormat="1" x14ac:dyDescent="0.25">
      <c r="A1303" s="77" t="s">
        <v>21</v>
      </c>
      <c r="B1303" s="449">
        <v>0.01</v>
      </c>
      <c r="C1303" s="236">
        <v>0</v>
      </c>
      <c r="D1303" s="236">
        <v>0</v>
      </c>
      <c r="E1303" s="236">
        <v>0</v>
      </c>
      <c r="F1303" s="236">
        <v>0.01</v>
      </c>
      <c r="G1303" s="236">
        <v>0.04</v>
      </c>
      <c r="H1303" s="236">
        <v>0.03</v>
      </c>
      <c r="I1303" s="18">
        <f>I1310/I1312</f>
        <v>1.6918900692918338E-2</v>
      </c>
      <c r="J1303" s="297">
        <f>J1310/J1312</f>
        <v>1.6918900692918338E-2</v>
      </c>
    </row>
    <row r="1304" spans="1:10" s="71" customFormat="1" x14ac:dyDescent="0.25">
      <c r="A1304" s="77" t="s">
        <v>22</v>
      </c>
      <c r="B1304" s="449">
        <v>0.01</v>
      </c>
      <c r="C1304" s="236">
        <v>0</v>
      </c>
      <c r="D1304" s="236">
        <v>0</v>
      </c>
      <c r="E1304" s="236">
        <v>0</v>
      </c>
      <c r="F1304" s="236">
        <v>0</v>
      </c>
      <c r="G1304" s="236">
        <v>0</v>
      </c>
      <c r="H1304" s="236">
        <v>0</v>
      </c>
      <c r="I1304" s="18">
        <f>I1311/I1312</f>
        <v>9.3783846533389433E-4</v>
      </c>
      <c r="J1304" s="297">
        <f>J1311/J1312</f>
        <v>9.3783846533389422E-4</v>
      </c>
    </row>
    <row r="1305" spans="1:10" s="71" customFormat="1" x14ac:dyDescent="0.25">
      <c r="A1305" s="81" t="s">
        <v>23</v>
      </c>
      <c r="B1305" s="450">
        <f t="shared" ref="B1305:J1305" si="558">B1316/B1299</f>
        <v>44773.493975903621</v>
      </c>
      <c r="C1305" s="130">
        <f t="shared" si="558"/>
        <v>33924.41860465116</v>
      </c>
      <c r="D1305" s="130">
        <f t="shared" si="558"/>
        <v>40922.471910112363</v>
      </c>
      <c r="E1305" s="130">
        <f t="shared" si="558"/>
        <v>37999.242424242424</v>
      </c>
      <c r="F1305" s="130">
        <f t="shared" si="558"/>
        <v>40459.45945945946</v>
      </c>
      <c r="G1305" s="130">
        <f t="shared" si="558"/>
        <v>38198.514851485153</v>
      </c>
      <c r="H1305" s="130">
        <f t="shared" si="558"/>
        <v>38091.079812206575</v>
      </c>
      <c r="I1305" s="130">
        <f t="shared" si="558"/>
        <v>39048.880233690361</v>
      </c>
      <c r="J1305" s="314">
        <f t="shared" si="558"/>
        <v>39048.880233690361</v>
      </c>
    </row>
    <row r="1306" spans="1:10" s="71" customFormat="1" x14ac:dyDescent="0.25">
      <c r="A1306" s="81" t="s">
        <v>24</v>
      </c>
      <c r="B1306" s="450">
        <f t="shared" ref="B1306:J1306" si="559">B1316/B1293</f>
        <v>32886.725663716818</v>
      </c>
      <c r="C1306" s="130">
        <f t="shared" si="559"/>
        <v>28602.941176470587</v>
      </c>
      <c r="D1306" s="130">
        <f t="shared" si="559"/>
        <v>28677.952755905513</v>
      </c>
      <c r="E1306" s="130">
        <f t="shared" si="559"/>
        <v>30216.265060240963</v>
      </c>
      <c r="F1306" s="130">
        <f t="shared" si="559"/>
        <v>29162.337662337661</v>
      </c>
      <c r="G1306" s="130">
        <f t="shared" si="559"/>
        <v>31366.260162601629</v>
      </c>
      <c r="H1306" s="130">
        <f t="shared" si="559"/>
        <v>28568.309859154931</v>
      </c>
      <c r="I1306" s="130">
        <f t="shared" si="559"/>
        <v>29794.353640416048</v>
      </c>
      <c r="J1306" s="314">
        <f t="shared" si="559"/>
        <v>29794.353640416051</v>
      </c>
    </row>
    <row r="1307" spans="1:10" s="71" customFormat="1" x14ac:dyDescent="0.25">
      <c r="A1307" s="77" t="s">
        <v>25</v>
      </c>
      <c r="B1307" s="451">
        <f t="shared" ref="B1307:H1307" si="560">B1312*B1300</f>
        <v>2397970.1379310349</v>
      </c>
      <c r="C1307" s="92">
        <f t="shared" si="560"/>
        <v>1971259.301724138</v>
      </c>
      <c r="D1307" s="92">
        <f t="shared" si="560"/>
        <v>2684183.7413793104</v>
      </c>
      <c r="E1307" s="92">
        <f t="shared" si="560"/>
        <v>3520381.3827586207</v>
      </c>
      <c r="F1307" s="92">
        <f t="shared" si="560"/>
        <v>6611925.1034482764</v>
      </c>
      <c r="G1307" s="92">
        <f t="shared" si="560"/>
        <v>5366454.043103449</v>
      </c>
      <c r="H1307" s="92">
        <f t="shared" si="560"/>
        <v>6002028.1637931038</v>
      </c>
      <c r="I1307" s="92">
        <f>'NOGAL '!$B1307+'NOGAL '!$C1307+'NOGAL '!$D1307+'NOGAL '!$E1307+'NOGAL '!$F1307+'NOGAL '!$G1307+'NOGAL '!$H1307</f>
        <v>28554201.874137931</v>
      </c>
      <c r="J1307" s="300">
        <f>'NOGAL '!$I1307/7</f>
        <v>4079171.6963054189</v>
      </c>
    </row>
    <row r="1308" spans="1:10" s="71" customFormat="1" x14ac:dyDescent="0.25">
      <c r="A1308" s="77" t="s">
        <v>26</v>
      </c>
      <c r="B1308" s="451">
        <f t="shared" ref="B1308:H1308" si="561">B1312*B1301</f>
        <v>61486.413793103457</v>
      </c>
      <c r="C1308" s="92">
        <f t="shared" si="561"/>
        <v>0</v>
      </c>
      <c r="D1308" s="92">
        <f t="shared" si="561"/>
        <v>29824.263793103448</v>
      </c>
      <c r="E1308" s="92">
        <f t="shared" si="561"/>
        <v>81869.334482758626</v>
      </c>
      <c r="F1308" s="92">
        <f t="shared" si="561"/>
        <v>73465.834482758626</v>
      </c>
      <c r="G1308" s="92">
        <f t="shared" si="561"/>
        <v>63134.753448275871</v>
      </c>
      <c r="H1308" s="92">
        <f t="shared" si="561"/>
        <v>131912.70689655174</v>
      </c>
      <c r="I1308" s="92">
        <f>'NOGAL '!$B1308+'NOGAL '!$C1308+'NOGAL '!$D1308+'NOGAL '!$E1308+'NOGAL '!$F1308+'NOGAL '!$G1308+'NOGAL '!$H1308</f>
        <v>441693.30689655175</v>
      </c>
      <c r="J1308" s="300">
        <f>'NOGAL '!$I1308/7</f>
        <v>63099.043842364532</v>
      </c>
    </row>
    <row r="1309" spans="1:10" s="71" customFormat="1" x14ac:dyDescent="0.25">
      <c r="A1309" s="77" t="s">
        <v>27</v>
      </c>
      <c r="B1309" s="451">
        <f t="shared" ref="B1309:H1309" si="562">B1312*B1302</f>
        <v>553377.72413793101</v>
      </c>
      <c r="C1309" s="92">
        <f t="shared" si="562"/>
        <v>403751.90517241386</v>
      </c>
      <c r="D1309" s="92">
        <f t="shared" si="562"/>
        <v>268418.37413793104</v>
      </c>
      <c r="E1309" s="92">
        <f t="shared" si="562"/>
        <v>491216.0068965517</v>
      </c>
      <c r="F1309" s="92">
        <f t="shared" si="562"/>
        <v>587726.67586206901</v>
      </c>
      <c r="G1309" s="92">
        <f t="shared" si="562"/>
        <v>631347.53448275873</v>
      </c>
      <c r="H1309" s="92">
        <f t="shared" si="562"/>
        <v>263825.41379310348</v>
      </c>
      <c r="I1309" s="92">
        <f>'NOGAL '!$B1309+'NOGAL '!$C1309+'NOGAL '!$D1309+'NOGAL '!$E1309+'NOGAL '!$F1309+'NOGAL '!$G1309+'NOGAL '!$H1309</f>
        <v>3199663.6344827586</v>
      </c>
      <c r="J1309" s="300">
        <f>'NOGAL '!$I1309/7</f>
        <v>457094.80492610839</v>
      </c>
    </row>
    <row r="1310" spans="1:10" s="71" customFormat="1" x14ac:dyDescent="0.25">
      <c r="A1310" s="77" t="s">
        <v>28</v>
      </c>
      <c r="B1310" s="451">
        <f t="shared" ref="B1310:H1310" si="563">B1312*B1303</f>
        <v>30743.206896551728</v>
      </c>
      <c r="C1310" s="92">
        <f t="shared" si="563"/>
        <v>0</v>
      </c>
      <c r="D1310" s="92">
        <f t="shared" si="563"/>
        <v>0</v>
      </c>
      <c r="E1310" s="92">
        <f t="shared" si="563"/>
        <v>0</v>
      </c>
      <c r="F1310" s="92">
        <f t="shared" si="563"/>
        <v>73465.834482758626</v>
      </c>
      <c r="G1310" s="92">
        <f t="shared" si="563"/>
        <v>252539.01379310348</v>
      </c>
      <c r="H1310" s="92">
        <f t="shared" si="563"/>
        <v>197869.06034482759</v>
      </c>
      <c r="I1310" s="92">
        <f>'NOGAL '!$B1310+'NOGAL '!$C1310+'NOGAL '!$D1310+'NOGAL '!$E1310+'NOGAL '!$F1310+'NOGAL '!$G1310+'NOGAL '!$H1310</f>
        <v>554617.11551724141</v>
      </c>
      <c r="J1310" s="300">
        <f>'NOGAL '!$I1310/7</f>
        <v>79231.016502463055</v>
      </c>
    </row>
    <row r="1311" spans="1:10" s="71" customFormat="1" x14ac:dyDescent="0.25">
      <c r="A1311" s="77" t="s">
        <v>29</v>
      </c>
      <c r="B1311" s="451">
        <f t="shared" ref="B1311:H1311" si="564">B1312*B1304</f>
        <v>30743.206896551728</v>
      </c>
      <c r="C1311" s="92">
        <f t="shared" si="564"/>
        <v>0</v>
      </c>
      <c r="D1311" s="92">
        <f t="shared" si="564"/>
        <v>0</v>
      </c>
      <c r="E1311" s="92">
        <f t="shared" si="564"/>
        <v>0</v>
      </c>
      <c r="F1311" s="92">
        <f t="shared" si="564"/>
        <v>0</v>
      </c>
      <c r="G1311" s="92">
        <f t="shared" si="564"/>
        <v>0</v>
      </c>
      <c r="H1311" s="92">
        <f t="shared" si="564"/>
        <v>0</v>
      </c>
      <c r="I1311" s="92">
        <f>'NOGAL '!$B1311+'NOGAL '!$C1311+'NOGAL '!$D1311+'NOGAL '!$E1311+'NOGAL '!$F1311+'NOGAL '!$G1311+'NOGAL '!$H1311</f>
        <v>30743.206896551728</v>
      </c>
      <c r="J1311" s="300">
        <f>'NOGAL '!$I1311/7</f>
        <v>4391.8866995073895</v>
      </c>
    </row>
    <row r="1312" spans="1:10" s="71" customFormat="1" x14ac:dyDescent="0.25">
      <c r="A1312" s="82" t="s">
        <v>30</v>
      </c>
      <c r="B1312" s="237">
        <f>(3716200/1.16)-B1313</f>
        <v>3074320.6896551726</v>
      </c>
      <c r="C1312" s="237">
        <f>(2917500/1.16)-C1313</f>
        <v>2375011.2068965519</v>
      </c>
      <c r="D1312" s="237">
        <f>(3642100/1.16)-D1313</f>
        <v>2982426.3793103448</v>
      </c>
      <c r="E1312" s="237">
        <f>(5015900/1.16)-E1313</f>
        <v>4093466.7241379311</v>
      </c>
      <c r="F1312" s="237">
        <f>(8982000/1.16)-F1313</f>
        <v>7346583.4482758623</v>
      </c>
      <c r="G1312" s="237">
        <f>(7716100/1.16)-G1313</f>
        <v>6313475.3448275868</v>
      </c>
      <c r="H1312" s="237">
        <f>(8113400/1.16)-H1313</f>
        <v>6595635.3448275868</v>
      </c>
      <c r="I1312" s="91">
        <f>SUM(I1307:I1311)</f>
        <v>32780919.137931034</v>
      </c>
      <c r="J1312" s="361">
        <f>'NOGAL '!$I1312/7</f>
        <v>4682988.4482758623</v>
      </c>
    </row>
    <row r="1313" spans="1:10" s="71" customFormat="1" x14ac:dyDescent="0.25">
      <c r="A1313" s="77" t="s">
        <v>31</v>
      </c>
      <c r="B1313" s="452">
        <f t="shared" ref="B1313:G1313" si="565">2155*B1294</f>
        <v>129300</v>
      </c>
      <c r="C1313" s="94">
        <f t="shared" si="565"/>
        <v>140075</v>
      </c>
      <c r="D1313" s="94">
        <f t="shared" si="565"/>
        <v>157315</v>
      </c>
      <c r="E1313" s="94">
        <f t="shared" si="565"/>
        <v>230585</v>
      </c>
      <c r="F1313" s="94">
        <f t="shared" si="565"/>
        <v>396520</v>
      </c>
      <c r="G1313" s="94">
        <f t="shared" si="565"/>
        <v>338335</v>
      </c>
      <c r="H1313" s="94">
        <f>2155*H1294</f>
        <v>398675</v>
      </c>
      <c r="I1313" s="94">
        <f>2155*I1294</f>
        <v>1790805</v>
      </c>
      <c r="J1313" s="302">
        <f>2155*J1294</f>
        <v>255829.28571428571</v>
      </c>
    </row>
    <row r="1314" spans="1:10" s="71" customFormat="1" x14ac:dyDescent="0.25">
      <c r="A1314" s="83" t="s">
        <v>32</v>
      </c>
      <c r="B1314" s="453">
        <f>B1312+B1313</f>
        <v>3203620.6896551726</v>
      </c>
      <c r="C1314" s="39">
        <f>C1312+C1313</f>
        <v>2515086.2068965519</v>
      </c>
      <c r="D1314" s="39">
        <f t="shared" ref="D1314:J1314" si="566">D1312+D1313</f>
        <v>3139741.3793103448</v>
      </c>
      <c r="E1314" s="39">
        <f t="shared" si="566"/>
        <v>4324051.7241379311</v>
      </c>
      <c r="F1314" s="39">
        <f t="shared" si="566"/>
        <v>7743103.4482758623</v>
      </c>
      <c r="G1314" s="39">
        <f t="shared" si="566"/>
        <v>6651810.3448275868</v>
      </c>
      <c r="H1314" s="39">
        <f t="shared" si="566"/>
        <v>6994310.3448275868</v>
      </c>
      <c r="I1314" s="39">
        <f t="shared" si="566"/>
        <v>34571724.137931034</v>
      </c>
      <c r="J1314" s="364">
        <f t="shared" si="566"/>
        <v>4938817.7339901477</v>
      </c>
    </row>
    <row r="1315" spans="1:10" s="71" customFormat="1" x14ac:dyDescent="0.25">
      <c r="A1315" s="77" t="s">
        <v>33</v>
      </c>
      <c r="B1315" s="454">
        <f>B1314*16%</f>
        <v>512579.31034482765</v>
      </c>
      <c r="C1315" s="41">
        <f>C1314*16%</f>
        <v>402413.79310344829</v>
      </c>
      <c r="D1315" s="41">
        <f t="shared" ref="D1315:J1315" si="567">D1314*16%</f>
        <v>502358.62068965519</v>
      </c>
      <c r="E1315" s="41">
        <f t="shared" si="567"/>
        <v>691848.27586206899</v>
      </c>
      <c r="F1315" s="41">
        <f t="shared" si="567"/>
        <v>1238896.551724138</v>
      </c>
      <c r="G1315" s="41">
        <f t="shared" si="567"/>
        <v>1064289.6551724139</v>
      </c>
      <c r="H1315" s="41">
        <f t="shared" si="567"/>
        <v>1119089.6551724139</v>
      </c>
      <c r="I1315" s="41">
        <f t="shared" si="567"/>
        <v>5531475.8620689651</v>
      </c>
      <c r="J1315" s="415">
        <f t="shared" si="567"/>
        <v>790210.83743842365</v>
      </c>
    </row>
    <row r="1316" spans="1:10" s="71" customFormat="1" x14ac:dyDescent="0.25">
      <c r="A1316" s="142" t="s">
        <v>34</v>
      </c>
      <c r="B1316" s="438">
        <f t="shared" ref="B1316:H1316" si="568">B1314+B1315</f>
        <v>3716200.0000000005</v>
      </c>
      <c r="C1316" s="144">
        <f t="shared" si="568"/>
        <v>2917500</v>
      </c>
      <c r="D1316" s="144">
        <f t="shared" si="568"/>
        <v>3642100</v>
      </c>
      <c r="E1316" s="144">
        <f t="shared" si="568"/>
        <v>5015900</v>
      </c>
      <c r="F1316" s="144">
        <f t="shared" si="568"/>
        <v>8982000</v>
      </c>
      <c r="G1316" s="144">
        <f t="shared" si="568"/>
        <v>7716100.0000000009</v>
      </c>
      <c r="H1316" s="144">
        <f t="shared" si="568"/>
        <v>8113400.0000000009</v>
      </c>
      <c r="I1316" s="144">
        <f>+I1314+I1315</f>
        <v>40103200</v>
      </c>
      <c r="J1316" s="441">
        <f>'NOGAL '!$I1316/7</f>
        <v>5729028.5714285718</v>
      </c>
    </row>
    <row r="1317" spans="1:10" s="71" customFormat="1" ht="15.75" thickBot="1" x14ac:dyDescent="0.3">
      <c r="A1317" s="69"/>
      <c r="B1317" s="424"/>
      <c r="C1317" s="424"/>
      <c r="D1317" s="424"/>
      <c r="E1317" s="424"/>
      <c r="F1317" s="424"/>
      <c r="G1317" s="424"/>
      <c r="H1317" s="424"/>
      <c r="I1317" s="424"/>
      <c r="J1317" s="424"/>
    </row>
    <row r="1318" spans="1:10" s="71" customFormat="1" ht="27" thickBot="1" x14ac:dyDescent="0.3">
      <c r="A1318" s="85"/>
      <c r="B1318" s="1002" t="s">
        <v>389</v>
      </c>
      <c r="C1318" s="1002"/>
      <c r="D1318" s="1002"/>
      <c r="E1318" s="1002"/>
      <c r="F1318" s="1002"/>
      <c r="G1318" s="1002"/>
      <c r="H1318" s="1002"/>
      <c r="I1318" s="1002"/>
      <c r="J1318" s="85"/>
    </row>
    <row r="1319" spans="1:10" s="71" customFormat="1" ht="16.5" thickBot="1" x14ac:dyDescent="0.3">
      <c r="A1319" s="72" t="s">
        <v>2</v>
      </c>
      <c r="B1319" s="232" t="s">
        <v>337</v>
      </c>
      <c r="C1319" s="232" t="s">
        <v>338</v>
      </c>
      <c r="D1319" s="232" t="s">
        <v>339</v>
      </c>
      <c r="E1319" s="232" t="s">
        <v>340</v>
      </c>
      <c r="F1319" s="232" t="s">
        <v>341</v>
      </c>
      <c r="G1319" s="232" t="s">
        <v>342</v>
      </c>
      <c r="H1319" s="232" t="s">
        <v>343</v>
      </c>
      <c r="I1319" s="153" t="s">
        <v>10</v>
      </c>
      <c r="J1319" s="421" t="s">
        <v>77</v>
      </c>
    </row>
    <row r="1320" spans="1:10" s="71" customFormat="1" ht="15.75" thickTop="1" x14ac:dyDescent="0.25">
      <c r="A1320" s="430" t="s">
        <v>11</v>
      </c>
      <c r="B1320" s="433">
        <f>81+25+10</f>
        <v>116</v>
      </c>
      <c r="C1320" s="75">
        <f>90+21+14</f>
        <v>125</v>
      </c>
      <c r="D1320" s="75">
        <f>58+24+8</f>
        <v>90</v>
      </c>
      <c r="E1320" s="316">
        <f>138+36+18</f>
        <v>192</v>
      </c>
      <c r="F1320" s="316">
        <f>159+83+35</f>
        <v>277</v>
      </c>
      <c r="G1320" s="316">
        <f>197+68+30</f>
        <v>295</v>
      </c>
      <c r="H1320" s="316">
        <f>208+88+42</f>
        <v>338</v>
      </c>
      <c r="I1320" s="316">
        <f>SUM(B1320:H1320)</f>
        <v>1433</v>
      </c>
      <c r="J1320" s="437">
        <f>'NOGAL '!$I1320/7</f>
        <v>204.71428571428572</v>
      </c>
    </row>
    <row r="1321" spans="1:10" s="71" customFormat="1" x14ac:dyDescent="0.25">
      <c r="A1321" s="77" t="s">
        <v>12</v>
      </c>
      <c r="B1321" s="448">
        <v>70</v>
      </c>
      <c r="C1321" s="86">
        <v>79</v>
      </c>
      <c r="D1321" s="11">
        <v>57</v>
      </c>
      <c r="E1321" s="86">
        <v>104</v>
      </c>
      <c r="F1321" s="86">
        <v>151</v>
      </c>
      <c r="G1321" s="11">
        <v>172</v>
      </c>
      <c r="H1321" s="11">
        <v>220</v>
      </c>
      <c r="I1321" s="11">
        <f>B1321+C1321+D1321+E1321+F1321+G1321+H1321</f>
        <v>853</v>
      </c>
      <c r="J1321" s="292">
        <f>'NOGAL '!$I1321/7</f>
        <v>121.85714285714286</v>
      </c>
    </row>
    <row r="1322" spans="1:10" s="71" customFormat="1" x14ac:dyDescent="0.25">
      <c r="A1322" s="77" t="s">
        <v>13</v>
      </c>
      <c r="B1322" s="448">
        <v>2</v>
      </c>
      <c r="C1322" s="11">
        <v>2</v>
      </c>
      <c r="D1322" s="11">
        <v>1</v>
      </c>
      <c r="E1322" s="11">
        <v>1</v>
      </c>
      <c r="F1322" s="11">
        <v>5</v>
      </c>
      <c r="G1322" s="11">
        <v>8</v>
      </c>
      <c r="H1322" s="11">
        <v>4</v>
      </c>
      <c r="I1322" s="11">
        <f>B1322+C1322+D1322+E1322+F1322+G1322+G1323</f>
        <v>51</v>
      </c>
      <c r="J1322" s="292">
        <f>C1322+D1322+E1322+F1322+G1322+H1322+I1322</f>
        <v>72</v>
      </c>
    </row>
    <row r="1323" spans="1:10" s="71" customFormat="1" x14ac:dyDescent="0.25">
      <c r="A1323" s="77" t="s">
        <v>14</v>
      </c>
      <c r="B1323" s="448">
        <v>17</v>
      </c>
      <c r="C1323" s="11">
        <v>16</v>
      </c>
      <c r="D1323" s="11">
        <v>12</v>
      </c>
      <c r="E1323" s="11">
        <v>24</v>
      </c>
      <c r="F1323" s="11">
        <v>40</v>
      </c>
      <c r="G1323" s="11">
        <v>32</v>
      </c>
      <c r="H1323" s="11">
        <v>17</v>
      </c>
      <c r="I1323" s="11">
        <f>B1323+C1323+D1323+E1323+F1323+G1323+H1323</f>
        <v>158</v>
      </c>
      <c r="J1323" s="292">
        <f>'NOGAL '!$I1323/7</f>
        <v>22.571428571428573</v>
      </c>
    </row>
    <row r="1324" spans="1:10" s="71" customFormat="1" x14ac:dyDescent="0.25">
      <c r="A1324" s="77" t="s">
        <v>15</v>
      </c>
      <c r="B1324" s="448">
        <v>1</v>
      </c>
      <c r="C1324" s="11">
        <v>0</v>
      </c>
      <c r="D1324" s="11">
        <v>0</v>
      </c>
      <c r="E1324" s="11">
        <v>2</v>
      </c>
      <c r="F1324" s="11">
        <v>6</v>
      </c>
      <c r="G1324" s="11">
        <v>6</v>
      </c>
      <c r="H1324" s="11">
        <v>8</v>
      </c>
      <c r="I1324" s="11">
        <f>B1324+C1324+D1324+E1324+F1324+G1324+H1324</f>
        <v>23</v>
      </c>
      <c r="J1324" s="292">
        <f>'NOGAL '!$I1324/7</f>
        <v>3.2857142857142856</v>
      </c>
    </row>
    <row r="1325" spans="1:10" s="71" customFormat="1" x14ac:dyDescent="0.25">
      <c r="A1325" s="77" t="s">
        <v>16</v>
      </c>
      <c r="B1325" s="448">
        <v>0</v>
      </c>
      <c r="C1325" s="11">
        <v>0</v>
      </c>
      <c r="D1325" s="11">
        <v>0</v>
      </c>
      <c r="E1325" s="11">
        <v>0</v>
      </c>
      <c r="F1325" s="11">
        <v>1</v>
      </c>
      <c r="G1325" s="11">
        <v>0</v>
      </c>
      <c r="H1325" s="11">
        <v>0</v>
      </c>
      <c r="I1325" s="11">
        <f>B1325+C1325+D1325+E1325+F1325+G1325+H1325</f>
        <v>1</v>
      </c>
      <c r="J1325" s="292">
        <f>'NOGAL '!$I1325/7</f>
        <v>0.14285714285714285</v>
      </c>
    </row>
    <row r="1326" spans="1:10" s="71" customFormat="1" x14ac:dyDescent="0.25">
      <c r="A1326" s="79" t="s">
        <v>17</v>
      </c>
      <c r="B1326" s="102">
        <f>SUM(B1321:B1325)</f>
        <v>90</v>
      </c>
      <c r="C1326" s="102">
        <f>SUM(C1321:C1325)</f>
        <v>97</v>
      </c>
      <c r="D1326" s="103">
        <f>SUM(D1321:D1325)</f>
        <v>70</v>
      </c>
      <c r="E1326" s="103">
        <v>131</v>
      </c>
      <c r="F1326" s="103">
        <f>SUM(F1321:F1325)</f>
        <v>203</v>
      </c>
      <c r="G1326" s="103">
        <f>SUM(G1321:G1325)</f>
        <v>218</v>
      </c>
      <c r="H1326" s="103">
        <f>SUM(H1321:H1325)</f>
        <v>249</v>
      </c>
      <c r="I1326" s="103">
        <f>SUM(I1321:I1325)</f>
        <v>1086</v>
      </c>
      <c r="J1326" s="405">
        <f>'NOGAL '!$I1326/7</f>
        <v>155.14285714285714</v>
      </c>
    </row>
    <row r="1327" spans="1:10" s="71" customFormat="1" x14ac:dyDescent="0.25">
      <c r="A1327" s="77" t="s">
        <v>18</v>
      </c>
      <c r="B1327" s="449">
        <v>0.88</v>
      </c>
      <c r="C1327" s="236">
        <v>0.89</v>
      </c>
      <c r="D1327" s="236">
        <v>0.87</v>
      </c>
      <c r="E1327" s="236">
        <v>0.88</v>
      </c>
      <c r="F1327" s="236">
        <v>0.8</v>
      </c>
      <c r="G1327" s="236">
        <v>0.85</v>
      </c>
      <c r="H1327" s="236">
        <v>0.92</v>
      </c>
      <c r="I1327" s="18">
        <f>I1334/I1339</f>
        <v>0.8675005218012326</v>
      </c>
      <c r="J1327" s="297">
        <f>J1334/J1339</f>
        <v>0.8675005218012326</v>
      </c>
    </row>
    <row r="1328" spans="1:10" s="71" customFormat="1" x14ac:dyDescent="0.25">
      <c r="A1328" s="77" t="s">
        <v>19</v>
      </c>
      <c r="B1328" s="449">
        <v>0</v>
      </c>
      <c r="C1328" s="236">
        <v>0.01</v>
      </c>
      <c r="D1328" s="236">
        <v>0.01</v>
      </c>
      <c r="E1328" s="236">
        <v>0</v>
      </c>
      <c r="F1328" s="236">
        <v>0.05</v>
      </c>
      <c r="G1328" s="236">
        <v>0.03</v>
      </c>
      <c r="H1328" s="236">
        <v>0.01</v>
      </c>
      <c r="I1328" s="18">
        <f>I1335/I1339</f>
        <v>1.9677172191890809E-2</v>
      </c>
      <c r="J1328" s="297">
        <f>J1335/J1339</f>
        <v>1.9677172191890809E-2</v>
      </c>
    </row>
    <row r="1329" spans="1:10" s="71" customFormat="1" x14ac:dyDescent="0.25">
      <c r="A1329" s="77" t="s">
        <v>20</v>
      </c>
      <c r="B1329" s="449">
        <v>0.11</v>
      </c>
      <c r="C1329" s="236">
        <v>0.1</v>
      </c>
      <c r="D1329" s="236">
        <v>0.12</v>
      </c>
      <c r="E1329" s="236">
        <v>0.11</v>
      </c>
      <c r="F1329" s="236">
        <v>0.13</v>
      </c>
      <c r="G1329" s="236">
        <v>0.09</v>
      </c>
      <c r="H1329" s="236">
        <v>0.04</v>
      </c>
      <c r="I1329" s="18">
        <f>I1336/I1339</f>
        <v>9.3732754075831093E-2</v>
      </c>
      <c r="J1329" s="297">
        <f>J1336/J1339</f>
        <v>9.3732754075831093E-2</v>
      </c>
    </row>
    <row r="1330" spans="1:10" s="71" customFormat="1" x14ac:dyDescent="0.25">
      <c r="A1330" s="77" t="s">
        <v>21</v>
      </c>
      <c r="B1330" s="449">
        <v>0.01</v>
      </c>
      <c r="C1330" s="236">
        <v>0</v>
      </c>
      <c r="D1330" s="236">
        <v>0</v>
      </c>
      <c r="E1330" s="236">
        <v>0.01</v>
      </c>
      <c r="F1330" s="236">
        <v>0.02</v>
      </c>
      <c r="G1330" s="236">
        <v>0.03</v>
      </c>
      <c r="H1330" s="236">
        <v>0.03</v>
      </c>
      <c r="I1330" s="18">
        <f>I1337/I1339</f>
        <v>1.9089551931045431E-2</v>
      </c>
      <c r="J1330" s="297">
        <f>J1337/J1339</f>
        <v>1.9089551931045431E-2</v>
      </c>
    </row>
    <row r="1331" spans="1:10" s="71" customFormat="1" x14ac:dyDescent="0.25">
      <c r="A1331" s="77" t="s">
        <v>22</v>
      </c>
      <c r="B1331" s="449">
        <v>0</v>
      </c>
      <c r="C1331" s="236">
        <v>0</v>
      </c>
      <c r="D1331" s="236">
        <v>0</v>
      </c>
      <c r="E1331" s="236">
        <v>0</v>
      </c>
      <c r="F1331" s="236">
        <v>0</v>
      </c>
      <c r="G1331" s="236">
        <v>0</v>
      </c>
      <c r="H1331" s="236">
        <v>0</v>
      </c>
      <c r="I1331" s="18">
        <f>I1338/I1339</f>
        <v>0</v>
      </c>
      <c r="J1331" s="297">
        <f>J1338/J1339</f>
        <v>0</v>
      </c>
    </row>
    <row r="1332" spans="1:10" s="71" customFormat="1" x14ac:dyDescent="0.25">
      <c r="A1332" s="81" t="s">
        <v>23</v>
      </c>
      <c r="B1332" s="450">
        <f t="shared" ref="B1332:J1332" si="569">B1343/B1326</f>
        <v>38844.444444444445</v>
      </c>
      <c r="C1332" s="130">
        <f t="shared" si="569"/>
        <v>37159.793814432989</v>
      </c>
      <c r="D1332" s="130">
        <f t="shared" si="569"/>
        <v>40067.142857142855</v>
      </c>
      <c r="E1332" s="130">
        <f t="shared" si="569"/>
        <v>44841.984732824429</v>
      </c>
      <c r="F1332" s="130">
        <f t="shared" si="569"/>
        <v>40317.241379310348</v>
      </c>
      <c r="G1332" s="130">
        <f t="shared" si="569"/>
        <v>40119.724770642199</v>
      </c>
      <c r="H1332" s="130">
        <f t="shared" si="569"/>
        <v>38736.947791164661</v>
      </c>
      <c r="I1332" s="130">
        <f t="shared" si="569"/>
        <v>39001.381215469621</v>
      </c>
      <c r="J1332" s="314">
        <f t="shared" si="569"/>
        <v>39001.381215469621</v>
      </c>
    </row>
    <row r="1333" spans="1:10" s="71" customFormat="1" x14ac:dyDescent="0.25">
      <c r="A1333" s="81" t="s">
        <v>24</v>
      </c>
      <c r="B1333" s="450">
        <f t="shared" ref="B1333:J1333" si="570">B1343/B1320</f>
        <v>30137.931034482757</v>
      </c>
      <c r="C1333" s="130">
        <f t="shared" si="570"/>
        <v>28836</v>
      </c>
      <c r="D1333" s="130">
        <f t="shared" si="570"/>
        <v>31163.333333333332</v>
      </c>
      <c r="E1333" s="130">
        <f t="shared" si="570"/>
        <v>30595.3125</v>
      </c>
      <c r="F1333" s="130">
        <f t="shared" si="570"/>
        <v>29546.570397111915</v>
      </c>
      <c r="G1333" s="130">
        <f t="shared" si="570"/>
        <v>29647.796610169491</v>
      </c>
      <c r="H1333" s="130">
        <f t="shared" si="570"/>
        <v>28536.982248520711</v>
      </c>
      <c r="I1333" s="130">
        <f t="shared" si="570"/>
        <v>29557.222609909288</v>
      </c>
      <c r="J1333" s="314">
        <f t="shared" si="570"/>
        <v>29557.222609909288</v>
      </c>
    </row>
    <row r="1334" spans="1:10" s="71" customFormat="1" x14ac:dyDescent="0.25">
      <c r="A1334" s="77" t="s">
        <v>25</v>
      </c>
      <c r="B1334" s="451">
        <f t="shared" ref="B1334:H1334" si="571">B1339*B1327</f>
        <v>2519389.931034483</v>
      </c>
      <c r="C1334" s="92">
        <f t="shared" si="571"/>
        <v>2614003.5017241379</v>
      </c>
      <c r="D1334" s="92">
        <f t="shared" si="571"/>
        <v>1996658.55</v>
      </c>
      <c r="E1334" s="92">
        <f t="shared" si="571"/>
        <v>4259139.9172413796</v>
      </c>
      <c r="F1334" s="92">
        <f t="shared" si="571"/>
        <v>5384089.793103449</v>
      </c>
      <c r="G1334" s="92">
        <f t="shared" si="571"/>
        <v>6093719.1724137934</v>
      </c>
      <c r="H1334" s="92">
        <f t="shared" si="571"/>
        <v>7213707.3103448283</v>
      </c>
      <c r="I1334" s="92">
        <f>'NOGAL '!$B1334+'NOGAL '!$C1334+'NOGAL '!$D1334+'NOGAL '!$E1334+'NOGAL '!$F1334+'NOGAL '!$G1334+'NOGAL '!$H1334</f>
        <v>30080708.175862074</v>
      </c>
      <c r="J1334" s="300">
        <f>'NOGAL '!$I1334/7</f>
        <v>4297244.0251231538</v>
      </c>
    </row>
    <row r="1335" spans="1:10" s="71" customFormat="1" x14ac:dyDescent="0.25">
      <c r="A1335" s="77" t="s">
        <v>26</v>
      </c>
      <c r="B1335" s="451">
        <f t="shared" ref="B1335:H1335" si="572">B1339*B1328</f>
        <v>0</v>
      </c>
      <c r="C1335" s="92">
        <f t="shared" si="572"/>
        <v>29370.825862068967</v>
      </c>
      <c r="D1335" s="92">
        <f t="shared" si="572"/>
        <v>22950.09827586207</v>
      </c>
      <c r="E1335" s="92">
        <f t="shared" si="572"/>
        <v>0</v>
      </c>
      <c r="F1335" s="92">
        <f t="shared" si="572"/>
        <v>336505.61206896557</v>
      </c>
      <c r="G1335" s="92">
        <f t="shared" si="572"/>
        <v>215072.44137931036</v>
      </c>
      <c r="H1335" s="92">
        <f t="shared" si="572"/>
        <v>78409.862068965522</v>
      </c>
      <c r="I1335" s="92">
        <f>'NOGAL '!$B1335+'NOGAL '!$C1335+'NOGAL '!$D1335+'NOGAL '!$E1335+'NOGAL '!$F1335+'NOGAL '!$G1335+'NOGAL '!$H1335</f>
        <v>682308.83965517255</v>
      </c>
      <c r="J1335" s="300">
        <f>'NOGAL '!$I1335/7</f>
        <v>97472.691379310359</v>
      </c>
    </row>
    <row r="1336" spans="1:10" s="71" customFormat="1" x14ac:dyDescent="0.25">
      <c r="A1336" s="77" t="s">
        <v>27</v>
      </c>
      <c r="B1336" s="451">
        <f t="shared" ref="B1336:H1336" si="573">B1339*B1329</f>
        <v>314923.74137931038</v>
      </c>
      <c r="C1336" s="92">
        <f t="shared" si="573"/>
        <v>293708.25862068968</v>
      </c>
      <c r="D1336" s="92">
        <f t="shared" si="573"/>
        <v>275401.17931034486</v>
      </c>
      <c r="E1336" s="92">
        <f t="shared" si="573"/>
        <v>532392.48965517245</v>
      </c>
      <c r="F1336" s="92">
        <f t="shared" si="573"/>
        <v>874914.59137931035</v>
      </c>
      <c r="G1336" s="92">
        <f t="shared" si="573"/>
        <v>645217.32413793111</v>
      </c>
      <c r="H1336" s="92">
        <f t="shared" si="573"/>
        <v>313639.44827586209</v>
      </c>
      <c r="I1336" s="92">
        <f>'NOGAL '!$B1336+'NOGAL '!$C1336+'NOGAL '!$D1336+'NOGAL '!$E1336+'NOGAL '!$F1336+'NOGAL '!$G1336+'NOGAL '!$H1336</f>
        <v>3250197.032758621</v>
      </c>
      <c r="J1336" s="300">
        <f>'NOGAL '!$I1336/7</f>
        <v>464313.86182266014</v>
      </c>
    </row>
    <row r="1337" spans="1:10" s="71" customFormat="1" x14ac:dyDescent="0.25">
      <c r="A1337" s="77" t="s">
        <v>28</v>
      </c>
      <c r="B1337" s="451">
        <f t="shared" ref="B1337:H1337" si="574">B1339*B1330</f>
        <v>28629.431034482761</v>
      </c>
      <c r="C1337" s="92">
        <f t="shared" si="574"/>
        <v>0</v>
      </c>
      <c r="D1337" s="92">
        <f t="shared" si="574"/>
        <v>0</v>
      </c>
      <c r="E1337" s="92">
        <f t="shared" si="574"/>
        <v>48399.317241379315</v>
      </c>
      <c r="F1337" s="92">
        <f t="shared" si="574"/>
        <v>134602.2448275862</v>
      </c>
      <c r="G1337" s="92">
        <f t="shared" si="574"/>
        <v>215072.44137931036</v>
      </c>
      <c r="H1337" s="92">
        <f t="shared" si="574"/>
        <v>235229.58620689655</v>
      </c>
      <c r="I1337" s="92">
        <f>'NOGAL '!$B1337+'NOGAL '!$C1337+'NOGAL '!$D1337+'NOGAL '!$E1337+'NOGAL '!$F1337+'NOGAL '!$G1337+'NOGAL '!$H1337</f>
        <v>661933.02068965521</v>
      </c>
      <c r="J1337" s="300">
        <f>'NOGAL '!$I1337/7</f>
        <v>94561.860098522171</v>
      </c>
    </row>
    <row r="1338" spans="1:10" s="71" customFormat="1" x14ac:dyDescent="0.25">
      <c r="A1338" s="77" t="s">
        <v>29</v>
      </c>
      <c r="B1338" s="451">
        <f t="shared" ref="B1338:H1338" si="575">B1339*B1331</f>
        <v>0</v>
      </c>
      <c r="C1338" s="92">
        <f t="shared" si="575"/>
        <v>0</v>
      </c>
      <c r="D1338" s="92">
        <f t="shared" si="575"/>
        <v>0</v>
      </c>
      <c r="E1338" s="92">
        <f t="shared" si="575"/>
        <v>0</v>
      </c>
      <c r="F1338" s="92">
        <f t="shared" si="575"/>
        <v>0</v>
      </c>
      <c r="G1338" s="92">
        <f t="shared" si="575"/>
        <v>0</v>
      </c>
      <c r="H1338" s="92">
        <f t="shared" si="575"/>
        <v>0</v>
      </c>
      <c r="I1338" s="92">
        <f>'NOGAL '!$B1338+'NOGAL '!$C1338+'NOGAL '!$D1338+'NOGAL '!$E1338+'NOGAL '!$F1338+'NOGAL '!$G1338+'NOGAL '!$H1338</f>
        <v>0</v>
      </c>
      <c r="J1338" s="300">
        <f>'NOGAL '!$I1338/7</f>
        <v>0</v>
      </c>
    </row>
    <row r="1339" spans="1:10" s="71" customFormat="1" x14ac:dyDescent="0.25">
      <c r="A1339" s="82" t="s">
        <v>30</v>
      </c>
      <c r="B1339" s="237">
        <f>(3496000/1.16)-B1340</f>
        <v>2862943.1034482759</v>
      </c>
      <c r="C1339" s="237">
        <f>(3604500/1.16)-C1340</f>
        <v>2937082.5862068967</v>
      </c>
      <c r="D1339" s="237">
        <f>(2804700/1.16)-D1340</f>
        <v>2295009.8275862071</v>
      </c>
      <c r="E1339" s="237">
        <f>(5874300/1.16)-E1340</f>
        <v>4839931.7241379311</v>
      </c>
      <c r="F1339" s="237">
        <f>(8184400/1.16)-F1340</f>
        <v>6730112.2413793104</v>
      </c>
      <c r="G1339" s="237">
        <f>(8746100/1.16)-G1340</f>
        <v>7169081.3793103453</v>
      </c>
      <c r="H1339" s="237">
        <f>(9645500/1.16)-H1340</f>
        <v>7840986.2068965519</v>
      </c>
      <c r="I1339" s="91">
        <f>SUM(I1334:I1338)</f>
        <v>34675147.068965524</v>
      </c>
      <c r="J1339" s="361">
        <f>'NOGAL '!$I1339/7</f>
        <v>4953592.4384236466</v>
      </c>
    </row>
    <row r="1340" spans="1:10" s="71" customFormat="1" x14ac:dyDescent="0.25">
      <c r="A1340" s="77" t="s">
        <v>31</v>
      </c>
      <c r="B1340" s="452">
        <f t="shared" ref="B1340:G1340" si="576">2155*B1321</f>
        <v>150850</v>
      </c>
      <c r="C1340" s="94">
        <f t="shared" si="576"/>
        <v>170245</v>
      </c>
      <c r="D1340" s="94">
        <f t="shared" si="576"/>
        <v>122835</v>
      </c>
      <c r="E1340" s="94">
        <f t="shared" si="576"/>
        <v>224120</v>
      </c>
      <c r="F1340" s="94">
        <f t="shared" si="576"/>
        <v>325405</v>
      </c>
      <c r="G1340" s="94">
        <f t="shared" si="576"/>
        <v>370660</v>
      </c>
      <c r="H1340" s="94">
        <f>2155*H1321</f>
        <v>474100</v>
      </c>
      <c r="I1340" s="94">
        <f>2155*I1321</f>
        <v>1838215</v>
      </c>
      <c r="J1340" s="302">
        <f>2155*J1321</f>
        <v>262602.14285714284</v>
      </c>
    </row>
    <row r="1341" spans="1:10" s="71" customFormat="1" x14ac:dyDescent="0.25">
      <c r="A1341" s="83" t="s">
        <v>32</v>
      </c>
      <c r="B1341" s="453">
        <f>B1339+B1340</f>
        <v>3013793.1034482759</v>
      </c>
      <c r="C1341" s="39">
        <f>C1339+C1340</f>
        <v>3107327.5862068967</v>
      </c>
      <c r="D1341" s="39">
        <f t="shared" ref="D1341:J1341" si="577">D1339+D1340</f>
        <v>2417844.8275862071</v>
      </c>
      <c r="E1341" s="39">
        <f t="shared" si="577"/>
        <v>5064051.7241379311</v>
      </c>
      <c r="F1341" s="39">
        <f t="shared" si="577"/>
        <v>7055517.2413793104</v>
      </c>
      <c r="G1341" s="39">
        <f t="shared" si="577"/>
        <v>7539741.3793103453</v>
      </c>
      <c r="H1341" s="39">
        <f t="shared" si="577"/>
        <v>8315086.2068965519</v>
      </c>
      <c r="I1341" s="39">
        <f t="shared" si="577"/>
        <v>36513362.068965524</v>
      </c>
      <c r="J1341" s="364">
        <f t="shared" si="577"/>
        <v>5216194.5812807893</v>
      </c>
    </row>
    <row r="1342" spans="1:10" s="71" customFormat="1" x14ac:dyDescent="0.25">
      <c r="A1342" s="77" t="s">
        <v>33</v>
      </c>
      <c r="B1342" s="454">
        <f>B1341*16%</f>
        <v>482206.89655172417</v>
      </c>
      <c r="C1342" s="41">
        <f>C1341*16%</f>
        <v>497172.41379310348</v>
      </c>
      <c r="D1342" s="41">
        <f t="shared" ref="D1342:J1342" si="578">D1341*16%</f>
        <v>386855.17241379316</v>
      </c>
      <c r="E1342" s="41">
        <f t="shared" si="578"/>
        <v>810248.27586206899</v>
      </c>
      <c r="F1342" s="41">
        <f t="shared" si="578"/>
        <v>1128882.7586206896</v>
      </c>
      <c r="G1342" s="41">
        <f t="shared" si="578"/>
        <v>1206358.6206896552</v>
      </c>
      <c r="H1342" s="41">
        <f t="shared" si="578"/>
        <v>1330413.7931034483</v>
      </c>
      <c r="I1342" s="41">
        <f t="shared" si="578"/>
        <v>5842137.9310344839</v>
      </c>
      <c r="J1342" s="415">
        <f t="shared" si="578"/>
        <v>834591.13300492626</v>
      </c>
    </row>
    <row r="1343" spans="1:10" s="71" customFormat="1" x14ac:dyDescent="0.25">
      <c r="A1343" s="142" t="s">
        <v>34</v>
      </c>
      <c r="B1343" s="438">
        <f t="shared" ref="B1343:H1343" si="579">B1341+B1342</f>
        <v>3496000</v>
      </c>
      <c r="C1343" s="144">
        <f t="shared" si="579"/>
        <v>3604500</v>
      </c>
      <c r="D1343" s="144">
        <f t="shared" si="579"/>
        <v>2804700</v>
      </c>
      <c r="E1343" s="144">
        <f t="shared" si="579"/>
        <v>5874300</v>
      </c>
      <c r="F1343" s="144">
        <f t="shared" si="579"/>
        <v>8184400</v>
      </c>
      <c r="G1343" s="144">
        <f t="shared" si="579"/>
        <v>8746100</v>
      </c>
      <c r="H1343" s="144">
        <f t="shared" si="579"/>
        <v>9645500</v>
      </c>
      <c r="I1343" s="144">
        <f>+I1341+I1342</f>
        <v>42355500.000000007</v>
      </c>
      <c r="J1343" s="441">
        <f>'NOGAL '!$I1343/7</f>
        <v>6050785.7142857155</v>
      </c>
    </row>
    <row r="1344" spans="1:10" s="71" customFormat="1" ht="15.75" thickBot="1" x14ac:dyDescent="0.3">
      <c r="A1344" s="69"/>
      <c r="B1344" s="424"/>
      <c r="C1344" s="424"/>
      <c r="D1344" s="424"/>
      <c r="E1344" s="424"/>
      <c r="F1344" s="424"/>
      <c r="G1344" s="424"/>
      <c r="H1344" s="424"/>
      <c r="I1344" s="424"/>
      <c r="J1344" s="424"/>
    </row>
    <row r="1345" spans="1:10" s="71" customFormat="1" ht="27" thickBot="1" x14ac:dyDescent="0.3">
      <c r="A1345" s="85"/>
      <c r="B1345" s="1002" t="s">
        <v>390</v>
      </c>
      <c r="C1345" s="1002"/>
      <c r="D1345" s="1002"/>
      <c r="E1345" s="1002"/>
      <c r="F1345" s="1002"/>
      <c r="G1345" s="1002"/>
      <c r="H1345" s="1002"/>
      <c r="I1345" s="1002"/>
      <c r="J1345" s="85"/>
    </row>
    <row r="1346" spans="1:10" s="71" customFormat="1" ht="16.5" thickBot="1" x14ac:dyDescent="0.3">
      <c r="A1346" s="72" t="s">
        <v>2</v>
      </c>
      <c r="B1346" s="232" t="s">
        <v>345</v>
      </c>
      <c r="C1346" s="232" t="s">
        <v>346</v>
      </c>
      <c r="D1346" s="232" t="s">
        <v>347</v>
      </c>
      <c r="E1346" s="232" t="s">
        <v>348</v>
      </c>
      <c r="F1346" s="232" t="s">
        <v>349</v>
      </c>
      <c r="G1346" s="232" t="s">
        <v>350</v>
      </c>
      <c r="H1346" s="232" t="s">
        <v>351</v>
      </c>
      <c r="I1346" s="153" t="s">
        <v>10</v>
      </c>
      <c r="J1346" s="490" t="s">
        <v>77</v>
      </c>
    </row>
    <row r="1347" spans="1:10" s="71" customFormat="1" ht="15.75" thickTop="1" x14ac:dyDescent="0.25">
      <c r="A1347" s="430" t="s">
        <v>11</v>
      </c>
      <c r="B1347" s="433">
        <f>76+13+6</f>
        <v>95</v>
      </c>
      <c r="C1347" s="75">
        <f>71+29+16</f>
        <v>116</v>
      </c>
      <c r="D1347" s="75">
        <f>68+34+10</f>
        <v>112</v>
      </c>
      <c r="E1347" s="316">
        <f>68+33+12</f>
        <v>113</v>
      </c>
      <c r="F1347" s="316">
        <f>164+53+26</f>
        <v>243</v>
      </c>
      <c r="G1347" s="316">
        <f>147+62+29</f>
        <v>238</v>
      </c>
      <c r="H1347" s="316">
        <f>133+46+30</f>
        <v>209</v>
      </c>
      <c r="I1347" s="316">
        <f>SUM(B1347:H1347)</f>
        <v>1126</v>
      </c>
      <c r="J1347" s="437">
        <f>'NOGAL '!$I1347/7</f>
        <v>160.85714285714286</v>
      </c>
    </row>
    <row r="1348" spans="1:10" s="71" customFormat="1" x14ac:dyDescent="0.25">
      <c r="A1348" s="77" t="s">
        <v>12</v>
      </c>
      <c r="B1348" s="448">
        <v>54</v>
      </c>
      <c r="C1348" s="86">
        <v>72</v>
      </c>
      <c r="D1348" s="11">
        <v>73</v>
      </c>
      <c r="E1348" s="86">
        <v>56</v>
      </c>
      <c r="F1348" s="86">
        <v>137</v>
      </c>
      <c r="G1348" s="11">
        <v>140</v>
      </c>
      <c r="H1348" s="11">
        <v>134</v>
      </c>
      <c r="I1348" s="11">
        <f>B1348+C1348+D1348+E1348+F1348+G1348+H1348</f>
        <v>666</v>
      </c>
      <c r="J1348" s="292">
        <f>'NOGAL '!$I1348/7</f>
        <v>95.142857142857139</v>
      </c>
    </row>
    <row r="1349" spans="1:10" s="71" customFormat="1" x14ac:dyDescent="0.25">
      <c r="A1349" s="77" t="s">
        <v>13</v>
      </c>
      <c r="B1349" s="448">
        <v>2</v>
      </c>
      <c r="C1349" s="11">
        <v>3</v>
      </c>
      <c r="D1349" s="11">
        <v>4</v>
      </c>
      <c r="E1349" s="11">
        <v>1</v>
      </c>
      <c r="F1349" s="11">
        <v>1</v>
      </c>
      <c r="G1349" s="11">
        <v>3</v>
      </c>
      <c r="H1349" s="11">
        <v>5</v>
      </c>
      <c r="I1349" s="11">
        <f>B1349+C1349+D1349+E1349+F1349+G1349+H1349</f>
        <v>19</v>
      </c>
      <c r="J1349" s="292">
        <f>C1349+D1349+E1349+F1349+G1349+H1349+I1349</f>
        <v>36</v>
      </c>
    </row>
    <row r="1350" spans="1:10" s="71" customFormat="1" x14ac:dyDescent="0.25">
      <c r="A1350" s="77" t="s">
        <v>14</v>
      </c>
      <c r="B1350" s="448">
        <v>17</v>
      </c>
      <c r="C1350" s="11">
        <v>15</v>
      </c>
      <c r="D1350" s="11">
        <v>25</v>
      </c>
      <c r="E1350" s="11">
        <v>27</v>
      </c>
      <c r="F1350" s="11">
        <v>22</v>
      </c>
      <c r="G1350" s="11">
        <v>18</v>
      </c>
      <c r="H1350" s="11">
        <v>28</v>
      </c>
      <c r="I1350" s="11">
        <f>B1350+C1350+D1350+E1350+F1350+G1350+H1350</f>
        <v>152</v>
      </c>
      <c r="J1350" s="292">
        <f>'NOGAL '!$I1350/7</f>
        <v>21.714285714285715</v>
      </c>
    </row>
    <row r="1351" spans="1:10" s="71" customFormat="1" x14ac:dyDescent="0.25">
      <c r="A1351" s="77" t="s">
        <v>15</v>
      </c>
      <c r="B1351" s="448">
        <v>0</v>
      </c>
      <c r="C1351" s="11">
        <v>0</v>
      </c>
      <c r="D1351" s="11">
        <v>0</v>
      </c>
      <c r="E1351" s="11">
        <v>0</v>
      </c>
      <c r="F1351" s="11">
        <v>6</v>
      </c>
      <c r="G1351" s="11">
        <v>9</v>
      </c>
      <c r="H1351" s="11">
        <v>5</v>
      </c>
      <c r="I1351" s="11">
        <f>B1351+C1351+D1351+E1351+F1351+G1351+H1351</f>
        <v>20</v>
      </c>
      <c r="J1351" s="292">
        <f>'NOGAL '!$I1351/7</f>
        <v>2.8571428571428572</v>
      </c>
    </row>
    <row r="1352" spans="1:10" s="71" customFormat="1" x14ac:dyDescent="0.25">
      <c r="A1352" s="77" t="s">
        <v>16</v>
      </c>
      <c r="B1352" s="448">
        <v>0</v>
      </c>
      <c r="C1352" s="11">
        <v>0</v>
      </c>
      <c r="D1352" s="11">
        <v>0</v>
      </c>
      <c r="E1352" s="11">
        <v>0</v>
      </c>
      <c r="F1352" s="11">
        <v>0</v>
      </c>
      <c r="G1352" s="11">
        <v>1</v>
      </c>
      <c r="H1352" s="11">
        <v>0</v>
      </c>
      <c r="I1352" s="11">
        <f>B1352+C1352+D1352+E1352+F1352+G1352+H1352</f>
        <v>1</v>
      </c>
      <c r="J1352" s="292">
        <f>'NOGAL '!$I1352/7</f>
        <v>0.14285714285714285</v>
      </c>
    </row>
    <row r="1353" spans="1:10" s="71" customFormat="1" x14ac:dyDescent="0.25">
      <c r="A1353" s="79" t="s">
        <v>17</v>
      </c>
      <c r="B1353" s="102">
        <f t="shared" ref="B1353:I1353" si="580">SUM(B1348:B1352)</f>
        <v>73</v>
      </c>
      <c r="C1353" s="103">
        <f t="shared" si="580"/>
        <v>90</v>
      </c>
      <c r="D1353" s="103">
        <f t="shared" si="580"/>
        <v>102</v>
      </c>
      <c r="E1353" s="103">
        <f t="shared" si="580"/>
        <v>84</v>
      </c>
      <c r="F1353" s="103">
        <f t="shared" si="580"/>
        <v>166</v>
      </c>
      <c r="G1353" s="103">
        <f t="shared" si="580"/>
        <v>171</v>
      </c>
      <c r="H1353" s="103">
        <f t="shared" si="580"/>
        <v>172</v>
      </c>
      <c r="I1353" s="103">
        <f t="shared" si="580"/>
        <v>858</v>
      </c>
      <c r="J1353" s="405">
        <f>'NOGAL '!$I1353/7</f>
        <v>122.57142857142857</v>
      </c>
    </row>
    <row r="1354" spans="1:10" s="71" customFormat="1" x14ac:dyDescent="0.25">
      <c r="A1354" s="77" t="s">
        <v>18</v>
      </c>
      <c r="B1354" s="449">
        <v>0.83</v>
      </c>
      <c r="C1354" s="236">
        <v>0.83</v>
      </c>
      <c r="D1354" s="236">
        <v>0.78</v>
      </c>
      <c r="E1354" s="236">
        <v>0.78</v>
      </c>
      <c r="F1354" s="236">
        <v>0.89</v>
      </c>
      <c r="G1354" s="236">
        <v>0.85</v>
      </c>
      <c r="H1354" s="236">
        <v>0.84</v>
      </c>
      <c r="I1354" s="18">
        <f>I1361/I1366</f>
        <v>0.83922869327153637</v>
      </c>
      <c r="J1354" s="297">
        <f>J1361/J1366</f>
        <v>0.83922869327153649</v>
      </c>
    </row>
    <row r="1355" spans="1:10" s="71" customFormat="1" x14ac:dyDescent="0.25">
      <c r="A1355" s="77" t="s">
        <v>19</v>
      </c>
      <c r="B1355" s="449">
        <v>0.03</v>
      </c>
      <c r="C1355" s="236">
        <v>0.04</v>
      </c>
      <c r="D1355" s="236">
        <v>0.05</v>
      </c>
      <c r="E1355" s="236">
        <v>0.01</v>
      </c>
      <c r="F1355" s="236">
        <v>0.01</v>
      </c>
      <c r="G1355" s="236">
        <v>0.01</v>
      </c>
      <c r="H1355" s="236">
        <v>0.02</v>
      </c>
      <c r="I1355" s="18">
        <f>I1362/I1366</f>
        <v>2.0664945718950875E-2</v>
      </c>
      <c r="J1355" s="297">
        <f>J1362/J1366</f>
        <v>2.0664945718950875E-2</v>
      </c>
    </row>
    <row r="1356" spans="1:10" s="71" customFormat="1" x14ac:dyDescent="0.25">
      <c r="A1356" s="77" t="s">
        <v>20</v>
      </c>
      <c r="B1356" s="449">
        <v>0.14000000000000001</v>
      </c>
      <c r="C1356" s="236">
        <v>0.13</v>
      </c>
      <c r="D1356" s="236">
        <v>0.17</v>
      </c>
      <c r="E1356" s="236">
        <v>0.21</v>
      </c>
      <c r="F1356" s="236">
        <v>0.08</v>
      </c>
      <c r="G1356" s="236">
        <v>0.09</v>
      </c>
      <c r="H1356" s="236">
        <v>0.1</v>
      </c>
      <c r="I1356" s="18">
        <f>I1363/I1366</f>
        <v>0.1180246306857238</v>
      </c>
      <c r="J1356" s="297">
        <f>J1363/J1366</f>
        <v>0.11802463068572382</v>
      </c>
    </row>
    <row r="1357" spans="1:10" s="71" customFormat="1" x14ac:dyDescent="0.25">
      <c r="A1357" s="77" t="s">
        <v>21</v>
      </c>
      <c r="B1357" s="449">
        <v>0</v>
      </c>
      <c r="C1357" s="236">
        <v>0</v>
      </c>
      <c r="D1357" s="236">
        <v>0</v>
      </c>
      <c r="E1357" s="236">
        <v>0</v>
      </c>
      <c r="F1357" s="236">
        <v>0.02</v>
      </c>
      <c r="G1357" s="236">
        <v>0.04</v>
      </c>
      <c r="H1357" s="236">
        <v>0.04</v>
      </c>
      <c r="I1357" s="18">
        <f>I1364/I1366</f>
        <v>1.9993318027486332E-2</v>
      </c>
      <c r="J1357" s="297">
        <f>J1364/J1366</f>
        <v>1.9993318027486332E-2</v>
      </c>
    </row>
    <row r="1358" spans="1:10" s="71" customFormat="1" x14ac:dyDescent="0.25">
      <c r="A1358" s="77" t="s">
        <v>22</v>
      </c>
      <c r="B1358" s="449">
        <v>0</v>
      </c>
      <c r="C1358" s="236">
        <v>0</v>
      </c>
      <c r="D1358" s="236">
        <v>0</v>
      </c>
      <c r="E1358" s="236">
        <v>0</v>
      </c>
      <c r="F1358" s="236">
        <v>0</v>
      </c>
      <c r="G1358" s="236">
        <v>0.01</v>
      </c>
      <c r="H1358" s="236">
        <v>0</v>
      </c>
      <c r="I1358" s="18">
        <f>I1365/I1366</f>
        <v>2.0884122963026287E-3</v>
      </c>
      <c r="J1358" s="297">
        <f>J1365/J1366</f>
        <v>2.0884122963026287E-3</v>
      </c>
    </row>
    <row r="1359" spans="1:10" s="71" customFormat="1" x14ac:dyDescent="0.25">
      <c r="A1359" s="81" t="s">
        <v>23</v>
      </c>
      <c r="B1359" s="450">
        <f t="shared" ref="B1359:J1359" si="581">B1370/B1353</f>
        <v>36243.835616438359</v>
      </c>
      <c r="C1359" s="130">
        <f t="shared" si="581"/>
        <v>37880.000000000007</v>
      </c>
      <c r="D1359" s="130">
        <f t="shared" si="581"/>
        <v>32041.176470588242</v>
      </c>
      <c r="E1359" s="130">
        <f t="shared" si="581"/>
        <v>38020.238095238099</v>
      </c>
      <c r="F1359" s="130">
        <f t="shared" si="581"/>
        <v>42845.180722891571</v>
      </c>
      <c r="G1359" s="130">
        <f t="shared" si="581"/>
        <v>39318.713450292395</v>
      </c>
      <c r="H1359" s="130">
        <f t="shared" si="581"/>
        <v>33899.41860465116</v>
      </c>
      <c r="I1359" s="130">
        <f t="shared" si="581"/>
        <v>37509.790209790204</v>
      </c>
      <c r="J1359" s="314">
        <f t="shared" si="581"/>
        <v>37509.790209790197</v>
      </c>
    </row>
    <row r="1360" spans="1:10" s="71" customFormat="1" x14ac:dyDescent="0.25">
      <c r="A1360" s="81" t="s">
        <v>24</v>
      </c>
      <c r="B1360" s="450">
        <f t="shared" ref="B1360:J1360" si="582">B1370/B1347</f>
        <v>27850.526315789473</v>
      </c>
      <c r="C1360" s="130">
        <f t="shared" si="582"/>
        <v>29389.655172413797</v>
      </c>
      <c r="D1360" s="130">
        <f t="shared" si="582"/>
        <v>29180.357142857149</v>
      </c>
      <c r="E1360" s="130">
        <f t="shared" si="582"/>
        <v>28262.831858407084</v>
      </c>
      <c r="F1360" s="130">
        <f t="shared" si="582"/>
        <v>29268.724279835395</v>
      </c>
      <c r="G1360" s="130">
        <f t="shared" si="582"/>
        <v>28250</v>
      </c>
      <c r="H1360" s="130">
        <f t="shared" si="582"/>
        <v>27898.086124401914</v>
      </c>
      <c r="I1360" s="130">
        <f t="shared" si="582"/>
        <v>28582.06039076376</v>
      </c>
      <c r="J1360" s="314">
        <f t="shared" si="582"/>
        <v>28582.060390763756</v>
      </c>
    </row>
    <row r="1361" spans="1:10" s="71" customFormat="1" x14ac:dyDescent="0.25">
      <c r="A1361" s="77" t="s">
        <v>25</v>
      </c>
      <c r="B1361" s="451">
        <f t="shared" ref="B1361:H1361" si="583">B1366*B1354</f>
        <v>1796528.4172413794</v>
      </c>
      <c r="C1361" s="92">
        <f t="shared" si="583"/>
        <v>2310558.579310345</v>
      </c>
      <c r="D1361" s="92">
        <f t="shared" si="583"/>
        <v>2074877.0586206899</v>
      </c>
      <c r="E1361" s="92">
        <f t="shared" si="583"/>
        <v>2053357.5310344831</v>
      </c>
      <c r="F1361" s="92">
        <f t="shared" si="583"/>
        <v>5194091.7120689657</v>
      </c>
      <c r="G1361" s="92">
        <f t="shared" si="583"/>
        <v>4670257.5862068962</v>
      </c>
      <c r="H1361" s="92">
        <f t="shared" si="583"/>
        <v>3979664.2344827582</v>
      </c>
      <c r="I1361" s="92">
        <f>'NOGAL '!$B1361+'NOGAL '!$C1361+'NOGAL '!$D1361+'NOGAL '!$E1361+'NOGAL '!$F1361+'NOGAL '!$G1361+'NOGAL '!$H1361</f>
        <v>22079335.118965514</v>
      </c>
      <c r="J1361" s="300">
        <f>'NOGAL '!$I1361/7</f>
        <v>3154190.7312807878</v>
      </c>
    </row>
    <row r="1362" spans="1:10" s="71" customFormat="1" x14ac:dyDescent="0.25">
      <c r="A1362" s="77" t="s">
        <v>26</v>
      </c>
      <c r="B1362" s="451">
        <f t="shared" ref="B1362:H1362" si="584">B1366*B1355</f>
        <v>64934.762068965523</v>
      </c>
      <c r="C1362" s="92">
        <f t="shared" si="584"/>
        <v>111352.22068965519</v>
      </c>
      <c r="D1362" s="92">
        <f t="shared" si="584"/>
        <v>133004.93965517243</v>
      </c>
      <c r="E1362" s="92">
        <f t="shared" si="584"/>
        <v>26325.096551724142</v>
      </c>
      <c r="F1362" s="92">
        <f t="shared" si="584"/>
        <v>58360.581034482762</v>
      </c>
      <c r="G1362" s="92">
        <f t="shared" si="584"/>
        <v>54944.206896551725</v>
      </c>
      <c r="H1362" s="92">
        <f t="shared" si="584"/>
        <v>94753.910344827586</v>
      </c>
      <c r="I1362" s="92">
        <f>'NOGAL '!$B1362+'NOGAL '!$C1362+'NOGAL '!$D1362+'NOGAL '!$E1362+'NOGAL '!$F1362+'NOGAL '!$G1362+'NOGAL '!$H1362</f>
        <v>543675.71724137932</v>
      </c>
      <c r="J1362" s="300">
        <f>'NOGAL '!$I1362/7</f>
        <v>77667.959605911325</v>
      </c>
    </row>
    <row r="1363" spans="1:10" s="71" customFormat="1" x14ac:dyDescent="0.25">
      <c r="A1363" s="77" t="s">
        <v>27</v>
      </c>
      <c r="B1363" s="451">
        <f t="shared" ref="B1363:H1363" si="585">B1366*B1356</f>
        <v>303028.88965517248</v>
      </c>
      <c r="C1363" s="92">
        <f t="shared" si="585"/>
        <v>361894.71724137937</v>
      </c>
      <c r="D1363" s="92">
        <f t="shared" si="585"/>
        <v>452216.79482758627</v>
      </c>
      <c r="E1363" s="92">
        <f t="shared" si="585"/>
        <v>552827.02758620691</v>
      </c>
      <c r="F1363" s="92">
        <f t="shared" si="585"/>
        <v>466884.6482758621</v>
      </c>
      <c r="G1363" s="92">
        <f t="shared" si="585"/>
        <v>494497.86206896551</v>
      </c>
      <c r="H1363" s="92">
        <f t="shared" si="585"/>
        <v>473769.55172413797</v>
      </c>
      <c r="I1363" s="92">
        <f>'NOGAL '!$B1363+'NOGAL '!$C1363+'NOGAL '!$D1363+'NOGAL '!$E1363+'NOGAL '!$F1363+'NOGAL '!$G1363+'NOGAL '!$H1363</f>
        <v>3105119.4913793104</v>
      </c>
      <c r="J1363" s="300">
        <f>'NOGAL '!$I1363/7</f>
        <v>443588.49876847293</v>
      </c>
    </row>
    <row r="1364" spans="1:10" s="71" customFormat="1" x14ac:dyDescent="0.25">
      <c r="A1364" s="77" t="s">
        <v>28</v>
      </c>
      <c r="B1364" s="451">
        <f t="shared" ref="B1364:H1364" si="586">B1366*B1357</f>
        <v>0</v>
      </c>
      <c r="C1364" s="92">
        <f t="shared" si="586"/>
        <v>0</v>
      </c>
      <c r="D1364" s="92">
        <f t="shared" si="586"/>
        <v>0</v>
      </c>
      <c r="E1364" s="92">
        <f t="shared" si="586"/>
        <v>0</v>
      </c>
      <c r="F1364" s="92">
        <f t="shared" si="586"/>
        <v>116721.16206896552</v>
      </c>
      <c r="G1364" s="92">
        <f t="shared" si="586"/>
        <v>219776.8275862069</v>
      </c>
      <c r="H1364" s="92">
        <f t="shared" si="586"/>
        <v>189507.82068965517</v>
      </c>
      <c r="I1364" s="92">
        <f>'NOGAL '!$B1364+'NOGAL '!$C1364+'NOGAL '!$D1364+'NOGAL '!$E1364+'NOGAL '!$F1364+'NOGAL '!$G1364+'NOGAL '!$H1364</f>
        <v>526005.81034482759</v>
      </c>
      <c r="J1364" s="300">
        <f>'NOGAL '!$I1364/7</f>
        <v>75143.687192118232</v>
      </c>
    </row>
    <row r="1365" spans="1:10" s="71" customFormat="1" x14ac:dyDescent="0.25">
      <c r="A1365" s="77" t="s">
        <v>29</v>
      </c>
      <c r="B1365" s="451">
        <f t="shared" ref="B1365:H1365" si="587">B1366*B1358</f>
        <v>0</v>
      </c>
      <c r="C1365" s="92">
        <f t="shared" si="587"/>
        <v>0</v>
      </c>
      <c r="D1365" s="92">
        <f t="shared" si="587"/>
        <v>0</v>
      </c>
      <c r="E1365" s="92">
        <f t="shared" si="587"/>
        <v>0</v>
      </c>
      <c r="F1365" s="92">
        <f t="shared" si="587"/>
        <v>0</v>
      </c>
      <c r="G1365" s="92">
        <f t="shared" si="587"/>
        <v>54944.206896551725</v>
      </c>
      <c r="H1365" s="92">
        <f t="shared" si="587"/>
        <v>0</v>
      </c>
      <c r="I1365" s="92">
        <f>'NOGAL '!$B1365+'NOGAL '!$C1365+'NOGAL '!$D1365+'NOGAL '!$E1365+'NOGAL '!$F1365+'NOGAL '!$G1365+'NOGAL '!$H1365</f>
        <v>54944.206896551725</v>
      </c>
      <c r="J1365" s="300">
        <f>'NOGAL '!$I1365/7</f>
        <v>7849.1724137931033</v>
      </c>
    </row>
    <row r="1366" spans="1:10" s="71" customFormat="1" x14ac:dyDescent="0.25">
      <c r="A1366" s="82" t="s">
        <v>30</v>
      </c>
      <c r="B1366" s="237">
        <f>(2645800/1.16)-B1367</f>
        <v>2164492.0689655175</v>
      </c>
      <c r="C1366" s="237">
        <f>(3409200/1.16)-C1367</f>
        <v>2783805.5172413797</v>
      </c>
      <c r="D1366" s="237">
        <f>(3268200/1.16)-D1367</f>
        <v>2660098.7931034486</v>
      </c>
      <c r="E1366" s="237">
        <f>(3193700/1.16)-E1367</f>
        <v>2632509.6551724141</v>
      </c>
      <c r="F1366" s="237">
        <f>(7112300/1.16)-F1367</f>
        <v>5836058.1034482764</v>
      </c>
      <c r="G1366" s="237">
        <f>(6723500/1.16)-G1367</f>
        <v>5494420.6896551726</v>
      </c>
      <c r="H1366" s="237">
        <f>(5830700/1.16)-H1367</f>
        <v>4737695.5172413792</v>
      </c>
      <c r="I1366" s="91">
        <f>SUM(I1361:I1365)</f>
        <v>26309080.344827581</v>
      </c>
      <c r="J1366" s="361">
        <f>'NOGAL '!$I1366/7</f>
        <v>3758440.0492610829</v>
      </c>
    </row>
    <row r="1367" spans="1:10" s="71" customFormat="1" x14ac:dyDescent="0.25">
      <c r="A1367" s="77" t="s">
        <v>31</v>
      </c>
      <c r="B1367" s="452">
        <f t="shared" ref="B1367:G1367" si="588">2155*B1348</f>
        <v>116370</v>
      </c>
      <c r="C1367" s="94">
        <f t="shared" si="588"/>
        <v>155160</v>
      </c>
      <c r="D1367" s="94">
        <f t="shared" si="588"/>
        <v>157315</v>
      </c>
      <c r="E1367" s="94">
        <f t="shared" si="588"/>
        <v>120680</v>
      </c>
      <c r="F1367" s="94">
        <f t="shared" si="588"/>
        <v>295235</v>
      </c>
      <c r="G1367" s="94">
        <f t="shared" si="588"/>
        <v>301700</v>
      </c>
      <c r="H1367" s="94">
        <f>2155*H1348</f>
        <v>288770</v>
      </c>
      <c r="I1367" s="94">
        <f>2155*I1348</f>
        <v>1435230</v>
      </c>
      <c r="J1367" s="302">
        <f>2155*J1348</f>
        <v>205032.85714285713</v>
      </c>
    </row>
    <row r="1368" spans="1:10" s="71" customFormat="1" x14ac:dyDescent="0.25">
      <c r="A1368" s="83" t="s">
        <v>32</v>
      </c>
      <c r="B1368" s="453">
        <f>B1366+B1367</f>
        <v>2280862.0689655175</v>
      </c>
      <c r="C1368" s="39">
        <f>C1366+C1367</f>
        <v>2938965.5172413797</v>
      </c>
      <c r="D1368" s="39">
        <f t="shared" ref="D1368:J1368" si="589">D1366+D1367</f>
        <v>2817413.7931034486</v>
      </c>
      <c r="E1368" s="39">
        <f t="shared" si="589"/>
        <v>2753189.6551724141</v>
      </c>
      <c r="F1368" s="39">
        <f t="shared" si="589"/>
        <v>6131293.1034482764</v>
      </c>
      <c r="G1368" s="39">
        <f t="shared" si="589"/>
        <v>5796120.6896551726</v>
      </c>
      <c r="H1368" s="39">
        <f t="shared" si="589"/>
        <v>5026465.5172413792</v>
      </c>
      <c r="I1368" s="39">
        <f t="shared" si="589"/>
        <v>27744310.344827581</v>
      </c>
      <c r="J1368" s="364">
        <f t="shared" si="589"/>
        <v>3963472.9064039402</v>
      </c>
    </row>
    <row r="1369" spans="1:10" s="71" customFormat="1" x14ac:dyDescent="0.25">
      <c r="A1369" s="77" t="s">
        <v>33</v>
      </c>
      <c r="B1369" s="454">
        <f>B1368*16%</f>
        <v>364937.93103448278</v>
      </c>
      <c r="C1369" s="41">
        <f>C1368*16%</f>
        <v>470234.48275862075</v>
      </c>
      <c r="D1369" s="41">
        <f t="shared" ref="D1369:J1369" si="590">D1368*16%</f>
        <v>450786.20689655177</v>
      </c>
      <c r="E1369" s="41">
        <f t="shared" si="590"/>
        <v>440510.34482758626</v>
      </c>
      <c r="F1369" s="41">
        <f t="shared" si="590"/>
        <v>981006.89655172429</v>
      </c>
      <c r="G1369" s="41">
        <f t="shared" si="590"/>
        <v>927379.31034482759</v>
      </c>
      <c r="H1369" s="41">
        <f t="shared" si="590"/>
        <v>804234.48275862075</v>
      </c>
      <c r="I1369" s="41">
        <f t="shared" si="590"/>
        <v>4439089.6551724132</v>
      </c>
      <c r="J1369" s="415">
        <f t="shared" si="590"/>
        <v>634155.66502463049</v>
      </c>
    </row>
    <row r="1370" spans="1:10" s="71" customFormat="1" x14ac:dyDescent="0.25">
      <c r="A1370" s="142" t="s">
        <v>34</v>
      </c>
      <c r="B1370" s="438">
        <f t="shared" ref="B1370:H1370" si="591">B1368+B1369</f>
        <v>2645800</v>
      </c>
      <c r="C1370" s="144">
        <f t="shared" si="591"/>
        <v>3409200.0000000005</v>
      </c>
      <c r="D1370" s="144">
        <f t="shared" si="591"/>
        <v>3268200.0000000005</v>
      </c>
      <c r="E1370" s="144">
        <f t="shared" si="591"/>
        <v>3193700.0000000005</v>
      </c>
      <c r="F1370" s="144">
        <f t="shared" si="591"/>
        <v>7112300.0000000009</v>
      </c>
      <c r="G1370" s="144">
        <f t="shared" si="591"/>
        <v>6723500</v>
      </c>
      <c r="H1370" s="144">
        <f t="shared" si="591"/>
        <v>5830700</v>
      </c>
      <c r="I1370" s="144">
        <f>+I1368+I1369</f>
        <v>32183399.999999993</v>
      </c>
      <c r="J1370" s="441">
        <f>'NOGAL '!$I1370/7</f>
        <v>4597628.57142857</v>
      </c>
    </row>
    <row r="1371" spans="1:10" s="71" customFormat="1" ht="15.75" thickBot="1" x14ac:dyDescent="0.3">
      <c r="A1371" s="69"/>
      <c r="B1371" s="424"/>
      <c r="C1371" s="424"/>
      <c r="D1371" s="424"/>
      <c r="E1371" s="424"/>
      <c r="F1371" s="424"/>
      <c r="G1371" s="424"/>
      <c r="H1371" s="424"/>
      <c r="I1371" s="424"/>
      <c r="J1371" s="424"/>
    </row>
    <row r="1372" spans="1:10" s="71" customFormat="1" ht="26.25" x14ac:dyDescent="0.25">
      <c r="A1372" s="85"/>
      <c r="B1372" s="1002" t="s">
        <v>391</v>
      </c>
      <c r="C1372" s="1002"/>
      <c r="D1372" s="1002"/>
      <c r="E1372" s="1002"/>
      <c r="F1372" s="1002"/>
      <c r="G1372" s="1002"/>
      <c r="H1372" s="1002"/>
      <c r="I1372" s="1002"/>
      <c r="J1372" s="85"/>
    </row>
    <row r="1373" spans="1:10" s="71" customFormat="1" ht="15.75" x14ac:dyDescent="0.25">
      <c r="A1373" s="72" t="s">
        <v>2</v>
      </c>
      <c r="B1373" s="153" t="s">
        <v>600</v>
      </c>
      <c r="C1373" s="153" t="s">
        <v>601</v>
      </c>
      <c r="D1373" s="153" t="s">
        <v>602</v>
      </c>
      <c r="E1373" s="153" t="s">
        <v>603</v>
      </c>
      <c r="F1373" s="153" t="s">
        <v>604</v>
      </c>
      <c r="G1373" s="153" t="s">
        <v>605</v>
      </c>
      <c r="H1373" s="153" t="s">
        <v>606</v>
      </c>
      <c r="I1373" s="153" t="s">
        <v>10</v>
      </c>
      <c r="J1373" s="490" t="s">
        <v>77</v>
      </c>
    </row>
    <row r="1374" spans="1:10" s="71" customFormat="1" x14ac:dyDescent="0.25">
      <c r="A1374" s="430" t="s">
        <v>11</v>
      </c>
      <c r="B1374" s="433">
        <f>56+20+8</f>
        <v>84</v>
      </c>
      <c r="C1374" s="75">
        <f>58+29+4</f>
        <v>91</v>
      </c>
      <c r="D1374" s="75">
        <f>69+25+8</f>
        <v>102</v>
      </c>
      <c r="E1374" s="316">
        <f>73+18+18</f>
        <v>109</v>
      </c>
      <c r="F1374" s="316">
        <f>189+42+28</f>
        <v>259</v>
      </c>
      <c r="G1374" s="316">
        <f>122+38+21</f>
        <v>181</v>
      </c>
      <c r="H1374" s="316">
        <f>144+50+33</f>
        <v>227</v>
      </c>
      <c r="I1374" s="316">
        <f>SUM(B1374:H1374)</f>
        <v>1053</v>
      </c>
      <c r="J1374" s="437">
        <f>'NOGAL '!$I1374/7</f>
        <v>150.42857142857142</v>
      </c>
    </row>
    <row r="1375" spans="1:10" s="71" customFormat="1" x14ac:dyDescent="0.25">
      <c r="A1375" s="77" t="s">
        <v>12</v>
      </c>
      <c r="B1375" s="448">
        <v>46</v>
      </c>
      <c r="C1375" s="86">
        <v>51</v>
      </c>
      <c r="D1375" s="11">
        <v>55</v>
      </c>
      <c r="E1375" s="86">
        <v>56</v>
      </c>
      <c r="F1375" s="86">
        <v>117</v>
      </c>
      <c r="G1375" s="11">
        <v>106</v>
      </c>
      <c r="H1375" s="11">
        <v>139</v>
      </c>
      <c r="I1375" s="11">
        <f>B1375+C1375+D1375+E1375+F1375+G1375+H1375</f>
        <v>570</v>
      </c>
      <c r="J1375" s="292">
        <f>'NOGAL '!$I1375/7</f>
        <v>81.428571428571431</v>
      </c>
    </row>
    <row r="1376" spans="1:10" s="71" customFormat="1" x14ac:dyDescent="0.25">
      <c r="A1376" s="77" t="s">
        <v>13</v>
      </c>
      <c r="B1376" s="448">
        <v>3</v>
      </c>
      <c r="C1376" s="11">
        <v>3</v>
      </c>
      <c r="D1376" s="11">
        <v>4</v>
      </c>
      <c r="E1376" s="11">
        <v>3</v>
      </c>
      <c r="F1376" s="11">
        <v>4</v>
      </c>
      <c r="G1376" s="11">
        <v>2</v>
      </c>
      <c r="H1376" s="11">
        <v>5</v>
      </c>
      <c r="I1376" s="11">
        <f>B1376+C1376+D1376+E1376+F1376+G1376+H1376</f>
        <v>24</v>
      </c>
      <c r="J1376" s="292">
        <f>C1376+D1376+E1376+F1376+G1376+H1376+I1376</f>
        <v>45</v>
      </c>
    </row>
    <row r="1377" spans="1:10" s="71" customFormat="1" x14ac:dyDescent="0.25">
      <c r="A1377" s="77" t="s">
        <v>14</v>
      </c>
      <c r="B1377" s="448">
        <v>16</v>
      </c>
      <c r="C1377" s="11">
        <v>24</v>
      </c>
      <c r="D1377" s="11">
        <v>25</v>
      </c>
      <c r="E1377" s="11">
        <v>25</v>
      </c>
      <c r="F1377" s="11">
        <v>37</v>
      </c>
      <c r="G1377" s="11">
        <v>23</v>
      </c>
      <c r="H1377" s="11">
        <v>24</v>
      </c>
      <c r="I1377" s="11">
        <f>B1377+C1377+D1377+E1377+F1377+G1377+H1377</f>
        <v>174</v>
      </c>
      <c r="J1377" s="292">
        <f>'NOGAL '!$I1377/7</f>
        <v>24.857142857142858</v>
      </c>
    </row>
    <row r="1378" spans="1:10" s="71" customFormat="1" x14ac:dyDescent="0.25">
      <c r="A1378" s="77" t="s">
        <v>15</v>
      </c>
      <c r="B1378" s="448">
        <v>6</v>
      </c>
      <c r="C1378" s="11">
        <v>1</v>
      </c>
      <c r="D1378" s="11">
        <v>0</v>
      </c>
      <c r="E1378" s="11">
        <v>0</v>
      </c>
      <c r="F1378" s="11">
        <v>6</v>
      </c>
      <c r="G1378" s="11">
        <v>6</v>
      </c>
      <c r="H1378" s="11">
        <v>8</v>
      </c>
      <c r="I1378" s="11">
        <f>B1378+C1378+D1378+E1378+F1378+G1378+H1378</f>
        <v>27</v>
      </c>
      <c r="J1378" s="292">
        <f>'NOGAL '!$I1378/7</f>
        <v>3.8571428571428572</v>
      </c>
    </row>
    <row r="1379" spans="1:10" s="71" customFormat="1" x14ac:dyDescent="0.25">
      <c r="A1379" s="77" t="s">
        <v>16</v>
      </c>
      <c r="B1379" s="448">
        <v>0</v>
      </c>
      <c r="C1379" s="11">
        <v>0</v>
      </c>
      <c r="D1379" s="11">
        <v>0</v>
      </c>
      <c r="E1379" s="11">
        <v>0</v>
      </c>
      <c r="F1379" s="11">
        <v>0</v>
      </c>
      <c r="G1379" s="11">
        <v>2</v>
      </c>
      <c r="H1379" s="11">
        <v>0</v>
      </c>
      <c r="I1379" s="11">
        <f>B1379+C1379+D1379+E1379+F1379+G1379+H1379</f>
        <v>2</v>
      </c>
      <c r="J1379" s="292">
        <f>'NOGAL '!$I1379/7</f>
        <v>0.2857142857142857</v>
      </c>
    </row>
    <row r="1380" spans="1:10" s="71" customFormat="1" x14ac:dyDescent="0.25">
      <c r="A1380" s="79" t="s">
        <v>17</v>
      </c>
      <c r="B1380" s="102">
        <f t="shared" ref="B1380:I1380" si="592">SUM(B1375:B1379)</f>
        <v>71</v>
      </c>
      <c r="C1380" s="103">
        <f t="shared" si="592"/>
        <v>79</v>
      </c>
      <c r="D1380" s="103">
        <f t="shared" si="592"/>
        <v>84</v>
      </c>
      <c r="E1380" s="103">
        <f t="shared" si="592"/>
        <v>84</v>
      </c>
      <c r="F1380" s="103">
        <f t="shared" si="592"/>
        <v>164</v>
      </c>
      <c r="G1380" s="103">
        <f t="shared" si="592"/>
        <v>139</v>
      </c>
      <c r="H1380" s="103">
        <f t="shared" si="592"/>
        <v>176</v>
      </c>
      <c r="I1380" s="103">
        <f t="shared" si="592"/>
        <v>797</v>
      </c>
      <c r="J1380" s="405">
        <f>'NOGAL '!$I1380/7</f>
        <v>113.85714285714286</v>
      </c>
    </row>
    <row r="1381" spans="1:10" s="71" customFormat="1" x14ac:dyDescent="0.25">
      <c r="A1381" s="77" t="s">
        <v>18</v>
      </c>
      <c r="B1381" s="449">
        <v>0.77</v>
      </c>
      <c r="C1381" s="236">
        <v>0.74</v>
      </c>
      <c r="D1381" s="236">
        <v>0.71</v>
      </c>
      <c r="E1381" s="236">
        <v>0.7</v>
      </c>
      <c r="F1381" s="236">
        <v>0.83</v>
      </c>
      <c r="G1381" s="236">
        <v>0.8</v>
      </c>
      <c r="H1381" s="236">
        <v>0.83</v>
      </c>
      <c r="I1381" s="18">
        <f>I1388/I1393</f>
        <v>0.78799345137975518</v>
      </c>
      <c r="J1381" s="297">
        <f>J1388/J1393</f>
        <v>0.78799345137975518</v>
      </c>
    </row>
    <row r="1382" spans="1:10" s="71" customFormat="1" x14ac:dyDescent="0.25">
      <c r="A1382" s="77" t="s">
        <v>19</v>
      </c>
      <c r="B1382" s="449">
        <v>0.04</v>
      </c>
      <c r="C1382" s="236">
        <v>0.02</v>
      </c>
      <c r="D1382" s="236">
        <v>0.03</v>
      </c>
      <c r="E1382" s="236">
        <v>0.06</v>
      </c>
      <c r="F1382" s="236">
        <v>0.02</v>
      </c>
      <c r="G1382" s="236">
        <v>0.03</v>
      </c>
      <c r="H1382" s="236">
        <v>0.03</v>
      </c>
      <c r="I1382" s="18">
        <f>I1389/I1393</f>
        <v>3.0176894442116509E-2</v>
      </c>
      <c r="J1382" s="297">
        <f>J1389/J1393</f>
        <v>3.0176894442116509E-2</v>
      </c>
    </row>
    <row r="1383" spans="1:10" s="71" customFormat="1" x14ac:dyDescent="0.25">
      <c r="A1383" s="77" t="s">
        <v>20</v>
      </c>
      <c r="B1383" s="449">
        <v>0.14000000000000001</v>
      </c>
      <c r="C1383" s="236">
        <v>0.23</v>
      </c>
      <c r="D1383" s="236">
        <v>0.26</v>
      </c>
      <c r="E1383" s="236">
        <v>0.24</v>
      </c>
      <c r="F1383" s="236">
        <v>0.14000000000000001</v>
      </c>
      <c r="G1383" s="236">
        <v>0.12</v>
      </c>
      <c r="H1383" s="236">
        <v>0.11</v>
      </c>
      <c r="I1383" s="18">
        <f>I1390/I1393</f>
        <v>0.15975584426545777</v>
      </c>
      <c r="J1383" s="297">
        <f>J1390/J1393</f>
        <v>0.1597558442654578</v>
      </c>
    </row>
    <row r="1384" spans="1:10" s="71" customFormat="1" x14ac:dyDescent="0.25">
      <c r="A1384" s="77" t="s">
        <v>21</v>
      </c>
      <c r="B1384" s="449">
        <v>0.05</v>
      </c>
      <c r="C1384" s="236">
        <v>0.01</v>
      </c>
      <c r="D1384" s="236">
        <v>0</v>
      </c>
      <c r="E1384" s="236">
        <v>0</v>
      </c>
      <c r="F1384" s="236">
        <v>0.01</v>
      </c>
      <c r="G1384" s="236">
        <v>0.04</v>
      </c>
      <c r="H1384" s="236">
        <v>0.03</v>
      </c>
      <c r="I1384" s="18">
        <f>I1391/I1393</f>
        <v>2.0338519181820534E-2</v>
      </c>
      <c r="J1384" s="297">
        <f>J1391/J1393</f>
        <v>2.0338519181820534E-2</v>
      </c>
    </row>
    <row r="1385" spans="1:10" s="71" customFormat="1" x14ac:dyDescent="0.25">
      <c r="A1385" s="77" t="s">
        <v>22</v>
      </c>
      <c r="B1385" s="449">
        <v>0</v>
      </c>
      <c r="C1385" s="236">
        <v>0</v>
      </c>
      <c r="D1385" s="236">
        <v>0</v>
      </c>
      <c r="E1385" s="236">
        <v>0</v>
      </c>
      <c r="F1385" s="236">
        <v>0</v>
      </c>
      <c r="G1385" s="236">
        <v>0.01</v>
      </c>
      <c r="H1385" s="236">
        <v>0</v>
      </c>
      <c r="I1385" s="18">
        <f>I1392/I1393</f>
        <v>1.735290730849952E-3</v>
      </c>
      <c r="J1385" s="297">
        <f>J1392/J1393</f>
        <v>1.7352907308499522E-3</v>
      </c>
    </row>
    <row r="1386" spans="1:10" s="71" customFormat="1" x14ac:dyDescent="0.25">
      <c r="A1386" s="81" t="s">
        <v>23</v>
      </c>
      <c r="B1386" s="450">
        <f t="shared" ref="B1386:J1386" si="593">B1397/B1380</f>
        <v>31100</v>
      </c>
      <c r="C1386" s="130">
        <f t="shared" si="593"/>
        <v>33362.0253164557</v>
      </c>
      <c r="D1386" s="130">
        <f t="shared" si="593"/>
        <v>35798.809523809527</v>
      </c>
      <c r="E1386" s="130">
        <f t="shared" si="593"/>
        <v>35065.476190476191</v>
      </c>
      <c r="F1386" s="130">
        <f t="shared" si="593"/>
        <v>47465.243902439026</v>
      </c>
      <c r="G1386" s="130">
        <f t="shared" si="593"/>
        <v>37878.417266187054</v>
      </c>
      <c r="H1386" s="130">
        <f t="shared" si="593"/>
        <v>36326.704545454544</v>
      </c>
      <c r="I1386" s="130">
        <f t="shared" si="593"/>
        <v>37941.279799247182</v>
      </c>
      <c r="J1386" s="314">
        <f t="shared" si="593"/>
        <v>37941.279799247175</v>
      </c>
    </row>
    <row r="1387" spans="1:10" s="71" customFormat="1" x14ac:dyDescent="0.25">
      <c r="A1387" s="81" t="s">
        <v>24</v>
      </c>
      <c r="B1387" s="450">
        <f t="shared" ref="B1387:J1387" si="594">B1397/B1374</f>
        <v>26286.904761904763</v>
      </c>
      <c r="C1387" s="130">
        <f t="shared" si="594"/>
        <v>28962.637362637364</v>
      </c>
      <c r="D1387" s="130">
        <f t="shared" si="594"/>
        <v>29481.372549019608</v>
      </c>
      <c r="E1387" s="130">
        <f t="shared" si="594"/>
        <v>27022.935779816515</v>
      </c>
      <c r="F1387" s="130">
        <f t="shared" si="594"/>
        <v>30055.212355212356</v>
      </c>
      <c r="G1387" s="130">
        <f t="shared" si="594"/>
        <v>29088.9502762431</v>
      </c>
      <c r="H1387" s="130">
        <f t="shared" si="594"/>
        <v>28165.198237885463</v>
      </c>
      <c r="I1387" s="130">
        <f t="shared" si="594"/>
        <v>28717.188983855653</v>
      </c>
      <c r="J1387" s="314">
        <f t="shared" si="594"/>
        <v>28717.188983855656</v>
      </c>
    </row>
    <row r="1388" spans="1:10" s="71" customFormat="1" x14ac:dyDescent="0.25">
      <c r="A1388" s="77" t="s">
        <v>25</v>
      </c>
      <c r="B1388" s="451">
        <f t="shared" ref="B1388:H1388" si="595">B1393*B1381</f>
        <v>1389391.4517241381</v>
      </c>
      <c r="C1388" s="92">
        <f t="shared" si="595"/>
        <v>1600001.3344827588</v>
      </c>
      <c r="D1388" s="92">
        <f t="shared" si="595"/>
        <v>1756399.8362068965</v>
      </c>
      <c r="E1388" s="92">
        <f t="shared" si="595"/>
        <v>1692980.8965517241</v>
      </c>
      <c r="F1388" s="92">
        <f t="shared" si="595"/>
        <v>5360528.8120689653</v>
      </c>
      <c r="G1388" s="92">
        <f t="shared" si="595"/>
        <v>3448359.4482758627</v>
      </c>
      <c r="H1388" s="92">
        <f t="shared" si="595"/>
        <v>4326037.1327586211</v>
      </c>
      <c r="I1388" s="92">
        <f>'NOGAL '!$B1388+'NOGAL '!$C1388+'NOGAL '!$D1388+'NOGAL '!$E1388+'NOGAL '!$F1388+'NOGAL '!$G1388+'NOGAL '!$H1388</f>
        <v>19573698.912068967</v>
      </c>
      <c r="J1388" s="300">
        <f>'NOGAL '!$I1388/7</f>
        <v>2796242.7017241381</v>
      </c>
    </row>
    <row r="1389" spans="1:10" s="71" customFormat="1" x14ac:dyDescent="0.25">
      <c r="A1389" s="77" t="s">
        <v>26</v>
      </c>
      <c r="B1389" s="451">
        <f t="shared" ref="B1389:H1389" si="596">B1393*B1382</f>
        <v>72176.179310344829</v>
      </c>
      <c r="C1389" s="92">
        <f t="shared" si="596"/>
        <v>43243.279310344828</v>
      </c>
      <c r="D1389" s="92">
        <f t="shared" si="596"/>
        <v>74214.077586206899</v>
      </c>
      <c r="E1389" s="92">
        <f t="shared" si="596"/>
        <v>145112.64827586207</v>
      </c>
      <c r="F1389" s="92">
        <f t="shared" si="596"/>
        <v>129169.36896551725</v>
      </c>
      <c r="G1389" s="92">
        <f t="shared" si="596"/>
        <v>129313.47931034485</v>
      </c>
      <c r="H1389" s="92">
        <f t="shared" si="596"/>
        <v>156362.78793103449</v>
      </c>
      <c r="I1389" s="92">
        <f>'NOGAL '!$B1389+'NOGAL '!$C1389+'NOGAL '!$D1389+'NOGAL '!$E1389+'NOGAL '!$F1389+'NOGAL '!$G1389+'NOGAL '!$H1389</f>
        <v>749591.82068965526</v>
      </c>
      <c r="J1389" s="300">
        <f>'NOGAL '!$I1389/7</f>
        <v>107084.54581280789</v>
      </c>
    </row>
    <row r="1390" spans="1:10" s="71" customFormat="1" x14ac:dyDescent="0.25">
      <c r="A1390" s="77" t="s">
        <v>27</v>
      </c>
      <c r="B1390" s="451">
        <f t="shared" ref="B1390:H1390" si="597">B1393*B1383</f>
        <v>252616.62758620692</v>
      </c>
      <c r="C1390" s="92">
        <f t="shared" si="597"/>
        <v>497297.71206896554</v>
      </c>
      <c r="D1390" s="92">
        <f t="shared" si="597"/>
        <v>643188.67241379316</v>
      </c>
      <c r="E1390" s="92">
        <f t="shared" si="597"/>
        <v>580450.59310344828</v>
      </c>
      <c r="F1390" s="92">
        <f t="shared" si="597"/>
        <v>904185.58275862085</v>
      </c>
      <c r="G1390" s="92">
        <f t="shared" si="597"/>
        <v>517253.91724137939</v>
      </c>
      <c r="H1390" s="92">
        <f t="shared" si="597"/>
        <v>573330.22241379309</v>
      </c>
      <c r="I1390" s="92">
        <f>'NOGAL '!$B1390+'NOGAL '!$C1390+'NOGAL '!$D1390+'NOGAL '!$E1390+'NOGAL '!$F1390+'NOGAL '!$G1390+'NOGAL '!$H1390</f>
        <v>3968323.3275862075</v>
      </c>
      <c r="J1390" s="300">
        <f>'NOGAL '!$I1390/7</f>
        <v>566903.33251231536</v>
      </c>
    </row>
    <row r="1391" spans="1:10" s="71" customFormat="1" x14ac:dyDescent="0.25">
      <c r="A1391" s="77" t="s">
        <v>28</v>
      </c>
      <c r="B1391" s="451">
        <f t="shared" ref="B1391:H1391" si="598">B1393*B1384</f>
        <v>90220.224137931044</v>
      </c>
      <c r="C1391" s="92">
        <f t="shared" si="598"/>
        <v>21621.639655172414</v>
      </c>
      <c r="D1391" s="92">
        <f t="shared" si="598"/>
        <v>0</v>
      </c>
      <c r="E1391" s="92">
        <f t="shared" si="598"/>
        <v>0</v>
      </c>
      <c r="F1391" s="92">
        <f t="shared" si="598"/>
        <v>64584.684482758625</v>
      </c>
      <c r="G1391" s="92">
        <f t="shared" si="598"/>
        <v>172417.97241379315</v>
      </c>
      <c r="H1391" s="92">
        <f t="shared" si="598"/>
        <v>156362.78793103449</v>
      </c>
      <c r="I1391" s="92">
        <f>'NOGAL '!$B1391+'NOGAL '!$C1391+'NOGAL '!$D1391+'NOGAL '!$E1391+'NOGAL '!$F1391+'NOGAL '!$G1391+'NOGAL '!$H1391</f>
        <v>505207.30862068967</v>
      </c>
      <c r="J1391" s="300">
        <f>'NOGAL '!$I1391/7</f>
        <v>72172.47266009853</v>
      </c>
    </row>
    <row r="1392" spans="1:10" s="71" customFormat="1" x14ac:dyDescent="0.25">
      <c r="A1392" s="77" t="s">
        <v>29</v>
      </c>
      <c r="B1392" s="451">
        <f t="shared" ref="B1392:H1392" si="599">B1393*B1385</f>
        <v>0</v>
      </c>
      <c r="C1392" s="92">
        <f t="shared" si="599"/>
        <v>0</v>
      </c>
      <c r="D1392" s="92">
        <f t="shared" si="599"/>
        <v>0</v>
      </c>
      <c r="E1392" s="92">
        <f t="shared" si="599"/>
        <v>0</v>
      </c>
      <c r="F1392" s="92">
        <f t="shared" si="599"/>
        <v>0</v>
      </c>
      <c r="G1392" s="92">
        <f t="shared" si="599"/>
        <v>43104.493103448287</v>
      </c>
      <c r="H1392" s="92">
        <f t="shared" si="599"/>
        <v>0</v>
      </c>
      <c r="I1392" s="92">
        <f>'NOGAL '!$B1392+'NOGAL '!$C1392+'NOGAL '!$D1392+'NOGAL '!$E1392+'NOGAL '!$F1392+'NOGAL '!$G1392+'NOGAL '!$H1392</f>
        <v>43104.493103448287</v>
      </c>
      <c r="J1392" s="300">
        <f>'NOGAL '!$I1392/7</f>
        <v>6157.7847290640411</v>
      </c>
    </row>
    <row r="1393" spans="1:10" s="71" customFormat="1" x14ac:dyDescent="0.25">
      <c r="A1393" s="82" t="s">
        <v>30</v>
      </c>
      <c r="B1393" s="237">
        <f>(2208100/1.16)-B1394</f>
        <v>1804404.4827586208</v>
      </c>
      <c r="C1393" s="237">
        <f>(2635600/1.16)-C1394</f>
        <v>2162163.9655172415</v>
      </c>
      <c r="D1393" s="237">
        <f>(3007100/1.16)-D1394</f>
        <v>2473802.5862068967</v>
      </c>
      <c r="E1393" s="237">
        <f>(2945500/1.16)-E1394</f>
        <v>2418544.1379310344</v>
      </c>
      <c r="F1393" s="237">
        <f>(7784300/1.16)-F1394</f>
        <v>6458468.4482758623</v>
      </c>
      <c r="G1393" s="237">
        <f>(5265100/1.16)-G1394</f>
        <v>4310449.3103448283</v>
      </c>
      <c r="H1393" s="237">
        <f>(6393500/1.16)-H1394</f>
        <v>5212092.931034483</v>
      </c>
      <c r="I1393" s="91">
        <f>SUM(I1388:I1392)</f>
        <v>24839925.86206897</v>
      </c>
      <c r="J1393" s="361">
        <f>'NOGAL '!$I1393/7</f>
        <v>3548560.8374384241</v>
      </c>
    </row>
    <row r="1394" spans="1:10" s="71" customFormat="1" x14ac:dyDescent="0.25">
      <c r="A1394" s="77" t="s">
        <v>31</v>
      </c>
      <c r="B1394" s="452">
        <f t="shared" ref="B1394:G1394" si="600">2155*B1375</f>
        <v>99130</v>
      </c>
      <c r="C1394" s="94">
        <f t="shared" si="600"/>
        <v>109905</v>
      </c>
      <c r="D1394" s="94">
        <f t="shared" si="600"/>
        <v>118525</v>
      </c>
      <c r="E1394" s="94">
        <f t="shared" si="600"/>
        <v>120680</v>
      </c>
      <c r="F1394" s="94">
        <f t="shared" si="600"/>
        <v>252135</v>
      </c>
      <c r="G1394" s="94">
        <f t="shared" si="600"/>
        <v>228430</v>
      </c>
      <c r="H1394" s="94">
        <f>2155*H1375</f>
        <v>299545</v>
      </c>
      <c r="I1394" s="94">
        <f>2155*I1375</f>
        <v>1228350</v>
      </c>
      <c r="J1394" s="302">
        <f>2155*J1375</f>
        <v>175478.57142857142</v>
      </c>
    </row>
    <row r="1395" spans="1:10" s="71" customFormat="1" x14ac:dyDescent="0.25">
      <c r="A1395" s="83" t="s">
        <v>32</v>
      </c>
      <c r="B1395" s="453">
        <f>B1393+B1394</f>
        <v>1903534.4827586208</v>
      </c>
      <c r="C1395" s="39">
        <f>C1393+C1394</f>
        <v>2272068.9655172415</v>
      </c>
      <c r="D1395" s="39">
        <f t="shared" ref="D1395:J1395" si="601">D1393+D1394</f>
        <v>2592327.5862068967</v>
      </c>
      <c r="E1395" s="39">
        <f t="shared" si="601"/>
        <v>2539224.1379310344</v>
      </c>
      <c r="F1395" s="39">
        <f t="shared" si="601"/>
        <v>6710603.4482758623</v>
      </c>
      <c r="G1395" s="39">
        <f t="shared" si="601"/>
        <v>4538879.3103448283</v>
      </c>
      <c r="H1395" s="39">
        <f t="shared" si="601"/>
        <v>5511637.931034483</v>
      </c>
      <c r="I1395" s="39">
        <f t="shared" si="601"/>
        <v>26068275.86206897</v>
      </c>
      <c r="J1395" s="364">
        <f t="shared" si="601"/>
        <v>3724039.4088669955</v>
      </c>
    </row>
    <row r="1396" spans="1:10" s="71" customFormat="1" x14ac:dyDescent="0.25">
      <c r="A1396" s="77" t="s">
        <v>33</v>
      </c>
      <c r="B1396" s="454">
        <f>B1395*16%</f>
        <v>304565.5172413793</v>
      </c>
      <c r="C1396" s="41">
        <f>C1395*16%</f>
        <v>363531.03448275867</v>
      </c>
      <c r="D1396" s="41">
        <f t="shared" ref="D1396:J1396" si="602">D1395*16%</f>
        <v>414772.41379310348</v>
      </c>
      <c r="E1396" s="41">
        <f t="shared" si="602"/>
        <v>406275.86206896551</v>
      </c>
      <c r="F1396" s="41">
        <f t="shared" si="602"/>
        <v>1073696.551724138</v>
      </c>
      <c r="G1396" s="41">
        <f t="shared" si="602"/>
        <v>726220.68965517252</v>
      </c>
      <c r="H1396" s="41">
        <f t="shared" si="602"/>
        <v>881862.06896551733</v>
      </c>
      <c r="I1396" s="41">
        <f t="shared" si="602"/>
        <v>4170924.1379310354</v>
      </c>
      <c r="J1396" s="415">
        <f t="shared" si="602"/>
        <v>595846.3054187193</v>
      </c>
    </row>
    <row r="1397" spans="1:10" s="71" customFormat="1" x14ac:dyDescent="0.25">
      <c r="A1397" s="142" t="s">
        <v>34</v>
      </c>
      <c r="B1397" s="438">
        <f t="shared" ref="B1397:H1397" si="603">B1395+B1396</f>
        <v>2208100</v>
      </c>
      <c r="C1397" s="144">
        <f t="shared" si="603"/>
        <v>2635600</v>
      </c>
      <c r="D1397" s="144">
        <f t="shared" si="603"/>
        <v>3007100</v>
      </c>
      <c r="E1397" s="144">
        <f t="shared" si="603"/>
        <v>2945500</v>
      </c>
      <c r="F1397" s="144">
        <f t="shared" si="603"/>
        <v>7784300</v>
      </c>
      <c r="G1397" s="144">
        <f t="shared" si="603"/>
        <v>5265100.0000000009</v>
      </c>
      <c r="H1397" s="144">
        <f t="shared" si="603"/>
        <v>6393500</v>
      </c>
      <c r="I1397" s="144">
        <f>+I1395+I1396</f>
        <v>30239200.000000004</v>
      </c>
      <c r="J1397" s="441">
        <f>'NOGAL '!$I1397/7</f>
        <v>4319885.7142857146</v>
      </c>
    </row>
    <row r="1398" spans="1:10" s="71" customFormat="1" ht="15.75" thickBot="1" x14ac:dyDescent="0.3">
      <c r="A1398" s="69"/>
      <c r="B1398" s="424"/>
      <c r="C1398" s="424"/>
      <c r="D1398" s="424"/>
      <c r="E1398" s="424"/>
      <c r="F1398" s="424"/>
      <c r="G1398" s="424"/>
      <c r="H1398" s="424"/>
      <c r="I1398" s="424"/>
      <c r="J1398" s="424"/>
    </row>
    <row r="1399" spans="1:10" s="71" customFormat="1" ht="26.25" x14ac:dyDescent="0.25">
      <c r="A1399" s="85"/>
      <c r="B1399" s="1002" t="s">
        <v>392</v>
      </c>
      <c r="C1399" s="1002"/>
      <c r="D1399" s="1002"/>
      <c r="E1399" s="1002"/>
      <c r="F1399" s="1002"/>
      <c r="G1399" s="1002"/>
      <c r="H1399" s="1002"/>
      <c r="I1399" s="1002"/>
      <c r="J1399" s="85"/>
    </row>
    <row r="1400" spans="1:10" s="71" customFormat="1" ht="15.75" x14ac:dyDescent="0.25">
      <c r="A1400" s="72" t="s">
        <v>2</v>
      </c>
      <c r="B1400" s="121" t="s">
        <v>608</v>
      </c>
      <c r="C1400" s="121" t="s">
        <v>609</v>
      </c>
      <c r="D1400" s="121" t="s">
        <v>610</v>
      </c>
      <c r="E1400" s="121" t="s">
        <v>611</v>
      </c>
      <c r="F1400" s="121" t="s">
        <v>612</v>
      </c>
      <c r="G1400" s="121" t="s">
        <v>613</v>
      </c>
      <c r="H1400" s="121" t="s">
        <v>614</v>
      </c>
      <c r="I1400" s="153" t="s">
        <v>10</v>
      </c>
      <c r="J1400" s="490" t="s">
        <v>77</v>
      </c>
    </row>
    <row r="1401" spans="1:10" s="71" customFormat="1" x14ac:dyDescent="0.25">
      <c r="A1401" s="430" t="s">
        <v>11</v>
      </c>
      <c r="B1401" s="433">
        <f>71+24+8</f>
        <v>103</v>
      </c>
      <c r="C1401" s="75">
        <f>54+32+14</f>
        <v>100</v>
      </c>
      <c r="D1401" s="75">
        <f>59+26+4</f>
        <v>89</v>
      </c>
      <c r="E1401" s="316">
        <f>83+34+10</f>
        <v>127</v>
      </c>
      <c r="F1401" s="316">
        <f>106+45+15</f>
        <v>166</v>
      </c>
      <c r="G1401" s="316">
        <f>110+51+11</f>
        <v>172</v>
      </c>
      <c r="H1401" s="316">
        <f>132+52+18</f>
        <v>202</v>
      </c>
      <c r="I1401" s="316">
        <f>SUM(B1401:H1401)</f>
        <v>959</v>
      </c>
      <c r="J1401" s="437">
        <f>'NOGAL '!$I1401/7</f>
        <v>137</v>
      </c>
    </row>
    <row r="1402" spans="1:10" s="71" customFormat="1" x14ac:dyDescent="0.25">
      <c r="A1402" s="77" t="s">
        <v>12</v>
      </c>
      <c r="B1402" s="448">
        <v>47</v>
      </c>
      <c r="C1402" s="86">
        <v>49</v>
      </c>
      <c r="D1402" s="11">
        <v>61</v>
      </c>
      <c r="E1402" s="86">
        <v>72</v>
      </c>
      <c r="F1402" s="86">
        <v>102</v>
      </c>
      <c r="G1402" s="11">
        <v>106</v>
      </c>
      <c r="H1402" s="11">
        <v>127</v>
      </c>
      <c r="I1402" s="11">
        <f>B1402+C1402+D1402+E1402+F1402+G1402+H1402</f>
        <v>564</v>
      </c>
      <c r="J1402" s="292">
        <f>'NOGAL '!$I1402/7</f>
        <v>80.571428571428569</v>
      </c>
    </row>
    <row r="1403" spans="1:10" s="71" customFormat="1" x14ac:dyDescent="0.25">
      <c r="A1403" s="77" t="s">
        <v>13</v>
      </c>
      <c r="B1403" s="448">
        <v>1</v>
      </c>
      <c r="C1403" s="11">
        <v>1</v>
      </c>
      <c r="D1403" s="11">
        <v>1</v>
      </c>
      <c r="E1403" s="11">
        <v>4</v>
      </c>
      <c r="F1403" s="11">
        <v>4</v>
      </c>
      <c r="G1403" s="11">
        <v>2</v>
      </c>
      <c r="H1403" s="11">
        <v>4</v>
      </c>
      <c r="I1403" s="11">
        <f>B1403+C1403+D1403+E1403+F1403+G1403+H1403</f>
        <v>17</v>
      </c>
      <c r="J1403" s="292">
        <f>C1403+D1403+E1403+F1403+G1403+H1403+I1403</f>
        <v>33</v>
      </c>
    </row>
    <row r="1404" spans="1:10" s="71" customFormat="1" x14ac:dyDescent="0.25">
      <c r="A1404" s="77" t="s">
        <v>14</v>
      </c>
      <c r="B1404" s="448">
        <v>21</v>
      </c>
      <c r="C1404" s="11">
        <v>16</v>
      </c>
      <c r="D1404" s="11">
        <v>18</v>
      </c>
      <c r="E1404" s="11">
        <v>18</v>
      </c>
      <c r="F1404" s="11">
        <v>29</v>
      </c>
      <c r="G1404" s="11">
        <v>18</v>
      </c>
      <c r="H1404" s="11">
        <v>21</v>
      </c>
      <c r="I1404" s="11">
        <f>B1404+C1404+D1404+E1404+F1404+G1404+H1404</f>
        <v>141</v>
      </c>
      <c r="J1404" s="292">
        <f>'NOGAL '!$I1404/7</f>
        <v>20.142857142857142</v>
      </c>
    </row>
    <row r="1405" spans="1:10" s="71" customFormat="1" x14ac:dyDescent="0.25">
      <c r="A1405" s="77" t="s">
        <v>15</v>
      </c>
      <c r="B1405" s="448">
        <v>0</v>
      </c>
      <c r="C1405" s="11">
        <v>5</v>
      </c>
      <c r="D1405" s="11">
        <v>2</v>
      </c>
      <c r="E1405" s="11">
        <v>1</v>
      </c>
      <c r="F1405" s="11">
        <v>3</v>
      </c>
      <c r="G1405" s="11">
        <v>4</v>
      </c>
      <c r="H1405" s="11">
        <v>4</v>
      </c>
      <c r="I1405" s="11">
        <f>B1405+C1405+D1405+E1405+F1405+G1405+H1405</f>
        <v>19</v>
      </c>
      <c r="J1405" s="292">
        <f>'NOGAL '!$I1405/7</f>
        <v>2.7142857142857144</v>
      </c>
    </row>
    <row r="1406" spans="1:10" s="71" customFormat="1" x14ac:dyDescent="0.25">
      <c r="A1406" s="77" t="s">
        <v>16</v>
      </c>
      <c r="B1406" s="448">
        <v>0</v>
      </c>
      <c r="C1406" s="11">
        <v>0</v>
      </c>
      <c r="D1406" s="11">
        <v>0</v>
      </c>
      <c r="E1406" s="11">
        <v>0</v>
      </c>
      <c r="F1406" s="11">
        <v>0</v>
      </c>
      <c r="G1406" s="11">
        <v>0</v>
      </c>
      <c r="H1406" s="11">
        <v>1</v>
      </c>
      <c r="I1406" s="11">
        <f>B1406+C1406+D1406+E1406+F1406+G1406+H1406</f>
        <v>1</v>
      </c>
      <c r="J1406" s="292">
        <f>'NOGAL '!$I1406/7</f>
        <v>0.14285714285714285</v>
      </c>
    </row>
    <row r="1407" spans="1:10" s="71" customFormat="1" x14ac:dyDescent="0.25">
      <c r="A1407" s="79" t="s">
        <v>17</v>
      </c>
      <c r="B1407" s="102">
        <f t="shared" ref="B1407:I1407" si="604">SUM(B1402:B1406)</f>
        <v>69</v>
      </c>
      <c r="C1407" s="103">
        <f t="shared" si="604"/>
        <v>71</v>
      </c>
      <c r="D1407" s="103">
        <f t="shared" si="604"/>
        <v>82</v>
      </c>
      <c r="E1407" s="103">
        <f t="shared" si="604"/>
        <v>95</v>
      </c>
      <c r="F1407" s="103">
        <f t="shared" si="604"/>
        <v>138</v>
      </c>
      <c r="G1407" s="103">
        <f t="shared" si="604"/>
        <v>130</v>
      </c>
      <c r="H1407" s="103">
        <f t="shared" si="604"/>
        <v>157</v>
      </c>
      <c r="I1407" s="103">
        <f t="shared" si="604"/>
        <v>742</v>
      </c>
      <c r="J1407" s="405">
        <f>'NOGAL '!$I1407/7</f>
        <v>106</v>
      </c>
    </row>
    <row r="1408" spans="1:10" s="71" customFormat="1" x14ac:dyDescent="0.25">
      <c r="A1408" s="77" t="s">
        <v>18</v>
      </c>
      <c r="B1408" s="449">
        <v>0.77</v>
      </c>
      <c r="C1408" s="236">
        <v>0.74</v>
      </c>
      <c r="D1408" s="236">
        <v>0.8</v>
      </c>
      <c r="E1408" s="236">
        <v>0.84</v>
      </c>
      <c r="F1408" s="236">
        <v>0.82</v>
      </c>
      <c r="G1408" s="236">
        <v>0.88</v>
      </c>
      <c r="H1408" s="236">
        <v>0.85</v>
      </c>
      <c r="I1408" s="18">
        <f>I1415/I1420</f>
        <v>0.82471763941614185</v>
      </c>
      <c r="J1408" s="297">
        <f>J1415/J1420</f>
        <v>0.82471763941614185</v>
      </c>
    </row>
    <row r="1409" spans="1:10" s="71" customFormat="1" x14ac:dyDescent="0.25">
      <c r="A1409" s="77" t="s">
        <v>19</v>
      </c>
      <c r="B1409" s="449">
        <v>0.01</v>
      </c>
      <c r="C1409" s="236">
        <v>0.01</v>
      </c>
      <c r="D1409" s="236">
        <v>0.02</v>
      </c>
      <c r="E1409" s="236">
        <v>0.03</v>
      </c>
      <c r="F1409" s="236">
        <v>0.02</v>
      </c>
      <c r="G1409" s="236">
        <v>0.01</v>
      </c>
      <c r="H1409" s="236">
        <v>0.03</v>
      </c>
      <c r="I1409" s="18">
        <f>I1416/I1420</f>
        <v>1.9384344640789263E-2</v>
      </c>
      <c r="J1409" s="297">
        <f>J1416/J1420</f>
        <v>1.9384344640789263E-2</v>
      </c>
    </row>
    <row r="1410" spans="1:10" s="71" customFormat="1" x14ac:dyDescent="0.25">
      <c r="A1410" s="77" t="s">
        <v>20</v>
      </c>
      <c r="B1410" s="449">
        <v>0.22</v>
      </c>
      <c r="C1410" s="236">
        <v>0.16</v>
      </c>
      <c r="D1410" s="236">
        <v>0.16</v>
      </c>
      <c r="E1410" s="236">
        <v>0.12</v>
      </c>
      <c r="F1410" s="236">
        <v>0.15</v>
      </c>
      <c r="G1410" s="236">
        <v>0.08</v>
      </c>
      <c r="H1410" s="236">
        <v>0.1</v>
      </c>
      <c r="I1410" s="18">
        <f>I1417/I1420</f>
        <v>0.13245088336150887</v>
      </c>
      <c r="J1410" s="297">
        <f>J1417/J1420</f>
        <v>0.13245088336150887</v>
      </c>
    </row>
    <row r="1411" spans="1:10" s="71" customFormat="1" x14ac:dyDescent="0.25">
      <c r="A1411" s="77" t="s">
        <v>21</v>
      </c>
      <c r="B1411" s="449">
        <v>0</v>
      </c>
      <c r="C1411" s="236">
        <v>0.09</v>
      </c>
      <c r="D1411" s="236">
        <v>0.02</v>
      </c>
      <c r="E1411" s="236">
        <v>0.01</v>
      </c>
      <c r="F1411" s="236">
        <v>0.01</v>
      </c>
      <c r="G1411" s="236">
        <v>0.03</v>
      </c>
      <c r="H1411" s="236">
        <v>0.01</v>
      </c>
      <c r="I1411" s="18">
        <f>I1418/I1420</f>
        <v>2.1358582358866653E-2</v>
      </c>
      <c r="J1411" s="297">
        <f>J1418/J1420</f>
        <v>2.1358582358866656E-2</v>
      </c>
    </row>
    <row r="1412" spans="1:10" s="71" customFormat="1" x14ac:dyDescent="0.25">
      <c r="A1412" s="77" t="s">
        <v>22</v>
      </c>
      <c r="B1412" s="449">
        <v>0</v>
      </c>
      <c r="C1412" s="236">
        <v>0</v>
      </c>
      <c r="D1412" s="236">
        <v>0</v>
      </c>
      <c r="E1412" s="236">
        <v>0</v>
      </c>
      <c r="F1412" s="236">
        <v>0</v>
      </c>
      <c r="G1412" s="236">
        <v>0</v>
      </c>
      <c r="H1412" s="236">
        <v>0.01</v>
      </c>
      <c r="I1412" s="18">
        <f>I1419/I1420</f>
        <v>2.0885502226935079E-3</v>
      </c>
      <c r="J1412" s="297">
        <f>J1419/J1420</f>
        <v>2.0885502226935079E-3</v>
      </c>
    </row>
    <row r="1413" spans="1:10" s="71" customFormat="1" x14ac:dyDescent="0.25">
      <c r="A1413" s="81" t="s">
        <v>23</v>
      </c>
      <c r="B1413" s="450">
        <f t="shared" ref="B1413:J1413" si="605">B1424/B1407</f>
        <v>46413.043478260872</v>
      </c>
      <c r="C1413" s="130">
        <f t="shared" si="605"/>
        <v>38953.521126760563</v>
      </c>
      <c r="D1413" s="130">
        <f t="shared" si="605"/>
        <v>31515.853658536584</v>
      </c>
      <c r="E1413" s="130">
        <f t="shared" si="605"/>
        <v>38664.210526315794</v>
      </c>
      <c r="F1413" s="130">
        <f t="shared" si="605"/>
        <v>35207.971014492752</v>
      </c>
      <c r="G1413" s="130">
        <f t="shared" si="605"/>
        <v>40858.461538461539</v>
      </c>
      <c r="H1413" s="130">
        <f t="shared" si="605"/>
        <v>37843.312101910837</v>
      </c>
      <c r="I1413" s="130">
        <f t="shared" si="605"/>
        <v>38190.431266846354</v>
      </c>
      <c r="J1413" s="314">
        <f t="shared" si="605"/>
        <v>38190.431266846354</v>
      </c>
    </row>
    <row r="1414" spans="1:10" s="71" customFormat="1" x14ac:dyDescent="0.25">
      <c r="A1414" s="81" t="s">
        <v>24</v>
      </c>
      <c r="B1414" s="450">
        <f t="shared" ref="B1414:J1414" si="606">B1424/B1401</f>
        <v>31092.233009708736</v>
      </c>
      <c r="C1414" s="130">
        <f t="shared" si="606"/>
        <v>27657</v>
      </c>
      <c r="D1414" s="130">
        <f t="shared" si="606"/>
        <v>29037.078651685395</v>
      </c>
      <c r="E1414" s="130">
        <f t="shared" si="606"/>
        <v>28922.04724409449</v>
      </c>
      <c r="F1414" s="130">
        <f t="shared" si="606"/>
        <v>29269.277108433736</v>
      </c>
      <c r="G1414" s="130">
        <f t="shared" si="606"/>
        <v>30881.39534883721</v>
      </c>
      <c r="H1414" s="130">
        <f t="shared" si="606"/>
        <v>29412.871287128717</v>
      </c>
      <c r="I1414" s="130">
        <f t="shared" si="606"/>
        <v>29548.800834202291</v>
      </c>
      <c r="J1414" s="314">
        <f t="shared" si="606"/>
        <v>29548.800834202288</v>
      </c>
    </row>
    <row r="1415" spans="1:10" s="71" customFormat="1" x14ac:dyDescent="0.25">
      <c r="A1415" s="77" t="s">
        <v>25</v>
      </c>
      <c r="B1415" s="451">
        <f t="shared" ref="B1415:H1415" si="607">B1420*B1408</f>
        <v>2047807.9637931036</v>
      </c>
      <c r="C1415" s="92">
        <f t="shared" si="607"/>
        <v>1686185.5620689655</v>
      </c>
      <c r="D1415" s="92">
        <f t="shared" si="607"/>
        <v>1677111.8620689658</v>
      </c>
      <c r="E1415" s="92">
        <f t="shared" si="607"/>
        <v>2529496.6344827591</v>
      </c>
      <c r="F1415" s="92">
        <f t="shared" si="607"/>
        <v>3254354.0758620687</v>
      </c>
      <c r="G1415" s="92">
        <f t="shared" si="607"/>
        <v>3828471.2551724138</v>
      </c>
      <c r="H1415" s="92">
        <f t="shared" si="607"/>
        <v>4120979.8189655179</v>
      </c>
      <c r="I1415" s="92">
        <f>'NOGAL '!$B1415+'NOGAL '!$C1415+'NOGAL '!$D1415+'NOGAL '!$E1415+'NOGAL '!$F1415+'NOGAL '!$G1415+'NOGAL '!$H1415</f>
        <v>19144407.172413792</v>
      </c>
      <c r="J1415" s="300">
        <f>'NOGAL '!$I1415/7</f>
        <v>2734915.3103448274</v>
      </c>
    </row>
    <row r="1416" spans="1:10" s="71" customFormat="1" x14ac:dyDescent="0.25">
      <c r="A1416" s="77" t="s">
        <v>26</v>
      </c>
      <c r="B1416" s="451">
        <f t="shared" ref="B1416:H1416" si="608">B1420*B1409</f>
        <v>26594.908620689657</v>
      </c>
      <c r="C1416" s="92">
        <f t="shared" si="608"/>
        <v>22786.291379310343</v>
      </c>
      <c r="D1416" s="92">
        <f t="shared" si="608"/>
        <v>41927.796551724139</v>
      </c>
      <c r="E1416" s="92">
        <f t="shared" si="608"/>
        <v>90339.165517241388</v>
      </c>
      <c r="F1416" s="92">
        <f t="shared" si="608"/>
        <v>79374.489655172423</v>
      </c>
      <c r="G1416" s="92">
        <f t="shared" si="608"/>
        <v>43505.355172413794</v>
      </c>
      <c r="H1416" s="92">
        <f t="shared" si="608"/>
        <v>145446.34655172416</v>
      </c>
      <c r="I1416" s="92">
        <f>'NOGAL '!$B1416+'NOGAL '!$C1416+'NOGAL '!$D1416+'NOGAL '!$E1416+'NOGAL '!$F1416+'NOGAL '!$G1416+'NOGAL '!$H1416</f>
        <v>449974.35344827594</v>
      </c>
      <c r="J1416" s="300">
        <f>'NOGAL '!$I1416/7</f>
        <v>64282.050492610848</v>
      </c>
    </row>
    <row r="1417" spans="1:10" s="71" customFormat="1" x14ac:dyDescent="0.25">
      <c r="A1417" s="77" t="s">
        <v>27</v>
      </c>
      <c r="B1417" s="451">
        <f t="shared" ref="B1417:H1417" si="609">B1420*B1410</f>
        <v>585087.98965517245</v>
      </c>
      <c r="C1417" s="92">
        <f t="shared" si="609"/>
        <v>364580.6620689655</v>
      </c>
      <c r="D1417" s="92">
        <f t="shared" si="609"/>
        <v>335422.37241379311</v>
      </c>
      <c r="E1417" s="92">
        <f t="shared" si="609"/>
        <v>361356.66206896555</v>
      </c>
      <c r="F1417" s="92">
        <f t="shared" si="609"/>
        <v>595308.67241379304</v>
      </c>
      <c r="G1417" s="92">
        <f t="shared" si="609"/>
        <v>348042.84137931035</v>
      </c>
      <c r="H1417" s="92">
        <f t="shared" si="609"/>
        <v>484821.15517241391</v>
      </c>
      <c r="I1417" s="92">
        <f>'NOGAL '!$B1417+'NOGAL '!$C1417+'NOGAL '!$D1417+'NOGAL '!$E1417+'NOGAL '!$F1417+'NOGAL '!$G1417+'NOGAL '!$H1417</f>
        <v>3074620.3551724143</v>
      </c>
      <c r="J1417" s="300">
        <f>'NOGAL '!$I1417/7</f>
        <v>439231.4793103449</v>
      </c>
    </row>
    <row r="1418" spans="1:10" s="71" customFormat="1" x14ac:dyDescent="0.25">
      <c r="A1418" s="77" t="s">
        <v>28</v>
      </c>
      <c r="B1418" s="451">
        <f t="shared" ref="B1418:H1418" si="610">B1420*B1411</f>
        <v>0</v>
      </c>
      <c r="C1418" s="92">
        <f t="shared" si="610"/>
        <v>205076.62241379308</v>
      </c>
      <c r="D1418" s="92">
        <f t="shared" si="610"/>
        <v>41927.796551724139</v>
      </c>
      <c r="E1418" s="92">
        <f t="shared" si="610"/>
        <v>30113.055172413799</v>
      </c>
      <c r="F1418" s="92">
        <f t="shared" si="610"/>
        <v>39687.244827586212</v>
      </c>
      <c r="G1418" s="92">
        <f t="shared" si="610"/>
        <v>130516.06551724137</v>
      </c>
      <c r="H1418" s="92">
        <f t="shared" si="610"/>
        <v>48482.115517241386</v>
      </c>
      <c r="I1418" s="92">
        <f>'NOGAL '!$B1418+'NOGAL '!$C1418+'NOGAL '!$D1418+'NOGAL '!$E1418+'NOGAL '!$F1418+'NOGAL '!$G1418+'NOGAL '!$H1418</f>
        <v>495802.9</v>
      </c>
      <c r="J1418" s="300">
        <f>'NOGAL '!$I1418/7</f>
        <v>70828.985714285722</v>
      </c>
    </row>
    <row r="1419" spans="1:10" s="71" customFormat="1" x14ac:dyDescent="0.25">
      <c r="A1419" s="77" t="s">
        <v>29</v>
      </c>
      <c r="B1419" s="451">
        <f t="shared" ref="B1419:H1419" si="611">B1420*B1412</f>
        <v>0</v>
      </c>
      <c r="C1419" s="92">
        <f t="shared" si="611"/>
        <v>0</v>
      </c>
      <c r="D1419" s="92">
        <f t="shared" si="611"/>
        <v>0</v>
      </c>
      <c r="E1419" s="92">
        <f t="shared" si="611"/>
        <v>0</v>
      </c>
      <c r="F1419" s="92">
        <f t="shared" si="611"/>
        <v>0</v>
      </c>
      <c r="G1419" s="92">
        <f t="shared" si="611"/>
        <v>0</v>
      </c>
      <c r="H1419" s="92">
        <f t="shared" si="611"/>
        <v>48482.115517241386</v>
      </c>
      <c r="I1419" s="92">
        <f>'NOGAL '!$B1419+'NOGAL '!$C1419+'NOGAL '!$D1419+'NOGAL '!$E1419+'NOGAL '!$F1419+'NOGAL '!$G1419+'NOGAL '!$H1419</f>
        <v>48482.115517241386</v>
      </c>
      <c r="J1419" s="300">
        <f>'NOGAL '!$I1419/7</f>
        <v>6926.0165024630551</v>
      </c>
    </row>
    <row r="1420" spans="1:10" s="71" customFormat="1" x14ac:dyDescent="0.25">
      <c r="A1420" s="82" t="s">
        <v>30</v>
      </c>
      <c r="B1420" s="237">
        <f>(3202500/1.16)-B1421</f>
        <v>2659490.8620689656</v>
      </c>
      <c r="C1420" s="237">
        <f>(2765700/1.16)-C1421</f>
        <v>2278629.1379310344</v>
      </c>
      <c r="D1420" s="237">
        <f>(2584300/1.16)-D1421</f>
        <v>2096389.8275862071</v>
      </c>
      <c r="E1420" s="237">
        <f>(3673100/1.16)-E1421</f>
        <v>3011305.5172413797</v>
      </c>
      <c r="F1420" s="237">
        <f>(4858700/1.16)-F1421</f>
        <v>3968724.4827586208</v>
      </c>
      <c r="G1420" s="237">
        <f>(5311600/1.16)-G1421</f>
        <v>4350535.5172413792</v>
      </c>
      <c r="H1420" s="237">
        <f>(5941400/1.16)-H1421</f>
        <v>4848211.5517241387</v>
      </c>
      <c r="I1420" s="91">
        <f>SUM(I1415:I1419)</f>
        <v>23213286.896551721</v>
      </c>
      <c r="J1420" s="361">
        <f>'NOGAL '!$I1420/7</f>
        <v>3316183.8423645315</v>
      </c>
    </row>
    <row r="1421" spans="1:10" s="71" customFormat="1" x14ac:dyDescent="0.25">
      <c r="A1421" s="77" t="s">
        <v>31</v>
      </c>
      <c r="B1421" s="452">
        <f t="shared" ref="B1421:G1421" si="612">2155*B1402</f>
        <v>101285</v>
      </c>
      <c r="C1421" s="94">
        <f t="shared" si="612"/>
        <v>105595</v>
      </c>
      <c r="D1421" s="94">
        <f t="shared" si="612"/>
        <v>131455</v>
      </c>
      <c r="E1421" s="94">
        <f t="shared" si="612"/>
        <v>155160</v>
      </c>
      <c r="F1421" s="94">
        <f t="shared" si="612"/>
        <v>219810</v>
      </c>
      <c r="G1421" s="94">
        <f t="shared" si="612"/>
        <v>228430</v>
      </c>
      <c r="H1421" s="94">
        <f>2155*H1402</f>
        <v>273685</v>
      </c>
      <c r="I1421" s="94">
        <f>2155*I1402</f>
        <v>1215420</v>
      </c>
      <c r="J1421" s="302">
        <f>2155*J1402</f>
        <v>173631.42857142858</v>
      </c>
    </row>
    <row r="1422" spans="1:10" s="71" customFormat="1" x14ac:dyDescent="0.25">
      <c r="A1422" s="83" t="s">
        <v>32</v>
      </c>
      <c r="B1422" s="453">
        <f>B1420+B1421</f>
        <v>2760775.8620689656</v>
      </c>
      <c r="C1422" s="39">
        <f>C1420+C1421</f>
        <v>2384224.1379310344</v>
      </c>
      <c r="D1422" s="39">
        <f t="shared" ref="D1422:J1422" si="613">D1420+D1421</f>
        <v>2227844.8275862071</v>
      </c>
      <c r="E1422" s="39">
        <f t="shared" si="613"/>
        <v>3166465.5172413797</v>
      </c>
      <c r="F1422" s="39">
        <f t="shared" si="613"/>
        <v>4188534.4827586208</v>
      </c>
      <c r="G1422" s="39">
        <f t="shared" si="613"/>
        <v>4578965.5172413792</v>
      </c>
      <c r="H1422" s="39">
        <f t="shared" si="613"/>
        <v>5121896.5517241387</v>
      </c>
      <c r="I1422" s="39">
        <f t="shared" si="613"/>
        <v>24428706.896551721</v>
      </c>
      <c r="J1422" s="364">
        <f t="shared" si="613"/>
        <v>3489815.2709359601</v>
      </c>
    </row>
    <row r="1423" spans="1:10" s="71" customFormat="1" x14ac:dyDescent="0.25">
      <c r="A1423" s="77" t="s">
        <v>33</v>
      </c>
      <c r="B1423" s="454">
        <f>B1422*16%</f>
        <v>441724.13793103449</v>
      </c>
      <c r="C1423" s="41">
        <f>C1422*16%</f>
        <v>381475.86206896551</v>
      </c>
      <c r="D1423" s="41">
        <f t="shared" ref="D1423:J1423" si="614">D1422*16%</f>
        <v>356455.17241379316</v>
      </c>
      <c r="E1423" s="41">
        <f t="shared" si="614"/>
        <v>506634.48275862075</v>
      </c>
      <c r="F1423" s="41">
        <f t="shared" si="614"/>
        <v>670165.51724137936</v>
      </c>
      <c r="G1423" s="41">
        <f t="shared" si="614"/>
        <v>732634.48275862064</v>
      </c>
      <c r="H1423" s="41">
        <f t="shared" si="614"/>
        <v>819503.44827586226</v>
      </c>
      <c r="I1423" s="41">
        <f t="shared" si="614"/>
        <v>3908593.1034482755</v>
      </c>
      <c r="J1423" s="415">
        <f t="shared" si="614"/>
        <v>558370.44334975362</v>
      </c>
    </row>
    <row r="1424" spans="1:10" s="71" customFormat="1" x14ac:dyDescent="0.25">
      <c r="A1424" s="142" t="s">
        <v>34</v>
      </c>
      <c r="B1424" s="438">
        <f t="shared" ref="B1424:H1424" si="615">B1422+B1423</f>
        <v>3202500</v>
      </c>
      <c r="C1424" s="144">
        <f t="shared" si="615"/>
        <v>2765700</v>
      </c>
      <c r="D1424" s="144">
        <f t="shared" si="615"/>
        <v>2584300</v>
      </c>
      <c r="E1424" s="144">
        <f t="shared" si="615"/>
        <v>3673100.0000000005</v>
      </c>
      <c r="F1424" s="144">
        <f t="shared" si="615"/>
        <v>4858700</v>
      </c>
      <c r="G1424" s="144">
        <f t="shared" si="615"/>
        <v>5311600</v>
      </c>
      <c r="H1424" s="144">
        <f t="shared" si="615"/>
        <v>5941400.0000000009</v>
      </c>
      <c r="I1424" s="144">
        <f>+I1422+I1423</f>
        <v>28337299.999999996</v>
      </c>
      <c r="J1424" s="441">
        <f>'NOGAL '!$I1424/7</f>
        <v>4048185.7142857136</v>
      </c>
    </row>
    <row r="1425" spans="1:10" s="71" customFormat="1" ht="15.75" thickBot="1" x14ac:dyDescent="0.3">
      <c r="A1425" s="69"/>
      <c r="B1425" s="424"/>
      <c r="C1425" s="424"/>
      <c r="D1425" s="424"/>
      <c r="E1425" s="424"/>
      <c r="F1425" s="424"/>
      <c r="G1425" s="424"/>
      <c r="H1425" s="424"/>
      <c r="I1425" s="424"/>
      <c r="J1425" s="424"/>
    </row>
    <row r="1426" spans="1:10" s="71" customFormat="1" ht="27" thickBot="1" x14ac:dyDescent="0.3">
      <c r="A1426" s="85"/>
      <c r="B1426" s="1002" t="s">
        <v>393</v>
      </c>
      <c r="C1426" s="1002"/>
      <c r="D1426" s="1002"/>
      <c r="E1426" s="1002"/>
      <c r="F1426" s="1002"/>
      <c r="G1426" s="1002"/>
      <c r="H1426" s="1002"/>
      <c r="I1426" s="1002"/>
      <c r="J1426" s="85"/>
    </row>
    <row r="1427" spans="1:10" s="71" customFormat="1" ht="15.75" x14ac:dyDescent="0.25">
      <c r="A1427" s="614" t="s">
        <v>2</v>
      </c>
      <c r="B1427" s="641" t="s">
        <v>185</v>
      </c>
      <c r="C1427" s="641" t="s">
        <v>186</v>
      </c>
      <c r="D1427" s="641" t="s">
        <v>187</v>
      </c>
      <c r="E1427" s="641" t="s">
        <v>188</v>
      </c>
      <c r="F1427" s="641" t="s">
        <v>189</v>
      </c>
      <c r="G1427" s="641" t="s">
        <v>190</v>
      </c>
      <c r="H1427" s="641" t="s">
        <v>191</v>
      </c>
      <c r="I1427" s="618" t="s">
        <v>10</v>
      </c>
      <c r="J1427" s="711" t="s">
        <v>77</v>
      </c>
    </row>
    <row r="1428" spans="1:10" s="71" customFormat="1" x14ac:dyDescent="0.25">
      <c r="A1428" s="620" t="s">
        <v>11</v>
      </c>
      <c r="B1428" s="433">
        <f>65+33+15</f>
        <v>113</v>
      </c>
      <c r="C1428" s="75">
        <f>102+33+17</f>
        <v>152</v>
      </c>
      <c r="D1428" s="75">
        <f>63+24+12</f>
        <v>99</v>
      </c>
      <c r="E1428" s="316">
        <f>59+30+12</f>
        <v>101</v>
      </c>
      <c r="F1428" s="316">
        <f>102+72+22</f>
        <v>196</v>
      </c>
      <c r="G1428" s="316">
        <f>105+45+30</f>
        <v>180</v>
      </c>
      <c r="H1428" s="316">
        <f>83+64+23</f>
        <v>170</v>
      </c>
      <c r="I1428" s="316">
        <f>SUM(B1428:H1428)</f>
        <v>1011</v>
      </c>
      <c r="J1428" s="712">
        <f>'NOGAL '!$I1428/7</f>
        <v>144.42857142857142</v>
      </c>
    </row>
    <row r="1429" spans="1:10" s="71" customFormat="1" x14ac:dyDescent="0.25">
      <c r="A1429" s="622" t="s">
        <v>12</v>
      </c>
      <c r="B1429" s="448">
        <v>54</v>
      </c>
      <c r="C1429" s="86">
        <v>89</v>
      </c>
      <c r="D1429" s="11">
        <v>47</v>
      </c>
      <c r="E1429" s="86">
        <v>52</v>
      </c>
      <c r="F1429" s="86">
        <v>125</v>
      </c>
      <c r="G1429" s="11">
        <v>99</v>
      </c>
      <c r="H1429" s="11">
        <v>105</v>
      </c>
      <c r="I1429" s="11">
        <f>B1429+C1429+D1429+E1429+F1429+G1429+H1429</f>
        <v>571</v>
      </c>
      <c r="J1429" s="684">
        <f>'NOGAL '!$I1429/7</f>
        <v>81.571428571428569</v>
      </c>
    </row>
    <row r="1430" spans="1:10" s="71" customFormat="1" x14ac:dyDescent="0.25">
      <c r="A1430" s="622" t="s">
        <v>13</v>
      </c>
      <c r="B1430" s="448">
        <v>3</v>
      </c>
      <c r="C1430" s="11">
        <v>4</v>
      </c>
      <c r="D1430" s="11">
        <v>2</v>
      </c>
      <c r="E1430" s="11">
        <v>1</v>
      </c>
      <c r="F1430" s="11">
        <v>2</v>
      </c>
      <c r="G1430" s="11">
        <v>2</v>
      </c>
      <c r="H1430" s="11">
        <v>1</v>
      </c>
      <c r="I1430" s="11">
        <f>B1430+C1430+D1430+E1430+F1430+G1430+H1430</f>
        <v>15</v>
      </c>
      <c r="J1430" s="684">
        <f>C1430+D1430+E1430+F1430+G1430+H1430+I1430</f>
        <v>27</v>
      </c>
    </row>
    <row r="1431" spans="1:10" s="71" customFormat="1" x14ac:dyDescent="0.25">
      <c r="A1431" s="622" t="s">
        <v>14</v>
      </c>
      <c r="B1431" s="448">
        <v>13</v>
      </c>
      <c r="C1431" s="11">
        <v>20</v>
      </c>
      <c r="D1431" s="11">
        <v>22</v>
      </c>
      <c r="E1431" s="11">
        <v>24</v>
      </c>
      <c r="F1431" s="11">
        <v>27</v>
      </c>
      <c r="G1431" s="11">
        <v>25</v>
      </c>
      <c r="H1431" s="11">
        <v>23</v>
      </c>
      <c r="I1431" s="11">
        <f>B1431+C1431+D1431+E1431+F1431+G1431+H1431</f>
        <v>154</v>
      </c>
      <c r="J1431" s="684">
        <f>'NOGAL '!$I1431/7</f>
        <v>22</v>
      </c>
    </row>
    <row r="1432" spans="1:10" s="71" customFormat="1" x14ac:dyDescent="0.25">
      <c r="A1432" s="622" t="s">
        <v>15</v>
      </c>
      <c r="B1432" s="448">
        <v>1</v>
      </c>
      <c r="C1432" s="11">
        <v>4</v>
      </c>
      <c r="D1432" s="11">
        <v>1</v>
      </c>
      <c r="E1432" s="11">
        <v>1</v>
      </c>
      <c r="F1432" s="11">
        <v>5</v>
      </c>
      <c r="G1432" s="11">
        <v>3</v>
      </c>
      <c r="H1432" s="11">
        <v>8</v>
      </c>
      <c r="I1432" s="11">
        <f>B1432+C1432+D1432+E1432+F1432+G1432+H1432</f>
        <v>23</v>
      </c>
      <c r="J1432" s="684">
        <f>'NOGAL '!$I1432/7</f>
        <v>3.2857142857142856</v>
      </c>
    </row>
    <row r="1433" spans="1:10" s="71" customFormat="1" x14ac:dyDescent="0.25">
      <c r="A1433" s="622" t="s">
        <v>16</v>
      </c>
      <c r="B1433" s="448">
        <v>0</v>
      </c>
      <c r="C1433" s="11">
        <v>0</v>
      </c>
      <c r="D1433" s="11">
        <v>0</v>
      </c>
      <c r="E1433" s="11">
        <v>0</v>
      </c>
      <c r="F1433" s="11">
        <v>0</v>
      </c>
      <c r="G1433" s="11">
        <v>0</v>
      </c>
      <c r="H1433" s="11">
        <v>0</v>
      </c>
      <c r="I1433" s="11">
        <f>B1433+C1433+D1433+E1433+F1433+G1433+H1433</f>
        <v>0</v>
      </c>
      <c r="J1433" s="684">
        <f>'NOGAL '!$I1433/7</f>
        <v>0</v>
      </c>
    </row>
    <row r="1434" spans="1:10" s="71" customFormat="1" x14ac:dyDescent="0.25">
      <c r="A1434" s="624" t="s">
        <v>17</v>
      </c>
      <c r="B1434" s="102">
        <f t="shared" ref="B1434:I1434" si="616">SUM(B1429:B1433)</f>
        <v>71</v>
      </c>
      <c r="C1434" s="103">
        <f t="shared" si="616"/>
        <v>117</v>
      </c>
      <c r="D1434" s="103">
        <f t="shared" si="616"/>
        <v>72</v>
      </c>
      <c r="E1434" s="103">
        <f t="shared" si="616"/>
        <v>78</v>
      </c>
      <c r="F1434" s="103">
        <f t="shared" si="616"/>
        <v>159</v>
      </c>
      <c r="G1434" s="103">
        <f t="shared" si="616"/>
        <v>129</v>
      </c>
      <c r="H1434" s="103">
        <f t="shared" si="616"/>
        <v>137</v>
      </c>
      <c r="I1434" s="103">
        <f t="shared" si="616"/>
        <v>763</v>
      </c>
      <c r="J1434" s="713">
        <f>'NOGAL '!$I1434/7</f>
        <v>109</v>
      </c>
    </row>
    <row r="1435" spans="1:10" s="71" customFormat="1" x14ac:dyDescent="0.25">
      <c r="A1435" s="622" t="s">
        <v>18</v>
      </c>
      <c r="B1435" s="449">
        <v>0.88</v>
      </c>
      <c r="C1435" s="236">
        <v>0.83</v>
      </c>
      <c r="D1435" s="236">
        <v>0.76</v>
      </c>
      <c r="E1435" s="236">
        <v>0.75</v>
      </c>
      <c r="F1435" s="236">
        <v>0.85</v>
      </c>
      <c r="G1435" s="236">
        <v>0.82</v>
      </c>
      <c r="H1435" s="236">
        <v>0.82</v>
      </c>
      <c r="I1435" s="18">
        <f>I1442/I1447</f>
        <v>0.82143635739968557</v>
      </c>
      <c r="J1435" s="714">
        <f>J1442/J1447</f>
        <v>0.82143635739968568</v>
      </c>
    </row>
    <row r="1436" spans="1:10" s="71" customFormat="1" x14ac:dyDescent="0.25">
      <c r="A1436" s="622" t="s">
        <v>19</v>
      </c>
      <c r="B1436" s="449">
        <v>0.02</v>
      </c>
      <c r="C1436" s="236">
        <v>0.03</v>
      </c>
      <c r="D1436" s="236">
        <v>0.02</v>
      </c>
      <c r="E1436" s="236">
        <v>0.01</v>
      </c>
      <c r="F1436" s="236">
        <v>0.01</v>
      </c>
      <c r="G1436" s="236">
        <v>0.01</v>
      </c>
      <c r="H1436" s="236">
        <v>0.02</v>
      </c>
      <c r="I1436" s="18">
        <f>I1443/I1447</f>
        <v>1.6765040513421627E-2</v>
      </c>
      <c r="J1436" s="714">
        <f>J1443/J1447</f>
        <v>1.6765040513421627E-2</v>
      </c>
    </row>
    <row r="1437" spans="1:10" s="71" customFormat="1" x14ac:dyDescent="0.25">
      <c r="A1437" s="622" t="s">
        <v>20</v>
      </c>
      <c r="B1437" s="449">
        <v>0.1</v>
      </c>
      <c r="C1437" s="236">
        <v>0.12</v>
      </c>
      <c r="D1437" s="236">
        <v>0.21</v>
      </c>
      <c r="E1437" s="236">
        <v>0.24</v>
      </c>
      <c r="F1437" s="236">
        <v>0.12</v>
      </c>
      <c r="G1437" s="236">
        <v>0.15</v>
      </c>
      <c r="H1437" s="236">
        <v>0.12</v>
      </c>
      <c r="I1437" s="18">
        <f>I1444/I1447</f>
        <v>0.14366152613571143</v>
      </c>
      <c r="J1437" s="714">
        <f>J1444/J1447</f>
        <v>0.14366152613571145</v>
      </c>
    </row>
    <row r="1438" spans="1:10" s="71" customFormat="1" x14ac:dyDescent="0.25">
      <c r="A1438" s="622" t="s">
        <v>21</v>
      </c>
      <c r="B1438" s="449">
        <v>0</v>
      </c>
      <c r="C1438" s="236">
        <v>0.02</v>
      </c>
      <c r="D1438" s="236">
        <v>0.01</v>
      </c>
      <c r="E1438" s="236">
        <v>0</v>
      </c>
      <c r="F1438" s="236">
        <v>0.02</v>
      </c>
      <c r="G1438" s="236">
        <v>0.02</v>
      </c>
      <c r="H1438" s="236">
        <v>0.04</v>
      </c>
      <c r="I1438" s="18">
        <f>I1445/I1447</f>
        <v>1.813707595118123E-2</v>
      </c>
      <c r="J1438" s="714">
        <f>J1445/J1447</f>
        <v>1.813707595118123E-2</v>
      </c>
    </row>
    <row r="1439" spans="1:10" s="71" customFormat="1" x14ac:dyDescent="0.25">
      <c r="A1439" s="622" t="s">
        <v>22</v>
      </c>
      <c r="B1439" s="449">
        <v>0</v>
      </c>
      <c r="C1439" s="236">
        <v>0</v>
      </c>
      <c r="D1439" s="236">
        <v>0</v>
      </c>
      <c r="E1439" s="236">
        <v>0</v>
      </c>
      <c r="F1439" s="236">
        <v>0</v>
      </c>
      <c r="G1439" s="236">
        <v>0</v>
      </c>
      <c r="H1439" s="236">
        <v>0</v>
      </c>
      <c r="I1439" s="18">
        <f>I1446/I1447</f>
        <v>0</v>
      </c>
      <c r="J1439" s="714">
        <f>J1446/J1447</f>
        <v>0</v>
      </c>
    </row>
    <row r="1440" spans="1:10" s="71" customFormat="1" x14ac:dyDescent="0.25">
      <c r="A1440" s="627" t="s">
        <v>23</v>
      </c>
      <c r="B1440" s="450">
        <f t="shared" ref="B1440:J1440" si="617">B1451/B1434</f>
        <v>46126.760563380281</v>
      </c>
      <c r="C1440" s="130">
        <f t="shared" si="617"/>
        <v>36145.299145299148</v>
      </c>
      <c r="D1440" s="130">
        <f t="shared" si="617"/>
        <v>39400</v>
      </c>
      <c r="E1440" s="130">
        <f t="shared" si="617"/>
        <v>36582.051282051281</v>
      </c>
      <c r="F1440" s="130">
        <f t="shared" si="617"/>
        <v>36493.710691823901</v>
      </c>
      <c r="G1440" s="130">
        <f t="shared" si="617"/>
        <v>38041.085271317832</v>
      </c>
      <c r="H1440" s="130">
        <f t="shared" si="617"/>
        <v>36003.649635036498</v>
      </c>
      <c r="I1440" s="130">
        <f t="shared" si="617"/>
        <v>37793.577981651375</v>
      </c>
      <c r="J1440" s="685">
        <f t="shared" si="617"/>
        <v>37793.577981651375</v>
      </c>
    </row>
    <row r="1441" spans="1:10" s="71" customFormat="1" x14ac:dyDescent="0.25">
      <c r="A1441" s="627" t="s">
        <v>24</v>
      </c>
      <c r="B1441" s="450">
        <f t="shared" ref="B1441:J1441" si="618">B1451/B1428</f>
        <v>28982.300884955752</v>
      </c>
      <c r="C1441" s="130">
        <f t="shared" si="618"/>
        <v>27822.36842105263</v>
      </c>
      <c r="D1441" s="130">
        <f t="shared" si="618"/>
        <v>28654.545454545456</v>
      </c>
      <c r="E1441" s="130">
        <f t="shared" si="618"/>
        <v>28251.48514851485</v>
      </c>
      <c r="F1441" s="130">
        <f t="shared" si="618"/>
        <v>29604.591836734693</v>
      </c>
      <c r="G1441" s="130">
        <f t="shared" si="618"/>
        <v>27262.777777777777</v>
      </c>
      <c r="H1441" s="130">
        <f t="shared" si="618"/>
        <v>29014.705882352941</v>
      </c>
      <c r="I1441" s="130">
        <f t="shared" si="618"/>
        <v>28522.749752720079</v>
      </c>
      <c r="J1441" s="685">
        <f t="shared" si="618"/>
        <v>28522.749752720083</v>
      </c>
    </row>
    <row r="1442" spans="1:10" s="71" customFormat="1" x14ac:dyDescent="0.25">
      <c r="A1442" s="622" t="s">
        <v>25</v>
      </c>
      <c r="B1442" s="451">
        <f t="shared" ref="B1442:H1442" si="619">B1447*B1435</f>
        <v>2382077.1586206895</v>
      </c>
      <c r="C1442" s="92">
        <f t="shared" si="619"/>
        <v>2866732.5637931037</v>
      </c>
      <c r="D1442" s="92">
        <f t="shared" si="619"/>
        <v>1781616.5034482758</v>
      </c>
      <c r="E1442" s="92">
        <f t="shared" si="619"/>
        <v>1760825.6896551726</v>
      </c>
      <c r="F1442" s="92">
        <f t="shared" si="619"/>
        <v>4022863.1465517241</v>
      </c>
      <c r="G1442" s="92">
        <f t="shared" si="619"/>
        <v>3294010.5482758619</v>
      </c>
      <c r="H1442" s="92">
        <f t="shared" si="619"/>
        <v>3301221.7413793104</v>
      </c>
      <c r="I1442" s="92">
        <f>'NOGAL '!$B1442+'NOGAL '!$C1442+'NOGAL '!$D1442+'NOGAL '!$E1442+'NOGAL '!$F1442+'NOGAL '!$G1442+'NOGAL '!$H1442</f>
        <v>19409347.351724137</v>
      </c>
      <c r="J1442" s="715">
        <f>'NOGAL '!$I1442/7</f>
        <v>2772763.9073891626</v>
      </c>
    </row>
    <row r="1443" spans="1:10" s="71" customFormat="1" x14ac:dyDescent="0.25">
      <c r="A1443" s="622" t="s">
        <v>26</v>
      </c>
      <c r="B1443" s="451">
        <f t="shared" ref="B1443:H1443" si="620">B1447*B1436</f>
        <v>54138.11724137931</v>
      </c>
      <c r="C1443" s="92">
        <f t="shared" si="620"/>
        <v>103616.83965517241</v>
      </c>
      <c r="D1443" s="92">
        <f t="shared" si="620"/>
        <v>46884.644827586206</v>
      </c>
      <c r="E1443" s="92">
        <f t="shared" si="620"/>
        <v>23477.675862068969</v>
      </c>
      <c r="F1443" s="92">
        <f t="shared" si="620"/>
        <v>47327.801724137935</v>
      </c>
      <c r="G1443" s="92">
        <f t="shared" si="620"/>
        <v>40170.860344827583</v>
      </c>
      <c r="H1443" s="92">
        <f t="shared" si="620"/>
        <v>80517.60344827587</v>
      </c>
      <c r="I1443" s="92">
        <f>'NOGAL '!$B1443+'NOGAL '!$C1443+'NOGAL '!$D1443+'NOGAL '!$E1443+'NOGAL '!$F1443+'NOGAL '!$G1443+'NOGAL '!$H1443</f>
        <v>396133.54310344829</v>
      </c>
      <c r="J1443" s="715">
        <f>'NOGAL '!$I1443/7</f>
        <v>56590.506157635471</v>
      </c>
    </row>
    <row r="1444" spans="1:10" s="71" customFormat="1" x14ac:dyDescent="0.25">
      <c r="A1444" s="622" t="s">
        <v>27</v>
      </c>
      <c r="B1444" s="451">
        <f t="shared" ref="B1444:H1444" si="621">B1447*B1437</f>
        <v>270690.58620689658</v>
      </c>
      <c r="C1444" s="92">
        <f t="shared" si="621"/>
        <v>414467.35862068966</v>
      </c>
      <c r="D1444" s="92">
        <f t="shared" si="621"/>
        <v>492288.77068965515</v>
      </c>
      <c r="E1444" s="92">
        <f t="shared" si="621"/>
        <v>563464.22068965517</v>
      </c>
      <c r="F1444" s="92">
        <f t="shared" si="621"/>
        <v>567933.62068965519</v>
      </c>
      <c r="G1444" s="92">
        <f t="shared" si="621"/>
        <v>602562.9051724138</v>
      </c>
      <c r="H1444" s="92">
        <f t="shared" si="621"/>
        <v>483105.62068965519</v>
      </c>
      <c r="I1444" s="92">
        <f>'NOGAL '!$B1444+'NOGAL '!$C1444+'NOGAL '!$D1444+'NOGAL '!$E1444+'NOGAL '!$F1444+'NOGAL '!$G1444+'NOGAL '!$H1444</f>
        <v>3394513.0827586204</v>
      </c>
      <c r="J1444" s="715">
        <f>'NOGAL '!$I1444/7</f>
        <v>484930.44039408863</v>
      </c>
    </row>
    <row r="1445" spans="1:10" s="71" customFormat="1" x14ac:dyDescent="0.25">
      <c r="A1445" s="622" t="s">
        <v>28</v>
      </c>
      <c r="B1445" s="451">
        <f t="shared" ref="B1445:H1445" si="622">B1447*B1438</f>
        <v>0</v>
      </c>
      <c r="C1445" s="92">
        <f t="shared" si="622"/>
        <v>69077.893103448281</v>
      </c>
      <c r="D1445" s="92">
        <f t="shared" si="622"/>
        <v>23442.322413793103</v>
      </c>
      <c r="E1445" s="92">
        <f t="shared" si="622"/>
        <v>0</v>
      </c>
      <c r="F1445" s="92">
        <f t="shared" si="622"/>
        <v>94655.60344827587</v>
      </c>
      <c r="G1445" s="92">
        <f t="shared" si="622"/>
        <v>80341.720689655165</v>
      </c>
      <c r="H1445" s="92">
        <f t="shared" si="622"/>
        <v>161035.20689655174</v>
      </c>
      <c r="I1445" s="92">
        <f>'NOGAL '!$B1445+'NOGAL '!$C1445+'NOGAL '!$D1445+'NOGAL '!$E1445+'NOGAL '!$F1445+'NOGAL '!$G1445+'NOGAL '!$H1445</f>
        <v>428552.74655172415</v>
      </c>
      <c r="J1445" s="715">
        <f>'NOGAL '!$I1445/7</f>
        <v>61221.82093596059</v>
      </c>
    </row>
    <row r="1446" spans="1:10" s="71" customFormat="1" x14ac:dyDescent="0.25">
      <c r="A1446" s="622" t="s">
        <v>29</v>
      </c>
      <c r="B1446" s="451">
        <f t="shared" ref="B1446:H1446" si="623">B1447*B1439</f>
        <v>0</v>
      </c>
      <c r="C1446" s="92">
        <f t="shared" si="623"/>
        <v>0</v>
      </c>
      <c r="D1446" s="92">
        <f t="shared" si="623"/>
        <v>0</v>
      </c>
      <c r="E1446" s="92">
        <f t="shared" si="623"/>
        <v>0</v>
      </c>
      <c r="F1446" s="92">
        <f t="shared" si="623"/>
        <v>0</v>
      </c>
      <c r="G1446" s="92">
        <f t="shared" si="623"/>
        <v>0</v>
      </c>
      <c r="H1446" s="92">
        <f t="shared" si="623"/>
        <v>0</v>
      </c>
      <c r="I1446" s="92">
        <f>'NOGAL '!$B1446+'NOGAL '!$C1446+'NOGAL '!$D1446+'NOGAL '!$E1446+'NOGAL '!$F1446+'NOGAL '!$G1446+'NOGAL '!$H1446</f>
        <v>0</v>
      </c>
      <c r="J1446" s="715">
        <f>'NOGAL '!$I1446/7</f>
        <v>0</v>
      </c>
    </row>
    <row r="1447" spans="1:10" s="71" customFormat="1" x14ac:dyDescent="0.25">
      <c r="A1447" s="630" t="s">
        <v>30</v>
      </c>
      <c r="B1447" s="237">
        <f>(3275000/1.16)-B1448</f>
        <v>2706905.8620689656</v>
      </c>
      <c r="C1447" s="237">
        <f>(4229000/1.16)-C1448</f>
        <v>3453894.6551724141</v>
      </c>
      <c r="D1447" s="237">
        <f>(2836800/1.16)-D1448</f>
        <v>2344232.2413793104</v>
      </c>
      <c r="E1447" s="237">
        <f>(2853400/1.16)-E1448</f>
        <v>2347767.5862068967</v>
      </c>
      <c r="F1447" s="237">
        <f>(5802500/1.16)-F1448</f>
        <v>4732780.1724137934</v>
      </c>
      <c r="G1447" s="237">
        <f>(4907300/1.16)-G1448</f>
        <v>4017086.0344827585</v>
      </c>
      <c r="H1447" s="237">
        <f>(4932500/1.16)-H1448</f>
        <v>4025880.1724137934</v>
      </c>
      <c r="I1447" s="91">
        <f>SUM(I1442:I1446)</f>
        <v>23628546.724137932</v>
      </c>
      <c r="J1447" s="716">
        <f>'NOGAL '!$I1447/7</f>
        <v>3375506.6748768473</v>
      </c>
    </row>
    <row r="1448" spans="1:10" s="71" customFormat="1" x14ac:dyDescent="0.25">
      <c r="A1448" s="622" t="s">
        <v>31</v>
      </c>
      <c r="B1448" s="452">
        <f t="shared" ref="B1448:G1448" si="624">2155*B1429</f>
        <v>116370</v>
      </c>
      <c r="C1448" s="94">
        <f t="shared" si="624"/>
        <v>191795</v>
      </c>
      <c r="D1448" s="94">
        <f t="shared" si="624"/>
        <v>101285</v>
      </c>
      <c r="E1448" s="94">
        <f t="shared" si="624"/>
        <v>112060</v>
      </c>
      <c r="F1448" s="94">
        <f t="shared" si="624"/>
        <v>269375</v>
      </c>
      <c r="G1448" s="94">
        <f t="shared" si="624"/>
        <v>213345</v>
      </c>
      <c r="H1448" s="94">
        <f>2155*H1429</f>
        <v>226275</v>
      </c>
      <c r="I1448" s="94">
        <f>2155*I1429</f>
        <v>1230505</v>
      </c>
      <c r="J1448" s="717">
        <f>2155*J1429</f>
        <v>175786.42857142858</v>
      </c>
    </row>
    <row r="1449" spans="1:10" s="71" customFormat="1" x14ac:dyDescent="0.25">
      <c r="A1449" s="633" t="s">
        <v>32</v>
      </c>
      <c r="B1449" s="453">
        <f>B1447+B1448</f>
        <v>2823275.8620689656</v>
      </c>
      <c r="C1449" s="39">
        <f>C1447+C1448</f>
        <v>3645689.6551724141</v>
      </c>
      <c r="D1449" s="39">
        <f t="shared" ref="D1449:J1449" si="625">D1447+D1448</f>
        <v>2445517.2413793104</v>
      </c>
      <c r="E1449" s="39">
        <f t="shared" si="625"/>
        <v>2459827.5862068967</v>
      </c>
      <c r="F1449" s="39">
        <f t="shared" si="625"/>
        <v>5002155.1724137934</v>
      </c>
      <c r="G1449" s="39">
        <f t="shared" si="625"/>
        <v>4230431.0344827585</v>
      </c>
      <c r="H1449" s="39">
        <f t="shared" si="625"/>
        <v>4252155.1724137934</v>
      </c>
      <c r="I1449" s="39">
        <f t="shared" si="625"/>
        <v>24859051.724137932</v>
      </c>
      <c r="J1449" s="718">
        <f t="shared" si="625"/>
        <v>3551293.1034482759</v>
      </c>
    </row>
    <row r="1450" spans="1:10" s="71" customFormat="1" x14ac:dyDescent="0.25">
      <c r="A1450" s="622" t="s">
        <v>33</v>
      </c>
      <c r="B1450" s="454">
        <f>B1449*16%</f>
        <v>451724.13793103449</v>
      </c>
      <c r="C1450" s="41">
        <f>C1449*16%</f>
        <v>583310.34482758632</v>
      </c>
      <c r="D1450" s="41">
        <f t="shared" ref="D1450:J1450" si="626">D1449*16%</f>
        <v>391282.75862068968</v>
      </c>
      <c r="E1450" s="41">
        <f t="shared" si="626"/>
        <v>393572.41379310348</v>
      </c>
      <c r="F1450" s="41">
        <f t="shared" si="626"/>
        <v>800344.82758620696</v>
      </c>
      <c r="G1450" s="41">
        <f t="shared" si="626"/>
        <v>676868.96551724139</v>
      </c>
      <c r="H1450" s="41">
        <f t="shared" si="626"/>
        <v>680344.82758620696</v>
      </c>
      <c r="I1450" s="41">
        <f t="shared" si="626"/>
        <v>3977448.2758620693</v>
      </c>
      <c r="J1450" s="719">
        <f t="shared" si="626"/>
        <v>568206.89655172417</v>
      </c>
    </row>
    <row r="1451" spans="1:10" s="71" customFormat="1" ht="15.75" thickBot="1" x14ac:dyDescent="0.3">
      <c r="A1451" s="636" t="s">
        <v>34</v>
      </c>
      <c r="B1451" s="637">
        <f t="shared" ref="B1451:H1451" si="627">B1449+B1450</f>
        <v>3275000</v>
      </c>
      <c r="C1451" s="686">
        <f t="shared" si="627"/>
        <v>4229000</v>
      </c>
      <c r="D1451" s="686">
        <f t="shared" si="627"/>
        <v>2836800</v>
      </c>
      <c r="E1451" s="686">
        <f t="shared" si="627"/>
        <v>2853400</v>
      </c>
      <c r="F1451" s="686">
        <f t="shared" si="627"/>
        <v>5802500</v>
      </c>
      <c r="G1451" s="686">
        <f t="shared" si="627"/>
        <v>4907300</v>
      </c>
      <c r="H1451" s="686">
        <f t="shared" si="627"/>
        <v>4932500</v>
      </c>
      <c r="I1451" s="686">
        <f>+I1449+I1450</f>
        <v>28836500</v>
      </c>
      <c r="J1451" s="720">
        <f>'NOGAL '!$I1451/7</f>
        <v>4119500</v>
      </c>
    </row>
    <row r="1452" spans="1:10" s="71" customFormat="1" ht="15.75" thickBot="1" x14ac:dyDescent="0.3">
      <c r="A1452" s="69"/>
      <c r="B1452" s="424"/>
      <c r="C1452" s="424"/>
      <c r="D1452" s="424"/>
      <c r="E1452" s="424"/>
      <c r="F1452" s="424"/>
      <c r="G1452" s="424"/>
      <c r="H1452" s="424"/>
      <c r="I1452" s="424"/>
      <c r="J1452" s="424"/>
    </row>
    <row r="1453" spans="1:10" s="71" customFormat="1" ht="27" thickBot="1" x14ac:dyDescent="0.3">
      <c r="A1453" s="85"/>
      <c r="B1453" s="1002" t="s">
        <v>394</v>
      </c>
      <c r="C1453" s="1002"/>
      <c r="D1453" s="1002"/>
      <c r="E1453" s="1002"/>
      <c r="F1453" s="1002"/>
      <c r="G1453" s="1002"/>
      <c r="H1453" s="1002"/>
      <c r="I1453" s="1002"/>
      <c r="J1453" s="85"/>
    </row>
    <row r="1454" spans="1:10" s="71" customFormat="1" ht="15.75" x14ac:dyDescent="0.25">
      <c r="A1454" s="614" t="s">
        <v>2</v>
      </c>
      <c r="B1454" s="641" t="s">
        <v>193</v>
      </c>
      <c r="C1454" s="641" t="s">
        <v>194</v>
      </c>
      <c r="D1454" s="641" t="s">
        <v>195</v>
      </c>
      <c r="E1454" s="641" t="s">
        <v>196</v>
      </c>
      <c r="F1454" s="641" t="s">
        <v>197</v>
      </c>
      <c r="G1454" s="641" t="s">
        <v>198</v>
      </c>
      <c r="H1454" s="641" t="s">
        <v>199</v>
      </c>
      <c r="I1454" s="618" t="s">
        <v>10</v>
      </c>
      <c r="J1454" s="711" t="s">
        <v>77</v>
      </c>
    </row>
    <row r="1455" spans="1:10" s="71" customFormat="1" x14ac:dyDescent="0.25">
      <c r="A1455" s="620" t="s">
        <v>11</v>
      </c>
      <c r="B1455" s="433">
        <f>148+68+25</f>
        <v>241</v>
      </c>
      <c r="C1455" s="75">
        <f>49+18+4</f>
        <v>71</v>
      </c>
      <c r="D1455" s="75">
        <f>53+16+11</f>
        <v>80</v>
      </c>
      <c r="E1455" s="316">
        <f>69+20+8</f>
        <v>97</v>
      </c>
      <c r="F1455" s="316">
        <f>137+61+20</f>
        <v>218</v>
      </c>
      <c r="G1455" s="316">
        <f>129+55+22</f>
        <v>206</v>
      </c>
      <c r="H1455" s="316">
        <f>189+69+43</f>
        <v>301</v>
      </c>
      <c r="I1455" s="316">
        <f>SUM(B1455:H1455)</f>
        <v>1214</v>
      </c>
      <c r="J1455" s="712">
        <f>'NOGAL '!$I1455/7</f>
        <v>173.42857142857142</v>
      </c>
    </row>
    <row r="1456" spans="1:10" s="71" customFormat="1" x14ac:dyDescent="0.25">
      <c r="A1456" s="622" t="s">
        <v>12</v>
      </c>
      <c r="B1456" s="448">
        <v>161</v>
      </c>
      <c r="C1456" s="86">
        <v>37</v>
      </c>
      <c r="D1456" s="11">
        <v>41</v>
      </c>
      <c r="E1456" s="86">
        <v>54</v>
      </c>
      <c r="F1456" s="86">
        <v>116</v>
      </c>
      <c r="G1456" s="11">
        <v>112</v>
      </c>
      <c r="H1456" s="11">
        <v>198</v>
      </c>
      <c r="I1456" s="11">
        <f>B1456+C1456+D1456+E1456+F1456+G1456+H1456</f>
        <v>719</v>
      </c>
      <c r="J1456" s="684">
        <f>'NOGAL '!$I1456/7</f>
        <v>102.71428571428571</v>
      </c>
    </row>
    <row r="1457" spans="1:10" s="71" customFormat="1" x14ac:dyDescent="0.25">
      <c r="A1457" s="622" t="s">
        <v>13</v>
      </c>
      <c r="B1457" s="448">
        <v>1</v>
      </c>
      <c r="C1457" s="11">
        <v>3</v>
      </c>
      <c r="D1457" s="11">
        <v>3</v>
      </c>
      <c r="E1457" s="11">
        <v>3</v>
      </c>
      <c r="F1457" s="11">
        <v>3</v>
      </c>
      <c r="G1457" s="11">
        <v>2</v>
      </c>
      <c r="H1457" s="11">
        <v>6</v>
      </c>
      <c r="I1457" s="11">
        <f>B1457+C1457+D1457+E1457+F1457+G1457+H1457</f>
        <v>21</v>
      </c>
      <c r="J1457" s="684">
        <f>C1457+D1457+E1457+F1457+G1457+H1457+I1457</f>
        <v>41</v>
      </c>
    </row>
    <row r="1458" spans="1:10" s="71" customFormat="1" x14ac:dyDescent="0.25">
      <c r="A1458" s="622" t="s">
        <v>14</v>
      </c>
      <c r="B1458" s="448">
        <v>9</v>
      </c>
      <c r="C1458" s="11">
        <v>18</v>
      </c>
      <c r="D1458" s="11">
        <v>20</v>
      </c>
      <c r="E1458" s="11">
        <v>21</v>
      </c>
      <c r="F1458" s="11">
        <v>35</v>
      </c>
      <c r="G1458" s="11">
        <v>22</v>
      </c>
      <c r="H1458" s="11">
        <v>15</v>
      </c>
      <c r="I1458" s="11">
        <f>B1458+C1458+D1458+E1458+F1458+G1458+H1458</f>
        <v>140</v>
      </c>
      <c r="J1458" s="684">
        <f>'NOGAL '!$I1458/7</f>
        <v>20</v>
      </c>
    </row>
    <row r="1459" spans="1:10" s="71" customFormat="1" x14ac:dyDescent="0.25">
      <c r="A1459" s="622" t="s">
        <v>15</v>
      </c>
      <c r="B1459" s="448">
        <v>3</v>
      </c>
      <c r="C1459" s="11">
        <v>0</v>
      </c>
      <c r="D1459" s="11">
        <v>0</v>
      </c>
      <c r="E1459" s="11">
        <v>2</v>
      </c>
      <c r="F1459" s="11">
        <v>11</v>
      </c>
      <c r="G1459" s="11">
        <v>4</v>
      </c>
      <c r="H1459" s="11">
        <v>5</v>
      </c>
      <c r="I1459" s="11">
        <f>B1459+C1459+D1459+E1459+F1459+G1459+H1459</f>
        <v>25</v>
      </c>
      <c r="J1459" s="684">
        <f>'NOGAL '!$I1459/7</f>
        <v>3.5714285714285716</v>
      </c>
    </row>
    <row r="1460" spans="1:10" s="71" customFormat="1" x14ac:dyDescent="0.25">
      <c r="A1460" s="622" t="s">
        <v>16</v>
      </c>
      <c r="B1460" s="448">
        <v>1</v>
      </c>
      <c r="C1460" s="11">
        <v>0</v>
      </c>
      <c r="D1460" s="11">
        <v>0</v>
      </c>
      <c r="E1460" s="11">
        <v>0</v>
      </c>
      <c r="F1460" s="11">
        <v>0</v>
      </c>
      <c r="G1460" s="11">
        <v>0</v>
      </c>
      <c r="H1460" s="11">
        <v>1</v>
      </c>
      <c r="I1460" s="11">
        <f>B1460+C1460+D1460+E1460+F1460+G1460+H1460</f>
        <v>2</v>
      </c>
      <c r="J1460" s="684">
        <f>'NOGAL '!$I1460/7</f>
        <v>0.2857142857142857</v>
      </c>
    </row>
    <row r="1461" spans="1:10" s="71" customFormat="1" x14ac:dyDescent="0.25">
      <c r="A1461" s="624" t="s">
        <v>17</v>
      </c>
      <c r="B1461" s="102">
        <f t="shared" ref="B1461:I1461" si="628">SUM(B1456:B1460)</f>
        <v>175</v>
      </c>
      <c r="C1461" s="103">
        <f t="shared" si="628"/>
        <v>58</v>
      </c>
      <c r="D1461" s="103">
        <f t="shared" si="628"/>
        <v>64</v>
      </c>
      <c r="E1461" s="103">
        <f t="shared" si="628"/>
        <v>80</v>
      </c>
      <c r="F1461" s="103">
        <f t="shared" si="628"/>
        <v>165</v>
      </c>
      <c r="G1461" s="103">
        <f t="shared" si="628"/>
        <v>140</v>
      </c>
      <c r="H1461" s="103">
        <f t="shared" si="628"/>
        <v>225</v>
      </c>
      <c r="I1461" s="103">
        <f t="shared" si="628"/>
        <v>907</v>
      </c>
      <c r="J1461" s="713">
        <f>'NOGAL '!$I1461/7</f>
        <v>129.57142857142858</v>
      </c>
    </row>
    <row r="1462" spans="1:10" s="71" customFormat="1" x14ac:dyDescent="0.25">
      <c r="A1462" s="622" t="s">
        <v>18</v>
      </c>
      <c r="B1462" s="449">
        <v>0.94</v>
      </c>
      <c r="C1462" s="236">
        <v>0.75</v>
      </c>
      <c r="D1462" s="236">
        <v>0.72</v>
      </c>
      <c r="E1462" s="236">
        <v>0.74</v>
      </c>
      <c r="F1462" s="236">
        <v>0.74</v>
      </c>
      <c r="G1462" s="236">
        <v>0.88</v>
      </c>
      <c r="H1462" s="236">
        <v>0.91</v>
      </c>
      <c r="I1462" s="18">
        <f>I1469/I1474</f>
        <v>0.84461758556197541</v>
      </c>
      <c r="J1462" s="714">
        <f>J1469/J1474</f>
        <v>0.84461758556197541</v>
      </c>
    </row>
    <row r="1463" spans="1:10" s="71" customFormat="1" x14ac:dyDescent="0.25">
      <c r="A1463" s="622" t="s">
        <v>19</v>
      </c>
      <c r="B1463" s="449">
        <v>0</v>
      </c>
      <c r="C1463" s="236">
        <v>0.03</v>
      </c>
      <c r="D1463" s="236">
        <v>0.03</v>
      </c>
      <c r="E1463" s="236">
        <v>7.0000000000000007E-2</v>
      </c>
      <c r="F1463" s="236">
        <v>0.02</v>
      </c>
      <c r="G1463" s="236">
        <v>0.01</v>
      </c>
      <c r="H1463" s="236">
        <v>0.02</v>
      </c>
      <c r="I1463" s="18">
        <f>I1470/I1474</f>
        <v>1.9483584734347758E-2</v>
      </c>
      <c r="J1463" s="714">
        <f>J1470/J1474</f>
        <v>1.9483584734347758E-2</v>
      </c>
    </row>
    <row r="1464" spans="1:10" s="71" customFormat="1" x14ac:dyDescent="0.25">
      <c r="A1464" s="622" t="s">
        <v>20</v>
      </c>
      <c r="B1464" s="449">
        <v>0.03</v>
      </c>
      <c r="C1464" s="236">
        <v>0.22</v>
      </c>
      <c r="D1464" s="236">
        <v>0.25</v>
      </c>
      <c r="E1464" s="236">
        <v>0.17</v>
      </c>
      <c r="F1464" s="236">
        <v>0.16</v>
      </c>
      <c r="G1464" s="236">
        <v>0.09</v>
      </c>
      <c r="H1464" s="236">
        <v>0.04</v>
      </c>
      <c r="I1464" s="18">
        <f>I1471/I1474</f>
        <v>0.10268994296867881</v>
      </c>
      <c r="J1464" s="714">
        <f>J1471/J1474</f>
        <v>0.10268994296867881</v>
      </c>
    </row>
    <row r="1465" spans="1:10" s="71" customFormat="1" x14ac:dyDescent="0.25">
      <c r="A1465" s="622" t="s">
        <v>21</v>
      </c>
      <c r="B1465" s="449">
        <v>0.02</v>
      </c>
      <c r="C1465" s="236">
        <v>0</v>
      </c>
      <c r="D1465" s="236">
        <v>0</v>
      </c>
      <c r="E1465" s="236">
        <v>0.02</v>
      </c>
      <c r="F1465" s="236">
        <v>0.08</v>
      </c>
      <c r="G1465" s="236">
        <v>0.02</v>
      </c>
      <c r="H1465" s="236">
        <v>0.02</v>
      </c>
      <c r="I1465" s="18">
        <f>I1472/I1474</f>
        <v>2.8794302535807666E-2</v>
      </c>
      <c r="J1465" s="714">
        <f>J1472/J1474</f>
        <v>2.8794302535807666E-2</v>
      </c>
    </row>
    <row r="1466" spans="1:10" s="71" customFormat="1" x14ac:dyDescent="0.25">
      <c r="A1466" s="622" t="s">
        <v>22</v>
      </c>
      <c r="B1466" s="449">
        <v>0.01</v>
      </c>
      <c r="C1466" s="236">
        <v>0</v>
      </c>
      <c r="D1466" s="236">
        <v>0</v>
      </c>
      <c r="E1466" s="236">
        <v>0</v>
      </c>
      <c r="F1466" s="236">
        <v>0</v>
      </c>
      <c r="G1466" s="236">
        <v>0</v>
      </c>
      <c r="H1466" s="236">
        <v>0.01</v>
      </c>
      <c r="I1466" s="18">
        <f>I1473/I1474</f>
        <v>4.4145841991903136E-3</v>
      </c>
      <c r="J1466" s="714">
        <f>J1473/J1474</f>
        <v>4.4145841991903136E-3</v>
      </c>
    </row>
    <row r="1467" spans="1:10" s="71" customFormat="1" x14ac:dyDescent="0.25">
      <c r="A1467" s="627" t="s">
        <v>23</v>
      </c>
      <c r="B1467" s="450">
        <f t="shared" ref="B1467:J1467" si="629">B1478/B1461</f>
        <v>40517.714285714283</v>
      </c>
      <c r="C1467" s="130">
        <f t="shared" si="629"/>
        <v>40044.827586206899</v>
      </c>
      <c r="D1467" s="130">
        <f t="shared" si="629"/>
        <v>32373.437500000004</v>
      </c>
      <c r="E1467" s="130">
        <f t="shared" si="629"/>
        <v>35200</v>
      </c>
      <c r="F1467" s="130">
        <f t="shared" si="629"/>
        <v>41078.78787878788</v>
      </c>
      <c r="G1467" s="130">
        <f t="shared" si="629"/>
        <v>45007.142857142862</v>
      </c>
      <c r="H1467" s="130">
        <f t="shared" si="629"/>
        <v>40586.222222222219</v>
      </c>
      <c r="I1467" s="130">
        <f t="shared" si="629"/>
        <v>40255.788313120174</v>
      </c>
      <c r="J1467" s="685">
        <f t="shared" si="629"/>
        <v>40255.788313120174</v>
      </c>
    </row>
    <row r="1468" spans="1:10" s="71" customFormat="1" x14ac:dyDescent="0.25">
      <c r="A1468" s="627" t="s">
        <v>24</v>
      </c>
      <c r="B1468" s="450">
        <f t="shared" ref="B1468:J1468" si="630">B1478/B1455</f>
        <v>29421.576763485478</v>
      </c>
      <c r="C1468" s="130">
        <f t="shared" si="630"/>
        <v>32712.676056338027</v>
      </c>
      <c r="D1468" s="130">
        <f t="shared" si="630"/>
        <v>25898.750000000004</v>
      </c>
      <c r="E1468" s="130">
        <f t="shared" si="630"/>
        <v>29030.927835051545</v>
      </c>
      <c r="F1468" s="130">
        <f t="shared" si="630"/>
        <v>31091.743119266055</v>
      </c>
      <c r="G1468" s="130">
        <f t="shared" si="630"/>
        <v>30587.378640776704</v>
      </c>
      <c r="H1468" s="130">
        <f t="shared" si="630"/>
        <v>30338.538205980065</v>
      </c>
      <c r="I1468" s="130">
        <f t="shared" si="630"/>
        <v>30075.782537067545</v>
      </c>
      <c r="J1468" s="685">
        <f t="shared" si="630"/>
        <v>30075.782537067549</v>
      </c>
    </row>
    <row r="1469" spans="1:10" s="71" customFormat="1" x14ac:dyDescent="0.25">
      <c r="A1469" s="622" t="s">
        <v>25</v>
      </c>
      <c r="B1469" s="451">
        <f t="shared" ref="B1469:H1469" si="631">B1474*B1462</f>
        <v>5419693.3344827583</v>
      </c>
      <c r="C1469" s="92">
        <f t="shared" si="631"/>
        <v>1441879.7844827587</v>
      </c>
      <c r="D1469" s="92">
        <f t="shared" si="631"/>
        <v>1222391.2965517242</v>
      </c>
      <c r="E1469" s="92">
        <f t="shared" si="631"/>
        <v>1710299.9931034483</v>
      </c>
      <c r="F1469" s="92">
        <f t="shared" si="631"/>
        <v>4138911.351724138</v>
      </c>
      <c r="G1469" s="92">
        <f t="shared" si="631"/>
        <v>4567672.1655172417</v>
      </c>
      <c r="H1469" s="92">
        <f t="shared" si="631"/>
        <v>6775530.203448277</v>
      </c>
      <c r="I1469" s="92">
        <f>'NOGAL '!$B1469+'NOGAL '!$C1469+'NOGAL '!$D1469+'NOGAL '!$E1469+'NOGAL '!$F1469+'NOGAL '!$G1469+'NOGAL '!$H1469</f>
        <v>25276378.129310347</v>
      </c>
      <c r="J1469" s="715">
        <f>'NOGAL '!$I1469/7</f>
        <v>3610911.1613300494</v>
      </c>
    </row>
    <row r="1470" spans="1:10" s="71" customFormat="1" x14ac:dyDescent="0.25">
      <c r="A1470" s="622" t="s">
        <v>26</v>
      </c>
      <c r="B1470" s="451">
        <f t="shared" ref="B1470:H1470" si="632">B1474*B1463</f>
        <v>0</v>
      </c>
      <c r="C1470" s="92">
        <f t="shared" si="632"/>
        <v>57675.191379310352</v>
      </c>
      <c r="D1470" s="92">
        <f t="shared" si="632"/>
        <v>50932.97068965518</v>
      </c>
      <c r="E1470" s="92">
        <f t="shared" si="632"/>
        <v>161785.13448275864</v>
      </c>
      <c r="F1470" s="92">
        <f t="shared" si="632"/>
        <v>111862.46896551724</v>
      </c>
      <c r="G1470" s="92">
        <f t="shared" si="632"/>
        <v>51905.365517241386</v>
      </c>
      <c r="H1470" s="92">
        <f t="shared" si="632"/>
        <v>148912.75172413795</v>
      </c>
      <c r="I1470" s="92">
        <f>'NOGAL '!$B1470+'NOGAL '!$C1470+'NOGAL '!$D1470+'NOGAL '!$E1470+'NOGAL '!$F1470+'NOGAL '!$G1470+'NOGAL '!$H1470</f>
        <v>583073.88275862078</v>
      </c>
      <c r="J1470" s="715">
        <f>'NOGAL '!$I1470/7</f>
        <v>83296.268965517258</v>
      </c>
    </row>
    <row r="1471" spans="1:10" s="71" customFormat="1" x14ac:dyDescent="0.25">
      <c r="A1471" s="622" t="s">
        <v>27</v>
      </c>
      <c r="B1471" s="451">
        <f t="shared" ref="B1471:H1471" si="633">B1474*B1464</f>
        <v>172968.93620689656</v>
      </c>
      <c r="C1471" s="92">
        <f t="shared" si="633"/>
        <v>422951.40344827593</v>
      </c>
      <c r="D1471" s="92">
        <f t="shared" si="633"/>
        <v>424441.42241379316</v>
      </c>
      <c r="E1471" s="92">
        <f t="shared" si="633"/>
        <v>392906.75517241383</v>
      </c>
      <c r="F1471" s="92">
        <f t="shared" si="633"/>
        <v>894899.75172413792</v>
      </c>
      <c r="G1471" s="92">
        <f t="shared" si="633"/>
        <v>467148.28965517244</v>
      </c>
      <c r="H1471" s="92">
        <f t="shared" si="633"/>
        <v>297825.50344827591</v>
      </c>
      <c r="I1471" s="92">
        <f>'NOGAL '!$B1471+'NOGAL '!$C1471+'NOGAL '!$D1471+'NOGAL '!$E1471+'NOGAL '!$F1471+'NOGAL '!$G1471+'NOGAL '!$H1471</f>
        <v>3073142.0620689653</v>
      </c>
      <c r="J1471" s="715">
        <f>'NOGAL '!$I1471/7</f>
        <v>439020.29458128073</v>
      </c>
    </row>
    <row r="1472" spans="1:10" s="71" customFormat="1" x14ac:dyDescent="0.25">
      <c r="A1472" s="622" t="s">
        <v>28</v>
      </c>
      <c r="B1472" s="451">
        <f t="shared" ref="B1472:H1472" si="634">B1474*B1465</f>
        <v>115312.62413793104</v>
      </c>
      <c r="C1472" s="92">
        <f t="shared" si="634"/>
        <v>0</v>
      </c>
      <c r="D1472" s="92">
        <f t="shared" si="634"/>
        <v>0</v>
      </c>
      <c r="E1472" s="92">
        <f t="shared" si="634"/>
        <v>46224.324137931042</v>
      </c>
      <c r="F1472" s="92">
        <f t="shared" si="634"/>
        <v>447449.87586206896</v>
      </c>
      <c r="G1472" s="92">
        <f t="shared" si="634"/>
        <v>103810.73103448277</v>
      </c>
      <c r="H1472" s="92">
        <f t="shared" si="634"/>
        <v>148912.75172413795</v>
      </c>
      <c r="I1472" s="92">
        <f>'NOGAL '!$B1472+'NOGAL '!$C1472+'NOGAL '!$D1472+'NOGAL '!$E1472+'NOGAL '!$F1472+'NOGAL '!$G1472+'NOGAL '!$H1472</f>
        <v>861710.30689655175</v>
      </c>
      <c r="J1472" s="715">
        <f>'NOGAL '!$I1472/7</f>
        <v>123101.4724137931</v>
      </c>
    </row>
    <row r="1473" spans="1:10" s="71" customFormat="1" x14ac:dyDescent="0.25">
      <c r="A1473" s="622" t="s">
        <v>29</v>
      </c>
      <c r="B1473" s="451">
        <f t="shared" ref="B1473:H1473" si="635">B1474*B1466</f>
        <v>57656.312068965519</v>
      </c>
      <c r="C1473" s="92">
        <f t="shared" si="635"/>
        <v>0</v>
      </c>
      <c r="D1473" s="92">
        <f t="shared" si="635"/>
        <v>0</v>
      </c>
      <c r="E1473" s="92">
        <f t="shared" si="635"/>
        <v>0</v>
      </c>
      <c r="F1473" s="92">
        <f t="shared" si="635"/>
        <v>0</v>
      </c>
      <c r="G1473" s="92">
        <f t="shared" si="635"/>
        <v>0</v>
      </c>
      <c r="H1473" s="92">
        <f t="shared" si="635"/>
        <v>74456.375862068977</v>
      </c>
      <c r="I1473" s="92">
        <f>'NOGAL '!$B1473+'NOGAL '!$C1473+'NOGAL '!$D1473+'NOGAL '!$E1473+'NOGAL '!$F1473+'NOGAL '!$G1473+'NOGAL '!$H1473</f>
        <v>132112.68793103448</v>
      </c>
      <c r="J1473" s="715">
        <f>'NOGAL '!$I1473/7</f>
        <v>18873.241133004925</v>
      </c>
    </row>
    <row r="1474" spans="1:10" s="71" customFormat="1" x14ac:dyDescent="0.25">
      <c r="A1474" s="630" t="s">
        <v>30</v>
      </c>
      <c r="B1474" s="237">
        <f>(7090600/1.16)-B1475</f>
        <v>5765631.2068965519</v>
      </c>
      <c r="C1474" s="237">
        <f>(2322600/1.16)-C1475</f>
        <v>1922506.379310345</v>
      </c>
      <c r="D1474" s="237">
        <f>(2071900/1.16)-D1475</f>
        <v>1697765.6896551726</v>
      </c>
      <c r="E1474" s="237">
        <f>(2816000/1.16)-E1475</f>
        <v>2311216.2068965519</v>
      </c>
      <c r="F1474" s="237">
        <f>(6778000/1.16)-F1475</f>
        <v>5593123.4482758623</v>
      </c>
      <c r="G1474" s="237">
        <f>(6301000/1.16)-G1475</f>
        <v>5190536.5517241387</v>
      </c>
      <c r="H1474" s="237">
        <f>(9131900/1.16)-H1475</f>
        <v>7445637.5862068972</v>
      </c>
      <c r="I1474" s="91">
        <f>SUM(I1469:I1473)</f>
        <v>29926417.068965521</v>
      </c>
      <c r="J1474" s="716">
        <f>'NOGAL '!$I1474/7</f>
        <v>4275202.4384236457</v>
      </c>
    </row>
    <row r="1475" spans="1:10" s="71" customFormat="1" x14ac:dyDescent="0.25">
      <c r="A1475" s="622" t="s">
        <v>31</v>
      </c>
      <c r="B1475" s="452">
        <f t="shared" ref="B1475:G1475" si="636">2155*B1456</f>
        <v>346955</v>
      </c>
      <c r="C1475" s="94">
        <f t="shared" si="636"/>
        <v>79735</v>
      </c>
      <c r="D1475" s="94">
        <f t="shared" si="636"/>
        <v>88355</v>
      </c>
      <c r="E1475" s="94">
        <f t="shared" si="636"/>
        <v>116370</v>
      </c>
      <c r="F1475" s="94">
        <f t="shared" si="636"/>
        <v>249980</v>
      </c>
      <c r="G1475" s="94">
        <f t="shared" si="636"/>
        <v>241360</v>
      </c>
      <c r="H1475" s="94">
        <f>2155*H1456</f>
        <v>426690</v>
      </c>
      <c r="I1475" s="94">
        <f>2155*I1456</f>
        <v>1549445</v>
      </c>
      <c r="J1475" s="717">
        <f>2155*J1456</f>
        <v>221349.28571428571</v>
      </c>
    </row>
    <row r="1476" spans="1:10" s="71" customFormat="1" x14ac:dyDescent="0.25">
      <c r="A1476" s="633" t="s">
        <v>32</v>
      </c>
      <c r="B1476" s="453">
        <f>B1474+B1475</f>
        <v>6112586.2068965519</v>
      </c>
      <c r="C1476" s="39">
        <f>C1474+C1475</f>
        <v>2002241.379310345</v>
      </c>
      <c r="D1476" s="39">
        <f t="shared" ref="D1476:J1476" si="637">D1474+D1475</f>
        <v>1786120.6896551726</v>
      </c>
      <c r="E1476" s="39">
        <f t="shared" si="637"/>
        <v>2427586.2068965519</v>
      </c>
      <c r="F1476" s="39">
        <f t="shared" si="637"/>
        <v>5843103.4482758623</v>
      </c>
      <c r="G1476" s="39">
        <f t="shared" si="637"/>
        <v>5431896.5517241387</v>
      </c>
      <c r="H1476" s="39">
        <f t="shared" si="637"/>
        <v>7872327.5862068972</v>
      </c>
      <c r="I1476" s="39">
        <f t="shared" si="637"/>
        <v>31475862.068965521</v>
      </c>
      <c r="J1476" s="718">
        <f t="shared" si="637"/>
        <v>4496551.7241379311</v>
      </c>
    </row>
    <row r="1477" spans="1:10" s="71" customFormat="1" x14ac:dyDescent="0.25">
      <c r="A1477" s="622" t="s">
        <v>33</v>
      </c>
      <c r="B1477" s="454">
        <f>B1476*16%</f>
        <v>978013.79310344835</v>
      </c>
      <c r="C1477" s="41">
        <f>C1476*16%</f>
        <v>320358.62068965519</v>
      </c>
      <c r="D1477" s="41">
        <f t="shared" ref="D1477:J1477" si="638">D1476*16%</f>
        <v>285779.31034482765</v>
      </c>
      <c r="E1477" s="41">
        <f t="shared" si="638"/>
        <v>388413.79310344829</v>
      </c>
      <c r="F1477" s="41">
        <f t="shared" si="638"/>
        <v>934896.55172413797</v>
      </c>
      <c r="G1477" s="41">
        <f t="shared" si="638"/>
        <v>869103.44827586226</v>
      </c>
      <c r="H1477" s="41">
        <f t="shared" si="638"/>
        <v>1259572.4137931035</v>
      </c>
      <c r="I1477" s="41">
        <f t="shared" si="638"/>
        <v>5036137.931034483</v>
      </c>
      <c r="J1477" s="719">
        <f t="shared" si="638"/>
        <v>719448.27586206899</v>
      </c>
    </row>
    <row r="1478" spans="1:10" s="71" customFormat="1" ht="15.75" thickBot="1" x14ac:dyDescent="0.3">
      <c r="A1478" s="636" t="s">
        <v>34</v>
      </c>
      <c r="B1478" s="637">
        <f t="shared" ref="B1478:H1478" si="639">B1476+B1477</f>
        <v>7090600</v>
      </c>
      <c r="C1478" s="686">
        <f t="shared" si="639"/>
        <v>2322600</v>
      </c>
      <c r="D1478" s="686">
        <f t="shared" si="639"/>
        <v>2071900.0000000002</v>
      </c>
      <c r="E1478" s="686">
        <f t="shared" si="639"/>
        <v>2816000</v>
      </c>
      <c r="F1478" s="686">
        <f t="shared" si="639"/>
        <v>6778000</v>
      </c>
      <c r="G1478" s="686">
        <f t="shared" si="639"/>
        <v>6301000.0000000009</v>
      </c>
      <c r="H1478" s="686">
        <f t="shared" si="639"/>
        <v>9131900</v>
      </c>
      <c r="I1478" s="686">
        <f>+I1476+I1477</f>
        <v>36512000</v>
      </c>
      <c r="J1478" s="720">
        <f>'NOGAL '!$I1478/7</f>
        <v>5216000</v>
      </c>
    </row>
    <row r="1479" spans="1:10" s="71" customFormat="1" ht="15.75" thickBot="1" x14ac:dyDescent="0.3">
      <c r="A1479" s="69"/>
      <c r="B1479" s="424"/>
      <c r="C1479" s="424"/>
      <c r="D1479" s="424"/>
      <c r="E1479" s="424"/>
      <c r="F1479" s="424"/>
      <c r="G1479" s="424"/>
      <c r="H1479" s="424"/>
      <c r="I1479" s="424"/>
      <c r="J1479" s="424"/>
    </row>
    <row r="1480" spans="1:10" s="71" customFormat="1" ht="27" thickBot="1" x14ac:dyDescent="0.3">
      <c r="A1480" s="85"/>
      <c r="B1480" s="1002" t="s">
        <v>395</v>
      </c>
      <c r="C1480" s="1002"/>
      <c r="D1480" s="1002"/>
      <c r="E1480" s="1002"/>
      <c r="F1480" s="1002"/>
      <c r="G1480" s="1002"/>
      <c r="H1480" s="1002"/>
      <c r="I1480" s="1002"/>
      <c r="J1480" s="85"/>
    </row>
    <row r="1481" spans="1:10" s="71" customFormat="1" ht="15.75" x14ac:dyDescent="0.25">
      <c r="A1481" s="614" t="s">
        <v>2</v>
      </c>
      <c r="B1481" s="641" t="s">
        <v>201</v>
      </c>
      <c r="C1481" s="641" t="s">
        <v>202</v>
      </c>
      <c r="D1481" s="641" t="s">
        <v>203</v>
      </c>
      <c r="E1481" s="641" t="s">
        <v>204</v>
      </c>
      <c r="F1481" s="641" t="s">
        <v>205</v>
      </c>
      <c r="G1481" s="641" t="s">
        <v>206</v>
      </c>
      <c r="H1481" s="641" t="s">
        <v>207</v>
      </c>
      <c r="I1481" s="618" t="s">
        <v>10</v>
      </c>
      <c r="J1481" s="711" t="s">
        <v>77</v>
      </c>
    </row>
    <row r="1482" spans="1:10" s="71" customFormat="1" x14ac:dyDescent="0.25">
      <c r="A1482" s="620" t="s">
        <v>11</v>
      </c>
      <c r="B1482" s="433">
        <f>64+17+10</f>
        <v>91</v>
      </c>
      <c r="C1482" s="75">
        <f>59+34+8</f>
        <v>101</v>
      </c>
      <c r="D1482" s="75">
        <f>60+24+5</f>
        <v>89</v>
      </c>
      <c r="E1482" s="316">
        <f>81+28+13</f>
        <v>122</v>
      </c>
      <c r="F1482" s="316">
        <f>159+47+16</f>
        <v>222</v>
      </c>
      <c r="G1482" s="316">
        <f>127+72+19</f>
        <v>218</v>
      </c>
      <c r="H1482" s="316">
        <f>152+61+25</f>
        <v>238</v>
      </c>
      <c r="I1482" s="316">
        <f>SUM(B1482:H1482)</f>
        <v>1081</v>
      </c>
      <c r="J1482" s="712">
        <f>'NOGAL '!$I1482/7</f>
        <v>154.42857142857142</v>
      </c>
    </row>
    <row r="1483" spans="1:10" s="71" customFormat="1" x14ac:dyDescent="0.25">
      <c r="A1483" s="622" t="s">
        <v>12</v>
      </c>
      <c r="B1483" s="448">
        <v>49</v>
      </c>
      <c r="C1483" s="86">
        <v>67</v>
      </c>
      <c r="D1483" s="11">
        <v>48</v>
      </c>
      <c r="E1483" s="86">
        <v>70</v>
      </c>
      <c r="F1483" s="86">
        <v>137</v>
      </c>
      <c r="G1483" s="11">
        <v>125</v>
      </c>
      <c r="H1483" s="11">
        <v>160</v>
      </c>
      <c r="I1483" s="11">
        <f>B1483+C1483+D1483+E1483+F1483+G1483+H1483</f>
        <v>656</v>
      </c>
      <c r="J1483" s="684">
        <f>'NOGAL '!$I1483/7</f>
        <v>93.714285714285708</v>
      </c>
    </row>
    <row r="1484" spans="1:10" s="71" customFormat="1" x14ac:dyDescent="0.25">
      <c r="A1484" s="622" t="s">
        <v>13</v>
      </c>
      <c r="B1484" s="448">
        <v>1</v>
      </c>
      <c r="C1484" s="11">
        <v>0</v>
      </c>
      <c r="D1484" s="11">
        <v>4</v>
      </c>
      <c r="E1484" s="11">
        <v>1</v>
      </c>
      <c r="F1484" s="11">
        <v>3</v>
      </c>
      <c r="G1484" s="11">
        <v>6</v>
      </c>
      <c r="H1484" s="11">
        <v>3</v>
      </c>
      <c r="I1484" s="11">
        <f>B1484+C1484+D1484+E1484+F1484+G1484+H1484</f>
        <v>18</v>
      </c>
      <c r="J1484" s="684">
        <f>C1484+D1484+E1484+F1484+G1484+H1484+I1484</f>
        <v>35</v>
      </c>
    </row>
    <row r="1485" spans="1:10" s="71" customFormat="1" x14ac:dyDescent="0.25">
      <c r="A1485" s="622" t="s">
        <v>14</v>
      </c>
      <c r="B1485" s="448">
        <v>15</v>
      </c>
      <c r="C1485" s="11">
        <v>18</v>
      </c>
      <c r="D1485" s="11">
        <v>15</v>
      </c>
      <c r="E1485" s="11">
        <v>17</v>
      </c>
      <c r="F1485" s="11">
        <v>30</v>
      </c>
      <c r="G1485" s="11">
        <v>33</v>
      </c>
      <c r="H1485" s="11">
        <v>29</v>
      </c>
      <c r="I1485" s="11">
        <f>B1485+C1485+D1485+E1485+F1485+G1485+H1485</f>
        <v>157</v>
      </c>
      <c r="J1485" s="684">
        <f>'NOGAL '!$I1485/7</f>
        <v>22.428571428571427</v>
      </c>
    </row>
    <row r="1486" spans="1:10" s="71" customFormat="1" x14ac:dyDescent="0.25">
      <c r="A1486" s="622" t="s">
        <v>15</v>
      </c>
      <c r="B1486" s="448">
        <v>3</v>
      </c>
      <c r="C1486" s="11">
        <v>2</v>
      </c>
      <c r="D1486" s="11">
        <v>3</v>
      </c>
      <c r="E1486" s="11">
        <v>0</v>
      </c>
      <c r="F1486" s="11">
        <v>3</v>
      </c>
      <c r="G1486" s="11">
        <v>10</v>
      </c>
      <c r="H1486" s="11">
        <v>6</v>
      </c>
      <c r="I1486" s="11">
        <f>B1486+C1486+D1486+E1486+F1486+G1486+H1486</f>
        <v>27</v>
      </c>
      <c r="J1486" s="684">
        <f>'NOGAL '!$I1486/7</f>
        <v>3.8571428571428572</v>
      </c>
    </row>
    <row r="1487" spans="1:10" s="71" customFormat="1" x14ac:dyDescent="0.25">
      <c r="A1487" s="622" t="s">
        <v>16</v>
      </c>
      <c r="B1487" s="448">
        <v>0</v>
      </c>
      <c r="C1487" s="11">
        <v>0</v>
      </c>
      <c r="D1487" s="11">
        <v>0</v>
      </c>
      <c r="E1487" s="11">
        <v>0</v>
      </c>
      <c r="F1487" s="11">
        <v>0</v>
      </c>
      <c r="G1487" s="11">
        <v>1</v>
      </c>
      <c r="H1487" s="11">
        <v>0</v>
      </c>
      <c r="I1487" s="11">
        <f>B1487+C1487+D1487+E1487+F1487+G1487+H1487</f>
        <v>1</v>
      </c>
      <c r="J1487" s="684">
        <f>'NOGAL '!$I1487/7</f>
        <v>0.14285714285714285</v>
      </c>
    </row>
    <row r="1488" spans="1:10" s="71" customFormat="1" x14ac:dyDescent="0.25">
      <c r="A1488" s="624" t="s">
        <v>17</v>
      </c>
      <c r="B1488" s="102">
        <f t="shared" ref="B1488:I1488" si="640">SUM(B1483:B1487)</f>
        <v>68</v>
      </c>
      <c r="C1488" s="103">
        <f t="shared" si="640"/>
        <v>87</v>
      </c>
      <c r="D1488" s="103">
        <f t="shared" si="640"/>
        <v>70</v>
      </c>
      <c r="E1488" s="103">
        <f t="shared" si="640"/>
        <v>88</v>
      </c>
      <c r="F1488" s="103">
        <f t="shared" si="640"/>
        <v>173</v>
      </c>
      <c r="G1488" s="103">
        <f t="shared" si="640"/>
        <v>175</v>
      </c>
      <c r="H1488" s="103">
        <f t="shared" si="640"/>
        <v>198</v>
      </c>
      <c r="I1488" s="103">
        <f t="shared" si="640"/>
        <v>859</v>
      </c>
      <c r="J1488" s="713">
        <f>'NOGAL '!$I1488/7</f>
        <v>122.71428571428571</v>
      </c>
    </row>
    <row r="1489" spans="1:10" s="71" customFormat="1" x14ac:dyDescent="0.25">
      <c r="A1489" s="622" t="s">
        <v>18</v>
      </c>
      <c r="B1489" s="449">
        <v>0.83</v>
      </c>
      <c r="C1489" s="236">
        <v>0.84</v>
      </c>
      <c r="D1489" s="236">
        <v>0.77</v>
      </c>
      <c r="E1489" s="236">
        <v>0.87</v>
      </c>
      <c r="F1489" s="236">
        <v>0.85</v>
      </c>
      <c r="G1489" s="236">
        <v>0.76</v>
      </c>
      <c r="H1489" s="236">
        <v>0.87</v>
      </c>
      <c r="I1489" s="18">
        <f>I1496/I1501</f>
        <v>0.82888886784512539</v>
      </c>
      <c r="J1489" s="714">
        <f>J1496/J1501</f>
        <v>0.82888886784512539</v>
      </c>
    </row>
    <row r="1490" spans="1:10" s="71" customFormat="1" x14ac:dyDescent="0.25">
      <c r="A1490" s="622" t="s">
        <v>19</v>
      </c>
      <c r="B1490" s="449">
        <v>0.01</v>
      </c>
      <c r="C1490" s="236">
        <v>0</v>
      </c>
      <c r="D1490" s="236">
        <v>0.05</v>
      </c>
      <c r="E1490" s="236">
        <v>0.01</v>
      </c>
      <c r="F1490" s="236">
        <v>0.01</v>
      </c>
      <c r="G1490" s="236">
        <v>0.02</v>
      </c>
      <c r="H1490" s="236">
        <v>0.01</v>
      </c>
      <c r="I1490" s="18">
        <f>I1497/I1501</f>
        <v>1.433379151901149E-2</v>
      </c>
      <c r="J1490" s="714">
        <f>J1497/J1501</f>
        <v>1.433379151901149E-2</v>
      </c>
    </row>
    <row r="1491" spans="1:10" s="71" customFormat="1" x14ac:dyDescent="0.25">
      <c r="A1491" s="622" t="s">
        <v>20</v>
      </c>
      <c r="B1491" s="449">
        <v>0.13</v>
      </c>
      <c r="C1491" s="236">
        <v>0.15</v>
      </c>
      <c r="D1491" s="236">
        <v>0.14000000000000001</v>
      </c>
      <c r="E1491" s="236">
        <v>0.12</v>
      </c>
      <c r="F1491" s="236">
        <v>0.13</v>
      </c>
      <c r="G1491" s="236">
        <v>0.15</v>
      </c>
      <c r="H1491" s="236">
        <v>0.11</v>
      </c>
      <c r="I1491" s="18">
        <f>I1498/I1501</f>
        <v>0.13136115124772071</v>
      </c>
      <c r="J1491" s="714">
        <f>J1498/J1501</f>
        <v>0.13136115124772069</v>
      </c>
    </row>
    <row r="1492" spans="1:10" s="71" customFormat="1" x14ac:dyDescent="0.25">
      <c r="A1492" s="622" t="s">
        <v>21</v>
      </c>
      <c r="B1492" s="449">
        <v>0.03</v>
      </c>
      <c r="C1492" s="236">
        <v>0.01</v>
      </c>
      <c r="D1492" s="236">
        <v>0.04</v>
      </c>
      <c r="E1492" s="236">
        <v>0</v>
      </c>
      <c r="F1492" s="236">
        <v>0.01</v>
      </c>
      <c r="G1492" s="236">
        <v>0.06</v>
      </c>
      <c r="H1492" s="236">
        <v>0.01</v>
      </c>
      <c r="I1492" s="18">
        <f>I1499/I1501</f>
        <v>2.3348290610969543E-2</v>
      </c>
      <c r="J1492" s="714">
        <f>J1499/J1501</f>
        <v>2.3348290610969543E-2</v>
      </c>
    </row>
    <row r="1493" spans="1:10" s="71" customFormat="1" x14ac:dyDescent="0.25">
      <c r="A1493" s="622" t="s">
        <v>22</v>
      </c>
      <c r="B1493" s="449">
        <v>0</v>
      </c>
      <c r="C1493" s="236">
        <v>0</v>
      </c>
      <c r="D1493" s="236">
        <v>0</v>
      </c>
      <c r="E1493" s="236">
        <v>0</v>
      </c>
      <c r="F1493" s="236">
        <v>0</v>
      </c>
      <c r="G1493" s="236">
        <v>0.01</v>
      </c>
      <c r="H1493" s="236">
        <v>0</v>
      </c>
      <c r="I1493" s="18">
        <f>I1500/I1501</f>
        <v>2.0678987771729058E-3</v>
      </c>
      <c r="J1493" s="714">
        <f>J1500/J1501</f>
        <v>2.0678987771729058E-3</v>
      </c>
    </row>
    <row r="1494" spans="1:10" s="71" customFormat="1" x14ac:dyDescent="0.25">
      <c r="A1494" s="627" t="s">
        <v>23</v>
      </c>
      <c r="B1494" s="450">
        <f t="shared" ref="B1494:J1494" si="641">B1505/B1488</f>
        <v>41014.705882352944</v>
      </c>
      <c r="C1494" s="130">
        <f t="shared" si="641"/>
        <v>36447.126436781611</v>
      </c>
      <c r="D1494" s="130">
        <f t="shared" si="641"/>
        <v>37752.857142857152</v>
      </c>
      <c r="E1494" s="130">
        <f t="shared" si="641"/>
        <v>41647.727272727279</v>
      </c>
      <c r="F1494" s="130">
        <f t="shared" si="641"/>
        <v>38215.606936416189</v>
      </c>
      <c r="G1494" s="130">
        <f t="shared" si="641"/>
        <v>38746.285714285717</v>
      </c>
      <c r="H1494" s="130">
        <f t="shared" si="641"/>
        <v>36662.121212121216</v>
      </c>
      <c r="I1494" s="130">
        <f t="shared" si="641"/>
        <v>38322.002328288705</v>
      </c>
      <c r="J1494" s="685">
        <f t="shared" si="641"/>
        <v>38322.002328288705</v>
      </c>
    </row>
    <row r="1495" spans="1:10" s="71" customFormat="1" x14ac:dyDescent="0.25">
      <c r="A1495" s="627" t="s">
        <v>24</v>
      </c>
      <c r="B1495" s="450">
        <f t="shared" ref="B1495:J1495" si="642">B1505/B1482</f>
        <v>30648.351648351647</v>
      </c>
      <c r="C1495" s="130">
        <f t="shared" si="642"/>
        <v>31395.049504950493</v>
      </c>
      <c r="D1495" s="130">
        <f t="shared" si="642"/>
        <v>29693.258426966298</v>
      </c>
      <c r="E1495" s="130">
        <f t="shared" si="642"/>
        <v>30040.98360655738</v>
      </c>
      <c r="F1495" s="130">
        <f t="shared" si="642"/>
        <v>29780.630630630636</v>
      </c>
      <c r="G1495" s="130">
        <f t="shared" si="642"/>
        <v>31103.669724770647</v>
      </c>
      <c r="H1495" s="130">
        <f t="shared" si="642"/>
        <v>30500.42016806723</v>
      </c>
      <c r="I1495" s="130">
        <f t="shared" si="642"/>
        <v>30451.988899167438</v>
      </c>
      <c r="J1495" s="685">
        <f t="shared" si="642"/>
        <v>30451.988899167438</v>
      </c>
    </row>
    <row r="1496" spans="1:10" s="71" customFormat="1" x14ac:dyDescent="0.25">
      <c r="A1496" s="622" t="s">
        <v>25</v>
      </c>
      <c r="B1496" s="451">
        <f t="shared" ref="B1496:H1496" si="643">B1501*B1489</f>
        <v>1907933.7362068966</v>
      </c>
      <c r="C1496" s="92">
        <f t="shared" si="643"/>
        <v>2174885.5655172411</v>
      </c>
      <c r="D1496" s="92">
        <f t="shared" si="643"/>
        <v>1674557.2344827589</v>
      </c>
      <c r="E1496" s="92">
        <f t="shared" si="643"/>
        <v>2617510.5000000005</v>
      </c>
      <c r="F1496" s="92">
        <f t="shared" si="643"/>
        <v>4593537.3189655179</v>
      </c>
      <c r="G1496" s="92">
        <f t="shared" si="643"/>
        <v>4237737.0689655179</v>
      </c>
      <c r="H1496" s="92">
        <f t="shared" si="643"/>
        <v>5144349.0000000009</v>
      </c>
      <c r="I1496" s="92">
        <f>'NOGAL '!$B1496+'NOGAL '!$C1496+'NOGAL '!$D1496+'NOGAL '!$E1496+'NOGAL '!$F1496+'NOGAL '!$G1496+'NOGAL '!$H1496</f>
        <v>22350510.424137931</v>
      </c>
      <c r="J1496" s="715">
        <f>'NOGAL '!$I1496/7</f>
        <v>3192930.0605911328</v>
      </c>
    </row>
    <row r="1497" spans="1:10" s="71" customFormat="1" x14ac:dyDescent="0.25">
      <c r="A1497" s="622" t="s">
        <v>26</v>
      </c>
      <c r="B1497" s="451">
        <f t="shared" ref="B1497:H1497" si="644">B1501*B1490</f>
        <v>22987.153448275865</v>
      </c>
      <c r="C1497" s="92">
        <f t="shared" si="644"/>
        <v>0</v>
      </c>
      <c r="D1497" s="92">
        <f t="shared" si="644"/>
        <v>108737.48275862071</v>
      </c>
      <c r="E1497" s="92">
        <f t="shared" si="644"/>
        <v>30086.327586206902</v>
      </c>
      <c r="F1497" s="92">
        <f t="shared" si="644"/>
        <v>54041.615517241386</v>
      </c>
      <c r="G1497" s="92">
        <f t="shared" si="644"/>
        <v>111519.39655172416</v>
      </c>
      <c r="H1497" s="92">
        <f t="shared" si="644"/>
        <v>59130.44827586208</v>
      </c>
      <c r="I1497" s="92">
        <f>'NOGAL '!$B1497+'NOGAL '!$C1497+'NOGAL '!$D1497+'NOGAL '!$E1497+'NOGAL '!$F1497+'NOGAL '!$G1497+'NOGAL '!$H1497</f>
        <v>386502.42413793108</v>
      </c>
      <c r="J1497" s="715">
        <f>'NOGAL '!$I1497/7</f>
        <v>55214.632019704441</v>
      </c>
    </row>
    <row r="1498" spans="1:10" s="71" customFormat="1" x14ac:dyDescent="0.25">
      <c r="A1498" s="622" t="s">
        <v>27</v>
      </c>
      <c r="B1498" s="451">
        <f t="shared" ref="B1498:H1498" si="645">B1501*B1491</f>
        <v>298832.99482758623</v>
      </c>
      <c r="C1498" s="92">
        <f t="shared" si="645"/>
        <v>388372.4224137931</v>
      </c>
      <c r="D1498" s="92">
        <f t="shared" si="645"/>
        <v>304464.95172413799</v>
      </c>
      <c r="E1498" s="92">
        <f t="shared" si="645"/>
        <v>361035.93103448278</v>
      </c>
      <c r="F1498" s="92">
        <f t="shared" si="645"/>
        <v>702541.00172413804</v>
      </c>
      <c r="G1498" s="92">
        <f t="shared" si="645"/>
        <v>836395.47413793113</v>
      </c>
      <c r="H1498" s="92">
        <f t="shared" si="645"/>
        <v>650434.93103448278</v>
      </c>
      <c r="I1498" s="92">
        <f>'NOGAL '!$B1498+'NOGAL '!$C1498+'NOGAL '!$D1498+'NOGAL '!$E1498+'NOGAL '!$F1498+'NOGAL '!$G1498+'NOGAL '!$H1498</f>
        <v>3542077.7068965519</v>
      </c>
      <c r="J1498" s="715">
        <f>'NOGAL '!$I1498/7</f>
        <v>506011.10098522168</v>
      </c>
    </row>
    <row r="1499" spans="1:10" s="71" customFormat="1" x14ac:dyDescent="0.25">
      <c r="A1499" s="622" t="s">
        <v>28</v>
      </c>
      <c r="B1499" s="451">
        <f t="shared" ref="B1499:H1499" si="646">B1501*B1492</f>
        <v>68961.460344827588</v>
      </c>
      <c r="C1499" s="92">
        <f t="shared" si="646"/>
        <v>25891.494827586208</v>
      </c>
      <c r="D1499" s="92">
        <f t="shared" si="646"/>
        <v>86989.986206896574</v>
      </c>
      <c r="E1499" s="92">
        <f t="shared" si="646"/>
        <v>0</v>
      </c>
      <c r="F1499" s="92">
        <f t="shared" si="646"/>
        <v>54041.615517241386</v>
      </c>
      <c r="G1499" s="92">
        <f t="shared" si="646"/>
        <v>334558.18965517246</v>
      </c>
      <c r="H1499" s="92">
        <f t="shared" si="646"/>
        <v>59130.44827586208</v>
      </c>
      <c r="I1499" s="92">
        <f>'NOGAL '!$B1499+'NOGAL '!$C1499+'NOGAL '!$D1499+'NOGAL '!$E1499+'NOGAL '!$F1499+'NOGAL '!$G1499+'NOGAL '!$H1499</f>
        <v>629573.1948275863</v>
      </c>
      <c r="J1499" s="715">
        <f>'NOGAL '!$I1499/7</f>
        <v>89939.027832512322</v>
      </c>
    </row>
    <row r="1500" spans="1:10" s="71" customFormat="1" x14ac:dyDescent="0.25">
      <c r="A1500" s="622" t="s">
        <v>29</v>
      </c>
      <c r="B1500" s="451">
        <f t="shared" ref="B1500:H1500" si="647">B1501*B1493</f>
        <v>0</v>
      </c>
      <c r="C1500" s="92">
        <f t="shared" si="647"/>
        <v>0</v>
      </c>
      <c r="D1500" s="92">
        <f t="shared" si="647"/>
        <v>0</v>
      </c>
      <c r="E1500" s="92">
        <f t="shared" si="647"/>
        <v>0</v>
      </c>
      <c r="F1500" s="92">
        <f t="shared" si="647"/>
        <v>0</v>
      </c>
      <c r="G1500" s="92">
        <f t="shared" si="647"/>
        <v>55759.69827586208</v>
      </c>
      <c r="H1500" s="92">
        <f t="shared" si="647"/>
        <v>0</v>
      </c>
      <c r="I1500" s="92">
        <f>'NOGAL '!$B1500+'NOGAL '!$C1500+'NOGAL '!$D1500+'NOGAL '!$E1500+'NOGAL '!$F1500+'NOGAL '!$G1500+'NOGAL '!$H1500</f>
        <v>55759.69827586208</v>
      </c>
      <c r="J1500" s="715">
        <f>'NOGAL '!$I1500/7</f>
        <v>7965.6711822660118</v>
      </c>
    </row>
    <row r="1501" spans="1:10" s="71" customFormat="1" x14ac:dyDescent="0.25">
      <c r="A1501" s="630" t="s">
        <v>30</v>
      </c>
      <c r="B1501" s="237">
        <f>(2789000/1.16)-B1502</f>
        <v>2298715.3448275863</v>
      </c>
      <c r="C1501" s="237">
        <f>(3170900/1.16)-C1502</f>
        <v>2589149.4827586208</v>
      </c>
      <c r="D1501" s="237">
        <f>(2642700/1.16)-D1502</f>
        <v>2174749.6551724141</v>
      </c>
      <c r="E1501" s="237">
        <f>(3665000/1.16)-E1502</f>
        <v>3008632.7586206901</v>
      </c>
      <c r="F1501" s="237">
        <f>(6611300/1.16)-F1502</f>
        <v>5404161.5517241387</v>
      </c>
      <c r="G1501" s="237">
        <f>(6780600/1.16)-G1502</f>
        <v>5575969.8275862075</v>
      </c>
      <c r="H1501" s="237">
        <f>(7259100/1.16)-H1502</f>
        <v>5913044.8275862075</v>
      </c>
      <c r="I1501" s="91">
        <f>SUM(I1496:I1500)</f>
        <v>26964423.44827586</v>
      </c>
      <c r="J1501" s="716">
        <f>'NOGAL '!$I1501/7</f>
        <v>3852060.4926108373</v>
      </c>
    </row>
    <row r="1502" spans="1:10" s="71" customFormat="1" x14ac:dyDescent="0.25">
      <c r="A1502" s="622" t="s">
        <v>31</v>
      </c>
      <c r="B1502" s="452">
        <f t="shared" ref="B1502:G1502" si="648">2155*B1483</f>
        <v>105595</v>
      </c>
      <c r="C1502" s="94">
        <f t="shared" si="648"/>
        <v>144385</v>
      </c>
      <c r="D1502" s="94">
        <f t="shared" si="648"/>
        <v>103440</v>
      </c>
      <c r="E1502" s="94">
        <f t="shared" si="648"/>
        <v>150850</v>
      </c>
      <c r="F1502" s="94">
        <f t="shared" si="648"/>
        <v>295235</v>
      </c>
      <c r="G1502" s="94">
        <f t="shared" si="648"/>
        <v>269375</v>
      </c>
      <c r="H1502" s="94">
        <f>2155*H1483</f>
        <v>344800</v>
      </c>
      <c r="I1502" s="94">
        <f>2155*I1483</f>
        <v>1413680</v>
      </c>
      <c r="J1502" s="717">
        <f>2155*J1483</f>
        <v>201954.28571428571</v>
      </c>
    </row>
    <row r="1503" spans="1:10" s="71" customFormat="1" x14ac:dyDescent="0.25">
      <c r="A1503" s="633" t="s">
        <v>32</v>
      </c>
      <c r="B1503" s="453">
        <f>B1501+B1502</f>
        <v>2404310.3448275863</v>
      </c>
      <c r="C1503" s="39">
        <f>C1501+C1502</f>
        <v>2733534.4827586208</v>
      </c>
      <c r="D1503" s="39">
        <f t="shared" ref="D1503:J1503" si="649">D1501+D1502</f>
        <v>2278189.6551724141</v>
      </c>
      <c r="E1503" s="39">
        <f t="shared" si="649"/>
        <v>3159482.7586206901</v>
      </c>
      <c r="F1503" s="39">
        <f t="shared" si="649"/>
        <v>5699396.5517241387</v>
      </c>
      <c r="G1503" s="39">
        <f t="shared" si="649"/>
        <v>5845344.8275862075</v>
      </c>
      <c r="H1503" s="39">
        <f t="shared" si="649"/>
        <v>6257844.8275862075</v>
      </c>
      <c r="I1503" s="39">
        <f t="shared" si="649"/>
        <v>28378103.44827586</v>
      </c>
      <c r="J1503" s="718">
        <f t="shared" si="649"/>
        <v>4054014.7783251232</v>
      </c>
    </row>
    <row r="1504" spans="1:10" s="71" customFormat="1" x14ac:dyDescent="0.25">
      <c r="A1504" s="622" t="s">
        <v>33</v>
      </c>
      <c r="B1504" s="454">
        <f>B1503*16%</f>
        <v>384689.6551724138</v>
      </c>
      <c r="C1504" s="41">
        <f>C1503*16%</f>
        <v>437365.5172413793</v>
      </c>
      <c r="D1504" s="41">
        <f t="shared" ref="D1504:J1504" si="650">D1503*16%</f>
        <v>364510.34482758626</v>
      </c>
      <c r="E1504" s="41">
        <f t="shared" si="650"/>
        <v>505517.24137931044</v>
      </c>
      <c r="F1504" s="41">
        <f t="shared" si="650"/>
        <v>911903.44827586226</v>
      </c>
      <c r="G1504" s="41">
        <f t="shared" si="650"/>
        <v>935255.17241379328</v>
      </c>
      <c r="H1504" s="41">
        <f t="shared" si="650"/>
        <v>1001255.1724137933</v>
      </c>
      <c r="I1504" s="41">
        <f t="shared" si="650"/>
        <v>4540496.5517241377</v>
      </c>
      <c r="J1504" s="719">
        <f t="shared" si="650"/>
        <v>648642.36453201971</v>
      </c>
    </row>
    <row r="1505" spans="1:10" s="71" customFormat="1" ht="15.75" thickBot="1" x14ac:dyDescent="0.3">
      <c r="A1505" s="636" t="s">
        <v>34</v>
      </c>
      <c r="B1505" s="637">
        <f t="shared" ref="B1505:H1505" si="651">B1503+B1504</f>
        <v>2789000</v>
      </c>
      <c r="C1505" s="686">
        <f t="shared" si="651"/>
        <v>3170900</v>
      </c>
      <c r="D1505" s="686">
        <f t="shared" si="651"/>
        <v>2642700.0000000005</v>
      </c>
      <c r="E1505" s="686">
        <f t="shared" si="651"/>
        <v>3665000.0000000005</v>
      </c>
      <c r="F1505" s="686">
        <f t="shared" si="651"/>
        <v>6611300.0000000009</v>
      </c>
      <c r="G1505" s="686">
        <f t="shared" si="651"/>
        <v>6780600.0000000009</v>
      </c>
      <c r="H1505" s="686">
        <f t="shared" si="651"/>
        <v>7259100.0000000009</v>
      </c>
      <c r="I1505" s="686">
        <f>+I1503+I1504</f>
        <v>32918600</v>
      </c>
      <c r="J1505" s="720">
        <f>'NOGAL '!$I1505/7</f>
        <v>4702657.1428571427</v>
      </c>
    </row>
    <row r="1506" spans="1:10" s="71" customFormat="1" ht="15.75" thickBot="1" x14ac:dyDescent="0.3">
      <c r="A1506" s="69"/>
      <c r="B1506" s="424"/>
      <c r="C1506" s="424"/>
      <c r="D1506" s="424"/>
      <c r="E1506" s="424"/>
      <c r="F1506" s="424"/>
      <c r="G1506" s="424"/>
      <c r="H1506" s="424"/>
      <c r="I1506" s="424"/>
      <c r="J1506" s="424"/>
    </row>
    <row r="1507" spans="1:10" s="71" customFormat="1" ht="27" thickBot="1" x14ac:dyDescent="0.3">
      <c r="A1507" s="85"/>
      <c r="B1507" s="1002" t="s">
        <v>396</v>
      </c>
      <c r="C1507" s="1002"/>
      <c r="D1507" s="1002"/>
      <c r="E1507" s="1002"/>
      <c r="F1507" s="1002"/>
      <c r="G1507" s="1002"/>
      <c r="H1507" s="1002"/>
      <c r="I1507" s="1002"/>
      <c r="J1507" s="85"/>
    </row>
    <row r="1508" spans="1:10" s="71" customFormat="1" ht="15.75" x14ac:dyDescent="0.25">
      <c r="A1508" s="614" t="s">
        <v>2</v>
      </c>
      <c r="B1508" s="641" t="s">
        <v>209</v>
      </c>
      <c r="C1508" s="641" t="s">
        <v>242</v>
      </c>
      <c r="D1508" s="641" t="s">
        <v>243</v>
      </c>
      <c r="E1508" s="641" t="s">
        <v>244</v>
      </c>
      <c r="F1508" s="641" t="s">
        <v>245</v>
      </c>
      <c r="G1508" s="641" t="s">
        <v>246</v>
      </c>
      <c r="H1508" s="641" t="s">
        <v>247</v>
      </c>
      <c r="I1508" s="618" t="s">
        <v>10</v>
      </c>
      <c r="J1508" s="711" t="s">
        <v>77</v>
      </c>
    </row>
    <row r="1509" spans="1:10" s="71" customFormat="1" x14ac:dyDescent="0.25">
      <c r="A1509" s="620" t="s">
        <v>11</v>
      </c>
      <c r="B1509" s="433">
        <f>61+16+9</f>
        <v>86</v>
      </c>
      <c r="C1509" s="75">
        <f>57+19+7</f>
        <v>83</v>
      </c>
      <c r="D1509" s="75">
        <f>47+26+7</f>
        <v>80</v>
      </c>
      <c r="E1509" s="316">
        <f>83+24+16</f>
        <v>123</v>
      </c>
      <c r="F1509" s="316">
        <f>75+20+4</f>
        <v>99</v>
      </c>
      <c r="G1509" s="316">
        <f>118+48+25</f>
        <v>191</v>
      </c>
      <c r="H1509" s="316">
        <f>120+57+28</f>
        <v>205</v>
      </c>
      <c r="I1509" s="316">
        <f>SUM(B1509:H1509)</f>
        <v>867</v>
      </c>
      <c r="J1509" s="712">
        <f>'NOGAL '!$I1509/7</f>
        <v>123.85714285714286</v>
      </c>
    </row>
    <row r="1510" spans="1:10" s="71" customFormat="1" x14ac:dyDescent="0.25">
      <c r="A1510" s="622" t="s">
        <v>12</v>
      </c>
      <c r="B1510" s="448">
        <v>45</v>
      </c>
      <c r="C1510" s="86">
        <v>45</v>
      </c>
      <c r="D1510" s="11">
        <v>48</v>
      </c>
      <c r="E1510" s="86">
        <v>63</v>
      </c>
      <c r="F1510" s="86">
        <v>66</v>
      </c>
      <c r="G1510" s="86">
        <v>177</v>
      </c>
      <c r="H1510" s="11">
        <v>122</v>
      </c>
      <c r="I1510" s="11">
        <f>B1510+C1510+D1510+E1510+F1510+G1510+H1510</f>
        <v>566</v>
      </c>
      <c r="J1510" s="684">
        <f>'NOGAL '!$I1510/7</f>
        <v>80.857142857142861</v>
      </c>
    </row>
    <row r="1511" spans="1:10" s="71" customFormat="1" x14ac:dyDescent="0.25">
      <c r="A1511" s="622" t="s">
        <v>13</v>
      </c>
      <c r="B1511" s="448">
        <v>0</v>
      </c>
      <c r="C1511" s="11">
        <v>1</v>
      </c>
      <c r="D1511" s="11">
        <v>0</v>
      </c>
      <c r="E1511" s="11">
        <v>0</v>
      </c>
      <c r="F1511" s="11">
        <v>19</v>
      </c>
      <c r="G1511" s="11">
        <v>20</v>
      </c>
      <c r="H1511" s="11">
        <v>4</v>
      </c>
      <c r="I1511" s="11">
        <f>B1511+C1511+D1511+E1511+F1511+G1511+H1511</f>
        <v>44</v>
      </c>
      <c r="J1511" s="684">
        <f>C1511+D1511+E1511+F1511+G1511+H1511+I1511</f>
        <v>88</v>
      </c>
    </row>
    <row r="1512" spans="1:10" s="71" customFormat="1" x14ac:dyDescent="0.25">
      <c r="A1512" s="622" t="s">
        <v>14</v>
      </c>
      <c r="B1512" s="448">
        <v>15</v>
      </c>
      <c r="C1512" s="11">
        <v>15</v>
      </c>
      <c r="D1512" s="11">
        <v>19</v>
      </c>
      <c r="E1512" s="11">
        <v>28</v>
      </c>
      <c r="F1512" s="11">
        <v>2</v>
      </c>
      <c r="G1512" s="11">
        <v>4</v>
      </c>
      <c r="H1512" s="11">
        <v>23</v>
      </c>
      <c r="I1512" s="11">
        <f>B1512+C1512+D1512+E1512+F1512+G1512+H1512</f>
        <v>106</v>
      </c>
      <c r="J1512" s="684">
        <f>'NOGAL '!$I1512/7</f>
        <v>15.142857142857142</v>
      </c>
    </row>
    <row r="1513" spans="1:10" s="71" customFormat="1" x14ac:dyDescent="0.25">
      <c r="A1513" s="622" t="s">
        <v>15</v>
      </c>
      <c r="B1513" s="448">
        <v>3</v>
      </c>
      <c r="C1513" s="11">
        <v>0</v>
      </c>
      <c r="D1513" s="11">
        <v>0</v>
      </c>
      <c r="E1513" s="11">
        <v>4</v>
      </c>
      <c r="F1513" s="11">
        <v>6</v>
      </c>
      <c r="G1513" s="11">
        <v>8</v>
      </c>
      <c r="H1513" s="11">
        <v>7</v>
      </c>
      <c r="I1513" s="11">
        <f>B1513+C1513+D1513+E1513+F1513+G1513+H1513</f>
        <v>28</v>
      </c>
      <c r="J1513" s="684">
        <f>'NOGAL '!$I1513/7</f>
        <v>4</v>
      </c>
    </row>
    <row r="1514" spans="1:10" s="71" customFormat="1" x14ac:dyDescent="0.25">
      <c r="A1514" s="622" t="s">
        <v>16</v>
      </c>
      <c r="B1514" s="448">
        <v>0</v>
      </c>
      <c r="C1514" s="11">
        <v>0</v>
      </c>
      <c r="D1514" s="11">
        <v>0</v>
      </c>
      <c r="E1514" s="11">
        <v>0</v>
      </c>
      <c r="F1514" s="11">
        <v>0</v>
      </c>
      <c r="G1514" s="11">
        <v>0</v>
      </c>
      <c r="H1514" s="11">
        <v>0</v>
      </c>
      <c r="I1514" s="11">
        <f>B1514+C1514+D1514+E1514+F1514+G1514+H1514</f>
        <v>0</v>
      </c>
      <c r="J1514" s="684">
        <f>'NOGAL '!$I1514/7</f>
        <v>0</v>
      </c>
    </row>
    <row r="1515" spans="1:10" s="71" customFormat="1" x14ac:dyDescent="0.25">
      <c r="A1515" s="624" t="s">
        <v>17</v>
      </c>
      <c r="B1515" s="102">
        <f t="shared" ref="B1515:I1515" si="652">SUM(B1510:B1514)</f>
        <v>63</v>
      </c>
      <c r="C1515" s="103">
        <f t="shared" si="652"/>
        <v>61</v>
      </c>
      <c r="D1515" s="103">
        <f t="shared" si="652"/>
        <v>67</v>
      </c>
      <c r="E1515" s="103">
        <f t="shared" si="652"/>
        <v>95</v>
      </c>
      <c r="F1515" s="103">
        <f t="shared" si="652"/>
        <v>93</v>
      </c>
      <c r="G1515" s="103">
        <f t="shared" si="652"/>
        <v>209</v>
      </c>
      <c r="H1515" s="103">
        <f t="shared" si="652"/>
        <v>156</v>
      </c>
      <c r="I1515" s="103">
        <f t="shared" si="652"/>
        <v>744</v>
      </c>
      <c r="J1515" s="713">
        <f>'NOGAL '!$I1515/7</f>
        <v>106.28571428571429</v>
      </c>
    </row>
    <row r="1516" spans="1:10" s="71" customFormat="1" x14ac:dyDescent="0.25">
      <c r="A1516" s="622" t="s">
        <v>18</v>
      </c>
      <c r="B1516" s="449">
        <v>0.81</v>
      </c>
      <c r="C1516" s="236">
        <v>0.8</v>
      </c>
      <c r="D1516" s="236">
        <v>0.78</v>
      </c>
      <c r="E1516" s="236">
        <v>0.77</v>
      </c>
      <c r="F1516" s="236">
        <v>0.81</v>
      </c>
      <c r="G1516" s="236">
        <v>0.87</v>
      </c>
      <c r="H1516" s="236">
        <v>0.82</v>
      </c>
      <c r="I1516" s="18">
        <f>I1523/I1528</f>
        <v>0.82123428933649867</v>
      </c>
      <c r="J1516" s="714">
        <f>J1523/J1528</f>
        <v>0.82123428933649867</v>
      </c>
    </row>
    <row r="1517" spans="1:10" s="71" customFormat="1" x14ac:dyDescent="0.25">
      <c r="A1517" s="622" t="s">
        <v>19</v>
      </c>
      <c r="B1517" s="449">
        <v>0</v>
      </c>
      <c r="C1517" s="236">
        <v>0</v>
      </c>
      <c r="D1517" s="236">
        <v>0</v>
      </c>
      <c r="E1517" s="236">
        <v>0</v>
      </c>
      <c r="F1517" s="236">
        <v>0.04</v>
      </c>
      <c r="G1517" s="236">
        <v>0.01</v>
      </c>
      <c r="H1517" s="236">
        <v>0.03</v>
      </c>
      <c r="I1517" s="18">
        <f>I1524/I1528</f>
        <v>1.4136774635102593E-2</v>
      </c>
      <c r="J1517" s="714">
        <f>J1524/J1528</f>
        <v>1.4136774635102593E-2</v>
      </c>
    </row>
    <row r="1518" spans="1:10" s="71" customFormat="1" x14ac:dyDescent="0.25">
      <c r="A1518" s="622" t="s">
        <v>20</v>
      </c>
      <c r="B1518" s="449">
        <v>0.17</v>
      </c>
      <c r="C1518" s="236">
        <v>0.2</v>
      </c>
      <c r="D1518" s="236">
        <v>0.22</v>
      </c>
      <c r="E1518" s="236">
        <v>0.21</v>
      </c>
      <c r="F1518" s="236">
        <v>0.13</v>
      </c>
      <c r="G1518" s="236">
        <v>0.08</v>
      </c>
      <c r="H1518" s="236">
        <v>0.1</v>
      </c>
      <c r="I1518" s="18">
        <f>I1525/I1528</f>
        <v>0.13593646894802908</v>
      </c>
      <c r="J1518" s="714">
        <f>J1525/J1528</f>
        <v>0.13593646894802908</v>
      </c>
    </row>
    <row r="1519" spans="1:10" s="71" customFormat="1" x14ac:dyDescent="0.25">
      <c r="A1519" s="622" t="s">
        <v>21</v>
      </c>
      <c r="B1519" s="449">
        <v>0.02</v>
      </c>
      <c r="C1519" s="236">
        <v>0</v>
      </c>
      <c r="D1519" s="236">
        <v>0</v>
      </c>
      <c r="E1519" s="236">
        <v>0.02</v>
      </c>
      <c r="F1519" s="236">
        <v>0.02</v>
      </c>
      <c r="G1519" s="236">
        <v>0.04</v>
      </c>
      <c r="H1519" s="236">
        <v>0.05</v>
      </c>
      <c r="I1519" s="18">
        <f>I1526/I1528</f>
        <v>2.8692467080369783E-2</v>
      </c>
      <c r="J1519" s="714">
        <f>J1526/J1528</f>
        <v>2.869246708036978E-2</v>
      </c>
    </row>
    <row r="1520" spans="1:10" s="71" customFormat="1" x14ac:dyDescent="0.25">
      <c r="A1520" s="622" t="s">
        <v>22</v>
      </c>
      <c r="B1520" s="449">
        <v>0</v>
      </c>
      <c r="C1520" s="236">
        <v>0</v>
      </c>
      <c r="D1520" s="236">
        <v>0</v>
      </c>
      <c r="E1520" s="236">
        <v>0</v>
      </c>
      <c r="F1520" s="236">
        <v>0</v>
      </c>
      <c r="G1520" s="236">
        <v>0</v>
      </c>
      <c r="H1520" s="236">
        <v>0</v>
      </c>
      <c r="I1520" s="18">
        <f>I1527/I1528</f>
        <v>0</v>
      </c>
      <c r="J1520" s="714">
        <f>J1527/J1528</f>
        <v>0</v>
      </c>
    </row>
    <row r="1521" spans="1:10" s="71" customFormat="1" x14ac:dyDescent="0.25">
      <c r="A1521" s="627" t="s">
        <v>23</v>
      </c>
      <c r="B1521" s="450">
        <f t="shared" ref="B1521:J1521" si="653">B1532/B1515</f>
        <v>37566.666666666672</v>
      </c>
      <c r="C1521" s="130">
        <f t="shared" si="653"/>
        <v>37183.606557377047</v>
      </c>
      <c r="D1521" s="130">
        <f t="shared" si="653"/>
        <v>36837.313432835828</v>
      </c>
      <c r="E1521" s="130">
        <f t="shared" si="653"/>
        <v>37107.368421052633</v>
      </c>
      <c r="F1521" s="130">
        <f t="shared" si="653"/>
        <v>38286.021505376346</v>
      </c>
      <c r="G1521" s="130">
        <f t="shared" si="653"/>
        <v>39936.84210526316</v>
      </c>
      <c r="H1521" s="130">
        <f t="shared" si="653"/>
        <v>37524.358974358984</v>
      </c>
      <c r="I1521" s="130">
        <f t="shared" si="653"/>
        <v>38157.795698924732</v>
      </c>
      <c r="J1521" s="685">
        <f t="shared" si="653"/>
        <v>38157.795698924725</v>
      </c>
    </row>
    <row r="1522" spans="1:10" s="71" customFormat="1" x14ac:dyDescent="0.25">
      <c r="A1522" s="627" t="s">
        <v>24</v>
      </c>
      <c r="B1522" s="450">
        <f t="shared" ref="B1522:J1522" si="654">B1532/B1509</f>
        <v>27519.767441860469</v>
      </c>
      <c r="C1522" s="130">
        <f t="shared" si="654"/>
        <v>27327.710843373494</v>
      </c>
      <c r="D1522" s="130">
        <f t="shared" si="654"/>
        <v>30851.250000000007</v>
      </c>
      <c r="E1522" s="130">
        <f t="shared" si="654"/>
        <v>28660.16260162602</v>
      </c>
      <c r="F1522" s="130">
        <f t="shared" si="654"/>
        <v>35965.656565656573</v>
      </c>
      <c r="G1522" s="130">
        <f t="shared" si="654"/>
        <v>43700.523560209425</v>
      </c>
      <c r="H1522" s="130">
        <f t="shared" si="654"/>
        <v>28555.121951219517</v>
      </c>
      <c r="I1522" s="130">
        <f t="shared" si="654"/>
        <v>32744.405997693197</v>
      </c>
      <c r="J1522" s="685">
        <f t="shared" si="654"/>
        <v>32744.405997693193</v>
      </c>
    </row>
    <row r="1523" spans="1:10" s="71" customFormat="1" x14ac:dyDescent="0.25">
      <c r="A1523" s="622" t="s">
        <v>25</v>
      </c>
      <c r="B1523" s="451">
        <f t="shared" ref="B1523:H1523" si="655">B1528*B1516</f>
        <v>1574059.732758621</v>
      </c>
      <c r="C1523" s="92">
        <f t="shared" si="655"/>
        <v>1486695.8620689658</v>
      </c>
      <c r="D1523" s="92">
        <f t="shared" si="655"/>
        <v>1578901.282758621</v>
      </c>
      <c r="E1523" s="92">
        <f t="shared" si="655"/>
        <v>2235464.3982758624</v>
      </c>
      <c r="F1523" s="92">
        <f t="shared" si="655"/>
        <v>2371074.7344827591</v>
      </c>
      <c r="G1523" s="92">
        <f t="shared" si="655"/>
        <v>5928251.5499999998</v>
      </c>
      <c r="H1523" s="92">
        <f t="shared" si="655"/>
        <v>3922444.8344827588</v>
      </c>
      <c r="I1523" s="92">
        <f>'NOGAL '!$B1523+'NOGAL '!$C1523+'NOGAL '!$D1523+'NOGAL '!$E1523+'NOGAL '!$F1523+'NOGAL '!$G1523+'NOGAL '!$H1523</f>
        <v>19096892.394827589</v>
      </c>
      <c r="J1523" s="715">
        <f>'NOGAL '!$I1523/7</f>
        <v>2728127.4849753701</v>
      </c>
    </row>
    <row r="1524" spans="1:10" s="71" customFormat="1" x14ac:dyDescent="0.25">
      <c r="A1524" s="622" t="s">
        <v>26</v>
      </c>
      <c r="B1524" s="451">
        <f t="shared" ref="B1524:H1524" si="656">B1528*B1517</f>
        <v>0</v>
      </c>
      <c r="C1524" s="92">
        <f t="shared" si="656"/>
        <v>0</v>
      </c>
      <c r="D1524" s="92">
        <f t="shared" si="656"/>
        <v>0</v>
      </c>
      <c r="E1524" s="92">
        <f t="shared" si="656"/>
        <v>0</v>
      </c>
      <c r="F1524" s="92">
        <f t="shared" si="656"/>
        <v>117090.11034482761</v>
      </c>
      <c r="G1524" s="92">
        <f t="shared" si="656"/>
        <v>68140.82241379311</v>
      </c>
      <c r="H1524" s="92">
        <f t="shared" si="656"/>
        <v>143504.07931034485</v>
      </c>
      <c r="I1524" s="92">
        <f>'NOGAL '!$B1524+'NOGAL '!$C1524+'NOGAL '!$D1524+'NOGAL '!$E1524+'NOGAL '!$F1524+'NOGAL '!$G1524+'NOGAL '!$H1524</f>
        <v>328735.01206896559</v>
      </c>
      <c r="J1524" s="715">
        <f>'NOGAL '!$I1524/7</f>
        <v>46962.144581280802</v>
      </c>
    </row>
    <row r="1525" spans="1:10" s="71" customFormat="1" x14ac:dyDescent="0.25">
      <c r="A1525" s="622" t="s">
        <v>27</v>
      </c>
      <c r="B1525" s="451">
        <f t="shared" ref="B1525:H1525" si="657">B1528*B1518</f>
        <v>330358.21551724145</v>
      </c>
      <c r="C1525" s="92">
        <f t="shared" si="657"/>
        <v>371673.96551724145</v>
      </c>
      <c r="D1525" s="92">
        <f t="shared" si="657"/>
        <v>445331.13103448285</v>
      </c>
      <c r="E1525" s="92">
        <f t="shared" si="657"/>
        <v>609672.10862068972</v>
      </c>
      <c r="F1525" s="92">
        <f t="shared" si="657"/>
        <v>380542.85862068972</v>
      </c>
      <c r="G1525" s="92">
        <f t="shared" si="657"/>
        <v>545126.57931034488</v>
      </c>
      <c r="H1525" s="92">
        <f t="shared" si="657"/>
        <v>478346.93103448284</v>
      </c>
      <c r="I1525" s="92">
        <f>'NOGAL '!$B1525+'NOGAL '!$C1525+'NOGAL '!$D1525+'NOGAL '!$E1525+'NOGAL '!$F1525+'NOGAL '!$G1525+'NOGAL '!$H1525</f>
        <v>3161051.7896551732</v>
      </c>
      <c r="J1525" s="715">
        <f>'NOGAL '!$I1525/7</f>
        <v>451578.82709359616</v>
      </c>
    </row>
    <row r="1526" spans="1:10" s="71" customFormat="1" x14ac:dyDescent="0.25">
      <c r="A1526" s="622" t="s">
        <v>28</v>
      </c>
      <c r="B1526" s="451">
        <f t="shared" ref="B1526:H1526" si="658">B1528*B1519</f>
        <v>38865.672413793109</v>
      </c>
      <c r="C1526" s="92">
        <f t="shared" si="658"/>
        <v>0</v>
      </c>
      <c r="D1526" s="92">
        <f t="shared" si="658"/>
        <v>0</v>
      </c>
      <c r="E1526" s="92">
        <f t="shared" si="658"/>
        <v>58064.010344827599</v>
      </c>
      <c r="F1526" s="92">
        <f t="shared" si="658"/>
        <v>58545.055172413806</v>
      </c>
      <c r="G1526" s="92">
        <f t="shared" si="658"/>
        <v>272563.28965517244</v>
      </c>
      <c r="H1526" s="92">
        <f t="shared" si="658"/>
        <v>239173.46551724142</v>
      </c>
      <c r="I1526" s="92">
        <f>'NOGAL '!$B1526+'NOGAL '!$C1526+'NOGAL '!$D1526+'NOGAL '!$E1526+'NOGAL '!$F1526+'NOGAL '!$G1526+'NOGAL '!$H1526</f>
        <v>667211.49310344842</v>
      </c>
      <c r="J1526" s="715">
        <f>'NOGAL '!$I1526/7</f>
        <v>95315.927586206919</v>
      </c>
    </row>
    <row r="1527" spans="1:10" s="71" customFormat="1" x14ac:dyDescent="0.25">
      <c r="A1527" s="622" t="s">
        <v>29</v>
      </c>
      <c r="B1527" s="451">
        <f t="shared" ref="B1527:H1527" si="659">B1528*B1520</f>
        <v>0</v>
      </c>
      <c r="C1527" s="92">
        <f t="shared" si="659"/>
        <v>0</v>
      </c>
      <c r="D1527" s="92">
        <f t="shared" si="659"/>
        <v>0</v>
      </c>
      <c r="E1527" s="92">
        <f t="shared" si="659"/>
        <v>0</v>
      </c>
      <c r="F1527" s="92">
        <f t="shared" si="659"/>
        <v>0</v>
      </c>
      <c r="G1527" s="92">
        <f t="shared" si="659"/>
        <v>0</v>
      </c>
      <c r="H1527" s="92">
        <f t="shared" si="659"/>
        <v>0</v>
      </c>
      <c r="I1527" s="92">
        <f>'NOGAL '!$B1527+'NOGAL '!$C1527+'NOGAL '!$D1527+'NOGAL '!$E1527+'NOGAL '!$F1527+'NOGAL '!$G1527+'NOGAL '!$H1527</f>
        <v>0</v>
      </c>
      <c r="J1527" s="715">
        <f>'NOGAL '!$I1527/7</f>
        <v>0</v>
      </c>
    </row>
    <row r="1528" spans="1:10" s="71" customFormat="1" x14ac:dyDescent="0.25">
      <c r="A1528" s="630" t="s">
        <v>30</v>
      </c>
      <c r="B1528" s="237">
        <f>(2366700/1.16)-B1529</f>
        <v>1943283.6206896554</v>
      </c>
      <c r="C1528" s="237">
        <f>(2268200/1.16)-C1529</f>
        <v>1858369.8275862071</v>
      </c>
      <c r="D1528" s="237">
        <f>(2468100/1.16)-D1529</f>
        <v>2024232.4137931038</v>
      </c>
      <c r="E1528" s="237">
        <f>(3525200/1.16)-E1529</f>
        <v>2903200.5172413797</v>
      </c>
      <c r="F1528" s="237">
        <f>(3560600/1.16)-F1529</f>
        <v>2927252.7586206901</v>
      </c>
      <c r="G1528" s="237">
        <f>(8346800/1.16)-G1529</f>
        <v>6814082.2413793104</v>
      </c>
      <c r="H1528" s="237">
        <f>(5853800/1.16)-H1529</f>
        <v>4783469.3103448283</v>
      </c>
      <c r="I1528" s="91">
        <f>SUM(I1523:I1527)</f>
        <v>23253890.689655174</v>
      </c>
      <c r="J1528" s="716">
        <f>'NOGAL '!$I1528/7</f>
        <v>3321984.3842364536</v>
      </c>
    </row>
    <row r="1529" spans="1:10" s="71" customFormat="1" x14ac:dyDescent="0.25">
      <c r="A1529" s="622" t="s">
        <v>31</v>
      </c>
      <c r="B1529" s="452">
        <f t="shared" ref="B1529:G1529" si="660">2155*B1510</f>
        <v>96975</v>
      </c>
      <c r="C1529" s="94">
        <f t="shared" si="660"/>
        <v>96975</v>
      </c>
      <c r="D1529" s="94">
        <f t="shared" si="660"/>
        <v>103440</v>
      </c>
      <c r="E1529" s="94">
        <f t="shared" si="660"/>
        <v>135765</v>
      </c>
      <c r="F1529" s="94">
        <f t="shared" si="660"/>
        <v>142230</v>
      </c>
      <c r="G1529" s="94">
        <f t="shared" si="660"/>
        <v>381435</v>
      </c>
      <c r="H1529" s="94">
        <f>2155*H1510</f>
        <v>262910</v>
      </c>
      <c r="I1529" s="94">
        <f>2155*I1510</f>
        <v>1219730</v>
      </c>
      <c r="J1529" s="717">
        <f>2155*J1510</f>
        <v>174247.14285714287</v>
      </c>
    </row>
    <row r="1530" spans="1:10" s="71" customFormat="1" x14ac:dyDescent="0.25">
      <c r="A1530" s="633" t="s">
        <v>32</v>
      </c>
      <c r="B1530" s="453">
        <f>B1528+B1529</f>
        <v>2040258.6206896554</v>
      </c>
      <c r="C1530" s="39">
        <f>C1528+C1529</f>
        <v>1955344.8275862071</v>
      </c>
      <c r="D1530" s="39">
        <f t="shared" ref="D1530:J1530" si="661">D1528+D1529</f>
        <v>2127672.4137931038</v>
      </c>
      <c r="E1530" s="39">
        <f t="shared" si="661"/>
        <v>3038965.5172413797</v>
      </c>
      <c r="F1530" s="39">
        <f t="shared" si="661"/>
        <v>3069482.7586206901</v>
      </c>
      <c r="G1530" s="39">
        <f t="shared" si="661"/>
        <v>7195517.2413793104</v>
      </c>
      <c r="H1530" s="39">
        <f t="shared" si="661"/>
        <v>5046379.3103448283</v>
      </c>
      <c r="I1530" s="39">
        <f t="shared" si="661"/>
        <v>24473620.689655174</v>
      </c>
      <c r="J1530" s="718">
        <f t="shared" si="661"/>
        <v>3496231.5270935963</v>
      </c>
    </row>
    <row r="1531" spans="1:10" s="71" customFormat="1" x14ac:dyDescent="0.25">
      <c r="A1531" s="622" t="s">
        <v>33</v>
      </c>
      <c r="B1531" s="454">
        <f>B1530*16%</f>
        <v>326441.37931034487</v>
      </c>
      <c r="C1531" s="41">
        <f>C1530*16%</f>
        <v>312855.17241379316</v>
      </c>
      <c r="D1531" s="41">
        <f t="shared" ref="D1531:J1531" si="662">D1530*16%</f>
        <v>340427.58620689664</v>
      </c>
      <c r="E1531" s="41">
        <f t="shared" si="662"/>
        <v>486234.48275862075</v>
      </c>
      <c r="F1531" s="41">
        <f t="shared" si="662"/>
        <v>491117.24137931044</v>
      </c>
      <c r="G1531" s="41">
        <f t="shared" si="662"/>
        <v>1151282.7586206896</v>
      </c>
      <c r="H1531" s="41">
        <f t="shared" si="662"/>
        <v>807420.68965517252</v>
      </c>
      <c r="I1531" s="41">
        <f t="shared" si="662"/>
        <v>3915779.3103448278</v>
      </c>
      <c r="J1531" s="719">
        <f t="shared" si="662"/>
        <v>559397.04433497542</v>
      </c>
    </row>
    <row r="1532" spans="1:10" s="71" customFormat="1" ht="15.75" thickBot="1" x14ac:dyDescent="0.3">
      <c r="A1532" s="636" t="s">
        <v>34</v>
      </c>
      <c r="B1532" s="637">
        <f t="shared" ref="B1532:H1532" si="663">B1530+B1531</f>
        <v>2366700.0000000005</v>
      </c>
      <c r="C1532" s="686">
        <f t="shared" si="663"/>
        <v>2268200</v>
      </c>
      <c r="D1532" s="686">
        <f t="shared" si="663"/>
        <v>2468100.0000000005</v>
      </c>
      <c r="E1532" s="686">
        <f t="shared" si="663"/>
        <v>3525200.0000000005</v>
      </c>
      <c r="F1532" s="686">
        <f t="shared" si="663"/>
        <v>3560600.0000000005</v>
      </c>
      <c r="G1532" s="686">
        <f t="shared" si="663"/>
        <v>8346800</v>
      </c>
      <c r="H1532" s="686">
        <f t="shared" si="663"/>
        <v>5853800.0000000009</v>
      </c>
      <c r="I1532" s="686">
        <f>+I1530+I1531</f>
        <v>28389400</v>
      </c>
      <c r="J1532" s="720">
        <f>'NOGAL '!$I1532/7</f>
        <v>4055628.5714285714</v>
      </c>
    </row>
    <row r="1533" spans="1:10" s="71" customFormat="1" ht="15.75" thickBot="1" x14ac:dyDescent="0.3">
      <c r="A1533" s="69"/>
      <c r="B1533" s="424"/>
      <c r="C1533" s="424"/>
      <c r="D1533" s="424"/>
      <c r="E1533" s="424"/>
      <c r="F1533" s="424"/>
      <c r="G1533" s="424"/>
      <c r="H1533" s="424"/>
      <c r="I1533" s="424"/>
      <c r="J1533" s="424"/>
    </row>
    <row r="1534" spans="1:10" s="71" customFormat="1" ht="27" thickBot="1" x14ac:dyDescent="0.3">
      <c r="A1534" s="85"/>
      <c r="B1534" s="1002" t="s">
        <v>397</v>
      </c>
      <c r="C1534" s="1002"/>
      <c r="D1534" s="1002"/>
      <c r="E1534" s="1002"/>
      <c r="F1534" s="1002"/>
      <c r="G1534" s="1002"/>
      <c r="H1534" s="1002"/>
      <c r="I1534" s="1002"/>
      <c r="J1534" s="85"/>
    </row>
    <row r="1535" spans="1:10" s="71" customFormat="1" ht="15.75" x14ac:dyDescent="0.25">
      <c r="A1535" s="614" t="s">
        <v>2</v>
      </c>
      <c r="B1535" s="641" t="s">
        <v>249</v>
      </c>
      <c r="C1535" s="641" t="s">
        <v>250</v>
      </c>
      <c r="D1535" s="641" t="s">
        <v>251</v>
      </c>
      <c r="E1535" s="641" t="s">
        <v>220</v>
      </c>
      <c r="F1535" s="641" t="s">
        <v>221</v>
      </c>
      <c r="G1535" s="641" t="s">
        <v>222</v>
      </c>
      <c r="H1535" s="641" t="s">
        <v>223</v>
      </c>
      <c r="I1535" s="618" t="s">
        <v>10</v>
      </c>
      <c r="J1535" s="711" t="s">
        <v>77</v>
      </c>
    </row>
    <row r="1536" spans="1:10" s="71" customFormat="1" x14ac:dyDescent="0.25">
      <c r="A1536" s="620" t="s">
        <v>11</v>
      </c>
      <c r="B1536" s="433">
        <f>116+62+16</f>
        <v>194</v>
      </c>
      <c r="C1536" s="75">
        <f>75+21+8</f>
        <v>104</v>
      </c>
      <c r="D1536" s="75">
        <f>48+17+12</f>
        <v>77</v>
      </c>
      <c r="E1536" s="316">
        <f>80+32+12</f>
        <v>124</v>
      </c>
      <c r="F1536" s="316">
        <f>139+62+23</f>
        <v>224</v>
      </c>
      <c r="G1536" s="316">
        <f>133+58+29</f>
        <v>220</v>
      </c>
      <c r="H1536" s="316">
        <f>118+61+31</f>
        <v>210</v>
      </c>
      <c r="I1536" s="316">
        <f>SUM(B1536:H1536)</f>
        <v>1153</v>
      </c>
      <c r="J1536" s="712">
        <f>'NOGAL '!$I1536/7</f>
        <v>164.71428571428572</v>
      </c>
    </row>
    <row r="1537" spans="1:10" s="71" customFormat="1" x14ac:dyDescent="0.25">
      <c r="A1537" s="622" t="s">
        <v>12</v>
      </c>
      <c r="B1537" s="448">
        <v>117</v>
      </c>
      <c r="C1537" s="86">
        <v>66</v>
      </c>
      <c r="D1537" s="11">
        <v>41</v>
      </c>
      <c r="E1537" s="86">
        <v>73</v>
      </c>
      <c r="F1537" s="86">
        <v>127</v>
      </c>
      <c r="G1537" s="86">
        <v>128</v>
      </c>
      <c r="H1537" s="11">
        <v>129</v>
      </c>
      <c r="I1537" s="11">
        <f>B1537+C1537+D1537+E1537+F1537+G1537+H1537</f>
        <v>681</v>
      </c>
      <c r="J1537" s="684">
        <f>'NOGAL '!$I1537/7</f>
        <v>97.285714285714292</v>
      </c>
    </row>
    <row r="1538" spans="1:10" s="71" customFormat="1" x14ac:dyDescent="0.25">
      <c r="A1538" s="622" t="s">
        <v>13</v>
      </c>
      <c r="B1538" s="448">
        <v>6</v>
      </c>
      <c r="C1538" s="11">
        <v>3</v>
      </c>
      <c r="D1538" s="11">
        <v>2</v>
      </c>
      <c r="E1538" s="11">
        <v>2</v>
      </c>
      <c r="F1538" s="11">
        <v>3</v>
      </c>
      <c r="G1538" s="11">
        <v>1</v>
      </c>
      <c r="H1538" s="11">
        <v>3</v>
      </c>
      <c r="I1538" s="11">
        <f>B1538+C1538+D1538+E1538+F1538+G1538+H1538</f>
        <v>20</v>
      </c>
      <c r="J1538" s="684">
        <f>C1538+D1538+E1538+F1538+G1538+H1538+I1538</f>
        <v>34</v>
      </c>
    </row>
    <row r="1539" spans="1:10" s="71" customFormat="1" x14ac:dyDescent="0.25">
      <c r="A1539" s="622" t="s">
        <v>14</v>
      </c>
      <c r="B1539" s="448">
        <v>18</v>
      </c>
      <c r="C1539" s="11">
        <v>8</v>
      </c>
      <c r="D1539" s="11">
        <v>15</v>
      </c>
      <c r="E1539" s="11">
        <v>11</v>
      </c>
      <c r="F1539" s="11">
        <v>13</v>
      </c>
      <c r="G1539" s="11">
        <v>25</v>
      </c>
      <c r="H1539" s="11">
        <v>22</v>
      </c>
      <c r="I1539" s="11">
        <f>B1539+C1539+D1539+E1539+F1539+G1539+H1539</f>
        <v>112</v>
      </c>
      <c r="J1539" s="684">
        <f>'NOGAL '!$I1539/7</f>
        <v>16</v>
      </c>
    </row>
    <row r="1540" spans="1:10" s="71" customFormat="1" x14ac:dyDescent="0.25">
      <c r="A1540" s="622" t="s">
        <v>15</v>
      </c>
      <c r="B1540" s="448">
        <v>8</v>
      </c>
      <c r="C1540" s="11">
        <v>2</v>
      </c>
      <c r="D1540" s="11">
        <v>2</v>
      </c>
      <c r="E1540" s="11">
        <v>8</v>
      </c>
      <c r="F1540" s="11">
        <v>9</v>
      </c>
      <c r="G1540" s="11">
        <v>4</v>
      </c>
      <c r="H1540" s="11">
        <v>4</v>
      </c>
      <c r="I1540" s="11">
        <f>B1540+C1540+D1540+E1540+F1540+G1540+H1540</f>
        <v>37</v>
      </c>
      <c r="J1540" s="684">
        <f>'NOGAL '!$I1540/7</f>
        <v>5.2857142857142856</v>
      </c>
    </row>
    <row r="1541" spans="1:10" s="71" customFormat="1" x14ac:dyDescent="0.25">
      <c r="A1541" s="622" t="s">
        <v>16</v>
      </c>
      <c r="B1541" s="448">
        <v>0</v>
      </c>
      <c r="C1541" s="11">
        <v>0</v>
      </c>
      <c r="D1541" s="11">
        <v>0</v>
      </c>
      <c r="E1541" s="11">
        <v>0</v>
      </c>
      <c r="F1541" s="11">
        <v>2</v>
      </c>
      <c r="G1541" s="11">
        <v>0</v>
      </c>
      <c r="H1541" s="11">
        <v>0</v>
      </c>
      <c r="I1541" s="11">
        <f>B1541+C1541+D1541+E1541+F1541+G1541+H1541</f>
        <v>2</v>
      </c>
      <c r="J1541" s="684">
        <f>'NOGAL '!$I1541/7</f>
        <v>0.2857142857142857</v>
      </c>
    </row>
    <row r="1542" spans="1:10" s="71" customFormat="1" x14ac:dyDescent="0.25">
      <c r="A1542" s="624" t="s">
        <v>17</v>
      </c>
      <c r="B1542" s="102">
        <f t="shared" ref="B1542:I1542" si="664">SUM(B1537:B1541)</f>
        <v>149</v>
      </c>
      <c r="C1542" s="103">
        <f t="shared" si="664"/>
        <v>79</v>
      </c>
      <c r="D1542" s="103">
        <f t="shared" si="664"/>
        <v>60</v>
      </c>
      <c r="E1542" s="103">
        <f t="shared" si="664"/>
        <v>94</v>
      </c>
      <c r="F1542" s="103">
        <f t="shared" si="664"/>
        <v>154</v>
      </c>
      <c r="G1542" s="103">
        <f t="shared" si="664"/>
        <v>158</v>
      </c>
      <c r="H1542" s="103">
        <f t="shared" si="664"/>
        <v>158</v>
      </c>
      <c r="I1542" s="103">
        <f t="shared" si="664"/>
        <v>852</v>
      </c>
      <c r="J1542" s="713">
        <f>'NOGAL '!$I1542/7</f>
        <v>121.71428571428571</v>
      </c>
    </row>
    <row r="1543" spans="1:10" s="71" customFormat="1" x14ac:dyDescent="0.25">
      <c r="A1543" s="622" t="s">
        <v>18</v>
      </c>
      <c r="B1543" s="449">
        <v>0.82</v>
      </c>
      <c r="C1543" s="236">
        <v>0.89</v>
      </c>
      <c r="D1543" s="236">
        <v>0.8</v>
      </c>
      <c r="E1543" s="236">
        <v>0.86</v>
      </c>
      <c r="F1543" s="236">
        <v>0.89</v>
      </c>
      <c r="G1543" s="236">
        <v>0.8</v>
      </c>
      <c r="H1543" s="236">
        <v>0.87</v>
      </c>
      <c r="I1543" s="18">
        <f>I1550/I1555</f>
        <v>0.84866804216801273</v>
      </c>
      <c r="J1543" s="714">
        <f>J1550/J1555</f>
        <v>0.84866804216801273</v>
      </c>
    </row>
    <row r="1544" spans="1:10" s="71" customFormat="1" x14ac:dyDescent="0.25">
      <c r="A1544" s="622" t="s">
        <v>19</v>
      </c>
      <c r="B1544" s="449">
        <v>0.04</v>
      </c>
      <c r="C1544" s="236">
        <v>0.05</v>
      </c>
      <c r="D1544" s="236">
        <v>0.03</v>
      </c>
      <c r="E1544" s="236">
        <v>0.03</v>
      </c>
      <c r="F1544" s="236">
        <v>0.01</v>
      </c>
      <c r="G1544" s="236">
        <v>0.01</v>
      </c>
      <c r="H1544" s="236">
        <v>0.02</v>
      </c>
      <c r="I1544" s="18">
        <f>I1551/I1555</f>
        <v>2.3714213624671927E-2</v>
      </c>
      <c r="J1544" s="714">
        <f>J1551/J1555</f>
        <v>2.3714213624671927E-2</v>
      </c>
    </row>
    <row r="1545" spans="1:10" s="71" customFormat="1" x14ac:dyDescent="0.25">
      <c r="A1545" s="622" t="s">
        <v>20</v>
      </c>
      <c r="B1545" s="449">
        <v>0.1</v>
      </c>
      <c r="C1545" s="236">
        <v>0.03</v>
      </c>
      <c r="D1545" s="236">
        <v>0.15</v>
      </c>
      <c r="E1545" s="236">
        <v>0.05</v>
      </c>
      <c r="F1545" s="236">
        <v>0.05</v>
      </c>
      <c r="G1545" s="236">
        <v>0.17</v>
      </c>
      <c r="H1545" s="236">
        <v>0.09</v>
      </c>
      <c r="I1545" s="18">
        <f>I1552/I1555</f>
        <v>9.3089767496252043E-2</v>
      </c>
      <c r="J1545" s="714">
        <f>J1552/J1555</f>
        <v>9.3089767496252043E-2</v>
      </c>
    </row>
    <row r="1546" spans="1:10" s="71" customFormat="1" x14ac:dyDescent="0.25">
      <c r="A1546" s="622" t="s">
        <v>21</v>
      </c>
      <c r="B1546" s="449">
        <v>0.04</v>
      </c>
      <c r="C1546" s="236">
        <v>0.03</v>
      </c>
      <c r="D1546" s="236">
        <v>0.02</v>
      </c>
      <c r="E1546" s="236">
        <v>0.06</v>
      </c>
      <c r="F1546" s="236">
        <v>0.04</v>
      </c>
      <c r="G1546" s="236">
        <v>0.02</v>
      </c>
      <c r="H1546" s="236">
        <v>0.02</v>
      </c>
      <c r="I1546" s="18">
        <f>I1553/I1555</f>
        <v>3.2515389244964915E-2</v>
      </c>
      <c r="J1546" s="714">
        <f>J1553/J1555</f>
        <v>3.2515389244964915E-2</v>
      </c>
    </row>
    <row r="1547" spans="1:10" s="71" customFormat="1" x14ac:dyDescent="0.25">
      <c r="A1547" s="622" t="s">
        <v>22</v>
      </c>
      <c r="B1547" s="449">
        <v>0</v>
      </c>
      <c r="C1547" s="236">
        <v>0</v>
      </c>
      <c r="D1547" s="236">
        <v>0</v>
      </c>
      <c r="E1547" s="236">
        <v>0</v>
      </c>
      <c r="F1547" s="236">
        <v>0.01</v>
      </c>
      <c r="G1547" s="236">
        <v>0</v>
      </c>
      <c r="H1547" s="236">
        <v>0</v>
      </c>
      <c r="I1547" s="18">
        <f>I1554/I1555</f>
        <v>2.0125874660984156E-3</v>
      </c>
      <c r="J1547" s="714">
        <f>J1554/J1555</f>
        <v>2.0125874660984152E-3</v>
      </c>
    </row>
    <row r="1548" spans="1:10" s="71" customFormat="1" x14ac:dyDescent="0.25">
      <c r="A1548" s="627" t="s">
        <v>23</v>
      </c>
      <c r="B1548" s="450">
        <f t="shared" ref="B1548:J1548" si="665">B1559/B1542</f>
        <v>37363.758389261748</v>
      </c>
      <c r="C1548" s="130">
        <f t="shared" si="665"/>
        <v>38634.177215189877</v>
      </c>
      <c r="D1548" s="130">
        <f t="shared" si="665"/>
        <v>32788.333333333336</v>
      </c>
      <c r="E1548" s="130">
        <f t="shared" si="665"/>
        <v>38101.063829787236</v>
      </c>
      <c r="F1548" s="130">
        <f t="shared" si="665"/>
        <v>43672.07792207793</v>
      </c>
      <c r="G1548" s="130">
        <f t="shared" si="665"/>
        <v>41522.784810126584</v>
      </c>
      <c r="H1548" s="130">
        <f t="shared" si="665"/>
        <v>38531.012658227846</v>
      </c>
      <c r="I1548" s="130">
        <f t="shared" si="665"/>
        <v>39368.661971830996</v>
      </c>
      <c r="J1548" s="685">
        <f t="shared" si="665"/>
        <v>39368.661971830996</v>
      </c>
    </row>
    <row r="1549" spans="1:10" s="71" customFormat="1" x14ac:dyDescent="0.25">
      <c r="A1549" s="627" t="s">
        <v>24</v>
      </c>
      <c r="B1549" s="450">
        <f t="shared" ref="B1549:J1549" si="666">B1559/B1536</f>
        <v>28696.907216494848</v>
      </c>
      <c r="C1549" s="130">
        <f t="shared" si="666"/>
        <v>29347.11538461539</v>
      </c>
      <c r="D1549" s="130">
        <f t="shared" si="666"/>
        <v>25549.350649350654</v>
      </c>
      <c r="E1549" s="130">
        <f t="shared" si="666"/>
        <v>28883.064516129034</v>
      </c>
      <c r="F1549" s="130">
        <f t="shared" si="666"/>
        <v>30024.553571428576</v>
      </c>
      <c r="G1549" s="130">
        <f t="shared" si="666"/>
        <v>29820.909090909092</v>
      </c>
      <c r="H1549" s="130">
        <f t="shared" si="666"/>
        <v>28990</v>
      </c>
      <c r="I1549" s="130">
        <f t="shared" si="666"/>
        <v>29091.153512575896</v>
      </c>
      <c r="J1549" s="685">
        <f t="shared" si="666"/>
        <v>29091.153512575896</v>
      </c>
    </row>
    <row r="1550" spans="1:10" s="71" customFormat="1" x14ac:dyDescent="0.25">
      <c r="A1550" s="622" t="s">
        <v>25</v>
      </c>
      <c r="B1550" s="451">
        <f t="shared" ref="B1550:H1550" si="667">B1555*B1543</f>
        <v>3728683.782758621</v>
      </c>
      <c r="C1550" s="92">
        <f t="shared" si="667"/>
        <v>2215112.7137931036</v>
      </c>
      <c r="D1550" s="92">
        <f t="shared" si="667"/>
        <v>1286074.6206896554</v>
      </c>
      <c r="E1550" s="92">
        <f t="shared" si="667"/>
        <v>2519959.1</v>
      </c>
      <c r="F1550" s="92">
        <f t="shared" si="667"/>
        <v>4916502.2465517251</v>
      </c>
      <c r="G1550" s="92">
        <f t="shared" si="667"/>
        <v>4303879.7241379311</v>
      </c>
      <c r="H1550" s="92">
        <f t="shared" si="667"/>
        <v>4324069.3500000006</v>
      </c>
      <c r="I1550" s="92">
        <f>'NOGAL '!$B1550+'NOGAL '!$C1550+'NOGAL '!$D1550+'NOGAL '!$E1550+'NOGAL '!$F1550+'NOGAL '!$G1550+'NOGAL '!$H1550</f>
        <v>23294281.53793104</v>
      </c>
      <c r="J1550" s="715">
        <f>'NOGAL '!$I1550/7</f>
        <v>3327754.5054187202</v>
      </c>
    </row>
    <row r="1551" spans="1:10" s="71" customFormat="1" x14ac:dyDescent="0.25">
      <c r="A1551" s="622" t="s">
        <v>26</v>
      </c>
      <c r="B1551" s="451">
        <f t="shared" ref="B1551:H1551" si="668">B1555*B1544</f>
        <v>181887.01379310348</v>
      </c>
      <c r="C1551" s="92">
        <f t="shared" si="668"/>
        <v>124444.53448275864</v>
      </c>
      <c r="D1551" s="92">
        <f t="shared" si="668"/>
        <v>48227.798275862071</v>
      </c>
      <c r="E1551" s="92">
        <f t="shared" si="668"/>
        <v>87905.55</v>
      </c>
      <c r="F1551" s="92">
        <f t="shared" si="668"/>
        <v>55241.598275862074</v>
      </c>
      <c r="G1551" s="92">
        <f t="shared" si="668"/>
        <v>53798.496551724144</v>
      </c>
      <c r="H1551" s="92">
        <f t="shared" si="668"/>
        <v>99403.893103448281</v>
      </c>
      <c r="I1551" s="92">
        <f>'NOGAL '!$B1551+'NOGAL '!$C1551+'NOGAL '!$D1551+'NOGAL '!$E1551+'NOGAL '!$F1551+'NOGAL '!$G1551+'NOGAL '!$H1551</f>
        <v>650908.8844827587</v>
      </c>
      <c r="J1551" s="715">
        <f>'NOGAL '!$I1551/7</f>
        <v>92986.983497536959</v>
      </c>
    </row>
    <row r="1552" spans="1:10" s="71" customFormat="1" x14ac:dyDescent="0.25">
      <c r="A1552" s="622" t="s">
        <v>27</v>
      </c>
      <c r="B1552" s="451">
        <f t="shared" ref="B1552:H1552" si="669">B1555*B1545</f>
        <v>454717.53448275873</v>
      </c>
      <c r="C1552" s="92">
        <f t="shared" si="669"/>
        <v>74666.72068965518</v>
      </c>
      <c r="D1552" s="92">
        <f t="shared" si="669"/>
        <v>241138.99137931035</v>
      </c>
      <c r="E1552" s="92">
        <f t="shared" si="669"/>
        <v>146509.25</v>
      </c>
      <c r="F1552" s="92">
        <f t="shared" si="669"/>
        <v>276207.99137931038</v>
      </c>
      <c r="G1552" s="92">
        <f t="shared" si="669"/>
        <v>914574.44137931045</v>
      </c>
      <c r="H1552" s="92">
        <f t="shared" si="669"/>
        <v>447317.51896551723</v>
      </c>
      <c r="I1552" s="92">
        <f>'NOGAL '!$B1552+'NOGAL '!$C1552+'NOGAL '!$D1552+'NOGAL '!$E1552+'NOGAL '!$F1552+'NOGAL '!$G1552+'NOGAL '!$H1552</f>
        <v>2555132.4482758623</v>
      </c>
      <c r="J1552" s="715">
        <f>'NOGAL '!$I1552/7</f>
        <v>365018.92118226603</v>
      </c>
    </row>
    <row r="1553" spans="1:10" s="71" customFormat="1" x14ac:dyDescent="0.25">
      <c r="A1553" s="622" t="s">
        <v>28</v>
      </c>
      <c r="B1553" s="451">
        <f t="shared" ref="B1553:H1553" si="670">B1555*B1546</f>
        <v>181887.01379310348</v>
      </c>
      <c r="C1553" s="92">
        <f t="shared" si="670"/>
        <v>74666.72068965518</v>
      </c>
      <c r="D1553" s="92">
        <f t="shared" si="670"/>
        <v>32151.865517241382</v>
      </c>
      <c r="E1553" s="92">
        <f t="shared" si="670"/>
        <v>175811.1</v>
      </c>
      <c r="F1553" s="92">
        <f t="shared" si="670"/>
        <v>220966.3931034483</v>
      </c>
      <c r="G1553" s="92">
        <f t="shared" si="670"/>
        <v>107596.99310344829</v>
      </c>
      <c r="H1553" s="92">
        <f t="shared" si="670"/>
        <v>99403.893103448281</v>
      </c>
      <c r="I1553" s="92">
        <f>'NOGAL '!$B1553+'NOGAL '!$C1553+'NOGAL '!$D1553+'NOGAL '!$E1553+'NOGAL '!$F1553+'NOGAL '!$G1553+'NOGAL '!$H1553</f>
        <v>892483.97931034502</v>
      </c>
      <c r="J1553" s="715">
        <f>'NOGAL '!$I1553/7</f>
        <v>127497.71133004929</v>
      </c>
    </row>
    <row r="1554" spans="1:10" s="71" customFormat="1" x14ac:dyDescent="0.25">
      <c r="A1554" s="622" t="s">
        <v>29</v>
      </c>
      <c r="B1554" s="451">
        <f t="shared" ref="B1554:H1554" si="671">B1555*B1547</f>
        <v>0</v>
      </c>
      <c r="C1554" s="92">
        <f t="shared" si="671"/>
        <v>0</v>
      </c>
      <c r="D1554" s="92">
        <f t="shared" si="671"/>
        <v>0</v>
      </c>
      <c r="E1554" s="92">
        <f t="shared" si="671"/>
        <v>0</v>
      </c>
      <c r="F1554" s="92">
        <f t="shared" si="671"/>
        <v>55241.598275862074</v>
      </c>
      <c r="G1554" s="92">
        <f t="shared" si="671"/>
        <v>0</v>
      </c>
      <c r="H1554" s="92">
        <f t="shared" si="671"/>
        <v>0</v>
      </c>
      <c r="I1554" s="92">
        <f>'NOGAL '!$B1554+'NOGAL '!$C1554+'NOGAL '!$D1554+'NOGAL '!$E1554+'NOGAL '!$F1554+'NOGAL '!$G1554+'NOGAL '!$H1554</f>
        <v>55241.598275862074</v>
      </c>
      <c r="J1554" s="715">
        <f>'NOGAL '!$I1554/7</f>
        <v>7891.6568965517245</v>
      </c>
    </row>
    <row r="1555" spans="1:10" s="71" customFormat="1" x14ac:dyDescent="0.25">
      <c r="A1555" s="630" t="s">
        <v>30</v>
      </c>
      <c r="B1555" s="237">
        <f>(5567200/1.16)-B1556</f>
        <v>4547175.3448275868</v>
      </c>
      <c r="C1555" s="237">
        <f>(3052100/1.16)-C1556</f>
        <v>2488890.6896551726</v>
      </c>
      <c r="D1555" s="237">
        <f>(1967300/1.16)-D1556</f>
        <v>1607593.2758620691</v>
      </c>
      <c r="E1555" s="237">
        <f>(3581500/1.16)-E1556</f>
        <v>2930185</v>
      </c>
      <c r="F1555" s="237">
        <f>(6725500/1.16)-F1556</f>
        <v>5524159.8275862075</v>
      </c>
      <c r="G1555" s="237">
        <f>(6560600/1.16)-G1556</f>
        <v>5379849.6551724141</v>
      </c>
      <c r="H1555" s="237">
        <f>(6087900/1.16)-H1556</f>
        <v>4970194.6551724141</v>
      </c>
      <c r="I1555" s="91">
        <f>SUM(I1550:I1554)</f>
        <v>27448048.448275868</v>
      </c>
      <c r="J1555" s="716">
        <f>'NOGAL '!$I1555/7</f>
        <v>3921149.7783251242</v>
      </c>
    </row>
    <row r="1556" spans="1:10" s="71" customFormat="1" x14ac:dyDescent="0.25">
      <c r="A1556" s="622" t="s">
        <v>31</v>
      </c>
      <c r="B1556" s="452">
        <f t="shared" ref="B1556:G1556" si="672">2155*B1537</f>
        <v>252135</v>
      </c>
      <c r="C1556" s="94">
        <f t="shared" si="672"/>
        <v>142230</v>
      </c>
      <c r="D1556" s="94">
        <f t="shared" si="672"/>
        <v>88355</v>
      </c>
      <c r="E1556" s="94">
        <f t="shared" si="672"/>
        <v>157315</v>
      </c>
      <c r="F1556" s="94">
        <f t="shared" si="672"/>
        <v>273685</v>
      </c>
      <c r="G1556" s="94">
        <f t="shared" si="672"/>
        <v>275840</v>
      </c>
      <c r="H1556" s="94">
        <f>2155*H1537</f>
        <v>277995</v>
      </c>
      <c r="I1556" s="94">
        <f>2155*I1537</f>
        <v>1467555</v>
      </c>
      <c r="J1556" s="717">
        <f>2155*J1537</f>
        <v>209650.71428571429</v>
      </c>
    </row>
    <row r="1557" spans="1:10" s="71" customFormat="1" x14ac:dyDescent="0.25">
      <c r="A1557" s="633" t="s">
        <v>32</v>
      </c>
      <c r="B1557" s="453">
        <f>B1555+B1556</f>
        <v>4799310.3448275868</v>
      </c>
      <c r="C1557" s="39">
        <f>C1555+C1556</f>
        <v>2631120.6896551726</v>
      </c>
      <c r="D1557" s="39">
        <f t="shared" ref="D1557:J1557" si="673">D1555+D1556</f>
        <v>1695948.2758620691</v>
      </c>
      <c r="E1557" s="39">
        <f t="shared" si="673"/>
        <v>3087500</v>
      </c>
      <c r="F1557" s="39">
        <f t="shared" si="673"/>
        <v>5797844.8275862075</v>
      </c>
      <c r="G1557" s="39">
        <f t="shared" si="673"/>
        <v>5655689.6551724141</v>
      </c>
      <c r="H1557" s="39">
        <f t="shared" si="673"/>
        <v>5248189.6551724141</v>
      </c>
      <c r="I1557" s="39">
        <f t="shared" si="673"/>
        <v>28915603.448275868</v>
      </c>
      <c r="J1557" s="718">
        <f t="shared" si="673"/>
        <v>4130800.4926108383</v>
      </c>
    </row>
    <row r="1558" spans="1:10" s="71" customFormat="1" x14ac:dyDescent="0.25">
      <c r="A1558" s="622" t="s">
        <v>33</v>
      </c>
      <c r="B1558" s="454">
        <f>B1557*16%</f>
        <v>767889.65517241391</v>
      </c>
      <c r="C1558" s="41">
        <f>C1557*16%</f>
        <v>420979.31034482765</v>
      </c>
      <c r="D1558" s="41">
        <f t="shared" ref="D1558:J1558" si="674">D1557*16%</f>
        <v>271351.72413793107</v>
      </c>
      <c r="E1558" s="41">
        <f t="shared" si="674"/>
        <v>494000</v>
      </c>
      <c r="F1558" s="41">
        <f t="shared" si="674"/>
        <v>927655.17241379328</v>
      </c>
      <c r="G1558" s="41">
        <f t="shared" si="674"/>
        <v>904910.34482758632</v>
      </c>
      <c r="H1558" s="41">
        <f t="shared" si="674"/>
        <v>839710.34482758632</v>
      </c>
      <c r="I1558" s="41">
        <f t="shared" si="674"/>
        <v>4626496.5517241387</v>
      </c>
      <c r="J1558" s="719">
        <f t="shared" si="674"/>
        <v>660928.07881773415</v>
      </c>
    </row>
    <row r="1559" spans="1:10" s="71" customFormat="1" ht="15.75" thickBot="1" x14ac:dyDescent="0.3">
      <c r="A1559" s="636" t="s">
        <v>34</v>
      </c>
      <c r="B1559" s="637">
        <f t="shared" ref="B1559:H1559" si="675">B1557+B1558</f>
        <v>5567200.0000000009</v>
      </c>
      <c r="C1559" s="686">
        <f t="shared" si="675"/>
        <v>3052100.0000000005</v>
      </c>
      <c r="D1559" s="686">
        <f t="shared" si="675"/>
        <v>1967300.0000000002</v>
      </c>
      <c r="E1559" s="686">
        <f t="shared" si="675"/>
        <v>3581500</v>
      </c>
      <c r="F1559" s="686">
        <f t="shared" si="675"/>
        <v>6725500.0000000009</v>
      </c>
      <c r="G1559" s="686">
        <f t="shared" si="675"/>
        <v>6560600</v>
      </c>
      <c r="H1559" s="686">
        <f t="shared" si="675"/>
        <v>6087900</v>
      </c>
      <c r="I1559" s="686">
        <f>+I1557+I1558</f>
        <v>33542100.000000007</v>
      </c>
      <c r="J1559" s="720">
        <f>'NOGAL '!$I1559/7</f>
        <v>4791728.5714285728</v>
      </c>
    </row>
    <row r="1560" spans="1:10" s="71" customFormat="1" ht="15.75" thickBot="1" x14ac:dyDescent="0.3">
      <c r="A1560" s="69"/>
      <c r="B1560" s="424"/>
      <c r="C1560" s="424"/>
      <c r="D1560" s="424"/>
      <c r="E1560" s="424"/>
      <c r="F1560" s="424"/>
      <c r="G1560" s="424"/>
      <c r="H1560" s="424"/>
      <c r="I1560" s="424"/>
      <c r="J1560" s="424"/>
    </row>
    <row r="1561" spans="1:10" s="71" customFormat="1" ht="27" thickBot="1" x14ac:dyDescent="0.3">
      <c r="A1561" s="85"/>
      <c r="B1561" s="1002" t="s">
        <v>398</v>
      </c>
      <c r="C1561" s="1002"/>
      <c r="D1561" s="1002"/>
      <c r="E1561" s="1002"/>
      <c r="F1561" s="1002"/>
      <c r="G1561" s="1002"/>
      <c r="H1561" s="1002"/>
      <c r="I1561" s="1002"/>
      <c r="J1561" s="85"/>
    </row>
    <row r="1562" spans="1:10" s="71" customFormat="1" ht="15.75" x14ac:dyDescent="0.25">
      <c r="A1562" s="614" t="s">
        <v>2</v>
      </c>
      <c r="B1562" s="641" t="s">
        <v>225</v>
      </c>
      <c r="C1562" s="641" t="s">
        <v>226</v>
      </c>
      <c r="D1562" s="641" t="s">
        <v>227</v>
      </c>
      <c r="E1562" s="641" t="s">
        <v>228</v>
      </c>
      <c r="F1562" s="641" t="s">
        <v>229</v>
      </c>
      <c r="G1562" s="641" t="s">
        <v>230</v>
      </c>
      <c r="H1562" s="641" t="s">
        <v>231</v>
      </c>
      <c r="I1562" s="618" t="s">
        <v>10</v>
      </c>
      <c r="J1562" s="711" t="s">
        <v>77</v>
      </c>
    </row>
    <row r="1563" spans="1:10" s="71" customFormat="1" x14ac:dyDescent="0.25">
      <c r="A1563" s="620" t="s">
        <v>11</v>
      </c>
      <c r="B1563" s="433">
        <f>122+57+29</f>
        <v>208</v>
      </c>
      <c r="C1563" s="75">
        <f>59+31+15</f>
        <v>105</v>
      </c>
      <c r="D1563" s="75">
        <f>64+29+3</f>
        <v>96</v>
      </c>
      <c r="E1563" s="316">
        <f>48+27+12</f>
        <v>87</v>
      </c>
      <c r="F1563" s="316">
        <f>124+57+25</f>
        <v>206</v>
      </c>
      <c r="G1563" s="316">
        <f>159+65+25</f>
        <v>249</v>
      </c>
      <c r="H1563" s="316">
        <f>136+56+25</f>
        <v>217</v>
      </c>
      <c r="I1563" s="316">
        <f>SUM(B1563:H1563)</f>
        <v>1168</v>
      </c>
      <c r="J1563" s="712">
        <f>'NOGAL '!$I1563/7</f>
        <v>166.85714285714286</v>
      </c>
    </row>
    <row r="1564" spans="1:10" s="71" customFormat="1" x14ac:dyDescent="0.25">
      <c r="A1564" s="622" t="s">
        <v>12</v>
      </c>
      <c r="B1564" s="448">
        <v>139</v>
      </c>
      <c r="C1564" s="86">
        <v>57</v>
      </c>
      <c r="D1564" s="11">
        <v>57</v>
      </c>
      <c r="E1564" s="86">
        <v>46</v>
      </c>
      <c r="F1564" s="86">
        <v>121</v>
      </c>
      <c r="G1564" s="86">
        <v>136</v>
      </c>
      <c r="H1564" s="11">
        <v>142</v>
      </c>
      <c r="I1564" s="11">
        <f>B1564+C1564+D1564+E1564+F1564+G1564+H1564</f>
        <v>698</v>
      </c>
      <c r="J1564" s="684">
        <f>'NOGAL '!$I1564/7</f>
        <v>99.714285714285708</v>
      </c>
    </row>
    <row r="1565" spans="1:10" s="71" customFormat="1" x14ac:dyDescent="0.25">
      <c r="A1565" s="622" t="s">
        <v>13</v>
      </c>
      <c r="B1565" s="448">
        <v>5</v>
      </c>
      <c r="C1565" s="11">
        <v>1</v>
      </c>
      <c r="D1565" s="11">
        <v>2</v>
      </c>
      <c r="E1565" s="11">
        <v>1</v>
      </c>
      <c r="F1565" s="11">
        <v>4</v>
      </c>
      <c r="G1565" s="11">
        <v>2</v>
      </c>
      <c r="H1565" s="11">
        <v>3</v>
      </c>
      <c r="I1565" s="11">
        <f>B1565+C1565+D1565+E1565+F1565+G1565+H1565</f>
        <v>18</v>
      </c>
      <c r="J1565" s="684">
        <f>C1565+D1565+E1565+F1565+G1565+H1565+I1565</f>
        <v>31</v>
      </c>
    </row>
    <row r="1566" spans="1:10" s="71" customFormat="1" x14ac:dyDescent="0.25">
      <c r="A1566" s="622" t="s">
        <v>14</v>
      </c>
      <c r="B1566" s="448">
        <v>13</v>
      </c>
      <c r="C1566" s="11">
        <v>16</v>
      </c>
      <c r="D1566" s="11">
        <v>20</v>
      </c>
      <c r="E1566" s="11">
        <v>20</v>
      </c>
      <c r="F1566" s="11">
        <v>32</v>
      </c>
      <c r="G1566" s="11">
        <v>30</v>
      </c>
      <c r="H1566" s="11">
        <v>14</v>
      </c>
      <c r="I1566" s="11">
        <f>B1566+C1566+D1566+E1566+F1566+G1566+H1566</f>
        <v>145</v>
      </c>
      <c r="J1566" s="684">
        <f>'NOGAL '!$I1566/7</f>
        <v>20.714285714285715</v>
      </c>
    </row>
    <row r="1567" spans="1:10" s="71" customFormat="1" x14ac:dyDescent="0.25">
      <c r="A1567" s="622" t="s">
        <v>15</v>
      </c>
      <c r="B1567" s="448">
        <v>5</v>
      </c>
      <c r="C1567" s="11">
        <v>0</v>
      </c>
      <c r="D1567" s="11">
        <v>1</v>
      </c>
      <c r="E1567" s="11">
        <v>0</v>
      </c>
      <c r="F1567" s="11">
        <v>4</v>
      </c>
      <c r="G1567" s="11">
        <v>6</v>
      </c>
      <c r="H1567" s="11">
        <v>3</v>
      </c>
      <c r="I1567" s="11">
        <f>B1567+C1567+D1567+E1567+F1567+G1567+H1567</f>
        <v>19</v>
      </c>
      <c r="J1567" s="684">
        <f>'NOGAL '!$I1567/7</f>
        <v>2.7142857142857144</v>
      </c>
    </row>
    <row r="1568" spans="1:10" s="71" customFormat="1" x14ac:dyDescent="0.25">
      <c r="A1568" s="622" t="s">
        <v>16</v>
      </c>
      <c r="B1568" s="448">
        <v>0</v>
      </c>
      <c r="C1568" s="11">
        <v>0</v>
      </c>
      <c r="D1568" s="11">
        <v>1</v>
      </c>
      <c r="E1568" s="11">
        <v>0</v>
      </c>
      <c r="F1568" s="11">
        <v>1</v>
      </c>
      <c r="G1568" s="11">
        <v>0</v>
      </c>
      <c r="H1568" s="11">
        <v>1</v>
      </c>
      <c r="I1568" s="11">
        <f>B1568+C1568+D1568+E1568+F1568+G1568+H1568</f>
        <v>3</v>
      </c>
      <c r="J1568" s="684">
        <f>'NOGAL '!$I1568/7</f>
        <v>0.42857142857142855</v>
      </c>
    </row>
    <row r="1569" spans="1:10" s="71" customFormat="1" x14ac:dyDescent="0.25">
      <c r="A1569" s="624" t="s">
        <v>17</v>
      </c>
      <c r="B1569" s="102">
        <f t="shared" ref="B1569:I1569" si="676">SUM(B1564:B1568)</f>
        <v>162</v>
      </c>
      <c r="C1569" s="103">
        <f t="shared" si="676"/>
        <v>74</v>
      </c>
      <c r="D1569" s="103">
        <f t="shared" si="676"/>
        <v>81</v>
      </c>
      <c r="E1569" s="103">
        <f t="shared" si="676"/>
        <v>67</v>
      </c>
      <c r="F1569" s="103">
        <f t="shared" si="676"/>
        <v>162</v>
      </c>
      <c r="G1569" s="103">
        <f t="shared" si="676"/>
        <v>174</v>
      </c>
      <c r="H1569" s="103">
        <f t="shared" si="676"/>
        <v>163</v>
      </c>
      <c r="I1569" s="103">
        <f t="shared" si="676"/>
        <v>883</v>
      </c>
      <c r="J1569" s="713">
        <f>'NOGAL '!$I1569/7</f>
        <v>126.14285714285714</v>
      </c>
    </row>
    <row r="1570" spans="1:10" s="71" customFormat="1" x14ac:dyDescent="0.25">
      <c r="A1570" s="622" t="s">
        <v>18</v>
      </c>
      <c r="B1570" s="449">
        <v>0.89</v>
      </c>
      <c r="C1570" s="236">
        <v>0.8</v>
      </c>
      <c r="D1570" s="236">
        <v>0.8</v>
      </c>
      <c r="E1570" s="236">
        <v>0.81</v>
      </c>
      <c r="F1570" s="236">
        <v>0.82</v>
      </c>
      <c r="G1570" s="236">
        <v>0.83</v>
      </c>
      <c r="H1570" s="236">
        <v>0.89</v>
      </c>
      <c r="I1570" s="18">
        <f>I1577/I1582</f>
        <v>0.84256121415027851</v>
      </c>
      <c r="J1570" s="714">
        <f>J1577/J1582</f>
        <v>0.84256121415027851</v>
      </c>
    </row>
    <row r="1571" spans="1:10" s="71" customFormat="1" x14ac:dyDescent="0.25">
      <c r="A1571" s="622" t="s">
        <v>19</v>
      </c>
      <c r="B1571" s="449">
        <v>0.02</v>
      </c>
      <c r="C1571" s="236">
        <v>0.02</v>
      </c>
      <c r="D1571" s="236">
        <v>0.02</v>
      </c>
      <c r="E1571" s="236">
        <v>0</v>
      </c>
      <c r="F1571" s="236">
        <v>0.02</v>
      </c>
      <c r="G1571" s="236">
        <v>0.01</v>
      </c>
      <c r="H1571" s="236">
        <v>0.02</v>
      </c>
      <c r="I1571" s="18">
        <f>I1578/I1582</f>
        <v>1.6308436098510421E-2</v>
      </c>
      <c r="J1571" s="714">
        <f>J1578/J1582</f>
        <v>1.6308436098510421E-2</v>
      </c>
    </row>
    <row r="1572" spans="1:10" s="71" customFormat="1" x14ac:dyDescent="0.25">
      <c r="A1572" s="622" t="s">
        <v>20</v>
      </c>
      <c r="B1572" s="449">
        <v>0.06</v>
      </c>
      <c r="C1572" s="236">
        <v>0.18</v>
      </c>
      <c r="D1572" s="236">
        <v>0.15</v>
      </c>
      <c r="E1572" s="236">
        <v>0.19</v>
      </c>
      <c r="F1572" s="236">
        <v>0.14000000000000001</v>
      </c>
      <c r="G1572" s="236">
        <v>0.13</v>
      </c>
      <c r="H1572" s="236">
        <v>7.0000000000000007E-2</v>
      </c>
      <c r="I1572" s="18">
        <f>I1579/I1582</f>
        <v>0.11956758411355027</v>
      </c>
      <c r="J1572" s="714">
        <f>J1579/J1582</f>
        <v>0.11956758411355027</v>
      </c>
    </row>
    <row r="1573" spans="1:10" s="71" customFormat="1" x14ac:dyDescent="0.25">
      <c r="A1573" s="622" t="s">
        <v>21</v>
      </c>
      <c r="B1573" s="449">
        <v>0.03</v>
      </c>
      <c r="C1573" s="236">
        <v>0</v>
      </c>
      <c r="D1573" s="236">
        <v>0.01</v>
      </c>
      <c r="E1573" s="236">
        <v>0</v>
      </c>
      <c r="F1573" s="236">
        <v>0.02</v>
      </c>
      <c r="G1573" s="236">
        <v>0.03</v>
      </c>
      <c r="H1573" s="236">
        <v>0.01</v>
      </c>
      <c r="I1573" s="18">
        <f>I1580/I1582</f>
        <v>1.8046211259599869E-2</v>
      </c>
      <c r="J1573" s="714">
        <f>J1580/J1582</f>
        <v>1.8046211259599872E-2</v>
      </c>
    </row>
    <row r="1574" spans="1:10" s="71" customFormat="1" x14ac:dyDescent="0.25">
      <c r="A1574" s="622" t="s">
        <v>22</v>
      </c>
      <c r="B1574" s="449">
        <v>0</v>
      </c>
      <c r="C1574" s="236">
        <v>0</v>
      </c>
      <c r="D1574" s="236">
        <v>0.02</v>
      </c>
      <c r="E1574" s="236">
        <v>0</v>
      </c>
      <c r="F1574" s="236">
        <v>0</v>
      </c>
      <c r="G1574" s="236">
        <v>0</v>
      </c>
      <c r="H1574" s="236">
        <v>0.01</v>
      </c>
      <c r="I1574" s="18">
        <f>I1581/I1582</f>
        <v>3.5165543780609691E-3</v>
      </c>
      <c r="J1574" s="714">
        <f>J1581/J1582</f>
        <v>3.5165543780609691E-3</v>
      </c>
    </row>
    <row r="1575" spans="1:10" s="71" customFormat="1" x14ac:dyDescent="0.25">
      <c r="A1575" s="627" t="s">
        <v>23</v>
      </c>
      <c r="B1575" s="450">
        <f t="shared" ref="B1575:J1575" si="677">B1586/B1569</f>
        <v>36442.592592592599</v>
      </c>
      <c r="C1575" s="130">
        <f t="shared" si="677"/>
        <v>41043.24324324324</v>
      </c>
      <c r="D1575" s="130">
        <f t="shared" si="677"/>
        <v>36149.382716049382</v>
      </c>
      <c r="E1575" s="130">
        <f t="shared" si="677"/>
        <v>36852.238805970148</v>
      </c>
      <c r="F1575" s="130">
        <f t="shared" si="677"/>
        <v>36995.679012345681</v>
      </c>
      <c r="G1575" s="130">
        <f t="shared" si="677"/>
        <v>43302.873563218396</v>
      </c>
      <c r="H1575" s="130">
        <f t="shared" si="677"/>
        <v>37560.736196319027</v>
      </c>
      <c r="I1575" s="130">
        <f t="shared" si="677"/>
        <v>38492.072480181188</v>
      </c>
      <c r="J1575" s="685">
        <f t="shared" si="677"/>
        <v>38492.072480181196</v>
      </c>
    </row>
    <row r="1576" spans="1:10" s="71" customFormat="1" x14ac:dyDescent="0.25">
      <c r="A1576" s="627" t="s">
        <v>24</v>
      </c>
      <c r="B1576" s="450">
        <f t="shared" ref="B1576:J1576" si="678">B1586/B1563</f>
        <v>28383.173076923082</v>
      </c>
      <c r="C1576" s="130">
        <f t="shared" si="678"/>
        <v>28925.714285714286</v>
      </c>
      <c r="D1576" s="130">
        <f t="shared" si="678"/>
        <v>30501.041666666668</v>
      </c>
      <c r="E1576" s="130">
        <f t="shared" si="678"/>
        <v>28380.459770114943</v>
      </c>
      <c r="F1576" s="130">
        <f t="shared" si="678"/>
        <v>29093.689320388348</v>
      </c>
      <c r="G1576" s="130">
        <f t="shared" si="678"/>
        <v>30259.839357429722</v>
      </c>
      <c r="H1576" s="130">
        <f t="shared" si="678"/>
        <v>28213.82488479263</v>
      </c>
      <c r="I1576" s="130">
        <f t="shared" si="678"/>
        <v>29099.743150684924</v>
      </c>
      <c r="J1576" s="685">
        <f t="shared" si="678"/>
        <v>29099.743150684924</v>
      </c>
    </row>
    <row r="1577" spans="1:10" s="71" customFormat="1" x14ac:dyDescent="0.25">
      <c r="A1577" s="622" t="s">
        <v>25</v>
      </c>
      <c r="B1577" s="451">
        <f t="shared" ref="B1577:H1577" si="679">B1582*B1570</f>
        <v>4262967.8810344832</v>
      </c>
      <c r="C1577" s="92">
        <f t="shared" si="679"/>
        <v>1996352.6896551726</v>
      </c>
      <c r="D1577" s="92">
        <f t="shared" si="679"/>
        <v>1921111.3103448276</v>
      </c>
      <c r="E1577" s="92">
        <f t="shared" si="679"/>
        <v>1643817.631034483</v>
      </c>
      <c r="F1577" s="92">
        <f t="shared" si="679"/>
        <v>4022824.0034482758</v>
      </c>
      <c r="G1577" s="92">
        <f t="shared" si="679"/>
        <v>5147951.3586206902</v>
      </c>
      <c r="H1577" s="92">
        <f t="shared" si="679"/>
        <v>4425009.7206896562</v>
      </c>
      <c r="I1577" s="92">
        <f>'NOGAL '!$B1577+'NOGAL '!$C1577+'NOGAL '!$D1577+'NOGAL '!$E1577+'NOGAL '!$F1577+'NOGAL '!$G1577+'NOGAL '!$H1577</f>
        <v>23420034.594827585</v>
      </c>
      <c r="J1577" s="715">
        <f>'NOGAL '!$I1577/7</f>
        <v>3345719.227832512</v>
      </c>
    </row>
    <row r="1578" spans="1:10" s="71" customFormat="1" x14ac:dyDescent="0.25">
      <c r="A1578" s="622" t="s">
        <v>26</v>
      </c>
      <c r="B1578" s="451">
        <f t="shared" ref="B1578:H1578" si="680">B1582*B1571</f>
        <v>95797.031034482774</v>
      </c>
      <c r="C1578" s="92">
        <f t="shared" si="680"/>
        <v>49908.817241379315</v>
      </c>
      <c r="D1578" s="92">
        <f t="shared" si="680"/>
        <v>48027.782758620691</v>
      </c>
      <c r="E1578" s="92">
        <f t="shared" si="680"/>
        <v>0</v>
      </c>
      <c r="F1578" s="92">
        <f t="shared" si="680"/>
        <v>98117.658620689661</v>
      </c>
      <c r="G1578" s="92">
        <f t="shared" si="680"/>
        <v>62023.510344827599</v>
      </c>
      <c r="H1578" s="92">
        <f t="shared" si="680"/>
        <v>99438.420689655191</v>
      </c>
      <c r="I1578" s="92">
        <f>'NOGAL '!$B1578+'NOGAL '!$C1578+'NOGAL '!$D1578+'NOGAL '!$E1578+'NOGAL '!$F1578+'NOGAL '!$G1578+'NOGAL '!$H1578</f>
        <v>453313.22068965522</v>
      </c>
      <c r="J1578" s="715">
        <f>'NOGAL '!$I1578/7</f>
        <v>64759.031527093604</v>
      </c>
    </row>
    <row r="1579" spans="1:10" s="71" customFormat="1" x14ac:dyDescent="0.25">
      <c r="A1579" s="622" t="s">
        <v>27</v>
      </c>
      <c r="B1579" s="451">
        <f t="shared" ref="B1579:H1579" si="681">B1582*B1572</f>
        <v>287391.09310344834</v>
      </c>
      <c r="C1579" s="92">
        <f t="shared" si="681"/>
        <v>449179.35517241381</v>
      </c>
      <c r="D1579" s="92">
        <f t="shared" si="681"/>
        <v>360208.37068965513</v>
      </c>
      <c r="E1579" s="92">
        <f t="shared" si="681"/>
        <v>385586.85172413796</v>
      </c>
      <c r="F1579" s="92">
        <f t="shared" si="681"/>
        <v>686823.61034482764</v>
      </c>
      <c r="G1579" s="92">
        <f t="shared" si="681"/>
        <v>806305.6344827587</v>
      </c>
      <c r="H1579" s="92">
        <f t="shared" si="681"/>
        <v>348034.47241379321</v>
      </c>
      <c r="I1579" s="92">
        <f>'NOGAL '!$B1579+'NOGAL '!$C1579+'NOGAL '!$D1579+'NOGAL '!$E1579+'NOGAL '!$F1579+'NOGAL '!$G1579+'NOGAL '!$H1579</f>
        <v>3323529.3879310344</v>
      </c>
      <c r="J1579" s="715">
        <f>'NOGAL '!$I1579/7</f>
        <v>474789.91256157635</v>
      </c>
    </row>
    <row r="1580" spans="1:10" s="71" customFormat="1" x14ac:dyDescent="0.25">
      <c r="A1580" s="622" t="s">
        <v>28</v>
      </c>
      <c r="B1580" s="451">
        <f t="shared" ref="B1580:H1580" si="682">B1582*B1573</f>
        <v>143695.54655172417</v>
      </c>
      <c r="C1580" s="92">
        <f t="shared" si="682"/>
        <v>0</v>
      </c>
      <c r="D1580" s="92">
        <f t="shared" si="682"/>
        <v>24013.891379310346</v>
      </c>
      <c r="E1580" s="92">
        <f t="shared" si="682"/>
        <v>0</v>
      </c>
      <c r="F1580" s="92">
        <f t="shared" si="682"/>
        <v>98117.658620689661</v>
      </c>
      <c r="G1580" s="92">
        <f t="shared" si="682"/>
        <v>186070.53103448279</v>
      </c>
      <c r="H1580" s="92">
        <f t="shared" si="682"/>
        <v>49719.210344827596</v>
      </c>
      <c r="I1580" s="92">
        <f>'NOGAL '!$B1580+'NOGAL '!$C1580+'NOGAL '!$D1580+'NOGAL '!$E1580+'NOGAL '!$F1580+'NOGAL '!$G1580+'NOGAL '!$H1580</f>
        <v>501616.83793103462</v>
      </c>
      <c r="J1580" s="715">
        <f>'NOGAL '!$I1580/7</f>
        <v>71659.548275862093</v>
      </c>
    </row>
    <row r="1581" spans="1:10" s="71" customFormat="1" x14ac:dyDescent="0.25">
      <c r="A1581" s="622" t="s">
        <v>29</v>
      </c>
      <c r="B1581" s="451">
        <f t="shared" ref="B1581:H1581" si="683">B1582*B1574</f>
        <v>0</v>
      </c>
      <c r="C1581" s="92">
        <f t="shared" si="683"/>
        <v>0</v>
      </c>
      <c r="D1581" s="92">
        <f t="shared" si="683"/>
        <v>48027.782758620691</v>
      </c>
      <c r="E1581" s="92">
        <f t="shared" si="683"/>
        <v>0</v>
      </c>
      <c r="F1581" s="92">
        <f t="shared" si="683"/>
        <v>0</v>
      </c>
      <c r="G1581" s="92">
        <f t="shared" si="683"/>
        <v>0</v>
      </c>
      <c r="H1581" s="92">
        <f t="shared" si="683"/>
        <v>49719.210344827596</v>
      </c>
      <c r="I1581" s="92">
        <f>'NOGAL '!$B1581+'NOGAL '!$C1581+'NOGAL '!$D1581+'NOGAL '!$E1581+'NOGAL '!$F1581+'NOGAL '!$G1581+'NOGAL '!$H1581</f>
        <v>97746.993103448287</v>
      </c>
      <c r="J1581" s="715">
        <f>'NOGAL '!$I1581/7</f>
        <v>13963.85615763547</v>
      </c>
    </row>
    <row r="1582" spans="1:10" s="71" customFormat="1" x14ac:dyDescent="0.25">
      <c r="A1582" s="630" t="s">
        <v>30</v>
      </c>
      <c r="B1582" s="237">
        <f>(5903700/1.16)-B1583</f>
        <v>4789851.5517241387</v>
      </c>
      <c r="C1582" s="237">
        <f>(3037200/1.16)-C1583</f>
        <v>2495440.8620689656</v>
      </c>
      <c r="D1582" s="237">
        <f>(2928100/1.16)-D1583</f>
        <v>2401389.1379310344</v>
      </c>
      <c r="E1582" s="237">
        <f>(2469100/1.16)-E1583</f>
        <v>2029404.4827586208</v>
      </c>
      <c r="F1582" s="237">
        <f>(5993300/1.16)-F1583</f>
        <v>4905882.931034483</v>
      </c>
      <c r="G1582" s="237">
        <f>(7534700/1.16)-G1583</f>
        <v>6202351.0344827594</v>
      </c>
      <c r="H1582" s="237">
        <f>(6122400/1.16)-H1583</f>
        <v>4971921.0344827594</v>
      </c>
      <c r="I1582" s="91">
        <f>SUM(I1577:I1581)</f>
        <v>27796241.034482755</v>
      </c>
      <c r="J1582" s="716">
        <f>'NOGAL '!$I1582/7</f>
        <v>3970891.5763546792</v>
      </c>
    </row>
    <row r="1583" spans="1:10" s="71" customFormat="1" x14ac:dyDescent="0.25">
      <c r="A1583" s="622" t="s">
        <v>31</v>
      </c>
      <c r="B1583" s="452">
        <f t="shared" ref="B1583:G1583" si="684">2155*B1564</f>
        <v>299545</v>
      </c>
      <c r="C1583" s="94">
        <f t="shared" si="684"/>
        <v>122835</v>
      </c>
      <c r="D1583" s="94">
        <f t="shared" si="684"/>
        <v>122835</v>
      </c>
      <c r="E1583" s="94">
        <f t="shared" si="684"/>
        <v>99130</v>
      </c>
      <c r="F1583" s="94">
        <f t="shared" si="684"/>
        <v>260755</v>
      </c>
      <c r="G1583" s="94">
        <f t="shared" si="684"/>
        <v>293080</v>
      </c>
      <c r="H1583" s="94">
        <f>2155*H1564</f>
        <v>306010</v>
      </c>
      <c r="I1583" s="94">
        <f>2155*I1564</f>
        <v>1504190</v>
      </c>
      <c r="J1583" s="717">
        <f>2155*J1564</f>
        <v>214884.28571428571</v>
      </c>
    </row>
    <row r="1584" spans="1:10" s="71" customFormat="1" x14ac:dyDescent="0.25">
      <c r="A1584" s="633" t="s">
        <v>32</v>
      </c>
      <c r="B1584" s="453">
        <f>B1582+B1583</f>
        <v>5089396.5517241387</v>
      </c>
      <c r="C1584" s="39">
        <f>C1582+C1583</f>
        <v>2618275.8620689656</v>
      </c>
      <c r="D1584" s="39">
        <f t="shared" ref="D1584:J1584" si="685">D1582+D1583</f>
        <v>2524224.1379310344</v>
      </c>
      <c r="E1584" s="39">
        <f t="shared" si="685"/>
        <v>2128534.4827586208</v>
      </c>
      <c r="F1584" s="39">
        <f t="shared" si="685"/>
        <v>5166637.931034483</v>
      </c>
      <c r="G1584" s="39">
        <f t="shared" si="685"/>
        <v>6495431.0344827594</v>
      </c>
      <c r="H1584" s="39">
        <f t="shared" si="685"/>
        <v>5277931.0344827594</v>
      </c>
      <c r="I1584" s="39">
        <f t="shared" si="685"/>
        <v>29300431.034482755</v>
      </c>
      <c r="J1584" s="718">
        <f t="shared" si="685"/>
        <v>4185775.8620689651</v>
      </c>
    </row>
    <row r="1585" spans="1:10" s="71" customFormat="1" x14ac:dyDescent="0.25">
      <c r="A1585" s="622" t="s">
        <v>33</v>
      </c>
      <c r="B1585" s="454">
        <f>B1584*16%</f>
        <v>814303.44827586226</v>
      </c>
      <c r="C1585" s="41">
        <f>C1584*16%</f>
        <v>418924.13793103449</v>
      </c>
      <c r="D1585" s="41">
        <f t="shared" ref="D1585:J1585" si="686">D1584*16%</f>
        <v>403875.86206896551</v>
      </c>
      <c r="E1585" s="41">
        <f t="shared" si="686"/>
        <v>340565.5172413793</v>
      </c>
      <c r="F1585" s="41">
        <f t="shared" si="686"/>
        <v>826662.06896551733</v>
      </c>
      <c r="G1585" s="41">
        <f t="shared" si="686"/>
        <v>1039268.9655172415</v>
      </c>
      <c r="H1585" s="41">
        <f t="shared" si="686"/>
        <v>844468.96551724151</v>
      </c>
      <c r="I1585" s="41">
        <f t="shared" si="686"/>
        <v>4688068.9655172406</v>
      </c>
      <c r="J1585" s="719">
        <f t="shared" si="686"/>
        <v>669724.13793103443</v>
      </c>
    </row>
    <row r="1586" spans="1:10" s="71" customFormat="1" ht="15.75" thickBot="1" x14ac:dyDescent="0.3">
      <c r="A1586" s="636" t="s">
        <v>34</v>
      </c>
      <c r="B1586" s="637">
        <f t="shared" ref="B1586:H1586" si="687">B1584+B1585</f>
        <v>5903700.0000000009</v>
      </c>
      <c r="C1586" s="686">
        <f t="shared" si="687"/>
        <v>3037200</v>
      </c>
      <c r="D1586" s="686">
        <f t="shared" si="687"/>
        <v>2928100</v>
      </c>
      <c r="E1586" s="686">
        <f t="shared" si="687"/>
        <v>2469100</v>
      </c>
      <c r="F1586" s="686">
        <f t="shared" si="687"/>
        <v>5993300</v>
      </c>
      <c r="G1586" s="686">
        <f t="shared" si="687"/>
        <v>7534700.0000000009</v>
      </c>
      <c r="H1586" s="686">
        <f t="shared" si="687"/>
        <v>6122400.0000000009</v>
      </c>
      <c r="I1586" s="686">
        <f>+I1584+I1585</f>
        <v>33988499.999999993</v>
      </c>
      <c r="J1586" s="720">
        <f>'NOGAL '!$I1586/7</f>
        <v>4855499.9999999991</v>
      </c>
    </row>
    <row r="1587" spans="1:10" s="71" customFormat="1" ht="15.75" thickBot="1" x14ac:dyDescent="0.3">
      <c r="A1587" s="69"/>
      <c r="B1587" s="424"/>
      <c r="C1587" s="424"/>
      <c r="D1587" s="424"/>
      <c r="E1587" s="424"/>
      <c r="F1587" s="424"/>
      <c r="G1587" s="424"/>
      <c r="H1587" s="424"/>
      <c r="I1587" s="424"/>
      <c r="J1587" s="424"/>
    </row>
    <row r="1588" spans="1:10" s="71" customFormat="1" ht="27" thickBot="1" x14ac:dyDescent="0.3">
      <c r="A1588" s="85"/>
      <c r="B1588" s="1002" t="s">
        <v>399</v>
      </c>
      <c r="C1588" s="1002"/>
      <c r="D1588" s="1002"/>
      <c r="E1588" s="1002"/>
      <c r="F1588" s="1002"/>
      <c r="G1588" s="1002"/>
      <c r="H1588" s="1002"/>
      <c r="I1588" s="1002"/>
      <c r="J1588" s="85"/>
    </row>
    <row r="1589" spans="1:10" s="71" customFormat="1" ht="15.75" x14ac:dyDescent="0.25">
      <c r="A1589" s="614" t="s">
        <v>2</v>
      </c>
      <c r="B1589" s="706" t="s">
        <v>233</v>
      </c>
      <c r="C1589" s="641" t="s">
        <v>234</v>
      </c>
      <c r="D1589" s="641" t="s">
        <v>235</v>
      </c>
      <c r="E1589" s="641" t="s">
        <v>236</v>
      </c>
      <c r="F1589" s="641" t="s">
        <v>237</v>
      </c>
      <c r="G1589" s="641" t="s">
        <v>238</v>
      </c>
      <c r="H1589" s="641" t="s">
        <v>239</v>
      </c>
      <c r="I1589" s="618" t="s">
        <v>10</v>
      </c>
      <c r="J1589" s="711" t="s">
        <v>77</v>
      </c>
    </row>
    <row r="1590" spans="1:10" s="71" customFormat="1" x14ac:dyDescent="0.25">
      <c r="A1590" s="620" t="s">
        <v>11</v>
      </c>
      <c r="B1590" s="433">
        <f>60+23+8</f>
        <v>91</v>
      </c>
      <c r="C1590" s="75">
        <f>70+29+8</f>
        <v>107</v>
      </c>
      <c r="D1590" s="75">
        <f>53+36+11</f>
        <v>100</v>
      </c>
      <c r="E1590" s="316">
        <f>78+34+11</f>
        <v>123</v>
      </c>
      <c r="F1590" s="316">
        <f>113+59+24</f>
        <v>196</v>
      </c>
      <c r="G1590" s="316">
        <f>156+61+36</f>
        <v>253</v>
      </c>
      <c r="H1590" s="316">
        <f>122+64+15</f>
        <v>201</v>
      </c>
      <c r="I1590" s="316">
        <f>SUM(B1590:H1590)</f>
        <v>1071</v>
      </c>
      <c r="J1590" s="712">
        <f>'NOGAL '!$I1590/7</f>
        <v>153</v>
      </c>
    </row>
    <row r="1591" spans="1:10" s="71" customFormat="1" x14ac:dyDescent="0.25">
      <c r="A1591" s="622" t="s">
        <v>12</v>
      </c>
      <c r="B1591" s="448">
        <v>52</v>
      </c>
      <c r="C1591" s="86">
        <v>72</v>
      </c>
      <c r="D1591" s="11">
        <v>69</v>
      </c>
      <c r="E1591" s="86">
        <v>68</v>
      </c>
      <c r="F1591" s="86">
        <v>105</v>
      </c>
      <c r="G1591" s="86">
        <v>139</v>
      </c>
      <c r="H1591" s="11">
        <v>148</v>
      </c>
      <c r="I1591" s="11">
        <f>B1591+C1591+D1591+E1591+F1591+G1591+H1591</f>
        <v>653</v>
      </c>
      <c r="J1591" s="684">
        <f>'NOGAL '!$I1591/7</f>
        <v>93.285714285714292</v>
      </c>
    </row>
    <row r="1592" spans="1:10" s="71" customFormat="1" x14ac:dyDescent="0.25">
      <c r="A1592" s="622" t="s">
        <v>13</v>
      </c>
      <c r="B1592" s="448">
        <v>1</v>
      </c>
      <c r="C1592" s="11">
        <v>0</v>
      </c>
      <c r="D1592" s="11">
        <v>0</v>
      </c>
      <c r="E1592" s="11">
        <v>2</v>
      </c>
      <c r="F1592" s="11">
        <v>2</v>
      </c>
      <c r="G1592" s="11">
        <v>6</v>
      </c>
      <c r="H1592" s="11">
        <v>3</v>
      </c>
      <c r="I1592" s="11">
        <f>B1592+C1592+D1592+E1592+F1592+G1592+H1592</f>
        <v>14</v>
      </c>
      <c r="J1592" s="684">
        <f>C1592+D1592+E1592+F1592+G1592+H1592+I1592</f>
        <v>27</v>
      </c>
    </row>
    <row r="1593" spans="1:10" s="71" customFormat="1" x14ac:dyDescent="0.25">
      <c r="A1593" s="622" t="s">
        <v>14</v>
      </c>
      <c r="B1593" s="448">
        <v>14</v>
      </c>
      <c r="C1593" s="11">
        <v>14</v>
      </c>
      <c r="D1593" s="11">
        <v>17</v>
      </c>
      <c r="E1593" s="11">
        <v>33</v>
      </c>
      <c r="F1593" s="11">
        <v>42</v>
      </c>
      <c r="G1593" s="11">
        <v>20</v>
      </c>
      <c r="H1593" s="11">
        <v>14</v>
      </c>
      <c r="I1593" s="11">
        <f>B1593+C1593+D1593+E1593+F1593+G1593+H1593</f>
        <v>154</v>
      </c>
      <c r="J1593" s="684">
        <f>'NOGAL '!$I1593/7</f>
        <v>22</v>
      </c>
    </row>
    <row r="1594" spans="1:10" s="71" customFormat="1" x14ac:dyDescent="0.25">
      <c r="A1594" s="622" t="s">
        <v>15</v>
      </c>
      <c r="B1594" s="448">
        <v>2</v>
      </c>
      <c r="C1594" s="11">
        <v>1</v>
      </c>
      <c r="D1594" s="11">
        <v>0</v>
      </c>
      <c r="E1594" s="11">
        <v>0</v>
      </c>
      <c r="F1594" s="11">
        <v>0</v>
      </c>
      <c r="G1594" s="11">
        <v>11</v>
      </c>
      <c r="H1594" s="11">
        <v>3</v>
      </c>
      <c r="I1594" s="11">
        <f>B1594+C1594+D1594+E1594+F1594+G1594+H1594</f>
        <v>17</v>
      </c>
      <c r="J1594" s="684">
        <f>'NOGAL '!$I1594/7</f>
        <v>2.4285714285714284</v>
      </c>
    </row>
    <row r="1595" spans="1:10" s="71" customFormat="1" x14ac:dyDescent="0.25">
      <c r="A1595" s="622" t="s">
        <v>16</v>
      </c>
      <c r="B1595" s="448">
        <v>0</v>
      </c>
      <c r="C1595" s="11">
        <v>0</v>
      </c>
      <c r="D1595" s="11">
        <v>0</v>
      </c>
      <c r="E1595" s="11">
        <v>0</v>
      </c>
      <c r="F1595" s="11">
        <v>0</v>
      </c>
      <c r="G1595" s="11">
        <v>0</v>
      </c>
      <c r="H1595" s="11">
        <v>0</v>
      </c>
      <c r="I1595" s="11">
        <f>B1595+C1595+D1595+E1595+F1595+G1595+H1595</f>
        <v>0</v>
      </c>
      <c r="J1595" s="684">
        <f>'NOGAL '!$I1595/7</f>
        <v>0</v>
      </c>
    </row>
    <row r="1596" spans="1:10" s="71" customFormat="1" x14ac:dyDescent="0.25">
      <c r="A1596" s="624" t="s">
        <v>17</v>
      </c>
      <c r="B1596" s="102">
        <f t="shared" ref="B1596:I1596" si="688">SUM(B1591:B1595)</f>
        <v>69</v>
      </c>
      <c r="C1596" s="103">
        <f t="shared" si="688"/>
        <v>87</v>
      </c>
      <c r="D1596" s="103">
        <f t="shared" si="688"/>
        <v>86</v>
      </c>
      <c r="E1596" s="103">
        <f t="shared" si="688"/>
        <v>103</v>
      </c>
      <c r="F1596" s="103">
        <f t="shared" si="688"/>
        <v>149</v>
      </c>
      <c r="G1596" s="103">
        <f t="shared" si="688"/>
        <v>176</v>
      </c>
      <c r="H1596" s="103">
        <f t="shared" si="688"/>
        <v>168</v>
      </c>
      <c r="I1596" s="103">
        <f t="shared" si="688"/>
        <v>838</v>
      </c>
      <c r="J1596" s="713">
        <f>'NOGAL '!$I1596/7</f>
        <v>119.71428571428571</v>
      </c>
    </row>
    <row r="1597" spans="1:10" s="71" customFormat="1" x14ac:dyDescent="0.25">
      <c r="A1597" s="622" t="s">
        <v>18</v>
      </c>
      <c r="B1597" s="449">
        <v>0.83</v>
      </c>
      <c r="C1597" s="236">
        <v>0.83</v>
      </c>
      <c r="D1597" s="236">
        <v>0.83</v>
      </c>
      <c r="E1597" s="236">
        <v>0.76</v>
      </c>
      <c r="F1597" s="236">
        <v>0.8</v>
      </c>
      <c r="G1597" s="236">
        <v>0.83</v>
      </c>
      <c r="H1597" s="236">
        <v>0.9</v>
      </c>
      <c r="I1597" s="18">
        <f>I1604/I1609</f>
        <v>0.8296432113096387</v>
      </c>
      <c r="J1597" s="714">
        <f>J1604/J1609</f>
        <v>0.82964321130963881</v>
      </c>
    </row>
    <row r="1598" spans="1:10" s="71" customFormat="1" x14ac:dyDescent="0.25">
      <c r="A1598" s="622" t="s">
        <v>19</v>
      </c>
      <c r="B1598" s="449">
        <v>0.03</v>
      </c>
      <c r="C1598" s="236">
        <v>0</v>
      </c>
      <c r="D1598" s="236">
        <v>0</v>
      </c>
      <c r="E1598" s="236">
        <v>0.02</v>
      </c>
      <c r="F1598" s="236">
        <v>0.01</v>
      </c>
      <c r="G1598" s="236">
        <v>0.04</v>
      </c>
      <c r="H1598" s="236">
        <v>0.02</v>
      </c>
      <c r="I1598" s="18">
        <f>I1605/I1609</f>
        <v>1.9807365518469518E-2</v>
      </c>
      <c r="J1598" s="714">
        <f>J1605/J1609</f>
        <v>1.9807365518469518E-2</v>
      </c>
    </row>
    <row r="1599" spans="1:10" s="71" customFormat="1" x14ac:dyDescent="0.25">
      <c r="A1599" s="622" t="s">
        <v>20</v>
      </c>
      <c r="B1599" s="449">
        <v>0.12</v>
      </c>
      <c r="C1599" s="236">
        <v>0.15</v>
      </c>
      <c r="D1599" s="236">
        <v>0.17</v>
      </c>
      <c r="E1599" s="236">
        <v>0.22</v>
      </c>
      <c r="F1599" s="236">
        <v>0.19</v>
      </c>
      <c r="G1599" s="236">
        <v>0.08</v>
      </c>
      <c r="H1599" s="236">
        <v>0.06</v>
      </c>
      <c r="I1599" s="18">
        <f>I1606/I1609</f>
        <v>0.13167005275293137</v>
      </c>
      <c r="J1599" s="714">
        <f>J1606/J1609</f>
        <v>0.13167005275293134</v>
      </c>
    </row>
    <row r="1600" spans="1:10" s="71" customFormat="1" x14ac:dyDescent="0.25">
      <c r="A1600" s="622" t="s">
        <v>21</v>
      </c>
      <c r="B1600" s="449">
        <v>0.02</v>
      </c>
      <c r="C1600" s="236">
        <v>0.02</v>
      </c>
      <c r="D1600" s="236">
        <v>0</v>
      </c>
      <c r="E1600" s="236">
        <v>0</v>
      </c>
      <c r="F1600" s="236">
        <v>0</v>
      </c>
      <c r="G1600" s="236">
        <v>0.05</v>
      </c>
      <c r="H1600" s="236">
        <v>0.02</v>
      </c>
      <c r="I1600" s="18">
        <f>I1607/I1609</f>
        <v>1.8879370418960293E-2</v>
      </c>
      <c r="J1600" s="714">
        <f>J1607/J1609</f>
        <v>1.8879370418960293E-2</v>
      </c>
    </row>
    <row r="1601" spans="1:10" s="71" customFormat="1" x14ac:dyDescent="0.25">
      <c r="A1601" s="622" t="s">
        <v>22</v>
      </c>
      <c r="B1601" s="449">
        <v>0</v>
      </c>
      <c r="C1601" s="236">
        <v>0</v>
      </c>
      <c r="D1601" s="236">
        <v>0</v>
      </c>
      <c r="E1601" s="236">
        <v>0</v>
      </c>
      <c r="F1601" s="236">
        <v>0</v>
      </c>
      <c r="G1601" s="236">
        <v>0</v>
      </c>
      <c r="H1601" s="236">
        <v>0</v>
      </c>
      <c r="I1601" s="18">
        <f>I1608/I1609</f>
        <v>0</v>
      </c>
      <c r="J1601" s="714">
        <f>J1608/J1609</f>
        <v>0</v>
      </c>
    </row>
    <row r="1602" spans="1:10" s="71" customFormat="1" x14ac:dyDescent="0.25">
      <c r="A1602" s="627" t="s">
        <v>23</v>
      </c>
      <c r="B1602" s="450">
        <f t="shared" ref="B1602:J1602" si="689">B1613/B1596</f>
        <v>39657.971014492752</v>
      </c>
      <c r="C1602" s="130">
        <f t="shared" si="689"/>
        <v>33673.563218390802</v>
      </c>
      <c r="D1602" s="130">
        <f t="shared" si="689"/>
        <v>36153.488372093023</v>
      </c>
      <c r="E1602" s="130">
        <f t="shared" si="689"/>
        <v>35433.009708737867</v>
      </c>
      <c r="F1602" s="130">
        <f t="shared" si="689"/>
        <v>39143.624161073829</v>
      </c>
      <c r="G1602" s="130">
        <f t="shared" si="689"/>
        <v>41025.568181818184</v>
      </c>
      <c r="H1602" s="130">
        <f t="shared" si="689"/>
        <v>36283.333333333336</v>
      </c>
      <c r="I1602" s="130">
        <f t="shared" si="689"/>
        <v>37676.968973747018</v>
      </c>
      <c r="J1602" s="685">
        <f t="shared" si="689"/>
        <v>37676.968973747025</v>
      </c>
    </row>
    <row r="1603" spans="1:10" s="71" customFormat="1" x14ac:dyDescent="0.25">
      <c r="A1603" s="627" t="s">
        <v>24</v>
      </c>
      <c r="B1603" s="450">
        <f t="shared" ref="B1603:J1603" si="690">B1613/B1590</f>
        <v>30070.329670329669</v>
      </c>
      <c r="C1603" s="130">
        <f t="shared" si="690"/>
        <v>27379.439252336448</v>
      </c>
      <c r="D1603" s="130">
        <f t="shared" si="690"/>
        <v>31092</v>
      </c>
      <c r="E1603" s="130">
        <f t="shared" si="690"/>
        <v>29671.544715447159</v>
      </c>
      <c r="F1603" s="130">
        <f t="shared" si="690"/>
        <v>29757.142857142862</v>
      </c>
      <c r="G1603" s="130">
        <f t="shared" si="690"/>
        <v>28539.525691699604</v>
      </c>
      <c r="H1603" s="130">
        <f t="shared" si="690"/>
        <v>30326.368159203983</v>
      </c>
      <c r="I1603" s="130">
        <f t="shared" si="690"/>
        <v>29480.205415499535</v>
      </c>
      <c r="J1603" s="685">
        <f t="shared" si="690"/>
        <v>29480.205415499535</v>
      </c>
    </row>
    <row r="1604" spans="1:10" s="71" customFormat="1" x14ac:dyDescent="0.25">
      <c r="A1604" s="622" t="s">
        <v>25</v>
      </c>
      <c r="B1604" s="451">
        <f t="shared" ref="B1604:H1604" si="691">B1609*B1597</f>
        <v>1853753.1393103446</v>
      </c>
      <c r="C1604" s="92">
        <f t="shared" si="691"/>
        <v>1951918.6703448275</v>
      </c>
      <c r="D1604" s="92">
        <f t="shared" si="691"/>
        <v>2086436.4268965519</v>
      </c>
      <c r="E1604" s="92">
        <f t="shared" si="691"/>
        <v>2266361.7213793108</v>
      </c>
      <c r="F1604" s="92">
        <f t="shared" si="691"/>
        <v>3819568.8275862075</v>
      </c>
      <c r="G1604" s="92">
        <f t="shared" si="691"/>
        <v>4887889.0613793107</v>
      </c>
      <c r="H1604" s="92">
        <f t="shared" si="691"/>
        <v>4407800.0275862077</v>
      </c>
      <c r="I1604" s="92">
        <f>'NOGAL '!$B1604+'NOGAL '!$C1604+'NOGAL '!$D1604+'NOGAL '!$E1604+'NOGAL '!$F1604+'NOGAL '!$G1604+'NOGAL '!$H1604</f>
        <v>21273727.874482758</v>
      </c>
      <c r="J1604" s="715">
        <f>'NOGAL '!$I1604/7</f>
        <v>3039103.9820689657</v>
      </c>
    </row>
    <row r="1605" spans="1:10" s="71" customFormat="1" x14ac:dyDescent="0.25">
      <c r="A1605" s="622" t="s">
        <v>26</v>
      </c>
      <c r="B1605" s="451">
        <f t="shared" ref="B1605:H1605" si="692">B1609*B1598</f>
        <v>67003.12551724138</v>
      </c>
      <c r="C1605" s="92">
        <f t="shared" si="692"/>
        <v>0</v>
      </c>
      <c r="D1605" s="92">
        <f t="shared" si="692"/>
        <v>0</v>
      </c>
      <c r="E1605" s="92">
        <f t="shared" si="692"/>
        <v>59641.097931034492</v>
      </c>
      <c r="F1605" s="92">
        <f t="shared" si="692"/>
        <v>47744.610344827597</v>
      </c>
      <c r="G1605" s="92">
        <f t="shared" si="692"/>
        <v>235560.91862068966</v>
      </c>
      <c r="H1605" s="92">
        <f t="shared" si="692"/>
        <v>97951.11172413794</v>
      </c>
      <c r="I1605" s="92">
        <f>'NOGAL '!$B1605+'NOGAL '!$C1605+'NOGAL '!$D1605+'NOGAL '!$E1605+'NOGAL '!$F1605+'NOGAL '!$G1605+'NOGAL '!$H1605</f>
        <v>507900.86413793103</v>
      </c>
      <c r="J1605" s="715">
        <f>'NOGAL '!$I1605/7</f>
        <v>72557.266305418714</v>
      </c>
    </row>
    <row r="1606" spans="1:10" s="71" customFormat="1" x14ac:dyDescent="0.25">
      <c r="A1606" s="622" t="s">
        <v>27</v>
      </c>
      <c r="B1606" s="451">
        <f t="shared" ref="B1606:H1606" si="693">B1609*B1599</f>
        <v>268012.50206896552</v>
      </c>
      <c r="C1606" s="92">
        <f t="shared" si="693"/>
        <v>352756.38620689657</v>
      </c>
      <c r="D1606" s="92">
        <f t="shared" si="693"/>
        <v>427342.40068965522</v>
      </c>
      <c r="E1606" s="92">
        <f t="shared" si="693"/>
        <v>656052.07724137942</v>
      </c>
      <c r="F1606" s="92">
        <f t="shared" si="693"/>
        <v>907147.59655172424</v>
      </c>
      <c r="G1606" s="92">
        <f t="shared" si="693"/>
        <v>471121.83724137931</v>
      </c>
      <c r="H1606" s="92">
        <f t="shared" si="693"/>
        <v>293853.33517241379</v>
      </c>
      <c r="I1606" s="92">
        <f>'NOGAL '!$B1606+'NOGAL '!$C1606+'NOGAL '!$D1606+'NOGAL '!$E1606+'NOGAL '!$F1606+'NOGAL '!$G1606+'NOGAL '!$H1606</f>
        <v>3376286.1351724146</v>
      </c>
      <c r="J1606" s="715">
        <f>'NOGAL '!$I1606/7</f>
        <v>482326.59073891636</v>
      </c>
    </row>
    <row r="1607" spans="1:10" s="71" customFormat="1" x14ac:dyDescent="0.25">
      <c r="A1607" s="622" t="s">
        <v>28</v>
      </c>
      <c r="B1607" s="451">
        <f t="shared" ref="B1607:H1607" si="694">B1609*B1600</f>
        <v>44668.750344827589</v>
      </c>
      <c r="C1607" s="92">
        <f t="shared" si="694"/>
        <v>47034.184827586207</v>
      </c>
      <c r="D1607" s="92">
        <f t="shared" si="694"/>
        <v>0</v>
      </c>
      <c r="E1607" s="92">
        <f t="shared" si="694"/>
        <v>0</v>
      </c>
      <c r="F1607" s="92">
        <f t="shared" si="694"/>
        <v>0</v>
      </c>
      <c r="G1607" s="92">
        <f t="shared" si="694"/>
        <v>294451.1482758621</v>
      </c>
      <c r="H1607" s="92">
        <f t="shared" si="694"/>
        <v>97951.11172413794</v>
      </c>
      <c r="I1607" s="92">
        <f>'NOGAL '!$B1607+'NOGAL '!$C1607+'NOGAL '!$D1607+'NOGAL '!$E1607+'NOGAL '!$F1607+'NOGAL '!$G1607+'NOGAL '!$H1607</f>
        <v>484105.19517241383</v>
      </c>
      <c r="J1607" s="715">
        <f>'NOGAL '!$I1607/7</f>
        <v>69157.885024630552</v>
      </c>
    </row>
    <row r="1608" spans="1:10" s="71" customFormat="1" x14ac:dyDescent="0.25">
      <c r="A1608" s="622" t="s">
        <v>29</v>
      </c>
      <c r="B1608" s="451">
        <f t="shared" ref="B1608:H1608" si="695">B1609*B1601</f>
        <v>0</v>
      </c>
      <c r="C1608" s="92">
        <f t="shared" si="695"/>
        <v>0</v>
      </c>
      <c r="D1608" s="92">
        <f t="shared" si="695"/>
        <v>0</v>
      </c>
      <c r="E1608" s="92">
        <f t="shared" si="695"/>
        <v>0</v>
      </c>
      <c r="F1608" s="92">
        <f t="shared" si="695"/>
        <v>0</v>
      </c>
      <c r="G1608" s="92">
        <f t="shared" si="695"/>
        <v>0</v>
      </c>
      <c r="H1608" s="92">
        <f t="shared" si="695"/>
        <v>0</v>
      </c>
      <c r="I1608" s="92">
        <f>'NOGAL '!$B1608+'NOGAL '!$C1608+'NOGAL '!$D1608+'NOGAL '!$E1608+'NOGAL '!$F1608+'NOGAL '!$G1608+'NOGAL '!$H1608</f>
        <v>0</v>
      </c>
      <c r="J1608" s="715">
        <f>'NOGAL '!$I1608/7</f>
        <v>0</v>
      </c>
    </row>
    <row r="1609" spans="1:10" s="71" customFormat="1" x14ac:dyDescent="0.25">
      <c r="A1609" s="630" t="s">
        <v>30</v>
      </c>
      <c r="B1609" s="237">
        <f>(2736400/1.16)-B1610</f>
        <v>2233437.5172413792</v>
      </c>
      <c r="C1609" s="237">
        <f>(2929600/1.16)-C1610</f>
        <v>2351709.2413793104</v>
      </c>
      <c r="D1609" s="237">
        <f>(3109200/1.16)-D1610</f>
        <v>2513778.8275862071</v>
      </c>
      <c r="E1609" s="237">
        <f>(3649600/1.16)-E1610</f>
        <v>2982054.8965517245</v>
      </c>
      <c r="F1609" s="237">
        <f>(5832400/1.16)-F1610</f>
        <v>4774461.0344827594</v>
      </c>
      <c r="G1609" s="237">
        <f>(7220500/1.16)-G1610</f>
        <v>5889022.9655172415</v>
      </c>
      <c r="H1609" s="237">
        <f>(6095600/1.16)-H1610</f>
        <v>4897555.5862068972</v>
      </c>
      <c r="I1609" s="91">
        <f>SUM(I1604:I1608)</f>
        <v>25642020.068965521</v>
      </c>
      <c r="J1609" s="716">
        <f>'NOGAL '!$I1609/7</f>
        <v>3663145.7241379316</v>
      </c>
    </row>
    <row r="1610" spans="1:10" s="71" customFormat="1" x14ac:dyDescent="0.25">
      <c r="A1610" s="622" t="s">
        <v>31</v>
      </c>
      <c r="B1610" s="452">
        <f t="shared" ref="B1610:I1610" si="696">2414*B1591</f>
        <v>125528</v>
      </c>
      <c r="C1610" s="94">
        <f t="shared" si="696"/>
        <v>173808</v>
      </c>
      <c r="D1610" s="94">
        <f t="shared" si="696"/>
        <v>166566</v>
      </c>
      <c r="E1610" s="94">
        <f t="shared" si="696"/>
        <v>164152</v>
      </c>
      <c r="F1610" s="94">
        <f t="shared" si="696"/>
        <v>253470</v>
      </c>
      <c r="G1610" s="94">
        <f t="shared" si="696"/>
        <v>335546</v>
      </c>
      <c r="H1610" s="94">
        <f t="shared" si="696"/>
        <v>357272</v>
      </c>
      <c r="I1610" s="94">
        <f t="shared" si="696"/>
        <v>1576342</v>
      </c>
      <c r="J1610" s="717">
        <f>2155*J1591</f>
        <v>201030.71428571429</v>
      </c>
    </row>
    <row r="1611" spans="1:10" s="71" customFormat="1" x14ac:dyDescent="0.25">
      <c r="A1611" s="633" t="s">
        <v>32</v>
      </c>
      <c r="B1611" s="453">
        <f>B1609+B1610</f>
        <v>2358965.5172413792</v>
      </c>
      <c r="C1611" s="39">
        <f>C1609+C1610</f>
        <v>2525517.2413793104</v>
      </c>
      <c r="D1611" s="39">
        <f t="shared" ref="D1611:J1611" si="697">D1609+D1610</f>
        <v>2680344.8275862071</v>
      </c>
      <c r="E1611" s="39">
        <f t="shared" si="697"/>
        <v>3146206.8965517245</v>
      </c>
      <c r="F1611" s="39">
        <f t="shared" si="697"/>
        <v>5027931.0344827594</v>
      </c>
      <c r="G1611" s="39">
        <f t="shared" si="697"/>
        <v>6224568.9655172415</v>
      </c>
      <c r="H1611" s="39">
        <f t="shared" si="697"/>
        <v>5254827.5862068972</v>
      </c>
      <c r="I1611" s="39">
        <f t="shared" si="697"/>
        <v>27218362.068965521</v>
      </c>
      <c r="J1611" s="718">
        <f t="shared" si="697"/>
        <v>3864176.4384236457</v>
      </c>
    </row>
    <row r="1612" spans="1:10" s="71" customFormat="1" x14ac:dyDescent="0.25">
      <c r="A1612" s="622" t="s">
        <v>33</v>
      </c>
      <c r="B1612" s="454">
        <f>B1611*16%</f>
        <v>377434.4827586207</v>
      </c>
      <c r="C1612" s="41">
        <f>C1611*16%</f>
        <v>404082.75862068968</v>
      </c>
      <c r="D1612" s="41">
        <f t="shared" ref="D1612:J1612" si="698">D1611*16%</f>
        <v>428855.17241379316</v>
      </c>
      <c r="E1612" s="41">
        <f t="shared" si="698"/>
        <v>503393.10344827594</v>
      </c>
      <c r="F1612" s="41">
        <f t="shared" si="698"/>
        <v>804468.96551724151</v>
      </c>
      <c r="G1612" s="41">
        <f t="shared" si="698"/>
        <v>995931.03448275861</v>
      </c>
      <c r="H1612" s="41">
        <f t="shared" si="698"/>
        <v>840772.41379310354</v>
      </c>
      <c r="I1612" s="41">
        <f t="shared" si="698"/>
        <v>4354937.931034483</v>
      </c>
      <c r="J1612" s="719">
        <f t="shared" si="698"/>
        <v>618268.2301477833</v>
      </c>
    </row>
    <row r="1613" spans="1:10" s="71" customFormat="1" ht="15.75" thickBot="1" x14ac:dyDescent="0.3">
      <c r="A1613" s="636" t="s">
        <v>34</v>
      </c>
      <c r="B1613" s="637">
        <f t="shared" ref="B1613:H1613" si="699">B1611+B1612</f>
        <v>2736400</v>
      </c>
      <c r="C1613" s="686">
        <f t="shared" si="699"/>
        <v>2929600</v>
      </c>
      <c r="D1613" s="686">
        <f t="shared" si="699"/>
        <v>3109200</v>
      </c>
      <c r="E1613" s="686">
        <f t="shared" si="699"/>
        <v>3649600.0000000005</v>
      </c>
      <c r="F1613" s="686">
        <f t="shared" si="699"/>
        <v>5832400.0000000009</v>
      </c>
      <c r="G1613" s="686">
        <f t="shared" si="699"/>
        <v>7220500</v>
      </c>
      <c r="H1613" s="686">
        <f t="shared" si="699"/>
        <v>6095600.0000000009</v>
      </c>
      <c r="I1613" s="686">
        <f>+I1611+I1612</f>
        <v>31573300.000000004</v>
      </c>
      <c r="J1613" s="720">
        <f>'NOGAL '!$I1613/7</f>
        <v>4510471.4285714291</v>
      </c>
    </row>
    <row r="1614" spans="1:10" s="71" customFormat="1" ht="15.75" thickBot="1" x14ac:dyDescent="0.3">
      <c r="A1614" s="69"/>
      <c r="B1614" s="424"/>
      <c r="C1614" s="424"/>
      <c r="D1614" s="424"/>
      <c r="E1614" s="424"/>
      <c r="F1614" s="424"/>
      <c r="G1614" s="424"/>
      <c r="H1614" s="424"/>
      <c r="I1614" s="424"/>
      <c r="J1614" s="424"/>
    </row>
    <row r="1615" spans="1:10" s="71" customFormat="1" ht="27" thickBot="1" x14ac:dyDescent="0.3">
      <c r="A1615" s="85"/>
      <c r="B1615" s="1002" t="s">
        <v>607</v>
      </c>
      <c r="C1615" s="1002"/>
      <c r="D1615" s="1002"/>
      <c r="E1615" s="1002"/>
      <c r="F1615" s="1002"/>
      <c r="G1615" s="1002"/>
      <c r="H1615" s="1002"/>
      <c r="I1615" s="1002"/>
      <c r="J1615" s="85"/>
    </row>
    <row r="1616" spans="1:10" s="71" customFormat="1" ht="15.75" x14ac:dyDescent="0.25">
      <c r="A1616" s="614" t="s">
        <v>2</v>
      </c>
      <c r="B1616" s="706" t="s">
        <v>241</v>
      </c>
      <c r="C1616" s="641" t="s">
        <v>255</v>
      </c>
      <c r="D1616" s="641" t="s">
        <v>256</v>
      </c>
      <c r="E1616" s="641" t="s">
        <v>324</v>
      </c>
      <c r="F1616" s="641" t="s">
        <v>325</v>
      </c>
      <c r="G1616" s="641" t="s">
        <v>326</v>
      </c>
      <c r="H1616" s="641" t="s">
        <v>327</v>
      </c>
      <c r="I1616" s="618" t="s">
        <v>10</v>
      </c>
      <c r="J1616" s="711" t="s">
        <v>77</v>
      </c>
    </row>
    <row r="1617" spans="1:10" s="71" customFormat="1" x14ac:dyDescent="0.25">
      <c r="A1617" s="620" t="s">
        <v>11</v>
      </c>
      <c r="B1617" s="433">
        <f>58+19+6</f>
        <v>83</v>
      </c>
      <c r="C1617" s="75">
        <f>73+31+11</f>
        <v>115</v>
      </c>
      <c r="D1617" s="75">
        <f>87+29+10</f>
        <v>126</v>
      </c>
      <c r="E1617" s="316">
        <f>72+32+13</f>
        <v>117</v>
      </c>
      <c r="F1617" s="316">
        <f>147+53+24</f>
        <v>224</v>
      </c>
      <c r="G1617" s="316">
        <f>153+91+30</f>
        <v>274</v>
      </c>
      <c r="H1617" s="316">
        <f>157+61+26</f>
        <v>244</v>
      </c>
      <c r="I1617" s="316">
        <f>SUM(B1617:H1617)</f>
        <v>1183</v>
      </c>
      <c r="J1617" s="712">
        <f>'NOGAL '!$I1617/7</f>
        <v>169</v>
      </c>
    </row>
    <row r="1618" spans="1:10" s="71" customFormat="1" x14ac:dyDescent="0.25">
      <c r="A1618" s="622" t="s">
        <v>12</v>
      </c>
      <c r="B1618" s="448">
        <v>42</v>
      </c>
      <c r="C1618" s="86">
        <v>60</v>
      </c>
      <c r="D1618" s="11">
        <v>74</v>
      </c>
      <c r="E1618" s="86">
        <v>66</v>
      </c>
      <c r="F1618" s="86">
        <v>125</v>
      </c>
      <c r="G1618" s="86">
        <v>161</v>
      </c>
      <c r="H1618" s="11">
        <v>164</v>
      </c>
      <c r="I1618" s="11">
        <f>B1618+C1618+D1618+E1618+F1618+G1618+H1618</f>
        <v>692</v>
      </c>
      <c r="J1618" s="684">
        <f>'NOGAL '!$I1618/7</f>
        <v>98.857142857142861</v>
      </c>
    </row>
    <row r="1619" spans="1:10" s="71" customFormat="1" x14ac:dyDescent="0.25">
      <c r="A1619" s="622" t="s">
        <v>13</v>
      </c>
      <c r="B1619" s="448">
        <v>1</v>
      </c>
      <c r="C1619" s="11">
        <v>2</v>
      </c>
      <c r="D1619" s="11">
        <v>3</v>
      </c>
      <c r="E1619" s="11">
        <v>3</v>
      </c>
      <c r="F1619" s="11">
        <v>3</v>
      </c>
      <c r="G1619" s="11">
        <v>6</v>
      </c>
      <c r="H1619" s="11">
        <v>3</v>
      </c>
      <c r="I1619" s="11">
        <f>B1619+C1619+D1619+E1619+F1619+G1619+H1619</f>
        <v>21</v>
      </c>
      <c r="J1619" s="684">
        <f>C1619+D1619+E1619+F1619+G1619+H1619+I1619</f>
        <v>41</v>
      </c>
    </row>
    <row r="1620" spans="1:10" s="71" customFormat="1" x14ac:dyDescent="0.25">
      <c r="A1620" s="622" t="s">
        <v>14</v>
      </c>
      <c r="B1620" s="448">
        <v>22</v>
      </c>
      <c r="C1620" s="11">
        <v>23</v>
      </c>
      <c r="D1620" s="11">
        <v>22</v>
      </c>
      <c r="E1620" s="11">
        <v>23</v>
      </c>
      <c r="F1620" s="11">
        <v>24</v>
      </c>
      <c r="G1620" s="11">
        <v>28</v>
      </c>
      <c r="H1620" s="11">
        <v>17</v>
      </c>
      <c r="I1620" s="11">
        <f>B1620+C1620+D1620+E1620+F1620+G1620+H1620</f>
        <v>159</v>
      </c>
      <c r="J1620" s="684">
        <f>'NOGAL '!$I1620/7</f>
        <v>22.714285714285715</v>
      </c>
    </row>
    <row r="1621" spans="1:10" s="71" customFormat="1" x14ac:dyDescent="0.25">
      <c r="A1621" s="622" t="s">
        <v>15</v>
      </c>
      <c r="B1621" s="448">
        <v>1</v>
      </c>
      <c r="C1621" s="11">
        <v>3</v>
      </c>
      <c r="D1621" s="11">
        <v>1</v>
      </c>
      <c r="E1621" s="11">
        <v>1</v>
      </c>
      <c r="F1621" s="11">
        <v>6</v>
      </c>
      <c r="G1621" s="11">
        <v>7</v>
      </c>
      <c r="H1621" s="11">
        <v>10</v>
      </c>
      <c r="I1621" s="11">
        <f>B1621+C1621+D1621+E1621+F1621+G1621+H1621</f>
        <v>29</v>
      </c>
      <c r="J1621" s="684">
        <f>'NOGAL '!$I1621/7</f>
        <v>4.1428571428571432</v>
      </c>
    </row>
    <row r="1622" spans="1:10" s="71" customFormat="1" x14ac:dyDescent="0.25">
      <c r="A1622" s="622" t="s">
        <v>16</v>
      </c>
      <c r="B1622" s="448">
        <v>0</v>
      </c>
      <c r="C1622" s="11">
        <v>0</v>
      </c>
      <c r="D1622" s="11">
        <v>0</v>
      </c>
      <c r="E1622" s="11">
        <v>0</v>
      </c>
      <c r="F1622" s="11">
        <v>1</v>
      </c>
      <c r="G1622" s="11">
        <v>0</v>
      </c>
      <c r="H1622" s="11">
        <v>2</v>
      </c>
      <c r="I1622" s="11">
        <f>B1622+C1622+D1622+E1622+F1622+G1622+H1622</f>
        <v>3</v>
      </c>
      <c r="J1622" s="684">
        <f>'NOGAL '!$I1622/7</f>
        <v>0.42857142857142855</v>
      </c>
    </row>
    <row r="1623" spans="1:10" s="71" customFormat="1" x14ac:dyDescent="0.25">
      <c r="A1623" s="624" t="s">
        <v>17</v>
      </c>
      <c r="B1623" s="102">
        <f t="shared" ref="B1623:I1623" si="700">SUM(B1618:B1622)</f>
        <v>66</v>
      </c>
      <c r="C1623" s="103">
        <f t="shared" si="700"/>
        <v>88</v>
      </c>
      <c r="D1623" s="103">
        <f t="shared" si="700"/>
        <v>100</v>
      </c>
      <c r="E1623" s="103">
        <f t="shared" si="700"/>
        <v>93</v>
      </c>
      <c r="F1623" s="103">
        <f t="shared" si="700"/>
        <v>159</v>
      </c>
      <c r="G1623" s="103">
        <f t="shared" si="700"/>
        <v>202</v>
      </c>
      <c r="H1623" s="103">
        <f t="shared" si="700"/>
        <v>196</v>
      </c>
      <c r="I1623" s="103">
        <f t="shared" si="700"/>
        <v>904</v>
      </c>
      <c r="J1623" s="713">
        <f>'NOGAL '!$I1623/7</f>
        <v>129.14285714285714</v>
      </c>
    </row>
    <row r="1624" spans="1:10" s="71" customFormat="1" x14ac:dyDescent="0.25">
      <c r="A1624" s="622" t="s">
        <v>18</v>
      </c>
      <c r="B1624" s="449">
        <v>0.79</v>
      </c>
      <c r="C1624" s="236">
        <v>0.75</v>
      </c>
      <c r="D1624" s="236">
        <v>0.81</v>
      </c>
      <c r="E1624" s="236">
        <v>0.78</v>
      </c>
      <c r="F1624" s="236">
        <v>0.84</v>
      </c>
      <c r="G1624" s="236">
        <v>0.84</v>
      </c>
      <c r="H1624" s="236">
        <v>0.87</v>
      </c>
      <c r="I1624" s="18">
        <f>I1631/I1636</f>
        <v>0.82568934292676865</v>
      </c>
      <c r="J1624" s="714">
        <f>J1631/J1636</f>
        <v>0.82568934292676865</v>
      </c>
    </row>
    <row r="1625" spans="1:10" s="71" customFormat="1" x14ac:dyDescent="0.25">
      <c r="A1625" s="622" t="s">
        <v>19</v>
      </c>
      <c r="B1625" s="449">
        <v>0.01</v>
      </c>
      <c r="C1625" s="236">
        <v>0.01</v>
      </c>
      <c r="D1625" s="236">
        <v>0.01</v>
      </c>
      <c r="E1625" s="236">
        <v>0.02</v>
      </c>
      <c r="F1625" s="236">
        <v>0.01</v>
      </c>
      <c r="G1625" s="236">
        <v>0.03</v>
      </c>
      <c r="H1625" s="236">
        <v>0.01</v>
      </c>
      <c r="I1625" s="18">
        <f>I1632/I1636</f>
        <v>1.5701365851413355E-2</v>
      </c>
      <c r="J1625" s="714">
        <f>J1632/J1636</f>
        <v>1.5701365851413355E-2</v>
      </c>
    </row>
    <row r="1626" spans="1:10" s="71" customFormat="1" x14ac:dyDescent="0.25">
      <c r="A1626" s="622" t="s">
        <v>20</v>
      </c>
      <c r="B1626" s="449">
        <v>0.19</v>
      </c>
      <c r="C1626" s="236">
        <v>0.22</v>
      </c>
      <c r="D1626" s="236">
        <v>0.15</v>
      </c>
      <c r="E1626" s="236">
        <v>0.19</v>
      </c>
      <c r="F1626" s="236">
        <v>0.11</v>
      </c>
      <c r="G1626" s="236">
        <v>0.1</v>
      </c>
      <c r="H1626" s="236">
        <v>0.05</v>
      </c>
      <c r="I1626" s="18">
        <f>I1633/I1636</f>
        <v>0.122475518394474</v>
      </c>
      <c r="J1626" s="714">
        <f>J1633/J1636</f>
        <v>0.122475518394474</v>
      </c>
    </row>
    <row r="1627" spans="1:10" s="71" customFormat="1" x14ac:dyDescent="0.25">
      <c r="A1627" s="622" t="s">
        <v>21</v>
      </c>
      <c r="B1627" s="449">
        <v>0.01</v>
      </c>
      <c r="C1627" s="236">
        <v>0.02</v>
      </c>
      <c r="D1627" s="236">
        <v>0.03</v>
      </c>
      <c r="E1627" s="236">
        <v>0.01</v>
      </c>
      <c r="F1627" s="236">
        <v>0.03</v>
      </c>
      <c r="G1627" s="236">
        <v>0.03</v>
      </c>
      <c r="H1627" s="236">
        <v>0.06</v>
      </c>
      <c r="I1627" s="18">
        <f>I1634/I1636</f>
        <v>3.2089057987671837E-2</v>
      </c>
      <c r="J1627" s="714">
        <f>J1634/J1636</f>
        <v>3.2089057987671837E-2</v>
      </c>
    </row>
    <row r="1628" spans="1:10" s="71" customFormat="1" x14ac:dyDescent="0.25">
      <c r="A1628" s="622" t="s">
        <v>22</v>
      </c>
      <c r="B1628" s="449">
        <v>0</v>
      </c>
      <c r="C1628" s="236">
        <v>0</v>
      </c>
      <c r="D1628" s="236">
        <v>0</v>
      </c>
      <c r="E1628" s="236">
        <v>0</v>
      </c>
      <c r="F1628" s="236">
        <v>0.01</v>
      </c>
      <c r="G1628" s="236">
        <v>0</v>
      </c>
      <c r="H1628" s="236">
        <v>0.01</v>
      </c>
      <c r="I1628" s="18">
        <f>I1635/I1636</f>
        <v>4.0447148396720832E-3</v>
      </c>
      <c r="J1628" s="714">
        <f>J1635/J1636</f>
        <v>4.0447148396720832E-3</v>
      </c>
    </row>
    <row r="1629" spans="1:10" s="71" customFormat="1" x14ac:dyDescent="0.25">
      <c r="A1629" s="627" t="s">
        <v>23</v>
      </c>
      <c r="B1629" s="450">
        <f t="shared" ref="B1629:J1629" si="701">B1640/B1623</f>
        <v>36095.454545454544</v>
      </c>
      <c r="C1629" s="130">
        <f t="shared" si="701"/>
        <v>37001.13636363636</v>
      </c>
      <c r="D1629" s="130">
        <f t="shared" si="701"/>
        <v>34483.000000000007</v>
      </c>
      <c r="E1629" s="130">
        <f t="shared" si="701"/>
        <v>35018.279569892475</v>
      </c>
      <c r="F1629" s="130">
        <f t="shared" si="701"/>
        <v>42063.522012578615</v>
      </c>
      <c r="G1629" s="130">
        <f t="shared" si="701"/>
        <v>40674.25742574258</v>
      </c>
      <c r="H1629" s="130">
        <f t="shared" si="701"/>
        <v>37338.775510204083</v>
      </c>
      <c r="I1629" s="130">
        <f t="shared" si="701"/>
        <v>38236.836283185839</v>
      </c>
      <c r="J1629" s="685">
        <f t="shared" si="701"/>
        <v>38236.836283185839</v>
      </c>
    </row>
    <row r="1630" spans="1:10" s="71" customFormat="1" x14ac:dyDescent="0.25">
      <c r="A1630" s="627" t="s">
        <v>24</v>
      </c>
      <c r="B1630" s="450">
        <f t="shared" ref="B1630:J1630" si="702">B1640/B1617</f>
        <v>28702.409638554218</v>
      </c>
      <c r="C1630" s="130">
        <f t="shared" si="702"/>
        <v>28313.91304347826</v>
      </c>
      <c r="D1630" s="130">
        <f t="shared" si="702"/>
        <v>27367.460317460322</v>
      </c>
      <c r="E1630" s="130">
        <f t="shared" si="702"/>
        <v>27835.042735042734</v>
      </c>
      <c r="F1630" s="130">
        <f t="shared" si="702"/>
        <v>29857.589285714286</v>
      </c>
      <c r="G1630" s="130">
        <f t="shared" si="702"/>
        <v>29986.131386861318</v>
      </c>
      <c r="H1630" s="130">
        <f t="shared" si="702"/>
        <v>29993.442622950824</v>
      </c>
      <c r="I1630" s="130">
        <f t="shared" si="702"/>
        <v>29219.019442096363</v>
      </c>
      <c r="J1630" s="685">
        <f t="shared" si="702"/>
        <v>29219.019442096363</v>
      </c>
    </row>
    <row r="1631" spans="1:10" s="71" customFormat="1" x14ac:dyDescent="0.25">
      <c r="A1631" s="622" t="s">
        <v>25</v>
      </c>
      <c r="B1631" s="451">
        <f t="shared" ref="B1631:H1631" si="703">B1636*B1624</f>
        <v>1542331.9282758622</v>
      </c>
      <c r="C1631" s="92">
        <f t="shared" si="703"/>
        <v>1996607.0689655172</v>
      </c>
      <c r="D1631" s="92">
        <f t="shared" si="703"/>
        <v>2263169.495172414</v>
      </c>
      <c r="E1631" s="92">
        <f t="shared" si="703"/>
        <v>2065577.28</v>
      </c>
      <c r="F1631" s="92">
        <f t="shared" si="703"/>
        <v>4589636.8965517245</v>
      </c>
      <c r="G1631" s="92">
        <f t="shared" si="703"/>
        <v>5623192.7089655176</v>
      </c>
      <c r="H1631" s="92">
        <f t="shared" si="703"/>
        <v>5144370.4800000004</v>
      </c>
      <c r="I1631" s="92">
        <f>'NOGAL '!$B1631+'NOGAL '!$C1631+'NOGAL '!$D1631+'NOGAL '!$E1631+'NOGAL '!$F1631+'NOGAL '!$G1631+'NOGAL '!$H1631</f>
        <v>23224885.857931037</v>
      </c>
      <c r="J1631" s="715">
        <f>'NOGAL '!$I1631/7</f>
        <v>3317840.8368472909</v>
      </c>
    </row>
    <row r="1632" spans="1:10" s="71" customFormat="1" x14ac:dyDescent="0.25">
      <c r="A1632" s="622" t="s">
        <v>26</v>
      </c>
      <c r="B1632" s="451">
        <f t="shared" ref="B1632:H1632" si="704">B1636*B1625</f>
        <v>19523.188965517242</v>
      </c>
      <c r="C1632" s="92">
        <f t="shared" si="704"/>
        <v>26621.427586206897</v>
      </c>
      <c r="D1632" s="92">
        <f t="shared" si="704"/>
        <v>27940.364137931039</v>
      </c>
      <c r="E1632" s="92">
        <f t="shared" si="704"/>
        <v>52963.520000000004</v>
      </c>
      <c r="F1632" s="92">
        <f t="shared" si="704"/>
        <v>54638.534482758623</v>
      </c>
      <c r="G1632" s="92">
        <f t="shared" si="704"/>
        <v>200828.31103448279</v>
      </c>
      <c r="H1632" s="92">
        <f t="shared" si="704"/>
        <v>59130.695172413805</v>
      </c>
      <c r="I1632" s="92">
        <f>'NOGAL '!$B1632+'NOGAL '!$C1632+'NOGAL '!$D1632+'NOGAL '!$E1632+'NOGAL '!$F1632+'NOGAL '!$G1632+'NOGAL '!$H1632</f>
        <v>441646.04137931042</v>
      </c>
      <c r="J1632" s="715">
        <f>'NOGAL '!$I1632/7</f>
        <v>63092.291625615777</v>
      </c>
    </row>
    <row r="1633" spans="1:10" s="71" customFormat="1" x14ac:dyDescent="0.25">
      <c r="A1633" s="622" t="s">
        <v>27</v>
      </c>
      <c r="B1633" s="451">
        <f t="shared" ref="B1633:H1633" si="705">B1636*B1626</f>
        <v>370940.59034482762</v>
      </c>
      <c r="C1633" s="92">
        <f t="shared" si="705"/>
        <v>585671.40689655172</v>
      </c>
      <c r="D1633" s="92">
        <f t="shared" si="705"/>
        <v>419105.46206896554</v>
      </c>
      <c r="E1633" s="92">
        <f t="shared" si="705"/>
        <v>503153.44</v>
      </c>
      <c r="F1633" s="92">
        <f t="shared" si="705"/>
        <v>601023.87931034481</v>
      </c>
      <c r="G1633" s="92">
        <f t="shared" si="705"/>
        <v>669427.70344827604</v>
      </c>
      <c r="H1633" s="92">
        <f t="shared" si="705"/>
        <v>295653.475862069</v>
      </c>
      <c r="I1633" s="92">
        <f>'NOGAL '!$B1633+'NOGAL '!$C1633+'NOGAL '!$D1633+'NOGAL '!$E1633+'NOGAL '!$F1633+'NOGAL '!$G1633+'NOGAL '!$H1633</f>
        <v>3444975.9579310347</v>
      </c>
      <c r="J1633" s="715">
        <f>'NOGAL '!$I1633/7</f>
        <v>492139.42256157642</v>
      </c>
    </row>
    <row r="1634" spans="1:10" s="71" customFormat="1" x14ac:dyDescent="0.25">
      <c r="A1634" s="622" t="s">
        <v>28</v>
      </c>
      <c r="B1634" s="451">
        <f t="shared" ref="B1634:H1634" si="706">B1636*B1627</f>
        <v>19523.188965517242</v>
      </c>
      <c r="C1634" s="92">
        <f t="shared" si="706"/>
        <v>53242.855172413794</v>
      </c>
      <c r="D1634" s="92">
        <f t="shared" si="706"/>
        <v>83821.092413793114</v>
      </c>
      <c r="E1634" s="92">
        <f t="shared" si="706"/>
        <v>26481.760000000002</v>
      </c>
      <c r="F1634" s="92">
        <f t="shared" si="706"/>
        <v>163915.60344827586</v>
      </c>
      <c r="G1634" s="92">
        <f t="shared" si="706"/>
        <v>200828.31103448279</v>
      </c>
      <c r="H1634" s="92">
        <f t="shared" si="706"/>
        <v>354784.17103448277</v>
      </c>
      <c r="I1634" s="92">
        <f>'NOGAL '!$B1634+'NOGAL '!$C1634+'NOGAL '!$D1634+'NOGAL '!$E1634+'NOGAL '!$F1634+'NOGAL '!$G1634+'NOGAL '!$H1634</f>
        <v>902596.98206896556</v>
      </c>
      <c r="J1634" s="715">
        <f>'NOGAL '!$I1634/7</f>
        <v>128942.42600985222</v>
      </c>
    </row>
    <row r="1635" spans="1:10" s="71" customFormat="1" x14ac:dyDescent="0.25">
      <c r="A1635" s="622" t="s">
        <v>29</v>
      </c>
      <c r="B1635" s="451">
        <f t="shared" ref="B1635:H1635" si="707">B1636*B1628</f>
        <v>0</v>
      </c>
      <c r="C1635" s="92">
        <f t="shared" si="707"/>
        <v>0</v>
      </c>
      <c r="D1635" s="92">
        <f t="shared" si="707"/>
        <v>0</v>
      </c>
      <c r="E1635" s="92">
        <f t="shared" si="707"/>
        <v>0</v>
      </c>
      <c r="F1635" s="92">
        <f t="shared" si="707"/>
        <v>54638.534482758623</v>
      </c>
      <c r="G1635" s="92">
        <f t="shared" si="707"/>
        <v>0</v>
      </c>
      <c r="H1635" s="92">
        <f t="shared" si="707"/>
        <v>59130.695172413805</v>
      </c>
      <c r="I1635" s="92">
        <f>'NOGAL '!$B1635+'NOGAL '!$C1635+'NOGAL '!$D1635+'NOGAL '!$E1635+'NOGAL '!$F1635+'NOGAL '!$G1635+'NOGAL '!$H1635</f>
        <v>113769.22965517243</v>
      </c>
      <c r="J1635" s="715">
        <f>'NOGAL '!$I1635/7</f>
        <v>16252.747093596061</v>
      </c>
    </row>
    <row r="1636" spans="1:10" s="71" customFormat="1" x14ac:dyDescent="0.25">
      <c r="A1636" s="630" t="s">
        <v>30</v>
      </c>
      <c r="B1636" s="237">
        <f>(2382300/1.16)-B1637</f>
        <v>1952318.8965517243</v>
      </c>
      <c r="C1636" s="237">
        <f>(3256100/1.16)-C1637</f>
        <v>2662142.7586206896</v>
      </c>
      <c r="D1636" s="237">
        <f>(3448300/1.16)-D1637</f>
        <v>2794036.4137931038</v>
      </c>
      <c r="E1636" s="237">
        <f>(3256700/1.16)-E1637</f>
        <v>2648176</v>
      </c>
      <c r="F1636" s="237">
        <f>(6688100/1.16)-F1637</f>
        <v>5463853.4482758623</v>
      </c>
      <c r="G1636" s="237">
        <f>(8216200/1.16)-G1637</f>
        <v>6694277.0344827594</v>
      </c>
      <c r="H1636" s="237">
        <f>(7318400/1.16)-H1637</f>
        <v>5913069.5172413802</v>
      </c>
      <c r="I1636" s="91">
        <f>SUM(I1631:I1635)</f>
        <v>28127874.068965521</v>
      </c>
      <c r="J1636" s="716">
        <f>'NOGAL '!$I1636/7</f>
        <v>4018267.7241379316</v>
      </c>
    </row>
    <row r="1637" spans="1:10" s="71" customFormat="1" x14ac:dyDescent="0.25">
      <c r="A1637" s="622" t="s">
        <v>31</v>
      </c>
      <c r="B1637" s="452">
        <f t="shared" ref="B1637:I1637" si="708">2414*B1618</f>
        <v>101388</v>
      </c>
      <c r="C1637" s="94">
        <f t="shared" si="708"/>
        <v>144840</v>
      </c>
      <c r="D1637" s="94">
        <f t="shared" si="708"/>
        <v>178636</v>
      </c>
      <c r="E1637" s="94">
        <f t="shared" si="708"/>
        <v>159324</v>
      </c>
      <c r="F1637" s="94">
        <f t="shared" si="708"/>
        <v>301750</v>
      </c>
      <c r="G1637" s="94">
        <f t="shared" si="708"/>
        <v>388654</v>
      </c>
      <c r="H1637" s="94">
        <f t="shared" si="708"/>
        <v>395896</v>
      </c>
      <c r="I1637" s="94">
        <f t="shared" si="708"/>
        <v>1670488</v>
      </c>
      <c r="J1637" s="717">
        <f>2155*J1618</f>
        <v>213037.14285714287</v>
      </c>
    </row>
    <row r="1638" spans="1:10" s="71" customFormat="1" x14ac:dyDescent="0.25">
      <c r="A1638" s="633" t="s">
        <v>32</v>
      </c>
      <c r="B1638" s="453">
        <f>B1636+B1637</f>
        <v>2053706.8965517243</v>
      </c>
      <c r="C1638" s="39">
        <f>C1636+C1637</f>
        <v>2806982.7586206896</v>
      </c>
      <c r="D1638" s="39">
        <f t="shared" ref="D1638:J1638" si="709">D1636+D1637</f>
        <v>2972672.4137931038</v>
      </c>
      <c r="E1638" s="39">
        <f t="shared" si="709"/>
        <v>2807500</v>
      </c>
      <c r="F1638" s="39">
        <f t="shared" si="709"/>
        <v>5765603.4482758623</v>
      </c>
      <c r="G1638" s="39">
        <f t="shared" si="709"/>
        <v>7082931.0344827594</v>
      </c>
      <c r="H1638" s="39">
        <f t="shared" si="709"/>
        <v>6308965.5172413802</v>
      </c>
      <c r="I1638" s="39">
        <f t="shared" si="709"/>
        <v>29798362.068965521</v>
      </c>
      <c r="J1638" s="718">
        <f t="shared" si="709"/>
        <v>4231304.8669950748</v>
      </c>
    </row>
    <row r="1639" spans="1:10" s="71" customFormat="1" x14ac:dyDescent="0.25">
      <c r="A1639" s="622" t="s">
        <v>33</v>
      </c>
      <c r="B1639" s="454">
        <f>B1638*16%</f>
        <v>328593.10344827588</v>
      </c>
      <c r="C1639" s="41">
        <f>C1638*16%</f>
        <v>449117.24137931038</v>
      </c>
      <c r="D1639" s="41">
        <f t="shared" ref="D1639:J1639" si="710">D1638*16%</f>
        <v>475627.58620689664</v>
      </c>
      <c r="E1639" s="41">
        <f t="shared" si="710"/>
        <v>449200</v>
      </c>
      <c r="F1639" s="41">
        <f t="shared" si="710"/>
        <v>922496.55172413797</v>
      </c>
      <c r="G1639" s="41">
        <f t="shared" si="710"/>
        <v>1133268.9655172415</v>
      </c>
      <c r="H1639" s="41">
        <f t="shared" si="710"/>
        <v>1009434.4827586209</v>
      </c>
      <c r="I1639" s="41">
        <f t="shared" si="710"/>
        <v>4767737.931034483</v>
      </c>
      <c r="J1639" s="719">
        <f t="shared" si="710"/>
        <v>677008.77871921193</v>
      </c>
    </row>
    <row r="1640" spans="1:10" s="71" customFormat="1" ht="15.75" thickBot="1" x14ac:dyDescent="0.3">
      <c r="A1640" s="636" t="s">
        <v>34</v>
      </c>
      <c r="B1640" s="637">
        <f t="shared" ref="B1640:H1640" si="711">B1638+B1639</f>
        <v>2382300</v>
      </c>
      <c r="C1640" s="686">
        <f t="shared" si="711"/>
        <v>3256100</v>
      </c>
      <c r="D1640" s="686">
        <f t="shared" si="711"/>
        <v>3448300.0000000005</v>
      </c>
      <c r="E1640" s="686">
        <f t="shared" si="711"/>
        <v>3256700</v>
      </c>
      <c r="F1640" s="686">
        <f t="shared" si="711"/>
        <v>6688100</v>
      </c>
      <c r="G1640" s="686">
        <f t="shared" si="711"/>
        <v>8216200.0000000009</v>
      </c>
      <c r="H1640" s="686">
        <f t="shared" si="711"/>
        <v>7318400.0000000009</v>
      </c>
      <c r="I1640" s="686">
        <f>+I1638+I1639</f>
        <v>34566100</v>
      </c>
      <c r="J1640" s="720">
        <f>'NOGAL '!$I1640/7</f>
        <v>4938014.2857142854</v>
      </c>
    </row>
    <row r="1641" spans="1:10" s="71" customFormat="1" ht="15.75" thickBot="1" x14ac:dyDescent="0.3">
      <c r="A1641" s="69"/>
      <c r="B1641" s="424"/>
      <c r="C1641" s="424"/>
      <c r="D1641" s="424"/>
      <c r="E1641" s="424"/>
      <c r="F1641" s="424"/>
      <c r="G1641" s="424"/>
      <c r="H1641" s="424"/>
      <c r="I1641" s="424"/>
      <c r="J1641" s="424"/>
    </row>
    <row r="1642" spans="1:10" s="71" customFormat="1" ht="27" thickBot="1" x14ac:dyDescent="0.3">
      <c r="A1642" s="85"/>
      <c r="B1642" s="1002" t="s">
        <v>618</v>
      </c>
      <c r="C1642" s="1002"/>
      <c r="D1642" s="1002"/>
      <c r="E1642" s="1002"/>
      <c r="F1642" s="1002"/>
      <c r="G1642" s="1002"/>
      <c r="H1642" s="1002"/>
      <c r="I1642" s="1002"/>
      <c r="J1642" s="85"/>
    </row>
    <row r="1643" spans="1:10" s="71" customFormat="1" ht="15.75" x14ac:dyDescent="0.25">
      <c r="A1643" s="614" t="s">
        <v>2</v>
      </c>
      <c r="B1643" s="706" t="s">
        <v>329</v>
      </c>
      <c r="C1643" s="641" t="s">
        <v>330</v>
      </c>
      <c r="D1643" s="641" t="s">
        <v>331</v>
      </c>
      <c r="E1643" s="641" t="s">
        <v>332</v>
      </c>
      <c r="F1643" s="641" t="s">
        <v>333</v>
      </c>
      <c r="G1643" s="641" t="s">
        <v>334</v>
      </c>
      <c r="H1643" s="641" t="s">
        <v>335</v>
      </c>
      <c r="I1643" s="618" t="s">
        <v>10</v>
      </c>
      <c r="J1643" s="711" t="s">
        <v>77</v>
      </c>
    </row>
    <row r="1644" spans="1:10" s="71" customFormat="1" x14ac:dyDescent="0.25">
      <c r="A1644" s="620" t="s">
        <v>11</v>
      </c>
      <c r="B1644" s="433">
        <f>59+26+5</f>
        <v>90</v>
      </c>
      <c r="C1644" s="75">
        <f>94+39+19</f>
        <v>152</v>
      </c>
      <c r="D1644" s="75">
        <f>121+51+20</f>
        <v>192</v>
      </c>
      <c r="E1644" s="316">
        <f>111+77+32</f>
        <v>220</v>
      </c>
      <c r="F1644" s="316">
        <f>110+45+17</f>
        <v>172</v>
      </c>
      <c r="G1644" s="316">
        <f>141+59+20</f>
        <v>220</v>
      </c>
      <c r="H1644" s="316">
        <f>150+67+22</f>
        <v>239</v>
      </c>
      <c r="I1644" s="316">
        <f>SUM(B1644:H1644)</f>
        <v>1285</v>
      </c>
      <c r="J1644" s="712">
        <f>'NOGAL '!$I1644/7</f>
        <v>183.57142857142858</v>
      </c>
    </row>
    <row r="1645" spans="1:10" s="71" customFormat="1" x14ac:dyDescent="0.25">
      <c r="A1645" s="622" t="s">
        <v>12</v>
      </c>
      <c r="B1645" s="448">
        <v>56</v>
      </c>
      <c r="C1645" s="86">
        <v>74</v>
      </c>
      <c r="D1645" s="11">
        <v>87</v>
      </c>
      <c r="E1645" s="86">
        <v>129</v>
      </c>
      <c r="F1645" s="86">
        <v>98</v>
      </c>
      <c r="G1645" s="86">
        <v>131</v>
      </c>
      <c r="H1645" s="11">
        <v>148</v>
      </c>
      <c r="I1645" s="11">
        <f>B1645+C1645+D1645+E1645+F1645+G1645+H1645</f>
        <v>723</v>
      </c>
      <c r="J1645" s="684">
        <f>'NOGAL '!$I1645/7</f>
        <v>103.28571428571429</v>
      </c>
    </row>
    <row r="1646" spans="1:10" s="71" customFormat="1" x14ac:dyDescent="0.25">
      <c r="A1646" s="622" t="s">
        <v>13</v>
      </c>
      <c r="B1646" s="448">
        <v>1</v>
      </c>
      <c r="C1646" s="11">
        <v>4</v>
      </c>
      <c r="D1646" s="11">
        <v>2</v>
      </c>
      <c r="E1646" s="11">
        <v>4</v>
      </c>
      <c r="F1646" s="11">
        <v>3</v>
      </c>
      <c r="G1646" s="11">
        <v>3</v>
      </c>
      <c r="H1646" s="11">
        <v>3</v>
      </c>
      <c r="I1646" s="11">
        <f>B1646+C1646+D1646+E1646+F1646+G1646+H1646</f>
        <v>20</v>
      </c>
      <c r="J1646" s="684">
        <f>C1646+D1646+E1646+F1646+G1646+H1646+I1646</f>
        <v>39</v>
      </c>
    </row>
    <row r="1647" spans="1:10" s="71" customFormat="1" x14ac:dyDescent="0.25">
      <c r="A1647" s="622" t="s">
        <v>14</v>
      </c>
      <c r="B1647" s="448">
        <v>18</v>
      </c>
      <c r="C1647" s="11">
        <v>38</v>
      </c>
      <c r="D1647" s="11">
        <v>38</v>
      </c>
      <c r="E1647" s="11">
        <v>38</v>
      </c>
      <c r="F1647" s="11">
        <v>24</v>
      </c>
      <c r="G1647" s="11">
        <v>22</v>
      </c>
      <c r="H1647" s="11">
        <v>15</v>
      </c>
      <c r="I1647" s="11">
        <f>B1647+C1647+D1647+E1647+F1647+G1647+H1647</f>
        <v>193</v>
      </c>
      <c r="J1647" s="684">
        <f>'NOGAL '!$I1647/7</f>
        <v>27.571428571428573</v>
      </c>
    </row>
    <row r="1648" spans="1:10" s="71" customFormat="1" x14ac:dyDescent="0.25">
      <c r="A1648" s="622" t="s">
        <v>15</v>
      </c>
      <c r="B1648" s="448">
        <v>1</v>
      </c>
      <c r="C1648" s="11">
        <v>2</v>
      </c>
      <c r="D1648" s="11">
        <v>10</v>
      </c>
      <c r="E1648" s="11">
        <v>8</v>
      </c>
      <c r="F1648" s="11">
        <v>3</v>
      </c>
      <c r="G1648" s="11">
        <v>15</v>
      </c>
      <c r="H1648" s="11">
        <v>8</v>
      </c>
      <c r="I1648" s="11">
        <f>B1648+C1648+D1648+E1648+F1648+G1648+H1648</f>
        <v>47</v>
      </c>
      <c r="J1648" s="684">
        <f>'NOGAL '!$I1648/7</f>
        <v>6.7142857142857144</v>
      </c>
    </row>
    <row r="1649" spans="1:10" s="71" customFormat="1" x14ac:dyDescent="0.25">
      <c r="A1649" s="622" t="s">
        <v>16</v>
      </c>
      <c r="B1649" s="448">
        <v>0</v>
      </c>
      <c r="C1649" s="11">
        <v>0</v>
      </c>
      <c r="D1649" s="11">
        <v>0</v>
      </c>
      <c r="E1649" s="11">
        <v>2</v>
      </c>
      <c r="F1649" s="11">
        <v>0</v>
      </c>
      <c r="G1649" s="11">
        <v>0</v>
      </c>
      <c r="H1649" s="11">
        <v>0</v>
      </c>
      <c r="I1649" s="11">
        <f>B1649+C1649+D1649+E1649+F1649+G1649+H1649</f>
        <v>2</v>
      </c>
      <c r="J1649" s="684">
        <f>'NOGAL '!$I1649/7</f>
        <v>0.2857142857142857</v>
      </c>
    </row>
    <row r="1650" spans="1:10" s="71" customFormat="1" x14ac:dyDescent="0.25">
      <c r="A1650" s="624" t="s">
        <v>17</v>
      </c>
      <c r="B1650" s="102">
        <f t="shared" ref="B1650:I1650" si="712">SUM(B1645:B1649)</f>
        <v>76</v>
      </c>
      <c r="C1650" s="103">
        <f t="shared" si="712"/>
        <v>118</v>
      </c>
      <c r="D1650" s="103">
        <f t="shared" si="712"/>
        <v>137</v>
      </c>
      <c r="E1650" s="103">
        <f t="shared" si="712"/>
        <v>181</v>
      </c>
      <c r="F1650" s="103">
        <f t="shared" si="712"/>
        <v>128</v>
      </c>
      <c r="G1650" s="103">
        <f t="shared" si="712"/>
        <v>171</v>
      </c>
      <c r="H1650" s="103">
        <f t="shared" si="712"/>
        <v>174</v>
      </c>
      <c r="I1650" s="103">
        <f t="shared" si="712"/>
        <v>985</v>
      </c>
      <c r="J1650" s="713">
        <f>'NOGAL '!$I1650/7</f>
        <v>140.71428571428572</v>
      </c>
    </row>
    <row r="1651" spans="1:10" s="71" customFormat="1" x14ac:dyDescent="0.25">
      <c r="A1651" s="622" t="s">
        <v>18</v>
      </c>
      <c r="B1651" s="449">
        <v>0.8</v>
      </c>
      <c r="C1651" s="236">
        <v>0.69</v>
      </c>
      <c r="D1651" s="236">
        <v>0.74</v>
      </c>
      <c r="E1651" s="236">
        <v>0.79</v>
      </c>
      <c r="F1651" s="236">
        <v>0.81</v>
      </c>
      <c r="G1651" s="236">
        <v>0.83</v>
      </c>
      <c r="H1651" s="236">
        <v>0.88</v>
      </c>
      <c r="I1651" s="18">
        <f>I1658/I1663</f>
        <v>0.79875509184507665</v>
      </c>
      <c r="J1651" s="714">
        <f>J1658/J1663</f>
        <v>0.79875509184507665</v>
      </c>
    </row>
    <row r="1652" spans="1:10" s="71" customFormat="1" x14ac:dyDescent="0.25">
      <c r="A1652" s="622" t="s">
        <v>19</v>
      </c>
      <c r="B1652" s="449">
        <v>0.01</v>
      </c>
      <c r="C1652" s="236">
        <v>0.02</v>
      </c>
      <c r="D1652" s="236">
        <v>0.02</v>
      </c>
      <c r="E1652" s="236">
        <v>0.02</v>
      </c>
      <c r="F1652" s="236">
        <v>0.03</v>
      </c>
      <c r="G1652" s="236">
        <v>0.01</v>
      </c>
      <c r="H1652" s="236">
        <v>0.01</v>
      </c>
      <c r="I1652" s="18">
        <f>I1659/I1663</f>
        <v>1.6868355439914561E-2</v>
      </c>
      <c r="J1652" s="714">
        <f>J1659/J1663</f>
        <v>1.6868355439914561E-2</v>
      </c>
    </row>
    <row r="1653" spans="1:10" s="71" customFormat="1" x14ac:dyDescent="0.25">
      <c r="A1653" s="622" t="s">
        <v>20</v>
      </c>
      <c r="B1653" s="449">
        <v>0.17</v>
      </c>
      <c r="C1653" s="236">
        <v>0.27</v>
      </c>
      <c r="D1653" s="236">
        <v>0.17</v>
      </c>
      <c r="E1653" s="236">
        <v>0.13</v>
      </c>
      <c r="F1653" s="236">
        <v>0.14000000000000001</v>
      </c>
      <c r="G1653" s="236">
        <v>7.0000000000000007E-2</v>
      </c>
      <c r="H1653" s="236">
        <v>7.0000000000000007E-2</v>
      </c>
      <c r="I1653" s="18">
        <f>I1660/I1663</f>
        <v>0.1334855856677542</v>
      </c>
      <c r="J1653" s="714">
        <f>J1660/J1663</f>
        <v>0.1334855856677542</v>
      </c>
    </row>
    <row r="1654" spans="1:10" s="71" customFormat="1" x14ac:dyDescent="0.25">
      <c r="A1654" s="622" t="s">
        <v>21</v>
      </c>
      <c r="B1654" s="449">
        <v>0.02</v>
      </c>
      <c r="C1654" s="236">
        <v>0.02</v>
      </c>
      <c r="D1654" s="236">
        <v>7.0000000000000007E-2</v>
      </c>
      <c r="E1654" s="236">
        <v>0.04</v>
      </c>
      <c r="F1654" s="236">
        <v>0.02</v>
      </c>
      <c r="G1654" s="236">
        <v>0.09</v>
      </c>
      <c r="H1654" s="236">
        <v>0.04</v>
      </c>
      <c r="I1654" s="18">
        <f>I1661/I1663</f>
        <v>4.748787537567517E-2</v>
      </c>
      <c r="J1654" s="714">
        <f>J1661/J1663</f>
        <v>4.748787537567517E-2</v>
      </c>
    </row>
    <row r="1655" spans="1:10" s="71" customFormat="1" x14ac:dyDescent="0.25">
      <c r="A1655" s="622" t="s">
        <v>22</v>
      </c>
      <c r="B1655" s="449">
        <v>0</v>
      </c>
      <c r="C1655" s="236">
        <v>0</v>
      </c>
      <c r="D1655" s="236">
        <v>0</v>
      </c>
      <c r="E1655" s="236">
        <v>0.02</v>
      </c>
      <c r="F1655" s="236">
        <v>0</v>
      </c>
      <c r="G1655" s="236">
        <v>0</v>
      </c>
      <c r="H1655" s="236">
        <v>0</v>
      </c>
      <c r="I1655" s="18">
        <f>I1662/I1663</f>
        <v>3.4030916715794683E-3</v>
      </c>
      <c r="J1655" s="714">
        <f>J1662/J1663</f>
        <v>3.4030916715794678E-3</v>
      </c>
    </row>
    <row r="1656" spans="1:10" s="71" customFormat="1" x14ac:dyDescent="0.25">
      <c r="A1656" s="627" t="s">
        <v>23</v>
      </c>
      <c r="B1656" s="450">
        <f t="shared" ref="B1656:J1656" si="713">B1667/B1650</f>
        <v>34511.842105263167</v>
      </c>
      <c r="C1656" s="130">
        <f t="shared" si="713"/>
        <v>36576.271186440681</v>
      </c>
      <c r="D1656" s="130">
        <f t="shared" si="713"/>
        <v>40980.291970802929</v>
      </c>
      <c r="E1656" s="130">
        <f t="shared" si="713"/>
        <v>36018.232044198892</v>
      </c>
      <c r="F1656" s="130">
        <f t="shared" si="713"/>
        <v>38158.59375</v>
      </c>
      <c r="G1656" s="130">
        <f t="shared" si="713"/>
        <v>41159.064327485386</v>
      </c>
      <c r="H1656" s="130">
        <f t="shared" si="713"/>
        <v>41497.701149425287</v>
      </c>
      <c r="I1656" s="130">
        <f t="shared" si="713"/>
        <v>38797.563451776652</v>
      </c>
      <c r="J1656" s="685">
        <f t="shared" si="713"/>
        <v>38797.563451776645</v>
      </c>
    </row>
    <row r="1657" spans="1:10" s="71" customFormat="1" x14ac:dyDescent="0.25">
      <c r="A1657" s="627" t="s">
        <v>24</v>
      </c>
      <c r="B1657" s="450">
        <f t="shared" ref="B1657:J1657" si="714">B1667/B1644</f>
        <v>29143.333333333339</v>
      </c>
      <c r="C1657" s="130">
        <f t="shared" si="714"/>
        <v>28394.736842105263</v>
      </c>
      <c r="D1657" s="130">
        <f t="shared" si="714"/>
        <v>29241.145833333339</v>
      </c>
      <c r="E1657" s="130">
        <f t="shared" si="714"/>
        <v>29633.18181818182</v>
      </c>
      <c r="F1657" s="130">
        <f t="shared" si="714"/>
        <v>28397.093023255813</v>
      </c>
      <c r="G1657" s="130">
        <f t="shared" si="714"/>
        <v>31991.818181818187</v>
      </c>
      <c r="H1657" s="130">
        <f t="shared" si="714"/>
        <v>30211.715481171548</v>
      </c>
      <c r="I1657" s="130">
        <f t="shared" si="714"/>
        <v>29739.76653696498</v>
      </c>
      <c r="J1657" s="685">
        <f t="shared" si="714"/>
        <v>29739.766536964977</v>
      </c>
    </row>
    <row r="1658" spans="1:10" s="71" customFormat="1" x14ac:dyDescent="0.25">
      <c r="A1658" s="622" t="s">
        <v>25</v>
      </c>
      <c r="B1658" s="451">
        <f t="shared" ref="B1658:H1658" si="715">B1663*B1651</f>
        <v>1700749.3517241383</v>
      </c>
      <c r="C1658" s="92">
        <f t="shared" si="715"/>
        <v>2444017.0220689657</v>
      </c>
      <c r="D1658" s="92">
        <f t="shared" si="715"/>
        <v>3426122.8868965521</v>
      </c>
      <c r="E1658" s="92">
        <f t="shared" si="715"/>
        <v>4193857.3634482762</v>
      </c>
      <c r="F1658" s="92">
        <f t="shared" si="715"/>
        <v>3218965.4731034487</v>
      </c>
      <c r="G1658" s="92">
        <f t="shared" si="715"/>
        <v>4773479.2282758625</v>
      </c>
      <c r="H1658" s="92">
        <f t="shared" si="715"/>
        <v>5163297.1917241383</v>
      </c>
      <c r="I1658" s="92">
        <f>'NOGAL '!$B1658+'NOGAL '!$C1658+'NOGAL '!$D1658+'NOGAL '!$E1658+'NOGAL '!$F1658+'NOGAL '!$G1658+'NOGAL '!$H1658</f>
        <v>24920488.517241381</v>
      </c>
      <c r="J1658" s="715">
        <f>'NOGAL '!$I1658/7</f>
        <v>3560069.7881773403</v>
      </c>
    </row>
    <row r="1659" spans="1:10" s="71" customFormat="1" x14ac:dyDescent="0.25">
      <c r="A1659" s="622" t="s">
        <v>26</v>
      </c>
      <c r="B1659" s="451">
        <f t="shared" ref="B1659:H1659" si="716">B1663*B1652</f>
        <v>21259.366896551728</v>
      </c>
      <c r="C1659" s="92">
        <f t="shared" si="716"/>
        <v>70841.073103448289</v>
      </c>
      <c r="D1659" s="92">
        <f t="shared" si="716"/>
        <v>92597.915862068985</v>
      </c>
      <c r="E1659" s="92">
        <f t="shared" si="716"/>
        <v>106173.60413793103</v>
      </c>
      <c r="F1659" s="92">
        <f t="shared" si="716"/>
        <v>119220.94344827587</v>
      </c>
      <c r="G1659" s="92">
        <f t="shared" si="716"/>
        <v>57511.797931034489</v>
      </c>
      <c r="H1659" s="92">
        <f t="shared" si="716"/>
        <v>58673.831724137934</v>
      </c>
      <c r="I1659" s="92">
        <f>'NOGAL '!$B1659+'NOGAL '!$C1659+'NOGAL '!$D1659+'NOGAL '!$E1659+'NOGAL '!$F1659+'NOGAL '!$G1659+'NOGAL '!$H1659</f>
        <v>526278.53310344822</v>
      </c>
      <c r="J1659" s="715">
        <f>'NOGAL '!$I1659/7</f>
        <v>75182.647586206891</v>
      </c>
    </row>
    <row r="1660" spans="1:10" s="71" customFormat="1" x14ac:dyDescent="0.25">
      <c r="A1660" s="622" t="s">
        <v>27</v>
      </c>
      <c r="B1660" s="451">
        <f t="shared" ref="B1660:H1660" si="717">B1663*B1653</f>
        <v>361409.23724137939</v>
      </c>
      <c r="C1660" s="92">
        <f t="shared" si="717"/>
        <v>956354.48689655191</v>
      </c>
      <c r="D1660" s="92">
        <f t="shared" si="717"/>
        <v>787082.28482758638</v>
      </c>
      <c r="E1660" s="92">
        <f t="shared" si="717"/>
        <v>690128.42689655174</v>
      </c>
      <c r="F1660" s="92">
        <f t="shared" si="717"/>
        <v>556364.4027586208</v>
      </c>
      <c r="G1660" s="92">
        <f t="shared" si="717"/>
        <v>402582.58551724144</v>
      </c>
      <c r="H1660" s="92">
        <f t="shared" si="717"/>
        <v>410716.82206896559</v>
      </c>
      <c r="I1660" s="92">
        <f>'NOGAL '!$B1660+'NOGAL '!$C1660+'NOGAL '!$D1660+'NOGAL '!$E1660+'NOGAL '!$F1660+'NOGAL '!$G1660+'NOGAL '!$H1660</f>
        <v>4164638.2462068973</v>
      </c>
      <c r="J1660" s="715">
        <f>'NOGAL '!$I1660/7</f>
        <v>594948.3208866996</v>
      </c>
    </row>
    <row r="1661" spans="1:10" s="71" customFormat="1" x14ac:dyDescent="0.25">
      <c r="A1661" s="622" t="s">
        <v>28</v>
      </c>
      <c r="B1661" s="451">
        <f t="shared" ref="B1661:H1661" si="718">B1663*B1654</f>
        <v>42518.733793103456</v>
      </c>
      <c r="C1661" s="92">
        <f t="shared" si="718"/>
        <v>70841.073103448289</v>
      </c>
      <c r="D1661" s="92">
        <f t="shared" si="718"/>
        <v>324092.70551724144</v>
      </c>
      <c r="E1661" s="92">
        <f t="shared" si="718"/>
        <v>212347.20827586207</v>
      </c>
      <c r="F1661" s="92">
        <f t="shared" si="718"/>
        <v>79480.628965517244</v>
      </c>
      <c r="G1661" s="92">
        <f t="shared" si="718"/>
        <v>517606.18137931038</v>
      </c>
      <c r="H1661" s="92">
        <f t="shared" si="718"/>
        <v>234695.32689655173</v>
      </c>
      <c r="I1661" s="92">
        <f>'NOGAL '!$B1661+'NOGAL '!$C1661+'NOGAL '!$D1661+'NOGAL '!$E1661+'NOGAL '!$F1661+'NOGAL '!$G1661+'NOGAL '!$H1661</f>
        <v>1481581.8579310346</v>
      </c>
      <c r="J1661" s="715">
        <f>'NOGAL '!$I1661/7</f>
        <v>211654.55113300495</v>
      </c>
    </row>
    <row r="1662" spans="1:10" s="71" customFormat="1" x14ac:dyDescent="0.25">
      <c r="A1662" s="622" t="s">
        <v>29</v>
      </c>
      <c r="B1662" s="451">
        <f t="shared" ref="B1662:H1662" si="719">B1663*B1655</f>
        <v>0</v>
      </c>
      <c r="C1662" s="92">
        <f t="shared" si="719"/>
        <v>0</v>
      </c>
      <c r="D1662" s="92">
        <f t="shared" si="719"/>
        <v>0</v>
      </c>
      <c r="E1662" s="92">
        <f t="shared" si="719"/>
        <v>106173.60413793103</v>
      </c>
      <c r="F1662" s="92">
        <f t="shared" si="719"/>
        <v>0</v>
      </c>
      <c r="G1662" s="92">
        <f t="shared" si="719"/>
        <v>0</v>
      </c>
      <c r="H1662" s="92">
        <f t="shared" si="719"/>
        <v>0</v>
      </c>
      <c r="I1662" s="92">
        <f>'NOGAL '!$B1662+'NOGAL '!$C1662+'NOGAL '!$D1662+'NOGAL '!$E1662+'NOGAL '!$F1662+'NOGAL '!$G1662+'NOGAL '!$H1662</f>
        <v>106173.60413793103</v>
      </c>
      <c r="J1662" s="715">
        <f>'NOGAL '!$I1662/7</f>
        <v>15167.657733990147</v>
      </c>
    </row>
    <row r="1663" spans="1:10" s="71" customFormat="1" x14ac:dyDescent="0.25">
      <c r="A1663" s="630" t="s">
        <v>30</v>
      </c>
      <c r="B1663" s="237">
        <f>(2622900/1.16)-B1664</f>
        <v>2125936.6896551726</v>
      </c>
      <c r="C1663" s="237">
        <f>(4316000/1.16)-C1664</f>
        <v>3542053.6551724141</v>
      </c>
      <c r="D1663" s="237">
        <f>(5614300/1.16)-D1664</f>
        <v>4629895.793103449</v>
      </c>
      <c r="E1663" s="237">
        <f>(6519300/1.16)-E1664</f>
        <v>5308680.2068965519</v>
      </c>
      <c r="F1663" s="237">
        <f>(4884300/1.16)-F1664</f>
        <v>3974031.4482758623</v>
      </c>
      <c r="G1663" s="237">
        <f>(7038200/1.16)-G1664</f>
        <v>5751179.793103449</v>
      </c>
      <c r="H1663" s="237">
        <f>(7220600/1.16)-H1664</f>
        <v>5867383.1724137934</v>
      </c>
      <c r="I1663" s="91">
        <f>SUM(I1658:I1662)</f>
        <v>31199160.758620691</v>
      </c>
      <c r="J1663" s="716">
        <f>'NOGAL '!$I1663/7</f>
        <v>4457022.9655172415</v>
      </c>
    </row>
    <row r="1664" spans="1:10" s="71" customFormat="1" x14ac:dyDescent="0.25">
      <c r="A1664" s="622" t="s">
        <v>31</v>
      </c>
      <c r="B1664" s="452">
        <f t="shared" ref="B1664:I1664" si="720">2414*B1645</f>
        <v>135184</v>
      </c>
      <c r="C1664" s="94">
        <f t="shared" si="720"/>
        <v>178636</v>
      </c>
      <c r="D1664" s="94">
        <f t="shared" si="720"/>
        <v>210018</v>
      </c>
      <c r="E1664" s="94">
        <f t="shared" si="720"/>
        <v>311406</v>
      </c>
      <c r="F1664" s="94">
        <f t="shared" si="720"/>
        <v>236572</v>
      </c>
      <c r="G1664" s="94">
        <f t="shared" si="720"/>
        <v>316234</v>
      </c>
      <c r="H1664" s="94">
        <f t="shared" si="720"/>
        <v>357272</v>
      </c>
      <c r="I1664" s="94">
        <f t="shared" si="720"/>
        <v>1745322</v>
      </c>
      <c r="J1664" s="717">
        <f>2155*J1645</f>
        <v>222580.71428571429</v>
      </c>
    </row>
    <row r="1665" spans="1:10" s="71" customFormat="1" x14ac:dyDescent="0.25">
      <c r="A1665" s="633" t="s">
        <v>32</v>
      </c>
      <c r="B1665" s="453">
        <f>B1663+B1664</f>
        <v>2261120.6896551726</v>
      </c>
      <c r="C1665" s="39">
        <f>C1663+C1664</f>
        <v>3720689.6551724141</v>
      </c>
      <c r="D1665" s="39">
        <f t="shared" ref="D1665:J1665" si="721">D1663+D1664</f>
        <v>4839913.793103449</v>
      </c>
      <c r="E1665" s="39">
        <f t="shared" si="721"/>
        <v>5620086.2068965519</v>
      </c>
      <c r="F1665" s="39">
        <f t="shared" si="721"/>
        <v>4210603.4482758623</v>
      </c>
      <c r="G1665" s="39">
        <f t="shared" si="721"/>
        <v>6067413.793103449</v>
      </c>
      <c r="H1665" s="39">
        <f t="shared" si="721"/>
        <v>6224655.1724137934</v>
      </c>
      <c r="I1665" s="39">
        <f t="shared" si="721"/>
        <v>32944482.758620691</v>
      </c>
      <c r="J1665" s="718">
        <f t="shared" si="721"/>
        <v>4679603.6798029561</v>
      </c>
    </row>
    <row r="1666" spans="1:10" s="71" customFormat="1" x14ac:dyDescent="0.25">
      <c r="A1666" s="622" t="s">
        <v>33</v>
      </c>
      <c r="B1666" s="454">
        <f>B1665*16%</f>
        <v>361779.31034482765</v>
      </c>
      <c r="C1666" s="41">
        <f>C1665*16%</f>
        <v>595310.34482758632</v>
      </c>
      <c r="D1666" s="41">
        <f t="shared" ref="D1666:J1666" si="722">D1665*16%</f>
        <v>774386.20689655188</v>
      </c>
      <c r="E1666" s="41">
        <f t="shared" si="722"/>
        <v>899213.79310344835</v>
      </c>
      <c r="F1666" s="41">
        <f t="shared" si="722"/>
        <v>673696.55172413797</v>
      </c>
      <c r="G1666" s="41">
        <f t="shared" si="722"/>
        <v>970786.20689655188</v>
      </c>
      <c r="H1666" s="41">
        <f t="shared" si="722"/>
        <v>995944.82758620696</v>
      </c>
      <c r="I1666" s="41">
        <f t="shared" si="722"/>
        <v>5271117.2413793104</v>
      </c>
      <c r="J1666" s="719">
        <f t="shared" si="722"/>
        <v>748736.58876847301</v>
      </c>
    </row>
    <row r="1667" spans="1:10" s="71" customFormat="1" ht="15.75" thickBot="1" x14ac:dyDescent="0.3">
      <c r="A1667" s="636" t="s">
        <v>34</v>
      </c>
      <c r="B1667" s="637">
        <f t="shared" ref="B1667:H1667" si="723">B1665+B1666</f>
        <v>2622900.0000000005</v>
      </c>
      <c r="C1667" s="686">
        <f t="shared" si="723"/>
        <v>4316000</v>
      </c>
      <c r="D1667" s="686">
        <f t="shared" si="723"/>
        <v>5614300.0000000009</v>
      </c>
      <c r="E1667" s="686">
        <f t="shared" si="723"/>
        <v>6519300</v>
      </c>
      <c r="F1667" s="686">
        <f t="shared" si="723"/>
        <v>4884300</v>
      </c>
      <c r="G1667" s="686">
        <f t="shared" si="723"/>
        <v>7038200.0000000009</v>
      </c>
      <c r="H1667" s="686">
        <f t="shared" si="723"/>
        <v>7220600</v>
      </c>
      <c r="I1667" s="686">
        <f>+I1665+I1666</f>
        <v>38215600</v>
      </c>
      <c r="J1667" s="720">
        <f>'NOGAL '!$I1667/7</f>
        <v>5459371.4285714282</v>
      </c>
    </row>
    <row r="1668" spans="1:10" s="71" customFormat="1" ht="15.75" thickBot="1" x14ac:dyDescent="0.3">
      <c r="A1668" s="69"/>
      <c r="B1668" s="424"/>
      <c r="C1668" s="424"/>
      <c r="D1668" s="424"/>
      <c r="E1668" s="424"/>
      <c r="F1668" s="424"/>
      <c r="G1668" s="424"/>
      <c r="H1668" s="424"/>
      <c r="I1668" s="424"/>
      <c r="J1668" s="424"/>
    </row>
    <row r="1669" spans="1:10" s="71" customFormat="1" ht="27" thickBot="1" x14ac:dyDescent="0.3">
      <c r="A1669" s="85"/>
      <c r="B1669" s="1002" t="s">
        <v>620</v>
      </c>
      <c r="C1669" s="1002"/>
      <c r="D1669" s="1002"/>
      <c r="E1669" s="1002"/>
      <c r="F1669" s="1002"/>
      <c r="G1669" s="1002"/>
      <c r="H1669" s="1002"/>
      <c r="I1669" s="1002"/>
      <c r="J1669" s="85"/>
    </row>
    <row r="1670" spans="1:10" s="71" customFormat="1" ht="15.75" x14ac:dyDescent="0.25">
      <c r="A1670" s="614" t="s">
        <v>2</v>
      </c>
      <c r="B1670" s="706" t="s">
        <v>337</v>
      </c>
      <c r="C1670" s="641" t="s">
        <v>338</v>
      </c>
      <c r="D1670" s="641" t="s">
        <v>339</v>
      </c>
      <c r="E1670" s="641" t="s">
        <v>340</v>
      </c>
      <c r="F1670" s="641" t="s">
        <v>341</v>
      </c>
      <c r="G1670" s="641" t="s">
        <v>342</v>
      </c>
      <c r="H1670" s="641" t="s">
        <v>343</v>
      </c>
      <c r="I1670" s="618" t="s">
        <v>10</v>
      </c>
      <c r="J1670" s="711" t="s">
        <v>77</v>
      </c>
    </row>
    <row r="1671" spans="1:10" s="71" customFormat="1" x14ac:dyDescent="0.25">
      <c r="A1671" s="620" t="s">
        <v>11</v>
      </c>
      <c r="B1671" s="433">
        <f>50+25+6</f>
        <v>81</v>
      </c>
      <c r="C1671" s="75">
        <f>71+19+10</f>
        <v>100</v>
      </c>
      <c r="D1671" s="75">
        <f>115+32+22</f>
        <v>169</v>
      </c>
      <c r="E1671" s="316">
        <f>27+9+6</f>
        <v>42</v>
      </c>
      <c r="F1671" s="316">
        <f>154+55+22</f>
        <v>231</v>
      </c>
      <c r="G1671" s="316">
        <f>121+56+21</f>
        <v>198</v>
      </c>
      <c r="H1671" s="316">
        <f>127+39+14</f>
        <v>180</v>
      </c>
      <c r="I1671" s="316">
        <f>SUM(B1671:H1671)</f>
        <v>1001</v>
      </c>
      <c r="J1671" s="712">
        <f>'NOGAL '!$I1671/7</f>
        <v>143</v>
      </c>
    </row>
    <row r="1672" spans="1:10" s="71" customFormat="1" x14ac:dyDescent="0.25">
      <c r="A1672" s="622" t="s">
        <v>12</v>
      </c>
      <c r="B1672" s="448">
        <v>49</v>
      </c>
      <c r="C1672" s="86">
        <v>51</v>
      </c>
      <c r="D1672" s="11">
        <v>90</v>
      </c>
      <c r="E1672" s="86">
        <v>19</v>
      </c>
      <c r="F1672" s="86">
        <v>121</v>
      </c>
      <c r="G1672" s="86">
        <v>121</v>
      </c>
      <c r="H1672" s="11">
        <v>116</v>
      </c>
      <c r="I1672" s="11">
        <f>B1672+C1672+D1672+E1672+F1672+G1672+H1672</f>
        <v>567</v>
      </c>
      <c r="J1672" s="684">
        <f>'NOGAL '!$I1672/7</f>
        <v>81</v>
      </c>
    </row>
    <row r="1673" spans="1:10" s="71" customFormat="1" x14ac:dyDescent="0.25">
      <c r="A1673" s="622" t="s">
        <v>13</v>
      </c>
      <c r="B1673" s="448">
        <v>2</v>
      </c>
      <c r="C1673" s="11">
        <v>1</v>
      </c>
      <c r="D1673" s="11">
        <v>1</v>
      </c>
      <c r="E1673" s="86">
        <v>0</v>
      </c>
      <c r="F1673" s="11">
        <v>2</v>
      </c>
      <c r="G1673" s="11">
        <v>2</v>
      </c>
      <c r="H1673" s="11">
        <v>5</v>
      </c>
      <c r="I1673" s="11">
        <f>B1673+C1673+D1673+E1673+F1673+G1673+H1673</f>
        <v>13</v>
      </c>
      <c r="J1673" s="684">
        <f>C1673+D1673+E1673+F1673+G1673+H1673+I1673</f>
        <v>24</v>
      </c>
    </row>
    <row r="1674" spans="1:10" s="71" customFormat="1" x14ac:dyDescent="0.25">
      <c r="A1674" s="622" t="s">
        <v>14</v>
      </c>
      <c r="B1674" s="448">
        <v>18</v>
      </c>
      <c r="C1674" s="11">
        <v>22</v>
      </c>
      <c r="D1674" s="11">
        <v>24</v>
      </c>
      <c r="E1674" s="11">
        <v>9</v>
      </c>
      <c r="F1674" s="11">
        <v>38</v>
      </c>
      <c r="G1674" s="11">
        <v>20</v>
      </c>
      <c r="H1674" s="11">
        <v>22</v>
      </c>
      <c r="I1674" s="11">
        <f>B1674+C1674+D1674+E1674+F1674+G1674+H1674</f>
        <v>153</v>
      </c>
      <c r="J1674" s="684">
        <f>'NOGAL '!$I1674/7</f>
        <v>21.857142857142858</v>
      </c>
    </row>
    <row r="1675" spans="1:10" s="71" customFormat="1" x14ac:dyDescent="0.25">
      <c r="A1675" s="622" t="s">
        <v>15</v>
      </c>
      <c r="B1675" s="448">
        <v>0</v>
      </c>
      <c r="C1675" s="11">
        <v>3</v>
      </c>
      <c r="D1675" s="11">
        <v>1</v>
      </c>
      <c r="E1675" s="11">
        <v>2</v>
      </c>
      <c r="F1675" s="11">
        <v>7</v>
      </c>
      <c r="G1675" s="11">
        <v>4</v>
      </c>
      <c r="H1675" s="11">
        <v>1</v>
      </c>
      <c r="I1675" s="11">
        <f>B1675+C1675+D1675+E1675+F1675+G1675+H1675</f>
        <v>18</v>
      </c>
      <c r="J1675" s="684">
        <f>'NOGAL '!$I1675/7</f>
        <v>2.5714285714285716</v>
      </c>
    </row>
    <row r="1676" spans="1:10" s="71" customFormat="1" x14ac:dyDescent="0.25">
      <c r="A1676" s="622" t="s">
        <v>16</v>
      </c>
      <c r="B1676" s="448">
        <v>0</v>
      </c>
      <c r="C1676" s="11">
        <v>0</v>
      </c>
      <c r="D1676" s="11">
        <v>0</v>
      </c>
      <c r="E1676" s="11">
        <v>0</v>
      </c>
      <c r="F1676" s="11">
        <v>0</v>
      </c>
      <c r="G1676" s="11">
        <v>0</v>
      </c>
      <c r="H1676" s="11">
        <v>0</v>
      </c>
      <c r="I1676" s="11">
        <f>B1676+C1676+D1676+E1676+F1676+G1676+H1676</f>
        <v>0</v>
      </c>
      <c r="J1676" s="684">
        <f>'NOGAL '!$I1676/7</f>
        <v>0</v>
      </c>
    </row>
    <row r="1677" spans="1:10" s="71" customFormat="1" x14ac:dyDescent="0.25">
      <c r="A1677" s="624" t="s">
        <v>17</v>
      </c>
      <c r="B1677" s="102">
        <f t="shared" ref="B1677:I1677" si="724">SUM(B1672:B1676)</f>
        <v>69</v>
      </c>
      <c r="C1677" s="103">
        <f t="shared" si="724"/>
        <v>77</v>
      </c>
      <c r="D1677" s="103">
        <f t="shared" si="724"/>
        <v>116</v>
      </c>
      <c r="E1677" s="103">
        <f t="shared" si="724"/>
        <v>30</v>
      </c>
      <c r="F1677" s="103">
        <f t="shared" si="724"/>
        <v>168</v>
      </c>
      <c r="G1677" s="103">
        <f t="shared" si="724"/>
        <v>147</v>
      </c>
      <c r="H1677" s="103">
        <f t="shared" si="724"/>
        <v>144</v>
      </c>
      <c r="I1677" s="103">
        <f t="shared" si="724"/>
        <v>751</v>
      </c>
      <c r="J1677" s="713">
        <f>'NOGAL '!$I1677/7</f>
        <v>107.28571428571429</v>
      </c>
    </row>
    <row r="1678" spans="1:10" s="71" customFormat="1" x14ac:dyDescent="0.25">
      <c r="A1678" s="622" t="s">
        <v>18</v>
      </c>
      <c r="B1678" s="449">
        <v>0.8</v>
      </c>
      <c r="C1678" s="236">
        <v>0.74</v>
      </c>
      <c r="D1678" s="236">
        <v>0.86</v>
      </c>
      <c r="E1678" s="236">
        <v>0.63</v>
      </c>
      <c r="F1678" s="236">
        <v>0.8</v>
      </c>
      <c r="G1678" s="236">
        <v>0.88</v>
      </c>
      <c r="H1678" s="236">
        <v>0.89</v>
      </c>
      <c r="I1678" s="18">
        <f>I1685/I1690</f>
        <v>0.82976044602282117</v>
      </c>
      <c r="J1678" s="714">
        <f>J1685/J1690</f>
        <v>0.82976044602282117</v>
      </c>
    </row>
    <row r="1679" spans="1:10" s="71" customFormat="1" x14ac:dyDescent="0.25">
      <c r="A1679" s="622" t="s">
        <v>19</v>
      </c>
      <c r="B1679" s="449">
        <v>0.02</v>
      </c>
      <c r="C1679" s="236">
        <v>0.01</v>
      </c>
      <c r="D1679" s="236">
        <v>0</v>
      </c>
      <c r="E1679" s="236">
        <v>0</v>
      </c>
      <c r="F1679" s="236">
        <v>0.01</v>
      </c>
      <c r="G1679" s="236">
        <v>0.01</v>
      </c>
      <c r="H1679" s="236">
        <v>0.01</v>
      </c>
      <c r="I1679" s="18">
        <f>I1686/I1690</f>
        <v>8.7823334297443649E-3</v>
      </c>
      <c r="J1679" s="714">
        <f>J1686/J1690</f>
        <v>8.7823334297443666E-3</v>
      </c>
    </row>
    <row r="1680" spans="1:10" s="71" customFormat="1" x14ac:dyDescent="0.25">
      <c r="A1680" s="622" t="s">
        <v>20</v>
      </c>
      <c r="B1680" s="449">
        <v>0.18</v>
      </c>
      <c r="C1680" s="236">
        <v>0.23</v>
      </c>
      <c r="D1680" s="236">
        <v>0.13</v>
      </c>
      <c r="E1680" s="236">
        <v>0.3</v>
      </c>
      <c r="F1680" s="236">
        <v>0.16</v>
      </c>
      <c r="G1680" s="236">
        <v>0.1</v>
      </c>
      <c r="H1680" s="236">
        <v>0.09</v>
      </c>
      <c r="I1680" s="18">
        <f>I1687/I1690</f>
        <v>0.14421899634775331</v>
      </c>
      <c r="J1680" s="714">
        <f>J1687/J1690</f>
        <v>0.14421899634775331</v>
      </c>
    </row>
    <row r="1681" spans="1:10" s="71" customFormat="1" x14ac:dyDescent="0.25">
      <c r="A1681" s="622" t="s">
        <v>21</v>
      </c>
      <c r="B1681" s="449">
        <v>0</v>
      </c>
      <c r="C1681" s="236">
        <v>0.02</v>
      </c>
      <c r="D1681" s="236">
        <v>0.01</v>
      </c>
      <c r="E1681" s="236">
        <v>7.0000000000000007E-2</v>
      </c>
      <c r="F1681" s="236">
        <v>0.03</v>
      </c>
      <c r="G1681" s="236">
        <v>0.01</v>
      </c>
      <c r="H1681" s="236">
        <v>0.01</v>
      </c>
      <c r="I1681" s="18">
        <f>I1688/I1690</f>
        <v>1.7238224199681091E-2</v>
      </c>
      <c r="J1681" s="714">
        <f>J1688/J1690</f>
        <v>1.7238224199681091E-2</v>
      </c>
    </row>
    <row r="1682" spans="1:10" s="71" customFormat="1" x14ac:dyDescent="0.25">
      <c r="A1682" s="622" t="s">
        <v>22</v>
      </c>
      <c r="B1682" s="449">
        <v>0</v>
      </c>
      <c r="C1682" s="236">
        <v>0</v>
      </c>
      <c r="D1682" s="236">
        <v>0</v>
      </c>
      <c r="E1682" s="236">
        <v>0</v>
      </c>
      <c r="F1682" s="236">
        <v>0</v>
      </c>
      <c r="G1682" s="236">
        <v>0</v>
      </c>
      <c r="H1682" s="236">
        <v>0</v>
      </c>
      <c r="I1682" s="18">
        <f>I1689/I1690</f>
        <v>0</v>
      </c>
      <c r="J1682" s="714">
        <f>J1689/J1690</f>
        <v>0</v>
      </c>
    </row>
    <row r="1683" spans="1:10" s="71" customFormat="1" x14ac:dyDescent="0.25">
      <c r="A1683" s="627" t="s">
        <v>23</v>
      </c>
      <c r="B1683" s="450">
        <f t="shared" ref="B1683:J1683" si="725">B1694/B1677</f>
        <v>37347.82608695652</v>
      </c>
      <c r="C1683" s="130">
        <f t="shared" si="725"/>
        <v>34135.064935064933</v>
      </c>
      <c r="D1683" s="130">
        <f t="shared" si="725"/>
        <v>42134.482758620688</v>
      </c>
      <c r="E1683" s="130">
        <f t="shared" si="725"/>
        <v>42246.666666666672</v>
      </c>
      <c r="F1683" s="130">
        <f t="shared" si="725"/>
        <v>40526.190476190481</v>
      </c>
      <c r="G1683" s="130">
        <f t="shared" si="725"/>
        <v>41438.095238095237</v>
      </c>
      <c r="H1683" s="130">
        <f t="shared" si="725"/>
        <v>37026.388888888898</v>
      </c>
      <c r="I1683" s="130">
        <f t="shared" si="725"/>
        <v>39403.462050599206</v>
      </c>
      <c r="J1683" s="685">
        <f t="shared" si="725"/>
        <v>39403.462050599206</v>
      </c>
    </row>
    <row r="1684" spans="1:10" s="71" customFormat="1" x14ac:dyDescent="0.25">
      <c r="A1684" s="627" t="s">
        <v>24</v>
      </c>
      <c r="B1684" s="450">
        <f t="shared" ref="B1684:J1684" si="726">B1694/B1671</f>
        <v>31814.814814814814</v>
      </c>
      <c r="C1684" s="130">
        <f t="shared" si="726"/>
        <v>26284</v>
      </c>
      <c r="D1684" s="130">
        <f t="shared" si="726"/>
        <v>28920.710059171597</v>
      </c>
      <c r="E1684" s="130">
        <f t="shared" si="726"/>
        <v>30176.190476190481</v>
      </c>
      <c r="F1684" s="130">
        <f t="shared" si="726"/>
        <v>29473.593073593078</v>
      </c>
      <c r="G1684" s="130">
        <f t="shared" si="726"/>
        <v>30764.646464646463</v>
      </c>
      <c r="H1684" s="130">
        <f t="shared" si="726"/>
        <v>29621.111111111117</v>
      </c>
      <c r="I1684" s="130">
        <f t="shared" si="726"/>
        <v>29562.437562437568</v>
      </c>
      <c r="J1684" s="685">
        <f t="shared" si="726"/>
        <v>29562.437562437564</v>
      </c>
    </row>
    <row r="1685" spans="1:10" s="71" customFormat="1" x14ac:dyDescent="0.25">
      <c r="A1685" s="622" t="s">
        <v>25</v>
      </c>
      <c r="B1685" s="451">
        <f t="shared" ref="B1685:H1685" si="727">B1690*B1678</f>
        <v>1682612.579310345</v>
      </c>
      <c r="C1685" s="92">
        <f t="shared" si="727"/>
        <v>1585633.5710344829</v>
      </c>
      <c r="D1685" s="92">
        <f t="shared" si="727"/>
        <v>3436721.9172413792</v>
      </c>
      <c r="E1685" s="92">
        <f t="shared" si="727"/>
        <v>659433.73034482764</v>
      </c>
      <c r="F1685" s="92">
        <f t="shared" si="727"/>
        <v>4461773.0758620696</v>
      </c>
      <c r="G1685" s="92">
        <f t="shared" si="727"/>
        <v>4364019.3489655172</v>
      </c>
      <c r="H1685" s="92">
        <f t="shared" si="727"/>
        <v>3841556.2262068973</v>
      </c>
      <c r="I1685" s="92">
        <f>'NOGAL '!$B1685+'NOGAL '!$C1685+'NOGAL '!$D1685+'NOGAL '!$E1685+'NOGAL '!$F1685+'NOGAL '!$G1685+'NOGAL '!$H1685</f>
        <v>20031750.44896552</v>
      </c>
      <c r="J1685" s="715">
        <f>'NOGAL '!$I1685/7</f>
        <v>2861678.6355665028</v>
      </c>
    </row>
    <row r="1686" spans="1:10" s="71" customFormat="1" x14ac:dyDescent="0.25">
      <c r="A1686" s="622" t="s">
        <v>26</v>
      </c>
      <c r="B1686" s="451">
        <f t="shared" ref="B1686:H1686" si="728">B1690*B1679</f>
        <v>42065.314482758622</v>
      </c>
      <c r="C1686" s="92">
        <f t="shared" si="728"/>
        <v>21427.480689655175</v>
      </c>
      <c r="D1686" s="92">
        <f t="shared" si="728"/>
        <v>0</v>
      </c>
      <c r="E1686" s="92">
        <f t="shared" si="728"/>
        <v>0</v>
      </c>
      <c r="F1686" s="92">
        <f t="shared" si="728"/>
        <v>55772.163448275867</v>
      </c>
      <c r="G1686" s="92">
        <f t="shared" si="728"/>
        <v>49591.128965517244</v>
      </c>
      <c r="H1686" s="92">
        <f t="shared" si="728"/>
        <v>43163.553103448285</v>
      </c>
      <c r="I1686" s="92">
        <f>'NOGAL '!$B1686+'NOGAL '!$C1686+'NOGAL '!$D1686+'NOGAL '!$E1686+'NOGAL '!$F1686+'NOGAL '!$G1686+'NOGAL '!$H1686</f>
        <v>212019.64068965521</v>
      </c>
      <c r="J1686" s="715">
        <f>'NOGAL '!$I1686/7</f>
        <v>30288.520098522171</v>
      </c>
    </row>
    <row r="1687" spans="1:10" s="71" customFormat="1" x14ac:dyDescent="0.25">
      <c r="A1687" s="622" t="s">
        <v>27</v>
      </c>
      <c r="B1687" s="451">
        <f t="shared" ref="B1687:H1687" si="729">B1690*B1680</f>
        <v>378587.83034482761</v>
      </c>
      <c r="C1687" s="92">
        <f t="shared" si="729"/>
        <v>492832.05586206901</v>
      </c>
      <c r="D1687" s="92">
        <f t="shared" si="729"/>
        <v>519504.475862069</v>
      </c>
      <c r="E1687" s="92">
        <f t="shared" si="729"/>
        <v>314016.06206896558</v>
      </c>
      <c r="F1687" s="92">
        <f t="shared" si="729"/>
        <v>892354.61517241388</v>
      </c>
      <c r="G1687" s="92">
        <f t="shared" si="729"/>
        <v>495911.2896551725</v>
      </c>
      <c r="H1687" s="92">
        <f t="shared" si="729"/>
        <v>388471.97793103452</v>
      </c>
      <c r="I1687" s="92">
        <f>'NOGAL '!$B1687+'NOGAL '!$C1687+'NOGAL '!$D1687+'NOGAL '!$E1687+'NOGAL '!$F1687+'NOGAL '!$G1687+'NOGAL '!$H1687</f>
        <v>3481678.3068965524</v>
      </c>
      <c r="J1687" s="715">
        <f>'NOGAL '!$I1687/7</f>
        <v>497382.61527093605</v>
      </c>
    </row>
    <row r="1688" spans="1:10" s="71" customFormat="1" x14ac:dyDescent="0.25">
      <c r="A1688" s="622" t="s">
        <v>28</v>
      </c>
      <c r="B1688" s="451">
        <f t="shared" ref="B1688:H1688" si="730">B1690*B1681</f>
        <v>0</v>
      </c>
      <c r="C1688" s="92">
        <f t="shared" si="730"/>
        <v>42854.961379310349</v>
      </c>
      <c r="D1688" s="92">
        <f t="shared" si="730"/>
        <v>39961.88275862069</v>
      </c>
      <c r="E1688" s="92">
        <f t="shared" si="730"/>
        <v>73270.414482758642</v>
      </c>
      <c r="F1688" s="92">
        <f t="shared" si="730"/>
        <v>167316.49034482759</v>
      </c>
      <c r="G1688" s="92">
        <f t="shared" si="730"/>
        <v>49591.128965517244</v>
      </c>
      <c r="H1688" s="92">
        <f t="shared" si="730"/>
        <v>43163.553103448285</v>
      </c>
      <c r="I1688" s="92">
        <f>'NOGAL '!$B1688+'NOGAL '!$C1688+'NOGAL '!$D1688+'NOGAL '!$E1688+'NOGAL '!$F1688+'NOGAL '!$G1688+'NOGAL '!$H1688</f>
        <v>416158.43103448284</v>
      </c>
      <c r="J1688" s="715">
        <f>'NOGAL '!$I1688/7</f>
        <v>59451.204433497551</v>
      </c>
    </row>
    <row r="1689" spans="1:10" s="71" customFormat="1" x14ac:dyDescent="0.25">
      <c r="A1689" s="622" t="s">
        <v>29</v>
      </c>
      <c r="B1689" s="451">
        <f t="shared" ref="B1689:H1689" si="731">B1690*B1682</f>
        <v>0</v>
      </c>
      <c r="C1689" s="92">
        <f t="shared" si="731"/>
        <v>0</v>
      </c>
      <c r="D1689" s="92">
        <f t="shared" si="731"/>
        <v>0</v>
      </c>
      <c r="E1689" s="92">
        <f t="shared" si="731"/>
        <v>0</v>
      </c>
      <c r="F1689" s="92">
        <f t="shared" si="731"/>
        <v>0</v>
      </c>
      <c r="G1689" s="92">
        <f t="shared" si="731"/>
        <v>0</v>
      </c>
      <c r="H1689" s="92">
        <f t="shared" si="731"/>
        <v>0</v>
      </c>
      <c r="I1689" s="92">
        <f>'NOGAL '!$B1689+'NOGAL '!$C1689+'NOGAL '!$D1689+'NOGAL '!$E1689+'NOGAL '!$F1689+'NOGAL '!$G1689+'NOGAL '!$H1689</f>
        <v>0</v>
      </c>
      <c r="J1689" s="715">
        <f>'NOGAL '!$I1689/7</f>
        <v>0</v>
      </c>
    </row>
    <row r="1690" spans="1:10" s="71" customFormat="1" x14ac:dyDescent="0.25">
      <c r="A1690" s="630" t="s">
        <v>30</v>
      </c>
      <c r="B1690" s="237">
        <f>(2577000/1.16)-B1691</f>
        <v>2103265.7241379311</v>
      </c>
      <c r="C1690" s="237">
        <f>(2628400/1.16)-C1691</f>
        <v>2142748.0689655175</v>
      </c>
      <c r="D1690" s="237">
        <f>(4887600/1.16)-D1691</f>
        <v>3996188.2758620689</v>
      </c>
      <c r="E1690" s="237">
        <f>(1267400/1.16)-E1691</f>
        <v>1046720.2068965519</v>
      </c>
      <c r="F1690" s="237">
        <f>(6808400/1.16)-F1691</f>
        <v>5577216.3448275868</v>
      </c>
      <c r="G1690" s="237">
        <f>(6091400/1.16)-G1691</f>
        <v>4959112.8965517245</v>
      </c>
      <c r="H1690" s="237">
        <f>(5331800/1.16)-H1691</f>
        <v>4316355.3103448283</v>
      </c>
      <c r="I1690" s="91">
        <f>SUM(I1685:I1689)</f>
        <v>24141606.827586211</v>
      </c>
      <c r="J1690" s="716">
        <f>'NOGAL '!$I1690/7</f>
        <v>3448800.9753694586</v>
      </c>
    </row>
    <row r="1691" spans="1:10" s="71" customFormat="1" x14ac:dyDescent="0.25">
      <c r="A1691" s="622" t="s">
        <v>31</v>
      </c>
      <c r="B1691" s="452">
        <f t="shared" ref="B1691:I1691" si="732">2414*B1672</f>
        <v>118286</v>
      </c>
      <c r="C1691" s="94">
        <f t="shared" si="732"/>
        <v>123114</v>
      </c>
      <c r="D1691" s="94">
        <f t="shared" si="732"/>
        <v>217260</v>
      </c>
      <c r="E1691" s="94">
        <f t="shared" si="732"/>
        <v>45866</v>
      </c>
      <c r="F1691" s="94">
        <f t="shared" si="732"/>
        <v>292094</v>
      </c>
      <c r="G1691" s="94">
        <f t="shared" si="732"/>
        <v>292094</v>
      </c>
      <c r="H1691" s="94">
        <f t="shared" si="732"/>
        <v>280024</v>
      </c>
      <c r="I1691" s="94">
        <f t="shared" si="732"/>
        <v>1368738</v>
      </c>
      <c r="J1691" s="717">
        <f>2155*J1672</f>
        <v>174555</v>
      </c>
    </row>
    <row r="1692" spans="1:10" s="71" customFormat="1" x14ac:dyDescent="0.25">
      <c r="A1692" s="633" t="s">
        <v>32</v>
      </c>
      <c r="B1692" s="453">
        <f>B1690+B1691</f>
        <v>2221551.7241379311</v>
      </c>
      <c r="C1692" s="39">
        <f>C1690+C1691</f>
        <v>2265862.0689655175</v>
      </c>
      <c r="D1692" s="39">
        <f t="shared" ref="D1692:J1692" si="733">D1690+D1691</f>
        <v>4213448.2758620689</v>
      </c>
      <c r="E1692" s="39">
        <f t="shared" si="733"/>
        <v>1092586.2068965519</v>
      </c>
      <c r="F1692" s="39">
        <f t="shared" si="733"/>
        <v>5869310.3448275868</v>
      </c>
      <c r="G1692" s="39">
        <f t="shared" si="733"/>
        <v>5251206.8965517245</v>
      </c>
      <c r="H1692" s="39">
        <f t="shared" si="733"/>
        <v>4596379.3103448283</v>
      </c>
      <c r="I1692" s="39">
        <f t="shared" si="733"/>
        <v>25510344.827586211</v>
      </c>
      <c r="J1692" s="718">
        <f t="shared" si="733"/>
        <v>3623355.9753694586</v>
      </c>
    </row>
    <row r="1693" spans="1:10" s="71" customFormat="1" x14ac:dyDescent="0.25">
      <c r="A1693" s="622" t="s">
        <v>33</v>
      </c>
      <c r="B1693" s="454">
        <f>B1692*16%</f>
        <v>355448.27586206899</v>
      </c>
      <c r="C1693" s="41">
        <f>C1692*16%</f>
        <v>362537.93103448278</v>
      </c>
      <c r="D1693" s="41">
        <f t="shared" ref="D1693:J1693" si="734">D1692*16%</f>
        <v>674151.72413793101</v>
      </c>
      <c r="E1693" s="41">
        <f t="shared" si="734"/>
        <v>174813.79310344832</v>
      </c>
      <c r="F1693" s="41">
        <f t="shared" si="734"/>
        <v>939089.65517241391</v>
      </c>
      <c r="G1693" s="41">
        <f t="shared" si="734"/>
        <v>840193.10344827594</v>
      </c>
      <c r="H1693" s="41">
        <f t="shared" si="734"/>
        <v>735420.68965517252</v>
      </c>
      <c r="I1693" s="41">
        <f t="shared" si="734"/>
        <v>4081655.1724137939</v>
      </c>
      <c r="J1693" s="719">
        <f t="shared" si="734"/>
        <v>579736.95605911338</v>
      </c>
    </row>
    <row r="1694" spans="1:10" s="71" customFormat="1" ht="15.75" thickBot="1" x14ac:dyDescent="0.3">
      <c r="A1694" s="636" t="s">
        <v>34</v>
      </c>
      <c r="B1694" s="637">
        <f t="shared" ref="B1694:H1694" si="735">B1692+B1693</f>
        <v>2577000</v>
      </c>
      <c r="C1694" s="686">
        <f t="shared" si="735"/>
        <v>2628400</v>
      </c>
      <c r="D1694" s="686">
        <f t="shared" si="735"/>
        <v>4887600</v>
      </c>
      <c r="E1694" s="686">
        <f t="shared" si="735"/>
        <v>1267400.0000000002</v>
      </c>
      <c r="F1694" s="686">
        <f t="shared" si="735"/>
        <v>6808400.0000000009</v>
      </c>
      <c r="G1694" s="686">
        <f t="shared" si="735"/>
        <v>6091400</v>
      </c>
      <c r="H1694" s="686">
        <f t="shared" si="735"/>
        <v>5331800.0000000009</v>
      </c>
      <c r="I1694" s="686">
        <f>+I1692+I1693</f>
        <v>29592000.000000004</v>
      </c>
      <c r="J1694" s="720">
        <f>'NOGAL '!$I1694/7</f>
        <v>4227428.5714285718</v>
      </c>
    </row>
    <row r="1695" spans="1:10" s="71" customFormat="1" ht="15.75" thickBot="1" x14ac:dyDescent="0.3">
      <c r="A1695" s="69"/>
      <c r="B1695" s="424"/>
      <c r="C1695" s="424"/>
      <c r="D1695" s="424"/>
      <c r="E1695" s="424"/>
      <c r="F1695" s="424"/>
      <c r="G1695" s="424"/>
      <c r="H1695" s="424"/>
      <c r="I1695" s="424"/>
      <c r="J1695" s="424"/>
    </row>
    <row r="1696" spans="1:10" s="71" customFormat="1" ht="27" thickBot="1" x14ac:dyDescent="0.3">
      <c r="A1696" s="85"/>
      <c r="B1696" s="1002" t="s">
        <v>624</v>
      </c>
      <c r="C1696" s="1002"/>
      <c r="D1696" s="1002"/>
      <c r="E1696" s="1002"/>
      <c r="F1696" s="1002"/>
      <c r="G1696" s="1002"/>
      <c r="H1696" s="1002"/>
      <c r="I1696" s="1002"/>
      <c r="J1696" s="85"/>
    </row>
    <row r="1697" spans="1:10" s="71" customFormat="1" ht="15.75" x14ac:dyDescent="0.25">
      <c r="A1697" s="614" t="s">
        <v>2</v>
      </c>
      <c r="B1697" s="706" t="s">
        <v>345</v>
      </c>
      <c r="C1697" s="641" t="s">
        <v>346</v>
      </c>
      <c r="D1697" s="641" t="s">
        <v>347</v>
      </c>
      <c r="E1697" s="641" t="s">
        <v>348</v>
      </c>
      <c r="F1697" s="641" t="s">
        <v>349</v>
      </c>
      <c r="G1697" s="641" t="s">
        <v>350</v>
      </c>
      <c r="H1697" s="641" t="s">
        <v>351</v>
      </c>
      <c r="I1697" s="618" t="s">
        <v>10</v>
      </c>
      <c r="J1697" s="711" t="s">
        <v>77</v>
      </c>
    </row>
    <row r="1698" spans="1:10" s="71" customFormat="1" x14ac:dyDescent="0.25">
      <c r="A1698" s="620" t="s">
        <v>11</v>
      </c>
      <c r="B1698" s="433">
        <f>62+21+10</f>
        <v>93</v>
      </c>
      <c r="C1698" s="75">
        <f>68+30+16</f>
        <v>114</v>
      </c>
      <c r="D1698" s="75">
        <f>92+32+15</f>
        <v>139</v>
      </c>
      <c r="E1698" s="316">
        <f>83+33+7</f>
        <v>123</v>
      </c>
      <c r="F1698" s="316">
        <f>112+39+17</f>
        <v>168</v>
      </c>
      <c r="G1698" s="316">
        <f>40+15+8</f>
        <v>63</v>
      </c>
      <c r="H1698" s="316">
        <f>86+50+9</f>
        <v>145</v>
      </c>
      <c r="I1698" s="316">
        <f>SUM(B1698:H1698)</f>
        <v>845</v>
      </c>
      <c r="J1698" s="712">
        <f>'NOGAL '!$I1698/7</f>
        <v>120.71428571428571</v>
      </c>
    </row>
    <row r="1699" spans="1:10" s="71" customFormat="1" x14ac:dyDescent="0.25">
      <c r="A1699" s="622" t="s">
        <v>12</v>
      </c>
      <c r="B1699" s="448">
        <v>57</v>
      </c>
      <c r="C1699" s="86">
        <v>60</v>
      </c>
      <c r="D1699" s="11">
        <v>75</v>
      </c>
      <c r="E1699" s="86">
        <v>71</v>
      </c>
      <c r="F1699" s="86">
        <v>89</v>
      </c>
      <c r="G1699" s="86">
        <v>30</v>
      </c>
      <c r="H1699" s="11">
        <v>97</v>
      </c>
      <c r="I1699" s="11">
        <f>B1699+C1699+D1699+E1699+F1699+G1699+H1699</f>
        <v>479</v>
      </c>
      <c r="J1699" s="684">
        <f>'NOGAL '!$I1699/7</f>
        <v>68.428571428571431</v>
      </c>
    </row>
    <row r="1700" spans="1:10" s="71" customFormat="1" x14ac:dyDescent="0.25">
      <c r="A1700" s="622" t="s">
        <v>13</v>
      </c>
      <c r="B1700" s="448">
        <v>3</v>
      </c>
      <c r="C1700" s="11">
        <v>1</v>
      </c>
      <c r="D1700" s="11">
        <v>1</v>
      </c>
      <c r="E1700" s="86">
        <v>2</v>
      </c>
      <c r="F1700" s="11">
        <v>2</v>
      </c>
      <c r="G1700" s="11">
        <v>1</v>
      </c>
      <c r="H1700" s="11">
        <v>3</v>
      </c>
      <c r="I1700" s="11">
        <f>B1700+C1700+D1700+E1700+F1700+G1700+H1700</f>
        <v>13</v>
      </c>
      <c r="J1700" s="684">
        <f>C1700+D1700+E1700+F1700+G1700+H1700+I1700</f>
        <v>23</v>
      </c>
    </row>
    <row r="1701" spans="1:10" s="71" customFormat="1" x14ac:dyDescent="0.25">
      <c r="A1701" s="622" t="s">
        <v>14</v>
      </c>
      <c r="B1701" s="448">
        <v>21</v>
      </c>
      <c r="C1701" s="11">
        <v>22</v>
      </c>
      <c r="D1701" s="11">
        <v>18</v>
      </c>
      <c r="E1701" s="11">
        <v>20</v>
      </c>
      <c r="F1701" s="11">
        <v>20</v>
      </c>
      <c r="G1701" s="11">
        <v>7</v>
      </c>
      <c r="H1701" s="11">
        <v>20</v>
      </c>
      <c r="I1701" s="11">
        <f>B1701+C1701+D1701+E1701+F1701+G1701+H1701</f>
        <v>128</v>
      </c>
      <c r="J1701" s="684">
        <f>'NOGAL '!$I1701/7</f>
        <v>18.285714285714285</v>
      </c>
    </row>
    <row r="1702" spans="1:10" s="71" customFormat="1" x14ac:dyDescent="0.25">
      <c r="A1702" s="622" t="s">
        <v>15</v>
      </c>
      <c r="B1702" s="448">
        <v>1</v>
      </c>
      <c r="C1702" s="11">
        <v>3</v>
      </c>
      <c r="D1702" s="11">
        <v>6</v>
      </c>
      <c r="E1702" s="11">
        <v>1</v>
      </c>
      <c r="F1702" s="11">
        <v>3</v>
      </c>
      <c r="G1702" s="11">
        <v>4</v>
      </c>
      <c r="H1702" s="11">
        <v>0</v>
      </c>
      <c r="I1702" s="11">
        <f>B1702+C1702+D1702+E1702+F1702+G1702+H1702</f>
        <v>18</v>
      </c>
      <c r="J1702" s="684">
        <f>'NOGAL '!$I1702/7</f>
        <v>2.5714285714285716</v>
      </c>
    </row>
    <row r="1703" spans="1:10" s="71" customFormat="1" x14ac:dyDescent="0.25">
      <c r="A1703" s="622" t="s">
        <v>16</v>
      </c>
      <c r="B1703" s="448">
        <v>0</v>
      </c>
      <c r="C1703" s="11">
        <v>0</v>
      </c>
      <c r="D1703" s="11">
        <v>0</v>
      </c>
      <c r="E1703" s="11">
        <v>1</v>
      </c>
      <c r="F1703" s="11">
        <v>0</v>
      </c>
      <c r="G1703" s="11">
        <v>0</v>
      </c>
      <c r="H1703" s="11">
        <v>0</v>
      </c>
      <c r="I1703" s="11">
        <f>B1703+C1703+D1703+E1703+F1703+G1703+H1703</f>
        <v>1</v>
      </c>
      <c r="J1703" s="684">
        <f>'NOGAL '!$I1703/7</f>
        <v>0.14285714285714285</v>
      </c>
    </row>
    <row r="1704" spans="1:10" s="71" customFormat="1" x14ac:dyDescent="0.25">
      <c r="A1704" s="624" t="s">
        <v>17</v>
      </c>
      <c r="B1704" s="102">
        <f t="shared" ref="B1704:I1704" si="736">SUM(B1699:B1703)</f>
        <v>82</v>
      </c>
      <c r="C1704" s="103">
        <f t="shared" si="736"/>
        <v>86</v>
      </c>
      <c r="D1704" s="103">
        <f t="shared" si="736"/>
        <v>100</v>
      </c>
      <c r="E1704" s="103">
        <f t="shared" si="736"/>
        <v>95</v>
      </c>
      <c r="F1704" s="103">
        <f t="shared" si="736"/>
        <v>114</v>
      </c>
      <c r="G1704" s="103">
        <f t="shared" si="736"/>
        <v>42</v>
      </c>
      <c r="H1704" s="103">
        <f t="shared" si="736"/>
        <v>120</v>
      </c>
      <c r="I1704" s="103">
        <f t="shared" si="736"/>
        <v>639</v>
      </c>
      <c r="J1704" s="713">
        <f>'NOGAL '!$I1704/7</f>
        <v>91.285714285714292</v>
      </c>
    </row>
    <row r="1705" spans="1:10" s="71" customFormat="1" x14ac:dyDescent="0.25">
      <c r="A1705" s="622" t="s">
        <v>18</v>
      </c>
      <c r="B1705" s="449">
        <v>0.77</v>
      </c>
      <c r="C1705" s="236">
        <v>0.79</v>
      </c>
      <c r="D1705" s="236">
        <v>0.86</v>
      </c>
      <c r="E1705" s="236">
        <v>0.83</v>
      </c>
      <c r="F1705" s="236">
        <v>0.86</v>
      </c>
      <c r="G1705" s="236">
        <v>0.75</v>
      </c>
      <c r="H1705" s="236">
        <v>0.85</v>
      </c>
      <c r="I1705" s="18">
        <f>I1712/I1717</f>
        <v>0.82712450100631529</v>
      </c>
      <c r="J1705" s="714">
        <f>J1712/J1717</f>
        <v>0.82712450100631529</v>
      </c>
    </row>
    <row r="1706" spans="1:10" s="71" customFormat="1" x14ac:dyDescent="0.25">
      <c r="A1706" s="622" t="s">
        <v>19</v>
      </c>
      <c r="B1706" s="449">
        <v>0.02</v>
      </c>
      <c r="C1706" s="236">
        <v>0.01</v>
      </c>
      <c r="D1706" s="236">
        <v>0.01</v>
      </c>
      <c r="E1706" s="236">
        <v>0.02</v>
      </c>
      <c r="F1706" s="236">
        <v>0.01</v>
      </c>
      <c r="G1706" s="236">
        <v>0.09</v>
      </c>
      <c r="H1706" s="236">
        <v>0.02</v>
      </c>
      <c r="I1706" s="18">
        <f>I1713/I1717</f>
        <v>2.0232624797549118E-2</v>
      </c>
      <c r="J1706" s="714">
        <f>J1713/J1717</f>
        <v>2.0232624797549118E-2</v>
      </c>
    </row>
    <row r="1707" spans="1:10" s="71" customFormat="1" x14ac:dyDescent="0.25">
      <c r="A1707" s="622" t="s">
        <v>20</v>
      </c>
      <c r="B1707" s="449">
        <v>0.2</v>
      </c>
      <c r="C1707" s="236">
        <v>0.19</v>
      </c>
      <c r="D1707" s="236">
        <v>0.1</v>
      </c>
      <c r="E1707" s="236">
        <v>0.13</v>
      </c>
      <c r="F1707" s="236">
        <v>0.12</v>
      </c>
      <c r="G1707" s="236">
        <v>0.09</v>
      </c>
      <c r="H1707" s="236">
        <v>0.13</v>
      </c>
      <c r="I1707" s="18">
        <f>I1714/I1717</f>
        <v>0.13562989646335988</v>
      </c>
      <c r="J1707" s="714">
        <f>J1714/J1717</f>
        <v>0.13562989646335988</v>
      </c>
    </row>
    <row r="1708" spans="1:10" s="71" customFormat="1" x14ac:dyDescent="0.25">
      <c r="A1708" s="622" t="s">
        <v>21</v>
      </c>
      <c r="B1708" s="449">
        <v>0.01</v>
      </c>
      <c r="C1708" s="236">
        <v>0.01</v>
      </c>
      <c r="D1708" s="236">
        <v>0.03</v>
      </c>
      <c r="E1708" s="236">
        <v>0.01</v>
      </c>
      <c r="F1708" s="236">
        <v>0.01</v>
      </c>
      <c r="G1708" s="236">
        <v>7.0000000000000007E-2</v>
      </c>
      <c r="H1708" s="236">
        <v>0</v>
      </c>
      <c r="I1708" s="18">
        <f>I1715/I1717</f>
        <v>1.55383940619594E-2</v>
      </c>
      <c r="J1708" s="714">
        <f>J1715/J1717</f>
        <v>1.55383940619594E-2</v>
      </c>
    </row>
    <row r="1709" spans="1:10" s="71" customFormat="1" x14ac:dyDescent="0.25">
      <c r="A1709" s="622" t="s">
        <v>22</v>
      </c>
      <c r="B1709" s="449">
        <v>0</v>
      </c>
      <c r="C1709" s="236">
        <v>0</v>
      </c>
      <c r="D1709" s="236">
        <v>0</v>
      </c>
      <c r="E1709" s="236">
        <v>0.01</v>
      </c>
      <c r="F1709" s="236">
        <v>0</v>
      </c>
      <c r="G1709" s="236">
        <v>0</v>
      </c>
      <c r="H1709" s="236">
        <v>0</v>
      </c>
      <c r="I1709" s="18">
        <f>I1716/I1717</f>
        <v>1.4745836708162379E-3</v>
      </c>
      <c r="J1709" s="714">
        <f>J1716/J1717</f>
        <v>1.4745836708162379E-3</v>
      </c>
    </row>
    <row r="1710" spans="1:10" s="71" customFormat="1" x14ac:dyDescent="0.25">
      <c r="A1710" s="627" t="s">
        <v>23</v>
      </c>
      <c r="B1710" s="450">
        <f t="shared" ref="B1710:J1710" si="737">B1721/B1704</f>
        <v>33620.731707317078</v>
      </c>
      <c r="C1710" s="130">
        <f t="shared" si="737"/>
        <v>37066.279069767443</v>
      </c>
      <c r="D1710" s="130">
        <f t="shared" si="737"/>
        <v>38528</v>
      </c>
      <c r="E1710" s="130">
        <f t="shared" si="737"/>
        <v>39238.947368421053</v>
      </c>
      <c r="F1710" s="130">
        <f t="shared" si="737"/>
        <v>45572.807017543862</v>
      </c>
      <c r="G1710" s="130">
        <f t="shared" si="737"/>
        <v>43378.571428571435</v>
      </c>
      <c r="H1710" s="130">
        <f t="shared" si="737"/>
        <v>39420</v>
      </c>
      <c r="I1710" s="130">
        <f t="shared" si="737"/>
        <v>39550.391236306736</v>
      </c>
      <c r="J1710" s="685">
        <f t="shared" si="737"/>
        <v>39550.391236306736</v>
      </c>
    </row>
    <row r="1711" spans="1:10" s="71" customFormat="1" x14ac:dyDescent="0.25">
      <c r="A1711" s="627" t="s">
        <v>24</v>
      </c>
      <c r="B1711" s="450">
        <f t="shared" ref="B1711:J1711" si="738">B1721/B1698</f>
        <v>29644.08602150538</v>
      </c>
      <c r="C1711" s="130">
        <f t="shared" si="738"/>
        <v>27962.280701754386</v>
      </c>
      <c r="D1711" s="130">
        <f t="shared" si="738"/>
        <v>27717.98561151079</v>
      </c>
      <c r="E1711" s="130">
        <f t="shared" si="738"/>
        <v>30306.504065040652</v>
      </c>
      <c r="F1711" s="130">
        <f t="shared" si="738"/>
        <v>30924.404761904763</v>
      </c>
      <c r="G1711" s="130">
        <f t="shared" si="738"/>
        <v>28919.047619047622</v>
      </c>
      <c r="H1711" s="130">
        <f t="shared" si="738"/>
        <v>32623.448275862069</v>
      </c>
      <c r="I1711" s="130">
        <f t="shared" si="738"/>
        <v>29908.520710059176</v>
      </c>
      <c r="J1711" s="685">
        <f t="shared" si="738"/>
        <v>29908.52071005918</v>
      </c>
    </row>
    <row r="1712" spans="1:10" s="71" customFormat="1" x14ac:dyDescent="0.25">
      <c r="A1712" s="622" t="s">
        <v>25</v>
      </c>
      <c r="B1712" s="451">
        <f t="shared" ref="B1712:H1712" si="739">B1717*B1705</f>
        <v>1724060.7468965519</v>
      </c>
      <c r="C1712" s="92">
        <f t="shared" si="739"/>
        <v>2056510.0206896553</v>
      </c>
      <c r="D1712" s="92">
        <f t="shared" si="739"/>
        <v>2700683.2068965519</v>
      </c>
      <c r="E1712" s="92">
        <f t="shared" si="739"/>
        <v>2524976.6006896552</v>
      </c>
      <c r="F1712" s="92">
        <f t="shared" si="739"/>
        <v>3666920.371034483</v>
      </c>
      <c r="G1712" s="92">
        <f t="shared" si="739"/>
        <v>1123637.5862068967</v>
      </c>
      <c r="H1712" s="92">
        <f t="shared" si="739"/>
        <v>3267207.079310345</v>
      </c>
      <c r="I1712" s="92">
        <f>'NOGAL '!$B1712+'NOGAL '!$C1712+'NOGAL '!$D1712+'NOGAL '!$E1712+'NOGAL '!$F1712+'NOGAL '!$G1712+'NOGAL '!$H1712</f>
        <v>17063995.611724138</v>
      </c>
      <c r="J1712" s="715">
        <f>'NOGAL '!$I1712/7</f>
        <v>2437713.6588177341</v>
      </c>
    </row>
    <row r="1713" spans="1:10" s="71" customFormat="1" x14ac:dyDescent="0.25">
      <c r="A1713" s="622" t="s">
        <v>26</v>
      </c>
      <c r="B1713" s="451">
        <f t="shared" ref="B1713:H1713" si="740">B1717*B1706</f>
        <v>44780.79862068966</v>
      </c>
      <c r="C1713" s="92">
        <f t="shared" si="740"/>
        <v>26031.772413793104</v>
      </c>
      <c r="D1713" s="92">
        <f t="shared" si="740"/>
        <v>31403.293103448279</v>
      </c>
      <c r="E1713" s="92">
        <f t="shared" si="740"/>
        <v>60842.809655172416</v>
      </c>
      <c r="F1713" s="92">
        <f t="shared" si="740"/>
        <v>42638.608965517247</v>
      </c>
      <c r="G1713" s="92">
        <f t="shared" si="740"/>
        <v>134836.51034482761</v>
      </c>
      <c r="H1713" s="92">
        <f t="shared" si="740"/>
        <v>76875.460689655185</v>
      </c>
      <c r="I1713" s="92">
        <f>'NOGAL '!$B1713+'NOGAL '!$C1713+'NOGAL '!$D1713+'NOGAL '!$E1713+'NOGAL '!$F1713+'NOGAL '!$G1713+'NOGAL '!$H1713</f>
        <v>417409.2537931035</v>
      </c>
      <c r="J1713" s="715">
        <f>'NOGAL '!$I1713/7</f>
        <v>59629.893399014785</v>
      </c>
    </row>
    <row r="1714" spans="1:10" s="71" customFormat="1" x14ac:dyDescent="0.25">
      <c r="A1714" s="622" t="s">
        <v>27</v>
      </c>
      <c r="B1714" s="451">
        <f t="shared" ref="B1714:H1714" si="741">B1717*B1707</f>
        <v>447807.9862068966</v>
      </c>
      <c r="C1714" s="92">
        <f t="shared" si="741"/>
        <v>494603.67586206895</v>
      </c>
      <c r="D1714" s="92">
        <f t="shared" si="741"/>
        <v>314032.93103448278</v>
      </c>
      <c r="E1714" s="92">
        <f t="shared" si="741"/>
        <v>395478.26275862072</v>
      </c>
      <c r="F1714" s="92">
        <f t="shared" si="741"/>
        <v>511663.30758620694</v>
      </c>
      <c r="G1714" s="92">
        <f t="shared" si="741"/>
        <v>134836.51034482761</v>
      </c>
      <c r="H1714" s="92">
        <f t="shared" si="741"/>
        <v>499690.49448275869</v>
      </c>
      <c r="I1714" s="92">
        <f>'NOGAL '!$B1714+'NOGAL '!$C1714+'NOGAL '!$D1714+'NOGAL '!$E1714+'NOGAL '!$F1714+'NOGAL '!$G1714+'NOGAL '!$H1714</f>
        <v>2798113.168275862</v>
      </c>
      <c r="J1714" s="715">
        <f>'NOGAL '!$I1714/7</f>
        <v>399730.45261083741</v>
      </c>
    </row>
    <row r="1715" spans="1:10" s="71" customFormat="1" x14ac:dyDescent="0.25">
      <c r="A1715" s="622" t="s">
        <v>28</v>
      </c>
      <c r="B1715" s="451">
        <f t="shared" ref="B1715:H1715" si="742">B1717*B1708</f>
        <v>22390.39931034483</v>
      </c>
      <c r="C1715" s="92">
        <f t="shared" si="742"/>
        <v>26031.772413793104</v>
      </c>
      <c r="D1715" s="92">
        <f t="shared" si="742"/>
        <v>94209.879310344826</v>
      </c>
      <c r="E1715" s="92">
        <f t="shared" si="742"/>
        <v>30421.404827586208</v>
      </c>
      <c r="F1715" s="92">
        <f t="shared" si="742"/>
        <v>42638.608965517247</v>
      </c>
      <c r="G1715" s="92">
        <f t="shared" si="742"/>
        <v>104872.84137931037</v>
      </c>
      <c r="H1715" s="92">
        <f t="shared" si="742"/>
        <v>0</v>
      </c>
      <c r="I1715" s="92">
        <f>'NOGAL '!$B1715+'NOGAL '!$C1715+'NOGAL '!$D1715+'NOGAL '!$E1715+'NOGAL '!$F1715+'NOGAL '!$G1715+'NOGAL '!$H1715</f>
        <v>320564.90620689659</v>
      </c>
      <c r="J1715" s="715">
        <f>'NOGAL '!$I1715/7</f>
        <v>45794.986600985227</v>
      </c>
    </row>
    <row r="1716" spans="1:10" s="71" customFormat="1" x14ac:dyDescent="0.25">
      <c r="A1716" s="622" t="s">
        <v>29</v>
      </c>
      <c r="B1716" s="451">
        <f t="shared" ref="B1716:H1716" si="743">B1717*B1709</f>
        <v>0</v>
      </c>
      <c r="C1716" s="92">
        <f t="shared" si="743"/>
        <v>0</v>
      </c>
      <c r="D1716" s="92">
        <f t="shared" si="743"/>
        <v>0</v>
      </c>
      <c r="E1716" s="92">
        <f t="shared" si="743"/>
        <v>30421.404827586208</v>
      </c>
      <c r="F1716" s="92">
        <f t="shared" si="743"/>
        <v>0</v>
      </c>
      <c r="G1716" s="92">
        <f t="shared" si="743"/>
        <v>0</v>
      </c>
      <c r="H1716" s="92">
        <f t="shared" si="743"/>
        <v>0</v>
      </c>
      <c r="I1716" s="92">
        <f>'NOGAL '!$B1716+'NOGAL '!$C1716+'NOGAL '!$D1716+'NOGAL '!$E1716+'NOGAL '!$F1716+'NOGAL '!$G1716+'NOGAL '!$H1716</f>
        <v>30421.404827586208</v>
      </c>
      <c r="J1716" s="715">
        <f>'NOGAL '!$I1716/7</f>
        <v>4345.9149753694583</v>
      </c>
    </row>
    <row r="1717" spans="1:10" s="71" customFormat="1" x14ac:dyDescent="0.25">
      <c r="A1717" s="630" t="s">
        <v>30</v>
      </c>
      <c r="B1717" s="237">
        <f>(2756900/1.16)-B1718</f>
        <v>2239039.931034483</v>
      </c>
      <c r="C1717" s="237">
        <f>(3187700/1.16)-C1718</f>
        <v>2603177.2413793104</v>
      </c>
      <c r="D1717" s="237">
        <f>(3852800/1.16)-D1718</f>
        <v>3140329.3103448278</v>
      </c>
      <c r="E1717" s="237">
        <f>(3727700/1.16)-E1718</f>
        <v>3042140.4827586208</v>
      </c>
      <c r="F1717" s="237">
        <f>(5195300/1.16)-F1718</f>
        <v>4263860.8965517245</v>
      </c>
      <c r="G1717" s="237">
        <f>(1821900/1.16)-G1718</f>
        <v>1498183.4482758623</v>
      </c>
      <c r="H1717" s="237">
        <f>(4730400/1.16)-H1718</f>
        <v>3843773.034482759</v>
      </c>
      <c r="I1717" s="91">
        <f>SUM(I1712:I1716)</f>
        <v>20630504.344827589</v>
      </c>
      <c r="J1717" s="716">
        <f>'NOGAL '!$I1717/7</f>
        <v>2947214.9064039411</v>
      </c>
    </row>
    <row r="1718" spans="1:10" s="71" customFormat="1" x14ac:dyDescent="0.25">
      <c r="A1718" s="622" t="s">
        <v>31</v>
      </c>
      <c r="B1718" s="452">
        <f t="shared" ref="B1718:I1718" si="744">2414*B1699</f>
        <v>137598</v>
      </c>
      <c r="C1718" s="94">
        <f t="shared" si="744"/>
        <v>144840</v>
      </c>
      <c r="D1718" s="94">
        <f t="shared" si="744"/>
        <v>181050</v>
      </c>
      <c r="E1718" s="94">
        <f t="shared" si="744"/>
        <v>171394</v>
      </c>
      <c r="F1718" s="94">
        <f t="shared" si="744"/>
        <v>214846</v>
      </c>
      <c r="G1718" s="94">
        <f t="shared" si="744"/>
        <v>72420</v>
      </c>
      <c r="H1718" s="94">
        <f t="shared" si="744"/>
        <v>234158</v>
      </c>
      <c r="I1718" s="94">
        <f t="shared" si="744"/>
        <v>1156306</v>
      </c>
      <c r="J1718" s="717">
        <f>2155*J1699</f>
        <v>147463.57142857142</v>
      </c>
    </row>
    <row r="1719" spans="1:10" s="71" customFormat="1" x14ac:dyDescent="0.25">
      <c r="A1719" s="633" t="s">
        <v>32</v>
      </c>
      <c r="B1719" s="453">
        <f>B1717+B1718</f>
        <v>2376637.931034483</v>
      </c>
      <c r="C1719" s="39">
        <f>C1717+C1718</f>
        <v>2748017.2413793104</v>
      </c>
      <c r="D1719" s="39">
        <f t="shared" ref="D1719:J1719" si="745">D1717+D1718</f>
        <v>3321379.3103448278</v>
      </c>
      <c r="E1719" s="39">
        <f t="shared" si="745"/>
        <v>3213534.4827586208</v>
      </c>
      <c r="F1719" s="39">
        <f t="shared" si="745"/>
        <v>4478706.8965517245</v>
      </c>
      <c r="G1719" s="39">
        <f t="shared" si="745"/>
        <v>1570603.4482758623</v>
      </c>
      <c r="H1719" s="39">
        <f t="shared" si="745"/>
        <v>4077931.034482759</v>
      </c>
      <c r="I1719" s="39">
        <f t="shared" si="745"/>
        <v>21786810.344827589</v>
      </c>
      <c r="J1719" s="718">
        <f t="shared" si="745"/>
        <v>3094678.4778325125</v>
      </c>
    </row>
    <row r="1720" spans="1:10" s="71" customFormat="1" x14ac:dyDescent="0.25">
      <c r="A1720" s="622" t="s">
        <v>33</v>
      </c>
      <c r="B1720" s="454">
        <f>B1719*16%</f>
        <v>380262.06896551728</v>
      </c>
      <c r="C1720" s="41">
        <f>C1719*16%</f>
        <v>439682.75862068968</v>
      </c>
      <c r="D1720" s="41">
        <f t="shared" ref="D1720:J1720" si="746">D1719*16%</f>
        <v>531420.68965517241</v>
      </c>
      <c r="E1720" s="41">
        <f t="shared" si="746"/>
        <v>514165.5172413793</v>
      </c>
      <c r="F1720" s="41">
        <f t="shared" si="746"/>
        <v>716593.10344827594</v>
      </c>
      <c r="G1720" s="41">
        <f t="shared" si="746"/>
        <v>251296.55172413797</v>
      </c>
      <c r="H1720" s="41">
        <f t="shared" si="746"/>
        <v>652468.96551724139</v>
      </c>
      <c r="I1720" s="41">
        <f t="shared" si="746"/>
        <v>3485889.6551724141</v>
      </c>
      <c r="J1720" s="719">
        <f t="shared" si="746"/>
        <v>495148.55645320198</v>
      </c>
    </row>
    <row r="1721" spans="1:10" s="71" customFormat="1" ht="15.75" thickBot="1" x14ac:dyDescent="0.3">
      <c r="A1721" s="636" t="s">
        <v>34</v>
      </c>
      <c r="B1721" s="637">
        <f t="shared" ref="B1721:H1721" si="747">B1719+B1720</f>
        <v>2756900.0000000005</v>
      </c>
      <c r="C1721" s="686">
        <f t="shared" si="747"/>
        <v>3187700</v>
      </c>
      <c r="D1721" s="686">
        <f t="shared" si="747"/>
        <v>3852800</v>
      </c>
      <c r="E1721" s="686">
        <f t="shared" si="747"/>
        <v>3727700</v>
      </c>
      <c r="F1721" s="686">
        <f t="shared" si="747"/>
        <v>5195300</v>
      </c>
      <c r="G1721" s="686">
        <f t="shared" si="747"/>
        <v>1821900.0000000002</v>
      </c>
      <c r="H1721" s="686">
        <f t="shared" si="747"/>
        <v>4730400</v>
      </c>
      <c r="I1721" s="686">
        <f>+I1719+I1720</f>
        <v>25272700.000000004</v>
      </c>
      <c r="J1721" s="720">
        <f>'NOGAL '!$I1721/7</f>
        <v>3610385.714285715</v>
      </c>
    </row>
    <row r="1722" spans="1:10" s="71" customFormat="1" ht="15.75" thickBot="1" x14ac:dyDescent="0.3">
      <c r="A1722" s="69"/>
      <c r="B1722" s="424"/>
      <c r="C1722" s="424"/>
      <c r="D1722" s="424"/>
      <c r="E1722" s="424"/>
      <c r="F1722" s="424"/>
      <c r="G1722" s="424"/>
      <c r="H1722" s="424"/>
      <c r="I1722" s="424"/>
      <c r="J1722" s="424"/>
    </row>
    <row r="1723" spans="1:10" s="71" customFormat="1" ht="27" thickBot="1" x14ac:dyDescent="0.3">
      <c r="A1723" s="85"/>
      <c r="B1723" s="1002" t="s">
        <v>627</v>
      </c>
      <c r="C1723" s="1002"/>
      <c r="D1723" s="1002"/>
      <c r="E1723" s="1002"/>
      <c r="F1723" s="1002"/>
      <c r="G1723" s="1002"/>
      <c r="H1723" s="1002"/>
      <c r="I1723" s="1002"/>
      <c r="J1723" s="85"/>
    </row>
    <row r="1724" spans="1:10" s="71" customFormat="1" ht="15.75" x14ac:dyDescent="0.25">
      <c r="A1724" s="614" t="s">
        <v>2</v>
      </c>
      <c r="B1724" s="706" t="s">
        <v>600</v>
      </c>
      <c r="C1724" s="641" t="s">
        <v>601</v>
      </c>
      <c r="D1724" s="641" t="s">
        <v>602</v>
      </c>
      <c r="E1724" s="641" t="s">
        <v>603</v>
      </c>
      <c r="F1724" s="641" t="s">
        <v>604</v>
      </c>
      <c r="G1724" s="641" t="s">
        <v>653</v>
      </c>
      <c r="H1724" s="641" t="s">
        <v>272</v>
      </c>
      <c r="I1724" s="618" t="s">
        <v>10</v>
      </c>
      <c r="J1724" s="711" t="s">
        <v>77</v>
      </c>
    </row>
    <row r="1725" spans="1:10" s="71" customFormat="1" x14ac:dyDescent="0.25">
      <c r="A1725" s="620" t="s">
        <v>11</v>
      </c>
      <c r="B1725" s="433">
        <f>63+23+11</f>
        <v>97</v>
      </c>
      <c r="C1725" s="75">
        <f>65+28+7</f>
        <v>100</v>
      </c>
      <c r="D1725" s="75">
        <f>71+25+4</f>
        <v>100</v>
      </c>
      <c r="E1725" s="316">
        <f>40+35+7</f>
        <v>82</v>
      </c>
      <c r="F1725" s="316">
        <f>54+27+9</f>
        <v>90</v>
      </c>
      <c r="G1725" s="316">
        <f>37+10+5</f>
        <v>52</v>
      </c>
      <c r="H1725" s="316">
        <f>85+33+15</f>
        <v>133</v>
      </c>
      <c r="I1725" s="316">
        <f>SUM(B1725:H1725)</f>
        <v>654</v>
      </c>
      <c r="J1725" s="712">
        <f>'NOGAL '!$I1725/7</f>
        <v>93.428571428571431</v>
      </c>
    </row>
    <row r="1726" spans="1:10" s="71" customFormat="1" x14ac:dyDescent="0.25">
      <c r="A1726" s="622" t="s">
        <v>12</v>
      </c>
      <c r="B1726" s="448">
        <v>55</v>
      </c>
      <c r="C1726" s="86">
        <v>52</v>
      </c>
      <c r="D1726" s="11">
        <v>56</v>
      </c>
      <c r="E1726" s="86">
        <v>47</v>
      </c>
      <c r="F1726" s="86">
        <v>52</v>
      </c>
      <c r="G1726" s="86">
        <v>26</v>
      </c>
      <c r="H1726" s="11">
        <v>73</v>
      </c>
      <c r="I1726" s="11">
        <f>B1726+C1726+D1726+E1726+F1726+G1726+H1726</f>
        <v>361</v>
      </c>
      <c r="J1726" s="684">
        <f>'NOGAL '!$I1726/7</f>
        <v>51.571428571428569</v>
      </c>
    </row>
    <row r="1727" spans="1:10" s="71" customFormat="1" x14ac:dyDescent="0.25">
      <c r="A1727" s="622" t="s">
        <v>13</v>
      </c>
      <c r="B1727" s="448">
        <v>2</v>
      </c>
      <c r="C1727" s="11">
        <v>1</v>
      </c>
      <c r="D1727" s="11">
        <v>1</v>
      </c>
      <c r="E1727" s="86">
        <v>3</v>
      </c>
      <c r="F1727" s="11">
        <v>1</v>
      </c>
      <c r="G1727" s="11">
        <v>2</v>
      </c>
      <c r="H1727" s="11">
        <v>2</v>
      </c>
      <c r="I1727" s="11">
        <f>B1727+C1727+D1727+E1727+F1727+G1727+H1727</f>
        <v>12</v>
      </c>
      <c r="J1727" s="684">
        <f>C1727+D1727+E1727+F1727+G1727+H1727+I1727</f>
        <v>22</v>
      </c>
    </row>
    <row r="1728" spans="1:10" s="71" customFormat="1" x14ac:dyDescent="0.25">
      <c r="A1728" s="622" t="s">
        <v>14</v>
      </c>
      <c r="B1728" s="448">
        <v>14</v>
      </c>
      <c r="C1728" s="11">
        <v>22</v>
      </c>
      <c r="D1728" s="11">
        <v>15</v>
      </c>
      <c r="E1728" s="11">
        <v>21</v>
      </c>
      <c r="F1728" s="11">
        <v>11</v>
      </c>
      <c r="G1728" s="11">
        <v>9</v>
      </c>
      <c r="H1728" s="11">
        <v>19</v>
      </c>
      <c r="I1728" s="11">
        <f>B1728+C1728+D1728+E1728+F1728+G1728+H1728</f>
        <v>111</v>
      </c>
      <c r="J1728" s="684">
        <f>'NOGAL '!$I1728/7</f>
        <v>15.857142857142858</v>
      </c>
    </row>
    <row r="1729" spans="1:10" s="71" customFormat="1" x14ac:dyDescent="0.25">
      <c r="A1729" s="622" t="s">
        <v>15</v>
      </c>
      <c r="B1729" s="448">
        <v>4</v>
      </c>
      <c r="C1729" s="11">
        <v>4</v>
      </c>
      <c r="D1729" s="11">
        <v>6</v>
      </c>
      <c r="E1729" s="11">
        <v>1</v>
      </c>
      <c r="F1729" s="11">
        <v>3</v>
      </c>
      <c r="G1729" s="11">
        <v>1</v>
      </c>
      <c r="H1729" s="11">
        <v>4</v>
      </c>
      <c r="I1729" s="11">
        <f>B1729+C1729+D1729+E1729+F1729+G1729+H1729</f>
        <v>23</v>
      </c>
      <c r="J1729" s="684">
        <f>'NOGAL '!$I1729/7</f>
        <v>3.2857142857142856</v>
      </c>
    </row>
    <row r="1730" spans="1:10" s="71" customFormat="1" x14ac:dyDescent="0.25">
      <c r="A1730" s="622" t="s">
        <v>16</v>
      </c>
      <c r="B1730" s="448">
        <v>0</v>
      </c>
      <c r="C1730" s="11">
        <v>0</v>
      </c>
      <c r="D1730" s="11">
        <v>0</v>
      </c>
      <c r="E1730" s="11">
        <v>0</v>
      </c>
      <c r="F1730" s="11">
        <v>0</v>
      </c>
      <c r="G1730" s="11">
        <v>0</v>
      </c>
      <c r="H1730" s="11">
        <v>1</v>
      </c>
      <c r="I1730" s="11">
        <f>B1730+C1730+D1730+E1730+F1730+G1730+H1730</f>
        <v>1</v>
      </c>
      <c r="J1730" s="684">
        <f>'NOGAL '!$I1730/7</f>
        <v>0.14285714285714285</v>
      </c>
    </row>
    <row r="1731" spans="1:10" s="71" customFormat="1" x14ac:dyDescent="0.25">
      <c r="A1731" s="624" t="s">
        <v>17</v>
      </c>
      <c r="B1731" s="102">
        <f t="shared" ref="B1731:I1731" si="748">SUM(B1726:B1730)</f>
        <v>75</v>
      </c>
      <c r="C1731" s="103">
        <f t="shared" si="748"/>
        <v>79</v>
      </c>
      <c r="D1731" s="103">
        <f t="shared" si="748"/>
        <v>78</v>
      </c>
      <c r="E1731" s="103">
        <f t="shared" si="748"/>
        <v>72</v>
      </c>
      <c r="F1731" s="103">
        <f t="shared" si="748"/>
        <v>67</v>
      </c>
      <c r="G1731" s="103">
        <f t="shared" si="748"/>
        <v>38</v>
      </c>
      <c r="H1731" s="103">
        <f t="shared" si="748"/>
        <v>99</v>
      </c>
      <c r="I1731" s="103">
        <f t="shared" si="748"/>
        <v>508</v>
      </c>
      <c r="J1731" s="713">
        <f>'NOGAL '!$I1731/7</f>
        <v>72.571428571428569</v>
      </c>
    </row>
    <row r="1732" spans="1:10" s="71" customFormat="1" x14ac:dyDescent="0.25">
      <c r="A1732" s="622" t="s">
        <v>18</v>
      </c>
      <c r="B1732" s="449">
        <v>0.84</v>
      </c>
      <c r="C1732" s="236">
        <v>0.79</v>
      </c>
      <c r="D1732" s="236">
        <v>0.78</v>
      </c>
      <c r="E1732" s="236">
        <v>0.68</v>
      </c>
      <c r="F1732" s="236">
        <v>0.86</v>
      </c>
      <c r="G1732" s="236">
        <v>0.86</v>
      </c>
      <c r="H1732" s="236">
        <v>0.76</v>
      </c>
      <c r="I1732" s="18">
        <f>I1739/I1744</f>
        <v>0.79118764602506364</v>
      </c>
      <c r="J1732" s="714">
        <f>J1739/J1744</f>
        <v>0.79118764602506364</v>
      </c>
    </row>
    <row r="1733" spans="1:10" s="71" customFormat="1" x14ac:dyDescent="0.25">
      <c r="A1733" s="622" t="s">
        <v>19</v>
      </c>
      <c r="B1733" s="449">
        <v>0.02</v>
      </c>
      <c r="C1733" s="236">
        <v>0.01</v>
      </c>
      <c r="D1733" s="236">
        <v>0.01</v>
      </c>
      <c r="E1733" s="236">
        <v>0.05</v>
      </c>
      <c r="F1733" s="236">
        <v>0.01</v>
      </c>
      <c r="G1733" s="236">
        <v>0.03</v>
      </c>
      <c r="H1733" s="236">
        <v>0.02</v>
      </c>
      <c r="I1733" s="18">
        <f>I1740/I1744</f>
        <v>2.0241659161545376E-2</v>
      </c>
      <c r="J1733" s="714">
        <f>J1740/J1744</f>
        <v>2.0241659161545376E-2</v>
      </c>
    </row>
    <row r="1734" spans="1:10" s="71" customFormat="1" x14ac:dyDescent="0.25">
      <c r="A1734" s="622" t="s">
        <v>20</v>
      </c>
      <c r="B1734" s="449">
        <v>0.1</v>
      </c>
      <c r="C1734" s="236">
        <v>0.16</v>
      </c>
      <c r="D1734" s="236">
        <v>0.14000000000000001</v>
      </c>
      <c r="E1734" s="236">
        <v>0.27</v>
      </c>
      <c r="F1734" s="236">
        <v>0.08</v>
      </c>
      <c r="G1734" s="236">
        <v>0.08</v>
      </c>
      <c r="H1734" s="236">
        <v>0.18</v>
      </c>
      <c r="I1734" s="18">
        <f>I1741/I1744</f>
        <v>0.14842382320616185</v>
      </c>
      <c r="J1734" s="714">
        <f>J1741/J1744</f>
        <v>0.14842382320616185</v>
      </c>
    </row>
    <row r="1735" spans="1:10" s="71" customFormat="1" x14ac:dyDescent="0.25">
      <c r="A1735" s="622" t="s">
        <v>21</v>
      </c>
      <c r="B1735" s="449">
        <v>0.04</v>
      </c>
      <c r="C1735" s="236">
        <v>0.04</v>
      </c>
      <c r="D1735" s="236">
        <v>7.0000000000000007E-2</v>
      </c>
      <c r="E1735" s="236">
        <v>0</v>
      </c>
      <c r="F1735" s="236">
        <v>0.05</v>
      </c>
      <c r="G1735" s="236">
        <v>0.03</v>
      </c>
      <c r="H1735" s="236">
        <v>0.03</v>
      </c>
      <c r="I1735" s="18">
        <f>I1742/I1744</f>
        <v>3.8164211710230468E-2</v>
      </c>
      <c r="J1735" s="714">
        <f>J1742/J1744</f>
        <v>3.8164211710230475E-2</v>
      </c>
    </row>
    <row r="1736" spans="1:10" s="71" customFormat="1" x14ac:dyDescent="0.25">
      <c r="A1736" s="622" t="s">
        <v>22</v>
      </c>
      <c r="B1736" s="449">
        <v>0</v>
      </c>
      <c r="C1736" s="236">
        <v>0</v>
      </c>
      <c r="D1736" s="236">
        <v>0</v>
      </c>
      <c r="E1736" s="236">
        <v>0</v>
      </c>
      <c r="F1736" s="236">
        <v>0</v>
      </c>
      <c r="G1736" s="236">
        <v>0</v>
      </c>
      <c r="H1736" s="236">
        <v>0.01</v>
      </c>
      <c r="I1736" s="18">
        <f>I1743/I1744</f>
        <v>1.9826598969985912E-3</v>
      </c>
      <c r="J1736" s="714">
        <f>J1743/J1744</f>
        <v>1.9826598969985912E-3</v>
      </c>
    </row>
    <row r="1737" spans="1:10" s="71" customFormat="1" x14ac:dyDescent="0.25">
      <c r="A1737" s="627" t="s">
        <v>23</v>
      </c>
      <c r="B1737" s="450">
        <f t="shared" ref="B1737:J1737" si="749">B1748/B1731</f>
        <v>36770.666666666672</v>
      </c>
      <c r="C1737" s="130">
        <f t="shared" si="749"/>
        <v>35626.582278481015</v>
      </c>
      <c r="D1737" s="130">
        <f t="shared" si="749"/>
        <v>39298.717948717946</v>
      </c>
      <c r="E1737" s="130">
        <f t="shared" si="749"/>
        <v>35543.055555555562</v>
      </c>
      <c r="F1737" s="130">
        <f t="shared" si="749"/>
        <v>43350.746268656723</v>
      </c>
      <c r="G1737" s="130">
        <f t="shared" si="749"/>
        <v>41442.1052631579</v>
      </c>
      <c r="H1737" s="130">
        <f t="shared" si="749"/>
        <v>39208.080808080813</v>
      </c>
      <c r="I1737" s="130">
        <f t="shared" si="749"/>
        <v>38499.212598425205</v>
      </c>
      <c r="J1737" s="685">
        <f t="shared" si="749"/>
        <v>38499.212598425205</v>
      </c>
    </row>
    <row r="1738" spans="1:10" s="71" customFormat="1" x14ac:dyDescent="0.25">
      <c r="A1738" s="627" t="s">
        <v>24</v>
      </c>
      <c r="B1738" s="450">
        <f t="shared" ref="B1738:J1738" si="750">B1748/B1725</f>
        <v>28430.927835051552</v>
      </c>
      <c r="C1738" s="130">
        <f t="shared" si="750"/>
        <v>28145</v>
      </c>
      <c r="D1738" s="130">
        <f t="shared" si="750"/>
        <v>30653</v>
      </c>
      <c r="E1738" s="130">
        <f t="shared" si="750"/>
        <v>31208.536585365859</v>
      </c>
      <c r="F1738" s="130">
        <f t="shared" si="750"/>
        <v>32272.222222222226</v>
      </c>
      <c r="G1738" s="130">
        <f t="shared" si="750"/>
        <v>30284.61538461539</v>
      </c>
      <c r="H1738" s="130">
        <f t="shared" si="750"/>
        <v>29184.962406015042</v>
      </c>
      <c r="I1738" s="130">
        <f t="shared" si="750"/>
        <v>29904.587155963309</v>
      </c>
      <c r="J1738" s="685">
        <f t="shared" si="750"/>
        <v>29904.587155963309</v>
      </c>
    </row>
    <row r="1739" spans="1:10" s="71" customFormat="1" x14ac:dyDescent="0.25">
      <c r="A1739" s="622" t="s">
        <v>25</v>
      </c>
      <c r="B1739" s="451">
        <f t="shared" ref="B1739:H1739" si="751">B1744*B1732</f>
        <v>1885500.7862068966</v>
      </c>
      <c r="C1739" s="92">
        <f t="shared" si="751"/>
        <v>1817604.4317241381</v>
      </c>
      <c r="D1739" s="92">
        <f t="shared" si="751"/>
        <v>1955706.48</v>
      </c>
      <c r="E1739" s="92">
        <f t="shared" si="751"/>
        <v>1423010.6289655175</v>
      </c>
      <c r="F1739" s="92">
        <f t="shared" si="751"/>
        <v>2045382.1268965518</v>
      </c>
      <c r="G1739" s="92">
        <f t="shared" si="751"/>
        <v>1113547.0979310346</v>
      </c>
      <c r="H1739" s="92">
        <f t="shared" si="751"/>
        <v>2409188.5213793106</v>
      </c>
      <c r="I1739" s="92">
        <f>'NOGAL '!$B1739+'NOGAL '!$C1739+'NOGAL '!$D1739+'NOGAL '!$E1739+'NOGAL '!$F1739+'NOGAL '!$G1739+'NOGAL '!$H1739</f>
        <v>12649940.07310345</v>
      </c>
      <c r="J1739" s="715">
        <f>'NOGAL '!$I1739/7</f>
        <v>1807134.2961576357</v>
      </c>
    </row>
    <row r="1740" spans="1:10" s="71" customFormat="1" x14ac:dyDescent="0.25">
      <c r="A1740" s="622" t="s">
        <v>26</v>
      </c>
      <c r="B1740" s="451">
        <f t="shared" ref="B1740:H1740" si="752">B1744*B1733</f>
        <v>44892.87586206897</v>
      </c>
      <c r="C1740" s="92">
        <f t="shared" si="752"/>
        <v>23007.651034482758</v>
      </c>
      <c r="D1740" s="92">
        <f t="shared" si="752"/>
        <v>25073.16</v>
      </c>
      <c r="E1740" s="92">
        <f t="shared" si="752"/>
        <v>104633.13448275864</v>
      </c>
      <c r="F1740" s="92">
        <f t="shared" si="752"/>
        <v>23783.51310344828</v>
      </c>
      <c r="G1740" s="92">
        <f t="shared" si="752"/>
        <v>38844.666206896552</v>
      </c>
      <c r="H1740" s="92">
        <f t="shared" si="752"/>
        <v>63399.69793103449</v>
      </c>
      <c r="I1740" s="92">
        <f>'NOGAL '!$B1740+'NOGAL '!$C1740+'NOGAL '!$D1740+'NOGAL '!$E1740+'NOGAL '!$F1740+'NOGAL '!$G1740+'NOGAL '!$H1740</f>
        <v>323634.69862068974</v>
      </c>
      <c r="J1740" s="715">
        <f>'NOGAL '!$I1740/7</f>
        <v>46233.528374384252</v>
      </c>
    </row>
    <row r="1741" spans="1:10" s="71" customFormat="1" x14ac:dyDescent="0.25">
      <c r="A1741" s="622" t="s">
        <v>27</v>
      </c>
      <c r="B1741" s="451">
        <f t="shared" ref="B1741:H1741" si="753">B1744*B1734</f>
        <v>224464.37931034487</v>
      </c>
      <c r="C1741" s="92">
        <f t="shared" si="753"/>
        <v>368122.41655172413</v>
      </c>
      <c r="D1741" s="92">
        <f t="shared" si="753"/>
        <v>351024.24000000005</v>
      </c>
      <c r="E1741" s="92">
        <f t="shared" si="753"/>
        <v>565018.92620689666</v>
      </c>
      <c r="F1741" s="92">
        <f t="shared" si="753"/>
        <v>190268.10482758624</v>
      </c>
      <c r="G1741" s="92">
        <f t="shared" si="753"/>
        <v>103585.77655172415</v>
      </c>
      <c r="H1741" s="92">
        <f t="shared" si="753"/>
        <v>570597.28137931041</v>
      </c>
      <c r="I1741" s="92">
        <f>'NOGAL '!$B1741+'NOGAL '!$C1741+'NOGAL '!$D1741+'NOGAL '!$E1741+'NOGAL '!$F1741+'NOGAL '!$G1741+'NOGAL '!$H1741</f>
        <v>2373081.1248275866</v>
      </c>
      <c r="J1741" s="715">
        <f>'NOGAL '!$I1741/7</f>
        <v>339011.58926108381</v>
      </c>
    </row>
    <row r="1742" spans="1:10" s="71" customFormat="1" x14ac:dyDescent="0.25">
      <c r="A1742" s="622" t="s">
        <v>28</v>
      </c>
      <c r="B1742" s="451">
        <f t="shared" ref="B1742:H1742" si="754">B1744*B1735</f>
        <v>89785.751724137939</v>
      </c>
      <c r="C1742" s="92">
        <f t="shared" si="754"/>
        <v>92030.604137931034</v>
      </c>
      <c r="D1742" s="92">
        <f t="shared" si="754"/>
        <v>175512.12000000002</v>
      </c>
      <c r="E1742" s="92">
        <f t="shared" si="754"/>
        <v>0</v>
      </c>
      <c r="F1742" s="92">
        <f t="shared" si="754"/>
        <v>118917.5655172414</v>
      </c>
      <c r="G1742" s="92">
        <f t="shared" si="754"/>
        <v>38844.666206896552</v>
      </c>
      <c r="H1742" s="92">
        <f t="shared" si="754"/>
        <v>95099.546896551736</v>
      </c>
      <c r="I1742" s="92">
        <f>'NOGAL '!$B1742+'NOGAL '!$C1742+'NOGAL '!$D1742+'NOGAL '!$E1742+'NOGAL '!$F1742+'NOGAL '!$G1742+'NOGAL '!$H1742</f>
        <v>610190.2544827587</v>
      </c>
      <c r="J1742" s="715">
        <f>'NOGAL '!$I1742/7</f>
        <v>87170.036354679818</v>
      </c>
    </row>
    <row r="1743" spans="1:10" s="71" customFormat="1" x14ac:dyDescent="0.25">
      <c r="A1743" s="622" t="s">
        <v>29</v>
      </c>
      <c r="B1743" s="451">
        <f t="shared" ref="B1743:H1743" si="755">B1744*B1736</f>
        <v>0</v>
      </c>
      <c r="C1743" s="92">
        <f t="shared" si="755"/>
        <v>0</v>
      </c>
      <c r="D1743" s="92">
        <f t="shared" si="755"/>
        <v>0</v>
      </c>
      <c r="E1743" s="92">
        <f t="shared" si="755"/>
        <v>0</v>
      </c>
      <c r="F1743" s="92">
        <f t="shared" si="755"/>
        <v>0</v>
      </c>
      <c r="G1743" s="92">
        <f t="shared" si="755"/>
        <v>0</v>
      </c>
      <c r="H1743" s="92">
        <f t="shared" si="755"/>
        <v>31699.848965517245</v>
      </c>
      <c r="I1743" s="92">
        <f>'NOGAL '!$B1743+'NOGAL '!$C1743+'NOGAL '!$D1743+'NOGAL '!$E1743+'NOGAL '!$F1743+'NOGAL '!$G1743+'NOGAL '!$H1743</f>
        <v>31699.848965517245</v>
      </c>
      <c r="J1743" s="715">
        <f>'NOGAL '!$I1743/7</f>
        <v>4528.5498522167491</v>
      </c>
    </row>
    <row r="1744" spans="1:10" s="71" customFormat="1" x14ac:dyDescent="0.25">
      <c r="A1744" s="630" t="s">
        <v>30</v>
      </c>
      <c r="B1744" s="237">
        <f>(2757800/1.16)-B1745</f>
        <v>2244643.7931034486</v>
      </c>
      <c r="C1744" s="237">
        <f>(2814500/1.16)-C1745</f>
        <v>2300765.1034482759</v>
      </c>
      <c r="D1744" s="237">
        <f>(3065300/1.16)-D1745</f>
        <v>2507316</v>
      </c>
      <c r="E1744" s="237">
        <f>(2559100/1.16)-E1745</f>
        <v>2092662.6896551726</v>
      </c>
      <c r="F1744" s="237">
        <f>(2904500/1.16)-F1745</f>
        <v>2378351.3103448278</v>
      </c>
      <c r="G1744" s="237">
        <f>(1574800/1.16)-G1745</f>
        <v>1294822.2068965519</v>
      </c>
      <c r="H1744" s="237">
        <f>(3881600/1.16)-H1745</f>
        <v>3169984.8965517245</v>
      </c>
      <c r="I1744" s="91">
        <f>SUM(I1739:I1743)</f>
        <v>15988546.000000004</v>
      </c>
      <c r="J1744" s="716">
        <f>'NOGAL '!$I1744/7</f>
        <v>2284078.0000000005</v>
      </c>
    </row>
    <row r="1745" spans="1:10" s="71" customFormat="1" x14ac:dyDescent="0.25">
      <c r="A1745" s="622" t="s">
        <v>31</v>
      </c>
      <c r="B1745" s="452">
        <f t="shared" ref="B1745:I1745" si="756">2414*B1726</f>
        <v>132770</v>
      </c>
      <c r="C1745" s="94">
        <f t="shared" si="756"/>
        <v>125528</v>
      </c>
      <c r="D1745" s="94">
        <f t="shared" si="756"/>
        <v>135184</v>
      </c>
      <c r="E1745" s="94">
        <f t="shared" si="756"/>
        <v>113458</v>
      </c>
      <c r="F1745" s="94">
        <f t="shared" si="756"/>
        <v>125528</v>
      </c>
      <c r="G1745" s="94">
        <f t="shared" si="756"/>
        <v>62764</v>
      </c>
      <c r="H1745" s="94">
        <f t="shared" si="756"/>
        <v>176222</v>
      </c>
      <c r="I1745" s="94">
        <f t="shared" si="756"/>
        <v>871454</v>
      </c>
      <c r="J1745" s="717">
        <f>2155*J1726</f>
        <v>111136.42857142857</v>
      </c>
    </row>
    <row r="1746" spans="1:10" s="71" customFormat="1" x14ac:dyDescent="0.25">
      <c r="A1746" s="633" t="s">
        <v>32</v>
      </c>
      <c r="B1746" s="453">
        <f>B1744+B1745</f>
        <v>2377413.7931034486</v>
      </c>
      <c r="C1746" s="39">
        <f>C1744+C1745</f>
        <v>2426293.1034482759</v>
      </c>
      <c r="D1746" s="39">
        <f t="shared" ref="D1746:J1746" si="757">D1744+D1745</f>
        <v>2642500</v>
      </c>
      <c r="E1746" s="39">
        <f t="shared" si="757"/>
        <v>2206120.6896551726</v>
      </c>
      <c r="F1746" s="39">
        <f t="shared" si="757"/>
        <v>2503879.3103448278</v>
      </c>
      <c r="G1746" s="39">
        <f t="shared" si="757"/>
        <v>1357586.2068965519</v>
      </c>
      <c r="H1746" s="39">
        <f t="shared" si="757"/>
        <v>3346206.8965517245</v>
      </c>
      <c r="I1746" s="39">
        <f t="shared" si="757"/>
        <v>16860000.000000004</v>
      </c>
      <c r="J1746" s="718">
        <f t="shared" si="757"/>
        <v>2395214.4285714291</v>
      </c>
    </row>
    <row r="1747" spans="1:10" s="71" customFormat="1" x14ac:dyDescent="0.25">
      <c r="A1747" s="622" t="s">
        <v>33</v>
      </c>
      <c r="B1747" s="454">
        <f>B1746*16%</f>
        <v>380386.20689655177</v>
      </c>
      <c r="C1747" s="41">
        <f>C1746*16%</f>
        <v>388206.89655172417</v>
      </c>
      <c r="D1747" s="41">
        <f t="shared" ref="D1747:J1747" si="758">D1746*16%</f>
        <v>422800</v>
      </c>
      <c r="E1747" s="41">
        <f t="shared" si="758"/>
        <v>352979.31034482765</v>
      </c>
      <c r="F1747" s="41">
        <f t="shared" si="758"/>
        <v>400620.68965517246</v>
      </c>
      <c r="G1747" s="41">
        <f t="shared" si="758"/>
        <v>217213.79310344832</v>
      </c>
      <c r="H1747" s="41">
        <f t="shared" si="758"/>
        <v>535393.10344827594</v>
      </c>
      <c r="I1747" s="41">
        <f t="shared" si="758"/>
        <v>2697600.0000000005</v>
      </c>
      <c r="J1747" s="719">
        <f t="shared" si="758"/>
        <v>383234.30857142864</v>
      </c>
    </row>
    <row r="1748" spans="1:10" s="71" customFormat="1" ht="15.75" thickBot="1" x14ac:dyDescent="0.3">
      <c r="A1748" s="636" t="s">
        <v>34</v>
      </c>
      <c r="B1748" s="637">
        <f t="shared" ref="B1748:H1748" si="759">B1746+B1747</f>
        <v>2757800.0000000005</v>
      </c>
      <c r="C1748" s="686">
        <f t="shared" si="759"/>
        <v>2814500</v>
      </c>
      <c r="D1748" s="686">
        <f t="shared" si="759"/>
        <v>3065300</v>
      </c>
      <c r="E1748" s="686">
        <f t="shared" si="759"/>
        <v>2559100.0000000005</v>
      </c>
      <c r="F1748" s="686">
        <f t="shared" si="759"/>
        <v>2904500.0000000005</v>
      </c>
      <c r="G1748" s="686">
        <f t="shared" si="759"/>
        <v>1574800.0000000002</v>
      </c>
      <c r="H1748" s="686">
        <f t="shared" si="759"/>
        <v>3881600.0000000005</v>
      </c>
      <c r="I1748" s="686">
        <f>+I1746+I1747</f>
        <v>19557600.000000004</v>
      </c>
      <c r="J1748" s="720">
        <f>'NOGAL '!$I1748/7</f>
        <v>2793942.8571428577</v>
      </c>
    </row>
    <row r="1749" spans="1:10" s="71" customFormat="1" ht="15.75" thickBot="1" x14ac:dyDescent="0.3">
      <c r="A1749" s="69"/>
      <c r="B1749" s="424"/>
      <c r="C1749" s="424"/>
      <c r="D1749" s="424"/>
      <c r="E1749" s="424"/>
      <c r="F1749" s="424"/>
      <c r="G1749" s="424"/>
      <c r="H1749" s="424"/>
      <c r="I1749" s="424"/>
      <c r="J1749" s="424"/>
    </row>
    <row r="1750" spans="1:10" s="71" customFormat="1" ht="27" thickBot="1" x14ac:dyDescent="0.3">
      <c r="A1750" s="85"/>
      <c r="B1750" s="1002" t="s">
        <v>631</v>
      </c>
      <c r="C1750" s="1002"/>
      <c r="D1750" s="1002"/>
      <c r="E1750" s="1002"/>
      <c r="F1750" s="1002"/>
      <c r="G1750" s="1002"/>
      <c r="H1750" s="1002"/>
      <c r="I1750" s="1002"/>
      <c r="J1750" s="85"/>
    </row>
    <row r="1751" spans="1:10" s="71" customFormat="1" ht="15.75" x14ac:dyDescent="0.25">
      <c r="A1751" s="614" t="s">
        <v>2</v>
      </c>
      <c r="B1751" s="706" t="s">
        <v>274</v>
      </c>
      <c r="C1751" s="641" t="s">
        <v>275</v>
      </c>
      <c r="D1751" s="641" t="s">
        <v>658</v>
      </c>
      <c r="E1751" s="641" t="s">
        <v>277</v>
      </c>
      <c r="F1751" s="641" t="s">
        <v>278</v>
      </c>
      <c r="G1751" s="641" t="s">
        <v>279</v>
      </c>
      <c r="H1751" s="641" t="s">
        <v>280</v>
      </c>
      <c r="I1751" s="618" t="s">
        <v>10</v>
      </c>
      <c r="J1751" s="711" t="s">
        <v>77</v>
      </c>
    </row>
    <row r="1752" spans="1:10" s="71" customFormat="1" x14ac:dyDescent="0.25">
      <c r="A1752" s="620" t="s">
        <v>11</v>
      </c>
      <c r="B1752" s="433">
        <f>60+32+21</f>
        <v>113</v>
      </c>
      <c r="C1752" s="75">
        <f>59+26+11</f>
        <v>96</v>
      </c>
      <c r="D1752" s="75">
        <f>53+16+6</f>
        <v>75</v>
      </c>
      <c r="E1752" s="316">
        <f>70+33+5</f>
        <v>108</v>
      </c>
      <c r="F1752" s="316">
        <f>68+38+13</f>
        <v>119</v>
      </c>
      <c r="G1752" s="316">
        <f>73+32+8</f>
        <v>113</v>
      </c>
      <c r="H1752" s="316">
        <f>70+39+13</f>
        <v>122</v>
      </c>
      <c r="I1752" s="316">
        <f>SUM(B1752:H1752)</f>
        <v>746</v>
      </c>
      <c r="J1752" s="712">
        <f>'NOGAL '!$I1752/7</f>
        <v>106.57142857142857</v>
      </c>
    </row>
    <row r="1753" spans="1:10" s="71" customFormat="1" x14ac:dyDescent="0.25">
      <c r="A1753" s="622" t="s">
        <v>12</v>
      </c>
      <c r="B1753" s="448">
        <v>56</v>
      </c>
      <c r="C1753" s="86">
        <v>53</v>
      </c>
      <c r="D1753" s="11">
        <v>48</v>
      </c>
      <c r="E1753" s="86">
        <v>54</v>
      </c>
      <c r="F1753" s="86">
        <v>65</v>
      </c>
      <c r="G1753" s="86">
        <v>62</v>
      </c>
      <c r="H1753" s="11">
        <v>78</v>
      </c>
      <c r="I1753" s="11">
        <f>B1753+C1753+D1753+E1753+F1753+G1753+H1753</f>
        <v>416</v>
      </c>
      <c r="J1753" s="684">
        <f>'NOGAL '!$I1753/7</f>
        <v>59.428571428571431</v>
      </c>
    </row>
    <row r="1754" spans="1:10" s="71" customFormat="1" x14ac:dyDescent="0.25">
      <c r="A1754" s="622" t="s">
        <v>13</v>
      </c>
      <c r="B1754" s="448">
        <v>2</v>
      </c>
      <c r="C1754" s="11">
        <v>1</v>
      </c>
      <c r="D1754" s="11">
        <v>0</v>
      </c>
      <c r="E1754" s="86">
        <v>4</v>
      </c>
      <c r="F1754" s="11">
        <v>2</v>
      </c>
      <c r="G1754" s="11">
        <v>3</v>
      </c>
      <c r="H1754" s="11">
        <v>0</v>
      </c>
      <c r="I1754" s="11">
        <f>B1754+C1754+D1754+E1754+F1754+G1754+H1754</f>
        <v>12</v>
      </c>
      <c r="J1754" s="684">
        <f>C1754+D1754+E1754+F1754+G1754+H1754+I1754</f>
        <v>22</v>
      </c>
    </row>
    <row r="1755" spans="1:10" s="71" customFormat="1" x14ac:dyDescent="0.25">
      <c r="A1755" s="622" t="s">
        <v>14</v>
      </c>
      <c r="B1755" s="448">
        <v>19</v>
      </c>
      <c r="C1755" s="11">
        <v>13</v>
      </c>
      <c r="D1755" s="11">
        <v>15</v>
      </c>
      <c r="E1755" s="11">
        <v>14</v>
      </c>
      <c r="F1755" s="11">
        <v>23</v>
      </c>
      <c r="G1755" s="11">
        <v>13</v>
      </c>
      <c r="H1755" s="11">
        <v>6</v>
      </c>
      <c r="I1755" s="11">
        <f>B1755+C1755+D1755+E1755+F1755+G1755+H1755</f>
        <v>103</v>
      </c>
      <c r="J1755" s="684">
        <f>'NOGAL '!$I1755/7</f>
        <v>14.714285714285714</v>
      </c>
    </row>
    <row r="1756" spans="1:10" s="71" customFormat="1" x14ac:dyDescent="0.25">
      <c r="A1756" s="622" t="s">
        <v>15</v>
      </c>
      <c r="B1756" s="448">
        <v>5</v>
      </c>
      <c r="C1756" s="11">
        <v>1</v>
      </c>
      <c r="D1756" s="11">
        <v>5</v>
      </c>
      <c r="E1756" s="11">
        <v>9</v>
      </c>
      <c r="F1756" s="11">
        <v>5</v>
      </c>
      <c r="G1756" s="11">
        <v>5</v>
      </c>
      <c r="H1756" s="11">
        <v>11</v>
      </c>
      <c r="I1756" s="11">
        <f>B1756+C1756+D1756+E1756+F1756+G1756+H1756</f>
        <v>41</v>
      </c>
      <c r="J1756" s="684">
        <f>'NOGAL '!$I1756/7</f>
        <v>5.8571428571428568</v>
      </c>
    </row>
    <row r="1757" spans="1:10" s="71" customFormat="1" x14ac:dyDescent="0.25">
      <c r="A1757" s="622" t="s">
        <v>16</v>
      </c>
      <c r="B1757" s="448">
        <v>0</v>
      </c>
      <c r="C1757" s="11">
        <v>0</v>
      </c>
      <c r="D1757" s="11">
        <v>0</v>
      </c>
      <c r="E1757" s="11">
        <v>1</v>
      </c>
      <c r="F1757" s="11">
        <v>0</v>
      </c>
      <c r="G1757" s="11">
        <v>0</v>
      </c>
      <c r="H1757" s="11">
        <v>0</v>
      </c>
      <c r="I1757" s="11">
        <f>B1757+C1757+D1757+E1757+F1757+G1757+H1757</f>
        <v>1</v>
      </c>
      <c r="J1757" s="684">
        <f>'NOGAL '!$I1757/7</f>
        <v>0.14285714285714285</v>
      </c>
    </row>
    <row r="1758" spans="1:10" s="71" customFormat="1" x14ac:dyDescent="0.25">
      <c r="A1758" s="624" t="s">
        <v>17</v>
      </c>
      <c r="B1758" s="102">
        <f t="shared" ref="B1758:I1758" si="760">SUM(B1753:B1757)</f>
        <v>82</v>
      </c>
      <c r="C1758" s="103">
        <f t="shared" si="760"/>
        <v>68</v>
      </c>
      <c r="D1758" s="103">
        <f t="shared" si="760"/>
        <v>68</v>
      </c>
      <c r="E1758" s="103">
        <f t="shared" si="760"/>
        <v>82</v>
      </c>
      <c r="F1758" s="103">
        <f t="shared" si="760"/>
        <v>95</v>
      </c>
      <c r="G1758" s="103">
        <f t="shared" si="760"/>
        <v>83</v>
      </c>
      <c r="H1758" s="103">
        <f t="shared" si="760"/>
        <v>95</v>
      </c>
      <c r="I1758" s="103">
        <f t="shared" si="760"/>
        <v>573</v>
      </c>
      <c r="J1758" s="713">
        <f>'NOGAL '!$I1758/7</f>
        <v>81.857142857142861</v>
      </c>
    </row>
    <row r="1759" spans="1:10" s="71" customFormat="1" x14ac:dyDescent="0.25">
      <c r="A1759" s="622" t="s">
        <v>18</v>
      </c>
      <c r="B1759" s="449">
        <v>0.8</v>
      </c>
      <c r="C1759" s="236">
        <v>0.83</v>
      </c>
      <c r="D1759" s="236">
        <v>0.79</v>
      </c>
      <c r="E1759" s="236">
        <v>0.81</v>
      </c>
      <c r="F1759" s="236">
        <v>0.78</v>
      </c>
      <c r="G1759" s="236">
        <v>0.79</v>
      </c>
      <c r="H1759" s="236">
        <v>0.87</v>
      </c>
      <c r="I1759" s="18">
        <f>I1766/I1771</f>
        <v>0.81139875256092864</v>
      </c>
      <c r="J1759" s="714">
        <f>J1766/J1771</f>
        <v>0.81139875256092864</v>
      </c>
    </row>
    <row r="1760" spans="1:10" s="71" customFormat="1" x14ac:dyDescent="0.25">
      <c r="A1760" s="622" t="s">
        <v>19</v>
      </c>
      <c r="B1760" s="449">
        <v>0.01</v>
      </c>
      <c r="C1760" s="236">
        <v>0.01</v>
      </c>
      <c r="D1760" s="236">
        <v>0</v>
      </c>
      <c r="E1760" s="236">
        <v>0.03</v>
      </c>
      <c r="F1760" s="236">
        <v>0.01</v>
      </c>
      <c r="G1760" s="236">
        <v>0.04</v>
      </c>
      <c r="H1760" s="236">
        <v>0</v>
      </c>
      <c r="I1760" s="18">
        <f>I1767/I1771</f>
        <v>1.4819615478488276E-2</v>
      </c>
      <c r="J1760" s="714">
        <f>J1767/J1771</f>
        <v>1.4819615478488275E-2</v>
      </c>
    </row>
    <row r="1761" spans="1:10" s="71" customFormat="1" x14ac:dyDescent="0.25">
      <c r="A1761" s="622" t="s">
        <v>20</v>
      </c>
      <c r="B1761" s="449">
        <v>0.13</v>
      </c>
      <c r="C1761" s="236">
        <v>0.15</v>
      </c>
      <c r="D1761" s="236">
        <v>0.15</v>
      </c>
      <c r="E1761" s="236">
        <v>7.0000000000000007E-2</v>
      </c>
      <c r="F1761" s="236">
        <v>0.17</v>
      </c>
      <c r="G1761" s="236">
        <v>0.12</v>
      </c>
      <c r="H1761" s="236">
        <v>0.04</v>
      </c>
      <c r="I1761" s="18">
        <f>I1768/I1771</f>
        <v>0.11577880878718731</v>
      </c>
      <c r="J1761" s="714">
        <f>J1768/J1771</f>
        <v>0.11577880878718731</v>
      </c>
    </row>
    <row r="1762" spans="1:10" s="71" customFormat="1" x14ac:dyDescent="0.25">
      <c r="A1762" s="622" t="s">
        <v>21</v>
      </c>
      <c r="B1762" s="449">
        <v>0.06</v>
      </c>
      <c r="C1762" s="236">
        <v>0.01</v>
      </c>
      <c r="D1762" s="236">
        <v>0.06</v>
      </c>
      <c r="E1762" s="236">
        <v>0.08</v>
      </c>
      <c r="F1762" s="236">
        <v>0.04</v>
      </c>
      <c r="G1762" s="236">
        <v>0.05</v>
      </c>
      <c r="H1762" s="236">
        <v>0.09</v>
      </c>
      <c r="I1762" s="18">
        <f>I1769/I1771</f>
        <v>5.6611325546499787E-2</v>
      </c>
      <c r="J1762" s="714">
        <f>J1769/J1771</f>
        <v>5.6611325546499794E-2</v>
      </c>
    </row>
    <row r="1763" spans="1:10" s="71" customFormat="1" x14ac:dyDescent="0.25">
      <c r="A1763" s="622" t="s">
        <v>22</v>
      </c>
      <c r="B1763" s="449">
        <v>0</v>
      </c>
      <c r="C1763" s="236">
        <v>0</v>
      </c>
      <c r="D1763" s="236">
        <v>0</v>
      </c>
      <c r="E1763" s="236">
        <v>0.01</v>
      </c>
      <c r="F1763" s="236">
        <v>0</v>
      </c>
      <c r="G1763" s="236">
        <v>0</v>
      </c>
      <c r="H1763" s="236">
        <v>0</v>
      </c>
      <c r="I1763" s="18">
        <f>I1770/I1771</f>
        <v>1.3914976268960186E-3</v>
      </c>
      <c r="J1763" s="714">
        <f>J1770/J1771</f>
        <v>1.3914976268960188E-3</v>
      </c>
    </row>
    <row r="1764" spans="1:10" s="71" customFormat="1" x14ac:dyDescent="0.25">
      <c r="A1764" s="627" t="s">
        <v>23</v>
      </c>
      <c r="B1764" s="450">
        <f t="shared" ref="B1764:J1764" si="761">B1775/B1758</f>
        <v>37291.463414634149</v>
      </c>
      <c r="C1764" s="130">
        <f t="shared" si="761"/>
        <v>40997.058823529413</v>
      </c>
      <c r="D1764" s="130">
        <f t="shared" si="761"/>
        <v>31770.588235294119</v>
      </c>
      <c r="E1764" s="130">
        <f t="shared" si="761"/>
        <v>36434.146341463413</v>
      </c>
      <c r="F1764" s="130">
        <f t="shared" si="761"/>
        <v>36567.368421052633</v>
      </c>
      <c r="G1764" s="130">
        <f t="shared" si="761"/>
        <v>40845.783132530123</v>
      </c>
      <c r="H1764" s="130">
        <f t="shared" si="761"/>
        <v>38850.526315789481</v>
      </c>
      <c r="I1764" s="130">
        <f t="shared" si="761"/>
        <v>37606.631762652709</v>
      </c>
      <c r="J1764" s="685">
        <f t="shared" si="761"/>
        <v>37606.631762652709</v>
      </c>
    </row>
    <row r="1765" spans="1:10" s="71" customFormat="1" x14ac:dyDescent="0.25">
      <c r="A1765" s="627" t="s">
        <v>24</v>
      </c>
      <c r="B1765" s="450">
        <f t="shared" ref="B1765:J1765" si="762">B1775/B1752</f>
        <v>27061.061946902661</v>
      </c>
      <c r="C1765" s="130">
        <f t="shared" si="762"/>
        <v>29039.583333333332</v>
      </c>
      <c r="D1765" s="130">
        <f t="shared" si="762"/>
        <v>28805.333333333332</v>
      </c>
      <c r="E1765" s="130">
        <f t="shared" si="762"/>
        <v>27662.962962962964</v>
      </c>
      <c r="F1765" s="130">
        <f t="shared" si="762"/>
        <v>29192.436974789915</v>
      </c>
      <c r="G1765" s="130">
        <f t="shared" si="762"/>
        <v>30001.769911504423</v>
      </c>
      <c r="H1765" s="130">
        <f t="shared" si="762"/>
        <v>30252.459016393448</v>
      </c>
      <c r="I1765" s="130">
        <f t="shared" si="762"/>
        <v>28885.522788203758</v>
      </c>
      <c r="J1765" s="685">
        <f t="shared" si="762"/>
        <v>28885.522788203758</v>
      </c>
    </row>
    <row r="1766" spans="1:10" s="71" customFormat="1" x14ac:dyDescent="0.25">
      <c r="A1766" s="622" t="s">
        <v>25</v>
      </c>
      <c r="B1766" s="451">
        <f t="shared" ref="B1766:H1766" si="763">B1771*B1759</f>
        <v>2000749.3517241383</v>
      </c>
      <c r="C1766" s="92">
        <f t="shared" si="763"/>
        <v>1888527.1055172414</v>
      </c>
      <c r="D1766" s="92">
        <f t="shared" si="763"/>
        <v>1379768.0165517242</v>
      </c>
      <c r="E1766" s="92">
        <f t="shared" si="763"/>
        <v>1980580.6055172416</v>
      </c>
      <c r="F1766" s="92">
        <f t="shared" si="763"/>
        <v>2213508.4758620691</v>
      </c>
      <c r="G1766" s="92">
        <f t="shared" si="763"/>
        <v>2190605.3834482762</v>
      </c>
      <c r="H1766" s="92">
        <f t="shared" si="763"/>
        <v>2604285.9600000004</v>
      </c>
      <c r="I1766" s="92">
        <f>'NOGAL '!$B1766+'NOGAL '!$C1766+'NOGAL '!$D1766+'NOGAL '!$E1766+'NOGAL '!$F1766+'NOGAL '!$G1766+'NOGAL '!$H1766</f>
        <v>14258024.898620693</v>
      </c>
      <c r="J1766" s="715">
        <f>'NOGAL '!$I1766/7</f>
        <v>2036860.6998029561</v>
      </c>
    </row>
    <row r="1767" spans="1:10" s="71" customFormat="1" x14ac:dyDescent="0.25">
      <c r="A1767" s="622" t="s">
        <v>26</v>
      </c>
      <c r="B1767" s="451">
        <f t="shared" ref="B1767:H1767" si="764">B1771*B1760</f>
        <v>25009.366896551728</v>
      </c>
      <c r="C1767" s="92">
        <f t="shared" si="764"/>
        <v>22753.338620689658</v>
      </c>
      <c r="D1767" s="92">
        <f t="shared" si="764"/>
        <v>0</v>
      </c>
      <c r="E1767" s="92">
        <f t="shared" si="764"/>
        <v>73354.837241379311</v>
      </c>
      <c r="F1767" s="92">
        <f t="shared" si="764"/>
        <v>28378.313793103447</v>
      </c>
      <c r="G1767" s="92">
        <f t="shared" si="764"/>
        <v>110916.72827586207</v>
      </c>
      <c r="H1767" s="92">
        <f t="shared" si="764"/>
        <v>0</v>
      </c>
      <c r="I1767" s="92">
        <f>'NOGAL '!$B1767+'NOGAL '!$C1767+'NOGAL '!$D1767+'NOGAL '!$E1767+'NOGAL '!$F1767+'NOGAL '!$G1767+'NOGAL '!$H1767</f>
        <v>260412.58482758619</v>
      </c>
      <c r="J1767" s="715">
        <f>'NOGAL '!$I1767/7</f>
        <v>37201.797832512311</v>
      </c>
    </row>
    <row r="1768" spans="1:10" s="71" customFormat="1" x14ac:dyDescent="0.25">
      <c r="A1768" s="622" t="s">
        <v>27</v>
      </c>
      <c r="B1768" s="451">
        <f t="shared" ref="B1768:H1768" si="765">B1771*B1761</f>
        <v>325121.76965517248</v>
      </c>
      <c r="C1768" s="92">
        <f t="shared" si="765"/>
        <v>341300.07931034482</v>
      </c>
      <c r="D1768" s="92">
        <f t="shared" si="765"/>
        <v>261981.26896551723</v>
      </c>
      <c r="E1768" s="92">
        <f t="shared" si="765"/>
        <v>171161.28689655176</v>
      </c>
      <c r="F1768" s="92">
        <f t="shared" si="765"/>
        <v>482431.33448275866</v>
      </c>
      <c r="G1768" s="92">
        <f t="shared" si="765"/>
        <v>332750.18482758623</v>
      </c>
      <c r="H1768" s="92">
        <f t="shared" si="765"/>
        <v>119737.2855172414</v>
      </c>
      <c r="I1768" s="92">
        <f>'NOGAL '!$B1768+'NOGAL '!$C1768+'NOGAL '!$D1768+'NOGAL '!$E1768+'NOGAL '!$F1768+'NOGAL '!$G1768+'NOGAL '!$H1768</f>
        <v>2034483.2096551722</v>
      </c>
      <c r="J1768" s="715">
        <f>'NOGAL '!$I1768/7</f>
        <v>290640.45852216746</v>
      </c>
    </row>
    <row r="1769" spans="1:10" s="71" customFormat="1" x14ac:dyDescent="0.25">
      <c r="A1769" s="622" t="s">
        <v>28</v>
      </c>
      <c r="B1769" s="451">
        <f t="shared" ref="B1769:H1769" si="766">B1771*B1762</f>
        <v>150056.20137931034</v>
      </c>
      <c r="C1769" s="92">
        <f t="shared" si="766"/>
        <v>22753.338620689658</v>
      </c>
      <c r="D1769" s="92">
        <f t="shared" si="766"/>
        <v>104792.50758620689</v>
      </c>
      <c r="E1769" s="92">
        <f t="shared" si="766"/>
        <v>195612.89931034483</v>
      </c>
      <c r="F1769" s="92">
        <f t="shared" si="766"/>
        <v>113513.25517241379</v>
      </c>
      <c r="G1769" s="92">
        <f t="shared" si="766"/>
        <v>138645.9103448276</v>
      </c>
      <c r="H1769" s="92">
        <f t="shared" si="766"/>
        <v>269408.89241379313</v>
      </c>
      <c r="I1769" s="92">
        <f>'NOGAL '!$B1769+'NOGAL '!$C1769+'NOGAL '!$D1769+'NOGAL '!$E1769+'NOGAL '!$F1769+'NOGAL '!$G1769+'NOGAL '!$H1769</f>
        <v>994783.00482758624</v>
      </c>
      <c r="J1769" s="715">
        <f>'NOGAL '!$I1769/7</f>
        <v>142111.85783251232</v>
      </c>
    </row>
    <row r="1770" spans="1:10" s="71" customFormat="1" x14ac:dyDescent="0.25">
      <c r="A1770" s="622" t="s">
        <v>29</v>
      </c>
      <c r="B1770" s="451">
        <f t="shared" ref="B1770:H1770" si="767">B1771*B1763</f>
        <v>0</v>
      </c>
      <c r="C1770" s="92">
        <f t="shared" si="767"/>
        <v>0</v>
      </c>
      <c r="D1770" s="92">
        <f t="shared" si="767"/>
        <v>0</v>
      </c>
      <c r="E1770" s="92">
        <f t="shared" si="767"/>
        <v>24451.612413793104</v>
      </c>
      <c r="F1770" s="92">
        <f t="shared" si="767"/>
        <v>0</v>
      </c>
      <c r="G1770" s="92">
        <f t="shared" si="767"/>
        <v>0</v>
      </c>
      <c r="H1770" s="92">
        <f t="shared" si="767"/>
        <v>0</v>
      </c>
      <c r="I1770" s="92">
        <f>'NOGAL '!$B1770+'NOGAL '!$C1770+'NOGAL '!$D1770+'NOGAL '!$E1770+'NOGAL '!$F1770+'NOGAL '!$G1770+'NOGAL '!$H1770</f>
        <v>24451.612413793104</v>
      </c>
      <c r="J1770" s="715">
        <f>'NOGAL '!$I1770/7</f>
        <v>3493.0874876847292</v>
      </c>
    </row>
    <row r="1771" spans="1:10" s="71" customFormat="1" x14ac:dyDescent="0.25">
      <c r="A1771" s="630" t="s">
        <v>30</v>
      </c>
      <c r="B1771" s="237">
        <f>(3057900/1.16)-B1772</f>
        <v>2500936.6896551726</v>
      </c>
      <c r="C1771" s="237">
        <f>(2787800/1.16)-C1772</f>
        <v>2275333.8620689656</v>
      </c>
      <c r="D1771" s="237">
        <f>(2160400/1.16)-D1772</f>
        <v>1746541.7931034483</v>
      </c>
      <c r="E1771" s="237">
        <f>(2987600/1.16)-E1772</f>
        <v>2445161.2413793104</v>
      </c>
      <c r="F1771" s="237">
        <f>(3473900/1.16)-F1772</f>
        <v>2837831.3793103448</v>
      </c>
      <c r="G1771" s="237">
        <f>(3390200/1.16)-G1772</f>
        <v>2772918.2068965519</v>
      </c>
      <c r="H1771" s="237">
        <f>(3690800/1.16)-H1772</f>
        <v>2993432.1379310349</v>
      </c>
      <c r="I1771" s="91">
        <f>SUM(I1766:I1770)</f>
        <v>17572155.31034483</v>
      </c>
      <c r="J1771" s="716">
        <f>'NOGAL '!$I1771/7</f>
        <v>2510307.9014778328</v>
      </c>
    </row>
    <row r="1772" spans="1:10" s="71" customFormat="1" x14ac:dyDescent="0.25">
      <c r="A1772" s="622" t="s">
        <v>31</v>
      </c>
      <c r="B1772" s="452">
        <f t="shared" ref="B1772:I1772" si="768">2414*B1753</f>
        <v>135184</v>
      </c>
      <c r="C1772" s="94">
        <f t="shared" si="768"/>
        <v>127942</v>
      </c>
      <c r="D1772" s="94">
        <f t="shared" si="768"/>
        <v>115872</v>
      </c>
      <c r="E1772" s="94">
        <f t="shared" si="768"/>
        <v>130356</v>
      </c>
      <c r="F1772" s="94">
        <f t="shared" si="768"/>
        <v>156910</v>
      </c>
      <c r="G1772" s="94">
        <f t="shared" si="768"/>
        <v>149668</v>
      </c>
      <c r="H1772" s="94">
        <f t="shared" si="768"/>
        <v>188292</v>
      </c>
      <c r="I1772" s="94">
        <f t="shared" si="768"/>
        <v>1004224</v>
      </c>
      <c r="J1772" s="717">
        <f>2155*J1753</f>
        <v>128068.57142857143</v>
      </c>
    </row>
    <row r="1773" spans="1:10" s="71" customFormat="1" x14ac:dyDescent="0.25">
      <c r="A1773" s="633" t="s">
        <v>32</v>
      </c>
      <c r="B1773" s="453">
        <f>B1771+B1772</f>
        <v>2636120.6896551726</v>
      </c>
      <c r="C1773" s="39">
        <f>C1771+C1772</f>
        <v>2403275.8620689656</v>
      </c>
      <c r="D1773" s="39">
        <f t="shared" ref="D1773:J1773" si="769">D1771+D1772</f>
        <v>1862413.7931034483</v>
      </c>
      <c r="E1773" s="39">
        <f t="shared" si="769"/>
        <v>2575517.2413793104</v>
      </c>
      <c r="F1773" s="39">
        <f t="shared" si="769"/>
        <v>2994741.3793103448</v>
      </c>
      <c r="G1773" s="39">
        <f t="shared" si="769"/>
        <v>2922586.2068965519</v>
      </c>
      <c r="H1773" s="39">
        <f t="shared" si="769"/>
        <v>3181724.1379310349</v>
      </c>
      <c r="I1773" s="39">
        <f t="shared" si="769"/>
        <v>18576379.31034483</v>
      </c>
      <c r="J1773" s="718">
        <f t="shared" si="769"/>
        <v>2638376.4729064042</v>
      </c>
    </row>
    <row r="1774" spans="1:10" s="71" customFormat="1" x14ac:dyDescent="0.25">
      <c r="A1774" s="622" t="s">
        <v>33</v>
      </c>
      <c r="B1774" s="454">
        <f>B1773*16%</f>
        <v>421779.31034482765</v>
      </c>
      <c r="C1774" s="41">
        <f>C1773*16%</f>
        <v>384524.13793103449</v>
      </c>
      <c r="D1774" s="41">
        <f t="shared" ref="D1774:J1774" si="770">D1773*16%</f>
        <v>297986.20689655177</v>
      </c>
      <c r="E1774" s="41">
        <f t="shared" si="770"/>
        <v>412082.75862068968</v>
      </c>
      <c r="F1774" s="41">
        <f t="shared" si="770"/>
        <v>479158.62068965519</v>
      </c>
      <c r="G1774" s="41">
        <f t="shared" si="770"/>
        <v>467613.79310344829</v>
      </c>
      <c r="H1774" s="41">
        <f t="shared" si="770"/>
        <v>509075.86206896562</v>
      </c>
      <c r="I1774" s="41">
        <f t="shared" si="770"/>
        <v>2972220.6896551731</v>
      </c>
      <c r="J1774" s="719">
        <f t="shared" si="770"/>
        <v>422140.23566502467</v>
      </c>
    </row>
    <row r="1775" spans="1:10" s="71" customFormat="1" ht="15.75" thickBot="1" x14ac:dyDescent="0.3">
      <c r="A1775" s="636" t="s">
        <v>34</v>
      </c>
      <c r="B1775" s="637">
        <f t="shared" ref="B1775:H1775" si="771">B1773+B1774</f>
        <v>3057900.0000000005</v>
      </c>
      <c r="C1775" s="686">
        <f t="shared" si="771"/>
        <v>2787800</v>
      </c>
      <c r="D1775" s="686">
        <f t="shared" si="771"/>
        <v>2160400</v>
      </c>
      <c r="E1775" s="686">
        <f t="shared" si="771"/>
        <v>2987600</v>
      </c>
      <c r="F1775" s="686">
        <f t="shared" si="771"/>
        <v>3473900</v>
      </c>
      <c r="G1775" s="686">
        <f t="shared" si="771"/>
        <v>3390200</v>
      </c>
      <c r="H1775" s="686">
        <f t="shared" si="771"/>
        <v>3690800.0000000005</v>
      </c>
      <c r="I1775" s="686">
        <f>+I1773+I1774</f>
        <v>21548600.000000004</v>
      </c>
      <c r="J1775" s="720">
        <f>'NOGAL '!$I1775/7</f>
        <v>3078371.4285714291</v>
      </c>
    </row>
    <row r="1776" spans="1:10" s="71" customFormat="1" ht="15.75" thickBot="1" x14ac:dyDescent="0.3">
      <c r="A1776" s="69"/>
      <c r="B1776" s="424"/>
      <c r="C1776" s="424"/>
      <c r="D1776" s="424"/>
      <c r="E1776" s="424"/>
      <c r="F1776" s="424"/>
      <c r="G1776" s="424"/>
      <c r="H1776" s="424"/>
      <c r="I1776" s="424"/>
      <c r="J1776" s="424"/>
    </row>
    <row r="1777" spans="1:10" s="71" customFormat="1" ht="27" thickBot="1" x14ac:dyDescent="0.3">
      <c r="A1777" s="85"/>
      <c r="B1777" s="1002" t="s">
        <v>634</v>
      </c>
      <c r="C1777" s="1002"/>
      <c r="D1777" s="1002"/>
      <c r="E1777" s="1002"/>
      <c r="F1777" s="1002"/>
      <c r="G1777" s="1002"/>
      <c r="H1777" s="1002"/>
      <c r="I1777" s="1002"/>
      <c r="J1777" s="85"/>
    </row>
    <row r="1778" spans="1:10" s="71" customFormat="1" ht="15.75" x14ac:dyDescent="0.25">
      <c r="A1778" s="614" t="s">
        <v>2</v>
      </c>
      <c r="B1778" s="706" t="s">
        <v>282</v>
      </c>
      <c r="C1778" s="641" t="s">
        <v>4</v>
      </c>
      <c r="D1778" s="641" t="s">
        <v>5</v>
      </c>
      <c r="E1778" s="641" t="s">
        <v>6</v>
      </c>
      <c r="F1778" s="641" t="s">
        <v>7</v>
      </c>
      <c r="G1778" s="641" t="s">
        <v>283</v>
      </c>
      <c r="H1778" s="641" t="s">
        <v>9</v>
      </c>
      <c r="I1778" s="618" t="s">
        <v>10</v>
      </c>
      <c r="J1778" s="711" t="s">
        <v>77</v>
      </c>
    </row>
    <row r="1779" spans="1:10" s="71" customFormat="1" x14ac:dyDescent="0.25">
      <c r="A1779" s="620" t="s">
        <v>11</v>
      </c>
      <c r="B1779" s="433">
        <f>81+39+17</f>
        <v>137</v>
      </c>
      <c r="C1779" s="75">
        <f>63+15+8</f>
        <v>86</v>
      </c>
      <c r="D1779" s="75">
        <f>60+23+5</f>
        <v>88</v>
      </c>
      <c r="E1779" s="316">
        <f>32+26+5</f>
        <v>63</v>
      </c>
      <c r="F1779" s="316">
        <f>111+59+11</f>
        <v>181</v>
      </c>
      <c r="G1779" s="316">
        <f>116+45+20</f>
        <v>181</v>
      </c>
      <c r="H1779" s="316">
        <f>116+48+16</f>
        <v>180</v>
      </c>
      <c r="I1779" s="316">
        <f>SUM(B1779:H1779)</f>
        <v>916</v>
      </c>
      <c r="J1779" s="712">
        <f>'NOGAL '!$I1779/7</f>
        <v>130.85714285714286</v>
      </c>
    </row>
    <row r="1780" spans="1:10" s="71" customFormat="1" x14ac:dyDescent="0.25">
      <c r="A1780" s="622" t="s">
        <v>12</v>
      </c>
      <c r="B1780" s="448">
        <v>81</v>
      </c>
      <c r="C1780" s="86">
        <v>48</v>
      </c>
      <c r="D1780" s="11">
        <v>57</v>
      </c>
      <c r="E1780" s="86">
        <v>33</v>
      </c>
      <c r="F1780" s="86">
        <v>101</v>
      </c>
      <c r="G1780" s="86">
        <v>101</v>
      </c>
      <c r="H1780" s="11">
        <v>122</v>
      </c>
      <c r="I1780" s="11">
        <f>B1780+C1780+D1780+E1780+F1780+G1780+H1780</f>
        <v>543</v>
      </c>
      <c r="J1780" s="684">
        <f>'NOGAL '!$I1780/7</f>
        <v>77.571428571428569</v>
      </c>
    </row>
    <row r="1781" spans="1:10" s="71" customFormat="1" x14ac:dyDescent="0.25">
      <c r="A1781" s="622" t="s">
        <v>13</v>
      </c>
      <c r="B1781" s="448">
        <v>1</v>
      </c>
      <c r="C1781" s="11">
        <v>1</v>
      </c>
      <c r="D1781" s="11">
        <v>0</v>
      </c>
      <c r="E1781" s="86">
        <v>4</v>
      </c>
      <c r="F1781" s="11">
        <v>2</v>
      </c>
      <c r="G1781" s="11">
        <v>2</v>
      </c>
      <c r="H1781" s="11">
        <v>0</v>
      </c>
      <c r="I1781" s="11">
        <f>B1781+C1781+D1781+E1781+F1781+G1781+H1781</f>
        <v>10</v>
      </c>
      <c r="J1781" s="684">
        <f>C1781+D1781+E1781+F1781+G1781+H1781+I1781</f>
        <v>19</v>
      </c>
    </row>
    <row r="1782" spans="1:10" s="71" customFormat="1" x14ac:dyDescent="0.25">
      <c r="A1782" s="622" t="s">
        <v>14</v>
      </c>
      <c r="B1782" s="448">
        <v>13</v>
      </c>
      <c r="C1782" s="11">
        <v>12</v>
      </c>
      <c r="D1782" s="11">
        <v>11</v>
      </c>
      <c r="E1782" s="11">
        <v>15</v>
      </c>
      <c r="F1782" s="11">
        <v>22</v>
      </c>
      <c r="G1782" s="11">
        <v>25</v>
      </c>
      <c r="H1782" s="11">
        <v>17</v>
      </c>
      <c r="I1782" s="11">
        <f>B1782+C1782+D1782+E1782+F1782+G1782+H1782</f>
        <v>115</v>
      </c>
      <c r="J1782" s="684">
        <f>'NOGAL '!$I1782/7</f>
        <v>16.428571428571427</v>
      </c>
    </row>
    <row r="1783" spans="1:10" s="71" customFormat="1" x14ac:dyDescent="0.25">
      <c r="A1783" s="622" t="s">
        <v>15</v>
      </c>
      <c r="B1783" s="448">
        <v>3</v>
      </c>
      <c r="C1783" s="11">
        <v>0</v>
      </c>
      <c r="D1783" s="11">
        <v>2</v>
      </c>
      <c r="E1783" s="11">
        <v>2</v>
      </c>
      <c r="F1783" s="11">
        <v>9</v>
      </c>
      <c r="G1783" s="11">
        <v>7</v>
      </c>
      <c r="H1783" s="11">
        <v>6</v>
      </c>
      <c r="I1783" s="11">
        <f>B1783+C1783+D1783+E1783+F1783+G1783+H1783</f>
        <v>29</v>
      </c>
      <c r="J1783" s="684">
        <f>'NOGAL '!$I1783/7</f>
        <v>4.1428571428571432</v>
      </c>
    </row>
    <row r="1784" spans="1:10" s="71" customFormat="1" x14ac:dyDescent="0.25">
      <c r="A1784" s="622" t="s">
        <v>16</v>
      </c>
      <c r="B1784" s="448">
        <v>0</v>
      </c>
      <c r="C1784" s="11">
        <v>0</v>
      </c>
      <c r="D1784" s="11">
        <v>1</v>
      </c>
      <c r="E1784" s="11">
        <v>0</v>
      </c>
      <c r="F1784" s="11">
        <v>0</v>
      </c>
      <c r="G1784" s="11">
        <v>0</v>
      </c>
      <c r="H1784" s="11">
        <v>0</v>
      </c>
      <c r="I1784" s="11">
        <f>B1784+C1784+D1784+E1784+F1784+G1784+H1784</f>
        <v>1</v>
      </c>
      <c r="J1784" s="684">
        <f>'NOGAL '!$I1784/7</f>
        <v>0.14285714285714285</v>
      </c>
    </row>
    <row r="1785" spans="1:10" s="71" customFormat="1" x14ac:dyDescent="0.25">
      <c r="A1785" s="624" t="s">
        <v>17</v>
      </c>
      <c r="B1785" s="102">
        <f t="shared" ref="B1785:I1785" si="772">SUM(B1780:B1784)</f>
        <v>98</v>
      </c>
      <c r="C1785" s="103">
        <f t="shared" si="772"/>
        <v>61</v>
      </c>
      <c r="D1785" s="103">
        <f t="shared" si="772"/>
        <v>71</v>
      </c>
      <c r="E1785" s="103">
        <f t="shared" si="772"/>
        <v>54</v>
      </c>
      <c r="F1785" s="103">
        <f t="shared" si="772"/>
        <v>134</v>
      </c>
      <c r="G1785" s="103">
        <f t="shared" si="772"/>
        <v>135</v>
      </c>
      <c r="H1785" s="103">
        <f t="shared" si="772"/>
        <v>145</v>
      </c>
      <c r="I1785" s="103">
        <f t="shared" si="772"/>
        <v>698</v>
      </c>
      <c r="J1785" s="713">
        <f>'NOGAL '!$I1785/7</f>
        <v>99.714285714285708</v>
      </c>
    </row>
    <row r="1786" spans="1:10" s="71" customFormat="1" x14ac:dyDescent="0.25">
      <c r="A1786" s="622" t="s">
        <v>18</v>
      </c>
      <c r="B1786" s="449">
        <v>0.89</v>
      </c>
      <c r="C1786" s="236">
        <v>0.88</v>
      </c>
      <c r="D1786" s="236">
        <v>0.89</v>
      </c>
      <c r="E1786" s="236">
        <v>0.67</v>
      </c>
      <c r="F1786" s="236">
        <v>0.79</v>
      </c>
      <c r="G1786" s="236">
        <v>0.81</v>
      </c>
      <c r="H1786" s="236">
        <v>0.9</v>
      </c>
      <c r="I1786" s="18">
        <f>I1793/I1798</f>
        <v>0.83828806064505779</v>
      </c>
      <c r="J1786" s="714">
        <f>J1793/J1798</f>
        <v>0.83828806064505779</v>
      </c>
    </row>
    <row r="1787" spans="1:10" s="71" customFormat="1" x14ac:dyDescent="0.25">
      <c r="A1787" s="622" t="s">
        <v>19</v>
      </c>
      <c r="B1787" s="449">
        <v>0.02</v>
      </c>
      <c r="C1787" s="236">
        <v>0.01</v>
      </c>
      <c r="D1787" s="236">
        <v>0</v>
      </c>
      <c r="E1787" s="236">
        <v>0.11</v>
      </c>
      <c r="F1787" s="236">
        <v>0.02</v>
      </c>
      <c r="G1787" s="236">
        <v>0.02</v>
      </c>
      <c r="H1787" s="236">
        <v>0</v>
      </c>
      <c r="I1787" s="18">
        <f>I1794/I1798</f>
        <v>1.9701222783584695E-2</v>
      </c>
      <c r="J1787" s="714">
        <f>J1794/J1798</f>
        <v>1.9701222783584695E-2</v>
      </c>
    </row>
    <row r="1788" spans="1:10" s="71" customFormat="1" x14ac:dyDescent="0.25">
      <c r="A1788" s="622" t="s">
        <v>20</v>
      </c>
      <c r="B1788" s="449">
        <v>0.08</v>
      </c>
      <c r="C1788" s="236">
        <v>0.11</v>
      </c>
      <c r="D1788" s="236">
        <v>7.0000000000000007E-2</v>
      </c>
      <c r="E1788" s="236">
        <v>0.21</v>
      </c>
      <c r="F1788" s="236">
        <v>0.14000000000000001</v>
      </c>
      <c r="G1788" s="236">
        <v>0.13</v>
      </c>
      <c r="H1788" s="236">
        <v>7.0000000000000007E-2</v>
      </c>
      <c r="I1788" s="18">
        <f>I1795/I1798</f>
        <v>0.11175463985577648</v>
      </c>
      <c r="J1788" s="714">
        <f>J1795/J1798</f>
        <v>0.11175463985577648</v>
      </c>
    </row>
    <row r="1789" spans="1:10" s="71" customFormat="1" x14ac:dyDescent="0.25">
      <c r="A1789" s="622" t="s">
        <v>21</v>
      </c>
      <c r="B1789" s="449">
        <v>0.01</v>
      </c>
      <c r="C1789" s="236">
        <v>0</v>
      </c>
      <c r="D1789" s="236">
        <v>0.03</v>
      </c>
      <c r="E1789" s="236">
        <v>0.01</v>
      </c>
      <c r="F1789" s="236">
        <v>0.05</v>
      </c>
      <c r="G1789" s="236">
        <v>0.04</v>
      </c>
      <c r="H1789" s="236">
        <v>0.03</v>
      </c>
      <c r="I1789" s="18">
        <f>I1796/I1798</f>
        <v>2.9299485047361865E-2</v>
      </c>
      <c r="J1789" s="714">
        <f>J1796/J1798</f>
        <v>2.9299485047361865E-2</v>
      </c>
    </row>
    <row r="1790" spans="1:10" s="71" customFormat="1" x14ac:dyDescent="0.25">
      <c r="A1790" s="622" t="s">
        <v>22</v>
      </c>
      <c r="B1790" s="449">
        <v>0</v>
      </c>
      <c r="C1790" s="236">
        <v>0</v>
      </c>
      <c r="D1790" s="236">
        <v>0.01</v>
      </c>
      <c r="E1790" s="236">
        <v>0</v>
      </c>
      <c r="F1790" s="236">
        <v>0</v>
      </c>
      <c r="G1790" s="236">
        <v>0</v>
      </c>
      <c r="H1790" s="236">
        <v>0</v>
      </c>
      <c r="I1790" s="18">
        <f>I1797/I1798</f>
        <v>9.565916682191828E-4</v>
      </c>
      <c r="J1790" s="714">
        <f>J1797/J1798</f>
        <v>9.5659166821918291E-4</v>
      </c>
    </row>
    <row r="1791" spans="1:10" s="71" customFormat="1" x14ac:dyDescent="0.25">
      <c r="A1791" s="627" t="s">
        <v>23</v>
      </c>
      <c r="B1791" s="450">
        <f t="shared" ref="B1791:J1791" si="773">B1802/B1785</f>
        <v>38593.877551020407</v>
      </c>
      <c r="C1791" s="130">
        <f t="shared" si="773"/>
        <v>40018.032786885255</v>
      </c>
      <c r="D1791" s="130">
        <f t="shared" si="773"/>
        <v>36694.366197183102</v>
      </c>
      <c r="E1791" s="130">
        <f t="shared" si="773"/>
        <v>34962.962962962971</v>
      </c>
      <c r="F1791" s="130">
        <f t="shared" si="773"/>
        <v>41146.26865671642</v>
      </c>
      <c r="G1791" s="130">
        <f t="shared" si="773"/>
        <v>41868.888888888891</v>
      </c>
      <c r="H1791" s="130">
        <f t="shared" si="773"/>
        <v>35894.482758620696</v>
      </c>
      <c r="I1791" s="130">
        <f t="shared" si="773"/>
        <v>38806.876790830953</v>
      </c>
      <c r="J1791" s="685">
        <f t="shared" si="773"/>
        <v>38806.876790830953</v>
      </c>
    </row>
    <row r="1792" spans="1:10" s="71" customFormat="1" x14ac:dyDescent="0.25">
      <c r="A1792" s="627" t="s">
        <v>24</v>
      </c>
      <c r="B1792" s="450">
        <f t="shared" ref="B1792:J1792" si="774">B1802/B1779</f>
        <v>27607.299270072992</v>
      </c>
      <c r="C1792" s="130">
        <f t="shared" si="774"/>
        <v>28384.883720930236</v>
      </c>
      <c r="D1792" s="130">
        <f t="shared" si="774"/>
        <v>29605.681818181823</v>
      </c>
      <c r="E1792" s="130">
        <f t="shared" si="774"/>
        <v>29968.253968253972</v>
      </c>
      <c r="F1792" s="130">
        <f t="shared" si="774"/>
        <v>30461.878453038673</v>
      </c>
      <c r="G1792" s="130">
        <f t="shared" si="774"/>
        <v>31228.176795580112</v>
      </c>
      <c r="H1792" s="130">
        <f t="shared" si="774"/>
        <v>28915.000000000004</v>
      </c>
      <c r="I1792" s="130">
        <f t="shared" si="774"/>
        <v>29571.179039301314</v>
      </c>
      <c r="J1792" s="685">
        <f t="shared" si="774"/>
        <v>29571.179039301314</v>
      </c>
    </row>
    <row r="1793" spans="1:10" s="71" customFormat="1" x14ac:dyDescent="0.25">
      <c r="A1793" s="622" t="s">
        <v>25</v>
      </c>
      <c r="B1793" s="451">
        <f t="shared" ref="B1793:H1793" si="775">B1798*B1786</f>
        <v>2727835.0848275861</v>
      </c>
      <c r="C1793" s="92">
        <f t="shared" si="775"/>
        <v>1749901.6055172416</v>
      </c>
      <c r="D1793" s="92">
        <f t="shared" si="775"/>
        <v>1876431.7455172418</v>
      </c>
      <c r="E1793" s="92">
        <f t="shared" si="775"/>
        <v>1037109.2186206898</v>
      </c>
      <c r="F1793" s="92">
        <f t="shared" si="775"/>
        <v>3562338.6641379315</v>
      </c>
      <c r="G1793" s="92">
        <f t="shared" si="775"/>
        <v>3749375.3151724143</v>
      </c>
      <c r="H1793" s="92">
        <f t="shared" si="775"/>
        <v>3773072.1103448281</v>
      </c>
      <c r="I1793" s="92">
        <f>'NOGAL '!$B1793+'NOGAL '!$C1793+'NOGAL '!$D1793+'NOGAL '!$E1793+'NOGAL '!$F1793+'NOGAL '!$G1793+'NOGAL '!$H1793</f>
        <v>18476063.744137932</v>
      </c>
      <c r="J1793" s="715">
        <f>'NOGAL '!$I1793/7</f>
        <v>2639437.6777339904</v>
      </c>
    </row>
    <row r="1794" spans="1:10" s="71" customFormat="1" x14ac:dyDescent="0.25">
      <c r="A1794" s="622" t="s">
        <v>26</v>
      </c>
      <c r="B1794" s="451">
        <f t="shared" ref="B1794:H1794" si="776">B1798*B1787</f>
        <v>61299.66482758621</v>
      </c>
      <c r="C1794" s="92">
        <f t="shared" si="776"/>
        <v>19885.245517241383</v>
      </c>
      <c r="D1794" s="92">
        <f t="shared" si="776"/>
        <v>0</v>
      </c>
      <c r="E1794" s="92">
        <f t="shared" si="776"/>
        <v>170271.66275862072</v>
      </c>
      <c r="F1794" s="92">
        <f t="shared" si="776"/>
        <v>90185.788965517248</v>
      </c>
      <c r="G1794" s="92">
        <f t="shared" si="776"/>
        <v>92577.168275862074</v>
      </c>
      <c r="H1794" s="92">
        <f t="shared" si="776"/>
        <v>0</v>
      </c>
      <c r="I1794" s="92">
        <f>'NOGAL '!$B1794+'NOGAL '!$C1794+'NOGAL '!$D1794+'NOGAL '!$E1794+'NOGAL '!$F1794+'NOGAL '!$G1794+'NOGAL '!$H1794</f>
        <v>434219.53034482762</v>
      </c>
      <c r="J1794" s="715">
        <f>'NOGAL '!$I1794/7</f>
        <v>62031.361477832521</v>
      </c>
    </row>
    <row r="1795" spans="1:10" s="71" customFormat="1" x14ac:dyDescent="0.25">
      <c r="A1795" s="622" t="s">
        <v>27</v>
      </c>
      <c r="B1795" s="451">
        <f t="shared" ref="B1795:H1795" si="777">B1798*B1788</f>
        <v>245198.65931034484</v>
      </c>
      <c r="C1795" s="92">
        <f t="shared" si="777"/>
        <v>218737.7006896552</v>
      </c>
      <c r="D1795" s="92">
        <f t="shared" si="777"/>
        <v>147584.51931034485</v>
      </c>
      <c r="E1795" s="92">
        <f t="shared" si="777"/>
        <v>325064.08344827587</v>
      </c>
      <c r="F1795" s="92">
        <f t="shared" si="777"/>
        <v>631300.52275862079</v>
      </c>
      <c r="G1795" s="92">
        <f t="shared" si="777"/>
        <v>601751.59379310347</v>
      </c>
      <c r="H1795" s="92">
        <f t="shared" si="777"/>
        <v>293461.16413793107</v>
      </c>
      <c r="I1795" s="92">
        <f>'NOGAL '!$B1795+'NOGAL '!$C1795+'NOGAL '!$D1795+'NOGAL '!$E1795+'NOGAL '!$F1795+'NOGAL '!$G1795+'NOGAL '!$H1795</f>
        <v>2463098.2434482761</v>
      </c>
      <c r="J1795" s="715">
        <f>'NOGAL '!$I1795/7</f>
        <v>351871.17763546802</v>
      </c>
    </row>
    <row r="1796" spans="1:10" s="71" customFormat="1" x14ac:dyDescent="0.25">
      <c r="A1796" s="622" t="s">
        <v>28</v>
      </c>
      <c r="B1796" s="451">
        <f t="shared" ref="B1796:H1796" si="778">B1798*B1789</f>
        <v>30649.832413793105</v>
      </c>
      <c r="C1796" s="92">
        <f t="shared" si="778"/>
        <v>0</v>
      </c>
      <c r="D1796" s="92">
        <f t="shared" si="778"/>
        <v>63250.508275862077</v>
      </c>
      <c r="E1796" s="92">
        <f t="shared" si="778"/>
        <v>15479.242068965519</v>
      </c>
      <c r="F1796" s="92">
        <f t="shared" si="778"/>
        <v>225464.47241379312</v>
      </c>
      <c r="G1796" s="92">
        <f t="shared" si="778"/>
        <v>185154.33655172415</v>
      </c>
      <c r="H1796" s="92">
        <f t="shared" si="778"/>
        <v>125769.0703448276</v>
      </c>
      <c r="I1796" s="92">
        <f>'NOGAL '!$B1796+'NOGAL '!$C1796+'NOGAL '!$D1796+'NOGAL '!$E1796+'NOGAL '!$F1796+'NOGAL '!$G1796+'NOGAL '!$H1796</f>
        <v>645767.46206896554</v>
      </c>
      <c r="J1796" s="715">
        <f>'NOGAL '!$I1796/7</f>
        <v>92252.494581280785</v>
      </c>
    </row>
    <row r="1797" spans="1:10" s="71" customFormat="1" x14ac:dyDescent="0.25">
      <c r="A1797" s="622" t="s">
        <v>29</v>
      </c>
      <c r="B1797" s="451">
        <f t="shared" ref="B1797:H1797" si="779">B1798*B1790</f>
        <v>0</v>
      </c>
      <c r="C1797" s="92">
        <f t="shared" si="779"/>
        <v>0</v>
      </c>
      <c r="D1797" s="92">
        <f t="shared" si="779"/>
        <v>21083.502758620692</v>
      </c>
      <c r="E1797" s="92">
        <f t="shared" si="779"/>
        <v>0</v>
      </c>
      <c r="F1797" s="92">
        <f t="shared" si="779"/>
        <v>0</v>
      </c>
      <c r="G1797" s="92">
        <f t="shared" si="779"/>
        <v>0</v>
      </c>
      <c r="H1797" s="92">
        <f t="shared" si="779"/>
        <v>0</v>
      </c>
      <c r="I1797" s="92">
        <f>'NOGAL '!$B1797+'NOGAL '!$C1797+'NOGAL '!$D1797+'NOGAL '!$E1797+'NOGAL '!$F1797+'NOGAL '!$G1797+'NOGAL '!$H1797</f>
        <v>21083.502758620692</v>
      </c>
      <c r="J1797" s="715">
        <f>'NOGAL '!$I1797/7</f>
        <v>3011.928965517242</v>
      </c>
    </row>
    <row r="1798" spans="1:10" s="71" customFormat="1" x14ac:dyDescent="0.25">
      <c r="A1798" s="630" t="s">
        <v>30</v>
      </c>
      <c r="B1798" s="237">
        <f>(3782200/1.16)-B1799</f>
        <v>3064983.2413793104</v>
      </c>
      <c r="C1798" s="237">
        <f>(2441100/1.16)-C1799</f>
        <v>1988524.5517241382</v>
      </c>
      <c r="D1798" s="237">
        <f>(2605300/1.16)-D1799</f>
        <v>2108350.2758620693</v>
      </c>
      <c r="E1798" s="237">
        <f>(1888000/1.16)-E1799</f>
        <v>1547924.2068965519</v>
      </c>
      <c r="F1798" s="237">
        <f>(5513600/1.16)-F1799</f>
        <v>4509289.4482758623</v>
      </c>
      <c r="G1798" s="237">
        <f>(5652300/1.16)-G1799</f>
        <v>4628858.4137931038</v>
      </c>
      <c r="H1798" s="237">
        <f>(5204700/1.16)-H1799</f>
        <v>4192302.3448275868</v>
      </c>
      <c r="I1798" s="91">
        <f>SUM(I1793:I1797)</f>
        <v>22040232.482758623</v>
      </c>
      <c r="J1798" s="716">
        <f>'NOGAL '!$I1798/7</f>
        <v>3148604.6403940888</v>
      </c>
    </row>
    <row r="1799" spans="1:10" s="71" customFormat="1" x14ac:dyDescent="0.25">
      <c r="A1799" s="622" t="s">
        <v>31</v>
      </c>
      <c r="B1799" s="452">
        <f t="shared" ref="B1799:I1799" si="780">2414*B1780</f>
        <v>195534</v>
      </c>
      <c r="C1799" s="94">
        <f t="shared" si="780"/>
        <v>115872</v>
      </c>
      <c r="D1799" s="94">
        <f t="shared" si="780"/>
        <v>137598</v>
      </c>
      <c r="E1799" s="94">
        <f t="shared" si="780"/>
        <v>79662</v>
      </c>
      <c r="F1799" s="94">
        <f t="shared" si="780"/>
        <v>243814</v>
      </c>
      <c r="G1799" s="94">
        <f t="shared" si="780"/>
        <v>243814</v>
      </c>
      <c r="H1799" s="94">
        <f t="shared" si="780"/>
        <v>294508</v>
      </c>
      <c r="I1799" s="94">
        <f t="shared" si="780"/>
        <v>1310802</v>
      </c>
      <c r="J1799" s="717">
        <f>2155*J1780</f>
        <v>167166.42857142858</v>
      </c>
    </row>
    <row r="1800" spans="1:10" s="71" customFormat="1" x14ac:dyDescent="0.25">
      <c r="A1800" s="633" t="s">
        <v>32</v>
      </c>
      <c r="B1800" s="453">
        <f>B1798+B1799</f>
        <v>3260517.2413793104</v>
      </c>
      <c r="C1800" s="39">
        <f>C1798+C1799</f>
        <v>2104396.5517241382</v>
      </c>
      <c r="D1800" s="39">
        <f t="shared" ref="D1800:J1800" si="781">D1798+D1799</f>
        <v>2245948.2758620693</v>
      </c>
      <c r="E1800" s="39">
        <f t="shared" si="781"/>
        <v>1627586.2068965519</v>
      </c>
      <c r="F1800" s="39">
        <f t="shared" si="781"/>
        <v>4753103.4482758623</v>
      </c>
      <c r="G1800" s="39">
        <f t="shared" si="781"/>
        <v>4872672.4137931038</v>
      </c>
      <c r="H1800" s="39">
        <f t="shared" si="781"/>
        <v>4486810.3448275868</v>
      </c>
      <c r="I1800" s="39">
        <f t="shared" si="781"/>
        <v>23351034.482758623</v>
      </c>
      <c r="J1800" s="718">
        <f t="shared" si="781"/>
        <v>3315771.0689655175</v>
      </c>
    </row>
    <row r="1801" spans="1:10" s="71" customFormat="1" x14ac:dyDescent="0.25">
      <c r="A1801" s="622" t="s">
        <v>33</v>
      </c>
      <c r="B1801" s="454">
        <f>B1800*16%</f>
        <v>521682.75862068968</v>
      </c>
      <c r="C1801" s="41">
        <f>C1800*16%</f>
        <v>336703.44827586215</v>
      </c>
      <c r="D1801" s="41">
        <f t="shared" ref="D1801:J1801" si="782">D1800*16%</f>
        <v>359351.72413793107</v>
      </c>
      <c r="E1801" s="41">
        <f t="shared" si="782"/>
        <v>260413.79310344832</v>
      </c>
      <c r="F1801" s="41">
        <f t="shared" si="782"/>
        <v>760496.55172413797</v>
      </c>
      <c r="G1801" s="41">
        <f t="shared" si="782"/>
        <v>779627.58620689658</v>
      </c>
      <c r="H1801" s="41">
        <f t="shared" si="782"/>
        <v>717889.65517241391</v>
      </c>
      <c r="I1801" s="41">
        <f t="shared" si="782"/>
        <v>3736165.5172413797</v>
      </c>
      <c r="J1801" s="719">
        <f t="shared" si="782"/>
        <v>530523.37103448284</v>
      </c>
    </row>
    <row r="1802" spans="1:10" s="71" customFormat="1" ht="15.75" thickBot="1" x14ac:dyDescent="0.3">
      <c r="A1802" s="636" t="s">
        <v>34</v>
      </c>
      <c r="B1802" s="637">
        <f t="shared" ref="B1802:H1802" si="783">B1800+B1801</f>
        <v>3782200</v>
      </c>
      <c r="C1802" s="686">
        <f t="shared" si="783"/>
        <v>2441100.0000000005</v>
      </c>
      <c r="D1802" s="686">
        <f t="shared" si="783"/>
        <v>2605300.0000000005</v>
      </c>
      <c r="E1802" s="686">
        <f t="shared" si="783"/>
        <v>1888000.0000000002</v>
      </c>
      <c r="F1802" s="686">
        <f t="shared" si="783"/>
        <v>5513600</v>
      </c>
      <c r="G1802" s="686">
        <f t="shared" si="783"/>
        <v>5652300</v>
      </c>
      <c r="H1802" s="686">
        <f t="shared" si="783"/>
        <v>5204700.0000000009</v>
      </c>
      <c r="I1802" s="686">
        <f>+I1800+I1801</f>
        <v>27087200.000000004</v>
      </c>
      <c r="J1802" s="720">
        <f>'NOGAL '!$I1802/7</f>
        <v>3869600.0000000005</v>
      </c>
    </row>
    <row r="1803" spans="1:10" s="71" customFormat="1" ht="15.75" thickBot="1" x14ac:dyDescent="0.3">
      <c r="A1803" s="69"/>
      <c r="B1803" s="424"/>
      <c r="C1803" s="424"/>
      <c r="D1803" s="424"/>
      <c r="E1803" s="424"/>
      <c r="F1803" s="424"/>
      <c r="G1803" s="424"/>
      <c r="H1803" s="424"/>
      <c r="I1803" s="424"/>
      <c r="J1803" s="424"/>
    </row>
    <row r="1804" spans="1:10" s="71" customFormat="1" ht="27" thickBot="1" x14ac:dyDescent="0.3">
      <c r="A1804" s="85"/>
      <c r="B1804" s="1002" t="s">
        <v>637</v>
      </c>
      <c r="C1804" s="1002"/>
      <c r="D1804" s="1002"/>
      <c r="E1804" s="1002"/>
      <c r="F1804" s="1002"/>
      <c r="G1804" s="1002"/>
      <c r="H1804" s="1002"/>
      <c r="I1804" s="1002"/>
      <c r="J1804" s="85"/>
    </row>
    <row r="1805" spans="1:10" s="71" customFormat="1" ht="15.75" x14ac:dyDescent="0.25">
      <c r="A1805" s="614" t="s">
        <v>2</v>
      </c>
      <c r="B1805" s="706" t="s">
        <v>285</v>
      </c>
      <c r="C1805" s="641" t="s">
        <v>37</v>
      </c>
      <c r="D1805" s="641" t="s">
        <v>286</v>
      </c>
      <c r="E1805" s="641" t="s">
        <v>39</v>
      </c>
      <c r="F1805" s="641" t="s">
        <v>40</v>
      </c>
      <c r="G1805" s="641" t="s">
        <v>287</v>
      </c>
      <c r="H1805" s="641" t="s">
        <v>42</v>
      </c>
      <c r="I1805" s="618" t="s">
        <v>10</v>
      </c>
      <c r="J1805" s="711" t="s">
        <v>77</v>
      </c>
    </row>
    <row r="1806" spans="1:10" s="71" customFormat="1" x14ac:dyDescent="0.25">
      <c r="A1806" s="620" t="s">
        <v>11</v>
      </c>
      <c r="B1806" s="433">
        <f>45+20+5</f>
        <v>70</v>
      </c>
      <c r="C1806" s="75">
        <f>80+14+11</f>
        <v>105</v>
      </c>
      <c r="D1806" s="75">
        <f>61+31+11</f>
        <v>103</v>
      </c>
      <c r="E1806" s="316">
        <f>80+23+1</f>
        <v>104</v>
      </c>
      <c r="F1806" s="316">
        <f>99+51+18</f>
        <v>168</v>
      </c>
      <c r="G1806" s="316">
        <f>121+43+25</f>
        <v>189</v>
      </c>
      <c r="H1806" s="316">
        <f>154+62+28</f>
        <v>244</v>
      </c>
      <c r="I1806" s="316">
        <f>SUM(B1806:H1806)</f>
        <v>983</v>
      </c>
      <c r="J1806" s="712">
        <f>'NOGAL '!$I1806/7</f>
        <v>140.42857142857142</v>
      </c>
    </row>
    <row r="1807" spans="1:10" s="71" customFormat="1" x14ac:dyDescent="0.25">
      <c r="A1807" s="622" t="s">
        <v>12</v>
      </c>
      <c r="B1807" s="448">
        <v>45</v>
      </c>
      <c r="C1807" s="86">
        <v>47</v>
      </c>
      <c r="D1807" s="11">
        <v>50</v>
      </c>
      <c r="E1807" s="86">
        <v>56</v>
      </c>
      <c r="F1807" s="86">
        <v>100</v>
      </c>
      <c r="G1807" s="86">
        <v>111</v>
      </c>
      <c r="H1807" s="11">
        <v>142</v>
      </c>
      <c r="I1807" s="11">
        <f>B1807+C1807+D1807+E1807+F1807+G1807+H1807</f>
        <v>551</v>
      </c>
      <c r="J1807" s="684">
        <f>'NOGAL '!$I1807/7</f>
        <v>78.714285714285708</v>
      </c>
    </row>
    <row r="1808" spans="1:10" s="71" customFormat="1" x14ac:dyDescent="0.25">
      <c r="A1808" s="622" t="s">
        <v>13</v>
      </c>
      <c r="B1808" s="448">
        <v>1</v>
      </c>
      <c r="C1808" s="11">
        <v>0</v>
      </c>
      <c r="D1808" s="11">
        <v>2</v>
      </c>
      <c r="E1808" s="86">
        <v>2</v>
      </c>
      <c r="F1808" s="11">
        <v>3</v>
      </c>
      <c r="G1808" s="11">
        <v>1</v>
      </c>
      <c r="H1808" s="11">
        <v>3</v>
      </c>
      <c r="I1808" s="11">
        <f>B1808+C1808+D1808+E1808+F1808+G1808+H1808</f>
        <v>12</v>
      </c>
      <c r="J1808" s="684">
        <f>C1808+D1808+E1808+F1808+G1808+H1808+I1808</f>
        <v>23</v>
      </c>
    </row>
    <row r="1809" spans="1:10" s="71" customFormat="1" x14ac:dyDescent="0.25">
      <c r="A1809" s="622" t="s">
        <v>14</v>
      </c>
      <c r="B1809" s="448">
        <v>11</v>
      </c>
      <c r="C1809" s="11">
        <v>23</v>
      </c>
      <c r="D1809" s="11">
        <v>20</v>
      </c>
      <c r="E1809" s="11">
        <v>27</v>
      </c>
      <c r="F1809" s="11">
        <v>25</v>
      </c>
      <c r="G1809" s="11">
        <v>16</v>
      </c>
      <c r="H1809" s="11">
        <v>14</v>
      </c>
      <c r="I1809" s="11">
        <f>B1809+C1809+D1809+E1809+F1809+G1809+H1809</f>
        <v>136</v>
      </c>
      <c r="J1809" s="684">
        <f>'NOGAL '!$I1809/7</f>
        <v>19.428571428571427</v>
      </c>
    </row>
    <row r="1810" spans="1:10" s="71" customFormat="1" x14ac:dyDescent="0.25">
      <c r="A1810" s="622" t="s">
        <v>15</v>
      </c>
      <c r="B1810" s="448">
        <v>4</v>
      </c>
      <c r="C1810" s="11">
        <v>13</v>
      </c>
      <c r="D1810" s="11">
        <v>4</v>
      </c>
      <c r="E1810" s="11">
        <v>5</v>
      </c>
      <c r="F1810" s="11">
        <v>7</v>
      </c>
      <c r="G1810" s="11">
        <v>12</v>
      </c>
      <c r="H1810" s="11">
        <v>9</v>
      </c>
      <c r="I1810" s="11">
        <f>B1810+C1810+D1810+E1810+F1810+G1810+H1810</f>
        <v>54</v>
      </c>
      <c r="J1810" s="684">
        <f>'NOGAL '!$I1810/7</f>
        <v>7.7142857142857144</v>
      </c>
    </row>
    <row r="1811" spans="1:10" s="71" customFormat="1" x14ac:dyDescent="0.25">
      <c r="A1811" s="622" t="s">
        <v>16</v>
      </c>
      <c r="B1811" s="448">
        <v>1</v>
      </c>
      <c r="C1811" s="11">
        <v>0</v>
      </c>
      <c r="D1811" s="11">
        <v>0</v>
      </c>
      <c r="E1811" s="11">
        <v>1</v>
      </c>
      <c r="F1811" s="11">
        <v>0</v>
      </c>
      <c r="G1811" s="11">
        <v>0</v>
      </c>
      <c r="H1811" s="11">
        <v>3</v>
      </c>
      <c r="I1811" s="11">
        <f>B1811+C1811+D1811+E1811+F1811+G1811+H1811</f>
        <v>5</v>
      </c>
      <c r="J1811" s="684">
        <f>'NOGAL '!$I1811/7</f>
        <v>0.7142857142857143</v>
      </c>
    </row>
    <row r="1812" spans="1:10" s="71" customFormat="1" x14ac:dyDescent="0.25">
      <c r="A1812" s="624" t="s">
        <v>17</v>
      </c>
      <c r="B1812" s="102">
        <f t="shared" ref="B1812:I1812" si="784">SUM(B1807:B1811)</f>
        <v>62</v>
      </c>
      <c r="C1812" s="103">
        <f t="shared" si="784"/>
        <v>83</v>
      </c>
      <c r="D1812" s="103">
        <f t="shared" si="784"/>
        <v>76</v>
      </c>
      <c r="E1812" s="103">
        <f t="shared" si="784"/>
        <v>91</v>
      </c>
      <c r="F1812" s="103">
        <f t="shared" si="784"/>
        <v>135</v>
      </c>
      <c r="G1812" s="103">
        <f t="shared" si="784"/>
        <v>140</v>
      </c>
      <c r="H1812" s="103">
        <f t="shared" si="784"/>
        <v>171</v>
      </c>
      <c r="I1812" s="103">
        <f t="shared" si="784"/>
        <v>758</v>
      </c>
      <c r="J1812" s="713">
        <f>'NOGAL '!$I1812/7</f>
        <v>108.28571428571429</v>
      </c>
    </row>
    <row r="1813" spans="1:10" s="71" customFormat="1" x14ac:dyDescent="0.25">
      <c r="A1813" s="622" t="s">
        <v>18</v>
      </c>
      <c r="B1813" s="449">
        <v>0.8</v>
      </c>
      <c r="C1813" s="236">
        <v>0.72</v>
      </c>
      <c r="D1813" s="236">
        <v>0.74</v>
      </c>
      <c r="E1813" s="236">
        <v>0.71</v>
      </c>
      <c r="F1813" s="236">
        <v>0.83</v>
      </c>
      <c r="G1813" s="236">
        <v>0.86</v>
      </c>
      <c r="H1813" s="236">
        <v>0.86</v>
      </c>
      <c r="I1813" s="18">
        <f>I1820/I1825</f>
        <v>0.80824330104344189</v>
      </c>
      <c r="J1813" s="714">
        <f>J1820/J1825</f>
        <v>0.80824330104344189</v>
      </c>
    </row>
    <row r="1814" spans="1:10" s="71" customFormat="1" x14ac:dyDescent="0.25">
      <c r="A1814" s="622" t="s">
        <v>19</v>
      </c>
      <c r="B1814" s="449">
        <v>0.01</v>
      </c>
      <c r="C1814" s="236">
        <v>0</v>
      </c>
      <c r="D1814" s="236">
        <v>0.04</v>
      </c>
      <c r="E1814" s="236">
        <v>0.01</v>
      </c>
      <c r="F1814" s="236">
        <v>0.01</v>
      </c>
      <c r="G1814" s="236">
        <v>0.01</v>
      </c>
      <c r="H1814" s="236">
        <v>0.02</v>
      </c>
      <c r="I1814" s="18">
        <f>I1821/I1825</f>
        <v>1.4631134235672888E-2</v>
      </c>
      <c r="J1814" s="714">
        <f>J1821/J1825</f>
        <v>1.4631134235672888E-2</v>
      </c>
    </row>
    <row r="1815" spans="1:10" s="71" customFormat="1" x14ac:dyDescent="0.25">
      <c r="A1815" s="622" t="s">
        <v>20</v>
      </c>
      <c r="B1815" s="449">
        <v>0.1</v>
      </c>
      <c r="C1815" s="236">
        <v>0.18</v>
      </c>
      <c r="D1815" s="236">
        <v>0.19</v>
      </c>
      <c r="E1815" s="236">
        <v>0.18</v>
      </c>
      <c r="F1815" s="236">
        <v>0.12</v>
      </c>
      <c r="G1815" s="236">
        <v>0.06</v>
      </c>
      <c r="H1815" s="236">
        <v>0.06</v>
      </c>
      <c r="I1815" s="18">
        <f>I1822/I1825</f>
        <v>0.11150223418866873</v>
      </c>
      <c r="J1815" s="714">
        <f>J1822/J1825</f>
        <v>0.11150223418866873</v>
      </c>
    </row>
    <row r="1816" spans="1:10" s="71" customFormat="1" x14ac:dyDescent="0.25">
      <c r="A1816" s="622" t="s">
        <v>21</v>
      </c>
      <c r="B1816" s="449">
        <v>0.06</v>
      </c>
      <c r="C1816" s="236">
        <v>0.1</v>
      </c>
      <c r="D1816" s="236">
        <v>0.03</v>
      </c>
      <c r="E1816" s="236">
        <v>0.04</v>
      </c>
      <c r="F1816" s="236">
        <v>0.04</v>
      </c>
      <c r="G1816" s="236">
        <v>7.0000000000000007E-2</v>
      </c>
      <c r="H1816" s="236">
        <v>0.05</v>
      </c>
      <c r="I1816" s="18">
        <f>I1823/I1825</f>
        <v>5.4772365210376858E-2</v>
      </c>
      <c r="J1816" s="714">
        <f>J1823/J1825</f>
        <v>5.4772365210376851E-2</v>
      </c>
    </row>
    <row r="1817" spans="1:10" s="71" customFormat="1" x14ac:dyDescent="0.25">
      <c r="A1817" s="622" t="s">
        <v>22</v>
      </c>
      <c r="B1817" s="449">
        <v>0.03</v>
      </c>
      <c r="C1817" s="236">
        <v>0</v>
      </c>
      <c r="D1817" s="236">
        <v>0</v>
      </c>
      <c r="E1817" s="236">
        <v>0.06</v>
      </c>
      <c r="F1817" s="236">
        <v>0</v>
      </c>
      <c r="G1817" s="236">
        <v>0</v>
      </c>
      <c r="H1817" s="236">
        <v>0.01</v>
      </c>
      <c r="I1817" s="18">
        <f>I1824/I1825</f>
        <v>1.0850965321839738E-2</v>
      </c>
      <c r="J1817" s="714">
        <f>J1824/J1825</f>
        <v>1.0850965321839739E-2</v>
      </c>
    </row>
    <row r="1818" spans="1:10" s="71" customFormat="1" x14ac:dyDescent="0.25">
      <c r="A1818" s="627" t="s">
        <v>23</v>
      </c>
      <c r="B1818" s="450">
        <f t="shared" ref="B1818:J1818" si="785">B1829/B1812</f>
        <v>34335.483870967742</v>
      </c>
      <c r="C1818" s="130">
        <f t="shared" si="785"/>
        <v>33344.578313253012</v>
      </c>
      <c r="D1818" s="130">
        <f t="shared" si="785"/>
        <v>38767.1052631579</v>
      </c>
      <c r="E1818" s="130">
        <f t="shared" si="785"/>
        <v>31501.098901098907</v>
      </c>
      <c r="F1818" s="130">
        <f t="shared" si="785"/>
        <v>36460</v>
      </c>
      <c r="G1818" s="130">
        <f t="shared" si="785"/>
        <v>39469.285714285717</v>
      </c>
      <c r="H1818" s="130">
        <f t="shared" si="785"/>
        <v>40283.625730994157</v>
      </c>
      <c r="I1818" s="130">
        <f t="shared" si="785"/>
        <v>36999.472295514512</v>
      </c>
      <c r="J1818" s="685">
        <f t="shared" si="785"/>
        <v>36999.472295514512</v>
      </c>
    </row>
    <row r="1819" spans="1:10" s="71" customFormat="1" x14ac:dyDescent="0.25">
      <c r="A1819" s="627" t="s">
        <v>24</v>
      </c>
      <c r="B1819" s="450">
        <f t="shared" ref="B1819:J1819" si="786">B1829/B1806</f>
        <v>30411.428571428572</v>
      </c>
      <c r="C1819" s="130">
        <f t="shared" si="786"/>
        <v>26358.095238095237</v>
      </c>
      <c r="D1819" s="130">
        <f t="shared" si="786"/>
        <v>28604.854368932043</v>
      </c>
      <c r="E1819" s="130">
        <f t="shared" si="786"/>
        <v>27563.461538461543</v>
      </c>
      <c r="F1819" s="130">
        <f t="shared" si="786"/>
        <v>29298.214285714286</v>
      </c>
      <c r="G1819" s="130">
        <f t="shared" si="786"/>
        <v>29236.507936507936</v>
      </c>
      <c r="H1819" s="130">
        <f t="shared" si="786"/>
        <v>28231.557377049183</v>
      </c>
      <c r="I1819" s="130">
        <f t="shared" si="786"/>
        <v>28530.620549338761</v>
      </c>
      <c r="J1819" s="685">
        <f t="shared" si="786"/>
        <v>28530.620549338764</v>
      </c>
    </row>
    <row r="1820" spans="1:10" s="71" customFormat="1" x14ac:dyDescent="0.25">
      <c r="A1820" s="622" t="s">
        <v>25</v>
      </c>
      <c r="B1820" s="451">
        <f t="shared" ref="B1820:H1820" si="787">B1825*B1813</f>
        <v>1381233.931034483</v>
      </c>
      <c r="C1820" s="92">
        <f t="shared" si="787"/>
        <v>1636130.9296551724</v>
      </c>
      <c r="D1820" s="92">
        <f t="shared" si="787"/>
        <v>1790218.2068965519</v>
      </c>
      <c r="E1820" s="92">
        <f t="shared" si="787"/>
        <v>1658576.2565517244</v>
      </c>
      <c r="F1820" s="92">
        <f t="shared" si="787"/>
        <v>3321485.4137931038</v>
      </c>
      <c r="G1820" s="92">
        <f t="shared" si="787"/>
        <v>3866199.2151724137</v>
      </c>
      <c r="H1820" s="92">
        <f t="shared" si="787"/>
        <v>4812193.6993103456</v>
      </c>
      <c r="I1820" s="92">
        <f>'NOGAL '!$B1820+'NOGAL '!$C1820+'NOGAL '!$D1820+'NOGAL '!$E1820+'NOGAL '!$F1820+'NOGAL '!$G1820+'NOGAL '!$H1820</f>
        <v>18466037.652413793</v>
      </c>
      <c r="J1820" s="715">
        <f>'NOGAL '!$I1820/7</f>
        <v>2638005.3789162561</v>
      </c>
    </row>
    <row r="1821" spans="1:10" s="71" customFormat="1" x14ac:dyDescent="0.25">
      <c r="A1821" s="622" t="s">
        <v>26</v>
      </c>
      <c r="B1821" s="451">
        <f t="shared" ref="B1821:H1821" si="788">B1825*B1814</f>
        <v>17265.424137931037</v>
      </c>
      <c r="C1821" s="92">
        <f t="shared" si="788"/>
        <v>0</v>
      </c>
      <c r="D1821" s="92">
        <f t="shared" si="788"/>
        <v>96768.551724137942</v>
      </c>
      <c r="E1821" s="92">
        <f t="shared" si="788"/>
        <v>23360.228965517246</v>
      </c>
      <c r="F1821" s="92">
        <f t="shared" si="788"/>
        <v>40017.896551724145</v>
      </c>
      <c r="G1821" s="92">
        <f t="shared" si="788"/>
        <v>44955.804827586209</v>
      </c>
      <c r="H1821" s="92">
        <f t="shared" si="788"/>
        <v>111911.48137931037</v>
      </c>
      <c r="I1821" s="92">
        <f>'NOGAL '!$B1821+'NOGAL '!$C1821+'NOGAL '!$D1821+'NOGAL '!$E1821+'NOGAL '!$F1821+'NOGAL '!$G1821+'NOGAL '!$H1821</f>
        <v>334279.38758620695</v>
      </c>
      <c r="J1821" s="715">
        <f>'NOGAL '!$I1821/7</f>
        <v>47754.198226600995</v>
      </c>
    </row>
    <row r="1822" spans="1:10" s="71" customFormat="1" x14ac:dyDescent="0.25">
      <c r="A1822" s="622" t="s">
        <v>27</v>
      </c>
      <c r="B1822" s="451">
        <f t="shared" ref="B1822:H1822" si="789">B1825*B1815</f>
        <v>172654.24137931038</v>
      </c>
      <c r="C1822" s="92">
        <f t="shared" si="789"/>
        <v>409032.7324137931</v>
      </c>
      <c r="D1822" s="92">
        <f t="shared" si="789"/>
        <v>459650.62068965525</v>
      </c>
      <c r="E1822" s="92">
        <f t="shared" si="789"/>
        <v>420484.12137931038</v>
      </c>
      <c r="F1822" s="92">
        <f t="shared" si="789"/>
        <v>480214.75862068968</v>
      </c>
      <c r="G1822" s="92">
        <f t="shared" si="789"/>
        <v>269734.82896551723</v>
      </c>
      <c r="H1822" s="92">
        <f t="shared" si="789"/>
        <v>335734.44413793104</v>
      </c>
      <c r="I1822" s="92">
        <f>'NOGAL '!$B1822+'NOGAL '!$C1822+'NOGAL '!$D1822+'NOGAL '!$E1822+'NOGAL '!$F1822+'NOGAL '!$G1822+'NOGAL '!$H1822</f>
        <v>2547505.747586207</v>
      </c>
      <c r="J1822" s="715">
        <f>'NOGAL '!$I1822/7</f>
        <v>363929.3925123153</v>
      </c>
    </row>
    <row r="1823" spans="1:10" s="71" customFormat="1" x14ac:dyDescent="0.25">
      <c r="A1823" s="622" t="s">
        <v>28</v>
      </c>
      <c r="B1823" s="451">
        <f t="shared" ref="B1823:H1823" si="790">B1825*B1816</f>
        <v>103592.54482758621</v>
      </c>
      <c r="C1823" s="92">
        <f t="shared" si="790"/>
        <v>227240.40689655175</v>
      </c>
      <c r="D1823" s="92">
        <f t="shared" si="790"/>
        <v>72576.413793103449</v>
      </c>
      <c r="E1823" s="92">
        <f t="shared" si="790"/>
        <v>93440.915862068985</v>
      </c>
      <c r="F1823" s="92">
        <f t="shared" si="790"/>
        <v>160071.58620689658</v>
      </c>
      <c r="G1823" s="92">
        <f t="shared" si="790"/>
        <v>314690.63379310351</v>
      </c>
      <c r="H1823" s="92">
        <f t="shared" si="790"/>
        <v>279778.70344827592</v>
      </c>
      <c r="I1823" s="92">
        <f>'NOGAL '!$B1823+'NOGAL '!$C1823+'NOGAL '!$D1823+'NOGAL '!$E1823+'NOGAL '!$F1823+'NOGAL '!$G1823+'NOGAL '!$H1823</f>
        <v>1251391.2048275864</v>
      </c>
      <c r="J1823" s="715">
        <f>'NOGAL '!$I1823/7</f>
        <v>178770.17211822662</v>
      </c>
    </row>
    <row r="1824" spans="1:10" s="71" customFormat="1" x14ac:dyDescent="0.25">
      <c r="A1824" s="622" t="s">
        <v>29</v>
      </c>
      <c r="B1824" s="451">
        <f t="shared" ref="B1824:H1824" si="791">B1825*B1817</f>
        <v>51796.272413793107</v>
      </c>
      <c r="C1824" s="92">
        <f t="shared" si="791"/>
        <v>0</v>
      </c>
      <c r="D1824" s="92">
        <f t="shared" si="791"/>
        <v>0</v>
      </c>
      <c r="E1824" s="92">
        <f t="shared" si="791"/>
        <v>140161.37379310347</v>
      </c>
      <c r="F1824" s="92">
        <f t="shared" si="791"/>
        <v>0</v>
      </c>
      <c r="G1824" s="92">
        <f t="shared" si="791"/>
        <v>0</v>
      </c>
      <c r="H1824" s="92">
        <f t="shared" si="791"/>
        <v>55955.740689655184</v>
      </c>
      <c r="I1824" s="92">
        <f>'NOGAL '!$B1824+'NOGAL '!$C1824+'NOGAL '!$D1824+'NOGAL '!$E1824+'NOGAL '!$F1824+'NOGAL '!$G1824+'NOGAL '!$H1824</f>
        <v>247913.38689655176</v>
      </c>
      <c r="J1824" s="715">
        <f>'NOGAL '!$I1824/7</f>
        <v>35416.198128078824</v>
      </c>
    </row>
    <row r="1825" spans="1:10" s="71" customFormat="1" x14ac:dyDescent="0.25">
      <c r="A1825" s="630" t="s">
        <v>30</v>
      </c>
      <c r="B1825" s="237">
        <f>(2128800/1.16)-B1826</f>
        <v>1726542.4137931035</v>
      </c>
      <c r="C1825" s="237">
        <f>(2767600/1.16)-C1826</f>
        <v>2272404.0689655175</v>
      </c>
      <c r="D1825" s="237">
        <f>(2946300/1.16)-D1826</f>
        <v>2419213.7931034486</v>
      </c>
      <c r="E1825" s="237">
        <f>(2866600/1.16)-E1826</f>
        <v>2336022.8965517245</v>
      </c>
      <c r="F1825" s="237">
        <f>(4922100/1.16)-F1826</f>
        <v>4001789.6551724141</v>
      </c>
      <c r="G1825" s="237">
        <f>(5525700/1.16)-G1826</f>
        <v>4495580.4827586208</v>
      </c>
      <c r="H1825" s="237">
        <f>(6888500/1.16)-H1826</f>
        <v>5595574.0689655179</v>
      </c>
      <c r="I1825" s="91">
        <f>SUM(I1820:I1824)</f>
        <v>22847127.379310343</v>
      </c>
      <c r="J1825" s="716">
        <f>'NOGAL '!$I1825/7</f>
        <v>3263875.3399014776</v>
      </c>
    </row>
    <row r="1826" spans="1:10" s="71" customFormat="1" x14ac:dyDescent="0.25">
      <c r="A1826" s="622" t="s">
        <v>31</v>
      </c>
      <c r="B1826" s="452">
        <f t="shared" ref="B1826:I1826" si="792">2414*B1807</f>
        <v>108630</v>
      </c>
      <c r="C1826" s="94">
        <f t="shared" si="792"/>
        <v>113458</v>
      </c>
      <c r="D1826" s="94">
        <f t="shared" si="792"/>
        <v>120700</v>
      </c>
      <c r="E1826" s="94">
        <f t="shared" si="792"/>
        <v>135184</v>
      </c>
      <c r="F1826" s="94">
        <f t="shared" si="792"/>
        <v>241400</v>
      </c>
      <c r="G1826" s="94">
        <f t="shared" si="792"/>
        <v>267954</v>
      </c>
      <c r="H1826" s="94">
        <f t="shared" si="792"/>
        <v>342788</v>
      </c>
      <c r="I1826" s="94">
        <f t="shared" si="792"/>
        <v>1330114</v>
      </c>
      <c r="J1826" s="717">
        <f>2155*J1807</f>
        <v>169629.28571428571</v>
      </c>
    </row>
    <row r="1827" spans="1:10" s="71" customFormat="1" x14ac:dyDescent="0.25">
      <c r="A1827" s="633" t="s">
        <v>32</v>
      </c>
      <c r="B1827" s="453">
        <f>B1825+B1826</f>
        <v>1835172.4137931035</v>
      </c>
      <c r="C1827" s="39">
        <f>C1825+C1826</f>
        <v>2385862.0689655175</v>
      </c>
      <c r="D1827" s="39">
        <f t="shared" ref="D1827:J1827" si="793">D1825+D1826</f>
        <v>2539913.7931034486</v>
      </c>
      <c r="E1827" s="39">
        <f t="shared" si="793"/>
        <v>2471206.8965517245</v>
      </c>
      <c r="F1827" s="39">
        <f t="shared" si="793"/>
        <v>4243189.6551724141</v>
      </c>
      <c r="G1827" s="39">
        <f t="shared" si="793"/>
        <v>4763534.4827586208</v>
      </c>
      <c r="H1827" s="39">
        <f t="shared" si="793"/>
        <v>5938362.0689655179</v>
      </c>
      <c r="I1827" s="39">
        <f t="shared" si="793"/>
        <v>24177241.379310343</v>
      </c>
      <c r="J1827" s="718">
        <f t="shared" si="793"/>
        <v>3433504.6256157635</v>
      </c>
    </row>
    <row r="1828" spans="1:10" s="71" customFormat="1" x14ac:dyDescent="0.25">
      <c r="A1828" s="622" t="s">
        <v>33</v>
      </c>
      <c r="B1828" s="454">
        <f>B1827*16%</f>
        <v>293627.58620689658</v>
      </c>
      <c r="C1828" s="41">
        <f>C1827*16%</f>
        <v>381737.93103448278</v>
      </c>
      <c r="D1828" s="41">
        <f t="shared" ref="D1828:J1828" si="794">D1827*16%</f>
        <v>406386.20689655177</v>
      </c>
      <c r="E1828" s="41">
        <f t="shared" si="794"/>
        <v>395393.10344827594</v>
      </c>
      <c r="F1828" s="41">
        <f t="shared" si="794"/>
        <v>678910.34482758632</v>
      </c>
      <c r="G1828" s="41">
        <f t="shared" si="794"/>
        <v>762165.51724137936</v>
      </c>
      <c r="H1828" s="41">
        <f t="shared" si="794"/>
        <v>950137.9310344829</v>
      </c>
      <c r="I1828" s="41">
        <f t="shared" si="794"/>
        <v>3868358.6206896552</v>
      </c>
      <c r="J1828" s="719">
        <f t="shared" si="794"/>
        <v>549360.74009852216</v>
      </c>
    </row>
    <row r="1829" spans="1:10" s="71" customFormat="1" ht="15.75" thickBot="1" x14ac:dyDescent="0.3">
      <c r="A1829" s="636" t="s">
        <v>34</v>
      </c>
      <c r="B1829" s="637">
        <f t="shared" ref="B1829:H1829" si="795">B1827+B1828</f>
        <v>2128800</v>
      </c>
      <c r="C1829" s="686">
        <f t="shared" si="795"/>
        <v>2767600</v>
      </c>
      <c r="D1829" s="686">
        <f t="shared" si="795"/>
        <v>2946300.0000000005</v>
      </c>
      <c r="E1829" s="686">
        <f t="shared" si="795"/>
        <v>2866600.0000000005</v>
      </c>
      <c r="F1829" s="686">
        <f t="shared" si="795"/>
        <v>4922100</v>
      </c>
      <c r="G1829" s="686">
        <f t="shared" si="795"/>
        <v>5525700</v>
      </c>
      <c r="H1829" s="686">
        <f t="shared" si="795"/>
        <v>6888500.0000000009</v>
      </c>
      <c r="I1829" s="686">
        <f>+I1827+I1828</f>
        <v>28045600</v>
      </c>
      <c r="J1829" s="720">
        <f>'NOGAL '!$I1829/7</f>
        <v>4006514.2857142859</v>
      </c>
    </row>
    <row r="1830" spans="1:10" s="71" customFormat="1" ht="15.75" thickBot="1" x14ac:dyDescent="0.3">
      <c r="A1830" s="69"/>
      <c r="B1830" s="424"/>
      <c r="C1830" s="424"/>
      <c r="D1830" s="424"/>
      <c r="E1830" s="424"/>
      <c r="F1830" s="424"/>
      <c r="G1830" s="424"/>
      <c r="H1830" s="424"/>
      <c r="I1830" s="424"/>
      <c r="J1830" s="424"/>
    </row>
    <row r="1831" spans="1:10" s="71" customFormat="1" ht="27" thickBot="1" x14ac:dyDescent="0.3">
      <c r="A1831" s="85"/>
      <c r="B1831" s="1002" t="s">
        <v>640</v>
      </c>
      <c r="C1831" s="1002"/>
      <c r="D1831" s="1002"/>
      <c r="E1831" s="1002"/>
      <c r="F1831" s="1002"/>
      <c r="G1831" s="1002"/>
      <c r="H1831" s="1002"/>
      <c r="I1831" s="1002"/>
      <c r="J1831" s="85"/>
    </row>
    <row r="1832" spans="1:10" s="71" customFormat="1" ht="15.75" x14ac:dyDescent="0.25">
      <c r="A1832" s="614" t="s">
        <v>2</v>
      </c>
      <c r="B1832" s="706" t="s">
        <v>45</v>
      </c>
      <c r="C1832" s="641" t="s">
        <v>289</v>
      </c>
      <c r="D1832" s="641" t="s">
        <v>47</v>
      </c>
      <c r="E1832" s="641" t="s">
        <v>48</v>
      </c>
      <c r="F1832" s="641" t="s">
        <v>49</v>
      </c>
      <c r="G1832" s="641" t="s">
        <v>50</v>
      </c>
      <c r="H1832" s="641" t="s">
        <v>290</v>
      </c>
      <c r="I1832" s="618" t="s">
        <v>10</v>
      </c>
      <c r="J1832" s="711" t="s">
        <v>77</v>
      </c>
    </row>
    <row r="1833" spans="1:10" s="71" customFormat="1" x14ac:dyDescent="0.25">
      <c r="A1833" s="620" t="s">
        <v>11</v>
      </c>
      <c r="B1833" s="433">
        <f>39+18+9</f>
        <v>66</v>
      </c>
      <c r="C1833" s="75">
        <f>64+35+12</f>
        <v>111</v>
      </c>
      <c r="D1833" s="75">
        <f>77+28+11</f>
        <v>116</v>
      </c>
      <c r="E1833" s="316">
        <f>81+29+10</f>
        <v>120</v>
      </c>
      <c r="F1833" s="316">
        <f>148+49+19</f>
        <v>216</v>
      </c>
      <c r="G1833" s="316">
        <f>139+66+18</f>
        <v>223</v>
      </c>
      <c r="H1833" s="316">
        <f>151+68+30</f>
        <v>249</v>
      </c>
      <c r="I1833" s="316">
        <f>SUM(B1833:H1833)</f>
        <v>1101</v>
      </c>
      <c r="J1833" s="712">
        <f>'NOGAL '!$I1833/7</f>
        <v>157.28571428571428</v>
      </c>
    </row>
    <row r="1834" spans="1:10" s="71" customFormat="1" x14ac:dyDescent="0.25">
      <c r="A1834" s="622" t="s">
        <v>12</v>
      </c>
      <c r="B1834" s="448">
        <v>36</v>
      </c>
      <c r="C1834" s="86">
        <v>64</v>
      </c>
      <c r="D1834" s="11">
        <v>62</v>
      </c>
      <c r="E1834" s="86">
        <v>74</v>
      </c>
      <c r="F1834" s="86">
        <v>113</v>
      </c>
      <c r="G1834" s="86">
        <v>125</v>
      </c>
      <c r="H1834" s="11">
        <v>159</v>
      </c>
      <c r="I1834" s="11">
        <f>B1834+C1834+D1834+E1834+F1834+G1834+H1834</f>
        <v>633</v>
      </c>
      <c r="J1834" s="684">
        <f>'NOGAL '!$I1834/7</f>
        <v>90.428571428571431</v>
      </c>
    </row>
    <row r="1835" spans="1:10" s="71" customFormat="1" x14ac:dyDescent="0.25">
      <c r="A1835" s="622" t="s">
        <v>13</v>
      </c>
      <c r="B1835" s="448">
        <v>1</v>
      </c>
      <c r="C1835" s="11">
        <v>4</v>
      </c>
      <c r="D1835" s="11">
        <v>2</v>
      </c>
      <c r="E1835" s="86">
        <v>2</v>
      </c>
      <c r="F1835" s="11">
        <v>4</v>
      </c>
      <c r="G1835" s="11">
        <v>3</v>
      </c>
      <c r="H1835" s="11">
        <v>5</v>
      </c>
      <c r="I1835" s="11">
        <f>B1835+C1835+D1835+E1835+F1835+G1835+H1835</f>
        <v>21</v>
      </c>
      <c r="J1835" s="684">
        <f>C1835+D1835+E1835+F1835+G1835+H1835+I1835</f>
        <v>41</v>
      </c>
    </row>
    <row r="1836" spans="1:10" s="71" customFormat="1" x14ac:dyDescent="0.25">
      <c r="A1836" s="622" t="s">
        <v>14</v>
      </c>
      <c r="B1836" s="448">
        <v>11</v>
      </c>
      <c r="C1836" s="11">
        <v>17</v>
      </c>
      <c r="D1836" s="11">
        <v>17</v>
      </c>
      <c r="E1836" s="11">
        <v>13</v>
      </c>
      <c r="F1836" s="11">
        <v>27</v>
      </c>
      <c r="G1836" s="11">
        <v>25</v>
      </c>
      <c r="H1836" s="11">
        <v>11</v>
      </c>
      <c r="I1836" s="11">
        <f>B1836+C1836+D1836+E1836+F1836+G1836+H1836</f>
        <v>121</v>
      </c>
      <c r="J1836" s="684">
        <f>'NOGAL '!$I1836/7</f>
        <v>17.285714285714285</v>
      </c>
    </row>
    <row r="1837" spans="1:10" s="71" customFormat="1" x14ac:dyDescent="0.25">
      <c r="A1837" s="622" t="s">
        <v>15</v>
      </c>
      <c r="B1837" s="448">
        <v>4</v>
      </c>
      <c r="C1837" s="11">
        <v>2</v>
      </c>
      <c r="D1837" s="11">
        <v>6</v>
      </c>
      <c r="E1837" s="11">
        <v>2</v>
      </c>
      <c r="F1837" s="11">
        <v>9</v>
      </c>
      <c r="G1837" s="11">
        <v>13</v>
      </c>
      <c r="H1837" s="11">
        <v>14</v>
      </c>
      <c r="I1837" s="11">
        <f>B1837+C1837+D1837+E1837+F1837+G1837+H1837</f>
        <v>50</v>
      </c>
      <c r="J1837" s="684">
        <f>'NOGAL '!$I1837/7</f>
        <v>7.1428571428571432</v>
      </c>
    </row>
    <row r="1838" spans="1:10" s="71" customFormat="1" x14ac:dyDescent="0.25">
      <c r="A1838" s="622" t="s">
        <v>16</v>
      </c>
      <c r="B1838" s="448">
        <v>0</v>
      </c>
      <c r="C1838" s="11">
        <v>0</v>
      </c>
      <c r="D1838" s="11">
        <v>0</v>
      </c>
      <c r="E1838" s="11">
        <v>1</v>
      </c>
      <c r="F1838" s="11">
        <v>0</v>
      </c>
      <c r="G1838" s="11">
        <v>0</v>
      </c>
      <c r="H1838" s="11">
        <v>0</v>
      </c>
      <c r="I1838" s="11">
        <f>B1838+C1838+D1838+E1838+F1838+G1838+H1838</f>
        <v>1</v>
      </c>
      <c r="J1838" s="684">
        <f>'NOGAL '!$I1838/7</f>
        <v>0.14285714285714285</v>
      </c>
    </row>
    <row r="1839" spans="1:10" s="71" customFormat="1" x14ac:dyDescent="0.25">
      <c r="A1839" s="624" t="s">
        <v>17</v>
      </c>
      <c r="B1839" s="102">
        <f t="shared" ref="B1839:I1839" si="796">SUM(B1834:B1838)</f>
        <v>52</v>
      </c>
      <c r="C1839" s="103">
        <f t="shared" si="796"/>
        <v>87</v>
      </c>
      <c r="D1839" s="103">
        <f t="shared" si="796"/>
        <v>87</v>
      </c>
      <c r="E1839" s="103">
        <f t="shared" si="796"/>
        <v>92</v>
      </c>
      <c r="F1839" s="103">
        <f t="shared" si="796"/>
        <v>153</v>
      </c>
      <c r="G1839" s="103">
        <f t="shared" si="796"/>
        <v>166</v>
      </c>
      <c r="H1839" s="103">
        <f t="shared" si="796"/>
        <v>189</v>
      </c>
      <c r="I1839" s="103">
        <f t="shared" si="796"/>
        <v>826</v>
      </c>
      <c r="J1839" s="713">
        <f>'NOGAL '!$I1839/7</f>
        <v>118</v>
      </c>
    </row>
    <row r="1840" spans="1:10" s="71" customFormat="1" x14ac:dyDescent="0.25">
      <c r="A1840" s="622" t="s">
        <v>18</v>
      </c>
      <c r="B1840" s="449">
        <v>0.81</v>
      </c>
      <c r="C1840" s="236">
        <v>0.84</v>
      </c>
      <c r="D1840" s="236">
        <v>0.8</v>
      </c>
      <c r="E1840" s="236">
        <v>0.89</v>
      </c>
      <c r="F1840" s="236">
        <v>0.82</v>
      </c>
      <c r="G1840" s="236">
        <v>0.84</v>
      </c>
      <c r="H1840" s="236">
        <v>0.89</v>
      </c>
      <c r="I1840" s="18">
        <f>I1847/I1852</f>
        <v>0.84564442055970013</v>
      </c>
      <c r="J1840" s="714">
        <f>J1847/J1852</f>
        <v>0.84564442055970013</v>
      </c>
    </row>
    <row r="1841" spans="1:10" s="71" customFormat="1" x14ac:dyDescent="0.25">
      <c r="A1841" s="622" t="s">
        <v>19</v>
      </c>
      <c r="B1841" s="449">
        <v>0.02</v>
      </c>
      <c r="C1841" s="236">
        <v>0.03</v>
      </c>
      <c r="D1841" s="236">
        <v>0.02</v>
      </c>
      <c r="E1841" s="236">
        <v>0.01</v>
      </c>
      <c r="F1841" s="236">
        <v>0.03</v>
      </c>
      <c r="G1841" s="236">
        <v>0.03</v>
      </c>
      <c r="H1841" s="236">
        <v>0.02</v>
      </c>
      <c r="I1841" s="18">
        <f>I1848/I1852</f>
        <v>2.4126583548574953E-2</v>
      </c>
      <c r="J1841" s="714">
        <f>J1848/J1852</f>
        <v>2.4126583548574949E-2</v>
      </c>
    </row>
    <row r="1842" spans="1:10" s="71" customFormat="1" x14ac:dyDescent="0.25">
      <c r="A1842" s="622" t="s">
        <v>20</v>
      </c>
      <c r="B1842" s="449">
        <v>0.13</v>
      </c>
      <c r="C1842" s="236">
        <v>0.12</v>
      </c>
      <c r="D1842" s="236">
        <v>0.14000000000000001</v>
      </c>
      <c r="E1842" s="236">
        <v>7.0000000000000007E-2</v>
      </c>
      <c r="F1842" s="236">
        <v>0.1</v>
      </c>
      <c r="G1842" s="236">
        <v>7.0000000000000007E-2</v>
      </c>
      <c r="H1842" s="236">
        <v>0.02</v>
      </c>
      <c r="I1842" s="18">
        <f>I1849/I1852</f>
        <v>8.1853571661654051E-2</v>
      </c>
      <c r="J1842" s="714">
        <f>J1849/J1852</f>
        <v>8.1853571661654051E-2</v>
      </c>
    </row>
    <row r="1843" spans="1:10" s="71" customFormat="1" x14ac:dyDescent="0.25">
      <c r="A1843" s="622" t="s">
        <v>21</v>
      </c>
      <c r="B1843" s="449">
        <v>0.04</v>
      </c>
      <c r="C1843" s="236">
        <v>0.01</v>
      </c>
      <c r="D1843" s="236">
        <v>0.04</v>
      </c>
      <c r="E1843" s="236">
        <v>0.02</v>
      </c>
      <c r="F1843" s="236">
        <v>0.05</v>
      </c>
      <c r="G1843" s="236">
        <v>0.06</v>
      </c>
      <c r="H1843" s="236">
        <v>7.0000000000000007E-2</v>
      </c>
      <c r="I1843" s="18">
        <f>I1850/I1852</f>
        <v>4.7292948759355427E-2</v>
      </c>
      <c r="J1843" s="714">
        <f>J1850/J1852</f>
        <v>4.7292948759355427E-2</v>
      </c>
    </row>
    <row r="1844" spans="1:10" s="71" customFormat="1" x14ac:dyDescent="0.25">
      <c r="A1844" s="622" t="s">
        <v>22</v>
      </c>
      <c r="B1844" s="449">
        <v>0</v>
      </c>
      <c r="C1844" s="236">
        <v>0</v>
      </c>
      <c r="D1844" s="236">
        <v>0</v>
      </c>
      <c r="E1844" s="236">
        <v>0.01</v>
      </c>
      <c r="F1844" s="236">
        <v>0</v>
      </c>
      <c r="G1844" s="236">
        <v>0</v>
      </c>
      <c r="H1844" s="236">
        <v>0</v>
      </c>
      <c r="I1844" s="18">
        <f>I1851/I1852</f>
        <v>1.0824754707156308E-3</v>
      </c>
      <c r="J1844" s="714">
        <f>J1851/J1852</f>
        <v>1.0824754707156308E-3</v>
      </c>
    </row>
    <row r="1845" spans="1:10" s="71" customFormat="1" x14ac:dyDescent="0.25">
      <c r="A1845" s="627" t="s">
        <v>23</v>
      </c>
      <c r="B1845" s="450">
        <f t="shared" ref="B1845:J1845" si="797">B1856/B1839</f>
        <v>40451.923076923078</v>
      </c>
      <c r="C1845" s="130">
        <f t="shared" si="797"/>
        <v>38145.977011494258</v>
      </c>
      <c r="D1845" s="130">
        <f t="shared" si="797"/>
        <v>37621.839080459773</v>
      </c>
      <c r="E1845" s="130">
        <f t="shared" si="797"/>
        <v>38570.65217391304</v>
      </c>
      <c r="F1845" s="130">
        <f t="shared" si="797"/>
        <v>43249.67320261438</v>
      </c>
      <c r="G1845" s="130">
        <f t="shared" si="797"/>
        <v>42100</v>
      </c>
      <c r="H1845" s="130">
        <f t="shared" si="797"/>
        <v>35925.925925925934</v>
      </c>
      <c r="I1845" s="130">
        <f t="shared" si="797"/>
        <v>39515.254237288129</v>
      </c>
      <c r="J1845" s="685">
        <f t="shared" si="797"/>
        <v>39515.254237288129</v>
      </c>
    </row>
    <row r="1846" spans="1:10" s="71" customFormat="1" x14ac:dyDescent="0.25">
      <c r="A1846" s="627" t="s">
        <v>24</v>
      </c>
      <c r="B1846" s="450">
        <f t="shared" ref="B1846:J1846" si="798">B1856/B1833</f>
        <v>31871.21212121212</v>
      </c>
      <c r="C1846" s="130">
        <f t="shared" si="798"/>
        <v>29898.198198198203</v>
      </c>
      <c r="D1846" s="130">
        <f t="shared" si="798"/>
        <v>28216.379310344833</v>
      </c>
      <c r="E1846" s="130">
        <f t="shared" si="798"/>
        <v>29570.833333333332</v>
      </c>
      <c r="F1846" s="130">
        <f t="shared" si="798"/>
        <v>30635.185185185186</v>
      </c>
      <c r="G1846" s="130">
        <f t="shared" si="798"/>
        <v>31339.013452914798</v>
      </c>
      <c r="H1846" s="130">
        <f t="shared" si="798"/>
        <v>27269.076305220886</v>
      </c>
      <c r="I1846" s="130">
        <f t="shared" si="798"/>
        <v>29645.413260672114</v>
      </c>
      <c r="J1846" s="685">
        <f t="shared" si="798"/>
        <v>29645.41326067211</v>
      </c>
    </row>
    <row r="1847" spans="1:10" s="71" customFormat="1" x14ac:dyDescent="0.25">
      <c r="A1847" s="622" t="s">
        <v>25</v>
      </c>
      <c r="B1847" s="451">
        <f t="shared" ref="B1847:H1847" si="799">B1852*B1840</f>
        <v>1398431.0358620691</v>
      </c>
      <c r="C1847" s="92">
        <f t="shared" si="799"/>
        <v>2273419.9117241381</v>
      </c>
      <c r="D1847" s="92">
        <f t="shared" si="799"/>
        <v>2137575.9448275864</v>
      </c>
      <c r="E1847" s="92">
        <f t="shared" si="799"/>
        <v>2563569.9944827589</v>
      </c>
      <c r="F1847" s="92">
        <f t="shared" si="799"/>
        <v>4453994.6220689649</v>
      </c>
      <c r="G1847" s="92">
        <f t="shared" si="799"/>
        <v>4807240.3448275859</v>
      </c>
      <c r="H1847" s="92">
        <f t="shared" si="799"/>
        <v>4867963.8255172418</v>
      </c>
      <c r="I1847" s="92">
        <f>'NOGAL '!$B1847+'NOGAL '!$C1847+'NOGAL '!$D1847+'NOGAL '!$E1847+'NOGAL '!$F1847+'NOGAL '!$G1847+'NOGAL '!$H1847</f>
        <v>22502195.679310344</v>
      </c>
      <c r="J1847" s="715">
        <f>'NOGAL '!$I1847/7</f>
        <v>3214599.3827586207</v>
      </c>
    </row>
    <row r="1848" spans="1:10" s="71" customFormat="1" x14ac:dyDescent="0.25">
      <c r="A1848" s="622" t="s">
        <v>26</v>
      </c>
      <c r="B1848" s="451">
        <f t="shared" ref="B1848:H1848" si="800">B1852*B1841</f>
        <v>34529.161379310346</v>
      </c>
      <c r="C1848" s="92">
        <f t="shared" si="800"/>
        <v>81193.568275862082</v>
      </c>
      <c r="D1848" s="92">
        <f t="shared" si="800"/>
        <v>53439.398620689659</v>
      </c>
      <c r="E1848" s="92">
        <f t="shared" si="800"/>
        <v>28804.157241379311</v>
      </c>
      <c r="F1848" s="92">
        <f t="shared" si="800"/>
        <v>162951.02275862067</v>
      </c>
      <c r="G1848" s="92">
        <f t="shared" si="800"/>
        <v>171687.1551724138</v>
      </c>
      <c r="H1848" s="92">
        <f t="shared" si="800"/>
        <v>109392.4455172414</v>
      </c>
      <c r="I1848" s="92">
        <f>'NOGAL '!$B1848+'NOGAL '!$C1848+'NOGAL '!$D1848+'NOGAL '!$E1848+'NOGAL '!$F1848+'NOGAL '!$G1848+'NOGAL '!$H1848</f>
        <v>641996.90896551718</v>
      </c>
      <c r="J1848" s="715">
        <f>'NOGAL '!$I1848/7</f>
        <v>91713.844137931024</v>
      </c>
    </row>
    <row r="1849" spans="1:10" s="71" customFormat="1" x14ac:dyDescent="0.25">
      <c r="A1849" s="622" t="s">
        <v>27</v>
      </c>
      <c r="B1849" s="451">
        <f t="shared" ref="B1849:H1849" si="801">B1852*B1842</f>
        <v>224439.54896551729</v>
      </c>
      <c r="C1849" s="92">
        <f t="shared" si="801"/>
        <v>324774.27310344833</v>
      </c>
      <c r="D1849" s="92">
        <f t="shared" si="801"/>
        <v>374075.79034482763</v>
      </c>
      <c r="E1849" s="92">
        <f t="shared" si="801"/>
        <v>201629.1006896552</v>
      </c>
      <c r="F1849" s="92">
        <f t="shared" si="801"/>
        <v>543170.07586206903</v>
      </c>
      <c r="G1849" s="92">
        <f t="shared" si="801"/>
        <v>400603.36206896557</v>
      </c>
      <c r="H1849" s="92">
        <f t="shared" si="801"/>
        <v>109392.4455172414</v>
      </c>
      <c r="I1849" s="92">
        <f>'NOGAL '!$B1849+'NOGAL '!$C1849+'NOGAL '!$D1849+'NOGAL '!$E1849+'NOGAL '!$F1849+'NOGAL '!$G1849+'NOGAL '!$H1849</f>
        <v>2178084.5965517247</v>
      </c>
      <c r="J1849" s="715">
        <f>'NOGAL '!$I1849/7</f>
        <v>311154.94236453209</v>
      </c>
    </row>
    <row r="1850" spans="1:10" s="71" customFormat="1" x14ac:dyDescent="0.25">
      <c r="A1850" s="622" t="s">
        <v>28</v>
      </c>
      <c r="B1850" s="451">
        <f t="shared" ref="B1850:H1850" si="802">B1852*B1843</f>
        <v>69058.322758620692</v>
      </c>
      <c r="C1850" s="92">
        <f t="shared" si="802"/>
        <v>27064.522758620693</v>
      </c>
      <c r="D1850" s="92">
        <f t="shared" si="802"/>
        <v>106878.79724137932</v>
      </c>
      <c r="E1850" s="92">
        <f t="shared" si="802"/>
        <v>57608.314482758622</v>
      </c>
      <c r="F1850" s="92">
        <f t="shared" si="802"/>
        <v>271585.03793103452</v>
      </c>
      <c r="G1850" s="92">
        <f t="shared" si="802"/>
        <v>343374.31034482759</v>
      </c>
      <c r="H1850" s="92">
        <f t="shared" si="802"/>
        <v>382873.55931034492</v>
      </c>
      <c r="I1850" s="92">
        <f>'NOGAL '!$B1850+'NOGAL '!$C1850+'NOGAL '!$D1850+'NOGAL '!$E1850+'NOGAL '!$F1850+'NOGAL '!$G1850+'NOGAL '!$H1850</f>
        <v>1258442.8648275863</v>
      </c>
      <c r="J1850" s="715">
        <f>'NOGAL '!$I1850/7</f>
        <v>179777.55211822662</v>
      </c>
    </row>
    <row r="1851" spans="1:10" s="71" customFormat="1" x14ac:dyDescent="0.25">
      <c r="A1851" s="622" t="s">
        <v>29</v>
      </c>
      <c r="B1851" s="451">
        <f t="shared" ref="B1851:H1851" si="803">B1852*B1844</f>
        <v>0</v>
      </c>
      <c r="C1851" s="92">
        <f t="shared" si="803"/>
        <v>0</v>
      </c>
      <c r="D1851" s="92">
        <f t="shared" si="803"/>
        <v>0</v>
      </c>
      <c r="E1851" s="92">
        <f t="shared" si="803"/>
        <v>28804.157241379311</v>
      </c>
      <c r="F1851" s="92">
        <f t="shared" si="803"/>
        <v>0</v>
      </c>
      <c r="G1851" s="92">
        <f t="shared" si="803"/>
        <v>0</v>
      </c>
      <c r="H1851" s="92">
        <f t="shared" si="803"/>
        <v>0</v>
      </c>
      <c r="I1851" s="92">
        <f>'NOGAL '!$B1851+'NOGAL '!$C1851+'NOGAL '!$D1851+'NOGAL '!$E1851+'NOGAL '!$F1851+'NOGAL '!$G1851+'NOGAL '!$H1851</f>
        <v>28804.157241379311</v>
      </c>
      <c r="J1851" s="715">
        <f>'NOGAL '!$I1851/7</f>
        <v>4114.8796059113301</v>
      </c>
    </row>
    <row r="1852" spans="1:10" s="71" customFormat="1" x14ac:dyDescent="0.25">
      <c r="A1852" s="630" t="s">
        <v>30</v>
      </c>
      <c r="B1852" s="237">
        <f>(2103500/1.16)-B1853</f>
        <v>1726458.0689655175</v>
      </c>
      <c r="C1852" s="237">
        <f>(3318700/1.16)-C1853</f>
        <v>2706452.2758620693</v>
      </c>
      <c r="D1852" s="237">
        <f>(3273100/1.16)-D1853</f>
        <v>2671969.931034483</v>
      </c>
      <c r="E1852" s="237">
        <f>(3548500/1.16)-E1853</f>
        <v>2880415.7241379311</v>
      </c>
      <c r="F1852" s="237">
        <f>(6617200/1.16)-F1853</f>
        <v>5431700.7586206896</v>
      </c>
      <c r="G1852" s="237">
        <f>(6988600/1.16)-G1853</f>
        <v>5722905.1724137934</v>
      </c>
      <c r="H1852" s="237">
        <f>(6790000/1.16)-H1853</f>
        <v>5469622.2758620698</v>
      </c>
      <c r="I1852" s="91">
        <f>SUM(I1847:I1851)</f>
        <v>26609524.206896547</v>
      </c>
      <c r="J1852" s="716">
        <f>'NOGAL '!$I1852/7</f>
        <v>3801360.6009852211</v>
      </c>
    </row>
    <row r="1853" spans="1:10" s="71" customFormat="1" x14ac:dyDescent="0.25">
      <c r="A1853" s="622" t="s">
        <v>31</v>
      </c>
      <c r="B1853" s="452">
        <f t="shared" ref="B1853:I1853" si="804">2414*B1834</f>
        <v>86904</v>
      </c>
      <c r="C1853" s="94">
        <f t="shared" si="804"/>
        <v>154496</v>
      </c>
      <c r="D1853" s="94">
        <f t="shared" si="804"/>
        <v>149668</v>
      </c>
      <c r="E1853" s="94">
        <f t="shared" si="804"/>
        <v>178636</v>
      </c>
      <c r="F1853" s="94">
        <f t="shared" si="804"/>
        <v>272782</v>
      </c>
      <c r="G1853" s="94">
        <f t="shared" si="804"/>
        <v>301750</v>
      </c>
      <c r="H1853" s="94">
        <f t="shared" si="804"/>
        <v>383826</v>
      </c>
      <c r="I1853" s="94">
        <f t="shared" si="804"/>
        <v>1528062</v>
      </c>
      <c r="J1853" s="717">
        <f>2155*J1834</f>
        <v>194873.57142857142</v>
      </c>
    </row>
    <row r="1854" spans="1:10" s="71" customFormat="1" x14ac:dyDescent="0.25">
      <c r="A1854" s="633" t="s">
        <v>32</v>
      </c>
      <c r="B1854" s="453">
        <f>B1852+B1853</f>
        <v>1813362.0689655175</v>
      </c>
      <c r="C1854" s="39">
        <f>C1852+C1853</f>
        <v>2860948.2758620693</v>
      </c>
      <c r="D1854" s="39">
        <f t="shared" ref="D1854:J1854" si="805">D1852+D1853</f>
        <v>2821637.931034483</v>
      </c>
      <c r="E1854" s="39">
        <f t="shared" si="805"/>
        <v>3059051.7241379311</v>
      </c>
      <c r="F1854" s="39">
        <f t="shared" si="805"/>
        <v>5704482.7586206896</v>
      </c>
      <c r="G1854" s="39">
        <f t="shared" si="805"/>
        <v>6024655.1724137934</v>
      </c>
      <c r="H1854" s="39">
        <f t="shared" si="805"/>
        <v>5853448.2758620698</v>
      </c>
      <c r="I1854" s="39">
        <f t="shared" si="805"/>
        <v>28137586.206896547</v>
      </c>
      <c r="J1854" s="718">
        <f t="shared" si="805"/>
        <v>3996234.1724137925</v>
      </c>
    </row>
    <row r="1855" spans="1:10" s="71" customFormat="1" x14ac:dyDescent="0.25">
      <c r="A1855" s="622" t="s">
        <v>33</v>
      </c>
      <c r="B1855" s="454">
        <f>B1854*16%</f>
        <v>290137.93103448278</v>
      </c>
      <c r="C1855" s="41">
        <f>C1854*16%</f>
        <v>457751.72413793113</v>
      </c>
      <c r="D1855" s="41">
        <f t="shared" ref="D1855:J1855" si="806">D1854*16%</f>
        <v>451462.06896551728</v>
      </c>
      <c r="E1855" s="41">
        <f t="shared" si="806"/>
        <v>489448.27586206899</v>
      </c>
      <c r="F1855" s="41">
        <f t="shared" si="806"/>
        <v>912717.24137931038</v>
      </c>
      <c r="G1855" s="41">
        <f t="shared" si="806"/>
        <v>963944.82758620696</v>
      </c>
      <c r="H1855" s="41">
        <f t="shared" si="806"/>
        <v>936551.72413793113</v>
      </c>
      <c r="I1855" s="41">
        <f t="shared" si="806"/>
        <v>4502013.7931034481</v>
      </c>
      <c r="J1855" s="719">
        <f t="shared" si="806"/>
        <v>639397.46758620685</v>
      </c>
    </row>
    <row r="1856" spans="1:10" s="71" customFormat="1" ht="15.75" thickBot="1" x14ac:dyDescent="0.3">
      <c r="A1856" s="636" t="s">
        <v>34</v>
      </c>
      <c r="B1856" s="637">
        <f t="shared" ref="B1856:H1856" si="807">B1854+B1855</f>
        <v>2103500</v>
      </c>
      <c r="C1856" s="686">
        <f t="shared" si="807"/>
        <v>3318700.0000000005</v>
      </c>
      <c r="D1856" s="686">
        <f t="shared" si="807"/>
        <v>3273100.0000000005</v>
      </c>
      <c r="E1856" s="686">
        <f t="shared" si="807"/>
        <v>3548500</v>
      </c>
      <c r="F1856" s="686">
        <f t="shared" si="807"/>
        <v>6617200</v>
      </c>
      <c r="G1856" s="686">
        <f t="shared" si="807"/>
        <v>6988600</v>
      </c>
      <c r="H1856" s="686">
        <f t="shared" si="807"/>
        <v>6790000.0000000009</v>
      </c>
      <c r="I1856" s="686">
        <f>+I1854+I1855</f>
        <v>32639599.999999996</v>
      </c>
      <c r="J1856" s="720">
        <f>'NOGAL '!$I1856/7</f>
        <v>4662799.9999999991</v>
      </c>
    </row>
    <row r="1857" spans="1:10" s="71" customFormat="1" ht="15.75" thickBot="1" x14ac:dyDescent="0.3">
      <c r="A1857" s="69"/>
      <c r="B1857" s="424"/>
      <c r="C1857" s="424"/>
      <c r="D1857" s="424"/>
      <c r="E1857" s="424"/>
      <c r="F1857" s="424"/>
      <c r="G1857" s="424"/>
      <c r="H1857" s="424"/>
      <c r="I1857" s="424"/>
      <c r="J1857" s="424"/>
    </row>
    <row r="1858" spans="1:10" s="71" customFormat="1" ht="27" thickBot="1" x14ac:dyDescent="0.3">
      <c r="A1858" s="85"/>
      <c r="B1858" s="1002" t="s">
        <v>643</v>
      </c>
      <c r="C1858" s="1002"/>
      <c r="D1858" s="1002"/>
      <c r="E1858" s="1002"/>
      <c r="F1858" s="1002"/>
      <c r="G1858" s="1002"/>
      <c r="H1858" s="1002"/>
      <c r="I1858" s="1002"/>
      <c r="J1858" s="85"/>
    </row>
    <row r="1859" spans="1:10" s="71" customFormat="1" ht="15.75" x14ac:dyDescent="0.25">
      <c r="A1859" s="614" t="s">
        <v>2</v>
      </c>
      <c r="B1859" s="706" t="s">
        <v>53</v>
      </c>
      <c r="C1859" s="641" t="s">
        <v>54</v>
      </c>
      <c r="D1859" s="641" t="s">
        <v>292</v>
      </c>
      <c r="E1859" s="641" t="s">
        <v>293</v>
      </c>
      <c r="F1859" s="641" t="s">
        <v>294</v>
      </c>
      <c r="G1859" s="641" t="s">
        <v>295</v>
      </c>
      <c r="H1859" s="641" t="s">
        <v>296</v>
      </c>
      <c r="I1859" s="618" t="s">
        <v>10</v>
      </c>
      <c r="J1859" s="711" t="s">
        <v>77</v>
      </c>
    </row>
    <row r="1860" spans="1:10" s="71" customFormat="1" x14ac:dyDescent="0.25">
      <c r="A1860" s="620" t="s">
        <v>11</v>
      </c>
      <c r="B1860" s="433">
        <f>49+26+11</f>
        <v>86</v>
      </c>
      <c r="C1860" s="75">
        <f>68+30+4</f>
        <v>102</v>
      </c>
      <c r="D1860" s="75">
        <f>56+22+7</f>
        <v>85</v>
      </c>
      <c r="E1860" s="316">
        <f>52+32+11</f>
        <v>95</v>
      </c>
      <c r="F1860" s="316">
        <f>128+44+24</f>
        <v>196</v>
      </c>
      <c r="G1860" s="316">
        <f>113+45+14</f>
        <v>172</v>
      </c>
      <c r="H1860" s="316">
        <f>147+59+30</f>
        <v>236</v>
      </c>
      <c r="I1860" s="316">
        <f>SUM(B1860:H1860)</f>
        <v>972</v>
      </c>
      <c r="J1860" s="712">
        <f>'NOGAL '!$I1860/7</f>
        <v>138.85714285714286</v>
      </c>
    </row>
    <row r="1861" spans="1:10" s="71" customFormat="1" x14ac:dyDescent="0.25">
      <c r="A1861" s="622" t="s">
        <v>12</v>
      </c>
      <c r="B1861" s="448">
        <v>39</v>
      </c>
      <c r="C1861" s="86">
        <v>45</v>
      </c>
      <c r="D1861" s="11">
        <v>41</v>
      </c>
      <c r="E1861" s="86">
        <v>56</v>
      </c>
      <c r="F1861" s="86">
        <v>99</v>
      </c>
      <c r="G1861" s="86">
        <v>97</v>
      </c>
      <c r="H1861" s="11">
        <v>154</v>
      </c>
      <c r="I1861" s="11">
        <f>B1861+C1861+D1861+E1861+F1861+G1861+H1861</f>
        <v>531</v>
      </c>
      <c r="J1861" s="684">
        <f>'NOGAL '!$I1861/7</f>
        <v>75.857142857142861</v>
      </c>
    </row>
    <row r="1862" spans="1:10" s="71" customFormat="1" x14ac:dyDescent="0.25">
      <c r="A1862" s="622" t="s">
        <v>13</v>
      </c>
      <c r="B1862" s="448">
        <v>3</v>
      </c>
      <c r="C1862" s="11">
        <v>2</v>
      </c>
      <c r="D1862" s="11">
        <v>0</v>
      </c>
      <c r="E1862" s="86">
        <v>0</v>
      </c>
      <c r="F1862" s="11">
        <v>4</v>
      </c>
      <c r="G1862" s="11">
        <v>3</v>
      </c>
      <c r="H1862" s="11">
        <v>1</v>
      </c>
      <c r="I1862" s="11">
        <f>B1862+C1862+D1862+E1862+F1862+G1862+H1862</f>
        <v>13</v>
      </c>
      <c r="J1862" s="684">
        <f>C1862+D1862+E1862+F1862+G1862+H1862+I1862</f>
        <v>23</v>
      </c>
    </row>
    <row r="1863" spans="1:10" s="71" customFormat="1" x14ac:dyDescent="0.25">
      <c r="A1863" s="622" t="s">
        <v>14</v>
      </c>
      <c r="B1863" s="448">
        <v>24</v>
      </c>
      <c r="C1863" s="11">
        <v>28</v>
      </c>
      <c r="D1863" s="11">
        <v>17</v>
      </c>
      <c r="E1863" s="11">
        <v>21</v>
      </c>
      <c r="F1863" s="11">
        <v>29</v>
      </c>
      <c r="G1863" s="11">
        <v>21</v>
      </c>
      <c r="H1863" s="11">
        <v>9</v>
      </c>
      <c r="I1863" s="11">
        <f>B1863+C1863+D1863+E1863+F1863+G1863+H1863</f>
        <v>149</v>
      </c>
      <c r="J1863" s="684">
        <f>'NOGAL '!$I1863/7</f>
        <v>21.285714285714285</v>
      </c>
    </row>
    <row r="1864" spans="1:10" s="71" customFormat="1" x14ac:dyDescent="0.25">
      <c r="A1864" s="622" t="s">
        <v>15</v>
      </c>
      <c r="B1864" s="448">
        <v>5</v>
      </c>
      <c r="C1864" s="11">
        <v>8</v>
      </c>
      <c r="D1864" s="11">
        <v>8</v>
      </c>
      <c r="E1864" s="11">
        <v>4</v>
      </c>
      <c r="F1864" s="11">
        <v>16</v>
      </c>
      <c r="G1864" s="11">
        <v>15</v>
      </c>
      <c r="H1864" s="11">
        <v>8</v>
      </c>
      <c r="I1864" s="11">
        <f>B1864+C1864+D1864+E1864+F1864+G1864+H1864</f>
        <v>64</v>
      </c>
      <c r="J1864" s="684">
        <f>'NOGAL '!$I1864/7</f>
        <v>9.1428571428571423</v>
      </c>
    </row>
    <row r="1865" spans="1:10" s="71" customFormat="1" x14ac:dyDescent="0.25">
      <c r="A1865" s="622" t="s">
        <v>16</v>
      </c>
      <c r="B1865" s="448">
        <v>1</v>
      </c>
      <c r="C1865" s="11">
        <v>0</v>
      </c>
      <c r="D1865" s="11">
        <v>0</v>
      </c>
      <c r="E1865" s="11">
        <v>0</v>
      </c>
      <c r="F1865" s="11">
        <v>0</v>
      </c>
      <c r="G1865" s="11">
        <v>0</v>
      </c>
      <c r="H1865" s="11">
        <v>2</v>
      </c>
      <c r="I1865" s="11">
        <f>B1865+C1865+D1865+E1865+F1865+G1865+H1865</f>
        <v>3</v>
      </c>
      <c r="J1865" s="684">
        <f>'NOGAL '!$I1865/7</f>
        <v>0.42857142857142855</v>
      </c>
    </row>
    <row r="1866" spans="1:10" s="71" customFormat="1" x14ac:dyDescent="0.25">
      <c r="A1866" s="624" t="s">
        <v>17</v>
      </c>
      <c r="B1866" s="102">
        <f t="shared" ref="B1866:I1866" si="808">SUM(B1861:B1865)</f>
        <v>72</v>
      </c>
      <c r="C1866" s="103">
        <f t="shared" si="808"/>
        <v>83</v>
      </c>
      <c r="D1866" s="103">
        <f t="shared" si="808"/>
        <v>66</v>
      </c>
      <c r="E1866" s="103">
        <f t="shared" si="808"/>
        <v>81</v>
      </c>
      <c r="F1866" s="103">
        <f t="shared" si="808"/>
        <v>148</v>
      </c>
      <c r="G1866" s="103">
        <f t="shared" si="808"/>
        <v>136</v>
      </c>
      <c r="H1866" s="103">
        <f t="shared" si="808"/>
        <v>174</v>
      </c>
      <c r="I1866" s="103">
        <f t="shared" si="808"/>
        <v>760</v>
      </c>
      <c r="J1866" s="713">
        <f>'NOGAL '!$I1866/7</f>
        <v>108.57142857142857</v>
      </c>
    </row>
    <row r="1867" spans="1:10" s="71" customFormat="1" x14ac:dyDescent="0.25">
      <c r="A1867" s="622" t="s">
        <v>18</v>
      </c>
      <c r="B1867" s="449">
        <v>0.59</v>
      </c>
      <c r="C1867" s="236">
        <v>0.68</v>
      </c>
      <c r="D1867" s="236">
        <v>0.71</v>
      </c>
      <c r="E1867" s="236">
        <v>0.76</v>
      </c>
      <c r="F1867" s="236">
        <v>0.75</v>
      </c>
      <c r="G1867" s="236">
        <v>0.82</v>
      </c>
      <c r="H1867" s="236">
        <v>0.93</v>
      </c>
      <c r="I1867" s="18">
        <f>I1874/I1879</f>
        <v>0.78253821018725234</v>
      </c>
      <c r="J1867" s="714">
        <f>J1874/J1879</f>
        <v>0.78253821018725245</v>
      </c>
    </row>
    <row r="1868" spans="1:10" s="71" customFormat="1" x14ac:dyDescent="0.25">
      <c r="A1868" s="622" t="s">
        <v>19</v>
      </c>
      <c r="B1868" s="449">
        <v>0.04</v>
      </c>
      <c r="C1868" s="236">
        <v>0.02</v>
      </c>
      <c r="D1868" s="236">
        <v>0</v>
      </c>
      <c r="E1868" s="236">
        <v>0</v>
      </c>
      <c r="F1868" s="236">
        <v>0.02</v>
      </c>
      <c r="G1868" s="236">
        <v>0.02</v>
      </c>
      <c r="H1868" s="236">
        <v>0</v>
      </c>
      <c r="I1868" s="18">
        <f>I1875/I1879</f>
        <v>1.3135311247463996E-2</v>
      </c>
      <c r="J1868" s="714">
        <f>J1875/J1879</f>
        <v>1.3135311247463996E-2</v>
      </c>
    </row>
    <row r="1869" spans="1:10" s="71" customFormat="1" x14ac:dyDescent="0.25">
      <c r="A1869" s="622" t="s">
        <v>20</v>
      </c>
      <c r="B1869" s="449">
        <v>0.28000000000000003</v>
      </c>
      <c r="C1869" s="236">
        <v>0.23</v>
      </c>
      <c r="D1869" s="236">
        <v>0.18</v>
      </c>
      <c r="E1869" s="236">
        <v>0.2</v>
      </c>
      <c r="F1869" s="236">
        <v>0.15</v>
      </c>
      <c r="G1869" s="236">
        <v>0.08</v>
      </c>
      <c r="H1869" s="236">
        <v>0.03</v>
      </c>
      <c r="I1869" s="18">
        <f>I1876/I1879</f>
        <v>0.13589474960038431</v>
      </c>
      <c r="J1869" s="714">
        <f>J1876/J1879</f>
        <v>0.13589474960038431</v>
      </c>
    </row>
    <row r="1870" spans="1:10" s="71" customFormat="1" x14ac:dyDescent="0.25">
      <c r="A1870" s="622" t="s">
        <v>21</v>
      </c>
      <c r="B1870" s="449">
        <v>7.0000000000000007E-2</v>
      </c>
      <c r="C1870" s="236">
        <v>7.0000000000000007E-2</v>
      </c>
      <c r="D1870" s="236">
        <v>0.11</v>
      </c>
      <c r="E1870" s="236">
        <v>0.04</v>
      </c>
      <c r="F1870" s="236">
        <v>0.08</v>
      </c>
      <c r="G1870" s="236">
        <v>0.08</v>
      </c>
      <c r="H1870" s="236">
        <v>0.03</v>
      </c>
      <c r="I1870" s="18">
        <f>I1877/I1879</f>
        <v>6.4342348436662686E-2</v>
      </c>
      <c r="J1870" s="714">
        <f>J1877/J1879</f>
        <v>6.4342348436662686E-2</v>
      </c>
    </row>
    <row r="1871" spans="1:10" s="71" customFormat="1" x14ac:dyDescent="0.25">
      <c r="A1871" s="622" t="s">
        <v>22</v>
      </c>
      <c r="B1871" s="449">
        <v>0.02</v>
      </c>
      <c r="C1871" s="236">
        <v>0</v>
      </c>
      <c r="D1871" s="236">
        <v>0</v>
      </c>
      <c r="E1871" s="236">
        <v>0</v>
      </c>
      <c r="F1871" s="236">
        <v>0</v>
      </c>
      <c r="G1871" s="236">
        <v>0</v>
      </c>
      <c r="H1871" s="236">
        <v>0.01</v>
      </c>
      <c r="I1871" s="18">
        <f>I1878/I1879</f>
        <v>4.089380528236603E-3</v>
      </c>
      <c r="J1871" s="714">
        <f>J1878/J1879</f>
        <v>4.089380528236603E-3</v>
      </c>
    </row>
    <row r="1872" spans="1:10" s="71" customFormat="1" x14ac:dyDescent="0.25">
      <c r="A1872" s="627" t="s">
        <v>23</v>
      </c>
      <c r="B1872" s="450">
        <f t="shared" ref="B1872:J1872" si="809">B1883/B1866</f>
        <v>32952.777777777781</v>
      </c>
      <c r="C1872" s="130">
        <f t="shared" si="809"/>
        <v>38821.686746987951</v>
      </c>
      <c r="D1872" s="130">
        <f t="shared" si="809"/>
        <v>35807.57575757576</v>
      </c>
      <c r="E1872" s="130">
        <f t="shared" si="809"/>
        <v>36037.037037037044</v>
      </c>
      <c r="F1872" s="130">
        <f t="shared" si="809"/>
        <v>37380.405405405407</v>
      </c>
      <c r="G1872" s="130">
        <f t="shared" si="809"/>
        <v>38097.058823529413</v>
      </c>
      <c r="H1872" s="130">
        <f t="shared" si="809"/>
        <v>40114.942528735635</v>
      </c>
      <c r="I1872" s="130">
        <f t="shared" si="809"/>
        <v>37592.894736842107</v>
      </c>
      <c r="J1872" s="685">
        <f t="shared" si="809"/>
        <v>37592.894736842107</v>
      </c>
    </row>
    <row r="1873" spans="1:10" s="71" customFormat="1" x14ac:dyDescent="0.25">
      <c r="A1873" s="627" t="s">
        <v>24</v>
      </c>
      <c r="B1873" s="450">
        <f t="shared" ref="B1873:J1873" si="810">B1883/B1860</f>
        <v>27588.372093023256</v>
      </c>
      <c r="C1873" s="130">
        <f t="shared" si="810"/>
        <v>31590.196078431374</v>
      </c>
      <c r="D1873" s="130">
        <f t="shared" si="810"/>
        <v>27803.529411764706</v>
      </c>
      <c r="E1873" s="130">
        <f t="shared" si="810"/>
        <v>30726.315789473691</v>
      </c>
      <c r="F1873" s="130">
        <f t="shared" si="810"/>
        <v>28226.020408163266</v>
      </c>
      <c r="G1873" s="130">
        <f t="shared" si="810"/>
        <v>30123.255813953489</v>
      </c>
      <c r="H1873" s="130">
        <f t="shared" si="810"/>
        <v>29576.271186440681</v>
      </c>
      <c r="I1873" s="130">
        <f t="shared" si="810"/>
        <v>29393.621399176955</v>
      </c>
      <c r="J1873" s="685">
        <f t="shared" si="810"/>
        <v>29393.621399176955</v>
      </c>
    </row>
    <row r="1874" spans="1:10" s="71" customFormat="1" x14ac:dyDescent="0.25">
      <c r="A1874" s="622" t="s">
        <v>25</v>
      </c>
      <c r="B1874" s="451">
        <f t="shared" ref="B1874:H1874" si="811">B1879*B1867</f>
        <v>1151207.3082758621</v>
      </c>
      <c r="C1874" s="92">
        <f t="shared" si="811"/>
        <v>1815007.4620689657</v>
      </c>
      <c r="D1874" s="92">
        <f t="shared" si="811"/>
        <v>1376231.0462068967</v>
      </c>
      <c r="E1874" s="92">
        <f t="shared" si="811"/>
        <v>1809708.4358620693</v>
      </c>
      <c r="F1874" s="92">
        <f t="shared" si="811"/>
        <v>3397678.6034482764</v>
      </c>
      <c r="G1874" s="92">
        <f t="shared" si="811"/>
        <v>3470562.8537931032</v>
      </c>
      <c r="H1874" s="92">
        <f t="shared" si="811"/>
        <v>5250301.4027586216</v>
      </c>
      <c r="I1874" s="92">
        <f>'NOGAL '!$B1874+'NOGAL '!$C1874+'NOGAL '!$D1874+'NOGAL '!$E1874+'NOGAL '!$F1874+'NOGAL '!$G1874+'NOGAL '!$H1874</f>
        <v>18270697.112413794</v>
      </c>
      <c r="J1874" s="715">
        <f>'NOGAL '!$I1874/7</f>
        <v>2610099.587487685</v>
      </c>
    </row>
    <row r="1875" spans="1:10" s="71" customFormat="1" x14ac:dyDescent="0.25">
      <c r="A1875" s="622" t="s">
        <v>26</v>
      </c>
      <c r="B1875" s="451">
        <f t="shared" ref="B1875:H1875" si="812">B1879*B1868</f>
        <v>78047.953103448279</v>
      </c>
      <c r="C1875" s="92">
        <f t="shared" si="812"/>
        <v>53382.572413793103</v>
      </c>
      <c r="D1875" s="92">
        <f t="shared" si="812"/>
        <v>0</v>
      </c>
      <c r="E1875" s="92">
        <f t="shared" si="812"/>
        <v>0</v>
      </c>
      <c r="F1875" s="92">
        <f t="shared" si="812"/>
        <v>90604.762758620695</v>
      </c>
      <c r="G1875" s="92">
        <f t="shared" si="812"/>
        <v>84647.87448275862</v>
      </c>
      <c r="H1875" s="92">
        <f t="shared" si="812"/>
        <v>0</v>
      </c>
      <c r="I1875" s="92">
        <f>'NOGAL '!$B1875+'NOGAL '!$C1875+'NOGAL '!$D1875+'NOGAL '!$E1875+'NOGAL '!$F1875+'NOGAL '!$G1875+'NOGAL '!$H1875</f>
        <v>306683.16275862069</v>
      </c>
      <c r="J1875" s="715">
        <f>'NOGAL '!$I1875/7</f>
        <v>43811.880394088672</v>
      </c>
    </row>
    <row r="1876" spans="1:10" s="71" customFormat="1" x14ac:dyDescent="0.25">
      <c r="A1876" s="622" t="s">
        <v>27</v>
      </c>
      <c r="B1876" s="451">
        <f t="shared" ref="B1876:H1876" si="813">B1879*B1869</f>
        <v>546335.67172413808</v>
      </c>
      <c r="C1876" s="92">
        <f t="shared" si="813"/>
        <v>613899.58275862073</v>
      </c>
      <c r="D1876" s="92">
        <f t="shared" si="813"/>
        <v>348903.64551724138</v>
      </c>
      <c r="E1876" s="92">
        <f t="shared" si="813"/>
        <v>476239.06206896558</v>
      </c>
      <c r="F1876" s="92">
        <f t="shared" si="813"/>
        <v>679535.72068965517</v>
      </c>
      <c r="G1876" s="92">
        <f t="shared" si="813"/>
        <v>338591.49793103448</v>
      </c>
      <c r="H1876" s="92">
        <f t="shared" si="813"/>
        <v>169364.56137931035</v>
      </c>
      <c r="I1876" s="92">
        <f>'NOGAL '!$B1876+'NOGAL '!$C1876+'NOGAL '!$D1876+'NOGAL '!$E1876+'NOGAL '!$F1876+'NOGAL '!$G1876+'NOGAL '!$H1876</f>
        <v>3172869.7420689655</v>
      </c>
      <c r="J1876" s="715">
        <f>'NOGAL '!$I1876/7</f>
        <v>453267.1060098522</v>
      </c>
    </row>
    <row r="1877" spans="1:10" s="71" customFormat="1" x14ac:dyDescent="0.25">
      <c r="A1877" s="622" t="s">
        <v>28</v>
      </c>
      <c r="B1877" s="451">
        <f t="shared" ref="B1877:H1877" si="814">B1879*B1870</f>
        <v>136583.91793103452</v>
      </c>
      <c r="C1877" s="92">
        <f t="shared" si="814"/>
        <v>186839.00344827588</v>
      </c>
      <c r="D1877" s="92">
        <f t="shared" si="814"/>
        <v>213218.89448275862</v>
      </c>
      <c r="E1877" s="92">
        <f t="shared" si="814"/>
        <v>95247.812413793115</v>
      </c>
      <c r="F1877" s="92">
        <f t="shared" si="814"/>
        <v>362419.05103448278</v>
      </c>
      <c r="G1877" s="92">
        <f t="shared" si="814"/>
        <v>338591.49793103448</v>
      </c>
      <c r="H1877" s="92">
        <f t="shared" si="814"/>
        <v>169364.56137931035</v>
      </c>
      <c r="I1877" s="92">
        <f>'NOGAL '!$B1877+'NOGAL '!$C1877+'NOGAL '!$D1877+'NOGAL '!$E1877+'NOGAL '!$F1877+'NOGAL '!$G1877+'NOGAL '!$H1877</f>
        <v>1502264.7386206898</v>
      </c>
      <c r="J1877" s="715">
        <f>'NOGAL '!$I1877/7</f>
        <v>214609.24837438427</v>
      </c>
    </row>
    <row r="1878" spans="1:10" s="71" customFormat="1" x14ac:dyDescent="0.25">
      <c r="A1878" s="622" t="s">
        <v>29</v>
      </c>
      <c r="B1878" s="451">
        <f t="shared" ref="B1878:H1878" si="815">B1879*B1871</f>
        <v>39023.976551724139</v>
      </c>
      <c r="C1878" s="92">
        <f t="shared" si="815"/>
        <v>0</v>
      </c>
      <c r="D1878" s="92">
        <f t="shared" si="815"/>
        <v>0</v>
      </c>
      <c r="E1878" s="92">
        <f t="shared" si="815"/>
        <v>0</v>
      </c>
      <c r="F1878" s="92">
        <f t="shared" si="815"/>
        <v>0</v>
      </c>
      <c r="G1878" s="92">
        <f t="shared" si="815"/>
        <v>0</v>
      </c>
      <c r="H1878" s="92">
        <f t="shared" si="815"/>
        <v>56454.853793103452</v>
      </c>
      <c r="I1878" s="92">
        <f>'NOGAL '!$B1878+'NOGAL '!$C1878+'NOGAL '!$D1878+'NOGAL '!$E1878+'NOGAL '!$F1878+'NOGAL '!$G1878+'NOGAL '!$H1878</f>
        <v>95478.830344827584</v>
      </c>
      <c r="J1878" s="715">
        <f>'NOGAL '!$I1878/7</f>
        <v>13639.832906403941</v>
      </c>
    </row>
    <row r="1879" spans="1:10" s="71" customFormat="1" x14ac:dyDescent="0.25">
      <c r="A1879" s="630" t="s">
        <v>30</v>
      </c>
      <c r="B1879" s="237">
        <f>(2372600/1.16)-B1880</f>
        <v>1951198.8275862071</v>
      </c>
      <c r="C1879" s="237">
        <f>(3222200/1.16)-C1880</f>
        <v>2669128.6206896552</v>
      </c>
      <c r="D1879" s="237">
        <f>(2363300/1.16)-D1880</f>
        <v>1938353.5862068967</v>
      </c>
      <c r="E1879" s="237">
        <f>(2919000/1.16)-E1880</f>
        <v>2381195.3103448278</v>
      </c>
      <c r="F1879" s="237">
        <f>(5532300/1.16)-F1880</f>
        <v>4530238.1379310349</v>
      </c>
      <c r="G1879" s="237">
        <f>(5181200/1.16)-G1880</f>
        <v>4232393.7241379311</v>
      </c>
      <c r="H1879" s="237">
        <f>(6980000/1.16)-H1880</f>
        <v>5645485.3793103453</v>
      </c>
      <c r="I1879" s="91">
        <f>SUM(I1874:I1878)</f>
        <v>23347993.586206898</v>
      </c>
      <c r="J1879" s="716">
        <f>'NOGAL '!$I1879/7</f>
        <v>3335427.6551724141</v>
      </c>
    </row>
    <row r="1880" spans="1:10" s="71" customFormat="1" x14ac:dyDescent="0.25">
      <c r="A1880" s="622" t="s">
        <v>31</v>
      </c>
      <c r="B1880" s="452">
        <f t="shared" ref="B1880:I1880" si="816">2414*B1861</f>
        <v>94146</v>
      </c>
      <c r="C1880" s="94">
        <f t="shared" si="816"/>
        <v>108630</v>
      </c>
      <c r="D1880" s="94">
        <f t="shared" si="816"/>
        <v>98974</v>
      </c>
      <c r="E1880" s="94">
        <f t="shared" si="816"/>
        <v>135184</v>
      </c>
      <c r="F1880" s="94">
        <f t="shared" si="816"/>
        <v>238986</v>
      </c>
      <c r="G1880" s="94">
        <f t="shared" si="816"/>
        <v>234158</v>
      </c>
      <c r="H1880" s="94">
        <f t="shared" si="816"/>
        <v>371756</v>
      </c>
      <c r="I1880" s="94">
        <f t="shared" si="816"/>
        <v>1281834</v>
      </c>
      <c r="J1880" s="717">
        <f>2155*J1861</f>
        <v>163472.14285714287</v>
      </c>
    </row>
    <row r="1881" spans="1:10" s="71" customFormat="1" x14ac:dyDescent="0.25">
      <c r="A1881" s="633" t="s">
        <v>32</v>
      </c>
      <c r="B1881" s="453">
        <f>B1879+B1880</f>
        <v>2045344.8275862071</v>
      </c>
      <c r="C1881" s="39">
        <f>C1879+C1880</f>
        <v>2777758.6206896552</v>
      </c>
      <c r="D1881" s="39">
        <f t="shared" ref="D1881:J1881" si="817">D1879+D1880</f>
        <v>2037327.5862068967</v>
      </c>
      <c r="E1881" s="39">
        <f t="shared" si="817"/>
        <v>2516379.3103448278</v>
      </c>
      <c r="F1881" s="39">
        <f t="shared" si="817"/>
        <v>4769224.1379310349</v>
      </c>
      <c r="G1881" s="39">
        <f t="shared" si="817"/>
        <v>4466551.7241379311</v>
      </c>
      <c r="H1881" s="39">
        <f t="shared" si="817"/>
        <v>6017241.3793103453</v>
      </c>
      <c r="I1881" s="39">
        <f t="shared" si="817"/>
        <v>24629827.586206898</v>
      </c>
      <c r="J1881" s="718">
        <f t="shared" si="817"/>
        <v>3498899.7980295569</v>
      </c>
    </row>
    <row r="1882" spans="1:10" s="71" customFormat="1" x14ac:dyDescent="0.25">
      <c r="A1882" s="622" t="s">
        <v>33</v>
      </c>
      <c r="B1882" s="454">
        <f>B1881*16%</f>
        <v>327255.17241379316</v>
      </c>
      <c r="C1882" s="41">
        <f>C1881*16%</f>
        <v>444441.37931034481</v>
      </c>
      <c r="D1882" s="41">
        <f t="shared" ref="D1882:J1882" si="818">D1881*16%</f>
        <v>325972.41379310348</v>
      </c>
      <c r="E1882" s="41">
        <f t="shared" si="818"/>
        <v>402620.68965517246</v>
      </c>
      <c r="F1882" s="41">
        <f t="shared" si="818"/>
        <v>763075.86206896557</v>
      </c>
      <c r="G1882" s="41">
        <f t="shared" si="818"/>
        <v>714648.27586206899</v>
      </c>
      <c r="H1882" s="41">
        <f t="shared" si="818"/>
        <v>962758.6206896553</v>
      </c>
      <c r="I1882" s="41">
        <f t="shared" si="818"/>
        <v>3940772.4137931038</v>
      </c>
      <c r="J1882" s="719">
        <f t="shared" si="818"/>
        <v>559823.96768472914</v>
      </c>
    </row>
    <row r="1883" spans="1:10" s="71" customFormat="1" ht="15.75" thickBot="1" x14ac:dyDescent="0.3">
      <c r="A1883" s="636" t="s">
        <v>34</v>
      </c>
      <c r="B1883" s="637">
        <f t="shared" ref="B1883:H1883" si="819">B1881+B1882</f>
        <v>2372600</v>
      </c>
      <c r="C1883" s="686">
        <f t="shared" si="819"/>
        <v>3222200</v>
      </c>
      <c r="D1883" s="686">
        <f t="shared" si="819"/>
        <v>2363300</v>
      </c>
      <c r="E1883" s="686">
        <f t="shared" si="819"/>
        <v>2919000.0000000005</v>
      </c>
      <c r="F1883" s="686">
        <f t="shared" si="819"/>
        <v>5532300</v>
      </c>
      <c r="G1883" s="686">
        <f t="shared" si="819"/>
        <v>5181200</v>
      </c>
      <c r="H1883" s="686">
        <f t="shared" si="819"/>
        <v>6980000.0000000009</v>
      </c>
      <c r="I1883" s="686">
        <f>+I1881+I1882</f>
        <v>28570600</v>
      </c>
      <c r="J1883" s="720">
        <f>'NOGAL '!$I1883/7</f>
        <v>4081514.2857142859</v>
      </c>
    </row>
    <row r="1884" spans="1:10" s="71" customFormat="1" ht="15.75" thickBot="1" x14ac:dyDescent="0.3">
      <c r="A1884" s="69"/>
      <c r="B1884" s="424"/>
      <c r="C1884" s="424"/>
      <c r="D1884" s="424"/>
      <c r="E1884" s="424"/>
      <c r="F1884" s="424"/>
      <c r="G1884" s="424"/>
      <c r="H1884" s="424"/>
      <c r="I1884" s="424"/>
      <c r="J1884" s="424"/>
    </row>
    <row r="1885" spans="1:10" s="71" customFormat="1" ht="27" thickBot="1" x14ac:dyDescent="0.3">
      <c r="A1885" s="85"/>
      <c r="B1885" s="1002" t="s">
        <v>646</v>
      </c>
      <c r="C1885" s="1002"/>
      <c r="D1885" s="1002"/>
      <c r="E1885" s="1002"/>
      <c r="F1885" s="1002"/>
      <c r="G1885" s="1002"/>
      <c r="H1885" s="1002"/>
      <c r="I1885" s="1002"/>
      <c r="J1885" s="85"/>
    </row>
    <row r="1886" spans="1:10" s="71" customFormat="1" ht="15.75" x14ac:dyDescent="0.25">
      <c r="A1886" s="614" t="s">
        <v>2</v>
      </c>
      <c r="B1886" s="706" t="s">
        <v>298</v>
      </c>
      <c r="C1886" s="641" t="s">
        <v>299</v>
      </c>
      <c r="D1886" s="641" t="s">
        <v>300</v>
      </c>
      <c r="E1886" s="641" t="s">
        <v>301</v>
      </c>
      <c r="F1886" s="641" t="s">
        <v>65</v>
      </c>
      <c r="G1886" s="641" t="s">
        <v>66</v>
      </c>
      <c r="H1886" s="641" t="s">
        <v>67</v>
      </c>
      <c r="I1886" s="618" t="s">
        <v>10</v>
      </c>
      <c r="J1886" s="711" t="s">
        <v>77</v>
      </c>
    </row>
    <row r="1887" spans="1:10" s="71" customFormat="1" x14ac:dyDescent="0.25">
      <c r="A1887" s="620" t="s">
        <v>11</v>
      </c>
      <c r="B1887" s="433">
        <f>37+21+7</f>
        <v>65</v>
      </c>
      <c r="C1887" s="75">
        <f>48+25+8</f>
        <v>81</v>
      </c>
      <c r="D1887" s="75">
        <f>54+22+6</f>
        <v>82</v>
      </c>
      <c r="E1887" s="316">
        <f>43+21+3</f>
        <v>67</v>
      </c>
      <c r="F1887" s="316">
        <f>134+56+33</f>
        <v>223</v>
      </c>
      <c r="G1887" s="316">
        <f>110+63+18</f>
        <v>191</v>
      </c>
      <c r="H1887" s="316">
        <f>132+66+28</f>
        <v>226</v>
      </c>
      <c r="I1887" s="316">
        <f>SUM(B1887:H1887)</f>
        <v>935</v>
      </c>
      <c r="J1887" s="712">
        <f>'NOGAL '!$I1887/7</f>
        <v>133.57142857142858</v>
      </c>
    </row>
    <row r="1888" spans="1:10" s="71" customFormat="1" x14ac:dyDescent="0.25">
      <c r="A1888" s="622" t="s">
        <v>12</v>
      </c>
      <c r="B1888" s="448">
        <v>29</v>
      </c>
      <c r="C1888" s="86">
        <v>39</v>
      </c>
      <c r="D1888" s="11">
        <v>46</v>
      </c>
      <c r="E1888" s="86">
        <v>42</v>
      </c>
      <c r="F1888" s="86">
        <v>113</v>
      </c>
      <c r="G1888" s="86">
        <v>112</v>
      </c>
      <c r="H1888" s="11">
        <v>155</v>
      </c>
      <c r="I1888" s="11">
        <f>B1888+C1888+D1888+E1888+F1888+G1888+H1888</f>
        <v>536</v>
      </c>
      <c r="J1888" s="684">
        <f>'NOGAL '!$I1888/7</f>
        <v>76.571428571428569</v>
      </c>
    </row>
    <row r="1889" spans="1:10" s="71" customFormat="1" x14ac:dyDescent="0.25">
      <c r="A1889" s="622" t="s">
        <v>13</v>
      </c>
      <c r="B1889" s="448">
        <v>2</v>
      </c>
      <c r="C1889" s="11">
        <v>0</v>
      </c>
      <c r="D1889" s="11">
        <v>1</v>
      </c>
      <c r="E1889" s="86">
        <v>0</v>
      </c>
      <c r="F1889" s="11">
        <v>0</v>
      </c>
      <c r="G1889" s="11">
        <v>1</v>
      </c>
      <c r="H1889" s="11">
        <v>4</v>
      </c>
      <c r="I1889" s="11">
        <f>B1889+C1889+D1889+E1889+F1889+G1889+H1889</f>
        <v>8</v>
      </c>
      <c r="J1889" s="684">
        <f>C1889+D1889+E1889+F1889+G1889+H1889+I1889</f>
        <v>14</v>
      </c>
    </row>
    <row r="1890" spans="1:10" s="71" customFormat="1" x14ac:dyDescent="0.25">
      <c r="A1890" s="622" t="s">
        <v>14</v>
      </c>
      <c r="B1890" s="448">
        <v>11</v>
      </c>
      <c r="C1890" s="11">
        <v>20</v>
      </c>
      <c r="D1890" s="11">
        <v>20</v>
      </c>
      <c r="E1890" s="11">
        <v>10</v>
      </c>
      <c r="F1890" s="11">
        <v>29</v>
      </c>
      <c r="G1890" s="11">
        <v>22</v>
      </c>
      <c r="H1890" s="11">
        <v>14</v>
      </c>
      <c r="I1890" s="11">
        <f>B1890+C1890+D1890+E1890+F1890+G1890+H1890</f>
        <v>126</v>
      </c>
      <c r="J1890" s="684">
        <f>'NOGAL '!$I1890/7</f>
        <v>18</v>
      </c>
    </row>
    <row r="1891" spans="1:10" s="71" customFormat="1" x14ac:dyDescent="0.25">
      <c r="A1891" s="622" t="s">
        <v>15</v>
      </c>
      <c r="B1891" s="448">
        <v>8</v>
      </c>
      <c r="C1891" s="11">
        <v>2</v>
      </c>
      <c r="D1891" s="11">
        <v>4</v>
      </c>
      <c r="E1891" s="11">
        <v>4</v>
      </c>
      <c r="F1891" s="11">
        <v>9</v>
      </c>
      <c r="G1891" s="11">
        <v>7</v>
      </c>
      <c r="H1891" s="11">
        <v>5</v>
      </c>
      <c r="I1891" s="11">
        <f>B1891+C1891+D1891+E1891+F1891+G1891+H1891</f>
        <v>39</v>
      </c>
      <c r="J1891" s="684">
        <f>'NOGAL '!$I1891/7</f>
        <v>5.5714285714285712</v>
      </c>
    </row>
    <row r="1892" spans="1:10" s="71" customFormat="1" x14ac:dyDescent="0.25">
      <c r="A1892" s="622" t="s">
        <v>16</v>
      </c>
      <c r="B1892" s="448">
        <v>0</v>
      </c>
      <c r="C1892" s="11">
        <v>0</v>
      </c>
      <c r="D1892" s="11">
        <v>0</v>
      </c>
      <c r="E1892" s="11">
        <v>0</v>
      </c>
      <c r="F1892" s="11">
        <v>0</v>
      </c>
      <c r="G1892" s="11">
        <v>0</v>
      </c>
      <c r="H1892" s="11">
        <v>0</v>
      </c>
      <c r="I1892" s="11">
        <f>B1892+C1892+D1892+E1892+F1892+G1892+H1892</f>
        <v>0</v>
      </c>
      <c r="J1892" s="684">
        <f>'NOGAL '!$I1892/7</f>
        <v>0</v>
      </c>
    </row>
    <row r="1893" spans="1:10" s="71" customFormat="1" x14ac:dyDescent="0.25">
      <c r="A1893" s="624" t="s">
        <v>17</v>
      </c>
      <c r="B1893" s="102">
        <f t="shared" ref="B1893:I1893" si="820">SUM(B1888:B1892)</f>
        <v>50</v>
      </c>
      <c r="C1893" s="103">
        <f t="shared" si="820"/>
        <v>61</v>
      </c>
      <c r="D1893" s="103">
        <f t="shared" si="820"/>
        <v>71</v>
      </c>
      <c r="E1893" s="103">
        <f t="shared" si="820"/>
        <v>56</v>
      </c>
      <c r="F1893" s="103">
        <f t="shared" si="820"/>
        <v>151</v>
      </c>
      <c r="G1893" s="103">
        <f t="shared" si="820"/>
        <v>142</v>
      </c>
      <c r="H1893" s="103">
        <f t="shared" si="820"/>
        <v>178</v>
      </c>
      <c r="I1893" s="103">
        <f t="shared" si="820"/>
        <v>709</v>
      </c>
      <c r="J1893" s="713">
        <f>'NOGAL '!$I1893/7</f>
        <v>101.28571428571429</v>
      </c>
    </row>
    <row r="1894" spans="1:10" s="71" customFormat="1" x14ac:dyDescent="0.25">
      <c r="A1894" s="622" t="s">
        <v>18</v>
      </c>
      <c r="B1894" s="449">
        <v>0.66</v>
      </c>
      <c r="C1894" s="236">
        <v>0.82</v>
      </c>
      <c r="D1894" s="236">
        <v>0.76</v>
      </c>
      <c r="E1894" s="236">
        <v>0.8</v>
      </c>
      <c r="F1894" s="236">
        <v>0.83</v>
      </c>
      <c r="G1894" s="236">
        <v>0.83</v>
      </c>
      <c r="H1894" s="236">
        <v>0.89</v>
      </c>
      <c r="I1894" s="18">
        <f>I1901/I1906</f>
        <v>0.82345486729008477</v>
      </c>
      <c r="J1894" s="714">
        <f>J1901/J1906</f>
        <v>0.82345486729008477</v>
      </c>
    </row>
    <row r="1895" spans="1:10" s="71" customFormat="1" x14ac:dyDescent="0.25">
      <c r="A1895" s="622" t="s">
        <v>19</v>
      </c>
      <c r="B1895" s="449">
        <v>0.04</v>
      </c>
      <c r="C1895" s="236">
        <v>0</v>
      </c>
      <c r="D1895" s="236">
        <v>0.01</v>
      </c>
      <c r="E1895" s="236">
        <v>0</v>
      </c>
      <c r="F1895" s="236">
        <v>0</v>
      </c>
      <c r="G1895" s="236">
        <v>0.01</v>
      </c>
      <c r="H1895" s="236">
        <v>0.03</v>
      </c>
      <c r="I1895" s="18">
        <f>I1902/I1906</f>
        <v>1.3023502624228588E-2</v>
      </c>
      <c r="J1895" s="714">
        <f>J1902/J1906</f>
        <v>1.3023502624228587E-2</v>
      </c>
    </row>
    <row r="1896" spans="1:10" s="71" customFormat="1" x14ac:dyDescent="0.25">
      <c r="A1896" s="622" t="s">
        <v>20</v>
      </c>
      <c r="B1896" s="449">
        <v>0.17</v>
      </c>
      <c r="C1896" s="236">
        <v>0.15</v>
      </c>
      <c r="D1896" s="236">
        <v>0.16</v>
      </c>
      <c r="E1896" s="236">
        <v>0.15</v>
      </c>
      <c r="F1896" s="236">
        <v>0.13</v>
      </c>
      <c r="G1896" s="236">
        <v>0.11</v>
      </c>
      <c r="H1896" s="236">
        <v>0.06</v>
      </c>
      <c r="I1896" s="18">
        <f>I1903/I1906</f>
        <v>0.11751006289857753</v>
      </c>
      <c r="J1896" s="714">
        <f>J1903/J1906</f>
        <v>0.11751006289857753</v>
      </c>
    </row>
    <row r="1897" spans="1:10" s="71" customFormat="1" x14ac:dyDescent="0.25">
      <c r="A1897" s="622" t="s">
        <v>21</v>
      </c>
      <c r="B1897" s="449">
        <v>0.13</v>
      </c>
      <c r="C1897" s="236">
        <v>0.03</v>
      </c>
      <c r="D1897" s="236">
        <v>7.0000000000000007E-2</v>
      </c>
      <c r="E1897" s="236">
        <v>0.05</v>
      </c>
      <c r="F1897" s="236">
        <v>0.04</v>
      </c>
      <c r="G1897" s="236">
        <v>0.05</v>
      </c>
      <c r="H1897" s="236">
        <v>0.02</v>
      </c>
      <c r="I1897" s="18">
        <f>I1904/I1906</f>
        <v>4.6011567187109047E-2</v>
      </c>
      <c r="J1897" s="714">
        <f>J1904/J1906</f>
        <v>4.6011567187109047E-2</v>
      </c>
    </row>
    <row r="1898" spans="1:10" s="71" customFormat="1" x14ac:dyDescent="0.25">
      <c r="A1898" s="622" t="s">
        <v>22</v>
      </c>
      <c r="B1898" s="449">
        <v>0</v>
      </c>
      <c r="C1898" s="236">
        <v>0</v>
      </c>
      <c r="D1898" s="236">
        <v>0</v>
      </c>
      <c r="E1898" s="236">
        <v>0</v>
      </c>
      <c r="F1898" s="236">
        <v>0</v>
      </c>
      <c r="G1898" s="236">
        <v>0</v>
      </c>
      <c r="H1898" s="236">
        <v>0</v>
      </c>
      <c r="I1898" s="18">
        <f>I1905/I1906</f>
        <v>0</v>
      </c>
      <c r="J1898" s="714">
        <f>J1905/J1906</f>
        <v>0</v>
      </c>
    </row>
    <row r="1899" spans="1:10" s="71" customFormat="1" x14ac:dyDescent="0.25">
      <c r="A1899" s="627" t="s">
        <v>23</v>
      </c>
      <c r="B1899" s="450">
        <f t="shared" ref="B1899:J1899" si="821">B1910/B1893</f>
        <v>37844.000000000007</v>
      </c>
      <c r="C1899" s="130">
        <f t="shared" si="821"/>
        <v>39355.737704918036</v>
      </c>
      <c r="D1899" s="130">
        <f t="shared" si="821"/>
        <v>33830.985915492958</v>
      </c>
      <c r="E1899" s="130">
        <f t="shared" si="821"/>
        <v>34958.928571428572</v>
      </c>
      <c r="F1899" s="130">
        <f t="shared" si="821"/>
        <v>41798.013245033122</v>
      </c>
      <c r="G1899" s="130">
        <f t="shared" si="821"/>
        <v>40370.422535211277</v>
      </c>
      <c r="H1899" s="130">
        <f t="shared" si="821"/>
        <v>37611.79775280899</v>
      </c>
      <c r="I1899" s="130">
        <f t="shared" si="821"/>
        <v>38634.132581100144</v>
      </c>
      <c r="J1899" s="685">
        <f t="shared" si="821"/>
        <v>38634.132581100144</v>
      </c>
    </row>
    <row r="1900" spans="1:10" s="71" customFormat="1" x14ac:dyDescent="0.25">
      <c r="A1900" s="627" t="s">
        <v>24</v>
      </c>
      <c r="B1900" s="450">
        <f t="shared" ref="B1900:J1900" si="822">B1910/B1887</f>
        <v>29110.769230769234</v>
      </c>
      <c r="C1900" s="130">
        <f t="shared" si="822"/>
        <v>29638.271604938273</v>
      </c>
      <c r="D1900" s="130">
        <f t="shared" si="822"/>
        <v>29292.682926829268</v>
      </c>
      <c r="E1900" s="130">
        <f t="shared" si="822"/>
        <v>29219.402985074626</v>
      </c>
      <c r="F1900" s="130">
        <f t="shared" si="822"/>
        <v>28302.690582959647</v>
      </c>
      <c r="G1900" s="130">
        <f t="shared" si="822"/>
        <v>30013.61256544503</v>
      </c>
      <c r="H1900" s="130">
        <f t="shared" si="822"/>
        <v>29623.451327433628</v>
      </c>
      <c r="I1900" s="130">
        <f t="shared" si="822"/>
        <v>29295.828877005351</v>
      </c>
      <c r="J1900" s="685">
        <f t="shared" si="822"/>
        <v>29295.828877005351</v>
      </c>
    </row>
    <row r="1901" spans="1:10" s="71" customFormat="1" x14ac:dyDescent="0.25">
      <c r="A1901" s="622" t="s">
        <v>25</v>
      </c>
      <c r="B1901" s="451">
        <f t="shared" ref="B1901:H1901" si="823">B1906*B1894</f>
        <v>1030392.5917241381</v>
      </c>
      <c r="C1901" s="92">
        <f t="shared" si="823"/>
        <v>1619846.831724138</v>
      </c>
      <c r="D1901" s="92">
        <f t="shared" si="823"/>
        <v>1489330.6979310345</v>
      </c>
      <c r="E1901" s="92">
        <f t="shared" si="823"/>
        <v>1269027.5310344829</v>
      </c>
      <c r="F1901" s="92">
        <f t="shared" si="823"/>
        <v>4289578.0089655174</v>
      </c>
      <c r="G1901" s="92">
        <f t="shared" si="823"/>
        <v>3877368.697931035</v>
      </c>
      <c r="H1901" s="92">
        <f t="shared" si="823"/>
        <v>4803593.0103448275</v>
      </c>
      <c r="I1901" s="92">
        <f>'NOGAL '!$B1901+'NOGAL '!$C1901+'NOGAL '!$D1901+'NOGAL '!$E1901+'NOGAL '!$F1901+'NOGAL '!$G1901+'NOGAL '!$H1901</f>
        <v>18379137.369655173</v>
      </c>
      <c r="J1901" s="715">
        <f>'NOGAL '!$I1901/7</f>
        <v>2625591.052807882</v>
      </c>
    </row>
    <row r="1902" spans="1:10" s="71" customFormat="1" x14ac:dyDescent="0.25">
      <c r="A1902" s="622" t="s">
        <v>26</v>
      </c>
      <c r="B1902" s="451">
        <f t="shared" ref="B1902:H1902" si="824">B1906*B1895</f>
        <v>62448.035862068973</v>
      </c>
      <c r="C1902" s="92">
        <f t="shared" si="824"/>
        <v>0</v>
      </c>
      <c r="D1902" s="92">
        <f t="shared" si="824"/>
        <v>19596.456551724139</v>
      </c>
      <c r="E1902" s="92">
        <f t="shared" si="824"/>
        <v>0</v>
      </c>
      <c r="F1902" s="92">
        <f t="shared" si="824"/>
        <v>0</v>
      </c>
      <c r="G1902" s="92">
        <f t="shared" si="824"/>
        <v>46715.285517241391</v>
      </c>
      <c r="H1902" s="92">
        <f t="shared" si="824"/>
        <v>161918.86551724139</v>
      </c>
      <c r="I1902" s="92">
        <f>'NOGAL '!$B1902+'NOGAL '!$C1902+'NOGAL '!$D1902+'NOGAL '!$E1902+'NOGAL '!$F1902+'NOGAL '!$G1902+'NOGAL '!$H1902</f>
        <v>290678.64344827586</v>
      </c>
      <c r="J1902" s="715">
        <f>'NOGAL '!$I1902/7</f>
        <v>41525.520492610834</v>
      </c>
    </row>
    <row r="1903" spans="1:10" s="71" customFormat="1" x14ac:dyDescent="0.25">
      <c r="A1903" s="622" t="s">
        <v>27</v>
      </c>
      <c r="B1903" s="451">
        <f t="shared" ref="B1903:H1903" si="825">B1906*B1896</f>
        <v>265404.15241379314</v>
      </c>
      <c r="C1903" s="92">
        <f t="shared" si="825"/>
        <v>296313.44482758624</v>
      </c>
      <c r="D1903" s="92">
        <f t="shared" si="825"/>
        <v>313543.30482758622</v>
      </c>
      <c r="E1903" s="92">
        <f t="shared" si="825"/>
        <v>237942.66206896552</v>
      </c>
      <c r="F1903" s="92">
        <f t="shared" si="825"/>
        <v>671861.61586206907</v>
      </c>
      <c r="G1903" s="92">
        <f t="shared" si="825"/>
        <v>513868.14068965527</v>
      </c>
      <c r="H1903" s="92">
        <f t="shared" si="825"/>
        <v>323837.73103448277</v>
      </c>
      <c r="I1903" s="92">
        <f>'NOGAL '!$B1903+'NOGAL '!$C1903+'NOGAL '!$D1903+'NOGAL '!$E1903+'NOGAL '!$F1903+'NOGAL '!$G1903+'NOGAL '!$H1903</f>
        <v>2622771.0517241382</v>
      </c>
      <c r="J1903" s="715">
        <f>'NOGAL '!$I1903/7</f>
        <v>374681.57881773403</v>
      </c>
    </row>
    <row r="1904" spans="1:10" s="71" customFormat="1" x14ac:dyDescent="0.25">
      <c r="A1904" s="622" t="s">
        <v>28</v>
      </c>
      <c r="B1904" s="451">
        <f t="shared" ref="B1904:H1904" si="826">B1906*B1897</f>
        <v>202956.11655172418</v>
      </c>
      <c r="C1904" s="92">
        <f t="shared" si="826"/>
        <v>59262.688965517242</v>
      </c>
      <c r="D1904" s="92">
        <f t="shared" si="826"/>
        <v>137175.195862069</v>
      </c>
      <c r="E1904" s="92">
        <f t="shared" si="826"/>
        <v>79314.22068965518</v>
      </c>
      <c r="F1904" s="92">
        <f t="shared" si="826"/>
        <v>206726.65103448278</v>
      </c>
      <c r="G1904" s="92">
        <f t="shared" si="826"/>
        <v>233576.42758620693</v>
      </c>
      <c r="H1904" s="92">
        <f t="shared" si="826"/>
        <v>107945.91034482759</v>
      </c>
      <c r="I1904" s="92">
        <f>'NOGAL '!$B1904+'NOGAL '!$C1904+'NOGAL '!$D1904+'NOGAL '!$E1904+'NOGAL '!$F1904+'NOGAL '!$G1904+'NOGAL '!$H1904</f>
        <v>1026957.2110344828</v>
      </c>
      <c r="J1904" s="715">
        <f>'NOGAL '!$I1904/7</f>
        <v>146708.17300492612</v>
      </c>
    </row>
    <row r="1905" spans="1:10" s="71" customFormat="1" x14ac:dyDescent="0.25">
      <c r="A1905" s="622" t="s">
        <v>29</v>
      </c>
      <c r="B1905" s="451">
        <f t="shared" ref="B1905:H1905" si="827">B1906*B1898</f>
        <v>0</v>
      </c>
      <c r="C1905" s="92">
        <f t="shared" si="827"/>
        <v>0</v>
      </c>
      <c r="D1905" s="92">
        <f t="shared" si="827"/>
        <v>0</v>
      </c>
      <c r="E1905" s="92">
        <f t="shared" si="827"/>
        <v>0</v>
      </c>
      <c r="F1905" s="92">
        <f t="shared" si="827"/>
        <v>0</v>
      </c>
      <c r="G1905" s="92">
        <f t="shared" si="827"/>
        <v>0</v>
      </c>
      <c r="H1905" s="92">
        <f t="shared" si="827"/>
        <v>0</v>
      </c>
      <c r="I1905" s="92">
        <f>'NOGAL '!$B1905+'NOGAL '!$C1905+'NOGAL '!$D1905+'NOGAL '!$E1905+'NOGAL '!$F1905+'NOGAL '!$G1905+'NOGAL '!$H1905</f>
        <v>0</v>
      </c>
      <c r="J1905" s="715">
        <f>'NOGAL '!$I1905/7</f>
        <v>0</v>
      </c>
    </row>
    <row r="1906" spans="1:10" s="71" customFormat="1" x14ac:dyDescent="0.25">
      <c r="A1906" s="630" t="s">
        <v>30</v>
      </c>
      <c r="B1906" s="237">
        <f>(1892200/1.16)-B1907</f>
        <v>1561200.8965517243</v>
      </c>
      <c r="C1906" s="237">
        <f>(2400700/1.16)-C1907</f>
        <v>1975422.9655172415</v>
      </c>
      <c r="D1906" s="237">
        <f>(2402000/1.16)-D1907</f>
        <v>1959645.6551724139</v>
      </c>
      <c r="E1906" s="237">
        <f>(1957700/1.16)-E1907</f>
        <v>1586284.4137931035</v>
      </c>
      <c r="F1906" s="237">
        <f>(6311500/1.16)-F1907</f>
        <v>5168166.2758620698</v>
      </c>
      <c r="G1906" s="237">
        <f>(5732600/1.16)-G1907</f>
        <v>4671528.5517241387</v>
      </c>
      <c r="H1906" s="237">
        <f>(6694900/1.16)-H1907</f>
        <v>5397295.5172413792</v>
      </c>
      <c r="I1906" s="91">
        <f>SUM(I1901:I1905)</f>
        <v>22319544.275862072</v>
      </c>
      <c r="J1906" s="716">
        <f>'NOGAL '!$I1906/7</f>
        <v>3188506.3251231532</v>
      </c>
    </row>
    <row r="1907" spans="1:10" s="71" customFormat="1" x14ac:dyDescent="0.25">
      <c r="A1907" s="622" t="s">
        <v>31</v>
      </c>
      <c r="B1907" s="452">
        <f t="shared" ref="B1907:I1907" si="828">2414*B1888</f>
        <v>70006</v>
      </c>
      <c r="C1907" s="94">
        <f t="shared" si="828"/>
        <v>94146</v>
      </c>
      <c r="D1907" s="94">
        <f t="shared" si="828"/>
        <v>111044</v>
      </c>
      <c r="E1907" s="94">
        <f t="shared" si="828"/>
        <v>101388</v>
      </c>
      <c r="F1907" s="94">
        <f t="shared" si="828"/>
        <v>272782</v>
      </c>
      <c r="G1907" s="94">
        <f t="shared" si="828"/>
        <v>270368</v>
      </c>
      <c r="H1907" s="94">
        <f t="shared" si="828"/>
        <v>374170</v>
      </c>
      <c r="I1907" s="94">
        <f t="shared" si="828"/>
        <v>1293904</v>
      </c>
      <c r="J1907" s="717">
        <f>2155*J1888</f>
        <v>165011.42857142858</v>
      </c>
    </row>
    <row r="1908" spans="1:10" s="71" customFormat="1" x14ac:dyDescent="0.25">
      <c r="A1908" s="633" t="s">
        <v>32</v>
      </c>
      <c r="B1908" s="453">
        <f>B1906+B1907</f>
        <v>1631206.8965517243</v>
      </c>
      <c r="C1908" s="39">
        <f>C1906+C1907</f>
        <v>2069568.9655172415</v>
      </c>
      <c r="D1908" s="39">
        <f t="shared" ref="D1908:J1908" si="829">D1906+D1907</f>
        <v>2070689.6551724139</v>
      </c>
      <c r="E1908" s="39">
        <f t="shared" si="829"/>
        <v>1687672.4137931035</v>
      </c>
      <c r="F1908" s="39">
        <f t="shared" si="829"/>
        <v>5440948.2758620698</v>
      </c>
      <c r="G1908" s="39">
        <f t="shared" si="829"/>
        <v>4941896.5517241387</v>
      </c>
      <c r="H1908" s="39">
        <f t="shared" si="829"/>
        <v>5771465.5172413792</v>
      </c>
      <c r="I1908" s="39">
        <f t="shared" si="829"/>
        <v>23613448.275862072</v>
      </c>
      <c r="J1908" s="718">
        <f t="shared" si="829"/>
        <v>3353517.7536945818</v>
      </c>
    </row>
    <row r="1909" spans="1:10" s="71" customFormat="1" x14ac:dyDescent="0.25">
      <c r="A1909" s="622" t="s">
        <v>33</v>
      </c>
      <c r="B1909" s="454">
        <f>B1908*16%</f>
        <v>260993.10344827588</v>
      </c>
      <c r="C1909" s="41">
        <f>C1908*16%</f>
        <v>331131.03448275867</v>
      </c>
      <c r="D1909" s="41">
        <f t="shared" ref="D1909:J1909" si="830">D1908*16%</f>
        <v>331310.34482758626</v>
      </c>
      <c r="E1909" s="41">
        <f t="shared" si="830"/>
        <v>270027.58620689658</v>
      </c>
      <c r="F1909" s="41">
        <f t="shared" si="830"/>
        <v>870551.72413793113</v>
      </c>
      <c r="G1909" s="41">
        <f t="shared" si="830"/>
        <v>790703.44827586226</v>
      </c>
      <c r="H1909" s="41">
        <f t="shared" si="830"/>
        <v>923434.48275862075</v>
      </c>
      <c r="I1909" s="41">
        <f t="shared" si="830"/>
        <v>3778151.7241379316</v>
      </c>
      <c r="J1909" s="719">
        <f t="shared" si="830"/>
        <v>536562.84059113311</v>
      </c>
    </row>
    <row r="1910" spans="1:10" s="71" customFormat="1" ht="15.75" thickBot="1" x14ac:dyDescent="0.3">
      <c r="A1910" s="636" t="s">
        <v>34</v>
      </c>
      <c r="B1910" s="637">
        <f t="shared" ref="B1910:H1910" si="831">B1908+B1909</f>
        <v>1892200.0000000002</v>
      </c>
      <c r="C1910" s="686">
        <f t="shared" si="831"/>
        <v>2400700</v>
      </c>
      <c r="D1910" s="686">
        <f t="shared" si="831"/>
        <v>2402000</v>
      </c>
      <c r="E1910" s="686">
        <f t="shared" si="831"/>
        <v>1957700</v>
      </c>
      <c r="F1910" s="686">
        <f t="shared" si="831"/>
        <v>6311500.0000000009</v>
      </c>
      <c r="G1910" s="686">
        <f t="shared" si="831"/>
        <v>5732600.0000000009</v>
      </c>
      <c r="H1910" s="686">
        <f t="shared" si="831"/>
        <v>6694900</v>
      </c>
      <c r="I1910" s="686">
        <f>+I1908+I1909</f>
        <v>27391600.000000004</v>
      </c>
      <c r="J1910" s="720">
        <f>'NOGAL '!$I1910/7</f>
        <v>3913085.714285715</v>
      </c>
    </row>
    <row r="1911" spans="1:10" s="71" customFormat="1" ht="15.75" thickBot="1" x14ac:dyDescent="0.3">
      <c r="A1911" s="69"/>
      <c r="B1911" s="424"/>
      <c r="C1911" s="424"/>
      <c r="D1911" s="424"/>
      <c r="E1911" s="424"/>
      <c r="F1911" s="424"/>
      <c r="G1911" s="424"/>
      <c r="H1911" s="424"/>
      <c r="I1911" s="424"/>
      <c r="J1911" s="424"/>
    </row>
    <row r="1912" spans="1:10" s="71" customFormat="1" ht="27" thickBot="1" x14ac:dyDescent="0.3">
      <c r="A1912" s="85"/>
      <c r="B1912" s="1002" t="s">
        <v>649</v>
      </c>
      <c r="C1912" s="1002"/>
      <c r="D1912" s="1002"/>
      <c r="E1912" s="1002"/>
      <c r="F1912" s="1002"/>
      <c r="G1912" s="1002"/>
      <c r="H1912" s="1002"/>
      <c r="I1912" s="1002"/>
      <c r="J1912" s="85"/>
    </row>
    <row r="1913" spans="1:10" s="71" customFormat="1" ht="15.75" x14ac:dyDescent="0.25">
      <c r="A1913" s="614" t="s">
        <v>2</v>
      </c>
      <c r="B1913" s="706" t="s">
        <v>70</v>
      </c>
      <c r="C1913" s="641" t="s">
        <v>71</v>
      </c>
      <c r="D1913" s="641" t="s">
        <v>72</v>
      </c>
      <c r="E1913" s="641" t="s">
        <v>73</v>
      </c>
      <c r="F1913" s="641" t="s">
        <v>74</v>
      </c>
      <c r="G1913" s="641" t="s">
        <v>75</v>
      </c>
      <c r="H1913" s="641" t="s">
        <v>76</v>
      </c>
      <c r="I1913" s="618" t="s">
        <v>10</v>
      </c>
      <c r="J1913" s="711" t="s">
        <v>77</v>
      </c>
    </row>
    <row r="1914" spans="1:10" s="71" customFormat="1" x14ac:dyDescent="0.25">
      <c r="A1914" s="620" t="s">
        <v>11</v>
      </c>
      <c r="B1914" s="433">
        <f>49+18+7</f>
        <v>74</v>
      </c>
      <c r="C1914" s="75">
        <f>53+33+10</f>
        <v>96</v>
      </c>
      <c r="D1914" s="75">
        <f>51+16+8</f>
        <v>75</v>
      </c>
      <c r="E1914" s="316">
        <f>78+18+7</f>
        <v>103</v>
      </c>
      <c r="F1914" s="316">
        <f>94+62+24</f>
        <v>180</v>
      </c>
      <c r="G1914" s="316">
        <f>119+64+17</f>
        <v>200</v>
      </c>
      <c r="H1914" s="316">
        <f>144+69+31</f>
        <v>244</v>
      </c>
      <c r="I1914" s="316">
        <f>SUM(B1914:H1914)</f>
        <v>972</v>
      </c>
      <c r="J1914" s="712">
        <f>'NOGAL '!$I1914/7</f>
        <v>138.85714285714286</v>
      </c>
    </row>
    <row r="1915" spans="1:10" s="71" customFormat="1" x14ac:dyDescent="0.25">
      <c r="A1915" s="622" t="s">
        <v>12</v>
      </c>
      <c r="B1915" s="448">
        <v>39</v>
      </c>
      <c r="C1915" s="86">
        <v>53</v>
      </c>
      <c r="D1915" s="11">
        <v>37</v>
      </c>
      <c r="E1915" s="86">
        <v>50</v>
      </c>
      <c r="F1915" s="86">
        <v>95</v>
      </c>
      <c r="G1915" s="86">
        <v>116</v>
      </c>
      <c r="H1915" s="11">
        <v>155</v>
      </c>
      <c r="I1915" s="11">
        <f>B1915+C1915+D1915+E1915+F1915+G1915+H1915</f>
        <v>545</v>
      </c>
      <c r="J1915" s="684">
        <f>'NOGAL '!$I1915/7</f>
        <v>77.857142857142861</v>
      </c>
    </row>
    <row r="1916" spans="1:10" s="71" customFormat="1" x14ac:dyDescent="0.25">
      <c r="A1916" s="622" t="s">
        <v>13</v>
      </c>
      <c r="B1916" s="448">
        <v>2</v>
      </c>
      <c r="C1916" s="11">
        <v>2</v>
      </c>
      <c r="D1916" s="11">
        <v>2</v>
      </c>
      <c r="E1916" s="86">
        <v>3</v>
      </c>
      <c r="F1916" s="11">
        <v>3</v>
      </c>
      <c r="G1916" s="11">
        <v>2</v>
      </c>
      <c r="H1916" s="11">
        <v>2</v>
      </c>
      <c r="I1916" s="11">
        <f>B1916+C1916+D1916+E1916+F1916+G1916+H1916</f>
        <v>16</v>
      </c>
      <c r="J1916" s="684">
        <f>C1916+D1916+E1916+F1916+G1916+H1916+I1916</f>
        <v>30</v>
      </c>
    </row>
    <row r="1917" spans="1:10" s="71" customFormat="1" x14ac:dyDescent="0.25">
      <c r="A1917" s="622" t="s">
        <v>14</v>
      </c>
      <c r="B1917" s="448">
        <v>12</v>
      </c>
      <c r="C1917" s="11">
        <v>30</v>
      </c>
      <c r="D1917" s="11">
        <v>17</v>
      </c>
      <c r="E1917" s="11">
        <v>24</v>
      </c>
      <c r="F1917" s="11">
        <v>27</v>
      </c>
      <c r="G1917" s="11">
        <v>19</v>
      </c>
      <c r="H1917" s="11">
        <v>13</v>
      </c>
      <c r="I1917" s="11">
        <f>B1917+C1917+D1917+E1917+F1917+G1917+H1917</f>
        <v>142</v>
      </c>
      <c r="J1917" s="684">
        <f>'NOGAL '!$I1917/7</f>
        <v>20.285714285714285</v>
      </c>
    </row>
    <row r="1918" spans="1:10" s="71" customFormat="1" x14ac:dyDescent="0.25">
      <c r="A1918" s="622" t="s">
        <v>15</v>
      </c>
      <c r="B1918" s="448">
        <v>4</v>
      </c>
      <c r="C1918" s="11">
        <v>3</v>
      </c>
      <c r="D1918" s="11">
        <v>4</v>
      </c>
      <c r="E1918" s="11">
        <v>7</v>
      </c>
      <c r="F1918" s="11">
        <v>11</v>
      </c>
      <c r="G1918" s="11">
        <v>11</v>
      </c>
      <c r="H1918" s="11">
        <v>15</v>
      </c>
      <c r="I1918" s="11">
        <f>B1918+C1918+D1918+E1918+F1918+G1918+H1918</f>
        <v>55</v>
      </c>
      <c r="J1918" s="684">
        <f>'NOGAL '!$I1918/7</f>
        <v>7.8571428571428568</v>
      </c>
    </row>
    <row r="1919" spans="1:10" s="71" customFormat="1" x14ac:dyDescent="0.25">
      <c r="A1919" s="622" t="s">
        <v>16</v>
      </c>
      <c r="B1919" s="448">
        <v>0</v>
      </c>
      <c r="C1919" s="11">
        <v>1</v>
      </c>
      <c r="D1919" s="11">
        <v>0</v>
      </c>
      <c r="E1919" s="11">
        <v>0</v>
      </c>
      <c r="F1919" s="11">
        <v>0</v>
      </c>
      <c r="G1919" s="11">
        <v>0</v>
      </c>
      <c r="H1919" s="11">
        <v>0</v>
      </c>
      <c r="I1919" s="11">
        <f>B1919+C1919+D1919+E1919+F1919+G1919+H1919</f>
        <v>1</v>
      </c>
      <c r="J1919" s="684">
        <f>'NOGAL '!$I1919/7</f>
        <v>0.14285714285714285</v>
      </c>
    </row>
    <row r="1920" spans="1:10" s="71" customFormat="1" x14ac:dyDescent="0.25">
      <c r="A1920" s="624" t="s">
        <v>17</v>
      </c>
      <c r="B1920" s="102">
        <f t="shared" ref="B1920:I1920" si="832">SUM(B1915:B1919)</f>
        <v>57</v>
      </c>
      <c r="C1920" s="103">
        <f t="shared" si="832"/>
        <v>89</v>
      </c>
      <c r="D1920" s="103">
        <f t="shared" si="832"/>
        <v>60</v>
      </c>
      <c r="E1920" s="103">
        <f t="shared" si="832"/>
        <v>84</v>
      </c>
      <c r="F1920" s="103">
        <f t="shared" si="832"/>
        <v>136</v>
      </c>
      <c r="G1920" s="103">
        <f t="shared" si="832"/>
        <v>148</v>
      </c>
      <c r="H1920" s="103">
        <f t="shared" si="832"/>
        <v>185</v>
      </c>
      <c r="I1920" s="103">
        <f t="shared" si="832"/>
        <v>759</v>
      </c>
      <c r="J1920" s="713">
        <f>'NOGAL '!$I1920/7</f>
        <v>108.42857142857143</v>
      </c>
    </row>
    <row r="1921" spans="1:10" s="71" customFormat="1" x14ac:dyDescent="0.25">
      <c r="A1921" s="622" t="s">
        <v>18</v>
      </c>
      <c r="B1921" s="449">
        <v>0.79</v>
      </c>
      <c r="C1921" s="236">
        <v>0.72</v>
      </c>
      <c r="D1921" s="236">
        <v>0.77</v>
      </c>
      <c r="E1921" s="236">
        <v>0.73</v>
      </c>
      <c r="F1921" s="236">
        <v>0.78</v>
      </c>
      <c r="G1921" s="236">
        <v>0.87</v>
      </c>
      <c r="H1921" s="236">
        <v>0.89</v>
      </c>
      <c r="I1921" s="18">
        <f>I1928/I1933</f>
        <v>0.81630632268974823</v>
      </c>
      <c r="J1921" s="714">
        <f>J1928/J1933</f>
        <v>0.81630632268974834</v>
      </c>
    </row>
    <row r="1922" spans="1:10" s="71" customFormat="1" x14ac:dyDescent="0.25">
      <c r="A1922" s="622" t="s">
        <v>19</v>
      </c>
      <c r="B1922" s="449">
        <v>0.03</v>
      </c>
      <c r="C1922" s="236">
        <v>0.01</v>
      </c>
      <c r="D1922" s="236">
        <v>0.04</v>
      </c>
      <c r="E1922" s="236">
        <v>0.01</v>
      </c>
      <c r="F1922" s="236">
        <v>0.01</v>
      </c>
      <c r="G1922" s="236">
        <v>0.01</v>
      </c>
      <c r="H1922" s="236">
        <v>0.01</v>
      </c>
      <c r="I1922" s="18">
        <f>I1929/I1933</f>
        <v>1.3806926086535094E-2</v>
      </c>
      <c r="J1922" s="714">
        <f>J1929/J1933</f>
        <v>1.3806926086535094E-2</v>
      </c>
    </row>
    <row r="1923" spans="1:10" s="71" customFormat="1" x14ac:dyDescent="0.25">
      <c r="A1923" s="622" t="s">
        <v>20</v>
      </c>
      <c r="B1923" s="449">
        <v>0.12</v>
      </c>
      <c r="C1923" s="236">
        <v>0.22</v>
      </c>
      <c r="D1923" s="236">
        <v>0.14000000000000001</v>
      </c>
      <c r="E1923" s="236">
        <v>0.19</v>
      </c>
      <c r="F1923" s="236">
        <v>0.15</v>
      </c>
      <c r="G1923" s="236">
        <v>7.0000000000000007E-2</v>
      </c>
      <c r="H1923" s="236">
        <v>0.04</v>
      </c>
      <c r="I1923" s="18">
        <f>I1930/I1933</f>
        <v>0.11272802987902415</v>
      </c>
      <c r="J1923" s="714">
        <f>J1930/J1933</f>
        <v>0.11272802987902414</v>
      </c>
    </row>
    <row r="1924" spans="1:10" s="71" customFormat="1" x14ac:dyDescent="0.25">
      <c r="A1924" s="622" t="s">
        <v>21</v>
      </c>
      <c r="B1924" s="449">
        <v>0.06</v>
      </c>
      <c r="C1924" s="236">
        <v>0.03</v>
      </c>
      <c r="D1924" s="236">
        <v>0.05</v>
      </c>
      <c r="E1924" s="236">
        <v>7.0000000000000007E-2</v>
      </c>
      <c r="F1924" s="236">
        <v>0.06</v>
      </c>
      <c r="G1924" s="236">
        <v>0.05</v>
      </c>
      <c r="H1924" s="236">
        <v>0.06</v>
      </c>
      <c r="I1924" s="18">
        <f>I1931/I1933</f>
        <v>5.5212598103488643E-2</v>
      </c>
      <c r="J1924" s="714">
        <f>J1931/J1933</f>
        <v>5.5212598103488643E-2</v>
      </c>
    </row>
    <row r="1925" spans="1:10" s="71" customFormat="1" x14ac:dyDescent="0.25">
      <c r="A1925" s="622" t="s">
        <v>22</v>
      </c>
      <c r="B1925" s="449">
        <v>0</v>
      </c>
      <c r="C1925" s="236">
        <v>0.02</v>
      </c>
      <c r="D1925" s="236">
        <v>0</v>
      </c>
      <c r="E1925" s="236">
        <v>0</v>
      </c>
      <c r="F1925" s="236">
        <v>0</v>
      </c>
      <c r="G1925" s="236">
        <v>0</v>
      </c>
      <c r="H1925" s="236">
        <v>0</v>
      </c>
      <c r="I1925" s="18">
        <f>I1932/I1933</f>
        <v>1.9461232412038348E-3</v>
      </c>
      <c r="J1925" s="714">
        <f>J1932/J1933</f>
        <v>1.9461232412038348E-3</v>
      </c>
    </row>
    <row r="1926" spans="1:10" s="71" customFormat="1" x14ac:dyDescent="0.25">
      <c r="A1926" s="627" t="s">
        <v>23</v>
      </c>
      <c r="B1926" s="450">
        <f t="shared" ref="B1926:J1926" si="833">B1937/B1920</f>
        <v>38147.368421052633</v>
      </c>
      <c r="C1926" s="130">
        <f t="shared" si="833"/>
        <v>30268.539325842696</v>
      </c>
      <c r="D1926" s="130">
        <f t="shared" si="833"/>
        <v>34106.666666666664</v>
      </c>
      <c r="E1926" s="130">
        <f t="shared" si="833"/>
        <v>33035.714285714283</v>
      </c>
      <c r="F1926" s="130">
        <f t="shared" si="833"/>
        <v>36863.970588235294</v>
      </c>
      <c r="G1926" s="130">
        <f t="shared" si="833"/>
        <v>39893.243243243247</v>
      </c>
      <c r="H1926" s="130">
        <f t="shared" si="833"/>
        <v>38261.08108108108</v>
      </c>
      <c r="I1926" s="130">
        <f t="shared" si="833"/>
        <v>36476.548089591568</v>
      </c>
      <c r="J1926" s="685">
        <f t="shared" si="833"/>
        <v>36476.548089591568</v>
      </c>
    </row>
    <row r="1927" spans="1:10" s="71" customFormat="1" x14ac:dyDescent="0.25">
      <c r="A1927" s="627" t="s">
        <v>24</v>
      </c>
      <c r="B1927" s="450">
        <f t="shared" ref="B1927:J1927" si="834">B1937/B1914</f>
        <v>29383.783783783783</v>
      </c>
      <c r="C1927" s="130">
        <f t="shared" si="834"/>
        <v>28061.458333333332</v>
      </c>
      <c r="D1927" s="130">
        <f t="shared" si="834"/>
        <v>27285.333333333332</v>
      </c>
      <c r="E1927" s="130">
        <f t="shared" si="834"/>
        <v>26941.747572815533</v>
      </c>
      <c r="F1927" s="130">
        <f t="shared" si="834"/>
        <v>27852.777777777777</v>
      </c>
      <c r="G1927" s="130">
        <f t="shared" si="834"/>
        <v>29521.000000000004</v>
      </c>
      <c r="H1927" s="130">
        <f t="shared" si="834"/>
        <v>29009.426229508197</v>
      </c>
      <c r="I1927" s="130">
        <f t="shared" si="834"/>
        <v>28483.230452674896</v>
      </c>
      <c r="J1927" s="685">
        <f t="shared" si="834"/>
        <v>28483.230452674896</v>
      </c>
    </row>
    <row r="1928" spans="1:10" s="71" customFormat="1" x14ac:dyDescent="0.25">
      <c r="A1928" s="622" t="s">
        <v>25</v>
      </c>
      <c r="B1928" s="451">
        <f t="shared" ref="B1928:H1928" si="835">B1933*B1921</f>
        <v>1406466.039310345</v>
      </c>
      <c r="C1928" s="92">
        <f t="shared" si="835"/>
        <v>1579957.6220689656</v>
      </c>
      <c r="D1928" s="92">
        <f t="shared" si="835"/>
        <v>1289611.3468965518</v>
      </c>
      <c r="E1928" s="92">
        <f t="shared" si="835"/>
        <v>1658225.2068965517</v>
      </c>
      <c r="F1928" s="92">
        <f t="shared" si="835"/>
        <v>3192269.1517241378</v>
      </c>
      <c r="G1928" s="92">
        <f t="shared" si="835"/>
        <v>4184529.1200000006</v>
      </c>
      <c r="H1928" s="92">
        <f t="shared" si="835"/>
        <v>5097753.3551724134</v>
      </c>
      <c r="I1928" s="92">
        <f>'NOGAL '!$B1928+'NOGAL '!$C1928+'NOGAL '!$D1928+'NOGAL '!$E1928+'NOGAL '!$F1928+'NOGAL '!$G1928+'NOGAL '!$H1928</f>
        <v>18408811.842068966</v>
      </c>
      <c r="J1928" s="715">
        <f>'NOGAL '!$I1928/7</f>
        <v>2629830.2631527097</v>
      </c>
    </row>
    <row r="1929" spans="1:10" s="71" customFormat="1" x14ac:dyDescent="0.25">
      <c r="A1929" s="622" t="s">
        <v>26</v>
      </c>
      <c r="B1929" s="451">
        <f t="shared" ref="B1929:H1929" si="836">B1933*B1922</f>
        <v>53410.102758620691</v>
      </c>
      <c r="C1929" s="92">
        <f t="shared" si="836"/>
        <v>21943.855862068969</v>
      </c>
      <c r="D1929" s="92">
        <f t="shared" si="836"/>
        <v>66992.797241379318</v>
      </c>
      <c r="E1929" s="92">
        <f t="shared" si="836"/>
        <v>22715.413793103449</v>
      </c>
      <c r="F1929" s="92">
        <f t="shared" si="836"/>
        <v>40926.527586206896</v>
      </c>
      <c r="G1929" s="92">
        <f t="shared" si="836"/>
        <v>48098.035862068973</v>
      </c>
      <c r="H1929" s="92">
        <f t="shared" si="836"/>
        <v>57278.127586206894</v>
      </c>
      <c r="I1929" s="92">
        <f>'NOGAL '!$B1929+'NOGAL '!$C1929+'NOGAL '!$D1929+'NOGAL '!$E1929+'NOGAL '!$F1929+'NOGAL '!$G1929+'NOGAL '!$H1929</f>
        <v>311364.86068965518</v>
      </c>
      <c r="J1929" s="715">
        <f>'NOGAL '!$I1929/7</f>
        <v>44480.694384236456</v>
      </c>
    </row>
    <row r="1930" spans="1:10" s="71" customFormat="1" x14ac:dyDescent="0.25">
      <c r="A1930" s="622" t="s">
        <v>27</v>
      </c>
      <c r="B1930" s="451">
        <f t="shared" ref="B1930:H1930" si="837">B1933*B1923</f>
        <v>213640.41103448276</v>
      </c>
      <c r="C1930" s="92">
        <f t="shared" si="837"/>
        <v>482764.82896551728</v>
      </c>
      <c r="D1930" s="92">
        <f t="shared" si="837"/>
        <v>234474.7903448276</v>
      </c>
      <c r="E1930" s="92">
        <f t="shared" si="837"/>
        <v>431592.86206896551</v>
      </c>
      <c r="F1930" s="92">
        <f t="shared" si="837"/>
        <v>613897.91379310342</v>
      </c>
      <c r="G1930" s="92">
        <f t="shared" si="837"/>
        <v>336686.25103448285</v>
      </c>
      <c r="H1930" s="92">
        <f t="shared" si="837"/>
        <v>229112.51034482758</v>
      </c>
      <c r="I1930" s="92">
        <f>'NOGAL '!$B1930+'NOGAL '!$C1930+'NOGAL '!$D1930+'NOGAL '!$E1930+'NOGAL '!$F1930+'NOGAL '!$G1930+'NOGAL '!$H1930</f>
        <v>2542169.5675862068</v>
      </c>
      <c r="J1930" s="715">
        <f>'NOGAL '!$I1930/7</f>
        <v>363167.08108374383</v>
      </c>
    </row>
    <row r="1931" spans="1:10" s="71" customFormat="1" x14ac:dyDescent="0.25">
      <c r="A1931" s="622" t="s">
        <v>28</v>
      </c>
      <c r="B1931" s="451">
        <f t="shared" ref="B1931:H1931" si="838">B1933*B1924</f>
        <v>106820.20551724138</v>
      </c>
      <c r="C1931" s="92">
        <f t="shared" si="838"/>
        <v>65831.567586206904</v>
      </c>
      <c r="D1931" s="92">
        <f t="shared" si="838"/>
        <v>83740.996551724151</v>
      </c>
      <c r="E1931" s="92">
        <f t="shared" si="838"/>
        <v>159007.89655172414</v>
      </c>
      <c r="F1931" s="92">
        <f t="shared" si="838"/>
        <v>245559.16551724137</v>
      </c>
      <c r="G1931" s="92">
        <f t="shared" si="838"/>
        <v>240490.17931034486</v>
      </c>
      <c r="H1931" s="92">
        <f t="shared" si="838"/>
        <v>343668.76551724138</v>
      </c>
      <c r="I1931" s="92">
        <f>'NOGAL '!$B1931+'NOGAL '!$C1931+'NOGAL '!$D1931+'NOGAL '!$E1931+'NOGAL '!$F1931+'NOGAL '!$G1931+'NOGAL '!$H1931</f>
        <v>1245118.7765517242</v>
      </c>
      <c r="J1931" s="715">
        <f>'NOGAL '!$I1931/7</f>
        <v>177874.11093596061</v>
      </c>
    </row>
    <row r="1932" spans="1:10" s="71" customFormat="1" x14ac:dyDescent="0.25">
      <c r="A1932" s="622" t="s">
        <v>29</v>
      </c>
      <c r="B1932" s="451">
        <f t="shared" ref="B1932:H1932" si="839">B1933*B1925</f>
        <v>0</v>
      </c>
      <c r="C1932" s="92">
        <f t="shared" si="839"/>
        <v>43887.711724137938</v>
      </c>
      <c r="D1932" s="92">
        <f t="shared" si="839"/>
        <v>0</v>
      </c>
      <c r="E1932" s="92">
        <f t="shared" si="839"/>
        <v>0</v>
      </c>
      <c r="F1932" s="92">
        <f t="shared" si="839"/>
        <v>0</v>
      </c>
      <c r="G1932" s="92">
        <f t="shared" si="839"/>
        <v>0</v>
      </c>
      <c r="H1932" s="92">
        <f t="shared" si="839"/>
        <v>0</v>
      </c>
      <c r="I1932" s="92">
        <f>'NOGAL '!$B1932+'NOGAL '!$C1932+'NOGAL '!$D1932+'NOGAL '!$E1932+'NOGAL '!$F1932+'NOGAL '!$G1932+'NOGAL '!$H1932</f>
        <v>43887.711724137938</v>
      </c>
      <c r="J1932" s="715">
        <f>'NOGAL '!$I1932/7</f>
        <v>6269.6731034482773</v>
      </c>
    </row>
    <row r="1933" spans="1:10" s="71" customFormat="1" x14ac:dyDescent="0.25">
      <c r="A1933" s="630" t="s">
        <v>30</v>
      </c>
      <c r="B1933" s="237">
        <f>(2174400/1.16)-B1934</f>
        <v>1780336.7586206899</v>
      </c>
      <c r="C1933" s="237">
        <f>(2693900/1.16)-C1934</f>
        <v>2194385.5862068967</v>
      </c>
      <c r="D1933" s="237">
        <f>(2046400/1.16)-D1934</f>
        <v>1674819.9310344828</v>
      </c>
      <c r="E1933" s="237">
        <f>(2775000/1.16)-E1934</f>
        <v>2271541.3793103448</v>
      </c>
      <c r="F1933" s="237">
        <f>(5013500/1.16)-F1934</f>
        <v>4092652.7586206896</v>
      </c>
      <c r="G1933" s="237">
        <f>(5904200/1.16)-G1934</f>
        <v>4809803.5862068972</v>
      </c>
      <c r="H1933" s="237">
        <f>(7078300/1.16)-H1934</f>
        <v>5727812.7586206896</v>
      </c>
      <c r="I1933" s="91">
        <f>SUM(I1928:I1932)</f>
        <v>22551352.758620691</v>
      </c>
      <c r="J1933" s="716">
        <f>'NOGAL '!$I1933/7</f>
        <v>3221621.8226600988</v>
      </c>
    </row>
    <row r="1934" spans="1:10" s="71" customFormat="1" x14ac:dyDescent="0.25">
      <c r="A1934" s="622" t="s">
        <v>31</v>
      </c>
      <c r="B1934" s="452">
        <f t="shared" ref="B1934:I1934" si="840">2414*B1915</f>
        <v>94146</v>
      </c>
      <c r="C1934" s="94">
        <f t="shared" si="840"/>
        <v>127942</v>
      </c>
      <c r="D1934" s="94">
        <f t="shared" si="840"/>
        <v>89318</v>
      </c>
      <c r="E1934" s="94">
        <f t="shared" si="840"/>
        <v>120700</v>
      </c>
      <c r="F1934" s="94">
        <f t="shared" si="840"/>
        <v>229330</v>
      </c>
      <c r="G1934" s="94">
        <f t="shared" si="840"/>
        <v>280024</v>
      </c>
      <c r="H1934" s="94">
        <f t="shared" si="840"/>
        <v>374170</v>
      </c>
      <c r="I1934" s="94">
        <f t="shared" si="840"/>
        <v>1315630</v>
      </c>
      <c r="J1934" s="717">
        <f>2155*J1915</f>
        <v>167782.14285714287</v>
      </c>
    </row>
    <row r="1935" spans="1:10" s="71" customFormat="1" x14ac:dyDescent="0.25">
      <c r="A1935" s="633" t="s">
        <v>32</v>
      </c>
      <c r="B1935" s="453">
        <f>B1933+B1934</f>
        <v>1874482.7586206899</v>
      </c>
      <c r="C1935" s="39">
        <f>C1933+C1934</f>
        <v>2322327.5862068967</v>
      </c>
      <c r="D1935" s="39">
        <f t="shared" ref="D1935:J1935" si="841">D1933+D1934</f>
        <v>1764137.9310344828</v>
      </c>
      <c r="E1935" s="39">
        <f t="shared" si="841"/>
        <v>2392241.3793103448</v>
      </c>
      <c r="F1935" s="39">
        <f t="shared" si="841"/>
        <v>4321982.7586206896</v>
      </c>
      <c r="G1935" s="39">
        <f t="shared" si="841"/>
        <v>5089827.5862068972</v>
      </c>
      <c r="H1935" s="39">
        <f t="shared" si="841"/>
        <v>6101982.7586206896</v>
      </c>
      <c r="I1935" s="39">
        <f t="shared" si="841"/>
        <v>23866982.758620691</v>
      </c>
      <c r="J1935" s="718">
        <f t="shared" si="841"/>
        <v>3389403.9655172415</v>
      </c>
    </row>
    <row r="1936" spans="1:10" s="71" customFormat="1" x14ac:dyDescent="0.25">
      <c r="A1936" s="622" t="s">
        <v>33</v>
      </c>
      <c r="B1936" s="454">
        <f>B1935*16%</f>
        <v>299917.24137931038</v>
      </c>
      <c r="C1936" s="41">
        <f>C1935*16%</f>
        <v>371572.41379310348</v>
      </c>
      <c r="D1936" s="41">
        <f t="shared" ref="D1936:J1936" si="842">D1935*16%</f>
        <v>282262.06896551728</v>
      </c>
      <c r="E1936" s="41">
        <f t="shared" si="842"/>
        <v>382758.62068965519</v>
      </c>
      <c r="F1936" s="41">
        <f t="shared" si="842"/>
        <v>691517.24137931038</v>
      </c>
      <c r="G1936" s="41">
        <f t="shared" si="842"/>
        <v>814372.41379310354</v>
      </c>
      <c r="H1936" s="41">
        <f t="shared" si="842"/>
        <v>976317.24137931038</v>
      </c>
      <c r="I1936" s="41">
        <f t="shared" si="842"/>
        <v>3818717.2413793104</v>
      </c>
      <c r="J1936" s="719">
        <f t="shared" si="842"/>
        <v>542304.6344827587</v>
      </c>
    </row>
    <row r="1937" spans="1:10" s="71" customFormat="1" ht="15.75" thickBot="1" x14ac:dyDescent="0.3">
      <c r="A1937" s="636" t="s">
        <v>34</v>
      </c>
      <c r="B1937" s="637">
        <f t="shared" ref="B1937:H1937" si="843">B1935+B1936</f>
        <v>2174400</v>
      </c>
      <c r="C1937" s="686">
        <f t="shared" si="843"/>
        <v>2693900</v>
      </c>
      <c r="D1937" s="686">
        <f t="shared" si="843"/>
        <v>2046400</v>
      </c>
      <c r="E1937" s="686">
        <f t="shared" si="843"/>
        <v>2775000</v>
      </c>
      <c r="F1937" s="686">
        <f t="shared" si="843"/>
        <v>5013500</v>
      </c>
      <c r="G1937" s="686">
        <f t="shared" si="843"/>
        <v>5904200.0000000009</v>
      </c>
      <c r="H1937" s="686">
        <f t="shared" si="843"/>
        <v>7078300</v>
      </c>
      <c r="I1937" s="686">
        <f>+I1935+I1936</f>
        <v>27685700</v>
      </c>
      <c r="J1937" s="720">
        <f>'NOGAL '!$I1937/7</f>
        <v>3955100</v>
      </c>
    </row>
    <row r="1938" spans="1:10" s="71" customFormat="1" ht="15.75" thickBot="1" x14ac:dyDescent="0.3">
      <c r="A1938" s="69"/>
      <c r="B1938" s="424"/>
      <c r="C1938" s="424"/>
      <c r="D1938" s="424"/>
      <c r="E1938" s="424"/>
      <c r="F1938" s="424"/>
      <c r="G1938" s="424"/>
      <c r="H1938" s="424"/>
      <c r="I1938" s="424"/>
      <c r="J1938" s="424"/>
    </row>
    <row r="1939" spans="1:10" s="71" customFormat="1" ht="27" thickBot="1" x14ac:dyDescent="0.3">
      <c r="A1939" s="85"/>
      <c r="B1939" s="1002" t="s">
        <v>652</v>
      </c>
      <c r="C1939" s="1002"/>
      <c r="D1939" s="1002"/>
      <c r="E1939" s="1002"/>
      <c r="F1939" s="1002"/>
      <c r="G1939" s="1002"/>
      <c r="H1939" s="1002"/>
      <c r="I1939" s="1002"/>
      <c r="J1939" s="85"/>
    </row>
    <row r="1940" spans="1:10" s="71" customFormat="1" ht="15.75" x14ac:dyDescent="0.25">
      <c r="A1940" s="614" t="s">
        <v>2</v>
      </c>
      <c r="B1940" s="706" t="s">
        <v>81</v>
      </c>
      <c r="C1940" s="641" t="s">
        <v>82</v>
      </c>
      <c r="D1940" s="641" t="s">
        <v>83</v>
      </c>
      <c r="E1940" s="641" t="s">
        <v>84</v>
      </c>
      <c r="F1940" s="641" t="s">
        <v>85</v>
      </c>
      <c r="G1940" s="641" t="s">
        <v>86</v>
      </c>
      <c r="H1940" s="641" t="s">
        <v>87</v>
      </c>
      <c r="I1940" s="618" t="s">
        <v>10</v>
      </c>
      <c r="J1940" s="711" t="s">
        <v>77</v>
      </c>
    </row>
    <row r="1941" spans="1:10" s="71" customFormat="1" x14ac:dyDescent="0.25">
      <c r="A1941" s="620" t="s">
        <v>11</v>
      </c>
      <c r="B1941" s="433">
        <f>49+17+9</f>
        <v>75</v>
      </c>
      <c r="C1941" s="75">
        <f>49+20+6</f>
        <v>75</v>
      </c>
      <c r="D1941" s="75">
        <f>58+11+5</f>
        <v>74</v>
      </c>
      <c r="E1941" s="316">
        <f>53+29+10</f>
        <v>92</v>
      </c>
      <c r="F1941" s="316">
        <f>114+44+17</f>
        <v>175</v>
      </c>
      <c r="G1941" s="316">
        <f>111+48+15</f>
        <v>174</v>
      </c>
      <c r="H1941" s="316">
        <f>117+63+35</f>
        <v>215</v>
      </c>
      <c r="I1941" s="316">
        <f>SUM(B1941:H1941)</f>
        <v>880</v>
      </c>
      <c r="J1941" s="712">
        <f>'NOGAL '!$I1941/7</f>
        <v>125.71428571428571</v>
      </c>
    </row>
    <row r="1942" spans="1:10" s="71" customFormat="1" x14ac:dyDescent="0.25">
      <c r="A1942" s="622" t="s">
        <v>12</v>
      </c>
      <c r="B1942" s="448">
        <v>39</v>
      </c>
      <c r="C1942" s="86">
        <v>46</v>
      </c>
      <c r="D1942" s="11">
        <v>43</v>
      </c>
      <c r="E1942" s="86">
        <v>48</v>
      </c>
      <c r="F1942" s="86">
        <v>103</v>
      </c>
      <c r="G1942" s="86">
        <v>108</v>
      </c>
      <c r="H1942" s="11">
        <v>145</v>
      </c>
      <c r="I1942" s="11">
        <f>B1942+C1942+D1942+E1942+F1942+G1942+H1942</f>
        <v>532</v>
      </c>
      <c r="J1942" s="684">
        <f>'NOGAL '!$I1942/7</f>
        <v>76</v>
      </c>
    </row>
    <row r="1943" spans="1:10" s="71" customFormat="1" x14ac:dyDescent="0.25">
      <c r="A1943" s="622" t="s">
        <v>13</v>
      </c>
      <c r="B1943" s="448">
        <v>0</v>
      </c>
      <c r="C1943" s="11">
        <v>2</v>
      </c>
      <c r="D1943" s="11">
        <v>1</v>
      </c>
      <c r="E1943" s="86">
        <v>1</v>
      </c>
      <c r="F1943" s="11">
        <v>1</v>
      </c>
      <c r="G1943" s="11">
        <v>2</v>
      </c>
      <c r="H1943" s="11">
        <v>2</v>
      </c>
      <c r="I1943" s="11">
        <f>B1943+C1943+D1943+E1943+F1943+G1943+H1943</f>
        <v>9</v>
      </c>
      <c r="J1943" s="684">
        <f>C1943+D1943+E1943+F1943+G1943+H1943+I1943</f>
        <v>18</v>
      </c>
    </row>
    <row r="1944" spans="1:10" s="71" customFormat="1" x14ac:dyDescent="0.25">
      <c r="A1944" s="622" t="s">
        <v>14</v>
      </c>
      <c r="B1944" s="448">
        <v>14</v>
      </c>
      <c r="C1944" s="11">
        <v>8</v>
      </c>
      <c r="D1944" s="11">
        <v>10</v>
      </c>
      <c r="E1944" s="11">
        <v>16</v>
      </c>
      <c r="F1944" s="11">
        <v>20</v>
      </c>
      <c r="G1944" s="11">
        <v>13</v>
      </c>
      <c r="H1944" s="11">
        <v>16</v>
      </c>
      <c r="I1944" s="11">
        <f>B1944+C1944+D1944+E1944+F1944+G1944+H1944</f>
        <v>97</v>
      </c>
      <c r="J1944" s="684">
        <f>'NOGAL '!$I1944/7</f>
        <v>13.857142857142858</v>
      </c>
    </row>
    <row r="1945" spans="1:10" s="71" customFormat="1" x14ac:dyDescent="0.25">
      <c r="A1945" s="622" t="s">
        <v>15</v>
      </c>
      <c r="B1945" s="448">
        <v>2</v>
      </c>
      <c r="C1945" s="11">
        <v>4</v>
      </c>
      <c r="D1945" s="11">
        <v>4</v>
      </c>
      <c r="E1945" s="11">
        <v>7</v>
      </c>
      <c r="F1945" s="11">
        <v>11</v>
      </c>
      <c r="G1945" s="11">
        <v>10</v>
      </c>
      <c r="H1945" s="11">
        <v>4</v>
      </c>
      <c r="I1945" s="11">
        <f>B1945+C1945+D1945+E1945+F1945+G1945+H1945</f>
        <v>42</v>
      </c>
      <c r="J1945" s="684">
        <f>'NOGAL '!$I1945/7</f>
        <v>6</v>
      </c>
    </row>
    <row r="1946" spans="1:10" s="71" customFormat="1" x14ac:dyDescent="0.25">
      <c r="A1946" s="622" t="s">
        <v>16</v>
      </c>
      <c r="B1946" s="448">
        <v>0</v>
      </c>
      <c r="C1946" s="11">
        <v>0</v>
      </c>
      <c r="D1946" s="11">
        <v>0</v>
      </c>
      <c r="E1946" s="11">
        <v>0</v>
      </c>
      <c r="F1946" s="11">
        <v>0</v>
      </c>
      <c r="G1946" s="11">
        <v>0</v>
      </c>
      <c r="H1946" s="11">
        <v>0</v>
      </c>
      <c r="I1946" s="11">
        <f>B1946+C1946+D1946+E1946+F1946+G1946+H1946</f>
        <v>0</v>
      </c>
      <c r="J1946" s="684">
        <f>'NOGAL '!$I1946/7</f>
        <v>0</v>
      </c>
    </row>
    <row r="1947" spans="1:10" s="71" customFormat="1" x14ac:dyDescent="0.25">
      <c r="A1947" s="624" t="s">
        <v>17</v>
      </c>
      <c r="B1947" s="102">
        <f t="shared" ref="B1947:I1947" si="844">SUM(B1942:B1946)</f>
        <v>55</v>
      </c>
      <c r="C1947" s="103">
        <f t="shared" si="844"/>
        <v>60</v>
      </c>
      <c r="D1947" s="103">
        <f t="shared" si="844"/>
        <v>58</v>
      </c>
      <c r="E1947" s="103">
        <f t="shared" si="844"/>
        <v>72</v>
      </c>
      <c r="F1947" s="103">
        <f t="shared" si="844"/>
        <v>135</v>
      </c>
      <c r="G1947" s="103">
        <f t="shared" si="844"/>
        <v>133</v>
      </c>
      <c r="H1947" s="103">
        <f t="shared" si="844"/>
        <v>167</v>
      </c>
      <c r="I1947" s="103">
        <f t="shared" si="844"/>
        <v>680</v>
      </c>
      <c r="J1947" s="713">
        <f>'NOGAL '!$I1947/7</f>
        <v>97.142857142857139</v>
      </c>
    </row>
    <row r="1948" spans="1:10" s="71" customFormat="1" x14ac:dyDescent="0.25">
      <c r="A1948" s="622" t="s">
        <v>18</v>
      </c>
      <c r="B1948" s="449">
        <v>0.85</v>
      </c>
      <c r="C1948" s="236">
        <v>0.82</v>
      </c>
      <c r="D1948" s="236">
        <v>0.84</v>
      </c>
      <c r="E1948" s="236">
        <v>0.75</v>
      </c>
      <c r="F1948" s="236">
        <v>0.82</v>
      </c>
      <c r="G1948" s="236">
        <v>0.86</v>
      </c>
      <c r="H1948" s="236">
        <v>0.9</v>
      </c>
      <c r="I1948" s="18">
        <f>I1955/I1960</f>
        <v>0.84481855571866138</v>
      </c>
      <c r="J1948" s="714">
        <f>J1955/J1960</f>
        <v>0.84481855571866127</v>
      </c>
    </row>
    <row r="1949" spans="1:10" s="71" customFormat="1" x14ac:dyDescent="0.25">
      <c r="A1949" s="622" t="s">
        <v>19</v>
      </c>
      <c r="B1949" s="449">
        <v>0</v>
      </c>
      <c r="C1949" s="236">
        <v>0.03</v>
      </c>
      <c r="D1949" s="236">
        <v>0.02</v>
      </c>
      <c r="E1949" s="236">
        <v>0.02</v>
      </c>
      <c r="F1949" s="236">
        <v>0.01</v>
      </c>
      <c r="G1949" s="236">
        <v>0.02</v>
      </c>
      <c r="H1949" s="236">
        <v>0.02</v>
      </c>
      <c r="I1949" s="18">
        <f>I1956/I1960</f>
        <v>1.7240776733683537E-2</v>
      </c>
      <c r="J1949" s="714">
        <f>J1956/J1960</f>
        <v>1.7240776733683537E-2</v>
      </c>
    </row>
    <row r="1950" spans="1:10" s="71" customFormat="1" x14ac:dyDescent="0.25">
      <c r="A1950" s="622" t="s">
        <v>20</v>
      </c>
      <c r="B1950" s="449">
        <v>0.12</v>
      </c>
      <c r="C1950" s="236">
        <v>0.11</v>
      </c>
      <c r="D1950" s="236">
        <v>0.11</v>
      </c>
      <c r="E1950" s="236">
        <v>0.16</v>
      </c>
      <c r="F1950" s="236">
        <v>0.12</v>
      </c>
      <c r="G1950" s="236">
        <v>0.03</v>
      </c>
      <c r="H1950" s="236">
        <v>7.0000000000000007E-2</v>
      </c>
      <c r="I1950" s="18">
        <f>I1957/I1960</f>
        <v>9.1865254427255766E-2</v>
      </c>
      <c r="J1950" s="714">
        <f>J1957/J1960</f>
        <v>9.1865254427255766E-2</v>
      </c>
    </row>
    <row r="1951" spans="1:10" s="71" customFormat="1" x14ac:dyDescent="0.25">
      <c r="A1951" s="622" t="s">
        <v>21</v>
      </c>
      <c r="B1951" s="449">
        <v>0.03</v>
      </c>
      <c r="C1951" s="236">
        <v>0.04</v>
      </c>
      <c r="D1951" s="236">
        <v>0.03</v>
      </c>
      <c r="E1951" s="236">
        <v>7.0000000000000007E-2</v>
      </c>
      <c r="F1951" s="236">
        <v>0.05</v>
      </c>
      <c r="G1951" s="236">
        <v>0.09</v>
      </c>
      <c r="H1951" s="236">
        <v>0.01</v>
      </c>
      <c r="I1951" s="18">
        <f>I1958/I1960</f>
        <v>4.6075413120399297E-2</v>
      </c>
      <c r="J1951" s="714">
        <f>J1958/J1960</f>
        <v>4.607541312039929E-2</v>
      </c>
    </row>
    <row r="1952" spans="1:10" s="71" customFormat="1" x14ac:dyDescent="0.25">
      <c r="A1952" s="622" t="s">
        <v>22</v>
      </c>
      <c r="B1952" s="449">
        <v>0</v>
      </c>
      <c r="C1952" s="236">
        <v>0</v>
      </c>
      <c r="D1952" s="236">
        <v>0</v>
      </c>
      <c r="E1952" s="236">
        <v>0</v>
      </c>
      <c r="F1952" s="236">
        <v>0</v>
      </c>
      <c r="G1952" s="236">
        <v>0</v>
      </c>
      <c r="H1952" s="236">
        <v>0</v>
      </c>
      <c r="I1952" s="18">
        <f>I1959/I1960</f>
        <v>0</v>
      </c>
      <c r="J1952" s="714">
        <f>J1959/J1960</f>
        <v>0</v>
      </c>
    </row>
    <row r="1953" spans="1:10" s="71" customFormat="1" x14ac:dyDescent="0.25">
      <c r="A1953" s="627" t="s">
        <v>23</v>
      </c>
      <c r="B1953" s="450">
        <f t="shared" ref="B1953:J1953" si="845">B1964/B1947</f>
        <v>37781.818181818184</v>
      </c>
      <c r="C1953" s="130">
        <f t="shared" si="845"/>
        <v>34971.666666666672</v>
      </c>
      <c r="D1953" s="130">
        <f t="shared" si="845"/>
        <v>38167.241379310348</v>
      </c>
      <c r="E1953" s="130">
        <f t="shared" si="845"/>
        <v>36463.888888888891</v>
      </c>
      <c r="F1953" s="130">
        <f t="shared" si="845"/>
        <v>36426.666666666672</v>
      </c>
      <c r="G1953" s="130">
        <f t="shared" si="845"/>
        <v>38703.007518796992</v>
      </c>
      <c r="H1953" s="130">
        <f t="shared" si="845"/>
        <v>37838.922155688626</v>
      </c>
      <c r="I1953" s="130">
        <f t="shared" si="845"/>
        <v>37352.352941176468</v>
      </c>
      <c r="J1953" s="685">
        <f t="shared" si="845"/>
        <v>37352.352941176476</v>
      </c>
    </row>
    <row r="1954" spans="1:10" s="71" customFormat="1" x14ac:dyDescent="0.25">
      <c r="A1954" s="627" t="s">
        <v>24</v>
      </c>
      <c r="B1954" s="450">
        <f t="shared" ref="B1954:J1954" si="846">B1964/B1941</f>
        <v>27706.666666666668</v>
      </c>
      <c r="C1954" s="130">
        <f t="shared" si="846"/>
        <v>27977.333333333339</v>
      </c>
      <c r="D1954" s="130">
        <f t="shared" si="846"/>
        <v>29914.864864864863</v>
      </c>
      <c r="E1954" s="130">
        <f t="shared" si="846"/>
        <v>28536.956521739132</v>
      </c>
      <c r="F1954" s="130">
        <f t="shared" si="846"/>
        <v>28100.571428571435</v>
      </c>
      <c r="G1954" s="130">
        <f t="shared" si="846"/>
        <v>29583.333333333332</v>
      </c>
      <c r="H1954" s="130">
        <f t="shared" si="846"/>
        <v>29391.162790697676</v>
      </c>
      <c r="I1954" s="130">
        <f t="shared" si="846"/>
        <v>28863.18181818182</v>
      </c>
      <c r="J1954" s="685">
        <f t="shared" si="846"/>
        <v>28863.18181818182</v>
      </c>
    </row>
    <row r="1955" spans="1:10" s="71" customFormat="1" x14ac:dyDescent="0.25">
      <c r="A1955" s="622" t="s">
        <v>25</v>
      </c>
      <c r="B1955" s="451">
        <f t="shared" ref="B1955:H1955" si="847">B1960*B1948</f>
        <v>1442648.3137931034</v>
      </c>
      <c r="C1955" s="92">
        <f t="shared" si="847"/>
        <v>1392224.9544827587</v>
      </c>
      <c r="D1955" s="92">
        <f t="shared" si="847"/>
        <v>1515830.4579310345</v>
      </c>
      <c r="E1955" s="92">
        <f t="shared" si="847"/>
        <v>1610552.8965517241</v>
      </c>
      <c r="F1955" s="92">
        <f t="shared" si="847"/>
        <v>3272348.0427586208</v>
      </c>
      <c r="G1955" s="92">
        <f t="shared" si="847"/>
        <v>3592037.68</v>
      </c>
      <c r="H1955" s="92">
        <f t="shared" si="847"/>
        <v>4587723</v>
      </c>
      <c r="I1955" s="92">
        <f>'NOGAL '!$B1955+'NOGAL '!$C1955+'NOGAL '!$D1955+'NOGAL '!$E1955+'NOGAL '!$F1955+'NOGAL '!$G1955+'NOGAL '!$H1955</f>
        <v>17413365.34551724</v>
      </c>
      <c r="J1955" s="715">
        <f>'NOGAL '!$I1955/7</f>
        <v>2487623.620788177</v>
      </c>
    </row>
    <row r="1956" spans="1:10" s="71" customFormat="1" x14ac:dyDescent="0.25">
      <c r="A1956" s="622" t="s">
        <v>26</v>
      </c>
      <c r="B1956" s="451">
        <f t="shared" ref="B1956:H1956" si="848">B1960*B1949</f>
        <v>0</v>
      </c>
      <c r="C1956" s="92">
        <f t="shared" si="848"/>
        <v>50935.059310344834</v>
      </c>
      <c r="D1956" s="92">
        <f t="shared" si="848"/>
        <v>36091.201379310347</v>
      </c>
      <c r="E1956" s="92">
        <f t="shared" si="848"/>
        <v>42948.077241379309</v>
      </c>
      <c r="F1956" s="92">
        <f t="shared" si="848"/>
        <v>39906.683448275871</v>
      </c>
      <c r="G1956" s="92">
        <f t="shared" si="848"/>
        <v>83535.759999999995</v>
      </c>
      <c r="H1956" s="92">
        <f t="shared" si="848"/>
        <v>101949.40000000001</v>
      </c>
      <c r="I1956" s="92">
        <f>'NOGAL '!$B1956+'NOGAL '!$C1956+'NOGAL '!$D1956+'NOGAL '!$E1956+'NOGAL '!$F1956+'NOGAL '!$G1956+'NOGAL '!$H1956</f>
        <v>355366.18137931038</v>
      </c>
      <c r="J1956" s="715">
        <f>'NOGAL '!$I1956/7</f>
        <v>50766.597339901484</v>
      </c>
    </row>
    <row r="1957" spans="1:10" s="71" customFormat="1" x14ac:dyDescent="0.25">
      <c r="A1957" s="622" t="s">
        <v>27</v>
      </c>
      <c r="B1957" s="451">
        <f t="shared" ref="B1957:H1957" si="849">B1960*B1950</f>
        <v>203667.99724137931</v>
      </c>
      <c r="C1957" s="92">
        <f t="shared" si="849"/>
        <v>186761.88413793108</v>
      </c>
      <c r="D1957" s="92">
        <f t="shared" si="849"/>
        <v>198501.60758620693</v>
      </c>
      <c r="E1957" s="92">
        <f t="shared" si="849"/>
        <v>343584.61793103447</v>
      </c>
      <c r="F1957" s="92">
        <f t="shared" si="849"/>
        <v>478880.2013793104</v>
      </c>
      <c r="G1957" s="92">
        <f t="shared" si="849"/>
        <v>125303.64</v>
      </c>
      <c r="H1957" s="92">
        <f t="shared" si="849"/>
        <v>356822.9</v>
      </c>
      <c r="I1957" s="92">
        <f>'NOGAL '!$B1957+'NOGAL '!$C1957+'NOGAL '!$D1957+'NOGAL '!$E1957+'NOGAL '!$F1957+'NOGAL '!$G1957+'NOGAL '!$H1957</f>
        <v>1893522.8482758622</v>
      </c>
      <c r="J1957" s="715">
        <f>'NOGAL '!$I1957/7</f>
        <v>270503.26403940888</v>
      </c>
    </row>
    <row r="1958" spans="1:10" s="71" customFormat="1" x14ac:dyDescent="0.25">
      <c r="A1958" s="622" t="s">
        <v>28</v>
      </c>
      <c r="B1958" s="451">
        <f t="shared" ref="B1958:H1958" si="850">B1960*B1951</f>
        <v>50916.999310344829</v>
      </c>
      <c r="C1958" s="92">
        <f t="shared" si="850"/>
        <v>67913.412413793121</v>
      </c>
      <c r="D1958" s="92">
        <f t="shared" si="850"/>
        <v>54136.802068965524</v>
      </c>
      <c r="E1958" s="92">
        <f t="shared" si="850"/>
        <v>150318.27034482762</v>
      </c>
      <c r="F1958" s="92">
        <f t="shared" si="850"/>
        <v>199533.41724137936</v>
      </c>
      <c r="G1958" s="92">
        <f t="shared" si="850"/>
        <v>375910.92</v>
      </c>
      <c r="H1958" s="92">
        <f t="shared" si="850"/>
        <v>50974.700000000004</v>
      </c>
      <c r="I1958" s="92">
        <f>'NOGAL '!$B1958+'NOGAL '!$C1958+'NOGAL '!$D1958+'NOGAL '!$E1958+'NOGAL '!$F1958+'NOGAL '!$G1958+'NOGAL '!$H1958</f>
        <v>949704.5213793104</v>
      </c>
      <c r="J1958" s="715">
        <f>'NOGAL '!$I1958/7</f>
        <v>135672.07448275862</v>
      </c>
    </row>
    <row r="1959" spans="1:10" s="71" customFormat="1" x14ac:dyDescent="0.25">
      <c r="A1959" s="622" t="s">
        <v>29</v>
      </c>
      <c r="B1959" s="451">
        <f t="shared" ref="B1959:H1959" si="851">B1960*B1952</f>
        <v>0</v>
      </c>
      <c r="C1959" s="92">
        <f t="shared" si="851"/>
        <v>0</v>
      </c>
      <c r="D1959" s="92">
        <f t="shared" si="851"/>
        <v>0</v>
      </c>
      <c r="E1959" s="92">
        <f t="shared" si="851"/>
        <v>0</v>
      </c>
      <c r="F1959" s="92">
        <f t="shared" si="851"/>
        <v>0</v>
      </c>
      <c r="G1959" s="92">
        <f t="shared" si="851"/>
        <v>0</v>
      </c>
      <c r="H1959" s="92">
        <f t="shared" si="851"/>
        <v>0</v>
      </c>
      <c r="I1959" s="92">
        <f>'NOGAL '!$B1959+'NOGAL '!$C1959+'NOGAL '!$D1959+'NOGAL '!$E1959+'NOGAL '!$F1959+'NOGAL '!$G1959+'NOGAL '!$H1959</f>
        <v>0</v>
      </c>
      <c r="J1959" s="715">
        <f>'NOGAL '!$I1959/7</f>
        <v>0</v>
      </c>
    </row>
    <row r="1960" spans="1:10" s="71" customFormat="1" x14ac:dyDescent="0.25">
      <c r="A1960" s="630" t="s">
        <v>30</v>
      </c>
      <c r="B1960" s="237">
        <f>(2078000/1.16)-B1961</f>
        <v>1697233.3103448276</v>
      </c>
      <c r="C1960" s="237">
        <f>(2098300/1.16)-C1961</f>
        <v>1697835.3103448278</v>
      </c>
      <c r="D1960" s="237">
        <f>(2213700/1.16)-D1961</f>
        <v>1804560.0689655175</v>
      </c>
      <c r="E1960" s="237">
        <f>(2625400/1.16)-E1961</f>
        <v>2147403.8620689656</v>
      </c>
      <c r="F1960" s="237">
        <f>(4917600/1.16)-F1961</f>
        <v>3990668.3448275868</v>
      </c>
      <c r="G1960" s="237">
        <f>(5147500/1.16)-G1961</f>
        <v>4176788</v>
      </c>
      <c r="H1960" s="237">
        <f>(6319100/1.16)-H1961</f>
        <v>5097470</v>
      </c>
      <c r="I1960" s="91">
        <f>SUM(I1955:I1959)</f>
        <v>20611958.896551725</v>
      </c>
      <c r="J1960" s="716">
        <f>'NOGAL '!$I1960/7</f>
        <v>2944565.5566502465</v>
      </c>
    </row>
    <row r="1961" spans="1:10" s="71" customFormat="1" x14ac:dyDescent="0.25">
      <c r="A1961" s="622" t="s">
        <v>31</v>
      </c>
      <c r="B1961" s="452">
        <f t="shared" ref="B1961:I1961" si="852">2414*B1942</f>
        <v>94146</v>
      </c>
      <c r="C1961" s="94">
        <f t="shared" si="852"/>
        <v>111044</v>
      </c>
      <c r="D1961" s="94">
        <f t="shared" si="852"/>
        <v>103802</v>
      </c>
      <c r="E1961" s="94">
        <f t="shared" si="852"/>
        <v>115872</v>
      </c>
      <c r="F1961" s="94">
        <f t="shared" si="852"/>
        <v>248642</v>
      </c>
      <c r="G1961" s="94">
        <f t="shared" si="852"/>
        <v>260712</v>
      </c>
      <c r="H1961" s="94">
        <f t="shared" si="852"/>
        <v>350030</v>
      </c>
      <c r="I1961" s="94">
        <f t="shared" si="852"/>
        <v>1284248</v>
      </c>
      <c r="J1961" s="717">
        <f>2155*J1942</f>
        <v>163780</v>
      </c>
    </row>
    <row r="1962" spans="1:10" s="71" customFormat="1" x14ac:dyDescent="0.25">
      <c r="A1962" s="633" t="s">
        <v>32</v>
      </c>
      <c r="B1962" s="453">
        <f>B1960+B1961</f>
        <v>1791379.3103448276</v>
      </c>
      <c r="C1962" s="39">
        <f>C1960+C1961</f>
        <v>1808879.3103448278</v>
      </c>
      <c r="D1962" s="39">
        <f t="shared" ref="D1962:J1962" si="853">D1960+D1961</f>
        <v>1908362.0689655175</v>
      </c>
      <c r="E1962" s="39">
        <f t="shared" si="853"/>
        <v>2263275.8620689656</v>
      </c>
      <c r="F1962" s="39">
        <f t="shared" si="853"/>
        <v>4239310.3448275868</v>
      </c>
      <c r="G1962" s="39">
        <f t="shared" si="853"/>
        <v>4437500</v>
      </c>
      <c r="H1962" s="39">
        <f t="shared" si="853"/>
        <v>5447500</v>
      </c>
      <c r="I1962" s="39">
        <f t="shared" si="853"/>
        <v>21896206.896551725</v>
      </c>
      <c r="J1962" s="718">
        <f t="shared" si="853"/>
        <v>3108345.5566502465</v>
      </c>
    </row>
    <row r="1963" spans="1:10" s="71" customFormat="1" x14ac:dyDescent="0.25">
      <c r="A1963" s="622" t="s">
        <v>33</v>
      </c>
      <c r="B1963" s="454">
        <f>B1962*16%</f>
        <v>286620.68965517241</v>
      </c>
      <c r="C1963" s="41">
        <f>C1962*16%</f>
        <v>289420.68965517246</v>
      </c>
      <c r="D1963" s="41">
        <f t="shared" ref="D1963:J1963" si="854">D1962*16%</f>
        <v>305337.93103448278</v>
      </c>
      <c r="E1963" s="41">
        <f t="shared" si="854"/>
        <v>362124.13793103449</v>
      </c>
      <c r="F1963" s="41">
        <f t="shared" si="854"/>
        <v>678289.65517241391</v>
      </c>
      <c r="G1963" s="41">
        <f t="shared" si="854"/>
        <v>710000</v>
      </c>
      <c r="H1963" s="41">
        <f t="shared" si="854"/>
        <v>871600</v>
      </c>
      <c r="I1963" s="41">
        <f t="shared" si="854"/>
        <v>3503393.1034482759</v>
      </c>
      <c r="J1963" s="719">
        <f t="shared" si="854"/>
        <v>497335.28906403948</v>
      </c>
    </row>
    <row r="1964" spans="1:10" s="71" customFormat="1" ht="15.75" thickBot="1" x14ac:dyDescent="0.3">
      <c r="A1964" s="636" t="s">
        <v>34</v>
      </c>
      <c r="B1964" s="637">
        <f t="shared" ref="B1964:H1964" si="855">B1962+B1963</f>
        <v>2078000</v>
      </c>
      <c r="C1964" s="686">
        <f t="shared" si="855"/>
        <v>2098300.0000000005</v>
      </c>
      <c r="D1964" s="686">
        <f t="shared" si="855"/>
        <v>2213700</v>
      </c>
      <c r="E1964" s="686">
        <f t="shared" si="855"/>
        <v>2625400</v>
      </c>
      <c r="F1964" s="686">
        <f t="shared" si="855"/>
        <v>4917600.0000000009</v>
      </c>
      <c r="G1964" s="686">
        <f t="shared" si="855"/>
        <v>5147500</v>
      </c>
      <c r="H1964" s="686">
        <f t="shared" si="855"/>
        <v>6319100</v>
      </c>
      <c r="I1964" s="686">
        <f>+I1962+I1963</f>
        <v>25399600</v>
      </c>
      <c r="J1964" s="720">
        <f>'NOGAL '!$I1964/7</f>
        <v>3628514.2857142859</v>
      </c>
    </row>
    <row r="1965" spans="1:10" s="71" customFormat="1" ht="15.75" thickBot="1" x14ac:dyDescent="0.3">
      <c r="A1965" s="69"/>
      <c r="B1965" s="424"/>
      <c r="C1965" s="424"/>
      <c r="D1965" s="424"/>
      <c r="E1965" s="424"/>
      <c r="F1965" s="424"/>
      <c r="G1965" s="424"/>
      <c r="H1965" s="424"/>
      <c r="I1965" s="424"/>
      <c r="J1965" s="424"/>
    </row>
    <row r="1966" spans="1:10" s="71" customFormat="1" ht="27" thickBot="1" x14ac:dyDescent="0.3">
      <c r="A1966" s="85"/>
      <c r="B1966" s="1002" t="s">
        <v>656</v>
      </c>
      <c r="C1966" s="1002"/>
      <c r="D1966" s="1002"/>
      <c r="E1966" s="1002"/>
      <c r="F1966" s="1002"/>
      <c r="G1966" s="1002"/>
      <c r="H1966" s="1002"/>
      <c r="I1966" s="1002"/>
      <c r="J1966" s="85"/>
    </row>
    <row r="1967" spans="1:10" s="71" customFormat="1" ht="15.75" x14ac:dyDescent="0.25">
      <c r="A1967" s="614" t="s">
        <v>2</v>
      </c>
      <c r="B1967" s="706" t="s">
        <v>89</v>
      </c>
      <c r="C1967" s="641" t="s">
        <v>90</v>
      </c>
      <c r="D1967" s="641" t="s">
        <v>172</v>
      </c>
      <c r="E1967" s="641" t="s">
        <v>324</v>
      </c>
      <c r="F1967" s="641" t="s">
        <v>325</v>
      </c>
      <c r="G1967" s="641" t="s">
        <v>326</v>
      </c>
      <c r="H1967" s="641" t="s">
        <v>327</v>
      </c>
      <c r="I1967" s="618" t="s">
        <v>10</v>
      </c>
      <c r="J1967" s="711" t="s">
        <v>77</v>
      </c>
    </row>
    <row r="1968" spans="1:10" s="71" customFormat="1" x14ac:dyDescent="0.25">
      <c r="A1968" s="620" t="s">
        <v>11</v>
      </c>
      <c r="B1968" s="433">
        <f>43+14+8</f>
        <v>65</v>
      </c>
      <c r="C1968" s="75">
        <f>68+26+9</f>
        <v>103</v>
      </c>
      <c r="D1968" s="75">
        <f>68+36+5</f>
        <v>109</v>
      </c>
      <c r="E1968" s="316">
        <f>72+27+9</f>
        <v>108</v>
      </c>
      <c r="F1968" s="316">
        <f>155+56+30</f>
        <v>241</v>
      </c>
      <c r="G1968" s="316">
        <f>108+55+29</f>
        <v>192</v>
      </c>
      <c r="H1968" s="316">
        <f>111+62+20</f>
        <v>193</v>
      </c>
      <c r="I1968" s="316">
        <f>SUM(B1968:H1968)</f>
        <v>1011</v>
      </c>
      <c r="J1968" s="712">
        <f>'NOGAL '!$I1968/7</f>
        <v>144.42857142857142</v>
      </c>
    </row>
    <row r="1969" spans="1:10" s="71" customFormat="1" x14ac:dyDescent="0.25">
      <c r="A1969" s="622" t="s">
        <v>12</v>
      </c>
      <c r="B1969" s="448">
        <v>33</v>
      </c>
      <c r="C1969" s="86">
        <v>59</v>
      </c>
      <c r="D1969" s="11">
        <v>68</v>
      </c>
      <c r="E1969" s="86">
        <v>65</v>
      </c>
      <c r="F1969" s="86">
        <v>128</v>
      </c>
      <c r="G1969" s="86">
        <v>116</v>
      </c>
      <c r="H1969" s="11">
        <v>132</v>
      </c>
      <c r="I1969" s="11">
        <f>B1969+C1969+D1969+E1969+F1969+G1969+H1969</f>
        <v>601</v>
      </c>
      <c r="J1969" s="684">
        <f>'NOGAL '!$I1969/7</f>
        <v>85.857142857142861</v>
      </c>
    </row>
    <row r="1970" spans="1:10" s="71" customFormat="1" x14ac:dyDescent="0.25">
      <c r="A1970" s="622" t="s">
        <v>13</v>
      </c>
      <c r="B1970" s="448">
        <v>2</v>
      </c>
      <c r="C1970" s="11">
        <v>1</v>
      </c>
      <c r="D1970" s="11">
        <v>2</v>
      </c>
      <c r="E1970" s="86">
        <v>0</v>
      </c>
      <c r="F1970" s="11">
        <v>3</v>
      </c>
      <c r="G1970" s="11">
        <v>8</v>
      </c>
      <c r="H1970" s="11">
        <v>5</v>
      </c>
      <c r="I1970" s="11">
        <f>B1970+C1970+D1970+E1970+F1970+G1970+H1970</f>
        <v>21</v>
      </c>
      <c r="J1970" s="684">
        <f>C1970+D1970+E1970+F1970+G1970+H1970+I1970</f>
        <v>40</v>
      </c>
    </row>
    <row r="1971" spans="1:10" s="71" customFormat="1" x14ac:dyDescent="0.25">
      <c r="A1971" s="622" t="s">
        <v>14</v>
      </c>
      <c r="B1971" s="448">
        <v>9</v>
      </c>
      <c r="C1971" s="11">
        <v>15</v>
      </c>
      <c r="D1971" s="11">
        <v>8</v>
      </c>
      <c r="E1971" s="11">
        <v>18</v>
      </c>
      <c r="F1971" s="11">
        <v>46</v>
      </c>
      <c r="G1971" s="11">
        <v>11</v>
      </c>
      <c r="H1971" s="11">
        <v>9</v>
      </c>
      <c r="I1971" s="11">
        <f>B1971+C1971+D1971+E1971+F1971+G1971+H1971</f>
        <v>116</v>
      </c>
      <c r="J1971" s="684">
        <f>'NOGAL '!$I1971/7</f>
        <v>16.571428571428573</v>
      </c>
    </row>
    <row r="1972" spans="1:10" s="71" customFormat="1" x14ac:dyDescent="0.25">
      <c r="A1972" s="622" t="s">
        <v>15</v>
      </c>
      <c r="B1972" s="448">
        <v>3</v>
      </c>
      <c r="C1972" s="11">
        <v>5</v>
      </c>
      <c r="D1972" s="11">
        <v>4</v>
      </c>
      <c r="E1972" s="11">
        <v>3</v>
      </c>
      <c r="F1972" s="11">
        <v>5</v>
      </c>
      <c r="G1972" s="11">
        <v>8</v>
      </c>
      <c r="H1972" s="11">
        <v>2</v>
      </c>
      <c r="I1972" s="11">
        <f>B1972+C1972+D1972+E1972+F1972+G1972+H1972</f>
        <v>30</v>
      </c>
      <c r="J1972" s="684">
        <f>'NOGAL '!$I1972/7</f>
        <v>4.2857142857142856</v>
      </c>
    </row>
    <row r="1973" spans="1:10" s="71" customFormat="1" x14ac:dyDescent="0.25">
      <c r="A1973" s="622" t="s">
        <v>16</v>
      </c>
      <c r="B1973" s="448">
        <v>0</v>
      </c>
      <c r="C1973" s="11">
        <v>0</v>
      </c>
      <c r="D1973" s="11">
        <v>0</v>
      </c>
      <c r="E1973" s="11">
        <v>0</v>
      </c>
      <c r="F1973" s="11">
        <v>0</v>
      </c>
      <c r="G1973" s="11">
        <v>0</v>
      </c>
      <c r="H1973" s="11">
        <v>0</v>
      </c>
      <c r="I1973" s="11">
        <f>B1973+C1973+D1973+E1973+F1973+G1973+H1973</f>
        <v>0</v>
      </c>
      <c r="J1973" s="684">
        <f>'NOGAL '!$I1973/7</f>
        <v>0</v>
      </c>
    </row>
    <row r="1974" spans="1:10" s="71" customFormat="1" x14ac:dyDescent="0.25">
      <c r="A1974" s="624" t="s">
        <v>17</v>
      </c>
      <c r="B1974" s="102">
        <f t="shared" ref="B1974:I1974" si="856">SUM(B1969:B1973)</f>
        <v>47</v>
      </c>
      <c r="C1974" s="103">
        <f t="shared" si="856"/>
        <v>80</v>
      </c>
      <c r="D1974" s="103">
        <f t="shared" si="856"/>
        <v>82</v>
      </c>
      <c r="E1974" s="103">
        <f t="shared" si="856"/>
        <v>86</v>
      </c>
      <c r="F1974" s="103">
        <f t="shared" si="856"/>
        <v>182</v>
      </c>
      <c r="G1974" s="103">
        <f t="shared" si="856"/>
        <v>143</v>
      </c>
      <c r="H1974" s="103">
        <f t="shared" si="856"/>
        <v>148</v>
      </c>
      <c r="I1974" s="103">
        <f t="shared" si="856"/>
        <v>768</v>
      </c>
      <c r="J1974" s="713">
        <f>'NOGAL '!$I1974/7</f>
        <v>109.71428571428571</v>
      </c>
    </row>
    <row r="1975" spans="1:10" s="71" customFormat="1" x14ac:dyDescent="0.25">
      <c r="A1975" s="622" t="s">
        <v>18</v>
      </c>
      <c r="B1975" s="449">
        <v>0.81</v>
      </c>
      <c r="C1975" s="236">
        <v>0.83</v>
      </c>
      <c r="D1975" s="236">
        <v>0.9</v>
      </c>
      <c r="E1975" s="236">
        <v>0.82</v>
      </c>
      <c r="F1975" s="236">
        <v>0.78</v>
      </c>
      <c r="G1975" s="236">
        <v>0.85</v>
      </c>
      <c r="H1975" s="236">
        <v>0.93</v>
      </c>
      <c r="I1975" s="18">
        <f>I1982/I1987</f>
        <v>0.84748749944370905</v>
      </c>
      <c r="J1975" s="714">
        <f>J1982/J1987</f>
        <v>0.84748749944370905</v>
      </c>
    </row>
    <row r="1976" spans="1:10" s="71" customFormat="1" x14ac:dyDescent="0.25">
      <c r="A1976" s="622" t="s">
        <v>19</v>
      </c>
      <c r="B1976" s="449">
        <v>0.02</v>
      </c>
      <c r="C1976" s="236">
        <v>0.01</v>
      </c>
      <c r="D1976" s="236">
        <v>0.02</v>
      </c>
      <c r="E1976" s="236">
        <v>0</v>
      </c>
      <c r="F1976" s="236">
        <v>0.02</v>
      </c>
      <c r="G1976" s="236">
        <v>0.05</v>
      </c>
      <c r="H1976" s="236">
        <v>0.03</v>
      </c>
      <c r="I1976" s="18">
        <f>I1983/I1987</f>
        <v>2.4581938585444801E-2</v>
      </c>
      <c r="J1976" s="714">
        <f>J1983/J1987</f>
        <v>2.4581938585444798E-2</v>
      </c>
    </row>
    <row r="1977" spans="1:10" s="71" customFormat="1" x14ac:dyDescent="0.25">
      <c r="A1977" s="622" t="s">
        <v>20</v>
      </c>
      <c r="B1977" s="449">
        <v>0.12</v>
      </c>
      <c r="C1977" s="236">
        <v>0.12</v>
      </c>
      <c r="D1977" s="236">
        <v>0.06</v>
      </c>
      <c r="E1977" s="236">
        <v>0.17</v>
      </c>
      <c r="F1977" s="236">
        <v>0.18</v>
      </c>
      <c r="G1977" s="236">
        <v>0.06</v>
      </c>
      <c r="H1977" s="236">
        <v>0.03</v>
      </c>
      <c r="I1977" s="18">
        <f>I1984/I1987</f>
        <v>0.10318350618157215</v>
      </c>
      <c r="J1977" s="714">
        <f>J1984/J1987</f>
        <v>0.10318350618157214</v>
      </c>
    </row>
    <row r="1978" spans="1:10" s="71" customFormat="1" x14ac:dyDescent="0.25">
      <c r="A1978" s="622" t="s">
        <v>21</v>
      </c>
      <c r="B1978" s="449">
        <v>0.05</v>
      </c>
      <c r="C1978" s="236">
        <v>0.04</v>
      </c>
      <c r="D1978" s="236">
        <v>0.02</v>
      </c>
      <c r="E1978" s="236">
        <v>0.01</v>
      </c>
      <c r="F1978" s="236">
        <v>0.02</v>
      </c>
      <c r="G1978" s="236">
        <v>0.04</v>
      </c>
      <c r="H1978" s="236">
        <v>0.01</v>
      </c>
      <c r="I1978" s="18">
        <f>I1985/I1987</f>
        <v>2.4747055789273942E-2</v>
      </c>
      <c r="J1978" s="714">
        <f>J1985/J1987</f>
        <v>2.4747055789273942E-2</v>
      </c>
    </row>
    <row r="1979" spans="1:10" s="71" customFormat="1" x14ac:dyDescent="0.25">
      <c r="A1979" s="622" t="s">
        <v>22</v>
      </c>
      <c r="B1979" s="449">
        <v>0</v>
      </c>
      <c r="C1979" s="236">
        <v>0</v>
      </c>
      <c r="D1979" s="236">
        <v>0</v>
      </c>
      <c r="E1979" s="236">
        <v>0</v>
      </c>
      <c r="F1979" s="236">
        <v>0</v>
      </c>
      <c r="G1979" s="236">
        <v>0</v>
      </c>
      <c r="H1979" s="236">
        <v>0</v>
      </c>
      <c r="I1979" s="18">
        <f>I1986/I1987</f>
        <v>0</v>
      </c>
      <c r="J1979" s="714">
        <f>J1986/J1987</f>
        <v>0</v>
      </c>
    </row>
    <row r="1980" spans="1:10" s="71" customFormat="1" x14ac:dyDescent="0.25">
      <c r="A1980" s="627" t="s">
        <v>23</v>
      </c>
      <c r="B1980" s="450">
        <f t="shared" ref="B1980:J1980" si="857">B1991/B1974</f>
        <v>38987.234042553195</v>
      </c>
      <c r="C1980" s="130">
        <f t="shared" si="857"/>
        <v>37870</v>
      </c>
      <c r="D1980" s="130">
        <f t="shared" si="857"/>
        <v>42203.658536585368</v>
      </c>
      <c r="E1980" s="130">
        <f t="shared" si="857"/>
        <v>36184.883720930236</v>
      </c>
      <c r="F1980" s="130">
        <f t="shared" si="857"/>
        <v>37677.472527472535</v>
      </c>
      <c r="G1980" s="130">
        <f t="shared" si="857"/>
        <v>39971.328671328672</v>
      </c>
      <c r="H1980" s="130">
        <f t="shared" si="857"/>
        <v>39279.054054054053</v>
      </c>
      <c r="I1980" s="130">
        <f t="shared" si="857"/>
        <v>38829.557291666672</v>
      </c>
      <c r="J1980" s="685">
        <f t="shared" si="857"/>
        <v>38829.557291666679</v>
      </c>
    </row>
    <row r="1981" spans="1:10" s="71" customFormat="1" x14ac:dyDescent="0.25">
      <c r="A1981" s="627" t="s">
        <v>24</v>
      </c>
      <c r="B1981" s="450">
        <f t="shared" ref="B1981:J1981" si="858">B1991/B1968</f>
        <v>28190.76923076923</v>
      </c>
      <c r="C1981" s="130">
        <f t="shared" si="858"/>
        <v>29413.592233009709</v>
      </c>
      <c r="D1981" s="130">
        <f t="shared" si="858"/>
        <v>31749.541284403669</v>
      </c>
      <c r="E1981" s="130">
        <f t="shared" si="858"/>
        <v>28813.888888888894</v>
      </c>
      <c r="F1981" s="130">
        <f t="shared" si="858"/>
        <v>28453.526970954361</v>
      </c>
      <c r="G1981" s="130">
        <f t="shared" si="858"/>
        <v>29770.3125</v>
      </c>
      <c r="H1981" s="130">
        <f t="shared" si="858"/>
        <v>30120.725388601037</v>
      </c>
      <c r="I1981" s="130">
        <f t="shared" si="858"/>
        <v>29496.636993076165</v>
      </c>
      <c r="J1981" s="685">
        <f t="shared" si="858"/>
        <v>29496.636993076168</v>
      </c>
    </row>
    <row r="1982" spans="1:10" s="71" customFormat="1" x14ac:dyDescent="0.25">
      <c r="A1982" s="622" t="s">
        <v>25</v>
      </c>
      <c r="B1982" s="451">
        <f t="shared" ref="B1982:H1982" si="859">B1987*B1975</f>
        <v>1214994.4696551724</v>
      </c>
      <c r="C1982" s="92">
        <f t="shared" si="859"/>
        <v>2049517.4544827584</v>
      </c>
      <c r="D1982" s="92">
        <f t="shared" si="859"/>
        <v>2537289.0620689658</v>
      </c>
      <c r="E1982" s="92">
        <f t="shared" si="859"/>
        <v>2071125.1793103449</v>
      </c>
      <c r="F1982" s="92">
        <f t="shared" si="859"/>
        <v>4369929.3434482766</v>
      </c>
      <c r="G1982" s="92">
        <f t="shared" si="859"/>
        <v>3950354.6</v>
      </c>
      <c r="H1982" s="92">
        <f t="shared" si="859"/>
        <v>4364320.2910344834</v>
      </c>
      <c r="I1982" s="92">
        <f>'NOGAL '!$B1982+'NOGAL '!$C1982+'NOGAL '!$D1982+'NOGAL '!$E1982+'NOGAL '!$F1982+'NOGAL '!$G1982+'NOGAL '!$H1982</f>
        <v>20557530.400000002</v>
      </c>
      <c r="J1982" s="715">
        <f>'NOGAL '!$I1982/7</f>
        <v>2936790.0571428575</v>
      </c>
    </row>
    <row r="1983" spans="1:10" s="71" customFormat="1" x14ac:dyDescent="0.25">
      <c r="A1983" s="622" t="s">
        <v>26</v>
      </c>
      <c r="B1983" s="451">
        <f t="shared" ref="B1983:H1983" si="860">B1987*B1976</f>
        <v>29999.863448275864</v>
      </c>
      <c r="C1983" s="92">
        <f t="shared" si="860"/>
        <v>24692.981379310346</v>
      </c>
      <c r="D1983" s="92">
        <f t="shared" si="860"/>
        <v>56384.201379310347</v>
      </c>
      <c r="E1983" s="92">
        <f t="shared" si="860"/>
        <v>0</v>
      </c>
      <c r="F1983" s="92">
        <f t="shared" si="860"/>
        <v>112049.47034482761</v>
      </c>
      <c r="G1983" s="92">
        <f t="shared" si="860"/>
        <v>232373.80000000002</v>
      </c>
      <c r="H1983" s="92">
        <f t="shared" si="860"/>
        <v>140784.52551724136</v>
      </c>
      <c r="I1983" s="92">
        <f>'NOGAL '!$B1983+'NOGAL '!$C1983+'NOGAL '!$D1983+'NOGAL '!$E1983+'NOGAL '!$F1983+'NOGAL '!$G1983+'NOGAL '!$H1983</f>
        <v>596284.84206896555</v>
      </c>
      <c r="J1983" s="715">
        <f>'NOGAL '!$I1983/7</f>
        <v>85183.548866995072</v>
      </c>
    </row>
    <row r="1984" spans="1:10" s="71" customFormat="1" x14ac:dyDescent="0.25">
      <c r="A1984" s="622" t="s">
        <v>27</v>
      </c>
      <c r="B1984" s="451">
        <f t="shared" ref="B1984:H1984" si="861">B1987*B1977</f>
        <v>179999.18068965519</v>
      </c>
      <c r="C1984" s="92">
        <f t="shared" si="861"/>
        <v>296315.77655172412</v>
      </c>
      <c r="D1984" s="92">
        <f t="shared" si="861"/>
        <v>169152.60413793105</v>
      </c>
      <c r="E1984" s="92">
        <f t="shared" si="861"/>
        <v>429379.6103448277</v>
      </c>
      <c r="F1984" s="92">
        <f t="shared" si="861"/>
        <v>1008445.2331034484</v>
      </c>
      <c r="G1984" s="92">
        <f t="shared" si="861"/>
        <v>278848.56</v>
      </c>
      <c r="H1984" s="92">
        <f t="shared" si="861"/>
        <v>140784.52551724136</v>
      </c>
      <c r="I1984" s="92">
        <f>'NOGAL '!$B1984+'NOGAL '!$C1984+'NOGAL '!$D1984+'NOGAL '!$E1984+'NOGAL '!$F1984+'NOGAL '!$G1984+'NOGAL '!$H1984</f>
        <v>2502925.490344828</v>
      </c>
      <c r="J1984" s="715">
        <f>'NOGAL '!$I1984/7</f>
        <v>357560.78433497541</v>
      </c>
    </row>
    <row r="1985" spans="1:10" s="71" customFormat="1" x14ac:dyDescent="0.25">
      <c r="A1985" s="622" t="s">
        <v>28</v>
      </c>
      <c r="B1985" s="451">
        <f t="shared" ref="B1985:H1985" si="862">B1987*B1978</f>
        <v>74999.658620689661</v>
      </c>
      <c r="C1985" s="92">
        <f t="shared" si="862"/>
        <v>98771.925517241383</v>
      </c>
      <c r="D1985" s="92">
        <f t="shared" si="862"/>
        <v>56384.201379310347</v>
      </c>
      <c r="E1985" s="92">
        <f t="shared" si="862"/>
        <v>25257.624137931038</v>
      </c>
      <c r="F1985" s="92">
        <f t="shared" si="862"/>
        <v>112049.47034482761</v>
      </c>
      <c r="G1985" s="92">
        <f t="shared" si="862"/>
        <v>185899.04</v>
      </c>
      <c r="H1985" s="92">
        <f t="shared" si="862"/>
        <v>46928.175172413794</v>
      </c>
      <c r="I1985" s="92">
        <f>'NOGAL '!$B1985+'NOGAL '!$C1985+'NOGAL '!$D1985+'NOGAL '!$E1985+'NOGAL '!$F1985+'NOGAL '!$G1985+'NOGAL '!$H1985</f>
        <v>600290.09517241386</v>
      </c>
      <c r="J1985" s="715">
        <f>'NOGAL '!$I1985/7</f>
        <v>85755.727881773404</v>
      </c>
    </row>
    <row r="1986" spans="1:10" s="71" customFormat="1" x14ac:dyDescent="0.25">
      <c r="A1986" s="622" t="s">
        <v>29</v>
      </c>
      <c r="B1986" s="451">
        <f t="shared" ref="B1986:H1986" si="863">B1987*B1979</f>
        <v>0</v>
      </c>
      <c r="C1986" s="92">
        <f t="shared" si="863"/>
        <v>0</v>
      </c>
      <c r="D1986" s="92">
        <f t="shared" si="863"/>
        <v>0</v>
      </c>
      <c r="E1986" s="92">
        <f t="shared" si="863"/>
        <v>0</v>
      </c>
      <c r="F1986" s="92">
        <f t="shared" si="863"/>
        <v>0</v>
      </c>
      <c r="G1986" s="92">
        <f t="shared" si="863"/>
        <v>0</v>
      </c>
      <c r="H1986" s="92">
        <f t="shared" si="863"/>
        <v>0</v>
      </c>
      <c r="I1986" s="92">
        <f>'NOGAL '!$B1986+'NOGAL '!$C1986+'NOGAL '!$D1986+'NOGAL '!$E1986+'NOGAL '!$F1986+'NOGAL '!$G1986+'NOGAL '!$H1986</f>
        <v>0</v>
      </c>
      <c r="J1986" s="715">
        <f>'NOGAL '!$I1986/7</f>
        <v>0</v>
      </c>
    </row>
    <row r="1987" spans="1:10" s="71" customFormat="1" x14ac:dyDescent="0.25">
      <c r="A1987" s="630" t="s">
        <v>30</v>
      </c>
      <c r="B1987" s="237">
        <f>(1832400/1.16)-B1988</f>
        <v>1499993.1724137932</v>
      </c>
      <c r="C1987" s="237">
        <f>(3029600/1.16)-C1988</f>
        <v>2469298.1379310344</v>
      </c>
      <c r="D1987" s="237">
        <f>(3460700/1.16)-D1988</f>
        <v>2819210.0689655175</v>
      </c>
      <c r="E1987" s="237">
        <f>(3111900/1.16)-E1988</f>
        <v>2525762.4137931038</v>
      </c>
      <c r="F1987" s="237">
        <f>(6857300/1.16)-F1988</f>
        <v>5602473.5172413802</v>
      </c>
      <c r="G1987" s="237">
        <f>(5715900/1.16)-G1988</f>
        <v>4647476</v>
      </c>
      <c r="H1987" s="237">
        <f>(5813300/1.16)-H1988</f>
        <v>4692817.5172413792</v>
      </c>
      <c r="I1987" s="91">
        <f>SUM(I1982:I1986)</f>
        <v>24257030.827586211</v>
      </c>
      <c r="J1987" s="716">
        <f>'NOGAL '!$I1987/7</f>
        <v>3465290.1182266017</v>
      </c>
    </row>
    <row r="1988" spans="1:10" s="71" customFormat="1" x14ac:dyDescent="0.25">
      <c r="A1988" s="622" t="s">
        <v>31</v>
      </c>
      <c r="B1988" s="452">
        <f t="shared" ref="B1988:I1988" si="864">2414*B1969</f>
        <v>79662</v>
      </c>
      <c r="C1988" s="94">
        <f t="shared" si="864"/>
        <v>142426</v>
      </c>
      <c r="D1988" s="94">
        <f t="shared" si="864"/>
        <v>164152</v>
      </c>
      <c r="E1988" s="94">
        <f t="shared" si="864"/>
        <v>156910</v>
      </c>
      <c r="F1988" s="94">
        <f t="shared" si="864"/>
        <v>308992</v>
      </c>
      <c r="G1988" s="94">
        <f t="shared" si="864"/>
        <v>280024</v>
      </c>
      <c r="H1988" s="94">
        <f t="shared" si="864"/>
        <v>318648</v>
      </c>
      <c r="I1988" s="94">
        <f t="shared" si="864"/>
        <v>1450814</v>
      </c>
      <c r="J1988" s="717">
        <f>2155*J1969</f>
        <v>185022.14285714287</v>
      </c>
    </row>
    <row r="1989" spans="1:10" s="71" customFormat="1" x14ac:dyDescent="0.25">
      <c r="A1989" s="633" t="s">
        <v>32</v>
      </c>
      <c r="B1989" s="453">
        <f>B1987+B1988</f>
        <v>1579655.1724137932</v>
      </c>
      <c r="C1989" s="39">
        <f>C1987+C1988</f>
        <v>2611724.1379310344</v>
      </c>
      <c r="D1989" s="39">
        <f t="shared" ref="D1989:J1989" si="865">D1987+D1988</f>
        <v>2983362.0689655175</v>
      </c>
      <c r="E1989" s="39">
        <f t="shared" si="865"/>
        <v>2682672.4137931038</v>
      </c>
      <c r="F1989" s="39">
        <f t="shared" si="865"/>
        <v>5911465.5172413802</v>
      </c>
      <c r="G1989" s="39">
        <f t="shared" si="865"/>
        <v>4927500</v>
      </c>
      <c r="H1989" s="39">
        <f t="shared" si="865"/>
        <v>5011465.5172413792</v>
      </c>
      <c r="I1989" s="39">
        <f t="shared" si="865"/>
        <v>25707844.827586211</v>
      </c>
      <c r="J1989" s="718">
        <f t="shared" si="865"/>
        <v>3650312.2610837445</v>
      </c>
    </row>
    <row r="1990" spans="1:10" s="71" customFormat="1" x14ac:dyDescent="0.25">
      <c r="A1990" s="622" t="s">
        <v>33</v>
      </c>
      <c r="B1990" s="454">
        <f>B1989*16%</f>
        <v>252744.8275862069</v>
      </c>
      <c r="C1990" s="41">
        <f>C1989*16%</f>
        <v>417875.86206896551</v>
      </c>
      <c r="D1990" s="41">
        <f t="shared" ref="D1990:J1990" si="866">D1989*16%</f>
        <v>477337.93103448278</v>
      </c>
      <c r="E1990" s="41">
        <f t="shared" si="866"/>
        <v>429227.58620689664</v>
      </c>
      <c r="F1990" s="41">
        <f t="shared" si="866"/>
        <v>945834.48275862087</v>
      </c>
      <c r="G1990" s="41">
        <f t="shared" si="866"/>
        <v>788400</v>
      </c>
      <c r="H1990" s="41">
        <f t="shared" si="866"/>
        <v>801834.48275862075</v>
      </c>
      <c r="I1990" s="41">
        <f t="shared" si="866"/>
        <v>4113255.1724137939</v>
      </c>
      <c r="J1990" s="719">
        <f t="shared" si="866"/>
        <v>584049.96177339915</v>
      </c>
    </row>
    <row r="1991" spans="1:10" s="71" customFormat="1" ht="15.75" thickBot="1" x14ac:dyDescent="0.3">
      <c r="A1991" s="636" t="s">
        <v>34</v>
      </c>
      <c r="B1991" s="637">
        <f t="shared" ref="B1991:H1991" si="867">B1989+B1990</f>
        <v>1832400</v>
      </c>
      <c r="C1991" s="686">
        <f t="shared" si="867"/>
        <v>3029600</v>
      </c>
      <c r="D1991" s="686">
        <f t="shared" si="867"/>
        <v>3460700</v>
      </c>
      <c r="E1991" s="686">
        <f t="shared" si="867"/>
        <v>3111900.0000000005</v>
      </c>
      <c r="F1991" s="686">
        <f t="shared" si="867"/>
        <v>6857300.0000000009</v>
      </c>
      <c r="G1991" s="686">
        <f t="shared" si="867"/>
        <v>5715900</v>
      </c>
      <c r="H1991" s="686">
        <f t="shared" si="867"/>
        <v>5813300</v>
      </c>
      <c r="I1991" s="686">
        <f>+I1989+I1990</f>
        <v>29821100.000000004</v>
      </c>
      <c r="J1991" s="720">
        <f>'NOGAL '!$I1991/7</f>
        <v>4260157.1428571437</v>
      </c>
    </row>
    <row r="1992" spans="1:10" s="71" customFormat="1" ht="15.75" thickBot="1" x14ac:dyDescent="0.3">
      <c r="A1992" s="69"/>
      <c r="B1992" s="424"/>
      <c r="C1992" s="424"/>
      <c r="D1992" s="424"/>
      <c r="E1992" s="424"/>
      <c r="F1992" s="424"/>
      <c r="G1992" s="424"/>
      <c r="H1992" s="424"/>
      <c r="I1992" s="424"/>
      <c r="J1992" s="424"/>
    </row>
    <row r="1993" spans="1:10" s="71" customFormat="1" ht="27" thickBot="1" x14ac:dyDescent="0.3">
      <c r="A1993" s="85"/>
      <c r="B1993" s="1002" t="s">
        <v>660</v>
      </c>
      <c r="C1993" s="1002"/>
      <c r="D1993" s="1002"/>
      <c r="E1993" s="1002"/>
      <c r="F1993" s="1002"/>
      <c r="G1993" s="1002"/>
      <c r="H1993" s="1002"/>
      <c r="I1993" s="1002"/>
      <c r="J1993" s="85"/>
    </row>
    <row r="1994" spans="1:10" s="71" customFormat="1" ht="15.75" x14ac:dyDescent="0.25">
      <c r="A1994" s="614" t="s">
        <v>2</v>
      </c>
      <c r="B1994" s="706" t="s">
        <v>329</v>
      </c>
      <c r="C1994" s="641" t="s">
        <v>330</v>
      </c>
      <c r="D1994" s="641" t="s">
        <v>331</v>
      </c>
      <c r="E1994" s="641" t="s">
        <v>332</v>
      </c>
      <c r="F1994" s="641" t="s">
        <v>333</v>
      </c>
      <c r="G1994" s="641" t="s">
        <v>334</v>
      </c>
      <c r="H1994" s="641" t="s">
        <v>335</v>
      </c>
      <c r="I1994" s="618" t="s">
        <v>10</v>
      </c>
      <c r="J1994" s="711" t="s">
        <v>77</v>
      </c>
    </row>
    <row r="1995" spans="1:10" s="71" customFormat="1" x14ac:dyDescent="0.25">
      <c r="A1995" s="620" t="s">
        <v>11</v>
      </c>
      <c r="B1995" s="433">
        <f>43+13+4</f>
        <v>60</v>
      </c>
      <c r="C1995" s="75">
        <f>58+22+12</f>
        <v>92</v>
      </c>
      <c r="D1995" s="75">
        <f>59+19+8</f>
        <v>86</v>
      </c>
      <c r="E1995" s="316">
        <f>59+20+7</f>
        <v>86</v>
      </c>
      <c r="F1995" s="316">
        <f>125+55+22</f>
        <v>202</v>
      </c>
      <c r="G1995" s="316">
        <f>123+62+18</f>
        <v>203</v>
      </c>
      <c r="H1995" s="316">
        <f>113+77+33</f>
        <v>223</v>
      </c>
      <c r="I1995" s="316">
        <f>SUM(B1995:H1995)</f>
        <v>952</v>
      </c>
      <c r="J1995" s="712">
        <f>'NOGAL '!$I1995/7</f>
        <v>136</v>
      </c>
    </row>
    <row r="1996" spans="1:10" s="71" customFormat="1" x14ac:dyDescent="0.25">
      <c r="A1996" s="622" t="s">
        <v>12</v>
      </c>
      <c r="B1996" s="448">
        <v>33</v>
      </c>
      <c r="C1996" s="86">
        <v>51</v>
      </c>
      <c r="D1996" s="11">
        <v>45</v>
      </c>
      <c r="E1996" s="86">
        <v>46</v>
      </c>
      <c r="F1996" s="86">
        <v>112</v>
      </c>
      <c r="G1996" s="86">
        <v>116</v>
      </c>
      <c r="H1996" s="11">
        <v>143</v>
      </c>
      <c r="I1996" s="11">
        <f>B1996+C1996+D1996+E1996+F1996+G1996+H1996</f>
        <v>546</v>
      </c>
      <c r="J1996" s="684">
        <f>'NOGAL '!$I1996/7</f>
        <v>78</v>
      </c>
    </row>
    <row r="1997" spans="1:10" s="71" customFormat="1" x14ac:dyDescent="0.25">
      <c r="A1997" s="622" t="s">
        <v>13</v>
      </c>
      <c r="B1997" s="448">
        <v>0</v>
      </c>
      <c r="C1997" s="11">
        <v>3</v>
      </c>
      <c r="D1997" s="11">
        <v>1</v>
      </c>
      <c r="E1997" s="86">
        <v>2</v>
      </c>
      <c r="F1997" s="11">
        <v>3</v>
      </c>
      <c r="G1997" s="11">
        <v>1</v>
      </c>
      <c r="H1997" s="11">
        <v>3</v>
      </c>
      <c r="I1997" s="11">
        <f>B1997+C1997+D1997+E1997+F1997+G1997+H1997</f>
        <v>13</v>
      </c>
      <c r="J1997" s="684">
        <f>C1997+D1997+E1997+F1997+G1997+H1997+I1997</f>
        <v>26</v>
      </c>
    </row>
    <row r="1998" spans="1:10" s="71" customFormat="1" x14ac:dyDescent="0.25">
      <c r="A1998" s="622" t="s">
        <v>14</v>
      </c>
      <c r="B1998" s="448">
        <v>7</v>
      </c>
      <c r="C1998" s="11">
        <v>13</v>
      </c>
      <c r="D1998" s="11">
        <v>13</v>
      </c>
      <c r="E1998" s="11">
        <v>19</v>
      </c>
      <c r="F1998" s="11">
        <v>27</v>
      </c>
      <c r="G1998" s="11">
        <v>16</v>
      </c>
      <c r="H1998" s="11">
        <v>17</v>
      </c>
      <c r="I1998" s="11">
        <f>B1998+C1998+D1998+E1998+F1998+G1998+H1998</f>
        <v>112</v>
      </c>
      <c r="J1998" s="684">
        <f>'NOGAL '!$I1998/7</f>
        <v>16</v>
      </c>
    </row>
    <row r="1999" spans="1:10" s="71" customFormat="1" x14ac:dyDescent="0.25">
      <c r="A1999" s="622" t="s">
        <v>15</v>
      </c>
      <c r="B1999" s="448">
        <v>8</v>
      </c>
      <c r="C1999" s="11">
        <v>4</v>
      </c>
      <c r="D1999" s="11">
        <v>6</v>
      </c>
      <c r="E1999" s="11">
        <v>2</v>
      </c>
      <c r="F1999" s="11">
        <v>13</v>
      </c>
      <c r="G1999" s="11">
        <v>16</v>
      </c>
      <c r="H1999" s="11">
        <v>8</v>
      </c>
      <c r="I1999" s="11">
        <f>B1999+C1999+D1999+E1999+F1999+G1999+H1999</f>
        <v>57</v>
      </c>
      <c r="J1999" s="684">
        <f>'NOGAL '!$I1999/7</f>
        <v>8.1428571428571423</v>
      </c>
    </row>
    <row r="2000" spans="1:10" s="71" customFormat="1" x14ac:dyDescent="0.25">
      <c r="A2000" s="622" t="s">
        <v>16</v>
      </c>
      <c r="B2000" s="448">
        <v>0</v>
      </c>
      <c r="C2000" s="11">
        <v>0</v>
      </c>
      <c r="D2000" s="11">
        <v>0</v>
      </c>
      <c r="E2000" s="11">
        <v>0</v>
      </c>
      <c r="F2000" s="11">
        <v>1</v>
      </c>
      <c r="G2000" s="11">
        <v>0</v>
      </c>
      <c r="H2000" s="11">
        <v>0</v>
      </c>
      <c r="I2000" s="11">
        <f>B2000+C2000+D2000+E2000+F2000+G2000+H2000</f>
        <v>1</v>
      </c>
      <c r="J2000" s="684">
        <f>'NOGAL '!$I2000/7</f>
        <v>0.14285714285714285</v>
      </c>
    </row>
    <row r="2001" spans="1:10" s="71" customFormat="1" x14ac:dyDescent="0.25">
      <c r="A2001" s="624" t="s">
        <v>17</v>
      </c>
      <c r="B2001" s="102">
        <f t="shared" ref="B2001:I2001" si="868">SUM(B1996:B2000)</f>
        <v>48</v>
      </c>
      <c r="C2001" s="103">
        <f t="shared" si="868"/>
        <v>71</v>
      </c>
      <c r="D2001" s="103">
        <f t="shared" si="868"/>
        <v>65</v>
      </c>
      <c r="E2001" s="103">
        <f t="shared" si="868"/>
        <v>69</v>
      </c>
      <c r="F2001" s="103">
        <f t="shared" si="868"/>
        <v>156</v>
      </c>
      <c r="G2001" s="103">
        <f t="shared" si="868"/>
        <v>149</v>
      </c>
      <c r="H2001" s="103">
        <f t="shared" si="868"/>
        <v>171</v>
      </c>
      <c r="I2001" s="103">
        <f t="shared" si="868"/>
        <v>729</v>
      </c>
      <c r="J2001" s="713">
        <f>'NOGAL '!$I2001/7</f>
        <v>104.14285714285714</v>
      </c>
    </row>
    <row r="2002" spans="1:10" s="71" customFormat="1" x14ac:dyDescent="0.25">
      <c r="A2002" s="622" t="s">
        <v>18</v>
      </c>
      <c r="B2002" s="449">
        <v>0.76</v>
      </c>
      <c r="C2002" s="236">
        <v>0.83</v>
      </c>
      <c r="D2002" s="236">
        <v>0.77</v>
      </c>
      <c r="E2002" s="236">
        <v>0.75</v>
      </c>
      <c r="F2002" s="236">
        <v>0.81</v>
      </c>
      <c r="G2002" s="236">
        <v>0.83</v>
      </c>
      <c r="H2002" s="236">
        <v>0.88</v>
      </c>
      <c r="I2002" s="18">
        <f>I2009/I2014</f>
        <v>0.82025078016772091</v>
      </c>
      <c r="J2002" s="714">
        <f>J2009/J2014</f>
        <v>0.82025078016772091</v>
      </c>
    </row>
    <row r="2003" spans="1:10" s="71" customFormat="1" x14ac:dyDescent="0.25">
      <c r="A2003" s="622" t="s">
        <v>19</v>
      </c>
      <c r="B2003" s="449">
        <v>0</v>
      </c>
      <c r="C2003" s="236">
        <v>0.04</v>
      </c>
      <c r="D2003" s="236">
        <v>0.01</v>
      </c>
      <c r="E2003" s="236">
        <v>0.02</v>
      </c>
      <c r="F2003" s="236">
        <v>0.02</v>
      </c>
      <c r="G2003" s="236">
        <v>0.01</v>
      </c>
      <c r="H2003" s="236">
        <v>0.01</v>
      </c>
      <c r="I2003" s="18">
        <f>I2010/I2014</f>
        <v>1.5231155359223311E-2</v>
      </c>
      <c r="J2003" s="714">
        <f>J2010/J2014</f>
        <v>1.5231155359223312E-2</v>
      </c>
    </row>
    <row r="2004" spans="1:10" s="71" customFormat="1" x14ac:dyDescent="0.25">
      <c r="A2004" s="622" t="s">
        <v>20</v>
      </c>
      <c r="B2004" s="449">
        <v>0.12</v>
      </c>
      <c r="C2004" s="236">
        <v>0.11</v>
      </c>
      <c r="D2004" s="236">
        <v>0.17</v>
      </c>
      <c r="E2004" s="236">
        <v>0.21</v>
      </c>
      <c r="F2004" s="236">
        <v>0.1</v>
      </c>
      <c r="G2004" s="236">
        <v>7.0000000000000007E-2</v>
      </c>
      <c r="H2004" s="236">
        <v>7.0000000000000007E-2</v>
      </c>
      <c r="I2004" s="18">
        <f>I2011/I2014</f>
        <v>0.10511282402185358</v>
      </c>
      <c r="J2004" s="714">
        <f>J2011/J2014</f>
        <v>0.1051128240218536</v>
      </c>
    </row>
    <row r="2005" spans="1:10" s="71" customFormat="1" x14ac:dyDescent="0.25">
      <c r="A2005" s="622" t="s">
        <v>21</v>
      </c>
      <c r="B2005" s="449">
        <v>0.12</v>
      </c>
      <c r="C2005" s="236">
        <v>0.02</v>
      </c>
      <c r="D2005" s="236">
        <v>0.05</v>
      </c>
      <c r="E2005" s="236">
        <v>0.02</v>
      </c>
      <c r="F2005" s="236">
        <v>0.06</v>
      </c>
      <c r="G2005" s="236">
        <v>0.09</v>
      </c>
      <c r="H2005" s="236">
        <v>0.04</v>
      </c>
      <c r="I2005" s="18">
        <f>I2012/I2014</f>
        <v>5.7246907284318707E-2</v>
      </c>
      <c r="J2005" s="714">
        <f>J2012/J2014</f>
        <v>5.7246907284318707E-2</v>
      </c>
    </row>
    <row r="2006" spans="1:10" s="71" customFormat="1" x14ac:dyDescent="0.25">
      <c r="A2006" s="622" t="s">
        <v>22</v>
      </c>
      <c r="B2006" s="449">
        <v>0</v>
      </c>
      <c r="C2006" s="236">
        <v>0</v>
      </c>
      <c r="D2006" s="236">
        <v>0</v>
      </c>
      <c r="E2006" s="236">
        <v>0</v>
      </c>
      <c r="F2006" s="236">
        <v>0.01</v>
      </c>
      <c r="G2006" s="236">
        <v>0</v>
      </c>
      <c r="H2006" s="236">
        <v>0</v>
      </c>
      <c r="I2006" s="18">
        <f>I2013/I2014</f>
        <v>2.1583331668836143E-3</v>
      </c>
      <c r="J2006" s="714">
        <f>J2013/J2014</f>
        <v>2.1583331668836143E-3</v>
      </c>
    </row>
    <row r="2007" spans="1:10" s="71" customFormat="1" x14ac:dyDescent="0.25">
      <c r="A2007" s="627" t="s">
        <v>23</v>
      </c>
      <c r="B2007" s="450">
        <f t="shared" ref="B2007:J2007" si="869">B2018/B2001</f>
        <v>36266.666666666672</v>
      </c>
      <c r="C2007" s="130">
        <f t="shared" si="869"/>
        <v>35546.478873239445</v>
      </c>
      <c r="D2007" s="130">
        <f t="shared" si="869"/>
        <v>35721.538461538461</v>
      </c>
      <c r="E2007" s="130">
        <f t="shared" si="869"/>
        <v>37424.637681159424</v>
      </c>
      <c r="F2007" s="130">
        <f t="shared" si="869"/>
        <v>37796.794871794875</v>
      </c>
      <c r="G2007" s="130">
        <f t="shared" si="869"/>
        <v>39402.68456375839</v>
      </c>
      <c r="H2007" s="130">
        <f t="shared" si="869"/>
        <v>37769.005847953216</v>
      </c>
      <c r="I2007" s="130">
        <f t="shared" si="869"/>
        <v>37578.326474622772</v>
      </c>
      <c r="J2007" s="685">
        <f t="shared" si="869"/>
        <v>37578.326474622772</v>
      </c>
    </row>
    <row r="2008" spans="1:10" s="71" customFormat="1" x14ac:dyDescent="0.25">
      <c r="A2008" s="627" t="s">
        <v>24</v>
      </c>
      <c r="B2008" s="450">
        <f t="shared" ref="B2008:J2008" si="870">B2018/B1995</f>
        <v>29013.333333333336</v>
      </c>
      <c r="C2008" s="130">
        <f t="shared" si="870"/>
        <v>27432.608695652179</v>
      </c>
      <c r="D2008" s="130">
        <f t="shared" si="870"/>
        <v>26998.837209302324</v>
      </c>
      <c r="E2008" s="130">
        <f t="shared" si="870"/>
        <v>30026.744186046519</v>
      </c>
      <c r="F2008" s="130">
        <f t="shared" si="870"/>
        <v>29189.603960396038</v>
      </c>
      <c r="G2008" s="130">
        <f t="shared" si="870"/>
        <v>28921.182266009851</v>
      </c>
      <c r="H2008" s="130">
        <f t="shared" si="870"/>
        <v>28961.88340807175</v>
      </c>
      <c r="I2008" s="130">
        <f t="shared" si="870"/>
        <v>28775.840336134454</v>
      </c>
      <c r="J2008" s="685">
        <f t="shared" si="870"/>
        <v>28775.840336134454</v>
      </c>
    </row>
    <row r="2009" spans="1:10" s="71" customFormat="1" x14ac:dyDescent="0.25">
      <c r="A2009" s="622" t="s">
        <v>25</v>
      </c>
      <c r="B2009" s="451">
        <f t="shared" ref="B2009:H2009" si="871">B2014*B2002</f>
        <v>1079981.0179310346</v>
      </c>
      <c r="C2009" s="92">
        <f t="shared" si="871"/>
        <v>1703637.7937931037</v>
      </c>
      <c r="D2009" s="92">
        <f t="shared" si="871"/>
        <v>1457616.1068965518</v>
      </c>
      <c r="E2009" s="92">
        <f t="shared" si="871"/>
        <v>1586307.5172413795</v>
      </c>
      <c r="F2009" s="92">
        <f t="shared" si="871"/>
        <v>3898245.8855172414</v>
      </c>
      <c r="G2009" s="92">
        <f t="shared" si="871"/>
        <v>3968381.8041379312</v>
      </c>
      <c r="H2009" s="92">
        <f t="shared" si="871"/>
        <v>4595773.9641379314</v>
      </c>
      <c r="I2009" s="92">
        <f>'NOGAL '!$B2009+'NOGAL '!$C2009+'NOGAL '!$D2009+'NOGAL '!$E2009+'NOGAL '!$F2009+'NOGAL '!$G2009+'NOGAL '!$H2009</f>
        <v>18289944.089655172</v>
      </c>
      <c r="J2009" s="715">
        <f>'NOGAL '!$I2009/7</f>
        <v>2612849.1556650246</v>
      </c>
    </row>
    <row r="2010" spans="1:10" s="71" customFormat="1" x14ac:dyDescent="0.25">
      <c r="A2010" s="622" t="s">
        <v>26</v>
      </c>
      <c r="B2010" s="451">
        <f t="shared" ref="B2010:H2010" si="872">B2014*B2003</f>
        <v>0</v>
      </c>
      <c r="C2010" s="92">
        <f t="shared" si="872"/>
        <v>82103.026206896568</v>
      </c>
      <c r="D2010" s="92">
        <f t="shared" si="872"/>
        <v>18930.079310344827</v>
      </c>
      <c r="E2010" s="92">
        <f t="shared" si="872"/>
        <v>42301.533793103452</v>
      </c>
      <c r="F2010" s="92">
        <f t="shared" si="872"/>
        <v>96252.984827586202</v>
      </c>
      <c r="G2010" s="92">
        <f t="shared" si="872"/>
        <v>47811.828965517248</v>
      </c>
      <c r="H2010" s="92">
        <f t="shared" si="872"/>
        <v>52224.704137931039</v>
      </c>
      <c r="I2010" s="92">
        <f>'NOGAL '!$B2010+'NOGAL '!$C2010+'NOGAL '!$D2010+'NOGAL '!$E2010+'NOGAL '!$F2010+'NOGAL '!$G2010+'NOGAL '!$H2010</f>
        <v>339624.15724137932</v>
      </c>
      <c r="J2010" s="715">
        <f>'NOGAL '!$I2010/7</f>
        <v>48517.736748768475</v>
      </c>
    </row>
    <row r="2011" spans="1:10" s="71" customFormat="1" x14ac:dyDescent="0.25">
      <c r="A2011" s="622" t="s">
        <v>27</v>
      </c>
      <c r="B2011" s="451">
        <f t="shared" ref="B2011:H2011" si="873">B2014*B2004</f>
        <v>170523.31862068965</v>
      </c>
      <c r="C2011" s="92">
        <f t="shared" si="873"/>
        <v>225783.32206896556</v>
      </c>
      <c r="D2011" s="92">
        <f t="shared" si="873"/>
        <v>321811.34827586211</v>
      </c>
      <c r="E2011" s="92">
        <f t="shared" si="873"/>
        <v>444166.10482758621</v>
      </c>
      <c r="F2011" s="92">
        <f t="shared" si="873"/>
        <v>481264.92413793108</v>
      </c>
      <c r="G2011" s="92">
        <f t="shared" si="873"/>
        <v>334682.80275862076</v>
      </c>
      <c r="H2011" s="92">
        <f t="shared" si="873"/>
        <v>365572.92896551732</v>
      </c>
      <c r="I2011" s="92">
        <f>'NOGAL '!$B2011+'NOGAL '!$C2011+'NOGAL '!$D2011+'NOGAL '!$E2011+'NOGAL '!$F2011+'NOGAL '!$G2011+'NOGAL '!$H2011</f>
        <v>2343804.7496551727</v>
      </c>
      <c r="J2011" s="715">
        <f>'NOGAL '!$I2011/7</f>
        <v>334829.24995073897</v>
      </c>
    </row>
    <row r="2012" spans="1:10" s="71" customFormat="1" x14ac:dyDescent="0.25">
      <c r="A2012" s="622" t="s">
        <v>28</v>
      </c>
      <c r="B2012" s="451">
        <f t="shared" ref="B2012:H2012" si="874">B2014*B2005</f>
        <v>170523.31862068965</v>
      </c>
      <c r="C2012" s="92">
        <f t="shared" si="874"/>
        <v>41051.513103448284</v>
      </c>
      <c r="D2012" s="92">
        <f t="shared" si="874"/>
        <v>94650.396551724145</v>
      </c>
      <c r="E2012" s="92">
        <f t="shared" si="874"/>
        <v>42301.533793103452</v>
      </c>
      <c r="F2012" s="92">
        <f t="shared" si="874"/>
        <v>288758.95448275859</v>
      </c>
      <c r="G2012" s="92">
        <f t="shared" si="874"/>
        <v>430306.46068965521</v>
      </c>
      <c r="H2012" s="92">
        <f t="shared" si="874"/>
        <v>208898.81655172416</v>
      </c>
      <c r="I2012" s="92">
        <f>'NOGAL '!$B2012+'NOGAL '!$C2012+'NOGAL '!$D2012+'NOGAL '!$E2012+'NOGAL '!$F2012+'NOGAL '!$G2012+'NOGAL '!$H2012</f>
        <v>1276490.9937931036</v>
      </c>
      <c r="J2012" s="715">
        <f>'NOGAL '!$I2012/7</f>
        <v>182355.85625615765</v>
      </c>
    </row>
    <row r="2013" spans="1:10" s="71" customFormat="1" x14ac:dyDescent="0.25">
      <c r="A2013" s="622" t="s">
        <v>29</v>
      </c>
      <c r="B2013" s="451">
        <f t="shared" ref="B2013:H2013" si="875">B2014*B2006</f>
        <v>0</v>
      </c>
      <c r="C2013" s="92">
        <f t="shared" si="875"/>
        <v>0</v>
      </c>
      <c r="D2013" s="92">
        <f t="shared" si="875"/>
        <v>0</v>
      </c>
      <c r="E2013" s="92">
        <f t="shared" si="875"/>
        <v>0</v>
      </c>
      <c r="F2013" s="92">
        <f t="shared" si="875"/>
        <v>48126.492413793101</v>
      </c>
      <c r="G2013" s="92">
        <f t="shared" si="875"/>
        <v>0</v>
      </c>
      <c r="H2013" s="92">
        <f t="shared" si="875"/>
        <v>0</v>
      </c>
      <c r="I2013" s="92">
        <f>'NOGAL '!$B2013+'NOGAL '!$C2013+'NOGAL '!$D2013+'NOGAL '!$E2013+'NOGAL '!$F2013+'NOGAL '!$G2013+'NOGAL '!$H2013</f>
        <v>48126.492413793101</v>
      </c>
      <c r="J2013" s="715">
        <f>'NOGAL '!$I2013/7</f>
        <v>6875.2132019704432</v>
      </c>
    </row>
    <row r="2014" spans="1:10" s="71" customFormat="1" x14ac:dyDescent="0.25">
      <c r="A2014" s="630" t="s">
        <v>30</v>
      </c>
      <c r="B2014" s="237">
        <f>(1740800/1.16)-B2015</f>
        <v>1421027.6551724139</v>
      </c>
      <c r="C2014" s="237">
        <f>(2523800/1.16)-C2015</f>
        <v>2052575.6551724141</v>
      </c>
      <c r="D2014" s="237">
        <f>(2321900/1.16)-D2015</f>
        <v>1893007.9310344828</v>
      </c>
      <c r="E2014" s="237">
        <f>(2582300/1.16)-E2015</f>
        <v>2115076.6896551726</v>
      </c>
      <c r="F2014" s="237">
        <f>(5896300/1.16)-F2015</f>
        <v>4812649.2413793104</v>
      </c>
      <c r="G2014" s="237">
        <f>(5871000/1.16)-G2015</f>
        <v>4781182.8965517245</v>
      </c>
      <c r="H2014" s="237">
        <f>(6458500/1.16)-H2015</f>
        <v>5222470.4137931038</v>
      </c>
      <c r="I2014" s="91">
        <f>SUM(I2009:I2013)</f>
        <v>22297990.482758619</v>
      </c>
      <c r="J2014" s="716">
        <f>'NOGAL '!$I2014/7</f>
        <v>3185427.2118226597</v>
      </c>
    </row>
    <row r="2015" spans="1:10" s="71" customFormat="1" x14ac:dyDescent="0.25">
      <c r="A2015" s="622" t="s">
        <v>31</v>
      </c>
      <c r="B2015" s="452">
        <f t="shared" ref="B2015:J2015" si="876">2414*B1996</f>
        <v>79662</v>
      </c>
      <c r="C2015" s="94">
        <f t="shared" si="876"/>
        <v>123114</v>
      </c>
      <c r="D2015" s="94">
        <f t="shared" si="876"/>
        <v>108630</v>
      </c>
      <c r="E2015" s="94">
        <f t="shared" si="876"/>
        <v>111044</v>
      </c>
      <c r="F2015" s="94">
        <f t="shared" si="876"/>
        <v>270368</v>
      </c>
      <c r="G2015" s="94">
        <f t="shared" si="876"/>
        <v>280024</v>
      </c>
      <c r="H2015" s="94">
        <f t="shared" si="876"/>
        <v>345202</v>
      </c>
      <c r="I2015" s="94">
        <f t="shared" si="876"/>
        <v>1318044</v>
      </c>
      <c r="J2015" s="717">
        <f t="shared" si="876"/>
        <v>188292</v>
      </c>
    </row>
    <row r="2016" spans="1:10" s="71" customFormat="1" x14ac:dyDescent="0.25">
      <c r="A2016" s="633" t="s">
        <v>32</v>
      </c>
      <c r="B2016" s="453">
        <f>B2014+B2015</f>
        <v>1500689.6551724139</v>
      </c>
      <c r="C2016" s="39">
        <f>C2014+C2015</f>
        <v>2175689.6551724141</v>
      </c>
      <c r="D2016" s="39">
        <f t="shared" ref="D2016:J2016" si="877">D2014+D2015</f>
        <v>2001637.9310344828</v>
      </c>
      <c r="E2016" s="39">
        <f t="shared" si="877"/>
        <v>2226120.6896551726</v>
      </c>
      <c r="F2016" s="39">
        <f t="shared" si="877"/>
        <v>5083017.2413793104</v>
      </c>
      <c r="G2016" s="39">
        <f t="shared" si="877"/>
        <v>5061206.8965517245</v>
      </c>
      <c r="H2016" s="39">
        <f t="shared" si="877"/>
        <v>5567672.4137931038</v>
      </c>
      <c r="I2016" s="39">
        <f t="shared" si="877"/>
        <v>23616034.482758619</v>
      </c>
      <c r="J2016" s="718">
        <f t="shared" si="877"/>
        <v>3373719.2118226597</v>
      </c>
    </row>
    <row r="2017" spans="1:10" s="71" customFormat="1" x14ac:dyDescent="0.25">
      <c r="A2017" s="622" t="s">
        <v>33</v>
      </c>
      <c r="B2017" s="454">
        <f>B2016*16%</f>
        <v>240110.34482758623</v>
      </c>
      <c r="C2017" s="41">
        <f>C2016*16%</f>
        <v>348110.34482758626</v>
      </c>
      <c r="D2017" s="41">
        <f t="shared" ref="D2017:J2017" si="878">D2016*16%</f>
        <v>320262.06896551728</v>
      </c>
      <c r="E2017" s="41">
        <f t="shared" si="878"/>
        <v>356179.31034482765</v>
      </c>
      <c r="F2017" s="41">
        <f t="shared" si="878"/>
        <v>813282.75862068962</v>
      </c>
      <c r="G2017" s="41">
        <f t="shared" si="878"/>
        <v>809793.10344827594</v>
      </c>
      <c r="H2017" s="41">
        <f t="shared" si="878"/>
        <v>890827.58620689658</v>
      </c>
      <c r="I2017" s="41">
        <f t="shared" si="878"/>
        <v>3778565.5172413792</v>
      </c>
      <c r="J2017" s="719">
        <f t="shared" si="878"/>
        <v>539795.07389162551</v>
      </c>
    </row>
    <row r="2018" spans="1:10" s="71" customFormat="1" ht="15.75" thickBot="1" x14ac:dyDescent="0.3">
      <c r="A2018" s="636" t="s">
        <v>34</v>
      </c>
      <c r="B2018" s="637">
        <f t="shared" ref="B2018:H2018" si="879">B2016+B2017</f>
        <v>1740800.0000000002</v>
      </c>
      <c r="C2018" s="686">
        <f t="shared" si="879"/>
        <v>2523800.0000000005</v>
      </c>
      <c r="D2018" s="686">
        <f t="shared" si="879"/>
        <v>2321900</v>
      </c>
      <c r="E2018" s="686">
        <f t="shared" si="879"/>
        <v>2582300.0000000005</v>
      </c>
      <c r="F2018" s="686">
        <f t="shared" si="879"/>
        <v>5896300</v>
      </c>
      <c r="G2018" s="686">
        <f t="shared" si="879"/>
        <v>5871000</v>
      </c>
      <c r="H2018" s="686">
        <f t="shared" si="879"/>
        <v>6458500</v>
      </c>
      <c r="I2018" s="686">
        <f>+I2016+I2017</f>
        <v>27394600</v>
      </c>
      <c r="J2018" s="720">
        <f>'NOGAL '!$I2018/7</f>
        <v>3913514.2857142859</v>
      </c>
    </row>
    <row r="2019" spans="1:10" s="71" customFormat="1" ht="15.75" thickBot="1" x14ac:dyDescent="0.3">
      <c r="A2019" s="69"/>
      <c r="B2019" s="424"/>
      <c r="C2019" s="424"/>
      <c r="D2019" s="424"/>
      <c r="E2019" s="424"/>
      <c r="F2019" s="424"/>
      <c r="G2019" s="424"/>
      <c r="H2019" s="424"/>
      <c r="I2019" s="424"/>
      <c r="J2019" s="424"/>
    </row>
    <row r="2020" spans="1:10" s="71" customFormat="1" ht="27" thickBot="1" x14ac:dyDescent="0.3">
      <c r="A2020" s="85"/>
      <c r="B2020" s="1002" t="s">
        <v>663</v>
      </c>
      <c r="C2020" s="1002"/>
      <c r="D2020" s="1002"/>
      <c r="E2020" s="1002"/>
      <c r="F2020" s="1002"/>
      <c r="G2020" s="1002"/>
      <c r="H2020" s="1002"/>
      <c r="I2020" s="1002"/>
      <c r="J2020" s="85"/>
    </row>
    <row r="2021" spans="1:10" s="71" customFormat="1" ht="15.75" x14ac:dyDescent="0.25">
      <c r="A2021" s="614" t="s">
        <v>2</v>
      </c>
      <c r="B2021" s="706" t="s">
        <v>337</v>
      </c>
      <c r="C2021" s="641" t="s">
        <v>338</v>
      </c>
      <c r="D2021" s="641" t="s">
        <v>339</v>
      </c>
      <c r="E2021" s="641" t="s">
        <v>340</v>
      </c>
      <c r="F2021" s="641" t="s">
        <v>341</v>
      </c>
      <c r="G2021" s="641" t="s">
        <v>342</v>
      </c>
      <c r="H2021" s="641" t="s">
        <v>343</v>
      </c>
      <c r="I2021" s="618" t="s">
        <v>10</v>
      </c>
      <c r="J2021" s="711" t="s">
        <v>77</v>
      </c>
    </row>
    <row r="2022" spans="1:10" s="71" customFormat="1" x14ac:dyDescent="0.25">
      <c r="A2022" s="620" t="s">
        <v>11</v>
      </c>
      <c r="B2022" s="433">
        <f>47+24+15</f>
        <v>86</v>
      </c>
      <c r="C2022" s="75">
        <f>36+26+5</f>
        <v>67</v>
      </c>
      <c r="D2022" s="75">
        <f>67+28+9</f>
        <v>104</v>
      </c>
      <c r="E2022" s="316">
        <f>60+24+13</f>
        <v>97</v>
      </c>
      <c r="F2022" s="316">
        <f>100+58+6</f>
        <v>164</v>
      </c>
      <c r="G2022" s="316">
        <f>93+57+17</f>
        <v>167</v>
      </c>
      <c r="H2022" s="316">
        <f>116+40+14</f>
        <v>170</v>
      </c>
      <c r="I2022" s="316">
        <f>SUM(B2022:H2022)</f>
        <v>855</v>
      </c>
      <c r="J2022" s="712">
        <f>'NOGAL '!$I2022/7</f>
        <v>122.14285714285714</v>
      </c>
    </row>
    <row r="2023" spans="1:10" s="71" customFormat="1" x14ac:dyDescent="0.25">
      <c r="A2023" s="622" t="s">
        <v>12</v>
      </c>
      <c r="B2023" s="448">
        <v>42</v>
      </c>
      <c r="C2023" s="86">
        <v>47</v>
      </c>
      <c r="D2023" s="11">
        <v>52</v>
      </c>
      <c r="E2023" s="86">
        <v>53</v>
      </c>
      <c r="F2023" s="86">
        <v>108</v>
      </c>
      <c r="G2023" s="86">
        <v>101</v>
      </c>
      <c r="H2023" s="11">
        <v>104</v>
      </c>
      <c r="I2023" s="11">
        <f>B2023+C2023+D2023+E2023+F2023+G2023+H2023</f>
        <v>507</v>
      </c>
      <c r="J2023" s="684">
        <f>'NOGAL '!$I2023/7</f>
        <v>72.428571428571431</v>
      </c>
    </row>
    <row r="2024" spans="1:10" s="71" customFormat="1" x14ac:dyDescent="0.25">
      <c r="A2024" s="622" t="s">
        <v>13</v>
      </c>
      <c r="B2024" s="448">
        <v>0</v>
      </c>
      <c r="C2024" s="11">
        <v>0</v>
      </c>
      <c r="D2024" s="11">
        <v>1</v>
      </c>
      <c r="E2024" s="86">
        <v>0</v>
      </c>
      <c r="F2024" s="11">
        <v>2</v>
      </c>
      <c r="G2024" s="11">
        <v>3</v>
      </c>
      <c r="H2024" s="11">
        <v>2</v>
      </c>
      <c r="I2024" s="11">
        <f>B2024+C2024+D2024+E2024+F2024+G2024+H2024</f>
        <v>8</v>
      </c>
      <c r="J2024" s="684">
        <f>C2024+D2024+E2024+F2024+G2024+H2024+I2024</f>
        <v>16</v>
      </c>
    </row>
    <row r="2025" spans="1:10" s="71" customFormat="1" x14ac:dyDescent="0.25">
      <c r="A2025" s="622" t="s">
        <v>14</v>
      </c>
      <c r="B2025" s="448">
        <v>17</v>
      </c>
      <c r="C2025" s="11">
        <v>12</v>
      </c>
      <c r="D2025" s="11">
        <v>19</v>
      </c>
      <c r="E2025" s="11">
        <v>15</v>
      </c>
      <c r="F2025" s="11">
        <v>25</v>
      </c>
      <c r="G2025" s="11">
        <v>20</v>
      </c>
      <c r="H2025" s="11">
        <v>12</v>
      </c>
      <c r="I2025" s="11">
        <f>B2025+C2025+D2025+E2025+F2025+G2025+H2025</f>
        <v>120</v>
      </c>
      <c r="J2025" s="684">
        <f>'NOGAL '!$I2025/7</f>
        <v>17.142857142857142</v>
      </c>
    </row>
    <row r="2026" spans="1:10" s="71" customFormat="1" x14ac:dyDescent="0.25">
      <c r="A2026" s="622" t="s">
        <v>15</v>
      </c>
      <c r="B2026" s="448">
        <v>8</v>
      </c>
      <c r="C2026" s="11">
        <v>0</v>
      </c>
      <c r="D2026" s="11">
        <v>10</v>
      </c>
      <c r="E2026" s="11">
        <v>5</v>
      </c>
      <c r="F2026" s="11">
        <v>14</v>
      </c>
      <c r="G2026" s="11">
        <v>10</v>
      </c>
      <c r="H2026" s="11">
        <v>7</v>
      </c>
      <c r="I2026" s="11">
        <f>B2026+C2026+D2026+E2026+F2026+G2026+H2026</f>
        <v>54</v>
      </c>
      <c r="J2026" s="684">
        <f>'NOGAL '!$I2026/7</f>
        <v>7.7142857142857144</v>
      </c>
    </row>
    <row r="2027" spans="1:10" s="71" customFormat="1" x14ac:dyDescent="0.25">
      <c r="A2027" s="622" t="s">
        <v>16</v>
      </c>
      <c r="B2027" s="448">
        <v>0</v>
      </c>
      <c r="C2027" s="11">
        <v>0</v>
      </c>
      <c r="D2027" s="11">
        <v>0</v>
      </c>
      <c r="E2027" s="11">
        <v>1</v>
      </c>
      <c r="F2027" s="11">
        <v>0</v>
      </c>
      <c r="G2027" s="11">
        <v>0</v>
      </c>
      <c r="H2027" s="11">
        <v>1</v>
      </c>
      <c r="I2027" s="11">
        <f>B2027+C2027+D2027+E2027+F2027+G2027+H2027</f>
        <v>2</v>
      </c>
      <c r="J2027" s="684">
        <f>'NOGAL '!$I2027/7</f>
        <v>0.2857142857142857</v>
      </c>
    </row>
    <row r="2028" spans="1:10" s="71" customFormat="1" x14ac:dyDescent="0.25">
      <c r="A2028" s="624" t="s">
        <v>17</v>
      </c>
      <c r="B2028" s="102">
        <f t="shared" ref="B2028:I2028" si="880">SUM(B2023:B2027)</f>
        <v>67</v>
      </c>
      <c r="C2028" s="103">
        <f t="shared" si="880"/>
        <v>59</v>
      </c>
      <c r="D2028" s="103">
        <f t="shared" si="880"/>
        <v>82</v>
      </c>
      <c r="E2028" s="103">
        <f t="shared" si="880"/>
        <v>74</v>
      </c>
      <c r="F2028" s="103">
        <f t="shared" si="880"/>
        <v>149</v>
      </c>
      <c r="G2028" s="103">
        <f t="shared" si="880"/>
        <v>134</v>
      </c>
      <c r="H2028" s="103">
        <f t="shared" si="880"/>
        <v>126</v>
      </c>
      <c r="I2028" s="103">
        <f t="shared" si="880"/>
        <v>691</v>
      </c>
      <c r="J2028" s="713">
        <f>'NOGAL '!$I2028/7</f>
        <v>98.714285714285708</v>
      </c>
    </row>
    <row r="2029" spans="1:10" s="71" customFormat="1" x14ac:dyDescent="0.25">
      <c r="A2029" s="622" t="s">
        <v>18</v>
      </c>
      <c r="B2029" s="449">
        <v>0.69</v>
      </c>
      <c r="C2029" s="236">
        <v>0.89</v>
      </c>
      <c r="D2029" s="236">
        <v>0.77</v>
      </c>
      <c r="E2029" s="236">
        <v>0.82</v>
      </c>
      <c r="F2029" s="236">
        <v>0.8</v>
      </c>
      <c r="G2029" s="236">
        <v>0.86</v>
      </c>
      <c r="H2029" s="236">
        <v>0.87</v>
      </c>
      <c r="I2029" s="18">
        <f>I2036/I2041</f>
        <v>0.8211195058713544</v>
      </c>
      <c r="J2029" s="714">
        <f>J2036/J2041</f>
        <v>0.82111950587135452</v>
      </c>
    </row>
    <row r="2030" spans="1:10" s="71" customFormat="1" x14ac:dyDescent="0.25">
      <c r="A2030" s="622" t="s">
        <v>19</v>
      </c>
      <c r="B2030" s="449">
        <v>0</v>
      </c>
      <c r="C2030" s="236">
        <v>0</v>
      </c>
      <c r="D2030" s="236">
        <v>0.01</v>
      </c>
      <c r="E2030" s="236">
        <v>0</v>
      </c>
      <c r="F2030" s="236">
        <v>0.01</v>
      </c>
      <c r="G2030" s="236">
        <v>0.02</v>
      </c>
      <c r="H2030" s="236">
        <v>0.02</v>
      </c>
      <c r="I2030" s="18">
        <f>I2037/I2041</f>
        <v>1.0973993135763608E-2</v>
      </c>
      <c r="J2030" s="714">
        <f>J2037/J2041</f>
        <v>1.097399313576361E-2</v>
      </c>
    </row>
    <row r="2031" spans="1:10" s="71" customFormat="1" x14ac:dyDescent="0.25">
      <c r="A2031" s="622" t="s">
        <v>20</v>
      </c>
      <c r="B2031" s="449">
        <v>0.2</v>
      </c>
      <c r="C2031" s="236">
        <v>0.11</v>
      </c>
      <c r="D2031" s="236">
        <v>0.14000000000000001</v>
      </c>
      <c r="E2031" s="236">
        <v>0.12</v>
      </c>
      <c r="F2031" s="236">
        <v>0.11</v>
      </c>
      <c r="G2031" s="236">
        <v>0.08</v>
      </c>
      <c r="H2031" s="236">
        <v>0.06</v>
      </c>
      <c r="I2031" s="18">
        <f>I2038/I2041</f>
        <v>0.10775206585238088</v>
      </c>
      <c r="J2031" s="714">
        <f>J2038/J2041</f>
        <v>0.1077520658523809</v>
      </c>
    </row>
    <row r="2032" spans="1:10" s="71" customFormat="1" x14ac:dyDescent="0.25">
      <c r="A2032" s="622" t="s">
        <v>21</v>
      </c>
      <c r="B2032" s="449">
        <v>0.11</v>
      </c>
      <c r="C2032" s="236">
        <v>0</v>
      </c>
      <c r="D2032" s="236">
        <v>0.08</v>
      </c>
      <c r="E2032" s="236">
        <v>0.05</v>
      </c>
      <c r="F2032" s="236">
        <v>0.08</v>
      </c>
      <c r="G2032" s="236">
        <v>0.04</v>
      </c>
      <c r="H2032" s="236">
        <v>0.04</v>
      </c>
      <c r="I2032" s="18">
        <f>I2039/I2041</f>
        <v>5.7170112548124985E-2</v>
      </c>
      <c r="J2032" s="714">
        <f>J2039/J2041</f>
        <v>5.7170112548124992E-2</v>
      </c>
    </row>
    <row r="2033" spans="1:10" s="71" customFormat="1" x14ac:dyDescent="0.25">
      <c r="A2033" s="622" t="s">
        <v>22</v>
      </c>
      <c r="B2033" s="449">
        <v>0</v>
      </c>
      <c r="C2033" s="236">
        <v>0</v>
      </c>
      <c r="D2033" s="236">
        <v>0</v>
      </c>
      <c r="E2033" s="236">
        <v>0.01</v>
      </c>
      <c r="F2033" s="236">
        <v>0</v>
      </c>
      <c r="G2033" s="236">
        <v>0</v>
      </c>
      <c r="H2033" s="236">
        <v>0.01</v>
      </c>
      <c r="I2033" s="18">
        <f>I2040/I2041</f>
        <v>2.9843225923760533E-3</v>
      </c>
      <c r="J2033" s="714">
        <f>J2040/J2041</f>
        <v>2.9843225923760538E-3</v>
      </c>
    </row>
    <row r="2034" spans="1:10" s="71" customFormat="1" x14ac:dyDescent="0.25">
      <c r="A2034" s="627" t="s">
        <v>23</v>
      </c>
      <c r="B2034" s="450">
        <f t="shared" ref="B2034:J2034" si="881">B2045/B2028</f>
        <v>36420.895522388069</v>
      </c>
      <c r="C2034" s="130">
        <f t="shared" si="881"/>
        <v>37757.627118644064</v>
      </c>
      <c r="D2034" s="130">
        <f t="shared" si="881"/>
        <v>35315.853658536595</v>
      </c>
      <c r="E2034" s="130">
        <f t="shared" si="881"/>
        <v>36444.5945945946</v>
      </c>
      <c r="F2034" s="130">
        <f t="shared" si="881"/>
        <v>35033.557046979862</v>
      </c>
      <c r="G2034" s="130">
        <f t="shared" si="881"/>
        <v>37217.164179104475</v>
      </c>
      <c r="H2034" s="130">
        <f t="shared" si="881"/>
        <v>38771.42857142858</v>
      </c>
      <c r="I2034" s="130">
        <f t="shared" si="881"/>
        <v>36690.303907380621</v>
      </c>
      <c r="J2034" s="685">
        <f t="shared" si="881"/>
        <v>36690.303907380621</v>
      </c>
    </row>
    <row r="2035" spans="1:10" s="71" customFormat="1" x14ac:dyDescent="0.25">
      <c r="A2035" s="627" t="s">
        <v>24</v>
      </c>
      <c r="B2035" s="450">
        <f t="shared" ref="B2035:J2035" si="882">B2045/B2022</f>
        <v>28374.418604651168</v>
      </c>
      <c r="C2035" s="130">
        <f t="shared" si="882"/>
        <v>33249.253731343284</v>
      </c>
      <c r="D2035" s="130">
        <f t="shared" si="882"/>
        <v>27845.192307692312</v>
      </c>
      <c r="E2035" s="130">
        <f t="shared" si="882"/>
        <v>27803.092783505159</v>
      </c>
      <c r="F2035" s="130">
        <f t="shared" si="882"/>
        <v>31829.268292682926</v>
      </c>
      <c r="G2035" s="130">
        <f t="shared" si="882"/>
        <v>29862.874251497007</v>
      </c>
      <c r="H2035" s="130">
        <f t="shared" si="882"/>
        <v>28736.470588235301</v>
      </c>
      <c r="I2035" s="130">
        <f t="shared" si="882"/>
        <v>29652.631578947377</v>
      </c>
      <c r="J2035" s="685">
        <f t="shared" si="882"/>
        <v>29652.631578947381</v>
      </c>
    </row>
    <row r="2036" spans="1:10" s="71" customFormat="1" x14ac:dyDescent="0.25">
      <c r="A2036" s="622" t="s">
        <v>25</v>
      </c>
      <c r="B2036" s="451">
        <f t="shared" ref="B2036:H2036" si="883">B2041*B2029</f>
        <v>1381540.5558620691</v>
      </c>
      <c r="C2036" s="92">
        <f t="shared" si="883"/>
        <v>1608206.0006896553</v>
      </c>
      <c r="D2036" s="92">
        <f t="shared" si="883"/>
        <v>1825621.8882758624</v>
      </c>
      <c r="E2036" s="92">
        <f t="shared" si="883"/>
        <v>1801516.8703448277</v>
      </c>
      <c r="F2036" s="92">
        <f t="shared" si="883"/>
        <v>3391430.4000000004</v>
      </c>
      <c r="G2036" s="92">
        <f t="shared" si="883"/>
        <v>3487652.7186206901</v>
      </c>
      <c r="H2036" s="92">
        <f t="shared" si="883"/>
        <v>3445481.2800000007</v>
      </c>
      <c r="I2036" s="92">
        <f>'NOGAL '!$B2036+'NOGAL '!$C2036+'NOGAL '!$D2036+'NOGAL '!$E2036+'NOGAL '!$F2036+'NOGAL '!$G2036+'NOGAL '!$H2036</f>
        <v>16941449.713793106</v>
      </c>
      <c r="J2036" s="715">
        <f>'NOGAL '!$I2036/7</f>
        <v>2420207.101970444</v>
      </c>
    </row>
    <row r="2037" spans="1:10" s="71" customFormat="1" x14ac:dyDescent="0.25">
      <c r="A2037" s="622" t="s">
        <v>26</v>
      </c>
      <c r="B2037" s="451">
        <f t="shared" ref="B2037:H2037" si="884">B2041*B2030</f>
        <v>0</v>
      </c>
      <c r="C2037" s="92">
        <f t="shared" si="884"/>
        <v>0</v>
      </c>
      <c r="D2037" s="92">
        <f t="shared" si="884"/>
        <v>23709.375172413798</v>
      </c>
      <c r="E2037" s="92">
        <f t="shared" si="884"/>
        <v>0</v>
      </c>
      <c r="F2037" s="92">
        <f t="shared" si="884"/>
        <v>42392.88</v>
      </c>
      <c r="G2037" s="92">
        <f t="shared" si="884"/>
        <v>81108.202758620697</v>
      </c>
      <c r="H2037" s="92">
        <f t="shared" si="884"/>
        <v>79206.46620689657</v>
      </c>
      <c r="I2037" s="92">
        <f>'NOGAL '!$B2037+'NOGAL '!$C2037+'NOGAL '!$D2037+'NOGAL '!$E2037+'NOGAL '!$F2037+'NOGAL '!$G2037+'NOGAL '!$H2037</f>
        <v>226416.92413793108</v>
      </c>
      <c r="J2037" s="715">
        <f>'NOGAL '!$I2037/7</f>
        <v>32345.274876847299</v>
      </c>
    </row>
    <row r="2038" spans="1:10" s="71" customFormat="1" x14ac:dyDescent="0.25">
      <c r="A2038" s="622" t="s">
        <v>27</v>
      </c>
      <c r="B2038" s="451">
        <f t="shared" ref="B2038:H2038" si="885">B2041*B2031</f>
        <v>400446.53793103457</v>
      </c>
      <c r="C2038" s="92">
        <f t="shared" si="885"/>
        <v>198767.03379310347</v>
      </c>
      <c r="D2038" s="92">
        <f t="shared" si="885"/>
        <v>331931.25241379318</v>
      </c>
      <c r="E2038" s="92">
        <f t="shared" si="885"/>
        <v>263636.61517241382</v>
      </c>
      <c r="F2038" s="92">
        <f t="shared" si="885"/>
        <v>466321.68</v>
      </c>
      <c r="G2038" s="92">
        <f t="shared" si="885"/>
        <v>324432.81103448279</v>
      </c>
      <c r="H2038" s="92">
        <f t="shared" si="885"/>
        <v>237619.3986206897</v>
      </c>
      <c r="I2038" s="92">
        <f>'NOGAL '!$B2038+'NOGAL '!$C2038+'NOGAL '!$D2038+'NOGAL '!$E2038+'NOGAL '!$F2038+'NOGAL '!$G2038+'NOGAL '!$H2038</f>
        <v>2223155.3289655177</v>
      </c>
      <c r="J2038" s="715">
        <f>'NOGAL '!$I2038/7</f>
        <v>317593.61842364538</v>
      </c>
    </row>
    <row r="2039" spans="1:10" s="71" customFormat="1" x14ac:dyDescent="0.25">
      <c r="A2039" s="622" t="s">
        <v>28</v>
      </c>
      <c r="B2039" s="451">
        <f t="shared" ref="B2039:H2039" si="886">B2041*B2032</f>
        <v>220245.59586206899</v>
      </c>
      <c r="C2039" s="92">
        <f t="shared" si="886"/>
        <v>0</v>
      </c>
      <c r="D2039" s="92">
        <f t="shared" si="886"/>
        <v>189675.00137931039</v>
      </c>
      <c r="E2039" s="92">
        <f t="shared" si="886"/>
        <v>109848.58965517243</v>
      </c>
      <c r="F2039" s="92">
        <f t="shared" si="886"/>
        <v>339143.04</v>
      </c>
      <c r="G2039" s="92">
        <f t="shared" si="886"/>
        <v>162216.40551724139</v>
      </c>
      <c r="H2039" s="92">
        <f t="shared" si="886"/>
        <v>158412.93241379314</v>
      </c>
      <c r="I2039" s="92">
        <f>'NOGAL '!$B2039+'NOGAL '!$C2039+'NOGAL '!$D2039+'NOGAL '!$E2039+'NOGAL '!$F2039+'NOGAL '!$G2039+'NOGAL '!$H2039</f>
        <v>1179541.5648275863</v>
      </c>
      <c r="J2039" s="715">
        <f>'NOGAL '!$I2039/7</f>
        <v>168505.93783251234</v>
      </c>
    </row>
    <row r="2040" spans="1:10" s="71" customFormat="1" x14ac:dyDescent="0.25">
      <c r="A2040" s="622" t="s">
        <v>29</v>
      </c>
      <c r="B2040" s="451">
        <f t="shared" ref="B2040:H2040" si="887">B2041*B2033</f>
        <v>0</v>
      </c>
      <c r="C2040" s="92">
        <f t="shared" si="887"/>
        <v>0</v>
      </c>
      <c r="D2040" s="92">
        <f t="shared" si="887"/>
        <v>0</v>
      </c>
      <c r="E2040" s="92">
        <f t="shared" si="887"/>
        <v>21969.717931034487</v>
      </c>
      <c r="F2040" s="92">
        <f t="shared" si="887"/>
        <v>0</v>
      </c>
      <c r="G2040" s="92">
        <f t="shared" si="887"/>
        <v>0</v>
      </c>
      <c r="H2040" s="92">
        <f t="shared" si="887"/>
        <v>39603.233103448285</v>
      </c>
      <c r="I2040" s="92">
        <f>'NOGAL '!$B2040+'NOGAL '!$C2040+'NOGAL '!$D2040+'NOGAL '!$E2040+'NOGAL '!$F2040+'NOGAL '!$G2040+'NOGAL '!$H2040</f>
        <v>61572.951034482772</v>
      </c>
      <c r="J2040" s="715">
        <f>'NOGAL '!$I2040/7</f>
        <v>8796.135862068968</v>
      </c>
    </row>
    <row r="2041" spans="1:10" s="71" customFormat="1" x14ac:dyDescent="0.25">
      <c r="A2041" s="630" t="s">
        <v>30</v>
      </c>
      <c r="B2041" s="237">
        <f>(2440200/1.16)-B2042</f>
        <v>2002232.6896551726</v>
      </c>
      <c r="C2041" s="237">
        <f>(2227700/1.16)-C2042</f>
        <v>1806973.0344827587</v>
      </c>
      <c r="D2041" s="237">
        <f>(2895900/1.16)-D2042</f>
        <v>2370937.5172413797</v>
      </c>
      <c r="E2041" s="237">
        <f>(2696900/1.16)-E2042</f>
        <v>2196971.7931034486</v>
      </c>
      <c r="F2041" s="237">
        <f>(5220000/1.16)-F2042</f>
        <v>4239288</v>
      </c>
      <c r="G2041" s="237">
        <f>(4987100/1.16)-G2042</f>
        <v>4055410.1379310349</v>
      </c>
      <c r="H2041" s="237">
        <f>(4885200/1.16)-H2042</f>
        <v>3960323.3103448283</v>
      </c>
      <c r="I2041" s="91">
        <f>SUM(I2036:I2040)</f>
        <v>20632136.482758626</v>
      </c>
      <c r="J2041" s="716">
        <f>'NOGAL '!$I2041/7</f>
        <v>2947448.0689655179</v>
      </c>
    </row>
    <row r="2042" spans="1:10" s="71" customFormat="1" x14ac:dyDescent="0.25">
      <c r="A2042" s="622" t="s">
        <v>31</v>
      </c>
      <c r="B2042" s="452">
        <f t="shared" ref="B2042:J2042" si="888">2414*B2023</f>
        <v>101388</v>
      </c>
      <c r="C2042" s="94">
        <f t="shared" si="888"/>
        <v>113458</v>
      </c>
      <c r="D2042" s="94">
        <f t="shared" si="888"/>
        <v>125528</v>
      </c>
      <c r="E2042" s="94">
        <f t="shared" si="888"/>
        <v>127942</v>
      </c>
      <c r="F2042" s="94">
        <f t="shared" si="888"/>
        <v>260712</v>
      </c>
      <c r="G2042" s="94">
        <f t="shared" si="888"/>
        <v>243814</v>
      </c>
      <c r="H2042" s="94">
        <f t="shared" si="888"/>
        <v>251056</v>
      </c>
      <c r="I2042" s="94">
        <f t="shared" si="888"/>
        <v>1223898</v>
      </c>
      <c r="J2042" s="717">
        <f t="shared" si="888"/>
        <v>174842.57142857142</v>
      </c>
    </row>
    <row r="2043" spans="1:10" s="71" customFormat="1" x14ac:dyDescent="0.25">
      <c r="A2043" s="633" t="s">
        <v>32</v>
      </c>
      <c r="B2043" s="453">
        <f>B2041+B2042</f>
        <v>2103620.6896551726</v>
      </c>
      <c r="C2043" s="39">
        <f>C2041+C2042</f>
        <v>1920431.0344827587</v>
      </c>
      <c r="D2043" s="39">
        <f t="shared" ref="D2043:J2043" si="889">D2041+D2042</f>
        <v>2496465.5172413797</v>
      </c>
      <c r="E2043" s="39">
        <f t="shared" si="889"/>
        <v>2324913.7931034486</v>
      </c>
      <c r="F2043" s="39">
        <f t="shared" si="889"/>
        <v>4500000</v>
      </c>
      <c r="G2043" s="39">
        <f t="shared" si="889"/>
        <v>4299224.1379310349</v>
      </c>
      <c r="H2043" s="39">
        <f t="shared" si="889"/>
        <v>4211379.3103448283</v>
      </c>
      <c r="I2043" s="39">
        <f t="shared" si="889"/>
        <v>21856034.482758626</v>
      </c>
      <c r="J2043" s="718">
        <f t="shared" si="889"/>
        <v>3122290.6403940893</v>
      </c>
    </row>
    <row r="2044" spans="1:10" s="71" customFormat="1" x14ac:dyDescent="0.25">
      <c r="A2044" s="622" t="s">
        <v>33</v>
      </c>
      <c r="B2044" s="454">
        <f>B2043*16%</f>
        <v>336579.31034482765</v>
      </c>
      <c r="C2044" s="41">
        <f>C2043*16%</f>
        <v>307268.96551724139</v>
      </c>
      <c r="D2044" s="41">
        <f t="shared" ref="D2044:J2044" si="890">D2043*16%</f>
        <v>399434.48275862075</v>
      </c>
      <c r="E2044" s="41">
        <f t="shared" si="890"/>
        <v>371986.20689655177</v>
      </c>
      <c r="F2044" s="41">
        <f t="shared" si="890"/>
        <v>720000</v>
      </c>
      <c r="G2044" s="41">
        <f t="shared" si="890"/>
        <v>687875.86206896557</v>
      </c>
      <c r="H2044" s="41">
        <f t="shared" si="890"/>
        <v>673820.68965517252</v>
      </c>
      <c r="I2044" s="41">
        <f t="shared" si="890"/>
        <v>3496965.5172413802</v>
      </c>
      <c r="J2044" s="719">
        <f t="shared" si="890"/>
        <v>499566.50246305432</v>
      </c>
    </row>
    <row r="2045" spans="1:10" s="71" customFormat="1" ht="15.75" thickBot="1" x14ac:dyDescent="0.3">
      <c r="A2045" s="636" t="s">
        <v>34</v>
      </c>
      <c r="B2045" s="637">
        <f t="shared" ref="B2045:H2045" si="891">B2043+B2044</f>
        <v>2440200.0000000005</v>
      </c>
      <c r="C2045" s="686">
        <f t="shared" si="891"/>
        <v>2227700</v>
      </c>
      <c r="D2045" s="686">
        <f t="shared" si="891"/>
        <v>2895900.0000000005</v>
      </c>
      <c r="E2045" s="686">
        <f t="shared" si="891"/>
        <v>2696900.0000000005</v>
      </c>
      <c r="F2045" s="686">
        <f t="shared" si="891"/>
        <v>5220000</v>
      </c>
      <c r="G2045" s="686">
        <f t="shared" si="891"/>
        <v>4987100</v>
      </c>
      <c r="H2045" s="686">
        <f t="shared" si="891"/>
        <v>4885200.0000000009</v>
      </c>
      <c r="I2045" s="686">
        <f>+I2043+I2044</f>
        <v>25353000.000000007</v>
      </c>
      <c r="J2045" s="720">
        <f>'NOGAL '!$I2045/7</f>
        <v>3621857.1428571441</v>
      </c>
    </row>
    <row r="2046" spans="1:10" s="71" customFormat="1" ht="15.75" thickBot="1" x14ac:dyDescent="0.3">
      <c r="A2046" s="69"/>
      <c r="B2046" s="424"/>
      <c r="C2046" s="424"/>
      <c r="D2046" s="424"/>
      <c r="E2046" s="424"/>
      <c r="F2046" s="424"/>
      <c r="G2046" s="424"/>
      <c r="H2046" s="424"/>
      <c r="I2046" s="424"/>
      <c r="J2046" s="424"/>
    </row>
    <row r="2047" spans="1:10" s="71" customFormat="1" ht="27" thickBot="1" x14ac:dyDescent="0.3">
      <c r="A2047" s="85"/>
      <c r="B2047" s="1002" t="s">
        <v>698</v>
      </c>
      <c r="C2047" s="1002"/>
      <c r="D2047" s="1002"/>
      <c r="E2047" s="1002"/>
      <c r="F2047" s="1002"/>
      <c r="G2047" s="1002"/>
      <c r="H2047" s="1002"/>
      <c r="I2047" s="1002"/>
      <c r="J2047" s="85"/>
    </row>
    <row r="2048" spans="1:10" s="71" customFormat="1" ht="15.75" x14ac:dyDescent="0.25">
      <c r="A2048" s="614" t="s">
        <v>2</v>
      </c>
      <c r="B2048" s="706" t="s">
        <v>345</v>
      </c>
      <c r="C2048" s="641" t="s">
        <v>346</v>
      </c>
      <c r="D2048" s="641" t="s">
        <v>347</v>
      </c>
      <c r="E2048" s="641" t="s">
        <v>348</v>
      </c>
      <c r="F2048" s="641" t="s">
        <v>349</v>
      </c>
      <c r="G2048" s="641" t="s">
        <v>350</v>
      </c>
      <c r="H2048" s="641" t="s">
        <v>351</v>
      </c>
      <c r="I2048" s="618" t="s">
        <v>10</v>
      </c>
      <c r="J2048" s="711" t="s">
        <v>77</v>
      </c>
    </row>
    <row r="2049" spans="1:10" s="71" customFormat="1" x14ac:dyDescent="0.25">
      <c r="A2049" s="620" t="s">
        <v>11</v>
      </c>
      <c r="B2049" s="433">
        <f>122+62+30</f>
        <v>214</v>
      </c>
      <c r="C2049" s="75">
        <f>45+16+6</f>
        <v>67</v>
      </c>
      <c r="D2049" s="75">
        <f>55+13+8</f>
        <v>76</v>
      </c>
      <c r="E2049" s="316">
        <f>75+26+14</f>
        <v>115</v>
      </c>
      <c r="F2049" s="316">
        <f>117+48+16</f>
        <v>181</v>
      </c>
      <c r="G2049" s="316">
        <f>126+45+17</f>
        <v>188</v>
      </c>
      <c r="H2049" s="316">
        <f>113+46+15</f>
        <v>174</v>
      </c>
      <c r="I2049" s="316">
        <f>SUM(B2049:H2049)</f>
        <v>1015</v>
      </c>
      <c r="J2049" s="712">
        <f>'NOGAL '!$I2049/7</f>
        <v>145</v>
      </c>
    </row>
    <row r="2050" spans="1:10" s="71" customFormat="1" x14ac:dyDescent="0.25">
      <c r="A2050" s="622" t="s">
        <v>12</v>
      </c>
      <c r="B2050" s="448">
        <v>144</v>
      </c>
      <c r="C2050" s="86">
        <v>35</v>
      </c>
      <c r="D2050" s="11">
        <v>44</v>
      </c>
      <c r="E2050" s="86">
        <v>64</v>
      </c>
      <c r="F2050" s="86">
        <v>98</v>
      </c>
      <c r="G2050" s="86">
        <v>113</v>
      </c>
      <c r="H2050" s="11">
        <v>117</v>
      </c>
      <c r="I2050" s="11">
        <f>B2050+C2050+D2050+E2050+F2050+G2050+H2050</f>
        <v>615</v>
      </c>
      <c r="J2050" s="684">
        <f>'NOGAL '!$I2050/7</f>
        <v>87.857142857142861</v>
      </c>
    </row>
    <row r="2051" spans="1:10" s="71" customFormat="1" x14ac:dyDescent="0.25">
      <c r="A2051" s="622" t="s">
        <v>13</v>
      </c>
      <c r="B2051" s="448">
        <v>4</v>
      </c>
      <c r="C2051" s="11">
        <v>1</v>
      </c>
      <c r="D2051" s="11">
        <v>2</v>
      </c>
      <c r="E2051" s="86">
        <v>1</v>
      </c>
      <c r="F2051" s="11">
        <v>1</v>
      </c>
      <c r="G2051" s="11">
        <v>0</v>
      </c>
      <c r="H2051" s="11">
        <v>3</v>
      </c>
      <c r="I2051" s="11">
        <f>B2051+C2051+D2051+E2051+F2051+G2051+H2051</f>
        <v>12</v>
      </c>
      <c r="J2051" s="684">
        <f>C2051+D2051+E2051+F2051+G2051+H2051+I2051</f>
        <v>20</v>
      </c>
    </row>
    <row r="2052" spans="1:10" s="71" customFormat="1" x14ac:dyDescent="0.25">
      <c r="A2052" s="622" t="s">
        <v>14</v>
      </c>
      <c r="B2052" s="448">
        <v>11</v>
      </c>
      <c r="C2052" s="11">
        <v>9</v>
      </c>
      <c r="D2052" s="11">
        <v>13</v>
      </c>
      <c r="E2052" s="11">
        <v>11</v>
      </c>
      <c r="F2052" s="11">
        <v>22</v>
      </c>
      <c r="G2052" s="11">
        <v>9</v>
      </c>
      <c r="H2052" s="11">
        <v>9</v>
      </c>
      <c r="I2052" s="11">
        <f>B2052+C2052+D2052+E2052+F2052+G2052+H2052</f>
        <v>84</v>
      </c>
      <c r="J2052" s="684">
        <f>'NOGAL '!$I2052/7</f>
        <v>12</v>
      </c>
    </row>
    <row r="2053" spans="1:10" s="71" customFormat="1" x14ac:dyDescent="0.25">
      <c r="A2053" s="622" t="s">
        <v>15</v>
      </c>
      <c r="B2053" s="448">
        <v>6</v>
      </c>
      <c r="C2053" s="11">
        <v>9</v>
      </c>
      <c r="D2053" s="11">
        <v>3</v>
      </c>
      <c r="E2053" s="11">
        <v>4</v>
      </c>
      <c r="F2053" s="11">
        <v>6</v>
      </c>
      <c r="G2053" s="11">
        <v>16</v>
      </c>
      <c r="H2053" s="11">
        <v>10</v>
      </c>
      <c r="I2053" s="11">
        <f>B2053+C2053+D2053+E2053+F2053+G2053+H2053</f>
        <v>54</v>
      </c>
      <c r="J2053" s="684">
        <f>'NOGAL '!$I2053/7</f>
        <v>7.7142857142857144</v>
      </c>
    </row>
    <row r="2054" spans="1:10" s="71" customFormat="1" x14ac:dyDescent="0.25">
      <c r="A2054" s="622" t="s">
        <v>16</v>
      </c>
      <c r="B2054" s="448">
        <v>0</v>
      </c>
      <c r="C2054" s="11">
        <v>0</v>
      </c>
      <c r="D2054" s="11">
        <v>0</v>
      </c>
      <c r="E2054" s="11">
        <v>0</v>
      </c>
      <c r="F2054" s="11">
        <v>0</v>
      </c>
      <c r="G2054" s="11">
        <v>0</v>
      </c>
      <c r="H2054" s="11">
        <v>0</v>
      </c>
      <c r="I2054" s="11">
        <f>B2054+C2054+D2054+E2054+F2054+G2054+H2054</f>
        <v>0</v>
      </c>
      <c r="J2054" s="684">
        <f>'NOGAL '!$I2054/7</f>
        <v>0</v>
      </c>
    </row>
    <row r="2055" spans="1:10" s="71" customFormat="1" x14ac:dyDescent="0.25">
      <c r="A2055" s="624" t="s">
        <v>17</v>
      </c>
      <c r="B2055" s="102">
        <f t="shared" ref="B2055:I2055" si="892">SUM(B2050:B2054)</f>
        <v>165</v>
      </c>
      <c r="C2055" s="103">
        <f t="shared" si="892"/>
        <v>54</v>
      </c>
      <c r="D2055" s="103">
        <f t="shared" si="892"/>
        <v>62</v>
      </c>
      <c r="E2055" s="103">
        <f t="shared" si="892"/>
        <v>80</v>
      </c>
      <c r="F2055" s="103">
        <f t="shared" si="892"/>
        <v>127</v>
      </c>
      <c r="G2055" s="103">
        <f t="shared" si="892"/>
        <v>138</v>
      </c>
      <c r="H2055" s="103">
        <f t="shared" si="892"/>
        <v>139</v>
      </c>
      <c r="I2055" s="103">
        <f t="shared" si="892"/>
        <v>765</v>
      </c>
      <c r="J2055" s="713">
        <f>'NOGAL '!$I2055/7</f>
        <v>109.28571428571429</v>
      </c>
    </row>
    <row r="2056" spans="1:10" s="71" customFormat="1" x14ac:dyDescent="0.25">
      <c r="A2056" s="622" t="s">
        <v>18</v>
      </c>
      <c r="B2056" s="449">
        <v>0.91</v>
      </c>
      <c r="C2056" s="236">
        <v>0.76</v>
      </c>
      <c r="D2056" s="236">
        <v>0.84</v>
      </c>
      <c r="E2056" s="236">
        <v>0.89</v>
      </c>
      <c r="F2056" s="236">
        <v>0.85</v>
      </c>
      <c r="G2056" s="236">
        <v>0.87</v>
      </c>
      <c r="H2056" s="236">
        <v>0.88</v>
      </c>
      <c r="I2056" s="18">
        <f>I2063/I2068</f>
        <v>0.86977419429134839</v>
      </c>
      <c r="J2056" s="714">
        <f>J2063/J2068</f>
        <v>0.86977419429134839</v>
      </c>
    </row>
    <row r="2057" spans="1:10" s="71" customFormat="1" x14ac:dyDescent="0.25">
      <c r="A2057" s="622" t="s">
        <v>19</v>
      </c>
      <c r="B2057" s="449">
        <v>0.03</v>
      </c>
      <c r="C2057" s="236">
        <v>0.02</v>
      </c>
      <c r="D2057" s="236">
        <v>0.03</v>
      </c>
      <c r="E2057" s="236">
        <v>0.01</v>
      </c>
      <c r="F2057" s="236">
        <v>0.01</v>
      </c>
      <c r="G2057" s="236">
        <v>0</v>
      </c>
      <c r="H2057" s="236">
        <v>0.01</v>
      </c>
      <c r="I2057" s="18">
        <f>I2064/I2068</f>
        <v>1.4062629113559631E-2</v>
      </c>
      <c r="J2057" s="714">
        <f>J2064/J2068</f>
        <v>1.4062629113559631E-2</v>
      </c>
    </row>
    <row r="2058" spans="1:10" s="71" customFormat="1" x14ac:dyDescent="0.25">
      <c r="A2058" s="622" t="s">
        <v>20</v>
      </c>
      <c r="B2058" s="449">
        <v>0.04</v>
      </c>
      <c r="C2058" s="236">
        <v>0.12</v>
      </c>
      <c r="D2058" s="236">
        <v>0.1</v>
      </c>
      <c r="E2058" s="236">
        <v>0.08</v>
      </c>
      <c r="F2058" s="236">
        <v>0.12</v>
      </c>
      <c r="G2058" s="236">
        <v>0.05</v>
      </c>
      <c r="H2058" s="236">
        <v>0.04</v>
      </c>
      <c r="I2058" s="18">
        <f>I2065/I2068</f>
        <v>7.0310701600459324E-2</v>
      </c>
      <c r="J2058" s="714">
        <f>J2065/J2068</f>
        <v>7.0310701600459311E-2</v>
      </c>
    </row>
    <row r="2059" spans="1:10" s="71" customFormat="1" x14ac:dyDescent="0.25">
      <c r="A2059" s="622" t="s">
        <v>21</v>
      </c>
      <c r="B2059" s="449">
        <v>0.02</v>
      </c>
      <c r="C2059" s="236">
        <v>0.1</v>
      </c>
      <c r="D2059" s="236">
        <v>0.03</v>
      </c>
      <c r="E2059" s="236">
        <v>0.02</v>
      </c>
      <c r="F2059" s="236">
        <v>0.02</v>
      </c>
      <c r="G2059" s="236">
        <v>0.08</v>
      </c>
      <c r="H2059" s="236">
        <v>7.0000000000000007E-2</v>
      </c>
      <c r="I2059" s="18">
        <f>I2066/I2068</f>
        <v>4.5852474994632596E-2</v>
      </c>
      <c r="J2059" s="714">
        <f>J2066/J2068</f>
        <v>4.5852474994632596E-2</v>
      </c>
    </row>
    <row r="2060" spans="1:10" s="71" customFormat="1" x14ac:dyDescent="0.25">
      <c r="A2060" s="622" t="s">
        <v>22</v>
      </c>
      <c r="B2060" s="449">
        <v>0</v>
      </c>
      <c r="C2060" s="236">
        <v>0</v>
      </c>
      <c r="D2060" s="236">
        <v>0</v>
      </c>
      <c r="E2060" s="236">
        <v>0</v>
      </c>
      <c r="F2060" s="236">
        <v>0</v>
      </c>
      <c r="G2060" s="236">
        <v>0</v>
      </c>
      <c r="H2060" s="236">
        <v>0</v>
      </c>
      <c r="I2060" s="18">
        <f>I2067/I2068</f>
        <v>0</v>
      </c>
      <c r="J2060" s="714">
        <f>J2067/J2068</f>
        <v>0</v>
      </c>
    </row>
    <row r="2061" spans="1:10" s="71" customFormat="1" x14ac:dyDescent="0.25">
      <c r="A2061" s="627" t="s">
        <v>23</v>
      </c>
      <c r="B2061" s="450">
        <f t="shared" ref="B2061:J2061" si="893">B2072/B2055</f>
        <v>35927.878787878792</v>
      </c>
      <c r="C2061" s="130">
        <f t="shared" si="893"/>
        <v>30683.333333333339</v>
      </c>
      <c r="D2061" s="130">
        <f t="shared" si="893"/>
        <v>33514.516129032258</v>
      </c>
      <c r="E2061" s="130">
        <f t="shared" si="893"/>
        <v>39065.000000000007</v>
      </c>
      <c r="F2061" s="130">
        <f t="shared" si="893"/>
        <v>43263.779527559054</v>
      </c>
      <c r="G2061" s="130">
        <f t="shared" si="893"/>
        <v>41257.246376811592</v>
      </c>
      <c r="H2061" s="130">
        <f t="shared" si="893"/>
        <v>37187.05035971223</v>
      </c>
      <c r="I2061" s="130">
        <f t="shared" si="893"/>
        <v>38098.169934640529</v>
      </c>
      <c r="J2061" s="685">
        <f t="shared" si="893"/>
        <v>38098.169934640529</v>
      </c>
    </row>
    <row r="2062" spans="1:10" s="71" customFormat="1" x14ac:dyDescent="0.25">
      <c r="A2062" s="627" t="s">
        <v>24</v>
      </c>
      <c r="B2062" s="450">
        <f t="shared" ref="B2062:J2062" si="894">B2072/B2049</f>
        <v>27701.401869158883</v>
      </c>
      <c r="C2062" s="130">
        <f t="shared" si="894"/>
        <v>24729.850746268661</v>
      </c>
      <c r="D2062" s="130">
        <f t="shared" si="894"/>
        <v>27340.78947368421</v>
      </c>
      <c r="E2062" s="130">
        <f t="shared" si="894"/>
        <v>27175.652173913048</v>
      </c>
      <c r="F2062" s="130">
        <f t="shared" si="894"/>
        <v>30356.353591160219</v>
      </c>
      <c r="G2062" s="130">
        <f t="shared" si="894"/>
        <v>30284.574468085106</v>
      </c>
      <c r="H2062" s="130">
        <f t="shared" si="894"/>
        <v>29706.896551724138</v>
      </c>
      <c r="I2062" s="130">
        <f t="shared" si="894"/>
        <v>28714.38423645321</v>
      </c>
      <c r="J2062" s="685">
        <f t="shared" si="894"/>
        <v>28714.38423645321</v>
      </c>
    </row>
    <row r="2063" spans="1:10" s="71" customFormat="1" x14ac:dyDescent="0.25">
      <c r="A2063" s="622" t="s">
        <v>25</v>
      </c>
      <c r="B2063" s="451">
        <f t="shared" ref="B2063:H2063" si="895">B2068*B2056</f>
        <v>4334161.6813793108</v>
      </c>
      <c r="C2063" s="92">
        <f t="shared" si="895"/>
        <v>1021342.7724137933</v>
      </c>
      <c r="D2063" s="92">
        <f t="shared" si="895"/>
        <v>1415464.7668965517</v>
      </c>
      <c r="E2063" s="92">
        <f t="shared" si="895"/>
        <v>2260281.3186206901</v>
      </c>
      <c r="F2063" s="92">
        <f t="shared" si="895"/>
        <v>3825056.0413793107</v>
      </c>
      <c r="G2063" s="92">
        <f t="shared" si="895"/>
        <v>4032804.66</v>
      </c>
      <c r="H2063" s="92">
        <f t="shared" si="895"/>
        <v>3672764.9048275864</v>
      </c>
      <c r="I2063" s="92">
        <f>'NOGAL '!$B2063+'NOGAL '!$C2063+'NOGAL '!$D2063+'NOGAL '!$E2063+'NOGAL '!$F2063+'NOGAL '!$G2063+'NOGAL '!$H2063</f>
        <v>20561876.145517245</v>
      </c>
      <c r="J2063" s="715">
        <f>'NOGAL '!$I2063/7</f>
        <v>2937410.8779310351</v>
      </c>
    </row>
    <row r="2064" spans="1:10" s="71" customFormat="1" x14ac:dyDescent="0.25">
      <c r="A2064" s="622" t="s">
        <v>26</v>
      </c>
      <c r="B2064" s="451">
        <f t="shared" ref="B2064:H2064" si="896">B2068*B2057</f>
        <v>142884.45103448277</v>
      </c>
      <c r="C2064" s="92">
        <f t="shared" si="896"/>
        <v>26877.441379310349</v>
      </c>
      <c r="D2064" s="92">
        <f t="shared" si="896"/>
        <v>50552.313103448279</v>
      </c>
      <c r="E2064" s="92">
        <f t="shared" si="896"/>
        <v>25396.419310344831</v>
      </c>
      <c r="F2064" s="92">
        <f t="shared" si="896"/>
        <v>45000.659310344832</v>
      </c>
      <c r="G2064" s="92">
        <f t="shared" si="896"/>
        <v>0</v>
      </c>
      <c r="H2064" s="92">
        <f t="shared" si="896"/>
        <v>41735.964827586206</v>
      </c>
      <c r="I2064" s="92">
        <f>'NOGAL '!$B2064+'NOGAL '!$C2064+'NOGAL '!$D2064+'NOGAL '!$E2064+'NOGAL '!$F2064+'NOGAL '!$G2064+'NOGAL '!$H2064</f>
        <v>332447.24896551727</v>
      </c>
      <c r="J2064" s="715">
        <f>'NOGAL '!$I2064/7</f>
        <v>47492.464137931041</v>
      </c>
    </row>
    <row r="2065" spans="1:10" s="71" customFormat="1" x14ac:dyDescent="0.25">
      <c r="A2065" s="622" t="s">
        <v>27</v>
      </c>
      <c r="B2065" s="451">
        <f t="shared" ref="B2065:H2065" si="897">B2068*B2058</f>
        <v>190512.60137931039</v>
      </c>
      <c r="C2065" s="92">
        <f t="shared" si="897"/>
        <v>161264.6482758621</v>
      </c>
      <c r="D2065" s="92">
        <f t="shared" si="897"/>
        <v>168507.71034482762</v>
      </c>
      <c r="E2065" s="92">
        <f t="shared" si="897"/>
        <v>203171.35448275864</v>
      </c>
      <c r="F2065" s="92">
        <f t="shared" si="897"/>
        <v>540007.91172413796</v>
      </c>
      <c r="G2065" s="92">
        <f t="shared" si="897"/>
        <v>231770.38275862072</v>
      </c>
      <c r="H2065" s="92">
        <f t="shared" si="897"/>
        <v>166943.85931034482</v>
      </c>
      <c r="I2065" s="92">
        <f>'NOGAL '!$B2065+'NOGAL '!$C2065+'NOGAL '!$D2065+'NOGAL '!$E2065+'NOGAL '!$F2065+'NOGAL '!$G2065+'NOGAL '!$H2065</f>
        <v>1662178.4682758623</v>
      </c>
      <c r="J2065" s="715">
        <f>'NOGAL '!$I2065/7</f>
        <v>237454.06689655175</v>
      </c>
    </row>
    <row r="2066" spans="1:10" s="71" customFormat="1" x14ac:dyDescent="0.25">
      <c r="A2066" s="622" t="s">
        <v>28</v>
      </c>
      <c r="B2066" s="451">
        <f t="shared" ref="B2066:H2066" si="898">B2068*B2059</f>
        <v>95256.300689655196</v>
      </c>
      <c r="C2066" s="92">
        <f t="shared" si="898"/>
        <v>134387.20689655174</v>
      </c>
      <c r="D2066" s="92">
        <f t="shared" si="898"/>
        <v>50552.313103448279</v>
      </c>
      <c r="E2066" s="92">
        <f t="shared" si="898"/>
        <v>50792.838620689661</v>
      </c>
      <c r="F2066" s="92">
        <f t="shared" si="898"/>
        <v>90001.318620689664</v>
      </c>
      <c r="G2066" s="92">
        <f t="shared" si="898"/>
        <v>370832.61241379316</v>
      </c>
      <c r="H2066" s="92">
        <f t="shared" si="898"/>
        <v>292151.7537931035</v>
      </c>
      <c r="I2066" s="92">
        <f>'NOGAL '!$B2066+'NOGAL '!$C2066+'NOGAL '!$D2066+'NOGAL '!$E2066+'NOGAL '!$F2066+'NOGAL '!$G2066+'NOGAL '!$H2066</f>
        <v>1083974.3441379312</v>
      </c>
      <c r="J2066" s="715">
        <f>'NOGAL '!$I2066/7</f>
        <v>154853.47773399018</v>
      </c>
    </row>
    <row r="2067" spans="1:10" s="71" customFormat="1" x14ac:dyDescent="0.25">
      <c r="A2067" s="622" t="s">
        <v>29</v>
      </c>
      <c r="B2067" s="451">
        <f t="shared" ref="B2067:H2067" si="899">B2068*B2060</f>
        <v>0</v>
      </c>
      <c r="C2067" s="92">
        <f t="shared" si="899"/>
        <v>0</v>
      </c>
      <c r="D2067" s="92">
        <f t="shared" si="899"/>
        <v>0</v>
      </c>
      <c r="E2067" s="92">
        <f t="shared" si="899"/>
        <v>0</v>
      </c>
      <c r="F2067" s="92">
        <f t="shared" si="899"/>
        <v>0</v>
      </c>
      <c r="G2067" s="92">
        <f t="shared" si="899"/>
        <v>0</v>
      </c>
      <c r="H2067" s="92">
        <f t="shared" si="899"/>
        <v>0</v>
      </c>
      <c r="I2067" s="92">
        <f>'NOGAL '!$B2067+'NOGAL '!$C2067+'NOGAL '!$D2067+'NOGAL '!$E2067+'NOGAL '!$F2067+'NOGAL '!$G2067+'NOGAL '!$H2067</f>
        <v>0</v>
      </c>
      <c r="J2067" s="715">
        <f>'NOGAL '!$I2067/7</f>
        <v>0</v>
      </c>
    </row>
    <row r="2068" spans="1:10" s="71" customFormat="1" x14ac:dyDescent="0.25">
      <c r="A2068" s="630" t="s">
        <v>30</v>
      </c>
      <c r="B2068" s="237">
        <f>(5928100/1.16)-B2069</f>
        <v>4762815.0344827594</v>
      </c>
      <c r="C2068" s="237">
        <f>(1656900/1.16)-C2069</f>
        <v>1343872.0689655175</v>
      </c>
      <c r="D2068" s="237">
        <f>(2077900/1.16)-D2069</f>
        <v>1685077.1034482759</v>
      </c>
      <c r="E2068" s="237">
        <f>(3125200/1.16)-E2069</f>
        <v>2539641.931034483</v>
      </c>
      <c r="F2068" s="237">
        <f>(5494500/1.16)-F2069</f>
        <v>4500065.931034483</v>
      </c>
      <c r="G2068" s="237">
        <f>(5693500/1.16)-G2069</f>
        <v>4635407.6551724141</v>
      </c>
      <c r="H2068" s="237">
        <f>(5169000/1.16)-H2069</f>
        <v>4173596.4827586208</v>
      </c>
      <c r="I2068" s="91">
        <f>SUM(I2063:I2067)</f>
        <v>23640476.206896558</v>
      </c>
      <c r="J2068" s="716">
        <f>'NOGAL '!$I2068/7</f>
        <v>3377210.8866995084</v>
      </c>
    </row>
    <row r="2069" spans="1:10" s="71" customFormat="1" x14ac:dyDescent="0.25">
      <c r="A2069" s="622" t="s">
        <v>31</v>
      </c>
      <c r="B2069" s="452">
        <f t="shared" ref="B2069:J2069" si="900">2414*B2050</f>
        <v>347616</v>
      </c>
      <c r="C2069" s="94">
        <f t="shared" si="900"/>
        <v>84490</v>
      </c>
      <c r="D2069" s="94">
        <f t="shared" si="900"/>
        <v>106216</v>
      </c>
      <c r="E2069" s="94">
        <f t="shared" si="900"/>
        <v>154496</v>
      </c>
      <c r="F2069" s="94">
        <f t="shared" si="900"/>
        <v>236572</v>
      </c>
      <c r="G2069" s="94">
        <f t="shared" si="900"/>
        <v>272782</v>
      </c>
      <c r="H2069" s="94">
        <f t="shared" si="900"/>
        <v>282438</v>
      </c>
      <c r="I2069" s="94">
        <f t="shared" si="900"/>
        <v>1484610</v>
      </c>
      <c r="J2069" s="717">
        <f t="shared" si="900"/>
        <v>212087.14285714287</v>
      </c>
    </row>
    <row r="2070" spans="1:10" s="71" customFormat="1" x14ac:dyDescent="0.25">
      <c r="A2070" s="633" t="s">
        <v>32</v>
      </c>
      <c r="B2070" s="453">
        <f>B2068+B2069</f>
        <v>5110431.0344827594</v>
      </c>
      <c r="C2070" s="39">
        <f>C2068+C2069</f>
        <v>1428362.0689655175</v>
      </c>
      <c r="D2070" s="39">
        <f t="shared" ref="D2070:J2070" si="901">D2068+D2069</f>
        <v>1791293.1034482759</v>
      </c>
      <c r="E2070" s="39">
        <f t="shared" si="901"/>
        <v>2694137.931034483</v>
      </c>
      <c r="F2070" s="39">
        <f t="shared" si="901"/>
        <v>4736637.931034483</v>
      </c>
      <c r="G2070" s="39">
        <f t="shared" si="901"/>
        <v>4908189.6551724141</v>
      </c>
      <c r="H2070" s="39">
        <f t="shared" si="901"/>
        <v>4456034.4827586208</v>
      </c>
      <c r="I2070" s="39">
        <f t="shared" si="901"/>
        <v>25125086.206896558</v>
      </c>
      <c r="J2070" s="718">
        <f t="shared" si="901"/>
        <v>3589298.0295566511</v>
      </c>
    </row>
    <row r="2071" spans="1:10" s="71" customFormat="1" x14ac:dyDescent="0.25">
      <c r="A2071" s="622" t="s">
        <v>33</v>
      </c>
      <c r="B2071" s="454">
        <f>B2070*16%</f>
        <v>817668.96551724151</v>
      </c>
      <c r="C2071" s="41">
        <f>C2070*16%</f>
        <v>228537.93103448278</v>
      </c>
      <c r="D2071" s="41">
        <f t="shared" ref="D2071:J2071" si="902">D2070*16%</f>
        <v>286606.89655172417</v>
      </c>
      <c r="E2071" s="41">
        <f t="shared" si="902"/>
        <v>431062.06896551728</v>
      </c>
      <c r="F2071" s="41">
        <f t="shared" si="902"/>
        <v>757862.06896551733</v>
      </c>
      <c r="G2071" s="41">
        <f t="shared" si="902"/>
        <v>785310.34482758632</v>
      </c>
      <c r="H2071" s="41">
        <f t="shared" si="902"/>
        <v>712965.51724137936</v>
      </c>
      <c r="I2071" s="41">
        <f t="shared" si="902"/>
        <v>4020013.7931034495</v>
      </c>
      <c r="J2071" s="719">
        <f t="shared" si="902"/>
        <v>574287.68472906423</v>
      </c>
    </row>
    <row r="2072" spans="1:10" s="71" customFormat="1" ht="15.75" thickBot="1" x14ac:dyDescent="0.3">
      <c r="A2072" s="636" t="s">
        <v>34</v>
      </c>
      <c r="B2072" s="637">
        <f t="shared" ref="B2072:H2072" si="903">B2070+B2071</f>
        <v>5928100.0000000009</v>
      </c>
      <c r="C2072" s="686">
        <f t="shared" si="903"/>
        <v>1656900.0000000002</v>
      </c>
      <c r="D2072" s="686">
        <f t="shared" si="903"/>
        <v>2077900</v>
      </c>
      <c r="E2072" s="686">
        <f t="shared" si="903"/>
        <v>3125200.0000000005</v>
      </c>
      <c r="F2072" s="686">
        <f t="shared" si="903"/>
        <v>5494500</v>
      </c>
      <c r="G2072" s="686">
        <f t="shared" si="903"/>
        <v>5693500</v>
      </c>
      <c r="H2072" s="686">
        <f t="shared" si="903"/>
        <v>5169000</v>
      </c>
      <c r="I2072" s="686">
        <f>+I2070+I2071</f>
        <v>29145100.000000007</v>
      </c>
      <c r="J2072" s="720">
        <f>'NOGAL '!$I2072/7</f>
        <v>4163585.7142857155</v>
      </c>
    </row>
    <row r="2073" spans="1:10" s="71" customFormat="1" ht="15.75" thickBot="1" x14ac:dyDescent="0.3">
      <c r="A2073" s="69"/>
      <c r="B2073" s="424"/>
      <c r="C2073" s="424"/>
      <c r="D2073" s="424"/>
      <c r="E2073" s="424"/>
      <c r="F2073" s="424"/>
      <c r="G2073" s="424"/>
      <c r="H2073" s="424"/>
      <c r="I2073" s="424"/>
      <c r="J2073" s="424"/>
    </row>
    <row r="2074" spans="1:10" s="71" customFormat="1" ht="27" thickBot="1" x14ac:dyDescent="0.3">
      <c r="A2074" s="85"/>
      <c r="B2074" s="1002" t="s">
        <v>705</v>
      </c>
      <c r="C2074" s="1002"/>
      <c r="D2074" s="1002"/>
      <c r="E2074" s="1002"/>
      <c r="F2074" s="1002"/>
      <c r="G2074" s="1002"/>
      <c r="H2074" s="1002"/>
      <c r="I2074" s="1002"/>
      <c r="J2074" s="85"/>
    </row>
    <row r="2075" spans="1:10" s="71" customFormat="1" ht="15.75" x14ac:dyDescent="0.25">
      <c r="A2075" s="614" t="s">
        <v>2</v>
      </c>
      <c r="B2075" s="706" t="s">
        <v>600</v>
      </c>
      <c r="C2075" s="641" t="s">
        <v>601</v>
      </c>
      <c r="D2075" s="641" t="s">
        <v>602</v>
      </c>
      <c r="E2075" s="641" t="s">
        <v>603</v>
      </c>
      <c r="F2075" s="641" t="s">
        <v>604</v>
      </c>
      <c r="G2075" s="641" t="s">
        <v>653</v>
      </c>
      <c r="H2075" s="641" t="s">
        <v>272</v>
      </c>
      <c r="I2075" s="618" t="s">
        <v>10</v>
      </c>
      <c r="J2075" s="711" t="s">
        <v>77</v>
      </c>
    </row>
    <row r="2076" spans="1:10" s="71" customFormat="1" x14ac:dyDescent="0.25">
      <c r="A2076" s="620" t="s">
        <v>11</v>
      </c>
      <c r="B2076" s="433">
        <f>54+12+11</f>
        <v>77</v>
      </c>
      <c r="C2076" s="75">
        <f>55+23+9</f>
        <v>87</v>
      </c>
      <c r="D2076" s="75">
        <f>62+21+7</f>
        <v>90</v>
      </c>
      <c r="E2076" s="316">
        <f>56+26+9</f>
        <v>91</v>
      </c>
      <c r="F2076" s="316">
        <f>91+38+18</f>
        <v>147</v>
      </c>
      <c r="G2076" s="316">
        <f>125+54+13</f>
        <v>192</v>
      </c>
      <c r="H2076" s="316">
        <f>86+40+10</f>
        <v>136</v>
      </c>
      <c r="I2076" s="316">
        <f>SUM(B2076:H2076)</f>
        <v>820</v>
      </c>
      <c r="J2076" s="712">
        <f>'NOGAL '!$I2076/7</f>
        <v>117.14285714285714</v>
      </c>
    </row>
    <row r="2077" spans="1:10" s="71" customFormat="1" x14ac:dyDescent="0.25">
      <c r="A2077" s="622" t="s">
        <v>12</v>
      </c>
      <c r="B2077" s="448">
        <v>35</v>
      </c>
      <c r="C2077" s="86">
        <v>48</v>
      </c>
      <c r="D2077" s="11">
        <v>49</v>
      </c>
      <c r="E2077" s="86">
        <v>43</v>
      </c>
      <c r="F2077" s="86">
        <v>73</v>
      </c>
      <c r="G2077" s="86">
        <v>106</v>
      </c>
      <c r="H2077" s="11">
        <v>76</v>
      </c>
      <c r="I2077" s="11">
        <f>B2077+C2077+D2077+E2077+F2077+G2077+H2077</f>
        <v>430</v>
      </c>
      <c r="J2077" s="684">
        <f>'NOGAL '!$I2077/7</f>
        <v>61.428571428571431</v>
      </c>
    </row>
    <row r="2078" spans="1:10" s="71" customFormat="1" x14ac:dyDescent="0.25">
      <c r="A2078" s="622" t="s">
        <v>13</v>
      </c>
      <c r="B2078" s="448">
        <v>0</v>
      </c>
      <c r="C2078" s="11">
        <v>1</v>
      </c>
      <c r="D2078" s="11">
        <v>0</v>
      </c>
      <c r="E2078" s="86">
        <v>1</v>
      </c>
      <c r="F2078" s="11">
        <v>1</v>
      </c>
      <c r="G2078" s="11">
        <v>9</v>
      </c>
      <c r="H2078" s="11">
        <v>0</v>
      </c>
      <c r="I2078" s="11">
        <f>B2078+C2078+D2078+E2078+F2078+G2078+H2078</f>
        <v>12</v>
      </c>
      <c r="J2078" s="684">
        <f>C2078+D2078+E2078+F2078+G2078+H2078+I2078</f>
        <v>24</v>
      </c>
    </row>
    <row r="2079" spans="1:10" s="71" customFormat="1" x14ac:dyDescent="0.25">
      <c r="A2079" s="622" t="s">
        <v>14</v>
      </c>
      <c r="B2079" s="448">
        <v>19</v>
      </c>
      <c r="C2079" s="11">
        <v>17</v>
      </c>
      <c r="D2079" s="11">
        <v>12</v>
      </c>
      <c r="E2079" s="11">
        <v>20</v>
      </c>
      <c r="F2079" s="11">
        <v>23</v>
      </c>
      <c r="G2079" s="11">
        <v>28</v>
      </c>
      <c r="H2079" s="11">
        <v>23</v>
      </c>
      <c r="I2079" s="11">
        <f>B2079+C2079+D2079+E2079+F2079+G2079+H2079</f>
        <v>142</v>
      </c>
      <c r="J2079" s="684">
        <f>'NOGAL '!$I2079/7</f>
        <v>20.285714285714285</v>
      </c>
    </row>
    <row r="2080" spans="1:10" s="71" customFormat="1" x14ac:dyDescent="0.25">
      <c r="A2080" s="622" t="s">
        <v>15</v>
      </c>
      <c r="B2080" s="448">
        <v>0</v>
      </c>
      <c r="C2080" s="11">
        <v>5</v>
      </c>
      <c r="D2080" s="11">
        <v>4</v>
      </c>
      <c r="E2080" s="11">
        <v>9</v>
      </c>
      <c r="F2080" s="11">
        <v>6</v>
      </c>
      <c r="G2080" s="11">
        <v>11</v>
      </c>
      <c r="H2080" s="11">
        <v>5</v>
      </c>
      <c r="I2080" s="11">
        <f>B2080+C2080+D2080+E2080+F2080+G2080+H2080</f>
        <v>40</v>
      </c>
      <c r="J2080" s="684">
        <f>'NOGAL '!$I2080/7</f>
        <v>5.7142857142857144</v>
      </c>
    </row>
    <row r="2081" spans="1:10" s="71" customFormat="1" x14ac:dyDescent="0.25">
      <c r="A2081" s="622" t="s">
        <v>16</v>
      </c>
      <c r="B2081" s="448">
        <v>0</v>
      </c>
      <c r="C2081" s="11">
        <v>0</v>
      </c>
      <c r="D2081" s="11">
        <v>0</v>
      </c>
      <c r="E2081" s="11">
        <v>0</v>
      </c>
      <c r="F2081" s="11">
        <v>0</v>
      </c>
      <c r="G2081" s="11">
        <v>1</v>
      </c>
      <c r="H2081" s="11">
        <v>0</v>
      </c>
      <c r="I2081" s="11">
        <f>B2081+C2081+D2081+E2081+F2081+G2081+H2081</f>
        <v>1</v>
      </c>
      <c r="J2081" s="684">
        <f>'NOGAL '!$I2081/7</f>
        <v>0.14285714285714285</v>
      </c>
    </row>
    <row r="2082" spans="1:10" s="71" customFormat="1" x14ac:dyDescent="0.25">
      <c r="A2082" s="624" t="s">
        <v>17</v>
      </c>
      <c r="B2082" s="102">
        <f t="shared" ref="B2082:I2082" si="904">SUM(B2077:B2081)</f>
        <v>54</v>
      </c>
      <c r="C2082" s="103">
        <f t="shared" si="904"/>
        <v>71</v>
      </c>
      <c r="D2082" s="103">
        <f t="shared" si="904"/>
        <v>65</v>
      </c>
      <c r="E2082" s="103">
        <f t="shared" si="904"/>
        <v>73</v>
      </c>
      <c r="F2082" s="103">
        <f t="shared" si="904"/>
        <v>103</v>
      </c>
      <c r="G2082" s="103">
        <f t="shared" si="904"/>
        <v>155</v>
      </c>
      <c r="H2082" s="103">
        <f t="shared" si="904"/>
        <v>104</v>
      </c>
      <c r="I2082" s="103">
        <f t="shared" si="904"/>
        <v>625</v>
      </c>
      <c r="J2082" s="713">
        <f>'NOGAL '!$I2082/7</f>
        <v>89.285714285714292</v>
      </c>
    </row>
    <row r="2083" spans="1:10" s="71" customFormat="1" x14ac:dyDescent="0.25">
      <c r="A2083" s="622" t="s">
        <v>18</v>
      </c>
      <c r="B2083" s="449">
        <v>0.7</v>
      </c>
      <c r="C2083" s="236">
        <v>0.74</v>
      </c>
      <c r="D2083" s="236">
        <v>0.84</v>
      </c>
      <c r="E2083" s="236">
        <v>0.67</v>
      </c>
      <c r="F2083" s="236">
        <v>0.79</v>
      </c>
      <c r="G2083" s="236">
        <v>0.75</v>
      </c>
      <c r="H2083" s="236">
        <v>0.79</v>
      </c>
      <c r="I2083" s="18">
        <f>I2090/I2095</f>
        <v>0.76041602650113704</v>
      </c>
      <c r="J2083" s="714">
        <f>J2090/J2095</f>
        <v>0.76041602650113704</v>
      </c>
    </row>
    <row r="2084" spans="1:10" s="71" customFormat="1" x14ac:dyDescent="0.25">
      <c r="A2084" s="622" t="s">
        <v>19</v>
      </c>
      <c r="B2084" s="449">
        <v>0</v>
      </c>
      <c r="C2084" s="236">
        <v>0.01</v>
      </c>
      <c r="D2084" s="236">
        <v>0</v>
      </c>
      <c r="E2084" s="236">
        <v>0.01</v>
      </c>
      <c r="F2084" s="236">
        <v>0</v>
      </c>
      <c r="G2084" s="236">
        <v>0.05</v>
      </c>
      <c r="H2084" s="236">
        <v>0</v>
      </c>
      <c r="I2084" s="18">
        <f>I2091/I2095</f>
        <v>1.4710374882523435E-2</v>
      </c>
      <c r="J2084" s="714">
        <f>J2091/J2095</f>
        <v>1.4710374882523435E-2</v>
      </c>
    </row>
    <row r="2085" spans="1:10" s="71" customFormat="1" x14ac:dyDescent="0.25">
      <c r="A2085" s="622" t="s">
        <v>20</v>
      </c>
      <c r="B2085" s="449">
        <v>0.3</v>
      </c>
      <c r="C2085" s="236">
        <v>0.2</v>
      </c>
      <c r="D2085" s="236">
        <v>0.14000000000000001</v>
      </c>
      <c r="E2085" s="236">
        <v>0.21</v>
      </c>
      <c r="F2085" s="236">
        <v>0.18</v>
      </c>
      <c r="G2085" s="236">
        <v>0.13</v>
      </c>
      <c r="H2085" s="236">
        <v>0.17</v>
      </c>
      <c r="I2085" s="18">
        <f>I2092/I2095</f>
        <v>0.17646754768036665</v>
      </c>
      <c r="J2085" s="714">
        <f>J2092/J2095</f>
        <v>0.17646754768036665</v>
      </c>
    </row>
    <row r="2086" spans="1:10" s="71" customFormat="1" x14ac:dyDescent="0.25">
      <c r="A2086" s="622" t="s">
        <v>21</v>
      </c>
      <c r="B2086" s="449">
        <v>0</v>
      </c>
      <c r="C2086" s="236">
        <v>0.05</v>
      </c>
      <c r="D2086" s="236">
        <v>0.02</v>
      </c>
      <c r="E2086" s="236">
        <v>0.11</v>
      </c>
      <c r="F2086" s="236">
        <v>0.03</v>
      </c>
      <c r="G2086" s="236">
        <v>0.06</v>
      </c>
      <c r="H2086" s="236">
        <v>0.04</v>
      </c>
      <c r="I2086" s="18">
        <f>I2093/I2095</f>
        <v>4.5878270984877088E-2</v>
      </c>
      <c r="J2086" s="714">
        <f>J2093/J2095</f>
        <v>4.5878270984877088E-2</v>
      </c>
    </row>
    <row r="2087" spans="1:10" s="71" customFormat="1" x14ac:dyDescent="0.25">
      <c r="A2087" s="622" t="s">
        <v>22</v>
      </c>
      <c r="B2087" s="449">
        <v>0</v>
      </c>
      <c r="C2087" s="236">
        <v>0</v>
      </c>
      <c r="D2087" s="236">
        <v>0</v>
      </c>
      <c r="E2087" s="236">
        <v>0</v>
      </c>
      <c r="F2087" s="236">
        <v>0</v>
      </c>
      <c r="G2087" s="236">
        <v>0.01</v>
      </c>
      <c r="H2087" s="236">
        <v>0</v>
      </c>
      <c r="I2087" s="18">
        <f>I2094/I2095</f>
        <v>2.5277799510956514E-3</v>
      </c>
      <c r="J2087" s="714">
        <f>J2094/J2095</f>
        <v>2.5277799510956514E-3</v>
      </c>
    </row>
    <row r="2088" spans="1:10" s="71" customFormat="1" x14ac:dyDescent="0.25">
      <c r="A2088" s="627" t="s">
        <v>23</v>
      </c>
      <c r="B2088" s="450">
        <f t="shared" ref="B2088:J2088" si="905">B2099/B2082</f>
        <v>36405.555555555562</v>
      </c>
      <c r="C2088" s="130">
        <f t="shared" si="905"/>
        <v>34521.126760563384</v>
      </c>
      <c r="D2088" s="130">
        <f t="shared" si="905"/>
        <v>40636.923076923078</v>
      </c>
      <c r="E2088" s="130">
        <f t="shared" si="905"/>
        <v>32761.64383561644</v>
      </c>
      <c r="F2088" s="130">
        <f t="shared" si="905"/>
        <v>39973.786407766995</v>
      </c>
      <c r="G2088" s="130">
        <f t="shared" si="905"/>
        <v>38033.548387096773</v>
      </c>
      <c r="H2088" s="130">
        <f t="shared" si="905"/>
        <v>37395.192307692312</v>
      </c>
      <c r="I2088" s="130">
        <f t="shared" si="905"/>
        <v>37362.400000000009</v>
      </c>
      <c r="J2088" s="685">
        <f t="shared" si="905"/>
        <v>37362.400000000009</v>
      </c>
    </row>
    <row r="2089" spans="1:10" s="71" customFormat="1" x14ac:dyDescent="0.25">
      <c r="A2089" s="627" t="s">
        <v>24</v>
      </c>
      <c r="B2089" s="450">
        <f t="shared" ref="B2089:J2089" si="906">B2099/B2076</f>
        <v>25531.168831168834</v>
      </c>
      <c r="C2089" s="130">
        <f t="shared" si="906"/>
        <v>28172.413793103453</v>
      </c>
      <c r="D2089" s="130">
        <f t="shared" si="906"/>
        <v>29348.888888888891</v>
      </c>
      <c r="E2089" s="130">
        <f t="shared" si="906"/>
        <v>26281.31868131868</v>
      </c>
      <c r="F2089" s="130">
        <f t="shared" si="906"/>
        <v>28008.84353741497</v>
      </c>
      <c r="G2089" s="130">
        <f t="shared" si="906"/>
        <v>30704.166666666668</v>
      </c>
      <c r="H2089" s="130">
        <f t="shared" si="906"/>
        <v>28596.323529411769</v>
      </c>
      <c r="I2089" s="130">
        <f t="shared" si="906"/>
        <v>28477.439024390253</v>
      </c>
      <c r="J2089" s="685">
        <f t="shared" si="906"/>
        <v>28477.439024390253</v>
      </c>
    </row>
    <row r="2090" spans="1:10" s="71" customFormat="1" x14ac:dyDescent="0.25">
      <c r="A2090" s="622" t="s">
        <v>25</v>
      </c>
      <c r="B2090" s="451">
        <f t="shared" ref="B2090:H2090" si="907">B2095*B2083</f>
        <v>1127175.9655172415</v>
      </c>
      <c r="C2090" s="92">
        <f t="shared" si="907"/>
        <v>1477823.6855172417</v>
      </c>
      <c r="D2090" s="92">
        <f t="shared" si="907"/>
        <v>1813377.6910344828</v>
      </c>
      <c r="E2090" s="92">
        <f t="shared" si="907"/>
        <v>1311807.8324137933</v>
      </c>
      <c r="F2090" s="92">
        <f t="shared" si="907"/>
        <v>2664807.8958620694</v>
      </c>
      <c r="G2090" s="92">
        <f t="shared" si="907"/>
        <v>3619638.7241379311</v>
      </c>
      <c r="H2090" s="92">
        <f t="shared" si="907"/>
        <v>2503674.6468965523</v>
      </c>
      <c r="I2090" s="92">
        <f>'NOGAL '!$B2090+'NOGAL '!$C2090+'NOGAL '!$D2090+'NOGAL '!$E2090+'NOGAL '!$F2090+'NOGAL '!$G2090+'NOGAL '!$H2090</f>
        <v>14518306.441379312</v>
      </c>
      <c r="J2090" s="715">
        <f>'NOGAL '!$I2090/7</f>
        <v>2074043.7773399018</v>
      </c>
    </row>
    <row r="2091" spans="1:10" s="71" customFormat="1" x14ac:dyDescent="0.25">
      <c r="A2091" s="622" t="s">
        <v>26</v>
      </c>
      <c r="B2091" s="451">
        <f t="shared" ref="B2091:H2091" si="908">B2095*B2084</f>
        <v>0</v>
      </c>
      <c r="C2091" s="92">
        <f t="shared" si="908"/>
        <v>19970.590344827589</v>
      </c>
      <c r="D2091" s="92">
        <f t="shared" si="908"/>
        <v>0</v>
      </c>
      <c r="E2091" s="92">
        <f t="shared" si="908"/>
        <v>19579.221379310347</v>
      </c>
      <c r="F2091" s="92">
        <f t="shared" si="908"/>
        <v>0</v>
      </c>
      <c r="G2091" s="92">
        <f t="shared" si="908"/>
        <v>241309.24827586208</v>
      </c>
      <c r="H2091" s="92">
        <f t="shared" si="908"/>
        <v>0</v>
      </c>
      <c r="I2091" s="92">
        <f>'NOGAL '!$B2091+'NOGAL '!$C2091+'NOGAL '!$D2091+'NOGAL '!$E2091+'NOGAL '!$F2091+'NOGAL '!$G2091+'NOGAL '!$H2091</f>
        <v>280859.06</v>
      </c>
      <c r="J2091" s="715">
        <f>'NOGAL '!$I2091/7</f>
        <v>40122.722857142857</v>
      </c>
    </row>
    <row r="2092" spans="1:10" s="71" customFormat="1" x14ac:dyDescent="0.25">
      <c r="A2092" s="622" t="s">
        <v>27</v>
      </c>
      <c r="B2092" s="451">
        <f t="shared" ref="B2092:H2092" si="909">B2095*B2085</f>
        <v>483075.41379310348</v>
      </c>
      <c r="C2092" s="92">
        <f t="shared" si="909"/>
        <v>399411.8068965518</v>
      </c>
      <c r="D2092" s="92">
        <f t="shared" si="909"/>
        <v>302229.61517241382</v>
      </c>
      <c r="E2092" s="92">
        <f t="shared" si="909"/>
        <v>411163.64896551729</v>
      </c>
      <c r="F2092" s="92">
        <f t="shared" si="909"/>
        <v>607171.41931034485</v>
      </c>
      <c r="G2092" s="92">
        <f t="shared" si="909"/>
        <v>627404.04551724147</v>
      </c>
      <c r="H2092" s="92">
        <f t="shared" si="909"/>
        <v>538765.43034482771</v>
      </c>
      <c r="I2092" s="92">
        <f>'NOGAL '!$B2092+'NOGAL '!$C2092+'NOGAL '!$D2092+'NOGAL '!$E2092+'NOGAL '!$F2092+'NOGAL '!$G2092+'NOGAL '!$H2092</f>
        <v>3369221.3800000008</v>
      </c>
      <c r="J2092" s="715">
        <f>'NOGAL '!$I2092/7</f>
        <v>481317.34000000014</v>
      </c>
    </row>
    <row r="2093" spans="1:10" s="71" customFormat="1" x14ac:dyDescent="0.25">
      <c r="A2093" s="622" t="s">
        <v>28</v>
      </c>
      <c r="B2093" s="451">
        <f t="shared" ref="B2093:H2093" si="910">B2095*B2086</f>
        <v>0</v>
      </c>
      <c r="C2093" s="92">
        <f t="shared" si="910"/>
        <v>99852.951724137951</v>
      </c>
      <c r="D2093" s="92">
        <f t="shared" si="910"/>
        <v>43175.659310344832</v>
      </c>
      <c r="E2093" s="92">
        <f t="shared" si="910"/>
        <v>215371.43517241383</v>
      </c>
      <c r="F2093" s="92">
        <f t="shared" si="910"/>
        <v>101195.23655172414</v>
      </c>
      <c r="G2093" s="92">
        <f t="shared" si="910"/>
        <v>289571.09793103446</v>
      </c>
      <c r="H2093" s="92">
        <f t="shared" si="910"/>
        <v>126768.33655172415</v>
      </c>
      <c r="I2093" s="92">
        <f>'NOGAL '!$B2093+'NOGAL '!$C2093+'NOGAL '!$D2093+'NOGAL '!$E2093+'NOGAL '!$F2093+'NOGAL '!$G2093+'NOGAL '!$H2093</f>
        <v>875934.71724137932</v>
      </c>
      <c r="J2093" s="715">
        <f>'NOGAL '!$I2093/7</f>
        <v>125133.53103448276</v>
      </c>
    </row>
    <row r="2094" spans="1:10" s="71" customFormat="1" x14ac:dyDescent="0.25">
      <c r="A2094" s="622" t="s">
        <v>29</v>
      </c>
      <c r="B2094" s="451">
        <f t="shared" ref="B2094:H2094" si="911">B2095*B2087</f>
        <v>0</v>
      </c>
      <c r="C2094" s="92">
        <f t="shared" si="911"/>
        <v>0</v>
      </c>
      <c r="D2094" s="92">
        <f t="shared" si="911"/>
        <v>0</v>
      </c>
      <c r="E2094" s="92">
        <f t="shared" si="911"/>
        <v>0</v>
      </c>
      <c r="F2094" s="92">
        <f t="shared" si="911"/>
        <v>0</v>
      </c>
      <c r="G2094" s="92">
        <f t="shared" si="911"/>
        <v>48261.849655172417</v>
      </c>
      <c r="H2094" s="92">
        <f t="shared" si="911"/>
        <v>0</v>
      </c>
      <c r="I2094" s="92">
        <f>'NOGAL '!$B2094+'NOGAL '!$C2094+'NOGAL '!$D2094+'NOGAL '!$E2094+'NOGAL '!$F2094+'NOGAL '!$G2094+'NOGAL '!$H2094</f>
        <v>48261.849655172417</v>
      </c>
      <c r="J2094" s="715">
        <f>'NOGAL '!$I2094/7</f>
        <v>6894.5499507389168</v>
      </c>
    </row>
    <row r="2095" spans="1:10" s="71" customFormat="1" x14ac:dyDescent="0.25">
      <c r="A2095" s="630" t="s">
        <v>30</v>
      </c>
      <c r="B2095" s="237">
        <f>(1965900/1.16)-B2096</f>
        <v>1610251.379310345</v>
      </c>
      <c r="C2095" s="237">
        <f>(2451000/1.16)-C2096</f>
        <v>1997059.034482759</v>
      </c>
      <c r="D2095" s="237">
        <f>(2641400/1.16)-D2096</f>
        <v>2158782.9655172415</v>
      </c>
      <c r="E2095" s="237">
        <f>(2391600/1.16)-E2096</f>
        <v>1957922.1379310347</v>
      </c>
      <c r="F2095" s="237">
        <f>(4117300/1.16)-F2096</f>
        <v>3373174.5517241382</v>
      </c>
      <c r="G2095" s="237">
        <f>(5895200/1.16)-G2096</f>
        <v>4826184.9655172415</v>
      </c>
      <c r="H2095" s="237">
        <f>(3889100/1.16)-H2096</f>
        <v>3169208.4137931038</v>
      </c>
      <c r="I2095" s="91">
        <f>SUM(I2090:I2094)</f>
        <v>19092583.448275868</v>
      </c>
      <c r="J2095" s="716">
        <f>'NOGAL '!$I2095/7</f>
        <v>2727511.9211822669</v>
      </c>
    </row>
    <row r="2096" spans="1:10" s="71" customFormat="1" x14ac:dyDescent="0.25">
      <c r="A2096" s="622" t="s">
        <v>31</v>
      </c>
      <c r="B2096" s="452">
        <f t="shared" ref="B2096:J2096" si="912">2414*B2077</f>
        <v>84490</v>
      </c>
      <c r="C2096" s="94">
        <f t="shared" si="912"/>
        <v>115872</v>
      </c>
      <c r="D2096" s="94">
        <f t="shared" si="912"/>
        <v>118286</v>
      </c>
      <c r="E2096" s="94">
        <f t="shared" si="912"/>
        <v>103802</v>
      </c>
      <c r="F2096" s="94">
        <f t="shared" si="912"/>
        <v>176222</v>
      </c>
      <c r="G2096" s="94">
        <f t="shared" si="912"/>
        <v>255884</v>
      </c>
      <c r="H2096" s="94">
        <f t="shared" si="912"/>
        <v>183464</v>
      </c>
      <c r="I2096" s="94">
        <f t="shared" si="912"/>
        <v>1038020</v>
      </c>
      <c r="J2096" s="717">
        <f t="shared" si="912"/>
        <v>148288.57142857142</v>
      </c>
    </row>
    <row r="2097" spans="1:80" s="71" customFormat="1" x14ac:dyDescent="0.25">
      <c r="A2097" s="633" t="s">
        <v>32</v>
      </c>
      <c r="B2097" s="453">
        <f>B2095+B2096</f>
        <v>1694741.379310345</v>
      </c>
      <c r="C2097" s="39">
        <f>C2095+C2096</f>
        <v>2112931.034482759</v>
      </c>
      <c r="D2097" s="39">
        <f t="shared" ref="D2097:J2097" si="913">D2095+D2096</f>
        <v>2277068.9655172415</v>
      </c>
      <c r="E2097" s="39">
        <f t="shared" si="913"/>
        <v>2061724.1379310347</v>
      </c>
      <c r="F2097" s="39">
        <f t="shared" si="913"/>
        <v>3549396.5517241382</v>
      </c>
      <c r="G2097" s="39">
        <f t="shared" si="913"/>
        <v>5082068.9655172415</v>
      </c>
      <c r="H2097" s="39">
        <f t="shared" si="913"/>
        <v>3352672.4137931038</v>
      </c>
      <c r="I2097" s="39">
        <f t="shared" si="913"/>
        <v>20130603.448275868</v>
      </c>
      <c r="J2097" s="718">
        <f t="shared" si="913"/>
        <v>2875800.4926108383</v>
      </c>
    </row>
    <row r="2098" spans="1:80" s="71" customFormat="1" x14ac:dyDescent="0.25">
      <c r="A2098" s="622" t="s">
        <v>33</v>
      </c>
      <c r="B2098" s="454">
        <f>B2097*16%</f>
        <v>271158.62068965519</v>
      </c>
      <c r="C2098" s="41">
        <f>C2097*16%</f>
        <v>338068.96551724145</v>
      </c>
      <c r="D2098" s="41">
        <f t="shared" ref="D2098:J2098" si="914">D2097*16%</f>
        <v>364331.03448275867</v>
      </c>
      <c r="E2098" s="41">
        <f t="shared" si="914"/>
        <v>329875.86206896557</v>
      </c>
      <c r="F2098" s="41">
        <f t="shared" si="914"/>
        <v>567903.44827586215</v>
      </c>
      <c r="G2098" s="41">
        <f t="shared" si="914"/>
        <v>813131.03448275861</v>
      </c>
      <c r="H2098" s="41">
        <f t="shared" si="914"/>
        <v>536427.58620689658</v>
      </c>
      <c r="I2098" s="41">
        <f t="shared" si="914"/>
        <v>3220896.5517241391</v>
      </c>
      <c r="J2098" s="719">
        <f t="shared" si="914"/>
        <v>460128.07881773415</v>
      </c>
    </row>
    <row r="2099" spans="1:80" s="71" customFormat="1" ht="15.75" thickBot="1" x14ac:dyDescent="0.3">
      <c r="A2099" s="636" t="s">
        <v>34</v>
      </c>
      <c r="B2099" s="637">
        <f t="shared" ref="B2099:H2099" si="915">B2097+B2098</f>
        <v>1965900.0000000002</v>
      </c>
      <c r="C2099" s="686">
        <f t="shared" si="915"/>
        <v>2451000.0000000005</v>
      </c>
      <c r="D2099" s="686">
        <f t="shared" si="915"/>
        <v>2641400</v>
      </c>
      <c r="E2099" s="686">
        <f t="shared" si="915"/>
        <v>2391600</v>
      </c>
      <c r="F2099" s="686">
        <f t="shared" si="915"/>
        <v>4117300.0000000005</v>
      </c>
      <c r="G2099" s="686">
        <f t="shared" si="915"/>
        <v>5895200</v>
      </c>
      <c r="H2099" s="686">
        <f t="shared" si="915"/>
        <v>3889100.0000000005</v>
      </c>
      <c r="I2099" s="686">
        <f>+I2097+I2098</f>
        <v>23351500.000000007</v>
      </c>
      <c r="J2099" s="720">
        <f>'NOGAL '!$I2099/7</f>
        <v>3335928.5714285723</v>
      </c>
    </row>
    <row r="2100" spans="1:80" s="71" customFormat="1" ht="15.75" thickBot="1" x14ac:dyDescent="0.3">
      <c r="A2100" s="69"/>
      <c r="B2100" s="424"/>
      <c r="C2100" s="424"/>
      <c r="D2100" s="424"/>
      <c r="E2100" s="424"/>
      <c r="F2100" s="424"/>
      <c r="G2100" s="424"/>
      <c r="H2100" s="424"/>
      <c r="I2100" s="424"/>
      <c r="J2100" s="424"/>
    </row>
    <row r="2101" spans="1:80" ht="26.25" x14ac:dyDescent="0.25">
      <c r="B2101" s="1002" t="s">
        <v>401</v>
      </c>
      <c r="C2101" s="1002"/>
      <c r="D2101" s="1002"/>
      <c r="E2101" s="1002"/>
      <c r="F2101" s="1002"/>
      <c r="G2101" s="1002"/>
      <c r="H2101" s="1002"/>
    </row>
    <row r="2102" spans="1:80" ht="15.75" x14ac:dyDescent="0.25">
      <c r="A2102" s="207" t="s">
        <v>2</v>
      </c>
      <c r="B2102" s="121" t="s">
        <v>353</v>
      </c>
      <c r="C2102" s="121" t="s">
        <v>354</v>
      </c>
      <c r="D2102" s="121" t="s">
        <v>355</v>
      </c>
      <c r="E2102" s="121" t="s">
        <v>356</v>
      </c>
      <c r="F2102" s="121" t="s">
        <v>357</v>
      </c>
      <c r="G2102" s="121" t="s">
        <v>69</v>
      </c>
      <c r="H2102" s="121" t="s">
        <v>358</v>
      </c>
      <c r="I2102" s="121" t="s">
        <v>359</v>
      </c>
      <c r="J2102" s="121" t="s">
        <v>98</v>
      </c>
      <c r="K2102" s="121" t="s">
        <v>106</v>
      </c>
      <c r="L2102" s="121" t="s">
        <v>114</v>
      </c>
      <c r="M2102" s="121" t="s">
        <v>122</v>
      </c>
      <c r="N2102" s="121" t="s">
        <v>130</v>
      </c>
      <c r="O2102" s="121" t="s">
        <v>138</v>
      </c>
      <c r="P2102" s="121" t="s">
        <v>146</v>
      </c>
      <c r="Q2102" s="121" t="s">
        <v>154</v>
      </c>
      <c r="R2102" s="121" t="s">
        <v>162</v>
      </c>
      <c r="S2102" s="121" t="s">
        <v>166</v>
      </c>
      <c r="T2102" s="121" t="s">
        <v>169</v>
      </c>
      <c r="U2102" s="121" t="s">
        <v>360</v>
      </c>
      <c r="V2102" s="121" t="s">
        <v>361</v>
      </c>
      <c r="W2102" s="121" t="s">
        <v>362</v>
      </c>
      <c r="X2102" s="121" t="s">
        <v>363</v>
      </c>
      <c r="Y2102" s="121" t="s">
        <v>364</v>
      </c>
      <c r="Z2102" s="121" t="s">
        <v>365</v>
      </c>
      <c r="AA2102" s="121" t="s">
        <v>366</v>
      </c>
      <c r="AB2102" s="121" t="s">
        <v>367</v>
      </c>
      <c r="AC2102" s="121" t="s">
        <v>368</v>
      </c>
      <c r="AD2102" s="121" t="s">
        <v>369</v>
      </c>
      <c r="AE2102" s="121" t="s">
        <v>370</v>
      </c>
      <c r="AF2102" s="121" t="s">
        <v>371</v>
      </c>
      <c r="AG2102" s="121" t="s">
        <v>372</v>
      </c>
      <c r="AH2102" s="121" t="s">
        <v>373</v>
      </c>
      <c r="AI2102" s="121" t="s">
        <v>374</v>
      </c>
      <c r="AJ2102" s="121" t="s">
        <v>375</v>
      </c>
      <c r="AK2102" s="121" t="s">
        <v>376</v>
      </c>
      <c r="AL2102" s="121" t="s">
        <v>377</v>
      </c>
      <c r="AM2102" s="121" t="s">
        <v>378</v>
      </c>
      <c r="AN2102" s="121" t="s">
        <v>379</v>
      </c>
      <c r="AO2102" s="121" t="s">
        <v>380</v>
      </c>
      <c r="AP2102" s="121" t="s">
        <v>381</v>
      </c>
      <c r="AQ2102" s="121" t="s">
        <v>382</v>
      </c>
      <c r="AR2102" s="121" t="s">
        <v>383</v>
      </c>
      <c r="AS2102" s="121" t="s">
        <v>384</v>
      </c>
      <c r="AT2102" s="121" t="s">
        <v>385</v>
      </c>
      <c r="AU2102" s="121" t="s">
        <v>386</v>
      </c>
      <c r="AV2102" s="121" t="s">
        <v>387</v>
      </c>
      <c r="AW2102" s="121" t="s">
        <v>388</v>
      </c>
      <c r="AX2102" s="121" t="s">
        <v>389</v>
      </c>
      <c r="AY2102" s="121" t="s">
        <v>390</v>
      </c>
      <c r="AZ2102" s="121" t="s">
        <v>391</v>
      </c>
      <c r="BA2102" s="121" t="s">
        <v>392</v>
      </c>
      <c r="BB2102" s="121" t="s">
        <v>393</v>
      </c>
      <c r="BC2102" s="121" t="s">
        <v>394</v>
      </c>
      <c r="BD2102" s="121" t="s">
        <v>395</v>
      </c>
      <c r="BE2102" s="121" t="s">
        <v>396</v>
      </c>
      <c r="BF2102" s="121" t="s">
        <v>397</v>
      </c>
      <c r="BG2102" s="121" t="s">
        <v>398</v>
      </c>
      <c r="BH2102" s="121" t="s">
        <v>399</v>
      </c>
      <c r="BI2102" s="121" t="s">
        <v>607</v>
      </c>
      <c r="BJ2102" s="121" t="s">
        <v>618</v>
      </c>
      <c r="BK2102" s="121" t="s">
        <v>620</v>
      </c>
      <c r="BL2102" s="121" t="s">
        <v>624</v>
      </c>
      <c r="BM2102" s="121" t="s">
        <v>627</v>
      </c>
      <c r="BN2102" s="121" t="s">
        <v>631</v>
      </c>
      <c r="BO2102" s="121" t="s">
        <v>634</v>
      </c>
      <c r="BP2102" s="121" t="s">
        <v>637</v>
      </c>
      <c r="BQ2102" s="121" t="s">
        <v>640</v>
      </c>
      <c r="BR2102" s="121" t="s">
        <v>643</v>
      </c>
      <c r="BS2102" s="121" t="s">
        <v>646</v>
      </c>
      <c r="BT2102" s="121" t="s">
        <v>649</v>
      </c>
      <c r="BU2102" s="121" t="s">
        <v>652</v>
      </c>
      <c r="BV2102" s="121" t="s">
        <v>656</v>
      </c>
      <c r="BW2102" s="121" t="s">
        <v>660</v>
      </c>
      <c r="BX2102" s="121" t="s">
        <v>663</v>
      </c>
      <c r="BY2102" s="121" t="s">
        <v>667</v>
      </c>
      <c r="BZ2102" s="121" t="s">
        <v>670</v>
      </c>
      <c r="CA2102" s="121" t="s">
        <v>10</v>
      </c>
      <c r="CB2102" s="209" t="s">
        <v>400</v>
      </c>
    </row>
    <row r="2103" spans="1:80" x14ac:dyDescent="0.25">
      <c r="A2103" s="332" t="s">
        <v>11</v>
      </c>
      <c r="B2103" s="338">
        <v>480</v>
      </c>
      <c r="C2103" s="455">
        <f t="shared" ref="C2103:C2122" si="916">I32</f>
        <v>1454</v>
      </c>
      <c r="D2103" s="455">
        <f t="shared" ref="D2103:D2122" si="917">I60</f>
        <v>1284</v>
      </c>
      <c r="E2103" s="455">
        <f t="shared" ref="E2103:E2122" si="918">I88</f>
        <v>1718</v>
      </c>
      <c r="F2103" s="456">
        <f t="shared" ref="F2103:F2122" si="919">I116</f>
        <v>1448</v>
      </c>
      <c r="G2103" s="316">
        <f t="shared" ref="G2103:G2122" si="920">I144</f>
        <v>1654</v>
      </c>
      <c r="H2103" s="316">
        <f t="shared" ref="H2103:H2108" si="921">I172</f>
        <v>1491</v>
      </c>
      <c r="I2103" s="456">
        <f t="shared" ref="I2103:I2122" si="922">I200</f>
        <v>1604</v>
      </c>
      <c r="J2103" s="456">
        <f t="shared" ref="J2103:J2122" si="923">I227</f>
        <v>1627</v>
      </c>
      <c r="K2103" s="456">
        <f t="shared" ref="K2103:K2122" si="924">I254</f>
        <v>1333</v>
      </c>
      <c r="L2103" s="456">
        <f t="shared" ref="L2103:L2122" si="925">I281</f>
        <v>1134</v>
      </c>
      <c r="M2103" s="456">
        <f t="shared" ref="M2103:M2122" si="926">I309</f>
        <v>984</v>
      </c>
      <c r="N2103" s="456">
        <f t="shared" ref="N2103:N2122" si="927">I337</f>
        <v>1093</v>
      </c>
      <c r="O2103" s="456">
        <f t="shared" ref="O2103:O2122" si="928">I365</f>
        <v>1501</v>
      </c>
      <c r="P2103" s="456">
        <f t="shared" ref="P2103:P2126" si="929">I393</f>
        <v>1478</v>
      </c>
      <c r="Q2103" s="456">
        <f t="shared" ref="Q2103:Q2126" si="930">I421</f>
        <v>1555</v>
      </c>
      <c r="R2103" s="456">
        <f t="shared" ref="R2103:R2126" si="931">I449</f>
        <v>1575</v>
      </c>
      <c r="S2103" s="456">
        <f t="shared" ref="S2103:S2126" si="932">I477</f>
        <v>1528</v>
      </c>
      <c r="T2103" s="456">
        <f t="shared" ref="T2103:T2126" si="933">+I505</f>
        <v>1425</v>
      </c>
      <c r="U2103" s="456">
        <f t="shared" ref="U2103:U2126" si="934">+I533</f>
        <v>1412</v>
      </c>
      <c r="V2103" s="456">
        <f t="shared" ref="V2103:V2126" si="935">+I561</f>
        <v>1515</v>
      </c>
      <c r="W2103" s="456">
        <f t="shared" ref="W2103:W2126" si="936">+I589</f>
        <v>1433</v>
      </c>
      <c r="X2103" s="456">
        <f t="shared" ref="X2103:X2126" si="937">+I617</f>
        <v>1383</v>
      </c>
      <c r="Y2103" s="456">
        <f t="shared" ref="Y2103:Y2126" si="938">+I645</f>
        <v>1652</v>
      </c>
      <c r="Z2103" s="456">
        <f t="shared" ref="Z2103:Z2126" si="939">+I672</f>
        <v>1241</v>
      </c>
      <c r="AA2103" s="456">
        <f t="shared" ref="AA2103:AA2126" si="940">+I699</f>
        <v>1554</v>
      </c>
      <c r="AB2103" s="456">
        <f t="shared" ref="AB2103:AB2126" si="941">+I726</f>
        <v>1413</v>
      </c>
      <c r="AC2103" s="456">
        <f t="shared" ref="AC2103:AC2126" si="942">+I753</f>
        <v>1251</v>
      </c>
      <c r="AD2103" s="456">
        <f t="shared" ref="AD2103:AD2126" si="943">+I780</f>
        <v>1571</v>
      </c>
      <c r="AE2103" s="456">
        <f t="shared" ref="AE2103:AE2126" si="944">+I807</f>
        <v>1391</v>
      </c>
      <c r="AF2103" s="456">
        <f t="shared" ref="AF2103:AF2126" si="945">+I834</f>
        <v>1606</v>
      </c>
      <c r="AG2103" s="456">
        <f t="shared" ref="AG2103:AG2126" si="946">+I861</f>
        <v>1478</v>
      </c>
      <c r="AH2103" s="456">
        <f t="shared" ref="AH2103:AH2126" si="947">+I888</f>
        <v>1610</v>
      </c>
      <c r="AI2103" s="456">
        <f t="shared" ref="AI2103:AI2126" si="948">+I915</f>
        <v>1484</v>
      </c>
      <c r="AJ2103" s="456">
        <f t="shared" ref="AJ2103:AJ2126" si="949">+I942</f>
        <v>1551</v>
      </c>
      <c r="AK2103" s="456">
        <f t="shared" ref="AK2103:AK2126" si="950">+I969</f>
        <v>1351</v>
      </c>
      <c r="AL2103" s="456">
        <f t="shared" ref="AL2103:AL2126" si="951">+I996</f>
        <v>1260</v>
      </c>
      <c r="AM2103" s="456">
        <f t="shared" ref="AM2103:AM2126" si="952">+I1023</f>
        <v>1390</v>
      </c>
      <c r="AN2103" s="456">
        <f t="shared" ref="AN2103:AN2126" si="953">+I1050</f>
        <v>1427</v>
      </c>
      <c r="AO2103" s="456">
        <f t="shared" ref="AO2103:AO2126" si="954">+I1077</f>
        <v>1326</v>
      </c>
      <c r="AP2103" s="456">
        <f t="shared" ref="AP2103:AP2126" si="955">+I1104</f>
        <v>1337</v>
      </c>
      <c r="AQ2103" s="456">
        <f t="shared" ref="AQ2103:AQ2126" si="956">+I1131</f>
        <v>1296</v>
      </c>
      <c r="AR2103" s="456">
        <f t="shared" ref="AR2103:AR2126" si="957">+I1158</f>
        <v>1259</v>
      </c>
      <c r="AS2103" s="456">
        <f t="shared" ref="AS2103:AS2126" si="958">+I1185</f>
        <v>1269</v>
      </c>
      <c r="AT2103" s="456">
        <f t="shared" ref="AT2103:AT2126" si="959">+I1212</f>
        <v>1491</v>
      </c>
      <c r="AU2103" s="456">
        <f t="shared" ref="AU2103:AU2126" si="960">+I1239</f>
        <v>1443</v>
      </c>
      <c r="AV2103" s="456">
        <f t="shared" ref="AV2103:AV2126" si="961">+I1266</f>
        <v>1388</v>
      </c>
      <c r="AW2103" s="456">
        <f t="shared" ref="AW2103:AW2126" si="962">+I1293</f>
        <v>1346</v>
      </c>
      <c r="AX2103" s="456">
        <f>+I1320</f>
        <v>1433</v>
      </c>
      <c r="AY2103" s="456">
        <f>+I1347</f>
        <v>1126</v>
      </c>
      <c r="AZ2103" s="456">
        <f>+I1374</f>
        <v>1053</v>
      </c>
      <c r="BA2103" s="456">
        <f>+I1401</f>
        <v>959</v>
      </c>
      <c r="BB2103" s="456">
        <f>+I1428</f>
        <v>1011</v>
      </c>
      <c r="BC2103" s="456">
        <f>+I1455</f>
        <v>1214</v>
      </c>
      <c r="BD2103" s="456">
        <f>+I1482</f>
        <v>1081</v>
      </c>
      <c r="BE2103" s="456">
        <f>+I1509</f>
        <v>867</v>
      </c>
      <c r="BF2103" s="456">
        <f>+I1536</f>
        <v>1153</v>
      </c>
      <c r="BG2103" s="456">
        <f>+I1563</f>
        <v>1168</v>
      </c>
      <c r="BH2103" s="456">
        <f>+I1590</f>
        <v>1071</v>
      </c>
      <c r="BI2103" s="456">
        <f>+I1617</f>
        <v>1183</v>
      </c>
      <c r="BJ2103" s="456">
        <f>+I1644</f>
        <v>1285</v>
      </c>
      <c r="BK2103" s="456">
        <f>+I1671</f>
        <v>1001</v>
      </c>
      <c r="BL2103" s="456">
        <f>+I1698</f>
        <v>845</v>
      </c>
      <c r="BM2103" s="456">
        <f>+I1725</f>
        <v>654</v>
      </c>
      <c r="BN2103" s="456">
        <f>+I1752</f>
        <v>746</v>
      </c>
      <c r="BO2103" s="456">
        <f>+I1779</f>
        <v>916</v>
      </c>
      <c r="BP2103" s="456">
        <f>+I1806</f>
        <v>983</v>
      </c>
      <c r="BQ2103" s="456">
        <f>+I1833</f>
        <v>1101</v>
      </c>
      <c r="BR2103" s="456">
        <f>+I1860</f>
        <v>972</v>
      </c>
      <c r="BS2103" s="456">
        <f>+I1887</f>
        <v>935</v>
      </c>
      <c r="BT2103" s="456">
        <f>+I1914</f>
        <v>972</v>
      </c>
      <c r="BU2103" s="456">
        <f>+I1941</f>
        <v>880</v>
      </c>
      <c r="BV2103" s="456">
        <f>+I1968</f>
        <v>1011</v>
      </c>
      <c r="BW2103" s="456">
        <f>+I1995</f>
        <v>952</v>
      </c>
      <c r="BX2103" s="456">
        <f>+I2022</f>
        <v>855</v>
      </c>
      <c r="BY2103" s="456">
        <f>+I2049</f>
        <v>1015</v>
      </c>
      <c r="BZ2103" s="456">
        <f>+I2076</f>
        <v>820</v>
      </c>
      <c r="CA2103" s="338">
        <f>SUM('NOGAL '!$B2103:$BZ2103)</f>
        <v>96756</v>
      </c>
      <c r="CB2103" s="457">
        <f>'NOGAL '!$CA2103/77</f>
        <v>1256.5714285714287</v>
      </c>
    </row>
    <row r="2104" spans="1:80" x14ac:dyDescent="0.25">
      <c r="A2104" s="212" t="s">
        <v>12</v>
      </c>
      <c r="B2104" s="78">
        <v>231</v>
      </c>
      <c r="C2104" s="391">
        <f t="shared" si="916"/>
        <v>860</v>
      </c>
      <c r="D2104" s="391">
        <f t="shared" si="917"/>
        <v>793</v>
      </c>
      <c r="E2104" s="391">
        <f t="shared" si="918"/>
        <v>1046</v>
      </c>
      <c r="F2104" s="391">
        <f t="shared" si="919"/>
        <v>1123</v>
      </c>
      <c r="G2104" s="11">
        <f t="shared" si="920"/>
        <v>1130</v>
      </c>
      <c r="H2104" s="11">
        <f t="shared" si="921"/>
        <v>986</v>
      </c>
      <c r="I2104" s="391">
        <f t="shared" si="922"/>
        <v>995</v>
      </c>
      <c r="J2104" s="391">
        <f t="shared" si="923"/>
        <v>1209</v>
      </c>
      <c r="K2104" s="391">
        <f t="shared" si="924"/>
        <v>815</v>
      </c>
      <c r="L2104" s="391">
        <f t="shared" si="925"/>
        <v>636</v>
      </c>
      <c r="M2104" s="391">
        <f t="shared" si="926"/>
        <v>526</v>
      </c>
      <c r="N2104" s="391">
        <f t="shared" si="927"/>
        <v>609</v>
      </c>
      <c r="O2104" s="391">
        <f t="shared" si="928"/>
        <v>872</v>
      </c>
      <c r="P2104" s="391">
        <f t="shared" si="929"/>
        <v>802</v>
      </c>
      <c r="Q2104" s="391">
        <f t="shared" si="930"/>
        <v>886</v>
      </c>
      <c r="R2104" s="391">
        <f t="shared" si="931"/>
        <v>942</v>
      </c>
      <c r="S2104" s="391">
        <f t="shared" si="932"/>
        <v>937</v>
      </c>
      <c r="T2104" s="391">
        <f t="shared" si="933"/>
        <v>874</v>
      </c>
      <c r="U2104" s="391">
        <f t="shared" si="934"/>
        <v>862</v>
      </c>
      <c r="V2104" s="391">
        <f t="shared" si="935"/>
        <v>958</v>
      </c>
      <c r="W2104" s="391">
        <f t="shared" si="936"/>
        <v>924</v>
      </c>
      <c r="X2104" s="391">
        <f t="shared" si="937"/>
        <v>857</v>
      </c>
      <c r="Y2104" s="391">
        <f t="shared" si="938"/>
        <v>1084</v>
      </c>
      <c r="Z2104" s="391">
        <f t="shared" si="939"/>
        <v>730</v>
      </c>
      <c r="AA2104" s="391">
        <f t="shared" si="940"/>
        <v>916</v>
      </c>
      <c r="AB2104" s="391">
        <f t="shared" si="941"/>
        <v>857</v>
      </c>
      <c r="AC2104" s="391">
        <f t="shared" si="942"/>
        <v>708</v>
      </c>
      <c r="AD2104" s="391">
        <f t="shared" si="943"/>
        <v>938</v>
      </c>
      <c r="AE2104" s="391">
        <f t="shared" si="944"/>
        <v>821</v>
      </c>
      <c r="AF2104" s="391">
        <f t="shared" si="945"/>
        <v>965</v>
      </c>
      <c r="AG2104" s="391">
        <f t="shared" si="946"/>
        <v>896</v>
      </c>
      <c r="AH2104" s="391">
        <f t="shared" si="947"/>
        <v>954</v>
      </c>
      <c r="AI2104" s="391">
        <f t="shared" si="948"/>
        <v>895</v>
      </c>
      <c r="AJ2104" s="391">
        <f t="shared" si="949"/>
        <v>938</v>
      </c>
      <c r="AK2104" s="391">
        <f t="shared" si="950"/>
        <v>803</v>
      </c>
      <c r="AL2104" s="391">
        <f t="shared" si="951"/>
        <v>745</v>
      </c>
      <c r="AM2104" s="391">
        <f t="shared" si="952"/>
        <v>829</v>
      </c>
      <c r="AN2104" s="391">
        <f t="shared" si="953"/>
        <v>866</v>
      </c>
      <c r="AO2104" s="391">
        <f t="shared" si="954"/>
        <v>791</v>
      </c>
      <c r="AP2104" s="391">
        <f t="shared" si="955"/>
        <v>817</v>
      </c>
      <c r="AQ2104" s="391">
        <f t="shared" si="956"/>
        <v>801</v>
      </c>
      <c r="AR2104" s="391">
        <f t="shared" si="957"/>
        <v>757</v>
      </c>
      <c r="AS2104" s="391">
        <f t="shared" si="958"/>
        <v>767</v>
      </c>
      <c r="AT2104" s="391">
        <f t="shared" si="959"/>
        <v>917</v>
      </c>
      <c r="AU2104" s="391">
        <f t="shared" si="960"/>
        <v>862</v>
      </c>
      <c r="AV2104" s="391">
        <f t="shared" si="961"/>
        <v>794</v>
      </c>
      <c r="AW2104" s="391">
        <f t="shared" si="962"/>
        <v>831</v>
      </c>
      <c r="AX2104" s="391">
        <f t="shared" ref="AX2104:AX2126" si="963">+I1321</f>
        <v>853</v>
      </c>
      <c r="AY2104" s="391">
        <f t="shared" ref="AY2104:AY2126" si="964">+I1348</f>
        <v>666</v>
      </c>
      <c r="AZ2104" s="391">
        <f t="shared" ref="AZ2104:AZ2126" si="965">+I1375</f>
        <v>570</v>
      </c>
      <c r="BA2104" s="391">
        <f t="shared" ref="BA2104:BA2126" si="966">+I1402</f>
        <v>564</v>
      </c>
      <c r="BB2104" s="391">
        <f t="shared" ref="BB2104:BB2126" si="967">+I1429</f>
        <v>571</v>
      </c>
      <c r="BC2104" s="391">
        <f t="shared" ref="BC2104:BC2126" si="968">+I1456</f>
        <v>719</v>
      </c>
      <c r="BD2104" s="391">
        <f t="shared" ref="BD2104:BD2126" si="969">+I1483</f>
        <v>656</v>
      </c>
      <c r="BE2104" s="391">
        <f t="shared" ref="BE2104:BE2126" si="970">+I1510</f>
        <v>566</v>
      </c>
      <c r="BF2104" s="391">
        <f t="shared" ref="BF2104:BF2126" si="971">+I1537</f>
        <v>681</v>
      </c>
      <c r="BG2104" s="391">
        <f t="shared" ref="BG2104:BG2126" si="972">+I1564</f>
        <v>698</v>
      </c>
      <c r="BH2104" s="391">
        <f t="shared" ref="BH2104:BH2126" si="973">+I1591</f>
        <v>653</v>
      </c>
      <c r="BI2104" s="391">
        <f t="shared" ref="BI2104:BI2126" si="974">+I1618</f>
        <v>692</v>
      </c>
      <c r="BJ2104" s="391">
        <f t="shared" ref="BJ2104:BJ2126" si="975">+I1645</f>
        <v>723</v>
      </c>
      <c r="BK2104" s="391">
        <f t="shared" ref="BK2104:BK2126" si="976">+I1672</f>
        <v>567</v>
      </c>
      <c r="BL2104" s="391">
        <f t="shared" ref="BL2104:BL2126" si="977">+I1699</f>
        <v>479</v>
      </c>
      <c r="BM2104" s="391">
        <f t="shared" ref="BM2104:BM2126" si="978">+I1726</f>
        <v>361</v>
      </c>
      <c r="BN2104" s="391">
        <f t="shared" ref="BN2104:BN2126" si="979">+I1753</f>
        <v>416</v>
      </c>
      <c r="BO2104" s="391">
        <f t="shared" ref="BO2104:BO2126" si="980">+I1780</f>
        <v>543</v>
      </c>
      <c r="BP2104" s="391">
        <f t="shared" ref="BP2104:BP2126" si="981">+I1807</f>
        <v>551</v>
      </c>
      <c r="BQ2104" s="391">
        <f t="shared" ref="BQ2104:BQ2126" si="982">+I1834</f>
        <v>633</v>
      </c>
      <c r="BR2104" s="391">
        <f t="shared" ref="BR2104:BR2126" si="983">+I1861</f>
        <v>531</v>
      </c>
      <c r="BS2104" s="391">
        <f t="shared" ref="BS2104:BS2126" si="984">+I1888</f>
        <v>536</v>
      </c>
      <c r="BT2104" s="391">
        <f t="shared" ref="BT2104:BT2126" si="985">+I1915</f>
        <v>545</v>
      </c>
      <c r="BU2104" s="391">
        <f t="shared" ref="BU2104:BU2126" si="986">+I1942</f>
        <v>532</v>
      </c>
      <c r="BV2104" s="391">
        <f t="shared" ref="BV2104:BV2126" si="987">+I1969</f>
        <v>601</v>
      </c>
      <c r="BW2104" s="391">
        <f t="shared" ref="BW2104:BW2126" si="988">+I1996</f>
        <v>546</v>
      </c>
      <c r="BX2104" s="391">
        <f t="shared" ref="BX2104:BX2126" si="989">+I2023</f>
        <v>507</v>
      </c>
      <c r="BY2104" s="391">
        <f t="shared" ref="BY2104:BY2126" si="990">+I2050</f>
        <v>615</v>
      </c>
      <c r="BZ2104" s="391">
        <f t="shared" ref="BZ2104:BZ2126" si="991">+I2077</f>
        <v>430</v>
      </c>
      <c r="CA2104" s="78">
        <f>SUM('NOGAL '!$B2104:$BZ2104)</f>
        <v>58160</v>
      </c>
      <c r="CB2104" s="60">
        <f>'NOGAL '!$CA2104/77</f>
        <v>755.32467532467535</v>
      </c>
    </row>
    <row r="2105" spans="1:80" x14ac:dyDescent="0.25">
      <c r="A2105" s="212" t="s">
        <v>13</v>
      </c>
      <c r="B2105" s="78">
        <v>4</v>
      </c>
      <c r="C2105" s="391">
        <f t="shared" si="916"/>
        <v>8</v>
      </c>
      <c r="D2105" s="391">
        <f t="shared" si="917"/>
        <v>3</v>
      </c>
      <c r="E2105" s="391">
        <f t="shared" si="918"/>
        <v>6</v>
      </c>
      <c r="F2105" s="391">
        <f t="shared" si="919"/>
        <v>1</v>
      </c>
      <c r="G2105" s="11">
        <f t="shared" si="920"/>
        <v>12</v>
      </c>
      <c r="H2105" s="11">
        <f t="shared" si="921"/>
        <v>11</v>
      </c>
      <c r="I2105" s="391">
        <f t="shared" si="922"/>
        <v>45</v>
      </c>
      <c r="J2105" s="391">
        <f t="shared" si="923"/>
        <v>1</v>
      </c>
      <c r="K2105" s="391">
        <f t="shared" si="924"/>
        <v>2</v>
      </c>
      <c r="L2105" s="391">
        <f t="shared" si="925"/>
        <v>38</v>
      </c>
      <c r="M2105" s="391">
        <f t="shared" si="926"/>
        <v>28</v>
      </c>
      <c r="N2105" s="391">
        <f t="shared" si="927"/>
        <v>41</v>
      </c>
      <c r="O2105" s="391">
        <f t="shared" si="928"/>
        <v>41</v>
      </c>
      <c r="P2105" s="391">
        <f t="shared" si="929"/>
        <v>57</v>
      </c>
      <c r="Q2105" s="391">
        <f t="shared" si="930"/>
        <v>51</v>
      </c>
      <c r="R2105" s="391">
        <f t="shared" si="931"/>
        <v>41</v>
      </c>
      <c r="S2105" s="391">
        <f t="shared" si="932"/>
        <v>50</v>
      </c>
      <c r="T2105" s="391">
        <f t="shared" si="933"/>
        <v>22</v>
      </c>
      <c r="U2105" s="391">
        <f t="shared" si="934"/>
        <v>32</v>
      </c>
      <c r="V2105" s="391">
        <f t="shared" si="935"/>
        <v>21</v>
      </c>
      <c r="W2105" s="391">
        <f t="shared" si="936"/>
        <v>11</v>
      </c>
      <c r="X2105" s="391">
        <f t="shared" si="937"/>
        <v>19</v>
      </c>
      <c r="Y2105" s="391">
        <f t="shared" si="938"/>
        <v>23</v>
      </c>
      <c r="Z2105" s="391">
        <f t="shared" si="939"/>
        <v>16</v>
      </c>
      <c r="AA2105" s="391">
        <f t="shared" si="940"/>
        <v>10</v>
      </c>
      <c r="AB2105" s="391">
        <f t="shared" si="941"/>
        <v>26</v>
      </c>
      <c r="AC2105" s="391">
        <f t="shared" si="942"/>
        <v>24</v>
      </c>
      <c r="AD2105" s="391">
        <f t="shared" si="943"/>
        <v>17</v>
      </c>
      <c r="AE2105" s="391">
        <f t="shared" si="944"/>
        <v>18</v>
      </c>
      <c r="AF2105" s="391">
        <f t="shared" si="945"/>
        <v>16</v>
      </c>
      <c r="AG2105" s="391">
        <f t="shared" si="946"/>
        <v>19</v>
      </c>
      <c r="AH2105" s="391">
        <f t="shared" si="947"/>
        <v>13</v>
      </c>
      <c r="AI2105" s="391">
        <f t="shared" si="948"/>
        <v>20</v>
      </c>
      <c r="AJ2105" s="391">
        <f t="shared" si="949"/>
        <v>18</v>
      </c>
      <c r="AK2105" s="391">
        <f t="shared" si="950"/>
        <v>17</v>
      </c>
      <c r="AL2105" s="391">
        <f t="shared" si="951"/>
        <v>11</v>
      </c>
      <c r="AM2105" s="391">
        <f t="shared" si="952"/>
        <v>21</v>
      </c>
      <c r="AN2105" s="391">
        <f t="shared" si="953"/>
        <v>10</v>
      </c>
      <c r="AO2105" s="391">
        <f t="shared" si="954"/>
        <v>11</v>
      </c>
      <c r="AP2105" s="391">
        <f t="shared" si="955"/>
        <v>20</v>
      </c>
      <c r="AQ2105" s="391">
        <f t="shared" si="956"/>
        <v>17</v>
      </c>
      <c r="AR2105" s="391">
        <f t="shared" si="957"/>
        <v>17</v>
      </c>
      <c r="AS2105" s="391">
        <f t="shared" si="958"/>
        <v>23</v>
      </c>
      <c r="AT2105" s="391">
        <f t="shared" si="959"/>
        <v>16</v>
      </c>
      <c r="AU2105" s="391">
        <f t="shared" si="960"/>
        <v>25</v>
      </c>
      <c r="AV2105" s="391">
        <f t="shared" si="961"/>
        <v>14</v>
      </c>
      <c r="AW2105" s="391">
        <f t="shared" si="962"/>
        <v>20</v>
      </c>
      <c r="AX2105" s="391">
        <f t="shared" si="963"/>
        <v>51</v>
      </c>
      <c r="AY2105" s="391">
        <f t="shared" si="964"/>
        <v>19</v>
      </c>
      <c r="AZ2105" s="391">
        <f t="shared" si="965"/>
        <v>24</v>
      </c>
      <c r="BA2105" s="391">
        <f t="shared" si="966"/>
        <v>17</v>
      </c>
      <c r="BB2105" s="391">
        <f t="shared" si="967"/>
        <v>15</v>
      </c>
      <c r="BC2105" s="391">
        <f t="shared" si="968"/>
        <v>21</v>
      </c>
      <c r="BD2105" s="391">
        <f t="shared" si="969"/>
        <v>18</v>
      </c>
      <c r="BE2105" s="391">
        <f t="shared" si="970"/>
        <v>44</v>
      </c>
      <c r="BF2105" s="391">
        <f t="shared" si="971"/>
        <v>20</v>
      </c>
      <c r="BG2105" s="391">
        <f t="shared" si="972"/>
        <v>18</v>
      </c>
      <c r="BH2105" s="391">
        <f t="shared" si="973"/>
        <v>14</v>
      </c>
      <c r="BI2105" s="391">
        <f t="shared" si="974"/>
        <v>21</v>
      </c>
      <c r="BJ2105" s="391">
        <f t="shared" si="975"/>
        <v>20</v>
      </c>
      <c r="BK2105" s="391">
        <f t="shared" si="976"/>
        <v>13</v>
      </c>
      <c r="BL2105" s="391">
        <f t="shared" si="977"/>
        <v>13</v>
      </c>
      <c r="BM2105" s="391">
        <f t="shared" si="978"/>
        <v>12</v>
      </c>
      <c r="BN2105" s="391">
        <f t="shared" si="979"/>
        <v>12</v>
      </c>
      <c r="BO2105" s="391">
        <f t="shared" si="980"/>
        <v>10</v>
      </c>
      <c r="BP2105" s="391">
        <f t="shared" si="981"/>
        <v>12</v>
      </c>
      <c r="BQ2105" s="391">
        <f t="shared" si="982"/>
        <v>21</v>
      </c>
      <c r="BR2105" s="391">
        <f t="shared" si="983"/>
        <v>13</v>
      </c>
      <c r="BS2105" s="391">
        <f t="shared" si="984"/>
        <v>8</v>
      </c>
      <c r="BT2105" s="391">
        <f t="shared" si="985"/>
        <v>16</v>
      </c>
      <c r="BU2105" s="391">
        <f t="shared" si="986"/>
        <v>9</v>
      </c>
      <c r="BV2105" s="391">
        <f t="shared" si="987"/>
        <v>21</v>
      </c>
      <c r="BW2105" s="391">
        <f t="shared" si="988"/>
        <v>13</v>
      </c>
      <c r="BX2105" s="391">
        <f t="shared" si="989"/>
        <v>8</v>
      </c>
      <c r="BY2105" s="391">
        <f t="shared" si="990"/>
        <v>12</v>
      </c>
      <c r="BZ2105" s="391">
        <f t="shared" si="991"/>
        <v>12</v>
      </c>
      <c r="CA2105" s="78">
        <f>SUM('NOGAL '!$B2105:$BZ2105)</f>
        <v>1494</v>
      </c>
      <c r="CB2105" s="60">
        <f>'NOGAL '!$CA2105/77</f>
        <v>19.402597402597401</v>
      </c>
    </row>
    <row r="2106" spans="1:80" x14ac:dyDescent="0.25">
      <c r="A2106" s="212" t="s">
        <v>14</v>
      </c>
      <c r="B2106" s="78">
        <v>155</v>
      </c>
      <c r="C2106" s="391">
        <f t="shared" si="916"/>
        <v>305</v>
      </c>
      <c r="D2106" s="391">
        <f t="shared" si="917"/>
        <v>259</v>
      </c>
      <c r="E2106" s="391">
        <f t="shared" si="918"/>
        <v>280</v>
      </c>
      <c r="F2106" s="391">
        <f t="shared" si="919"/>
        <v>296</v>
      </c>
      <c r="G2106" s="11">
        <f t="shared" si="920"/>
        <v>254</v>
      </c>
      <c r="H2106" s="11">
        <f t="shared" si="921"/>
        <v>233</v>
      </c>
      <c r="I2106" s="391">
        <f t="shared" si="922"/>
        <v>271</v>
      </c>
      <c r="J2106" s="391">
        <f t="shared" si="923"/>
        <v>271</v>
      </c>
      <c r="K2106" s="391">
        <f t="shared" si="924"/>
        <v>270</v>
      </c>
      <c r="L2106" s="391">
        <f t="shared" si="925"/>
        <v>199</v>
      </c>
      <c r="M2106" s="391">
        <f t="shared" si="926"/>
        <v>169</v>
      </c>
      <c r="N2106" s="391">
        <f t="shared" si="927"/>
        <v>183</v>
      </c>
      <c r="O2106" s="391">
        <f t="shared" si="928"/>
        <v>225</v>
      </c>
      <c r="P2106" s="391">
        <f t="shared" si="929"/>
        <v>218</v>
      </c>
      <c r="Q2106" s="391">
        <f t="shared" si="930"/>
        <v>230</v>
      </c>
      <c r="R2106" s="391">
        <f t="shared" si="931"/>
        <v>259</v>
      </c>
      <c r="S2106" s="391">
        <f t="shared" si="932"/>
        <v>189</v>
      </c>
      <c r="T2106" s="391">
        <f t="shared" si="933"/>
        <v>206</v>
      </c>
      <c r="U2106" s="391">
        <f t="shared" si="934"/>
        <v>188</v>
      </c>
      <c r="V2106" s="391">
        <f t="shared" si="935"/>
        <v>184</v>
      </c>
      <c r="W2106" s="391">
        <f t="shared" si="936"/>
        <v>204</v>
      </c>
      <c r="X2106" s="391">
        <f t="shared" si="937"/>
        <v>183</v>
      </c>
      <c r="Y2106" s="391">
        <f t="shared" si="938"/>
        <v>176</v>
      </c>
      <c r="Z2106" s="391">
        <f t="shared" si="939"/>
        <v>191</v>
      </c>
      <c r="AA2106" s="391">
        <f t="shared" si="940"/>
        <v>167</v>
      </c>
      <c r="AB2106" s="391">
        <f t="shared" si="941"/>
        <v>144</v>
      </c>
      <c r="AC2106" s="391">
        <f t="shared" si="942"/>
        <v>148</v>
      </c>
      <c r="AD2106" s="391">
        <f t="shared" si="943"/>
        <v>177</v>
      </c>
      <c r="AE2106" s="391">
        <f t="shared" si="944"/>
        <v>185</v>
      </c>
      <c r="AF2106" s="391">
        <f t="shared" si="945"/>
        <v>200</v>
      </c>
      <c r="AG2106" s="391">
        <f t="shared" si="946"/>
        <v>197</v>
      </c>
      <c r="AH2106" s="391">
        <f t="shared" si="947"/>
        <v>156</v>
      </c>
      <c r="AI2106" s="391">
        <f t="shared" si="948"/>
        <v>166</v>
      </c>
      <c r="AJ2106" s="391">
        <f t="shared" si="949"/>
        <v>160</v>
      </c>
      <c r="AK2106" s="391">
        <f t="shared" si="950"/>
        <v>159</v>
      </c>
      <c r="AL2106" s="391">
        <f t="shared" si="951"/>
        <v>165</v>
      </c>
      <c r="AM2106" s="391">
        <f t="shared" si="952"/>
        <v>156</v>
      </c>
      <c r="AN2106" s="391">
        <f t="shared" si="953"/>
        <v>152</v>
      </c>
      <c r="AO2106" s="391">
        <f t="shared" si="954"/>
        <v>141</v>
      </c>
      <c r="AP2106" s="391">
        <f t="shared" si="955"/>
        <v>148</v>
      </c>
      <c r="AQ2106" s="391">
        <f t="shared" si="956"/>
        <v>132</v>
      </c>
      <c r="AR2106" s="391">
        <f t="shared" si="957"/>
        <v>129</v>
      </c>
      <c r="AS2106" s="391">
        <f t="shared" si="958"/>
        <v>151</v>
      </c>
      <c r="AT2106" s="391">
        <f t="shared" si="959"/>
        <v>162</v>
      </c>
      <c r="AU2106" s="391">
        <f t="shared" si="960"/>
        <v>169</v>
      </c>
      <c r="AV2106" s="391">
        <f t="shared" si="961"/>
        <v>185</v>
      </c>
      <c r="AW2106" s="391">
        <f t="shared" si="962"/>
        <v>149</v>
      </c>
      <c r="AX2106" s="391">
        <f t="shared" si="963"/>
        <v>158</v>
      </c>
      <c r="AY2106" s="391">
        <f t="shared" si="964"/>
        <v>152</v>
      </c>
      <c r="AZ2106" s="391">
        <f t="shared" si="965"/>
        <v>174</v>
      </c>
      <c r="BA2106" s="391">
        <f t="shared" si="966"/>
        <v>141</v>
      </c>
      <c r="BB2106" s="391">
        <f t="shared" si="967"/>
        <v>154</v>
      </c>
      <c r="BC2106" s="391">
        <f t="shared" si="968"/>
        <v>140</v>
      </c>
      <c r="BD2106" s="391">
        <f t="shared" si="969"/>
        <v>157</v>
      </c>
      <c r="BE2106" s="391">
        <f t="shared" si="970"/>
        <v>106</v>
      </c>
      <c r="BF2106" s="391">
        <f t="shared" si="971"/>
        <v>112</v>
      </c>
      <c r="BG2106" s="391">
        <f t="shared" si="972"/>
        <v>145</v>
      </c>
      <c r="BH2106" s="391">
        <f t="shared" si="973"/>
        <v>154</v>
      </c>
      <c r="BI2106" s="391">
        <f t="shared" si="974"/>
        <v>159</v>
      </c>
      <c r="BJ2106" s="391">
        <f t="shared" si="975"/>
        <v>193</v>
      </c>
      <c r="BK2106" s="391">
        <f t="shared" si="976"/>
        <v>153</v>
      </c>
      <c r="BL2106" s="391">
        <f t="shared" si="977"/>
        <v>128</v>
      </c>
      <c r="BM2106" s="391">
        <f t="shared" si="978"/>
        <v>111</v>
      </c>
      <c r="BN2106" s="391">
        <f t="shared" si="979"/>
        <v>103</v>
      </c>
      <c r="BO2106" s="391">
        <f t="shared" si="980"/>
        <v>115</v>
      </c>
      <c r="BP2106" s="391">
        <f t="shared" si="981"/>
        <v>136</v>
      </c>
      <c r="BQ2106" s="391">
        <f t="shared" si="982"/>
        <v>121</v>
      </c>
      <c r="BR2106" s="391">
        <f t="shared" si="983"/>
        <v>149</v>
      </c>
      <c r="BS2106" s="391">
        <f t="shared" si="984"/>
        <v>126</v>
      </c>
      <c r="BT2106" s="391">
        <f t="shared" si="985"/>
        <v>142</v>
      </c>
      <c r="BU2106" s="391">
        <f t="shared" si="986"/>
        <v>97</v>
      </c>
      <c r="BV2106" s="391">
        <f t="shared" si="987"/>
        <v>116</v>
      </c>
      <c r="BW2106" s="391">
        <f t="shared" si="988"/>
        <v>112</v>
      </c>
      <c r="BX2106" s="391">
        <f t="shared" si="989"/>
        <v>120</v>
      </c>
      <c r="BY2106" s="391">
        <f t="shared" si="990"/>
        <v>84</v>
      </c>
      <c r="BZ2106" s="391">
        <f t="shared" si="991"/>
        <v>142</v>
      </c>
      <c r="CA2106" s="78">
        <f>SUM('NOGAL '!$B2106:$BZ2106)</f>
        <v>13196</v>
      </c>
      <c r="CB2106" s="60">
        <f>'NOGAL '!$CA2106/77</f>
        <v>171.37662337662337</v>
      </c>
    </row>
    <row r="2107" spans="1:80" x14ac:dyDescent="0.25">
      <c r="A2107" s="212" t="s">
        <v>15</v>
      </c>
      <c r="B2107" s="78">
        <v>77</v>
      </c>
      <c r="C2107" s="391">
        <f t="shared" si="916"/>
        <v>185</v>
      </c>
      <c r="D2107" s="391">
        <f t="shared" si="917"/>
        <v>181</v>
      </c>
      <c r="E2107" s="391">
        <f t="shared" si="918"/>
        <v>200</v>
      </c>
      <c r="F2107" s="391">
        <f t="shared" si="919"/>
        <v>141</v>
      </c>
      <c r="G2107" s="11">
        <f t="shared" si="920"/>
        <v>158</v>
      </c>
      <c r="H2107" s="11">
        <f t="shared" si="921"/>
        <v>134</v>
      </c>
      <c r="I2107" s="391">
        <f t="shared" si="922"/>
        <v>135</v>
      </c>
      <c r="J2107" s="391">
        <f t="shared" si="923"/>
        <v>143</v>
      </c>
      <c r="K2107" s="391">
        <f t="shared" si="924"/>
        <v>77</v>
      </c>
      <c r="L2107" s="391">
        <f t="shared" si="925"/>
        <v>90</v>
      </c>
      <c r="M2107" s="391">
        <f t="shared" si="926"/>
        <v>101</v>
      </c>
      <c r="N2107" s="391">
        <f t="shared" si="927"/>
        <v>95</v>
      </c>
      <c r="O2107" s="391">
        <f t="shared" si="928"/>
        <v>94</v>
      </c>
      <c r="P2107" s="391">
        <f t="shared" si="929"/>
        <v>116</v>
      </c>
      <c r="Q2107" s="391">
        <f t="shared" si="930"/>
        <v>121</v>
      </c>
      <c r="R2107" s="391">
        <f t="shared" si="931"/>
        <v>121</v>
      </c>
      <c r="S2107" s="391">
        <f t="shared" si="932"/>
        <v>75</v>
      </c>
      <c r="T2107" s="391">
        <f t="shared" si="933"/>
        <v>109</v>
      </c>
      <c r="U2107" s="391">
        <f t="shared" si="934"/>
        <v>88</v>
      </c>
      <c r="V2107" s="391">
        <f t="shared" si="935"/>
        <v>98</v>
      </c>
      <c r="W2107" s="391">
        <f t="shared" si="936"/>
        <v>80</v>
      </c>
      <c r="X2107" s="391">
        <f t="shared" si="937"/>
        <v>64</v>
      </c>
      <c r="Y2107" s="391">
        <f t="shared" si="938"/>
        <v>79</v>
      </c>
      <c r="Z2107" s="391">
        <f t="shared" si="939"/>
        <v>59</v>
      </c>
      <c r="AA2107" s="391">
        <f t="shared" si="940"/>
        <v>83</v>
      </c>
      <c r="AB2107" s="391">
        <f t="shared" si="941"/>
        <v>67</v>
      </c>
      <c r="AC2107" s="391">
        <f t="shared" si="942"/>
        <v>72</v>
      </c>
      <c r="AD2107" s="391">
        <f t="shared" si="943"/>
        <v>51</v>
      </c>
      <c r="AE2107" s="391">
        <f t="shared" si="944"/>
        <v>50</v>
      </c>
      <c r="AF2107" s="391">
        <f t="shared" si="945"/>
        <v>52</v>
      </c>
      <c r="AG2107" s="391">
        <f t="shared" si="946"/>
        <v>55</v>
      </c>
      <c r="AH2107" s="391">
        <f t="shared" si="947"/>
        <v>44</v>
      </c>
      <c r="AI2107" s="391">
        <f t="shared" si="948"/>
        <v>60</v>
      </c>
      <c r="AJ2107" s="391">
        <f t="shared" si="949"/>
        <v>53</v>
      </c>
      <c r="AK2107" s="391">
        <f t="shared" si="950"/>
        <v>58</v>
      </c>
      <c r="AL2107" s="391">
        <f t="shared" si="951"/>
        <v>44</v>
      </c>
      <c r="AM2107" s="391">
        <f t="shared" si="952"/>
        <v>49</v>
      </c>
      <c r="AN2107" s="391">
        <f t="shared" si="953"/>
        <v>54</v>
      </c>
      <c r="AO2107" s="391">
        <f t="shared" si="954"/>
        <v>32</v>
      </c>
      <c r="AP2107" s="391">
        <f t="shared" si="955"/>
        <v>31</v>
      </c>
      <c r="AQ2107" s="391">
        <f t="shared" si="956"/>
        <v>27</v>
      </c>
      <c r="AR2107" s="391">
        <f t="shared" si="957"/>
        <v>49</v>
      </c>
      <c r="AS2107" s="391">
        <f t="shared" si="958"/>
        <v>34</v>
      </c>
      <c r="AT2107" s="391">
        <f t="shared" si="959"/>
        <v>13</v>
      </c>
      <c r="AU2107" s="391">
        <f t="shared" si="960"/>
        <v>20</v>
      </c>
      <c r="AV2107" s="391">
        <f t="shared" si="961"/>
        <v>19</v>
      </c>
      <c r="AW2107" s="391">
        <f t="shared" si="962"/>
        <v>26</v>
      </c>
      <c r="AX2107" s="391">
        <f t="shared" si="963"/>
        <v>23</v>
      </c>
      <c r="AY2107" s="391">
        <f t="shared" si="964"/>
        <v>20</v>
      </c>
      <c r="AZ2107" s="391">
        <f t="shared" si="965"/>
        <v>27</v>
      </c>
      <c r="BA2107" s="391">
        <f t="shared" si="966"/>
        <v>19</v>
      </c>
      <c r="BB2107" s="391">
        <f t="shared" si="967"/>
        <v>23</v>
      </c>
      <c r="BC2107" s="391">
        <f t="shared" si="968"/>
        <v>25</v>
      </c>
      <c r="BD2107" s="391">
        <f t="shared" si="969"/>
        <v>27</v>
      </c>
      <c r="BE2107" s="391">
        <f t="shared" si="970"/>
        <v>28</v>
      </c>
      <c r="BF2107" s="391">
        <f t="shared" si="971"/>
        <v>37</v>
      </c>
      <c r="BG2107" s="391">
        <f t="shared" si="972"/>
        <v>19</v>
      </c>
      <c r="BH2107" s="391">
        <f t="shared" si="973"/>
        <v>17</v>
      </c>
      <c r="BI2107" s="391">
        <f t="shared" si="974"/>
        <v>29</v>
      </c>
      <c r="BJ2107" s="391">
        <f t="shared" si="975"/>
        <v>47</v>
      </c>
      <c r="BK2107" s="391">
        <f t="shared" si="976"/>
        <v>18</v>
      </c>
      <c r="BL2107" s="391">
        <f t="shared" si="977"/>
        <v>18</v>
      </c>
      <c r="BM2107" s="391">
        <f t="shared" si="978"/>
        <v>23</v>
      </c>
      <c r="BN2107" s="391">
        <f t="shared" si="979"/>
        <v>41</v>
      </c>
      <c r="BO2107" s="391">
        <f t="shared" si="980"/>
        <v>29</v>
      </c>
      <c r="BP2107" s="391">
        <f t="shared" si="981"/>
        <v>54</v>
      </c>
      <c r="BQ2107" s="391">
        <f t="shared" si="982"/>
        <v>50</v>
      </c>
      <c r="BR2107" s="391">
        <f t="shared" si="983"/>
        <v>64</v>
      </c>
      <c r="BS2107" s="391">
        <f t="shared" si="984"/>
        <v>39</v>
      </c>
      <c r="BT2107" s="391">
        <f t="shared" si="985"/>
        <v>55</v>
      </c>
      <c r="BU2107" s="391">
        <f t="shared" si="986"/>
        <v>42</v>
      </c>
      <c r="BV2107" s="391">
        <f t="shared" si="987"/>
        <v>30</v>
      </c>
      <c r="BW2107" s="391">
        <f t="shared" si="988"/>
        <v>57</v>
      </c>
      <c r="BX2107" s="391">
        <f t="shared" si="989"/>
        <v>54</v>
      </c>
      <c r="BY2107" s="391">
        <f t="shared" si="990"/>
        <v>54</v>
      </c>
      <c r="BZ2107" s="391">
        <f t="shared" si="991"/>
        <v>40</v>
      </c>
      <c r="CA2107" s="78">
        <f>SUM('NOGAL '!$B2107:$BZ2107)</f>
        <v>4873</v>
      </c>
      <c r="CB2107" s="60">
        <f>'NOGAL '!$CA2107/77</f>
        <v>63.285714285714285</v>
      </c>
    </row>
    <row r="2108" spans="1:80" x14ac:dyDescent="0.25">
      <c r="A2108" s="212" t="s">
        <v>16</v>
      </c>
      <c r="B2108" s="78">
        <v>15</v>
      </c>
      <c r="C2108" s="391">
        <f t="shared" si="916"/>
        <v>10</v>
      </c>
      <c r="D2108" s="391">
        <f t="shared" si="917"/>
        <v>0</v>
      </c>
      <c r="E2108" s="391">
        <f t="shared" si="918"/>
        <v>9</v>
      </c>
      <c r="F2108" s="391">
        <f t="shared" si="919"/>
        <v>2</v>
      </c>
      <c r="G2108" s="11">
        <f t="shared" si="920"/>
        <v>5</v>
      </c>
      <c r="H2108" s="11">
        <f t="shared" si="921"/>
        <v>1</v>
      </c>
      <c r="I2108" s="391">
        <f t="shared" si="922"/>
        <v>4</v>
      </c>
      <c r="J2108" s="391">
        <f t="shared" si="923"/>
        <v>2</v>
      </c>
      <c r="K2108" s="391">
        <f t="shared" si="924"/>
        <v>3</v>
      </c>
      <c r="L2108" s="391">
        <f t="shared" si="925"/>
        <v>8</v>
      </c>
      <c r="M2108" s="391">
        <f t="shared" si="926"/>
        <v>5</v>
      </c>
      <c r="N2108" s="391">
        <f t="shared" si="927"/>
        <v>2</v>
      </c>
      <c r="O2108" s="391">
        <f t="shared" si="928"/>
        <v>4</v>
      </c>
      <c r="P2108" s="391">
        <f t="shared" si="929"/>
        <v>3</v>
      </c>
      <c r="Q2108" s="391">
        <f t="shared" si="930"/>
        <v>8</v>
      </c>
      <c r="R2108" s="391">
        <f t="shared" si="931"/>
        <v>5</v>
      </c>
      <c r="S2108" s="391">
        <f t="shared" si="932"/>
        <v>4</v>
      </c>
      <c r="T2108" s="391">
        <f t="shared" si="933"/>
        <v>1</v>
      </c>
      <c r="U2108" s="391">
        <f t="shared" si="934"/>
        <v>1</v>
      </c>
      <c r="V2108" s="391">
        <f t="shared" si="935"/>
        <v>1</v>
      </c>
      <c r="W2108" s="391">
        <f t="shared" si="936"/>
        <v>2</v>
      </c>
      <c r="X2108" s="391">
        <f t="shared" si="937"/>
        <v>1</v>
      </c>
      <c r="Y2108" s="391">
        <f t="shared" si="938"/>
        <v>1</v>
      </c>
      <c r="Z2108" s="391">
        <f t="shared" si="939"/>
        <v>2</v>
      </c>
      <c r="AA2108" s="391">
        <f t="shared" si="940"/>
        <v>1</v>
      </c>
      <c r="AB2108" s="391">
        <f t="shared" si="941"/>
        <v>0</v>
      </c>
      <c r="AC2108" s="391">
        <f t="shared" si="942"/>
        <v>1</v>
      </c>
      <c r="AD2108" s="391">
        <f t="shared" si="943"/>
        <v>3</v>
      </c>
      <c r="AE2108" s="391">
        <f t="shared" si="944"/>
        <v>0</v>
      </c>
      <c r="AF2108" s="391">
        <f t="shared" si="945"/>
        <v>2</v>
      </c>
      <c r="AG2108" s="391">
        <f t="shared" si="946"/>
        <v>2</v>
      </c>
      <c r="AH2108" s="391">
        <f t="shared" si="947"/>
        <v>1</v>
      </c>
      <c r="AI2108" s="391">
        <f t="shared" si="948"/>
        <v>1</v>
      </c>
      <c r="AJ2108" s="391">
        <f t="shared" si="949"/>
        <v>4</v>
      </c>
      <c r="AK2108" s="391">
        <f t="shared" si="950"/>
        <v>0</v>
      </c>
      <c r="AL2108" s="391">
        <f t="shared" si="951"/>
        <v>2</v>
      </c>
      <c r="AM2108" s="391">
        <f t="shared" si="952"/>
        <v>2</v>
      </c>
      <c r="AN2108" s="391">
        <f t="shared" si="953"/>
        <v>1</v>
      </c>
      <c r="AO2108" s="391">
        <f t="shared" si="954"/>
        <v>2</v>
      </c>
      <c r="AP2108" s="391">
        <f t="shared" si="955"/>
        <v>2</v>
      </c>
      <c r="AQ2108" s="391">
        <f t="shared" si="956"/>
        <v>1</v>
      </c>
      <c r="AR2108" s="391">
        <f t="shared" si="957"/>
        <v>1</v>
      </c>
      <c r="AS2108" s="391">
        <f t="shared" si="958"/>
        <v>2</v>
      </c>
      <c r="AT2108" s="391">
        <f t="shared" si="959"/>
        <v>1</v>
      </c>
      <c r="AU2108" s="391">
        <f t="shared" si="960"/>
        <v>0</v>
      </c>
      <c r="AV2108" s="391">
        <f t="shared" si="961"/>
        <v>0</v>
      </c>
      <c r="AW2108" s="391">
        <f t="shared" si="962"/>
        <v>1</v>
      </c>
      <c r="AX2108" s="391">
        <f t="shared" si="963"/>
        <v>1</v>
      </c>
      <c r="AY2108" s="391">
        <f t="shared" si="964"/>
        <v>1</v>
      </c>
      <c r="AZ2108" s="391">
        <f t="shared" si="965"/>
        <v>2</v>
      </c>
      <c r="BA2108" s="391">
        <f t="shared" si="966"/>
        <v>1</v>
      </c>
      <c r="BB2108" s="391">
        <f t="shared" si="967"/>
        <v>0</v>
      </c>
      <c r="BC2108" s="391">
        <f t="shared" si="968"/>
        <v>2</v>
      </c>
      <c r="BD2108" s="391">
        <f t="shared" si="969"/>
        <v>1</v>
      </c>
      <c r="BE2108" s="391">
        <f t="shared" si="970"/>
        <v>0</v>
      </c>
      <c r="BF2108" s="391">
        <f t="shared" si="971"/>
        <v>2</v>
      </c>
      <c r="BG2108" s="391">
        <f t="shared" si="972"/>
        <v>3</v>
      </c>
      <c r="BH2108" s="391">
        <f t="shared" si="973"/>
        <v>0</v>
      </c>
      <c r="BI2108" s="391">
        <f t="shared" si="974"/>
        <v>3</v>
      </c>
      <c r="BJ2108" s="391">
        <f t="shared" si="975"/>
        <v>2</v>
      </c>
      <c r="BK2108" s="391">
        <f t="shared" si="976"/>
        <v>0</v>
      </c>
      <c r="BL2108" s="391">
        <f t="shared" si="977"/>
        <v>1</v>
      </c>
      <c r="BM2108" s="391">
        <f t="shared" si="978"/>
        <v>1</v>
      </c>
      <c r="BN2108" s="391">
        <f t="shared" si="979"/>
        <v>1</v>
      </c>
      <c r="BO2108" s="391">
        <f t="shared" si="980"/>
        <v>1</v>
      </c>
      <c r="BP2108" s="391">
        <f t="shared" si="981"/>
        <v>5</v>
      </c>
      <c r="BQ2108" s="391">
        <f t="shared" si="982"/>
        <v>1</v>
      </c>
      <c r="BR2108" s="391">
        <f t="shared" si="983"/>
        <v>3</v>
      </c>
      <c r="BS2108" s="391">
        <f t="shared" si="984"/>
        <v>0</v>
      </c>
      <c r="BT2108" s="391">
        <f t="shared" si="985"/>
        <v>1</v>
      </c>
      <c r="BU2108" s="391">
        <f t="shared" si="986"/>
        <v>0</v>
      </c>
      <c r="BV2108" s="391">
        <f t="shared" si="987"/>
        <v>0</v>
      </c>
      <c r="BW2108" s="391">
        <f t="shared" si="988"/>
        <v>1</v>
      </c>
      <c r="BX2108" s="391">
        <f t="shared" si="989"/>
        <v>2</v>
      </c>
      <c r="BY2108" s="391">
        <f t="shared" si="990"/>
        <v>0</v>
      </c>
      <c r="BZ2108" s="391">
        <f t="shared" si="991"/>
        <v>1</v>
      </c>
      <c r="CA2108" s="78">
        <f>SUM('NOGAL '!$B2108:$BZ2108)</f>
        <v>165</v>
      </c>
      <c r="CB2108" s="60">
        <f>'NOGAL '!$CA2108/77</f>
        <v>2.1428571428571428</v>
      </c>
    </row>
    <row r="2109" spans="1:80" x14ac:dyDescent="0.25">
      <c r="A2109" s="213" t="s">
        <v>17</v>
      </c>
      <c r="B2109" s="192">
        <v>482</v>
      </c>
      <c r="C2109" s="278">
        <f t="shared" si="916"/>
        <v>1368</v>
      </c>
      <c r="D2109" s="278">
        <f t="shared" si="917"/>
        <v>1236</v>
      </c>
      <c r="E2109" s="278">
        <f t="shared" si="918"/>
        <v>1541</v>
      </c>
      <c r="F2109" s="278">
        <f t="shared" si="919"/>
        <v>1563</v>
      </c>
      <c r="G2109" s="192">
        <f t="shared" si="920"/>
        <v>1559</v>
      </c>
      <c r="H2109" s="192">
        <f>SUM(H2104:H2108)</f>
        <v>1365</v>
      </c>
      <c r="I2109" s="278">
        <f t="shared" si="922"/>
        <v>1450</v>
      </c>
      <c r="J2109" s="278">
        <f t="shared" si="923"/>
        <v>1626</v>
      </c>
      <c r="K2109" s="278">
        <f t="shared" si="924"/>
        <v>1167</v>
      </c>
      <c r="L2109" s="278">
        <f t="shared" si="925"/>
        <v>971</v>
      </c>
      <c r="M2109" s="278">
        <f t="shared" si="926"/>
        <v>829</v>
      </c>
      <c r="N2109" s="278">
        <f t="shared" si="927"/>
        <v>930</v>
      </c>
      <c r="O2109" s="278">
        <f t="shared" si="928"/>
        <v>1236</v>
      </c>
      <c r="P2109" s="278">
        <f t="shared" si="929"/>
        <v>1196</v>
      </c>
      <c r="Q2109" s="278">
        <f t="shared" si="930"/>
        <v>1296</v>
      </c>
      <c r="R2109" s="278">
        <f t="shared" si="931"/>
        <v>1368</v>
      </c>
      <c r="S2109" s="278">
        <f t="shared" si="932"/>
        <v>1255</v>
      </c>
      <c r="T2109" s="278">
        <f t="shared" si="933"/>
        <v>1212</v>
      </c>
      <c r="U2109" s="278">
        <f t="shared" si="934"/>
        <v>1171</v>
      </c>
      <c r="V2109" s="278">
        <f t="shared" si="935"/>
        <v>1262</v>
      </c>
      <c r="W2109" s="278">
        <f t="shared" si="936"/>
        <v>1221</v>
      </c>
      <c r="X2109" s="278">
        <f t="shared" si="937"/>
        <v>1124</v>
      </c>
      <c r="Y2109" s="278">
        <f t="shared" si="938"/>
        <v>1363</v>
      </c>
      <c r="Z2109" s="278">
        <f t="shared" si="939"/>
        <v>998</v>
      </c>
      <c r="AA2109" s="278">
        <f t="shared" si="940"/>
        <v>1177</v>
      </c>
      <c r="AB2109" s="278">
        <f t="shared" si="941"/>
        <v>1094</v>
      </c>
      <c r="AC2109" s="278">
        <f t="shared" si="942"/>
        <v>953</v>
      </c>
      <c r="AD2109" s="278">
        <f t="shared" si="943"/>
        <v>1186</v>
      </c>
      <c r="AE2109" s="278">
        <f t="shared" si="944"/>
        <v>1074</v>
      </c>
      <c r="AF2109" s="278">
        <f t="shared" si="945"/>
        <v>1235</v>
      </c>
      <c r="AG2109" s="278">
        <f t="shared" si="946"/>
        <v>1169</v>
      </c>
      <c r="AH2109" s="278">
        <f t="shared" si="947"/>
        <v>1168</v>
      </c>
      <c r="AI2109" s="278">
        <f t="shared" si="948"/>
        <v>1142</v>
      </c>
      <c r="AJ2109" s="278">
        <f t="shared" si="949"/>
        <v>1173</v>
      </c>
      <c r="AK2109" s="278">
        <f t="shared" si="950"/>
        <v>1037</v>
      </c>
      <c r="AL2109" s="278">
        <f t="shared" si="951"/>
        <v>967</v>
      </c>
      <c r="AM2109" s="278">
        <f t="shared" si="952"/>
        <v>1057</v>
      </c>
      <c r="AN2109" s="278">
        <f t="shared" si="953"/>
        <v>1083</v>
      </c>
      <c r="AO2109" s="278">
        <f t="shared" si="954"/>
        <v>977</v>
      </c>
      <c r="AP2109" s="278">
        <f t="shared" si="955"/>
        <v>1018</v>
      </c>
      <c r="AQ2109" s="278">
        <f t="shared" si="956"/>
        <v>978</v>
      </c>
      <c r="AR2109" s="278">
        <f t="shared" si="957"/>
        <v>953</v>
      </c>
      <c r="AS2109" s="278">
        <f t="shared" si="958"/>
        <v>977</v>
      </c>
      <c r="AT2109" s="278">
        <f t="shared" si="959"/>
        <v>1109</v>
      </c>
      <c r="AU2109" s="278">
        <f t="shared" si="960"/>
        <v>1076</v>
      </c>
      <c r="AV2109" s="278">
        <f t="shared" si="961"/>
        <v>1012</v>
      </c>
      <c r="AW2109" s="278">
        <f t="shared" si="962"/>
        <v>1027</v>
      </c>
      <c r="AX2109" s="278">
        <f t="shared" si="963"/>
        <v>1086</v>
      </c>
      <c r="AY2109" s="278">
        <f t="shared" si="964"/>
        <v>858</v>
      </c>
      <c r="AZ2109" s="278">
        <f t="shared" si="965"/>
        <v>797</v>
      </c>
      <c r="BA2109" s="278">
        <f t="shared" si="966"/>
        <v>742</v>
      </c>
      <c r="BB2109" s="278">
        <f t="shared" si="967"/>
        <v>763</v>
      </c>
      <c r="BC2109" s="278">
        <f t="shared" si="968"/>
        <v>907</v>
      </c>
      <c r="BD2109" s="278">
        <f t="shared" si="969"/>
        <v>859</v>
      </c>
      <c r="BE2109" s="278">
        <f t="shared" si="970"/>
        <v>744</v>
      </c>
      <c r="BF2109" s="278">
        <f t="shared" si="971"/>
        <v>852</v>
      </c>
      <c r="BG2109" s="278">
        <f t="shared" si="972"/>
        <v>883</v>
      </c>
      <c r="BH2109" s="278">
        <f t="shared" si="973"/>
        <v>838</v>
      </c>
      <c r="BI2109" s="278">
        <f t="shared" si="974"/>
        <v>904</v>
      </c>
      <c r="BJ2109" s="278">
        <f t="shared" si="975"/>
        <v>985</v>
      </c>
      <c r="BK2109" s="278">
        <f t="shared" si="976"/>
        <v>751</v>
      </c>
      <c r="BL2109" s="278">
        <f t="shared" si="977"/>
        <v>639</v>
      </c>
      <c r="BM2109" s="278">
        <f t="shared" si="978"/>
        <v>508</v>
      </c>
      <c r="BN2109" s="278">
        <f t="shared" si="979"/>
        <v>573</v>
      </c>
      <c r="BO2109" s="278">
        <f t="shared" si="980"/>
        <v>698</v>
      </c>
      <c r="BP2109" s="278">
        <f t="shared" si="981"/>
        <v>758</v>
      </c>
      <c r="BQ2109" s="278">
        <f t="shared" si="982"/>
        <v>826</v>
      </c>
      <c r="BR2109" s="278">
        <f t="shared" si="983"/>
        <v>760</v>
      </c>
      <c r="BS2109" s="278">
        <f t="shared" si="984"/>
        <v>709</v>
      </c>
      <c r="BT2109" s="278">
        <f t="shared" si="985"/>
        <v>759</v>
      </c>
      <c r="BU2109" s="278">
        <f t="shared" si="986"/>
        <v>680</v>
      </c>
      <c r="BV2109" s="278">
        <f t="shared" si="987"/>
        <v>768</v>
      </c>
      <c r="BW2109" s="278">
        <f t="shared" si="988"/>
        <v>729</v>
      </c>
      <c r="BX2109" s="278">
        <f t="shared" si="989"/>
        <v>691</v>
      </c>
      <c r="BY2109" s="278">
        <f t="shared" si="990"/>
        <v>765</v>
      </c>
      <c r="BZ2109" s="278">
        <f t="shared" si="991"/>
        <v>625</v>
      </c>
      <c r="CA2109" s="278">
        <f>SUM('NOGAL '!$B2109:$BZ2109)</f>
        <v>77888</v>
      </c>
      <c r="CB2109" s="214">
        <f>'NOGAL '!$CA2109/77</f>
        <v>1011.5324675324675</v>
      </c>
    </row>
    <row r="2110" spans="1:80" x14ac:dyDescent="0.25">
      <c r="A2110" s="212" t="s">
        <v>18</v>
      </c>
      <c r="B2110" s="22">
        <v>0.58906626271538576</v>
      </c>
      <c r="C2110" s="22">
        <f t="shared" si="916"/>
        <v>0.65269340202901427</v>
      </c>
      <c r="D2110" s="22">
        <f t="shared" si="917"/>
        <v>0.69943778417313707</v>
      </c>
      <c r="E2110" s="22">
        <f t="shared" si="918"/>
        <v>0.74682036042658573</v>
      </c>
      <c r="F2110" s="22">
        <f t="shared" si="919"/>
        <v>0.74000837286701271</v>
      </c>
      <c r="G2110" s="30">
        <f t="shared" si="920"/>
        <v>0.75830485745481357</v>
      </c>
      <c r="H2110" s="30">
        <f t="shared" ref="H2110:H2122" si="992">I179</f>
        <v>0.74056826415718047</v>
      </c>
      <c r="I2110" s="30">
        <f t="shared" si="922"/>
        <v>0.7577413145880203</v>
      </c>
      <c r="J2110" s="30">
        <f t="shared" si="923"/>
        <v>0.77745529759144982</v>
      </c>
      <c r="K2110" s="30">
        <f t="shared" si="924"/>
        <v>0.77950139845631994</v>
      </c>
      <c r="L2110" s="30">
        <f t="shared" si="925"/>
        <v>0.72959408604402187</v>
      </c>
      <c r="M2110" s="30">
        <f t="shared" si="926"/>
        <v>0.70715020023725361</v>
      </c>
      <c r="N2110" s="30">
        <f t="shared" si="927"/>
        <v>0.71913397734810236</v>
      </c>
      <c r="O2110" s="30">
        <f t="shared" si="928"/>
        <v>0.75809400874517241</v>
      </c>
      <c r="P2110" s="30">
        <f t="shared" si="929"/>
        <v>0.74531848278512802</v>
      </c>
      <c r="Q2110" s="30">
        <f t="shared" si="930"/>
        <v>0.74334652232644549</v>
      </c>
      <c r="R2110" s="30">
        <f t="shared" si="931"/>
        <v>0.75394952587000008</v>
      </c>
      <c r="S2110" s="30">
        <f t="shared" si="932"/>
        <v>0.80884103141704722</v>
      </c>
      <c r="T2110" s="30">
        <f t="shared" si="933"/>
        <v>0.77617317200963776</v>
      </c>
      <c r="U2110" s="30">
        <f t="shared" si="934"/>
        <v>0.79938337674666915</v>
      </c>
      <c r="V2110" s="30">
        <f t="shared" si="935"/>
        <v>0.8250251374345281</v>
      </c>
      <c r="W2110" s="30">
        <f t="shared" si="936"/>
        <v>0.81910893342331359</v>
      </c>
      <c r="X2110" s="30">
        <f t="shared" si="937"/>
        <v>0.82187207288482134</v>
      </c>
      <c r="Y2110" s="30">
        <f t="shared" si="938"/>
        <v>0.84469734431310151</v>
      </c>
      <c r="Z2110" s="30">
        <f t="shared" si="939"/>
        <v>0.77345427183429227</v>
      </c>
      <c r="AA2110" s="30">
        <f t="shared" si="940"/>
        <v>0.84776401728279549</v>
      </c>
      <c r="AB2110" s="30">
        <f t="shared" si="941"/>
        <v>0.85449825292401771</v>
      </c>
      <c r="AC2110" s="30">
        <f t="shared" si="942"/>
        <v>0.8121306356339113</v>
      </c>
      <c r="AD2110" s="30">
        <f t="shared" si="943"/>
        <v>0.85162275946897348</v>
      </c>
      <c r="AE2110" s="30">
        <f t="shared" si="944"/>
        <v>0.84262105064723558</v>
      </c>
      <c r="AF2110" s="30">
        <f t="shared" si="945"/>
        <v>0.85379358206212996</v>
      </c>
      <c r="AG2110" s="30">
        <f t="shared" si="946"/>
        <v>0.82943783463658693</v>
      </c>
      <c r="AH2110" s="30">
        <f t="shared" si="947"/>
        <v>0.86921036651854511</v>
      </c>
      <c r="AI2110" s="30">
        <f t="shared" si="948"/>
        <v>0.84160929308983201</v>
      </c>
      <c r="AJ2110" s="30">
        <f t="shared" si="949"/>
        <v>0.85434118316010854</v>
      </c>
      <c r="AK2110" s="30">
        <f t="shared" si="950"/>
        <v>0.85654275262316037</v>
      </c>
      <c r="AL2110" s="30">
        <f t="shared" si="951"/>
        <v>0.83021888285958068</v>
      </c>
      <c r="AM2110" s="30">
        <f t="shared" si="952"/>
        <v>0.84063071775706044</v>
      </c>
      <c r="AN2110" s="30">
        <f t="shared" si="953"/>
        <v>0.86280176930273722</v>
      </c>
      <c r="AO2110" s="30">
        <f t="shared" si="954"/>
        <v>0.8627989765778703</v>
      </c>
      <c r="AP2110" s="30">
        <f t="shared" si="955"/>
        <v>0.86649097454488189</v>
      </c>
      <c r="AQ2110" s="30">
        <f t="shared" si="956"/>
        <v>0.87713945966522289</v>
      </c>
      <c r="AR2110" s="30">
        <f t="shared" si="957"/>
        <v>0.85058903130249464</v>
      </c>
      <c r="AS2110" s="30">
        <f t="shared" si="958"/>
        <v>0.8602065196143831</v>
      </c>
      <c r="AT2110" s="30">
        <f t="shared" si="959"/>
        <v>0.88269396834081726</v>
      </c>
      <c r="AU2110" s="30">
        <f t="shared" si="960"/>
        <v>0.86189872630747555</v>
      </c>
      <c r="AV2110" s="30">
        <f t="shared" si="961"/>
        <v>0.85577537505432744</v>
      </c>
      <c r="AW2110" s="30">
        <f t="shared" si="962"/>
        <v>0.87106166102272775</v>
      </c>
      <c r="AX2110" s="30">
        <f t="shared" si="963"/>
        <v>0.8675005218012326</v>
      </c>
      <c r="AY2110" s="30">
        <f t="shared" si="964"/>
        <v>0.83922869327153637</v>
      </c>
      <c r="AZ2110" s="30">
        <f t="shared" si="965"/>
        <v>0.78799345137975518</v>
      </c>
      <c r="BA2110" s="30">
        <f t="shared" si="966"/>
        <v>0.82471763941614185</v>
      </c>
      <c r="BB2110" s="30">
        <f t="shared" si="967"/>
        <v>0.82143635739968557</v>
      </c>
      <c r="BC2110" s="30">
        <f t="shared" si="968"/>
        <v>0.84461758556197541</v>
      </c>
      <c r="BD2110" s="30">
        <f t="shared" si="969"/>
        <v>0.82888886784512539</v>
      </c>
      <c r="BE2110" s="30">
        <f t="shared" si="970"/>
        <v>0.82123428933649867</v>
      </c>
      <c r="BF2110" s="30">
        <f t="shared" si="971"/>
        <v>0.84866804216801273</v>
      </c>
      <c r="BG2110" s="30">
        <f t="shared" si="972"/>
        <v>0.84256121415027851</v>
      </c>
      <c r="BH2110" s="30">
        <f t="shared" si="973"/>
        <v>0.8296432113096387</v>
      </c>
      <c r="BI2110" s="30">
        <f t="shared" si="974"/>
        <v>0.82568934292676865</v>
      </c>
      <c r="BJ2110" s="30">
        <f t="shared" si="975"/>
        <v>0.79875509184507665</v>
      </c>
      <c r="BK2110" s="30">
        <f t="shared" si="976"/>
        <v>0.82976044602282117</v>
      </c>
      <c r="BL2110" s="30">
        <f t="shared" si="977"/>
        <v>0.82712450100631529</v>
      </c>
      <c r="BM2110" s="30">
        <f t="shared" si="978"/>
        <v>0.79118764602506364</v>
      </c>
      <c r="BN2110" s="30">
        <f t="shared" si="979"/>
        <v>0.81139875256092864</v>
      </c>
      <c r="BO2110" s="30">
        <f t="shared" si="980"/>
        <v>0.83828806064505779</v>
      </c>
      <c r="BP2110" s="30">
        <f t="shared" si="981"/>
        <v>0.80824330104344189</v>
      </c>
      <c r="BQ2110" s="30">
        <f t="shared" si="982"/>
        <v>0.84564442055970013</v>
      </c>
      <c r="BR2110" s="30">
        <f t="shared" si="983"/>
        <v>0.78253821018725234</v>
      </c>
      <c r="BS2110" s="30">
        <f t="shared" si="984"/>
        <v>0.82345486729008477</v>
      </c>
      <c r="BT2110" s="30">
        <f t="shared" si="985"/>
        <v>0.81630632268974823</v>
      </c>
      <c r="BU2110" s="30">
        <f t="shared" si="986"/>
        <v>0.84481855571866138</v>
      </c>
      <c r="BV2110" s="30">
        <f t="shared" si="987"/>
        <v>0.84748749944370905</v>
      </c>
      <c r="BW2110" s="30">
        <f t="shared" si="988"/>
        <v>0.82025078016772091</v>
      </c>
      <c r="BX2110" s="30">
        <f t="shared" si="989"/>
        <v>0.8211195058713544</v>
      </c>
      <c r="BY2110" s="30">
        <f t="shared" si="990"/>
        <v>0.86977419429134839</v>
      </c>
      <c r="BZ2110" s="30">
        <f t="shared" si="991"/>
        <v>0.76041602650113704</v>
      </c>
      <c r="CA2110" s="30">
        <f>CA2117/CA2122</f>
        <v>0.8106048631267645</v>
      </c>
      <c r="CB2110" s="160">
        <f>CB2117/CB2122</f>
        <v>0.8106048631267645</v>
      </c>
    </row>
    <row r="2111" spans="1:80" x14ac:dyDescent="0.25">
      <c r="A2111" s="212" t="s">
        <v>19</v>
      </c>
      <c r="B2111" s="22">
        <v>0</v>
      </c>
      <c r="C2111" s="22">
        <f t="shared" si="916"/>
        <v>6.387765802462286E-3</v>
      </c>
      <c r="D2111" s="22">
        <f t="shared" si="917"/>
        <v>7.9950990235347808E-4</v>
      </c>
      <c r="E2111" s="22">
        <f t="shared" si="918"/>
        <v>1.9962155168034021E-3</v>
      </c>
      <c r="F2111" s="22">
        <f t="shared" si="919"/>
        <v>9.8493638791788299E-4</v>
      </c>
      <c r="G2111" s="30">
        <f t="shared" si="920"/>
        <v>8.1304119350500068E-3</v>
      </c>
      <c r="H2111" s="30">
        <f t="shared" si="992"/>
        <v>1.0291725422110128E-2</v>
      </c>
      <c r="I2111" s="30">
        <f t="shared" si="922"/>
        <v>2.3454775858634713E-3</v>
      </c>
      <c r="J2111" s="30">
        <f t="shared" si="923"/>
        <v>0</v>
      </c>
      <c r="K2111" s="30">
        <f t="shared" si="924"/>
        <v>0</v>
      </c>
      <c r="L2111" s="30">
        <f t="shared" si="925"/>
        <v>4.4267508403785481E-2</v>
      </c>
      <c r="M2111" s="30">
        <f t="shared" si="926"/>
        <v>3.5032806447274155E-2</v>
      </c>
      <c r="N2111" s="30">
        <f t="shared" si="927"/>
        <v>4.1940471494143039E-2</v>
      </c>
      <c r="O2111" s="30">
        <f t="shared" si="928"/>
        <v>3.4405556181546428E-2</v>
      </c>
      <c r="P2111" s="30">
        <f t="shared" si="929"/>
        <v>4.6608135956421437E-2</v>
      </c>
      <c r="Q2111" s="30">
        <f t="shared" si="930"/>
        <v>4.2484663493774312E-2</v>
      </c>
      <c r="R2111" s="30">
        <f t="shared" si="931"/>
        <v>3.0974130078591709E-2</v>
      </c>
      <c r="S2111" s="30">
        <f t="shared" si="932"/>
        <v>4.1480204881419167E-2</v>
      </c>
      <c r="T2111" s="30">
        <f t="shared" si="933"/>
        <v>1.639632413585676E-2</v>
      </c>
      <c r="U2111" s="30">
        <f t="shared" si="934"/>
        <v>2.8120207854067991E-2</v>
      </c>
      <c r="V2111" s="30">
        <f t="shared" si="935"/>
        <v>1.3675076502091476E-2</v>
      </c>
      <c r="W2111" s="30">
        <f t="shared" si="936"/>
        <v>7.500028506611754E-3</v>
      </c>
      <c r="X2111" s="30">
        <f t="shared" si="937"/>
        <v>2.1592659282696668E-2</v>
      </c>
      <c r="Y2111" s="30">
        <f t="shared" si="938"/>
        <v>1.4814564033300639E-2</v>
      </c>
      <c r="Z2111" s="30">
        <f t="shared" si="939"/>
        <v>9.1782429531402955E-3</v>
      </c>
      <c r="AA2111" s="30">
        <f t="shared" si="940"/>
        <v>6.5352408372701806E-3</v>
      </c>
      <c r="AB2111" s="30">
        <f t="shared" si="941"/>
        <v>2.9075821973233877E-2</v>
      </c>
      <c r="AC2111" s="30">
        <f t="shared" si="942"/>
        <v>2.1094040396908136E-2</v>
      </c>
      <c r="AD2111" s="30">
        <f t="shared" si="943"/>
        <v>1.2687136392645468E-2</v>
      </c>
      <c r="AE2111" s="30">
        <f t="shared" si="944"/>
        <v>1.7113804429730324E-2</v>
      </c>
      <c r="AF2111" s="30">
        <f t="shared" si="945"/>
        <v>1.0476405740631934E-2</v>
      </c>
      <c r="AG2111" s="30">
        <f t="shared" si="946"/>
        <v>1.6486748122853161E-2</v>
      </c>
      <c r="AH2111" s="30">
        <f t="shared" si="947"/>
        <v>1.112884470739783E-2</v>
      </c>
      <c r="AI2111" s="30">
        <f t="shared" si="948"/>
        <v>1.4246533535470635E-2</v>
      </c>
      <c r="AJ2111" s="30">
        <f t="shared" si="949"/>
        <v>1.6491159253153399E-2</v>
      </c>
      <c r="AK2111" s="30">
        <f t="shared" si="950"/>
        <v>1.2545125406842637E-2</v>
      </c>
      <c r="AL2111" s="30">
        <f t="shared" si="951"/>
        <v>1.0873885622832579E-2</v>
      </c>
      <c r="AM2111" s="30">
        <f t="shared" si="952"/>
        <v>1.3664564215076129E-2</v>
      </c>
      <c r="AN2111" s="30">
        <f t="shared" si="953"/>
        <v>8.2925259701749614E-3</v>
      </c>
      <c r="AO2111" s="30">
        <f t="shared" si="954"/>
        <v>9.5327442392602012E-3</v>
      </c>
      <c r="AP2111" s="30">
        <f t="shared" si="955"/>
        <v>1.544074903231777E-2</v>
      </c>
      <c r="AQ2111" s="30">
        <f t="shared" si="956"/>
        <v>1.6114418747671774E-2</v>
      </c>
      <c r="AR2111" s="30">
        <f t="shared" si="957"/>
        <v>1.8655939381950485E-2</v>
      </c>
      <c r="AS2111" s="30">
        <f t="shared" si="958"/>
        <v>1.9132507542619703E-2</v>
      </c>
      <c r="AT2111" s="30">
        <f t="shared" si="959"/>
        <v>1.4280621290250024E-2</v>
      </c>
      <c r="AU2111" s="30">
        <f t="shared" si="960"/>
        <v>1.706476849514987E-2</v>
      </c>
      <c r="AV2111" s="30">
        <f t="shared" si="961"/>
        <v>5.4975526984985187E-3</v>
      </c>
      <c r="AW2111" s="30">
        <f t="shared" si="962"/>
        <v>1.3474097691954748E-2</v>
      </c>
      <c r="AX2111" s="30">
        <f t="shared" si="963"/>
        <v>1.9677172191890809E-2</v>
      </c>
      <c r="AY2111" s="30">
        <f t="shared" si="964"/>
        <v>2.0664945718950875E-2</v>
      </c>
      <c r="AZ2111" s="30">
        <f t="shared" si="965"/>
        <v>3.0176894442116509E-2</v>
      </c>
      <c r="BA2111" s="30">
        <f t="shared" si="966"/>
        <v>1.9384344640789263E-2</v>
      </c>
      <c r="BB2111" s="30">
        <f t="shared" si="967"/>
        <v>1.6765040513421627E-2</v>
      </c>
      <c r="BC2111" s="30">
        <f t="shared" si="968"/>
        <v>1.9483584734347758E-2</v>
      </c>
      <c r="BD2111" s="30">
        <f t="shared" si="969"/>
        <v>1.433379151901149E-2</v>
      </c>
      <c r="BE2111" s="30">
        <f t="shared" si="970"/>
        <v>1.4136774635102593E-2</v>
      </c>
      <c r="BF2111" s="30">
        <f t="shared" si="971"/>
        <v>2.3714213624671927E-2</v>
      </c>
      <c r="BG2111" s="30">
        <f t="shared" si="972"/>
        <v>1.6308436098510421E-2</v>
      </c>
      <c r="BH2111" s="30">
        <f t="shared" si="973"/>
        <v>1.9807365518469518E-2</v>
      </c>
      <c r="BI2111" s="30">
        <f t="shared" si="974"/>
        <v>1.5701365851413355E-2</v>
      </c>
      <c r="BJ2111" s="30">
        <f t="shared" si="975"/>
        <v>1.6868355439914561E-2</v>
      </c>
      <c r="BK2111" s="30">
        <f t="shared" si="976"/>
        <v>8.7823334297443649E-3</v>
      </c>
      <c r="BL2111" s="30">
        <f t="shared" si="977"/>
        <v>2.0232624797549118E-2</v>
      </c>
      <c r="BM2111" s="30">
        <f t="shared" si="978"/>
        <v>2.0241659161545376E-2</v>
      </c>
      <c r="BN2111" s="30">
        <f t="shared" si="979"/>
        <v>1.4819615478488276E-2</v>
      </c>
      <c r="BO2111" s="30">
        <f t="shared" si="980"/>
        <v>1.9701222783584695E-2</v>
      </c>
      <c r="BP2111" s="30">
        <f t="shared" si="981"/>
        <v>1.4631134235672888E-2</v>
      </c>
      <c r="BQ2111" s="30">
        <f t="shared" si="982"/>
        <v>2.4126583548574953E-2</v>
      </c>
      <c r="BR2111" s="30">
        <f t="shared" si="983"/>
        <v>1.3135311247463996E-2</v>
      </c>
      <c r="BS2111" s="30">
        <f t="shared" si="984"/>
        <v>1.3023502624228588E-2</v>
      </c>
      <c r="BT2111" s="30">
        <f t="shared" si="985"/>
        <v>1.3806926086535094E-2</v>
      </c>
      <c r="BU2111" s="30">
        <f t="shared" si="986"/>
        <v>1.7240776733683537E-2</v>
      </c>
      <c r="BV2111" s="30">
        <f t="shared" si="987"/>
        <v>2.4581938585444801E-2</v>
      </c>
      <c r="BW2111" s="30">
        <f t="shared" si="988"/>
        <v>1.5231155359223311E-2</v>
      </c>
      <c r="BX2111" s="30">
        <f t="shared" si="989"/>
        <v>1.0973993135763608E-2</v>
      </c>
      <c r="BY2111" s="30">
        <f t="shared" si="990"/>
        <v>1.4062629113559631E-2</v>
      </c>
      <c r="BZ2111" s="30">
        <f t="shared" si="991"/>
        <v>1.4710374882523435E-2</v>
      </c>
      <c r="CA2111" s="30">
        <f>CA2118/CA2122</f>
        <v>1.6655658645087706E-2</v>
      </c>
      <c r="CB2111" s="160">
        <f>CB2118/CB2122</f>
        <v>1.6655658645087706E-2</v>
      </c>
    </row>
    <row r="2112" spans="1:80" x14ac:dyDescent="0.25">
      <c r="A2112" s="212" t="s">
        <v>20</v>
      </c>
      <c r="B2112" s="22">
        <v>0.21707883198132671</v>
      </c>
      <c r="C2112" s="22">
        <f t="shared" si="916"/>
        <v>0.19019593829697565</v>
      </c>
      <c r="D2112" s="22">
        <f t="shared" si="917"/>
        <v>0.1606361277057394</v>
      </c>
      <c r="E2112" s="22">
        <f t="shared" si="918"/>
        <v>0.13597468844265626</v>
      </c>
      <c r="F2112" s="22">
        <f t="shared" si="919"/>
        <v>0.13812217887806844</v>
      </c>
      <c r="G2112" s="30">
        <f t="shared" si="920"/>
        <v>0.13728326580750638</v>
      </c>
      <c r="H2112" s="30">
        <f t="shared" si="992"/>
        <v>0.14847744440999106</v>
      </c>
      <c r="I2112" s="30">
        <f t="shared" si="922"/>
        <v>0.14305165164544345</v>
      </c>
      <c r="J2112" s="30">
        <f t="shared" si="923"/>
        <v>0.14575736556283556</v>
      </c>
      <c r="K2112" s="30">
        <f t="shared" si="924"/>
        <v>0.16888580609842027</v>
      </c>
      <c r="L2112" s="30">
        <f t="shared" si="925"/>
        <v>0.14598765524788757</v>
      </c>
      <c r="M2112" s="30">
        <f t="shared" si="926"/>
        <v>0.14777804403884393</v>
      </c>
      <c r="N2112" s="30">
        <f t="shared" si="927"/>
        <v>0.13888237717702095</v>
      </c>
      <c r="O2112" s="30">
        <f t="shared" si="928"/>
        <v>0.14270973756700611</v>
      </c>
      <c r="P2112" s="30">
        <f t="shared" si="929"/>
        <v>0.13303562258248922</v>
      </c>
      <c r="Q2112" s="30">
        <f t="shared" si="930"/>
        <v>0.13533907046169233</v>
      </c>
      <c r="R2112" s="30">
        <f t="shared" si="931"/>
        <v>0.1423924656825771</v>
      </c>
      <c r="S2112" s="30">
        <f t="shared" si="932"/>
        <v>0.10671437824853346</v>
      </c>
      <c r="T2112" s="30">
        <f t="shared" si="933"/>
        <v>0.13453239051112245</v>
      </c>
      <c r="U2112" s="30">
        <f t="shared" si="934"/>
        <v>0.12037111379146434</v>
      </c>
      <c r="V2112" s="30">
        <f t="shared" si="935"/>
        <v>0.10221899937002397</v>
      </c>
      <c r="W2112" s="30">
        <f t="shared" si="936"/>
        <v>0.12410611975120506</v>
      </c>
      <c r="X2112" s="30">
        <f t="shared" si="937"/>
        <v>0.10182711632820879</v>
      </c>
      <c r="Y2112" s="30">
        <f t="shared" si="938"/>
        <v>9.3292819207557665E-2</v>
      </c>
      <c r="Z2112" s="30">
        <f t="shared" si="939"/>
        <v>0.16685613086083323</v>
      </c>
      <c r="AA2112" s="30">
        <f t="shared" si="940"/>
        <v>9.4598667568487574E-2</v>
      </c>
      <c r="AB2112" s="30">
        <f t="shared" si="941"/>
        <v>7.7924717554763281E-2</v>
      </c>
      <c r="AC2112" s="30">
        <f t="shared" si="942"/>
        <v>0.10630984777677456</v>
      </c>
      <c r="AD2112" s="30">
        <f t="shared" si="943"/>
        <v>9.7570055726191138E-2</v>
      </c>
      <c r="AE2112" s="30">
        <f t="shared" si="944"/>
        <v>0.10795706687815751</v>
      </c>
      <c r="AF2112" s="30">
        <f t="shared" si="945"/>
        <v>0.10715920893731402</v>
      </c>
      <c r="AG2112" s="30">
        <f t="shared" si="946"/>
        <v>0.11403021327452571</v>
      </c>
      <c r="AH2112" s="30">
        <f t="shared" si="947"/>
        <v>8.5799430567492854E-2</v>
      </c>
      <c r="AI2112" s="30">
        <f t="shared" si="948"/>
        <v>0.10633293521159549</v>
      </c>
      <c r="AJ2112" s="30">
        <f t="shared" si="949"/>
        <v>9.357596888785509E-2</v>
      </c>
      <c r="AK2112" s="30">
        <f t="shared" si="950"/>
        <v>8.8938759015630989E-2</v>
      </c>
      <c r="AL2112" s="30">
        <f t="shared" si="951"/>
        <v>0.11896675249387072</v>
      </c>
      <c r="AM2112" s="30">
        <f t="shared" si="952"/>
        <v>0.10097214358635949</v>
      </c>
      <c r="AN2112" s="30">
        <f t="shared" si="953"/>
        <v>9.4364908011030826E-2</v>
      </c>
      <c r="AO2112" s="30">
        <f t="shared" si="954"/>
        <v>0.10029322754237871</v>
      </c>
      <c r="AP2112" s="30">
        <f t="shared" si="955"/>
        <v>9.6847120917389409E-2</v>
      </c>
      <c r="AQ2112" s="30">
        <f t="shared" si="956"/>
        <v>8.8217115277086561E-2</v>
      </c>
      <c r="AR2112" s="30">
        <f t="shared" si="957"/>
        <v>9.400972175562268E-2</v>
      </c>
      <c r="AS2112" s="30">
        <f t="shared" si="958"/>
        <v>9.4238766294818491E-2</v>
      </c>
      <c r="AT2112" s="30">
        <f t="shared" si="959"/>
        <v>9.2632327148117158E-2</v>
      </c>
      <c r="AU2112" s="30">
        <f t="shared" si="960"/>
        <v>0.10448628146452742</v>
      </c>
      <c r="AV2112" s="30">
        <f t="shared" si="961"/>
        <v>0.1226635985180823</v>
      </c>
      <c r="AW2112" s="30">
        <f t="shared" si="962"/>
        <v>9.7607502127065288E-2</v>
      </c>
      <c r="AX2112" s="30">
        <f t="shared" si="963"/>
        <v>9.3732754075831093E-2</v>
      </c>
      <c r="AY2112" s="30">
        <f t="shared" si="964"/>
        <v>0.1180246306857238</v>
      </c>
      <c r="AZ2112" s="30">
        <f t="shared" si="965"/>
        <v>0.15975584426545777</v>
      </c>
      <c r="BA2112" s="30">
        <f t="shared" si="966"/>
        <v>0.13245088336150887</v>
      </c>
      <c r="BB2112" s="30">
        <f t="shared" si="967"/>
        <v>0.14366152613571143</v>
      </c>
      <c r="BC2112" s="30">
        <f t="shared" si="968"/>
        <v>0.10268994296867881</v>
      </c>
      <c r="BD2112" s="30">
        <f t="shared" si="969"/>
        <v>0.13136115124772071</v>
      </c>
      <c r="BE2112" s="30">
        <f t="shared" si="970"/>
        <v>0.13593646894802908</v>
      </c>
      <c r="BF2112" s="30">
        <f t="shared" si="971"/>
        <v>9.3089767496252043E-2</v>
      </c>
      <c r="BG2112" s="30">
        <f t="shared" si="972"/>
        <v>0.11956758411355027</v>
      </c>
      <c r="BH2112" s="30">
        <f t="shared" si="973"/>
        <v>0.13167005275293137</v>
      </c>
      <c r="BI2112" s="30">
        <f t="shared" si="974"/>
        <v>0.122475518394474</v>
      </c>
      <c r="BJ2112" s="30">
        <f t="shared" si="975"/>
        <v>0.1334855856677542</v>
      </c>
      <c r="BK2112" s="30">
        <f t="shared" si="976"/>
        <v>0.14421899634775331</v>
      </c>
      <c r="BL2112" s="30">
        <f t="shared" si="977"/>
        <v>0.13562989646335988</v>
      </c>
      <c r="BM2112" s="30">
        <f t="shared" si="978"/>
        <v>0.14842382320616185</v>
      </c>
      <c r="BN2112" s="30">
        <f t="shared" si="979"/>
        <v>0.11577880878718731</v>
      </c>
      <c r="BO2112" s="30">
        <f t="shared" si="980"/>
        <v>0.11175463985577648</v>
      </c>
      <c r="BP2112" s="30">
        <f t="shared" si="981"/>
        <v>0.11150223418866873</v>
      </c>
      <c r="BQ2112" s="30">
        <f t="shared" si="982"/>
        <v>8.1853571661654051E-2</v>
      </c>
      <c r="BR2112" s="30">
        <f t="shared" si="983"/>
        <v>0.13589474960038431</v>
      </c>
      <c r="BS2112" s="30">
        <f t="shared" si="984"/>
        <v>0.11751006289857753</v>
      </c>
      <c r="BT2112" s="30">
        <f t="shared" si="985"/>
        <v>0.11272802987902415</v>
      </c>
      <c r="BU2112" s="30">
        <f t="shared" si="986"/>
        <v>9.1865254427255766E-2</v>
      </c>
      <c r="BV2112" s="30">
        <f t="shared" si="987"/>
        <v>0.10318350618157215</v>
      </c>
      <c r="BW2112" s="30">
        <f t="shared" si="988"/>
        <v>0.10511282402185358</v>
      </c>
      <c r="BX2112" s="30">
        <f t="shared" si="989"/>
        <v>0.10775206585238088</v>
      </c>
      <c r="BY2112" s="30">
        <f t="shared" si="990"/>
        <v>7.0310701600459324E-2</v>
      </c>
      <c r="BZ2112" s="30">
        <f t="shared" si="991"/>
        <v>0.17646754768036665</v>
      </c>
      <c r="CA2112" s="30">
        <f>CA2119/CA2122</f>
        <v>0.1198530266251599</v>
      </c>
      <c r="CB2112" s="160">
        <f>CB2119/CB2122</f>
        <v>0.11985302662515988</v>
      </c>
    </row>
    <row r="2113" spans="1:83" x14ac:dyDescent="0.25">
      <c r="A2113" s="212" t="s">
        <v>21</v>
      </c>
      <c r="B2113" s="22">
        <v>0.15838988576785523</v>
      </c>
      <c r="C2113" s="22">
        <f t="shared" si="916"/>
        <v>0.14324808578870576</v>
      </c>
      <c r="D2113" s="22">
        <f t="shared" si="917"/>
        <v>0.13074122102797059</v>
      </c>
      <c r="E2113" s="22">
        <f t="shared" si="918"/>
        <v>0.11289881183061057</v>
      </c>
      <c r="F2113" s="22">
        <f t="shared" si="919"/>
        <v>0.1191098232195968</v>
      </c>
      <c r="G2113" s="30">
        <f t="shared" si="920"/>
        <v>9.367545756302352E-2</v>
      </c>
      <c r="H2113" s="30">
        <f t="shared" si="992"/>
        <v>9.3410916670226149E-2</v>
      </c>
      <c r="I2113" s="30">
        <f t="shared" si="922"/>
        <v>9.68615561806727E-2</v>
      </c>
      <c r="J2113" s="30">
        <f t="shared" si="923"/>
        <v>7.6787336845714579E-2</v>
      </c>
      <c r="K2113" s="30">
        <f t="shared" si="924"/>
        <v>5.1612795445259749E-2</v>
      </c>
      <c r="L2113" s="30">
        <f t="shared" si="925"/>
        <v>7.1913833593254997E-2</v>
      </c>
      <c r="M2113" s="30">
        <f t="shared" si="926"/>
        <v>0.10463771717147372</v>
      </c>
      <c r="N2113" s="30">
        <f t="shared" si="927"/>
        <v>8.4313616747554845E-2</v>
      </c>
      <c r="O2113" s="30">
        <f t="shared" si="928"/>
        <v>6.1183189531696769E-2</v>
      </c>
      <c r="P2113" s="30">
        <f t="shared" si="929"/>
        <v>7.1472480562482843E-2</v>
      </c>
      <c r="Q2113" s="30">
        <f t="shared" si="930"/>
        <v>7.0840991171921316E-2</v>
      </c>
      <c r="R2113" s="30">
        <f t="shared" si="931"/>
        <v>6.5099029392941918E-2</v>
      </c>
      <c r="S2113" s="30">
        <f t="shared" si="932"/>
        <v>3.9712812586316565E-2</v>
      </c>
      <c r="T2113" s="30">
        <f t="shared" si="933"/>
        <v>7.2898113343382892E-2</v>
      </c>
      <c r="U2113" s="30">
        <f t="shared" si="934"/>
        <v>5.2125301607798352E-2</v>
      </c>
      <c r="V2113" s="30">
        <f t="shared" si="935"/>
        <v>5.8123706251402792E-2</v>
      </c>
      <c r="W2113" s="30">
        <f t="shared" si="936"/>
        <v>4.7069527867099538E-2</v>
      </c>
      <c r="X2113" s="30">
        <f t="shared" si="937"/>
        <v>5.2654251114948217E-2</v>
      </c>
      <c r="Y2113" s="30">
        <f t="shared" si="938"/>
        <v>4.5469466034532585E-2</v>
      </c>
      <c r="Z2113" s="30">
        <f t="shared" si="939"/>
        <v>4.975864446673077E-2</v>
      </c>
      <c r="AA2113" s="30">
        <f t="shared" si="940"/>
        <v>4.7468865973960196E-2</v>
      </c>
      <c r="AB2113" s="30">
        <f t="shared" si="941"/>
        <v>3.8501207547985236E-2</v>
      </c>
      <c r="AC2113" s="30">
        <f t="shared" si="942"/>
        <v>6.0465476192405984E-2</v>
      </c>
      <c r="AD2113" s="30">
        <f t="shared" si="943"/>
        <v>3.5823476801141903E-2</v>
      </c>
      <c r="AE2113" s="30">
        <f t="shared" si="944"/>
        <v>3.2308078044876627E-2</v>
      </c>
      <c r="AF2113" s="30">
        <f t="shared" si="945"/>
        <v>2.7711686268464604E-2</v>
      </c>
      <c r="AG2113" s="30">
        <f t="shared" si="946"/>
        <v>3.8247464374118377E-2</v>
      </c>
      <c r="AH2113" s="30">
        <f t="shared" si="947"/>
        <v>3.3861358206564093E-2</v>
      </c>
      <c r="AI2113" s="30">
        <f t="shared" si="948"/>
        <v>3.6012684309377228E-2</v>
      </c>
      <c r="AJ2113" s="30">
        <f t="shared" si="949"/>
        <v>3.2558068056488719E-2</v>
      </c>
      <c r="AK2113" s="30">
        <f t="shared" si="950"/>
        <v>4.1973362954365961E-2</v>
      </c>
      <c r="AL2113" s="30">
        <f t="shared" si="951"/>
        <v>3.7029790957624868E-2</v>
      </c>
      <c r="AM2113" s="30">
        <f t="shared" si="952"/>
        <v>4.3885020311718717E-2</v>
      </c>
      <c r="AN2113" s="30">
        <f t="shared" si="953"/>
        <v>3.3016205981651212E-2</v>
      </c>
      <c r="AO2113" s="30">
        <f t="shared" si="954"/>
        <v>2.3374319695065194E-2</v>
      </c>
      <c r="AP2113" s="30">
        <f t="shared" si="955"/>
        <v>1.9699453736532389E-2</v>
      </c>
      <c r="AQ2113" s="30">
        <f t="shared" si="956"/>
        <v>1.6253564286392196E-2</v>
      </c>
      <c r="AR2113" s="30">
        <f t="shared" si="957"/>
        <v>3.5057772881843363E-2</v>
      </c>
      <c r="AS2113" s="30">
        <f t="shared" si="958"/>
        <v>2.3208905052237154E-2</v>
      </c>
      <c r="AT2113" s="30">
        <f t="shared" si="959"/>
        <v>1.0393083220815585E-2</v>
      </c>
      <c r="AU2113" s="30">
        <f t="shared" si="960"/>
        <v>1.6550223732847195E-2</v>
      </c>
      <c r="AV2113" s="30">
        <f t="shared" si="961"/>
        <v>1.6063473729091789E-2</v>
      </c>
      <c r="AW2113" s="30">
        <f t="shared" si="962"/>
        <v>1.6918900692918338E-2</v>
      </c>
      <c r="AX2113" s="30">
        <f t="shared" si="963"/>
        <v>1.9089551931045431E-2</v>
      </c>
      <c r="AY2113" s="30">
        <f t="shared" si="964"/>
        <v>1.9993318027486332E-2</v>
      </c>
      <c r="AZ2113" s="30">
        <f t="shared" si="965"/>
        <v>2.0338519181820534E-2</v>
      </c>
      <c r="BA2113" s="30">
        <f t="shared" si="966"/>
        <v>2.1358582358866653E-2</v>
      </c>
      <c r="BB2113" s="30">
        <f t="shared" si="967"/>
        <v>1.813707595118123E-2</v>
      </c>
      <c r="BC2113" s="30">
        <f t="shared" si="968"/>
        <v>2.8794302535807666E-2</v>
      </c>
      <c r="BD2113" s="30">
        <f t="shared" si="969"/>
        <v>2.3348290610969543E-2</v>
      </c>
      <c r="BE2113" s="30">
        <f t="shared" si="970"/>
        <v>2.8692467080369783E-2</v>
      </c>
      <c r="BF2113" s="30">
        <f t="shared" si="971"/>
        <v>3.2515389244964915E-2</v>
      </c>
      <c r="BG2113" s="30">
        <f t="shared" si="972"/>
        <v>1.8046211259599869E-2</v>
      </c>
      <c r="BH2113" s="30">
        <f t="shared" si="973"/>
        <v>1.8879370418960293E-2</v>
      </c>
      <c r="BI2113" s="30">
        <f t="shared" si="974"/>
        <v>3.2089057987671837E-2</v>
      </c>
      <c r="BJ2113" s="30">
        <f t="shared" si="975"/>
        <v>4.748787537567517E-2</v>
      </c>
      <c r="BK2113" s="30">
        <f t="shared" si="976"/>
        <v>1.7238224199681091E-2</v>
      </c>
      <c r="BL2113" s="30">
        <f t="shared" si="977"/>
        <v>1.55383940619594E-2</v>
      </c>
      <c r="BM2113" s="30">
        <f t="shared" si="978"/>
        <v>3.8164211710230468E-2</v>
      </c>
      <c r="BN2113" s="30">
        <f t="shared" si="979"/>
        <v>5.6611325546499787E-2</v>
      </c>
      <c r="BO2113" s="30">
        <f t="shared" si="980"/>
        <v>2.9299485047361865E-2</v>
      </c>
      <c r="BP2113" s="30">
        <f t="shared" si="981"/>
        <v>5.4772365210376858E-2</v>
      </c>
      <c r="BQ2113" s="30">
        <f t="shared" si="982"/>
        <v>4.7292948759355427E-2</v>
      </c>
      <c r="BR2113" s="30">
        <f t="shared" si="983"/>
        <v>6.4342348436662686E-2</v>
      </c>
      <c r="BS2113" s="30">
        <f t="shared" si="984"/>
        <v>4.6011567187109047E-2</v>
      </c>
      <c r="BT2113" s="30">
        <f t="shared" si="985"/>
        <v>5.5212598103488643E-2</v>
      </c>
      <c r="BU2113" s="30">
        <f t="shared" si="986"/>
        <v>4.6075413120399297E-2</v>
      </c>
      <c r="BV2113" s="30">
        <f t="shared" si="987"/>
        <v>2.4747055789273942E-2</v>
      </c>
      <c r="BW2113" s="30">
        <f t="shared" si="988"/>
        <v>5.7246907284318707E-2</v>
      </c>
      <c r="BX2113" s="30">
        <f t="shared" si="989"/>
        <v>5.7170112548124985E-2</v>
      </c>
      <c r="BY2113" s="30">
        <f t="shared" si="990"/>
        <v>4.5852474994632596E-2</v>
      </c>
      <c r="BZ2113" s="30">
        <f t="shared" si="991"/>
        <v>4.5878270984877088E-2</v>
      </c>
      <c r="CA2113" s="30">
        <f>CA2120/CA2122</f>
        <v>5.0286377133636879E-2</v>
      </c>
      <c r="CB2113" s="160">
        <f>CB2120/CB2122</f>
        <v>5.0286377133636879E-2</v>
      </c>
    </row>
    <row r="2114" spans="1:83" x14ac:dyDescent="0.25">
      <c r="A2114" s="212" t="s">
        <v>22</v>
      </c>
      <c r="B2114" s="22">
        <v>3.5465019535432359E-2</v>
      </c>
      <c r="C2114" s="22">
        <f t="shared" si="916"/>
        <v>7.4748080828419272E-3</v>
      </c>
      <c r="D2114" s="22">
        <f t="shared" si="917"/>
        <v>8.3853571907993498E-3</v>
      </c>
      <c r="E2114" s="22">
        <f t="shared" si="918"/>
        <v>2.3099237833441428E-3</v>
      </c>
      <c r="F2114" s="22">
        <f t="shared" si="919"/>
        <v>1.7746886474041175E-3</v>
      </c>
      <c r="G2114" s="30">
        <f t="shared" si="920"/>
        <v>2.6060072396063396E-3</v>
      </c>
      <c r="H2114" s="30">
        <f t="shared" si="992"/>
        <v>7.2516493404924005E-3</v>
      </c>
      <c r="I2114" s="30">
        <f t="shared" si="922"/>
        <v>0</v>
      </c>
      <c r="J2114" s="30">
        <f t="shared" si="923"/>
        <v>0</v>
      </c>
      <c r="K2114" s="30">
        <f t="shared" si="924"/>
        <v>0</v>
      </c>
      <c r="L2114" s="30">
        <f t="shared" si="925"/>
        <v>8.2369167110500404E-3</v>
      </c>
      <c r="M2114" s="30">
        <f t="shared" si="926"/>
        <v>5.4012321051544118E-3</v>
      </c>
      <c r="N2114" s="30">
        <f t="shared" si="927"/>
        <v>1.5729557233178697E-2</v>
      </c>
      <c r="O2114" s="30">
        <f t="shared" si="928"/>
        <v>3.6075079745782595E-3</v>
      </c>
      <c r="P2114" s="30">
        <f t="shared" si="929"/>
        <v>3.5652781134783724E-3</v>
      </c>
      <c r="Q2114" s="30">
        <f t="shared" si="930"/>
        <v>7.988752546166487E-3</v>
      </c>
      <c r="R2114" s="30">
        <f t="shared" si="931"/>
        <v>7.5848489758893103E-3</v>
      </c>
      <c r="S2114" s="30">
        <f t="shared" si="932"/>
        <v>3.2515728666833491E-3</v>
      </c>
      <c r="T2114" s="30">
        <f t="shared" si="933"/>
        <v>0</v>
      </c>
      <c r="U2114" s="30">
        <f t="shared" si="934"/>
        <v>0</v>
      </c>
      <c r="V2114" s="30">
        <f t="shared" si="935"/>
        <v>9.570804419536215E-4</v>
      </c>
      <c r="W2114" s="30">
        <f t="shared" si="936"/>
        <v>2.2153904517701875E-3</v>
      </c>
      <c r="X2114" s="30">
        <f t="shared" si="937"/>
        <v>2.0539003893250856E-3</v>
      </c>
      <c r="Y2114" s="30">
        <f t="shared" si="938"/>
        <v>1.7258064115077652E-3</v>
      </c>
      <c r="Z2114" s="30">
        <f t="shared" si="939"/>
        <v>7.5270988500337837E-4</v>
      </c>
      <c r="AA2114" s="30">
        <f t="shared" si="940"/>
        <v>3.6332083374865294E-3</v>
      </c>
      <c r="AB2114" s="30">
        <f t="shared" si="941"/>
        <v>0</v>
      </c>
      <c r="AC2114" s="30">
        <f t="shared" si="942"/>
        <v>0</v>
      </c>
      <c r="AD2114" s="30">
        <f t="shared" si="943"/>
        <v>2.296571611047946E-3</v>
      </c>
      <c r="AE2114" s="30">
        <f t="shared" si="944"/>
        <v>0</v>
      </c>
      <c r="AF2114" s="30">
        <f t="shared" si="945"/>
        <v>8.5911699145959784E-4</v>
      </c>
      <c r="AG2114" s="30">
        <f t="shared" si="946"/>
        <v>1.7977395919157773E-3</v>
      </c>
      <c r="AH2114" s="30">
        <f t="shared" si="947"/>
        <v>0</v>
      </c>
      <c r="AI2114" s="30">
        <f t="shared" si="948"/>
        <v>1.7985538537243862E-3</v>
      </c>
      <c r="AJ2114" s="30">
        <f t="shared" si="949"/>
        <v>3.0336206423942015E-3</v>
      </c>
      <c r="AK2114" s="30">
        <f t="shared" si="950"/>
        <v>0</v>
      </c>
      <c r="AL2114" s="30">
        <f t="shared" si="951"/>
        <v>2.9106880660912052E-3</v>
      </c>
      <c r="AM2114" s="30">
        <f t="shared" si="952"/>
        <v>8.4755412978524205E-4</v>
      </c>
      <c r="AN2114" s="30">
        <f t="shared" si="953"/>
        <v>1.5245907344058106E-3</v>
      </c>
      <c r="AO2114" s="30">
        <f t="shared" si="954"/>
        <v>4.0007319454256245E-3</v>
      </c>
      <c r="AP2114" s="30">
        <f t="shared" si="955"/>
        <v>1.5217017688783443E-3</v>
      </c>
      <c r="AQ2114" s="30">
        <f t="shared" si="956"/>
        <v>2.2754420236265941E-3</v>
      </c>
      <c r="AR2114" s="30">
        <f t="shared" si="957"/>
        <v>1.6875346780889375E-3</v>
      </c>
      <c r="AS2114" s="30">
        <f t="shared" si="958"/>
        <v>3.2133014959415031E-3</v>
      </c>
      <c r="AT2114" s="30">
        <f t="shared" si="959"/>
        <v>0</v>
      </c>
      <c r="AU2114" s="30">
        <f t="shared" si="960"/>
        <v>0</v>
      </c>
      <c r="AV2114" s="30">
        <f t="shared" si="961"/>
        <v>0</v>
      </c>
      <c r="AW2114" s="30">
        <f t="shared" si="962"/>
        <v>9.3783846533389433E-4</v>
      </c>
      <c r="AX2114" s="30">
        <f t="shared" si="963"/>
        <v>0</v>
      </c>
      <c r="AY2114" s="30">
        <f t="shared" si="964"/>
        <v>2.0884122963026287E-3</v>
      </c>
      <c r="AZ2114" s="30">
        <f t="shared" si="965"/>
        <v>1.735290730849952E-3</v>
      </c>
      <c r="BA2114" s="30">
        <f t="shared" si="966"/>
        <v>2.0885502226935079E-3</v>
      </c>
      <c r="BB2114" s="30">
        <f t="shared" si="967"/>
        <v>0</v>
      </c>
      <c r="BC2114" s="30">
        <f t="shared" si="968"/>
        <v>4.4145841991903136E-3</v>
      </c>
      <c r="BD2114" s="30">
        <f t="shared" si="969"/>
        <v>2.0678987771729058E-3</v>
      </c>
      <c r="BE2114" s="30">
        <f t="shared" si="970"/>
        <v>0</v>
      </c>
      <c r="BF2114" s="30">
        <f t="shared" si="971"/>
        <v>2.0125874660984156E-3</v>
      </c>
      <c r="BG2114" s="30">
        <f t="shared" si="972"/>
        <v>3.5165543780609691E-3</v>
      </c>
      <c r="BH2114" s="30">
        <f t="shared" si="973"/>
        <v>0</v>
      </c>
      <c r="BI2114" s="30">
        <f t="shared" si="974"/>
        <v>4.0447148396720832E-3</v>
      </c>
      <c r="BJ2114" s="30">
        <f t="shared" si="975"/>
        <v>3.4030916715794683E-3</v>
      </c>
      <c r="BK2114" s="30">
        <f t="shared" si="976"/>
        <v>0</v>
      </c>
      <c r="BL2114" s="30">
        <f t="shared" si="977"/>
        <v>1.4745836708162379E-3</v>
      </c>
      <c r="BM2114" s="30">
        <f t="shared" si="978"/>
        <v>1.9826598969985912E-3</v>
      </c>
      <c r="BN2114" s="30">
        <f t="shared" si="979"/>
        <v>1.3914976268960186E-3</v>
      </c>
      <c r="BO2114" s="30">
        <f t="shared" si="980"/>
        <v>9.565916682191828E-4</v>
      </c>
      <c r="BP2114" s="30">
        <f t="shared" si="981"/>
        <v>1.0850965321839738E-2</v>
      </c>
      <c r="BQ2114" s="30">
        <f t="shared" si="982"/>
        <v>1.0824754707156308E-3</v>
      </c>
      <c r="BR2114" s="30">
        <f t="shared" si="983"/>
        <v>4.089380528236603E-3</v>
      </c>
      <c r="BS2114" s="30">
        <f t="shared" si="984"/>
        <v>0</v>
      </c>
      <c r="BT2114" s="30">
        <f t="shared" si="985"/>
        <v>1.9461232412038348E-3</v>
      </c>
      <c r="BU2114" s="30">
        <f t="shared" si="986"/>
        <v>0</v>
      </c>
      <c r="BV2114" s="30">
        <f t="shared" si="987"/>
        <v>0</v>
      </c>
      <c r="BW2114" s="30">
        <f t="shared" si="988"/>
        <v>2.1583331668836143E-3</v>
      </c>
      <c r="BX2114" s="30">
        <f t="shared" si="989"/>
        <v>2.9843225923760533E-3</v>
      </c>
      <c r="BY2114" s="30">
        <f t="shared" si="990"/>
        <v>0</v>
      </c>
      <c r="BZ2114" s="30">
        <f t="shared" si="991"/>
        <v>2.5277799510956514E-3</v>
      </c>
      <c r="CA2114" s="30">
        <f>CA2121/CA2122</f>
        <v>2.6000744693513889E-3</v>
      </c>
      <c r="CB2114" s="160">
        <f>CB2121/CB2122</f>
        <v>2.6000744693513889E-3</v>
      </c>
    </row>
    <row r="2115" spans="1:83" x14ac:dyDescent="0.25">
      <c r="A2115" s="215" t="s">
        <v>23</v>
      </c>
      <c r="B2115" s="66">
        <v>31467.219917012448</v>
      </c>
      <c r="C2115" s="66">
        <f t="shared" si="916"/>
        <v>33403.289473684214</v>
      </c>
      <c r="D2115" s="66">
        <f t="shared" si="917"/>
        <v>34334.38511326861</v>
      </c>
      <c r="E2115" s="66">
        <f t="shared" si="918"/>
        <v>35687.929915639193</v>
      </c>
      <c r="F2115" s="66">
        <f t="shared" si="919"/>
        <v>29884.708893154191</v>
      </c>
      <c r="G2115" s="66">
        <f t="shared" si="920"/>
        <v>35625.97819114817</v>
      </c>
      <c r="H2115" s="66">
        <f t="shared" si="992"/>
        <v>36225.201465201462</v>
      </c>
      <c r="I2115" s="66">
        <f t="shared" si="922"/>
        <v>34341.172413793101</v>
      </c>
      <c r="J2115" s="66">
        <f t="shared" si="923"/>
        <v>33041.574415744159</v>
      </c>
      <c r="K2115" s="66">
        <f t="shared" si="924"/>
        <v>35866.838046272496</v>
      </c>
      <c r="L2115" s="66">
        <f t="shared" si="925"/>
        <v>37932.852729145212</v>
      </c>
      <c r="M2115" s="66">
        <f t="shared" si="926"/>
        <v>36459.227985524725</v>
      </c>
      <c r="N2115" s="66">
        <f t="shared" si="927"/>
        <v>36551.612903225803</v>
      </c>
      <c r="O2115" s="66">
        <f t="shared" si="928"/>
        <v>38320.226537216826</v>
      </c>
      <c r="P2115" s="66">
        <f t="shared" si="929"/>
        <v>37075.668896321069</v>
      </c>
      <c r="Q2115" s="66">
        <f t="shared" si="930"/>
        <v>36148.148148148146</v>
      </c>
      <c r="R2115" s="66">
        <f t="shared" si="931"/>
        <v>37064.912280701756</v>
      </c>
      <c r="S2115" s="66">
        <f t="shared" si="932"/>
        <v>37120.079681274903</v>
      </c>
      <c r="T2115" s="66">
        <f t="shared" si="933"/>
        <v>37177.227722772281</v>
      </c>
      <c r="U2115" s="66">
        <f t="shared" si="934"/>
        <v>37601.110162254481</v>
      </c>
      <c r="V2115" s="66">
        <f t="shared" si="935"/>
        <v>37438.589540412046</v>
      </c>
      <c r="W2115" s="66">
        <f t="shared" si="936"/>
        <v>37229.893529893532</v>
      </c>
      <c r="X2115" s="66">
        <f t="shared" si="937"/>
        <v>38700.978647686832</v>
      </c>
      <c r="Y2115" s="66">
        <f t="shared" si="938"/>
        <v>37867.571533382252</v>
      </c>
      <c r="Z2115" s="66">
        <f t="shared" si="939"/>
        <v>37802.905811623248</v>
      </c>
      <c r="AA2115" s="66">
        <f t="shared" si="940"/>
        <v>38679.354290569245</v>
      </c>
      <c r="AB2115" s="66">
        <f t="shared" si="941"/>
        <v>38557.038391224865</v>
      </c>
      <c r="AC2115" s="66">
        <f t="shared" si="942"/>
        <v>37071.458551941236</v>
      </c>
      <c r="AD2115" s="66">
        <f t="shared" si="943"/>
        <v>38772.68128161889</v>
      </c>
      <c r="AE2115" s="66">
        <f t="shared" si="944"/>
        <v>37995.623836126637</v>
      </c>
      <c r="AF2115" s="66">
        <f t="shared" si="945"/>
        <v>38007.77327935223</v>
      </c>
      <c r="AG2115" s="66">
        <f t="shared" si="946"/>
        <v>36413.430282292567</v>
      </c>
      <c r="AH2115" s="66">
        <f t="shared" si="947"/>
        <v>40834.07534246576</v>
      </c>
      <c r="AI2115" s="66">
        <f t="shared" si="948"/>
        <v>38306.830122591949</v>
      </c>
      <c r="AJ2115" s="66">
        <f t="shared" si="949"/>
        <v>38455.32821824382</v>
      </c>
      <c r="AK2115" s="66">
        <f t="shared" si="950"/>
        <v>38563.066538090643</v>
      </c>
      <c r="AL2115" s="66">
        <f t="shared" si="951"/>
        <v>37630.506721820064</v>
      </c>
      <c r="AM2115" s="66">
        <f t="shared" si="952"/>
        <v>38052.128666035947</v>
      </c>
      <c r="AN2115" s="66">
        <f t="shared" si="953"/>
        <v>38255.401662049866</v>
      </c>
      <c r="AO2115" s="66">
        <f t="shared" si="954"/>
        <v>40025.281473899689</v>
      </c>
      <c r="AP2115" s="66">
        <f t="shared" si="955"/>
        <v>39077.111984282914</v>
      </c>
      <c r="AQ2115" s="66">
        <f t="shared" si="956"/>
        <v>39326.073619631912</v>
      </c>
      <c r="AR2115" s="66">
        <f t="shared" si="957"/>
        <v>39128.751311647429</v>
      </c>
      <c r="AS2115" s="66">
        <f t="shared" si="958"/>
        <v>38985.056294779948</v>
      </c>
      <c r="AT2115" s="66">
        <f t="shared" si="959"/>
        <v>39864.743011722276</v>
      </c>
      <c r="AU2115" s="66">
        <f t="shared" si="960"/>
        <v>40055.762081784393</v>
      </c>
      <c r="AV2115" s="66">
        <f t="shared" si="961"/>
        <v>40302.075098814232</v>
      </c>
      <c r="AW2115" s="66">
        <f t="shared" si="962"/>
        <v>39048.880233690361</v>
      </c>
      <c r="AX2115" s="66">
        <f t="shared" si="963"/>
        <v>39001.381215469621</v>
      </c>
      <c r="AY2115" s="66">
        <f t="shared" si="964"/>
        <v>37509.790209790204</v>
      </c>
      <c r="AZ2115" s="66">
        <f t="shared" si="965"/>
        <v>37941.279799247182</v>
      </c>
      <c r="BA2115" s="66">
        <f t="shared" si="966"/>
        <v>38190.431266846354</v>
      </c>
      <c r="BB2115" s="66">
        <f t="shared" si="967"/>
        <v>37793.577981651375</v>
      </c>
      <c r="BC2115" s="66">
        <f t="shared" si="968"/>
        <v>40255.788313120174</v>
      </c>
      <c r="BD2115" s="66">
        <f t="shared" si="969"/>
        <v>38322.002328288705</v>
      </c>
      <c r="BE2115" s="66">
        <f t="shared" si="970"/>
        <v>38157.795698924732</v>
      </c>
      <c r="BF2115" s="66">
        <f t="shared" si="971"/>
        <v>39368.661971830996</v>
      </c>
      <c r="BG2115" s="66">
        <f t="shared" si="972"/>
        <v>38492.072480181188</v>
      </c>
      <c r="BH2115" s="66">
        <f t="shared" si="973"/>
        <v>37676.968973747018</v>
      </c>
      <c r="BI2115" s="66">
        <f t="shared" si="974"/>
        <v>38236.836283185839</v>
      </c>
      <c r="BJ2115" s="66">
        <f t="shared" si="975"/>
        <v>38797.563451776652</v>
      </c>
      <c r="BK2115" s="66">
        <f t="shared" si="976"/>
        <v>39403.462050599206</v>
      </c>
      <c r="BL2115" s="66">
        <f t="shared" si="977"/>
        <v>39550.391236306736</v>
      </c>
      <c r="BM2115" s="66">
        <f t="shared" si="978"/>
        <v>38499.212598425205</v>
      </c>
      <c r="BN2115" s="66">
        <f t="shared" si="979"/>
        <v>37606.631762652709</v>
      </c>
      <c r="BO2115" s="66">
        <f t="shared" si="980"/>
        <v>38806.876790830953</v>
      </c>
      <c r="BP2115" s="66">
        <f t="shared" si="981"/>
        <v>36999.472295514512</v>
      </c>
      <c r="BQ2115" s="66">
        <f t="shared" si="982"/>
        <v>39515.254237288129</v>
      </c>
      <c r="BR2115" s="66">
        <f t="shared" si="983"/>
        <v>37592.894736842107</v>
      </c>
      <c r="BS2115" s="66">
        <f t="shared" si="984"/>
        <v>38634.132581100144</v>
      </c>
      <c r="BT2115" s="66">
        <f t="shared" si="985"/>
        <v>36476.548089591568</v>
      </c>
      <c r="BU2115" s="66">
        <f t="shared" si="986"/>
        <v>37352.352941176468</v>
      </c>
      <c r="BV2115" s="66">
        <f t="shared" si="987"/>
        <v>38829.557291666672</v>
      </c>
      <c r="BW2115" s="66">
        <f t="shared" si="988"/>
        <v>37578.326474622772</v>
      </c>
      <c r="BX2115" s="66">
        <f t="shared" si="989"/>
        <v>36690.303907380621</v>
      </c>
      <c r="BY2115" s="66">
        <f t="shared" si="990"/>
        <v>38098.169934640529</v>
      </c>
      <c r="BZ2115" s="66">
        <f t="shared" si="991"/>
        <v>37362.400000000009</v>
      </c>
      <c r="CA2115" s="66">
        <f>CA2126/CA2109</f>
        <v>37505.798069124896</v>
      </c>
      <c r="CB2115" s="67">
        <f>CB2126/CB2109</f>
        <v>37505.798069124896</v>
      </c>
    </row>
    <row r="2116" spans="1:83" x14ac:dyDescent="0.25">
      <c r="A2116" s="215" t="s">
        <v>24</v>
      </c>
      <c r="B2116" s="66">
        <v>31598.333333333332</v>
      </c>
      <c r="C2116" s="66">
        <f t="shared" si="916"/>
        <v>31427.579092159565</v>
      </c>
      <c r="D2116" s="66">
        <f t="shared" si="917"/>
        <v>33050.856697819312</v>
      </c>
      <c r="E2116" s="66">
        <f t="shared" si="918"/>
        <v>32011.117578579742</v>
      </c>
      <c r="F2116" s="66">
        <f t="shared" si="919"/>
        <v>32258.149171270717</v>
      </c>
      <c r="G2116" s="66">
        <f t="shared" si="920"/>
        <v>33579.746070133013</v>
      </c>
      <c r="H2116" s="66">
        <f t="shared" si="992"/>
        <v>33163.916834339369</v>
      </c>
      <c r="I2116" s="66">
        <f t="shared" si="922"/>
        <v>31044.077306733168</v>
      </c>
      <c r="J2116" s="66">
        <f t="shared" si="923"/>
        <v>33021.266133988938</v>
      </c>
      <c r="K2116" s="66">
        <f t="shared" si="924"/>
        <v>31400.300075018753</v>
      </c>
      <c r="L2116" s="66">
        <f t="shared" si="925"/>
        <v>32480.423280423282</v>
      </c>
      <c r="M2116" s="66">
        <f t="shared" si="926"/>
        <v>30716.158536585364</v>
      </c>
      <c r="N2116" s="66">
        <f t="shared" si="927"/>
        <v>31100.64043915828</v>
      </c>
      <c r="O2116" s="66">
        <f t="shared" si="928"/>
        <v>31554.830113257827</v>
      </c>
      <c r="P2116" s="66">
        <f t="shared" si="929"/>
        <v>30001.69147496617</v>
      </c>
      <c r="Q2116" s="66">
        <f t="shared" si="930"/>
        <v>30127.33118971061</v>
      </c>
      <c r="R2116" s="66">
        <f t="shared" si="931"/>
        <v>32193.523809523809</v>
      </c>
      <c r="S2116" s="66">
        <f t="shared" si="932"/>
        <v>30488.023560209425</v>
      </c>
      <c r="T2116" s="66">
        <f t="shared" si="933"/>
        <v>31620.21052631579</v>
      </c>
      <c r="U2116" s="66">
        <f t="shared" si="934"/>
        <v>31183.356940509915</v>
      </c>
      <c r="V2116" s="66">
        <f t="shared" si="935"/>
        <v>31186.468646864687</v>
      </c>
      <c r="W2116" s="66">
        <f t="shared" si="936"/>
        <v>31722.051639916259</v>
      </c>
      <c r="X2116" s="66">
        <f t="shared" si="937"/>
        <v>31453.289949385395</v>
      </c>
      <c r="Y2116" s="66">
        <f t="shared" si="938"/>
        <v>31243.038740920103</v>
      </c>
      <c r="Z2116" s="66">
        <f t="shared" si="939"/>
        <v>30400.725221595487</v>
      </c>
      <c r="AA2116" s="66">
        <f t="shared" si="940"/>
        <v>29295.752895752896</v>
      </c>
      <c r="AB2116" s="66">
        <f t="shared" si="941"/>
        <v>29852.37084217976</v>
      </c>
      <c r="AC2116" s="66">
        <f t="shared" si="942"/>
        <v>28240.687450039968</v>
      </c>
      <c r="AD2116" s="66">
        <f t="shared" si="943"/>
        <v>29270.782940802041</v>
      </c>
      <c r="AE2116" s="66">
        <f t="shared" si="944"/>
        <v>29336.664270309135</v>
      </c>
      <c r="AF2116" s="66">
        <f t="shared" si="945"/>
        <v>29227.646326276463</v>
      </c>
      <c r="AG2116" s="66">
        <f t="shared" si="946"/>
        <v>28800.608930987826</v>
      </c>
      <c r="AH2116" s="66">
        <f t="shared" si="947"/>
        <v>29623.726708074541</v>
      </c>
      <c r="AI2116" s="66">
        <f t="shared" si="948"/>
        <v>29478.706199460921</v>
      </c>
      <c r="AJ2116" s="66">
        <f t="shared" si="949"/>
        <v>29083.236621534495</v>
      </c>
      <c r="AK2116" s="66">
        <f t="shared" si="950"/>
        <v>29600.222057735013</v>
      </c>
      <c r="AL2116" s="66">
        <f t="shared" si="951"/>
        <v>28879.920634920636</v>
      </c>
      <c r="AM2116" s="66">
        <f t="shared" si="952"/>
        <v>28936.043165467625</v>
      </c>
      <c r="AN2116" s="66">
        <f t="shared" si="953"/>
        <v>29033.356692361602</v>
      </c>
      <c r="AO2116" s="66">
        <f t="shared" si="954"/>
        <v>29490.723981900454</v>
      </c>
      <c r="AP2116" s="66">
        <f t="shared" si="955"/>
        <v>29753.552729992527</v>
      </c>
      <c r="AQ2116" s="66">
        <f t="shared" si="956"/>
        <v>29676.620370370376</v>
      </c>
      <c r="AR2116" s="66">
        <f t="shared" si="957"/>
        <v>29618.506751389992</v>
      </c>
      <c r="AS2116" s="66">
        <f t="shared" si="958"/>
        <v>30014.499605988975</v>
      </c>
      <c r="AT2116" s="66">
        <f t="shared" si="959"/>
        <v>29651.240778001345</v>
      </c>
      <c r="AU2116" s="66">
        <f t="shared" si="960"/>
        <v>29868.329868329874</v>
      </c>
      <c r="AV2116" s="66">
        <f t="shared" si="961"/>
        <v>29384.510086455331</v>
      </c>
      <c r="AW2116" s="66">
        <f t="shared" si="962"/>
        <v>29794.353640416048</v>
      </c>
      <c r="AX2116" s="66">
        <f t="shared" si="963"/>
        <v>29557.222609909288</v>
      </c>
      <c r="AY2116" s="66">
        <f t="shared" si="964"/>
        <v>28582.06039076376</v>
      </c>
      <c r="AZ2116" s="66">
        <f t="shared" si="965"/>
        <v>28717.188983855653</v>
      </c>
      <c r="BA2116" s="66">
        <f t="shared" si="966"/>
        <v>29548.800834202291</v>
      </c>
      <c r="BB2116" s="66">
        <f t="shared" si="967"/>
        <v>28522.749752720079</v>
      </c>
      <c r="BC2116" s="66">
        <f t="shared" si="968"/>
        <v>30075.782537067545</v>
      </c>
      <c r="BD2116" s="66">
        <f t="shared" si="969"/>
        <v>30451.988899167438</v>
      </c>
      <c r="BE2116" s="66">
        <f t="shared" si="970"/>
        <v>32744.405997693197</v>
      </c>
      <c r="BF2116" s="66">
        <f t="shared" si="971"/>
        <v>29091.153512575896</v>
      </c>
      <c r="BG2116" s="66">
        <f t="shared" si="972"/>
        <v>29099.743150684924</v>
      </c>
      <c r="BH2116" s="66">
        <f t="shared" si="973"/>
        <v>29480.205415499535</v>
      </c>
      <c r="BI2116" s="66">
        <f t="shared" si="974"/>
        <v>29219.019442096363</v>
      </c>
      <c r="BJ2116" s="66">
        <f t="shared" si="975"/>
        <v>29739.76653696498</v>
      </c>
      <c r="BK2116" s="66">
        <f t="shared" si="976"/>
        <v>29562.437562437568</v>
      </c>
      <c r="BL2116" s="66">
        <f t="shared" si="977"/>
        <v>29908.520710059176</v>
      </c>
      <c r="BM2116" s="66">
        <f t="shared" si="978"/>
        <v>29904.587155963309</v>
      </c>
      <c r="BN2116" s="66">
        <f t="shared" si="979"/>
        <v>28885.522788203758</v>
      </c>
      <c r="BO2116" s="66">
        <f t="shared" si="980"/>
        <v>29571.179039301314</v>
      </c>
      <c r="BP2116" s="66">
        <f t="shared" si="981"/>
        <v>28530.620549338761</v>
      </c>
      <c r="BQ2116" s="66">
        <f t="shared" si="982"/>
        <v>29645.413260672114</v>
      </c>
      <c r="BR2116" s="66">
        <f t="shared" si="983"/>
        <v>29393.621399176955</v>
      </c>
      <c r="BS2116" s="66">
        <f t="shared" si="984"/>
        <v>29295.828877005351</v>
      </c>
      <c r="BT2116" s="66">
        <f t="shared" si="985"/>
        <v>28483.230452674896</v>
      </c>
      <c r="BU2116" s="66">
        <f t="shared" si="986"/>
        <v>28863.18181818182</v>
      </c>
      <c r="BV2116" s="66">
        <f t="shared" si="987"/>
        <v>29496.636993076165</v>
      </c>
      <c r="BW2116" s="66">
        <f t="shared" si="988"/>
        <v>28775.840336134454</v>
      </c>
      <c r="BX2116" s="66">
        <f t="shared" si="989"/>
        <v>29652.631578947377</v>
      </c>
      <c r="BY2116" s="66">
        <f t="shared" si="990"/>
        <v>28714.38423645321</v>
      </c>
      <c r="BZ2116" s="66">
        <f t="shared" si="991"/>
        <v>28477.439024390253</v>
      </c>
      <c r="CA2116" s="66">
        <f>CA2126/CA2103</f>
        <v>30191.942618628302</v>
      </c>
      <c r="CB2116" s="67">
        <f>CB2126/CB2103</f>
        <v>30191.942618628298</v>
      </c>
    </row>
    <row r="2117" spans="1:83" x14ac:dyDescent="0.25">
      <c r="A2117" s="212" t="s">
        <v>25</v>
      </c>
      <c r="B2117" s="92">
        <v>7408902.81724138</v>
      </c>
      <c r="C2117" s="92">
        <f t="shared" si="916"/>
        <v>24501813.224137928</v>
      </c>
      <c r="D2117" s="92">
        <f t="shared" si="917"/>
        <v>24392867.760344826</v>
      </c>
      <c r="E2117" s="92">
        <f t="shared" si="918"/>
        <v>33723001.203448281</v>
      </c>
      <c r="F2117" s="92">
        <f t="shared" si="919"/>
        <v>28007099.822413795</v>
      </c>
      <c r="G2117" s="92">
        <f t="shared" si="920"/>
        <v>34461115.872413792</v>
      </c>
      <c r="H2117" s="92">
        <f t="shared" si="992"/>
        <v>29994672.805172417</v>
      </c>
      <c r="I2117" s="92">
        <f t="shared" si="922"/>
        <v>30902388.541379314</v>
      </c>
      <c r="J2117" s="92">
        <f t="shared" si="923"/>
        <v>33982398.006896555</v>
      </c>
      <c r="K2117" s="92">
        <f t="shared" si="924"/>
        <v>26757906.201724138</v>
      </c>
      <c r="L2117" s="92">
        <f t="shared" si="925"/>
        <v>22166406.258620691</v>
      </c>
      <c r="M2117" s="92">
        <f t="shared" si="926"/>
        <v>17623771.151724141</v>
      </c>
      <c r="N2117" s="92">
        <f t="shared" si="927"/>
        <v>20129937.415517248</v>
      </c>
      <c r="O2117" s="92">
        <f t="shared" si="928"/>
        <v>29529051.974137932</v>
      </c>
      <c r="P2117" s="92">
        <f t="shared" si="929"/>
        <v>27202621.391379312</v>
      </c>
      <c r="Q2117" s="92">
        <f t="shared" si="930"/>
        <v>28601652.631034486</v>
      </c>
      <c r="R2117" s="92">
        <f t="shared" si="931"/>
        <v>31425388.646551725</v>
      </c>
      <c r="S2117" s="92">
        <f t="shared" si="932"/>
        <v>30849885.429310348</v>
      </c>
      <c r="T2117" s="92">
        <f t="shared" si="933"/>
        <v>28665461.420689657</v>
      </c>
      <c r="U2117" s="92">
        <f t="shared" si="934"/>
        <v>28857789.793103449</v>
      </c>
      <c r="V2117" s="92">
        <f t="shared" si="935"/>
        <v>31936592.775862075</v>
      </c>
      <c r="W2117" s="92">
        <f t="shared" si="936"/>
        <v>30467946.463793106</v>
      </c>
      <c r="X2117" s="92">
        <f t="shared" si="937"/>
        <v>29302269.77241379</v>
      </c>
      <c r="Y2117" s="92">
        <f t="shared" si="938"/>
        <v>35611068.713793106</v>
      </c>
      <c r="Z2117" s="92">
        <f t="shared" si="939"/>
        <v>23938707.09310345</v>
      </c>
      <c r="AA2117" s="92">
        <f t="shared" si="940"/>
        <v>31598052.806896556</v>
      </c>
      <c r="AB2117" s="92">
        <f t="shared" si="941"/>
        <v>29494238.413793106</v>
      </c>
      <c r="AC2117" s="92">
        <f t="shared" si="942"/>
        <v>23495248.45862069</v>
      </c>
      <c r="AD2117" s="92">
        <f t="shared" si="943"/>
        <v>32038332.770689659</v>
      </c>
      <c r="AE2117" s="92">
        <f t="shared" si="944"/>
        <v>28151507.45862069</v>
      </c>
      <c r="AF2117" s="92">
        <f t="shared" si="945"/>
        <v>32773376.715517245</v>
      </c>
      <c r="AG2117" s="92">
        <f t="shared" si="946"/>
        <v>28835462.951724142</v>
      </c>
      <c r="AH2117" s="92">
        <f t="shared" si="947"/>
        <v>33951200.158620693</v>
      </c>
      <c r="AI2117" s="92">
        <f t="shared" si="948"/>
        <v>30115885.029310346</v>
      </c>
      <c r="AJ2117" s="92">
        <f t="shared" si="949"/>
        <v>31495204.934482761</v>
      </c>
      <c r="AK2117" s="92">
        <f t="shared" si="950"/>
        <v>28046281.903448276</v>
      </c>
      <c r="AL2117" s="92">
        <f t="shared" si="951"/>
        <v>24710712.841379311</v>
      </c>
      <c r="AM2117" s="92">
        <f t="shared" si="952"/>
        <v>27645710.668965518</v>
      </c>
      <c r="AN2117" s="92">
        <f t="shared" si="953"/>
        <v>29205671.198275868</v>
      </c>
      <c r="AO2117" s="92">
        <f t="shared" si="954"/>
        <v>27615040.222413797</v>
      </c>
      <c r="AP2117" s="92">
        <f t="shared" si="955"/>
        <v>28189463.777586211</v>
      </c>
      <c r="AQ2117" s="92">
        <f t="shared" si="956"/>
        <v>27568311.891379315</v>
      </c>
      <c r="AR2117" s="92">
        <f t="shared" si="957"/>
        <v>25955688.653448276</v>
      </c>
      <c r="AS2117" s="92">
        <f t="shared" si="958"/>
        <v>26822910.306896556</v>
      </c>
      <c r="AT2117" s="92">
        <f t="shared" si="959"/>
        <v>31896970.951724142</v>
      </c>
      <c r="AU2117" s="92">
        <f t="shared" si="960"/>
        <v>30422924.086206902</v>
      </c>
      <c r="AV2117" s="92">
        <f t="shared" si="961"/>
        <v>28624844.389655173</v>
      </c>
      <c r="AW2117" s="92">
        <f t="shared" si="962"/>
        <v>28554201.874137931</v>
      </c>
      <c r="AX2117" s="92">
        <f t="shared" si="963"/>
        <v>30080708.175862074</v>
      </c>
      <c r="AY2117" s="92">
        <f t="shared" si="964"/>
        <v>22079335.118965514</v>
      </c>
      <c r="AZ2117" s="92">
        <f t="shared" si="965"/>
        <v>19573698.912068967</v>
      </c>
      <c r="BA2117" s="92">
        <f t="shared" si="966"/>
        <v>19144407.172413792</v>
      </c>
      <c r="BB2117" s="92">
        <f t="shared" si="967"/>
        <v>19409347.351724137</v>
      </c>
      <c r="BC2117" s="92">
        <f t="shared" si="968"/>
        <v>25276378.129310347</v>
      </c>
      <c r="BD2117" s="92">
        <f t="shared" si="969"/>
        <v>22350510.424137931</v>
      </c>
      <c r="BE2117" s="92">
        <f t="shared" si="970"/>
        <v>19096892.394827589</v>
      </c>
      <c r="BF2117" s="92">
        <f t="shared" si="971"/>
        <v>23294281.53793104</v>
      </c>
      <c r="BG2117" s="92">
        <f t="shared" si="972"/>
        <v>23420034.594827585</v>
      </c>
      <c r="BH2117" s="92">
        <f t="shared" si="973"/>
        <v>21273727.874482758</v>
      </c>
      <c r="BI2117" s="92">
        <f t="shared" si="974"/>
        <v>23224885.857931037</v>
      </c>
      <c r="BJ2117" s="92">
        <f t="shared" si="975"/>
        <v>24920488.517241381</v>
      </c>
      <c r="BK2117" s="92">
        <f t="shared" si="976"/>
        <v>20031750.44896552</v>
      </c>
      <c r="BL2117" s="92">
        <f t="shared" si="977"/>
        <v>17063995.611724138</v>
      </c>
      <c r="BM2117" s="92">
        <f t="shared" si="978"/>
        <v>12649940.07310345</v>
      </c>
      <c r="BN2117" s="92">
        <f t="shared" si="979"/>
        <v>14258024.898620693</v>
      </c>
      <c r="BO2117" s="92">
        <f t="shared" si="980"/>
        <v>18476063.744137932</v>
      </c>
      <c r="BP2117" s="92">
        <f t="shared" si="981"/>
        <v>18466037.652413793</v>
      </c>
      <c r="BQ2117" s="92">
        <f t="shared" si="982"/>
        <v>22502195.679310344</v>
      </c>
      <c r="BR2117" s="92">
        <f t="shared" si="983"/>
        <v>18270697.112413794</v>
      </c>
      <c r="BS2117" s="92">
        <f t="shared" si="984"/>
        <v>18379137.369655173</v>
      </c>
      <c r="BT2117" s="92">
        <f t="shared" si="985"/>
        <v>18408811.842068966</v>
      </c>
      <c r="BU2117" s="92">
        <f t="shared" si="986"/>
        <v>17413365.34551724</v>
      </c>
      <c r="BV2117" s="92">
        <f t="shared" si="987"/>
        <v>20557530.400000002</v>
      </c>
      <c r="BW2117" s="92">
        <f t="shared" si="988"/>
        <v>18289944.089655172</v>
      </c>
      <c r="BX2117" s="92">
        <f t="shared" si="989"/>
        <v>16941449.713793106</v>
      </c>
      <c r="BY2117" s="92">
        <f t="shared" si="990"/>
        <v>20561876.145517245</v>
      </c>
      <c r="BZ2117" s="92">
        <f t="shared" si="991"/>
        <v>14518306.441379312</v>
      </c>
      <c r="CA2117" s="92">
        <f>SUM('NOGAL '!$B2117:$BZ2117)</f>
        <v>1937581782.2800004</v>
      </c>
      <c r="CB2117" s="133">
        <f>'NOGAL '!$CA2117/77</f>
        <v>25163399.769870136</v>
      </c>
    </row>
    <row r="2118" spans="1:83" x14ac:dyDescent="0.25">
      <c r="A2118" s="212" t="s">
        <v>26</v>
      </c>
      <c r="B2118" s="92">
        <v>0</v>
      </c>
      <c r="C2118" s="92">
        <f t="shared" si="916"/>
        <v>239793.8206896552</v>
      </c>
      <c r="D2118" s="92">
        <f t="shared" si="917"/>
        <v>27882.87931034483</v>
      </c>
      <c r="E2118" s="92">
        <f t="shared" si="918"/>
        <v>90139.987931034499</v>
      </c>
      <c r="F2118" s="92">
        <f t="shared" si="919"/>
        <v>37276.891379310349</v>
      </c>
      <c r="G2118" s="92">
        <f t="shared" si="920"/>
        <v>369486.05172413797</v>
      </c>
      <c r="H2118" s="92">
        <f t="shared" si="992"/>
        <v>416837.92241379316</v>
      </c>
      <c r="I2118" s="92">
        <f t="shared" si="922"/>
        <v>95653.831034482777</v>
      </c>
      <c r="J2118" s="92">
        <f t="shared" si="923"/>
        <v>0</v>
      </c>
      <c r="K2118" s="92">
        <f t="shared" si="924"/>
        <v>0</v>
      </c>
      <c r="L2118" s="92">
        <f t="shared" si="925"/>
        <v>1344928.0827586208</v>
      </c>
      <c r="M2118" s="92">
        <f t="shared" si="926"/>
        <v>873096.21551724151</v>
      </c>
      <c r="N2118" s="92">
        <f t="shared" si="927"/>
        <v>1173994.1275862069</v>
      </c>
      <c r="O2118" s="92">
        <f t="shared" si="928"/>
        <v>1340154.9741379311</v>
      </c>
      <c r="P2118" s="92">
        <f t="shared" si="929"/>
        <v>1701102.9586206898</v>
      </c>
      <c r="Q2118" s="92">
        <f t="shared" si="930"/>
        <v>1634677.1672413794</v>
      </c>
      <c r="R2118" s="92">
        <f t="shared" si="931"/>
        <v>1291033.4741379311</v>
      </c>
      <c r="S2118" s="92">
        <f t="shared" si="932"/>
        <v>1582090.3224137931</v>
      </c>
      <c r="T2118" s="92">
        <f t="shared" si="933"/>
        <v>605545.53275862068</v>
      </c>
      <c r="U2118" s="92">
        <f t="shared" si="934"/>
        <v>1015141.2586206897</v>
      </c>
      <c r="V2118" s="92">
        <f t="shared" si="935"/>
        <v>529360.05172413797</v>
      </c>
      <c r="W2118" s="92">
        <f t="shared" si="936"/>
        <v>278974.45344827586</v>
      </c>
      <c r="X2118" s="92">
        <f t="shared" si="937"/>
        <v>769844.7827586208</v>
      </c>
      <c r="Y2118" s="92">
        <f t="shared" si="938"/>
        <v>624557.96896551736</v>
      </c>
      <c r="Z2118" s="92">
        <f t="shared" si="939"/>
        <v>284070.1482758621</v>
      </c>
      <c r="AA2118" s="92">
        <f t="shared" si="940"/>
        <v>243582.97931034485</v>
      </c>
      <c r="AB2118" s="92">
        <f t="shared" si="941"/>
        <v>1003593.8896551725</v>
      </c>
      <c r="AC2118" s="92">
        <f t="shared" si="942"/>
        <v>610258.61896551726</v>
      </c>
      <c r="AD2118" s="92">
        <f t="shared" si="943"/>
        <v>477294.31034482759</v>
      </c>
      <c r="AE2118" s="92">
        <f t="shared" si="944"/>
        <v>571762.82586206903</v>
      </c>
      <c r="AF2118" s="92">
        <f t="shared" si="945"/>
        <v>402143.09310344834</v>
      </c>
      <c r="AG2118" s="92">
        <f t="shared" si="946"/>
        <v>573162.92413793108</v>
      </c>
      <c r="AH2118" s="92">
        <f t="shared" si="947"/>
        <v>434690.66724137939</v>
      </c>
      <c r="AI2118" s="92">
        <f t="shared" si="948"/>
        <v>509793.52241379314</v>
      </c>
      <c r="AJ2118" s="92">
        <f t="shared" si="949"/>
        <v>607944.98793103453</v>
      </c>
      <c r="AK2118" s="92">
        <f t="shared" si="950"/>
        <v>410772.40172413801</v>
      </c>
      <c r="AL2118" s="92">
        <f t="shared" si="951"/>
        <v>323651.35344827583</v>
      </c>
      <c r="AM2118" s="92">
        <f t="shared" si="952"/>
        <v>449384.70689655177</v>
      </c>
      <c r="AN2118" s="92">
        <f t="shared" si="953"/>
        <v>280700.38275862072</v>
      </c>
      <c r="AO2118" s="92">
        <f t="shared" si="954"/>
        <v>305108.28448275867</v>
      </c>
      <c r="AP2118" s="92">
        <f t="shared" si="955"/>
        <v>502332.33620689658</v>
      </c>
      <c r="AQ2118" s="92">
        <f t="shared" si="956"/>
        <v>506472.85000000003</v>
      </c>
      <c r="AR2118" s="92">
        <f t="shared" si="957"/>
        <v>569285.20862068981</v>
      </c>
      <c r="AS2118" s="92">
        <f t="shared" si="958"/>
        <v>596588.75172413804</v>
      </c>
      <c r="AT2118" s="92">
        <f t="shared" si="959"/>
        <v>516043.58793103456</v>
      </c>
      <c r="AU2118" s="92">
        <f t="shared" si="960"/>
        <v>602344.73103448283</v>
      </c>
      <c r="AV2118" s="92">
        <f t="shared" si="961"/>
        <v>183887.72931034482</v>
      </c>
      <c r="AW2118" s="92">
        <f t="shared" si="962"/>
        <v>441693.30689655175</v>
      </c>
      <c r="AX2118" s="92">
        <f t="shared" si="963"/>
        <v>682308.83965517255</v>
      </c>
      <c r="AY2118" s="92">
        <f t="shared" si="964"/>
        <v>543675.71724137932</v>
      </c>
      <c r="AZ2118" s="92">
        <f t="shared" si="965"/>
        <v>749591.82068965526</v>
      </c>
      <c r="BA2118" s="92">
        <f t="shared" si="966"/>
        <v>449974.35344827594</v>
      </c>
      <c r="BB2118" s="92">
        <f t="shared" si="967"/>
        <v>396133.54310344829</v>
      </c>
      <c r="BC2118" s="92">
        <f t="shared" si="968"/>
        <v>583073.88275862078</v>
      </c>
      <c r="BD2118" s="92">
        <f t="shared" si="969"/>
        <v>386502.42413793108</v>
      </c>
      <c r="BE2118" s="92">
        <f t="shared" si="970"/>
        <v>328735.01206896559</v>
      </c>
      <c r="BF2118" s="92">
        <f t="shared" si="971"/>
        <v>650908.8844827587</v>
      </c>
      <c r="BG2118" s="92">
        <f t="shared" si="972"/>
        <v>453313.22068965522</v>
      </c>
      <c r="BH2118" s="92">
        <f t="shared" si="973"/>
        <v>507900.86413793103</v>
      </c>
      <c r="BI2118" s="92">
        <f t="shared" si="974"/>
        <v>441646.04137931042</v>
      </c>
      <c r="BJ2118" s="92">
        <f t="shared" si="975"/>
        <v>526278.53310344822</v>
      </c>
      <c r="BK2118" s="92">
        <f t="shared" si="976"/>
        <v>212019.64068965521</v>
      </c>
      <c r="BL2118" s="92">
        <f t="shared" si="977"/>
        <v>417409.2537931035</v>
      </c>
      <c r="BM2118" s="92">
        <f t="shared" si="978"/>
        <v>323634.69862068974</v>
      </c>
      <c r="BN2118" s="92">
        <f t="shared" si="979"/>
        <v>260412.58482758619</v>
      </c>
      <c r="BO2118" s="92">
        <f t="shared" si="980"/>
        <v>434219.53034482762</v>
      </c>
      <c r="BP2118" s="92">
        <f t="shared" si="981"/>
        <v>334279.38758620695</v>
      </c>
      <c r="BQ2118" s="92">
        <f t="shared" si="982"/>
        <v>641996.90896551718</v>
      </c>
      <c r="BR2118" s="92">
        <f t="shared" si="983"/>
        <v>306683.16275862069</v>
      </c>
      <c r="BS2118" s="92">
        <f t="shared" si="984"/>
        <v>290678.64344827586</v>
      </c>
      <c r="BT2118" s="92">
        <f t="shared" si="985"/>
        <v>311364.86068965518</v>
      </c>
      <c r="BU2118" s="92">
        <f t="shared" si="986"/>
        <v>355366.18137931038</v>
      </c>
      <c r="BV2118" s="92">
        <f t="shared" si="987"/>
        <v>596284.84206896555</v>
      </c>
      <c r="BW2118" s="92">
        <f t="shared" si="988"/>
        <v>339624.15724137932</v>
      </c>
      <c r="BX2118" s="92">
        <f t="shared" si="989"/>
        <v>226416.92413793108</v>
      </c>
      <c r="BY2118" s="92">
        <f t="shared" si="990"/>
        <v>332447.24896551727</v>
      </c>
      <c r="BZ2118" s="92">
        <f t="shared" si="991"/>
        <v>280859.06</v>
      </c>
      <c r="CA2118" s="92">
        <f>SUM('NOGAL '!$B2118:$BZ2118)</f>
        <v>39811876.575862095</v>
      </c>
      <c r="CB2118" s="133">
        <f>'NOGAL '!$CA2118/77</f>
        <v>517037.35812807915</v>
      </c>
    </row>
    <row r="2119" spans="1:83" x14ac:dyDescent="0.25">
      <c r="A2119" s="212" t="s">
        <v>27</v>
      </c>
      <c r="B2119" s="92">
        <v>2730280.227586207</v>
      </c>
      <c r="C2119" s="92">
        <f t="shared" si="916"/>
        <v>7139868.9517241381</v>
      </c>
      <c r="D2119" s="92">
        <f t="shared" si="917"/>
        <v>5602179.2206896562</v>
      </c>
      <c r="E2119" s="92">
        <f t="shared" si="918"/>
        <v>6139996.7448275872</v>
      </c>
      <c r="F2119" s="92">
        <f t="shared" si="919"/>
        <v>5227510.6517241383</v>
      </c>
      <c r="G2119" s="92">
        <f t="shared" si="920"/>
        <v>6238829.2568965517</v>
      </c>
      <c r="H2119" s="92">
        <f t="shared" si="992"/>
        <v>6013668.9344827589</v>
      </c>
      <c r="I2119" s="92">
        <f t="shared" si="922"/>
        <v>5833966.8637931049</v>
      </c>
      <c r="J2119" s="92">
        <f t="shared" si="923"/>
        <v>6371022.0051724147</v>
      </c>
      <c r="K2119" s="92">
        <f t="shared" si="924"/>
        <v>5797334.7672413802</v>
      </c>
      <c r="L2119" s="92">
        <f t="shared" si="925"/>
        <v>4435372.6775862072</v>
      </c>
      <c r="M2119" s="92">
        <f t="shared" si="926"/>
        <v>3682960.7465517246</v>
      </c>
      <c r="N2119" s="92">
        <f t="shared" si="927"/>
        <v>3887583.7448275872</v>
      </c>
      <c r="O2119" s="92">
        <f t="shared" si="928"/>
        <v>5558787.181034483</v>
      </c>
      <c r="P2119" s="92">
        <f t="shared" si="929"/>
        <v>4855531.9051724141</v>
      </c>
      <c r="Q2119" s="92">
        <f t="shared" si="930"/>
        <v>5207424.7534482758</v>
      </c>
      <c r="R2119" s="92">
        <f t="shared" si="931"/>
        <v>5935063.8482758626</v>
      </c>
      <c r="S2119" s="92">
        <f t="shared" si="932"/>
        <v>4070177.2224137937</v>
      </c>
      <c r="T2119" s="92">
        <f t="shared" si="933"/>
        <v>4968521.4448275864</v>
      </c>
      <c r="U2119" s="92">
        <f t="shared" si="934"/>
        <v>4345404.7206896553</v>
      </c>
      <c r="V2119" s="92">
        <f t="shared" si="935"/>
        <v>3956881.3224137938</v>
      </c>
      <c r="W2119" s="92">
        <f t="shared" si="936"/>
        <v>4616307.3775862074</v>
      </c>
      <c r="X2119" s="92">
        <f t="shared" si="937"/>
        <v>3630450.2017241381</v>
      </c>
      <c r="Y2119" s="92">
        <f t="shared" si="938"/>
        <v>3933073.8017241382</v>
      </c>
      <c r="Z2119" s="92">
        <f t="shared" si="939"/>
        <v>5164261.4034482753</v>
      </c>
      <c r="AA2119" s="92">
        <f t="shared" si="940"/>
        <v>3525903.0017241384</v>
      </c>
      <c r="AB2119" s="92">
        <f t="shared" si="941"/>
        <v>2689683.9051724141</v>
      </c>
      <c r="AC2119" s="92">
        <f t="shared" si="942"/>
        <v>3075584.3672413798</v>
      </c>
      <c r="AD2119" s="92">
        <f t="shared" si="943"/>
        <v>3670618.0982758626</v>
      </c>
      <c r="AE2119" s="92">
        <f t="shared" si="944"/>
        <v>3606786.4327586209</v>
      </c>
      <c r="AF2119" s="92">
        <f t="shared" si="945"/>
        <v>4113370.2534482758</v>
      </c>
      <c r="AG2119" s="92">
        <f t="shared" si="946"/>
        <v>3964268.1500000004</v>
      </c>
      <c r="AH2119" s="92">
        <f t="shared" si="947"/>
        <v>3351310.284482759</v>
      </c>
      <c r="AI2119" s="92">
        <f t="shared" si="948"/>
        <v>3804984.6620689658</v>
      </c>
      <c r="AJ2119" s="92">
        <f t="shared" si="949"/>
        <v>3449669.0258620689</v>
      </c>
      <c r="AK2119" s="92">
        <f t="shared" si="950"/>
        <v>2912173.9689655178</v>
      </c>
      <c r="AL2119" s="92">
        <f t="shared" si="951"/>
        <v>3540937.6000000006</v>
      </c>
      <c r="AM2119" s="92">
        <f t="shared" si="952"/>
        <v>3320657.4637931036</v>
      </c>
      <c r="AN2119" s="92">
        <f t="shared" si="953"/>
        <v>3194233.6862068968</v>
      </c>
      <c r="AO2119" s="92">
        <f t="shared" si="954"/>
        <v>3210019.4689655174</v>
      </c>
      <c r="AP2119" s="92">
        <f t="shared" si="955"/>
        <v>3150717.6500000004</v>
      </c>
      <c r="AQ2119" s="92">
        <f t="shared" si="956"/>
        <v>2772645.6965517248</v>
      </c>
      <c r="AR2119" s="92">
        <f t="shared" si="957"/>
        <v>2868702.7206896557</v>
      </c>
      <c r="AS2119" s="92">
        <f t="shared" si="958"/>
        <v>2938547.8000000003</v>
      </c>
      <c r="AT2119" s="92">
        <f t="shared" si="959"/>
        <v>3347355.6568965521</v>
      </c>
      <c r="AU2119" s="92">
        <f t="shared" si="960"/>
        <v>3688111.0413793107</v>
      </c>
      <c r="AV2119" s="92">
        <f t="shared" si="961"/>
        <v>4102976.6948275864</v>
      </c>
      <c r="AW2119" s="92">
        <f t="shared" si="962"/>
        <v>3199663.6344827586</v>
      </c>
      <c r="AX2119" s="92">
        <f t="shared" si="963"/>
        <v>3250197.032758621</v>
      </c>
      <c r="AY2119" s="92">
        <f t="shared" si="964"/>
        <v>3105119.4913793104</v>
      </c>
      <c r="AZ2119" s="92">
        <f t="shared" si="965"/>
        <v>3968323.3275862075</v>
      </c>
      <c r="BA2119" s="92">
        <f t="shared" si="966"/>
        <v>3074620.3551724143</v>
      </c>
      <c r="BB2119" s="92">
        <f t="shared" si="967"/>
        <v>3394513.0827586204</v>
      </c>
      <c r="BC2119" s="92">
        <f t="shared" si="968"/>
        <v>3073142.0620689653</v>
      </c>
      <c r="BD2119" s="92">
        <f t="shared" si="969"/>
        <v>3542077.7068965519</v>
      </c>
      <c r="BE2119" s="92">
        <f t="shared" si="970"/>
        <v>3161051.7896551732</v>
      </c>
      <c r="BF2119" s="92">
        <f t="shared" si="971"/>
        <v>2555132.4482758623</v>
      </c>
      <c r="BG2119" s="92">
        <f t="shared" si="972"/>
        <v>3323529.3879310344</v>
      </c>
      <c r="BH2119" s="92">
        <f t="shared" si="973"/>
        <v>3376286.1351724146</v>
      </c>
      <c r="BI2119" s="92">
        <f t="shared" si="974"/>
        <v>3444975.9579310347</v>
      </c>
      <c r="BJ2119" s="92">
        <f t="shared" si="975"/>
        <v>4164638.2462068973</v>
      </c>
      <c r="BK2119" s="92">
        <f t="shared" si="976"/>
        <v>3481678.3068965524</v>
      </c>
      <c r="BL2119" s="92">
        <f t="shared" si="977"/>
        <v>2798113.168275862</v>
      </c>
      <c r="BM2119" s="92">
        <f t="shared" si="978"/>
        <v>2373081.1248275866</v>
      </c>
      <c r="BN2119" s="92">
        <f t="shared" si="979"/>
        <v>2034483.2096551722</v>
      </c>
      <c r="BO2119" s="92">
        <f t="shared" si="980"/>
        <v>2463098.2434482761</v>
      </c>
      <c r="BP2119" s="92">
        <f t="shared" si="981"/>
        <v>2547505.747586207</v>
      </c>
      <c r="BQ2119" s="92">
        <f t="shared" si="982"/>
        <v>2178084.5965517247</v>
      </c>
      <c r="BR2119" s="92">
        <f t="shared" si="983"/>
        <v>3172869.7420689655</v>
      </c>
      <c r="BS2119" s="92">
        <f t="shared" si="984"/>
        <v>2622771.0517241382</v>
      </c>
      <c r="BT2119" s="92">
        <f t="shared" si="985"/>
        <v>2542169.5675862068</v>
      </c>
      <c r="BU2119" s="92">
        <f t="shared" si="986"/>
        <v>1893522.8482758622</v>
      </c>
      <c r="BV2119" s="92">
        <f t="shared" si="987"/>
        <v>2502925.490344828</v>
      </c>
      <c r="BW2119" s="92">
        <f t="shared" si="988"/>
        <v>2343804.7496551727</v>
      </c>
      <c r="BX2119" s="92">
        <f t="shared" si="989"/>
        <v>2223155.3289655177</v>
      </c>
      <c r="BY2119" s="92">
        <f t="shared" si="990"/>
        <v>1662178.4682758623</v>
      </c>
      <c r="BZ2119" s="92">
        <f t="shared" si="991"/>
        <v>3369221.3800000008</v>
      </c>
      <c r="CA2119" s="92">
        <f>SUM('NOGAL '!$B2119:$BZ2119)</f>
        <v>286483651.28758633</v>
      </c>
      <c r="CB2119" s="133">
        <f>'NOGAL '!$CA2119/77</f>
        <v>3720566.8998387833</v>
      </c>
    </row>
    <row r="2120" spans="1:83" x14ac:dyDescent="0.25">
      <c r="A2120" s="212" t="s">
        <v>28</v>
      </c>
      <c r="B2120" s="92">
        <v>1992127.7879310343</v>
      </c>
      <c r="C2120" s="92">
        <f t="shared" si="916"/>
        <v>5377467.9379310356</v>
      </c>
      <c r="D2120" s="92">
        <f t="shared" si="917"/>
        <v>4559595.4172413796</v>
      </c>
      <c r="E2120" s="92">
        <f t="shared" si="918"/>
        <v>5097995.4068965521</v>
      </c>
      <c r="F2120" s="92">
        <f t="shared" si="919"/>
        <v>4507949.9517241381</v>
      </c>
      <c r="G2120" s="92">
        <f t="shared" si="920"/>
        <v>4257075.1931034494</v>
      </c>
      <c r="H2120" s="92">
        <f t="shared" si="992"/>
        <v>3783351.2689655172</v>
      </c>
      <c r="I2120" s="92">
        <f t="shared" si="922"/>
        <v>3950231.2810344831</v>
      </c>
      <c r="J2120" s="92">
        <f t="shared" si="923"/>
        <v>3356357.4017241383</v>
      </c>
      <c r="K2120" s="92">
        <f t="shared" si="924"/>
        <v>1771709.8931034484</v>
      </c>
      <c r="L2120" s="92">
        <f t="shared" si="925"/>
        <v>2184874.1396551728</v>
      </c>
      <c r="M2120" s="92">
        <f t="shared" si="926"/>
        <v>2607806.9137931042</v>
      </c>
      <c r="N2120" s="92">
        <f t="shared" si="927"/>
        <v>2360099.6224137936</v>
      </c>
      <c r="O2120" s="92">
        <f t="shared" si="928"/>
        <v>2383189.3706896557</v>
      </c>
      <c r="P2120" s="92">
        <f t="shared" si="929"/>
        <v>2608601.3879310344</v>
      </c>
      <c r="Q2120" s="92">
        <f t="shared" si="930"/>
        <v>2725740.0965517242</v>
      </c>
      <c r="R2120" s="92">
        <f t="shared" si="931"/>
        <v>2713394.237931035</v>
      </c>
      <c r="S2120" s="92">
        <f t="shared" si="932"/>
        <v>1514680.4758620693</v>
      </c>
      <c r="T2120" s="92">
        <f t="shared" si="933"/>
        <v>2692257.5155172418</v>
      </c>
      <c r="U2120" s="92">
        <f t="shared" si="934"/>
        <v>1881726.6413793107</v>
      </c>
      <c r="V2120" s="92">
        <f t="shared" si="935"/>
        <v>2249959.4896551729</v>
      </c>
      <c r="W2120" s="92">
        <f t="shared" si="936"/>
        <v>1750819.4534482763</v>
      </c>
      <c r="X2120" s="92">
        <f t="shared" si="937"/>
        <v>1877286.1637931035</v>
      </c>
      <c r="Y2120" s="92">
        <f t="shared" si="938"/>
        <v>1916918.8706896557</v>
      </c>
      <c r="Z2120" s="92">
        <f t="shared" si="939"/>
        <v>1540049.1775862072</v>
      </c>
      <c r="AA2120" s="92">
        <f t="shared" si="940"/>
        <v>1769270.3431034484</v>
      </c>
      <c r="AB2120" s="92">
        <f t="shared" si="941"/>
        <v>1328924.6534482758</v>
      </c>
      <c r="AC2120" s="92">
        <f t="shared" si="942"/>
        <v>1749289.2448275867</v>
      </c>
      <c r="AD2120" s="92">
        <f t="shared" si="943"/>
        <v>1347691.1672413794</v>
      </c>
      <c r="AE2120" s="92">
        <f t="shared" si="944"/>
        <v>1079395.1793103446</v>
      </c>
      <c r="AF2120" s="92">
        <f t="shared" si="945"/>
        <v>1063729.6327586207</v>
      </c>
      <c r="AG2120" s="92">
        <f t="shared" si="946"/>
        <v>1329675.7103448277</v>
      </c>
      <c r="AH2120" s="92">
        <f t="shared" si="947"/>
        <v>1322618.5448275863</v>
      </c>
      <c r="AI2120" s="92">
        <f t="shared" si="948"/>
        <v>1288666.6879310347</v>
      </c>
      <c r="AJ2120" s="92">
        <f t="shared" si="949"/>
        <v>1200250.0241379312</v>
      </c>
      <c r="AK2120" s="92">
        <f t="shared" si="950"/>
        <v>1374358.4500000002</v>
      </c>
      <c r="AL2120" s="92">
        <f t="shared" si="951"/>
        <v>1102158.1775862072</v>
      </c>
      <c r="AM2120" s="92">
        <f t="shared" si="952"/>
        <v>1443240.829310345</v>
      </c>
      <c r="AN2120" s="92">
        <f t="shared" si="953"/>
        <v>1117592.1172413793</v>
      </c>
      <c r="AO2120" s="92">
        <f t="shared" si="954"/>
        <v>748126.50000000023</v>
      </c>
      <c r="AP2120" s="92">
        <f t="shared" si="955"/>
        <v>640880.34827586217</v>
      </c>
      <c r="AQ2120" s="92">
        <f t="shared" si="956"/>
        <v>510846.16551724146</v>
      </c>
      <c r="AR2120" s="92">
        <f t="shared" si="957"/>
        <v>1069786.4706896553</v>
      </c>
      <c r="AS2120" s="92">
        <f t="shared" si="958"/>
        <v>723698.74482758623</v>
      </c>
      <c r="AT2120" s="92">
        <f t="shared" si="959"/>
        <v>375563.76896551729</v>
      </c>
      <c r="AU2120" s="92">
        <f t="shared" si="960"/>
        <v>584182.55517241382</v>
      </c>
      <c r="AV2120" s="92">
        <f t="shared" si="961"/>
        <v>537307.39310344821</v>
      </c>
      <c r="AW2120" s="92">
        <f t="shared" si="962"/>
        <v>554617.11551724141</v>
      </c>
      <c r="AX2120" s="92">
        <f t="shared" si="963"/>
        <v>661933.02068965521</v>
      </c>
      <c r="AY2120" s="92">
        <f t="shared" si="964"/>
        <v>526005.81034482759</v>
      </c>
      <c r="AZ2120" s="92">
        <f t="shared" si="965"/>
        <v>505207.30862068967</v>
      </c>
      <c r="BA2120" s="92">
        <f t="shared" si="966"/>
        <v>495802.9</v>
      </c>
      <c r="BB2120" s="92">
        <f t="shared" si="967"/>
        <v>428552.74655172415</v>
      </c>
      <c r="BC2120" s="92">
        <f t="shared" si="968"/>
        <v>861710.30689655175</v>
      </c>
      <c r="BD2120" s="92">
        <f t="shared" si="969"/>
        <v>629573.1948275863</v>
      </c>
      <c r="BE2120" s="92">
        <f t="shared" si="970"/>
        <v>667211.49310344842</v>
      </c>
      <c r="BF2120" s="92">
        <f t="shared" si="971"/>
        <v>892483.97931034502</v>
      </c>
      <c r="BG2120" s="92">
        <f t="shared" si="972"/>
        <v>501616.83793103462</v>
      </c>
      <c r="BH2120" s="92">
        <f t="shared" si="973"/>
        <v>484105.19517241383</v>
      </c>
      <c r="BI2120" s="92">
        <f t="shared" si="974"/>
        <v>902596.98206896556</v>
      </c>
      <c r="BJ2120" s="92">
        <f t="shared" si="975"/>
        <v>1481581.8579310346</v>
      </c>
      <c r="BK2120" s="92">
        <f t="shared" si="976"/>
        <v>416158.43103448284</v>
      </c>
      <c r="BL2120" s="92">
        <f t="shared" si="977"/>
        <v>320564.90620689659</v>
      </c>
      <c r="BM2120" s="92">
        <f t="shared" si="978"/>
        <v>610190.2544827587</v>
      </c>
      <c r="BN2120" s="92">
        <f t="shared" si="979"/>
        <v>994783.00482758624</v>
      </c>
      <c r="BO2120" s="92">
        <f t="shared" si="980"/>
        <v>645767.46206896554</v>
      </c>
      <c r="BP2120" s="92">
        <f t="shared" si="981"/>
        <v>1251391.2048275864</v>
      </c>
      <c r="BQ2120" s="92">
        <f t="shared" si="982"/>
        <v>1258442.8648275863</v>
      </c>
      <c r="BR2120" s="92">
        <f t="shared" si="983"/>
        <v>1502264.7386206898</v>
      </c>
      <c r="BS2120" s="92">
        <f t="shared" si="984"/>
        <v>1026957.2110344828</v>
      </c>
      <c r="BT2120" s="92">
        <f t="shared" si="985"/>
        <v>1245118.7765517242</v>
      </c>
      <c r="BU2120" s="92">
        <f t="shared" si="986"/>
        <v>949704.5213793104</v>
      </c>
      <c r="BV2120" s="92">
        <f t="shared" si="987"/>
        <v>600290.09517241386</v>
      </c>
      <c r="BW2120" s="92">
        <f t="shared" si="988"/>
        <v>1276490.9937931036</v>
      </c>
      <c r="BX2120" s="92">
        <f t="shared" si="989"/>
        <v>1179541.5648275863</v>
      </c>
      <c r="BY2120" s="92">
        <f t="shared" si="990"/>
        <v>1083974.3441379312</v>
      </c>
      <c r="BZ2120" s="92">
        <f t="shared" si="991"/>
        <v>875934.71724137932</v>
      </c>
      <c r="CA2120" s="92">
        <f>SUM('NOGAL '!$B2120:$BZ2120)</f>
        <v>120199091.64517242</v>
      </c>
      <c r="CB2120" s="133">
        <f>'NOGAL '!$CA2120/77</f>
        <v>1561027.1642230183</v>
      </c>
    </row>
    <row r="2121" spans="1:83" x14ac:dyDescent="0.25">
      <c r="A2121" s="212" t="s">
        <v>29</v>
      </c>
      <c r="B2121" s="92">
        <v>446056.58103448281</v>
      </c>
      <c r="C2121" s="92">
        <f t="shared" si="916"/>
        <v>280600.89310344827</v>
      </c>
      <c r="D2121" s="92">
        <f t="shared" si="917"/>
        <v>292439.03275862068</v>
      </c>
      <c r="E2121" s="92">
        <f t="shared" si="918"/>
        <v>104305.62241379311</v>
      </c>
      <c r="F2121" s="92">
        <f t="shared" si="919"/>
        <v>67166.64827586207</v>
      </c>
      <c r="G2121" s="92">
        <f t="shared" si="920"/>
        <v>118429.83275862069</v>
      </c>
      <c r="H2121" s="92">
        <f t="shared" si="992"/>
        <v>293708.03448275867</v>
      </c>
      <c r="I2121" s="92">
        <f t="shared" si="922"/>
        <v>0</v>
      </c>
      <c r="J2121" s="92">
        <f t="shared" si="923"/>
        <v>0</v>
      </c>
      <c r="K2121" s="92">
        <f t="shared" si="924"/>
        <v>0</v>
      </c>
      <c r="L2121" s="92">
        <f t="shared" si="925"/>
        <v>250252.63448275864</v>
      </c>
      <c r="M2121" s="92">
        <f t="shared" si="926"/>
        <v>134610.83448275863</v>
      </c>
      <c r="N2121" s="92">
        <f t="shared" si="927"/>
        <v>440300.43448275869</v>
      </c>
      <c r="O2121" s="92">
        <f t="shared" si="928"/>
        <v>140518.57586206897</v>
      </c>
      <c r="P2121" s="92">
        <f t="shared" si="929"/>
        <v>130125.46034482759</v>
      </c>
      <c r="Q2121" s="92">
        <f t="shared" si="930"/>
        <v>307382.24827586208</v>
      </c>
      <c r="R2121" s="92">
        <f t="shared" si="931"/>
        <v>316144.27586206899</v>
      </c>
      <c r="S2121" s="92">
        <f t="shared" si="932"/>
        <v>124017.75689655174</v>
      </c>
      <c r="T2121" s="92">
        <f t="shared" si="933"/>
        <v>0</v>
      </c>
      <c r="U2121" s="92">
        <f t="shared" si="934"/>
        <v>0</v>
      </c>
      <c r="V2121" s="92">
        <f t="shared" si="935"/>
        <v>37048.432758620693</v>
      </c>
      <c r="W2121" s="92">
        <f t="shared" si="936"/>
        <v>82404.665517241374</v>
      </c>
      <c r="X2121" s="92">
        <f t="shared" si="937"/>
        <v>73227.872413793113</v>
      </c>
      <c r="Y2121" s="92">
        <f t="shared" si="938"/>
        <v>72757.196551724148</v>
      </c>
      <c r="Z2121" s="92">
        <f t="shared" si="939"/>
        <v>23296.660344827589</v>
      </c>
      <c r="AA2121" s="92">
        <f t="shared" si="940"/>
        <v>135417.76551724141</v>
      </c>
      <c r="AB2121" s="92">
        <f t="shared" si="941"/>
        <v>0</v>
      </c>
      <c r="AC2121" s="92">
        <f t="shared" si="942"/>
        <v>0</v>
      </c>
      <c r="AD2121" s="92">
        <f t="shared" si="943"/>
        <v>86397.791379310336</v>
      </c>
      <c r="AE2121" s="92">
        <f t="shared" si="944"/>
        <v>0</v>
      </c>
      <c r="AF2121" s="92">
        <f t="shared" si="945"/>
        <v>32977.718965517248</v>
      </c>
      <c r="AG2121" s="92">
        <f t="shared" si="946"/>
        <v>62498.539655172419</v>
      </c>
      <c r="AH2121" s="92">
        <f t="shared" si="947"/>
        <v>0</v>
      </c>
      <c r="AI2121" s="92">
        <f t="shared" si="948"/>
        <v>64358.891379310349</v>
      </c>
      <c r="AJ2121" s="92">
        <f t="shared" si="949"/>
        <v>111834.13103448277</v>
      </c>
      <c r="AK2121" s="92">
        <f t="shared" si="950"/>
        <v>0</v>
      </c>
      <c r="AL2121" s="92">
        <f t="shared" si="951"/>
        <v>86633.993103448287</v>
      </c>
      <c r="AM2121" s="92">
        <f t="shared" si="952"/>
        <v>27873.4</v>
      </c>
      <c r="AN2121" s="92">
        <f t="shared" si="953"/>
        <v>51607.098275862074</v>
      </c>
      <c r="AO2121" s="92">
        <f t="shared" si="954"/>
        <v>128048.80000000002</v>
      </c>
      <c r="AP2121" s="92">
        <f t="shared" si="955"/>
        <v>49505.370689655181</v>
      </c>
      <c r="AQ2121" s="92">
        <f t="shared" si="956"/>
        <v>71516.672413793116</v>
      </c>
      <c r="AR2121" s="92">
        <f t="shared" si="957"/>
        <v>51495.05</v>
      </c>
      <c r="AS2121" s="92">
        <f t="shared" si="958"/>
        <v>100196.9827586207</v>
      </c>
      <c r="AT2121" s="92">
        <f t="shared" si="959"/>
        <v>0</v>
      </c>
      <c r="AU2121" s="92">
        <f t="shared" si="960"/>
        <v>0</v>
      </c>
      <c r="AV2121" s="92">
        <f t="shared" si="961"/>
        <v>0</v>
      </c>
      <c r="AW2121" s="92">
        <f t="shared" si="962"/>
        <v>30743.206896551728</v>
      </c>
      <c r="AX2121" s="92">
        <f t="shared" si="963"/>
        <v>0</v>
      </c>
      <c r="AY2121" s="92">
        <f t="shared" si="964"/>
        <v>54944.206896551725</v>
      </c>
      <c r="AZ2121" s="92">
        <f t="shared" si="965"/>
        <v>43104.493103448287</v>
      </c>
      <c r="BA2121" s="92">
        <f t="shared" si="966"/>
        <v>48482.115517241386</v>
      </c>
      <c r="BB2121" s="92">
        <f t="shared" si="967"/>
        <v>0</v>
      </c>
      <c r="BC2121" s="92">
        <f t="shared" si="968"/>
        <v>132112.68793103448</v>
      </c>
      <c r="BD2121" s="92">
        <f t="shared" si="969"/>
        <v>55759.69827586208</v>
      </c>
      <c r="BE2121" s="92">
        <f t="shared" si="970"/>
        <v>0</v>
      </c>
      <c r="BF2121" s="92">
        <f t="shared" si="971"/>
        <v>55241.598275862074</v>
      </c>
      <c r="BG2121" s="92">
        <f t="shared" si="972"/>
        <v>97746.993103448287</v>
      </c>
      <c r="BH2121" s="92">
        <f t="shared" si="973"/>
        <v>0</v>
      </c>
      <c r="BI2121" s="92">
        <f t="shared" si="974"/>
        <v>113769.22965517243</v>
      </c>
      <c r="BJ2121" s="92">
        <f t="shared" si="975"/>
        <v>106173.60413793103</v>
      </c>
      <c r="BK2121" s="92">
        <f t="shared" si="976"/>
        <v>0</v>
      </c>
      <c r="BL2121" s="92">
        <f t="shared" si="977"/>
        <v>30421.404827586208</v>
      </c>
      <c r="BM2121" s="92">
        <f t="shared" si="978"/>
        <v>31699.848965517245</v>
      </c>
      <c r="BN2121" s="92">
        <f t="shared" si="979"/>
        <v>24451.612413793104</v>
      </c>
      <c r="BO2121" s="92">
        <f t="shared" si="980"/>
        <v>21083.502758620692</v>
      </c>
      <c r="BP2121" s="92">
        <f t="shared" si="981"/>
        <v>247913.38689655176</v>
      </c>
      <c r="BQ2121" s="92">
        <f t="shared" si="982"/>
        <v>28804.157241379311</v>
      </c>
      <c r="BR2121" s="92">
        <f t="shared" si="983"/>
        <v>95478.830344827584</v>
      </c>
      <c r="BS2121" s="92">
        <f t="shared" si="984"/>
        <v>0</v>
      </c>
      <c r="BT2121" s="92">
        <f t="shared" si="985"/>
        <v>43887.711724137938</v>
      </c>
      <c r="BU2121" s="92">
        <f t="shared" si="986"/>
        <v>0</v>
      </c>
      <c r="BV2121" s="92">
        <f t="shared" si="987"/>
        <v>0</v>
      </c>
      <c r="BW2121" s="92">
        <f t="shared" si="988"/>
        <v>48126.492413793101</v>
      </c>
      <c r="BX2121" s="92">
        <f t="shared" si="989"/>
        <v>61572.951034482772</v>
      </c>
      <c r="BY2121" s="92">
        <f t="shared" si="990"/>
        <v>0</v>
      </c>
      <c r="BZ2121" s="92">
        <f t="shared" si="991"/>
        <v>48261.849655172417</v>
      </c>
      <c r="CA2121" s="92">
        <f>SUM('NOGAL '!$B2121:$BZ2121)</f>
        <v>6214935.4803448264</v>
      </c>
      <c r="CB2121" s="133">
        <f>'NOGAL '!$CA2121/77</f>
        <v>80713.447796686058</v>
      </c>
    </row>
    <row r="2122" spans="1:83" x14ac:dyDescent="0.25">
      <c r="A2122" s="216" t="s">
        <v>30</v>
      </c>
      <c r="B2122" s="91">
        <v>12577367.413793104</v>
      </c>
      <c r="C2122" s="91">
        <f t="shared" si="916"/>
        <v>37539544.827586211</v>
      </c>
      <c r="D2122" s="91">
        <f t="shared" si="917"/>
        <v>34874964.31034483</v>
      </c>
      <c r="E2122" s="91">
        <f t="shared" si="918"/>
        <v>45155438.965517245</v>
      </c>
      <c r="F2122" s="91">
        <f t="shared" si="919"/>
        <v>37847003.965517245</v>
      </c>
      <c r="G2122" s="91">
        <f t="shared" si="920"/>
        <v>45444936.206896558</v>
      </c>
      <c r="H2122" s="91">
        <f t="shared" si="992"/>
        <v>40502238.965517238</v>
      </c>
      <c r="I2122" s="91">
        <f t="shared" si="922"/>
        <v>40782240.517241389</v>
      </c>
      <c r="J2122" s="91">
        <f t="shared" si="923"/>
        <v>43709777.413793109</v>
      </c>
      <c r="K2122" s="91">
        <f t="shared" si="924"/>
        <v>34326950.862068966</v>
      </c>
      <c r="L2122" s="91">
        <f t="shared" si="925"/>
        <v>30381833.793103453</v>
      </c>
      <c r="M2122" s="91">
        <f t="shared" si="926"/>
        <v>24922245.862068973</v>
      </c>
      <c r="N2122" s="91">
        <f t="shared" si="927"/>
        <v>27991915.344827596</v>
      </c>
      <c r="O2122" s="91">
        <f t="shared" si="928"/>
        <v>38951702.075862072</v>
      </c>
      <c r="P2122" s="91">
        <f t="shared" si="929"/>
        <v>36497983.103448279</v>
      </c>
      <c r="Q2122" s="91">
        <f t="shared" si="930"/>
        <v>38476876.896551728</v>
      </c>
      <c r="R2122" s="91">
        <f t="shared" si="931"/>
        <v>41681024.482758619</v>
      </c>
      <c r="S2122" s="91">
        <f t="shared" si="932"/>
        <v>38140851.206896566</v>
      </c>
      <c r="T2122" s="91">
        <f t="shared" si="933"/>
        <v>36931785.913793109</v>
      </c>
      <c r="U2122" s="91">
        <f t="shared" si="934"/>
        <v>36100062.413793109</v>
      </c>
      <c r="V2122" s="91">
        <f t="shared" si="935"/>
        <v>38709842.072413802</v>
      </c>
      <c r="W2122" s="91">
        <f t="shared" si="936"/>
        <v>37196452.413793102</v>
      </c>
      <c r="X2122" s="91">
        <f t="shared" si="937"/>
        <v>35653078.793103442</v>
      </c>
      <c r="Y2122" s="91">
        <f t="shared" si="938"/>
        <v>42158376.551724136</v>
      </c>
      <c r="Z2122" s="91">
        <f t="shared" si="939"/>
        <v>30950384.482758623</v>
      </c>
      <c r="AA2122" s="91">
        <f t="shared" si="940"/>
        <v>37272226.896551728</v>
      </c>
      <c r="AB2122" s="91">
        <f t="shared" si="941"/>
        <v>34516440.862068966</v>
      </c>
      <c r="AC2122" s="91">
        <f t="shared" si="942"/>
        <v>28930380.689655174</v>
      </c>
      <c r="AD2122" s="91">
        <f t="shared" si="943"/>
        <v>37620334.137931041</v>
      </c>
      <c r="AE2122" s="91">
        <f t="shared" si="944"/>
        <v>33409451.896551725</v>
      </c>
      <c r="AF2122" s="91">
        <f t="shared" si="945"/>
        <v>38385597.413793102</v>
      </c>
      <c r="AG2122" s="91">
        <f t="shared" si="946"/>
        <v>34765068.275862075</v>
      </c>
      <c r="AH2122" s="91">
        <f t="shared" si="947"/>
        <v>39059819.655172423</v>
      </c>
      <c r="AI2122" s="91">
        <f t="shared" si="948"/>
        <v>35783688.793103456</v>
      </c>
      <c r="AJ2122" s="91">
        <f t="shared" si="949"/>
        <v>36864903.103448279</v>
      </c>
      <c r="AK2122" s="91">
        <f t="shared" si="950"/>
        <v>32743586.724137932</v>
      </c>
      <c r="AL2122" s="91">
        <f t="shared" si="951"/>
        <v>29764093.965517242</v>
      </c>
      <c r="AM2122" s="91">
        <f t="shared" si="952"/>
        <v>32886867.068965517</v>
      </c>
      <c r="AN2122" s="91">
        <f t="shared" si="953"/>
        <v>33849804.482758626</v>
      </c>
      <c r="AO2122" s="91">
        <f t="shared" si="954"/>
        <v>32006343.275862072</v>
      </c>
      <c r="AP2122" s="91">
        <f t="shared" si="955"/>
        <v>32532899.48275863</v>
      </c>
      <c r="AQ2122" s="91">
        <f t="shared" si="956"/>
        <v>31429793.275862075</v>
      </c>
      <c r="AR2122" s="91">
        <f t="shared" si="957"/>
        <v>30514958.103448275</v>
      </c>
      <c r="AS2122" s="91">
        <f t="shared" si="958"/>
        <v>31181942.586206902</v>
      </c>
      <c r="AT2122" s="91">
        <f t="shared" si="959"/>
        <v>36135933.965517245</v>
      </c>
      <c r="AU2122" s="91">
        <f t="shared" si="960"/>
        <v>35297562.413793109</v>
      </c>
      <c r="AV2122" s="91">
        <f t="shared" si="961"/>
        <v>33449016.206896551</v>
      </c>
      <c r="AW2122" s="91">
        <f t="shared" si="962"/>
        <v>32780919.137931034</v>
      </c>
      <c r="AX2122" s="91">
        <f t="shared" si="963"/>
        <v>34675147.068965524</v>
      </c>
      <c r="AY2122" s="91">
        <f t="shared" si="964"/>
        <v>26309080.344827581</v>
      </c>
      <c r="AZ2122" s="91">
        <f t="shared" si="965"/>
        <v>24839925.86206897</v>
      </c>
      <c r="BA2122" s="91">
        <f t="shared" si="966"/>
        <v>23213286.896551721</v>
      </c>
      <c r="BB2122" s="91">
        <f t="shared" si="967"/>
        <v>23628546.724137932</v>
      </c>
      <c r="BC2122" s="91">
        <f t="shared" si="968"/>
        <v>29926417.068965521</v>
      </c>
      <c r="BD2122" s="91">
        <f t="shared" si="969"/>
        <v>26964423.44827586</v>
      </c>
      <c r="BE2122" s="91">
        <f t="shared" si="970"/>
        <v>23253890.689655174</v>
      </c>
      <c r="BF2122" s="91">
        <f t="shared" si="971"/>
        <v>27448048.448275868</v>
      </c>
      <c r="BG2122" s="91">
        <f t="shared" si="972"/>
        <v>27796241.034482755</v>
      </c>
      <c r="BH2122" s="91">
        <f t="shared" si="973"/>
        <v>25642020.068965521</v>
      </c>
      <c r="BI2122" s="91">
        <f t="shared" si="974"/>
        <v>28127874.068965521</v>
      </c>
      <c r="BJ2122" s="91">
        <f t="shared" si="975"/>
        <v>31199160.758620691</v>
      </c>
      <c r="BK2122" s="91">
        <f t="shared" si="976"/>
        <v>24141606.827586211</v>
      </c>
      <c r="BL2122" s="91">
        <f t="shared" si="977"/>
        <v>20630504.344827589</v>
      </c>
      <c r="BM2122" s="91">
        <f t="shared" si="978"/>
        <v>15988546.000000004</v>
      </c>
      <c r="BN2122" s="91">
        <f t="shared" si="979"/>
        <v>17572155.31034483</v>
      </c>
      <c r="BO2122" s="91">
        <f t="shared" si="980"/>
        <v>22040232.482758623</v>
      </c>
      <c r="BP2122" s="91">
        <f t="shared" si="981"/>
        <v>22847127.379310343</v>
      </c>
      <c r="BQ2122" s="91">
        <f t="shared" si="982"/>
        <v>26609524.206896547</v>
      </c>
      <c r="BR2122" s="91">
        <f t="shared" si="983"/>
        <v>23347993.586206898</v>
      </c>
      <c r="BS2122" s="91">
        <f t="shared" si="984"/>
        <v>22319544.275862072</v>
      </c>
      <c r="BT2122" s="91">
        <f t="shared" si="985"/>
        <v>22551352.758620691</v>
      </c>
      <c r="BU2122" s="91">
        <f t="shared" si="986"/>
        <v>20611958.896551725</v>
      </c>
      <c r="BV2122" s="91">
        <f t="shared" si="987"/>
        <v>24257030.827586211</v>
      </c>
      <c r="BW2122" s="91">
        <f t="shared" si="988"/>
        <v>22297990.482758619</v>
      </c>
      <c r="BX2122" s="91">
        <f t="shared" si="989"/>
        <v>20632136.482758626</v>
      </c>
      <c r="BY2122" s="91">
        <f t="shared" si="990"/>
        <v>23640476.206896558</v>
      </c>
      <c r="BZ2122" s="91">
        <f t="shared" si="991"/>
        <v>19092583.448275868</v>
      </c>
      <c r="CA2122" s="91">
        <f>SUM('NOGAL '!$B2122:$BZ2122)</f>
        <v>2390291337.2689652</v>
      </c>
      <c r="CB2122" s="136">
        <f>'NOGAL '!$CA2122/77</f>
        <v>31042744.639856692</v>
      </c>
    </row>
    <row r="2123" spans="1:83" x14ac:dyDescent="0.25">
      <c r="A2123" s="212" t="s">
        <v>31</v>
      </c>
      <c r="B2123" s="92">
        <f>2155*B2104</f>
        <v>497805</v>
      </c>
      <c r="C2123" s="92">
        <f t="shared" ref="C2123:O2123" si="993">2155*C2104</f>
        <v>1853300</v>
      </c>
      <c r="D2123" s="92">
        <f t="shared" si="993"/>
        <v>1708915</v>
      </c>
      <c r="E2123" s="92">
        <f t="shared" si="993"/>
        <v>2254130</v>
      </c>
      <c r="F2123" s="92">
        <f t="shared" si="993"/>
        <v>2420065</v>
      </c>
      <c r="G2123" s="92">
        <f t="shared" si="993"/>
        <v>2435150</v>
      </c>
      <c r="H2123" s="92">
        <f t="shared" si="993"/>
        <v>2124830</v>
      </c>
      <c r="I2123" s="92">
        <f t="shared" si="993"/>
        <v>2144225</v>
      </c>
      <c r="J2123" s="92">
        <f t="shared" si="993"/>
        <v>2605395</v>
      </c>
      <c r="K2123" s="92">
        <f t="shared" si="993"/>
        <v>1756325</v>
      </c>
      <c r="L2123" s="92">
        <f t="shared" si="993"/>
        <v>1370580</v>
      </c>
      <c r="M2123" s="92">
        <f t="shared" si="993"/>
        <v>1133530</v>
      </c>
      <c r="N2123" s="92">
        <f t="shared" si="993"/>
        <v>1312395</v>
      </c>
      <c r="O2123" s="92">
        <f t="shared" si="993"/>
        <v>1879160</v>
      </c>
      <c r="P2123" s="92">
        <f t="shared" si="929"/>
        <v>1728310</v>
      </c>
      <c r="Q2123" s="92">
        <f t="shared" si="930"/>
        <v>1909330</v>
      </c>
      <c r="R2123" s="92">
        <f t="shared" si="931"/>
        <v>2030010</v>
      </c>
      <c r="S2123" s="92">
        <f t="shared" si="932"/>
        <v>2019235</v>
      </c>
      <c r="T2123" s="92">
        <f t="shared" si="933"/>
        <v>1883470</v>
      </c>
      <c r="U2123" s="92">
        <f t="shared" si="934"/>
        <v>1857610</v>
      </c>
      <c r="V2123" s="92">
        <f t="shared" si="935"/>
        <v>2064490</v>
      </c>
      <c r="W2123" s="92">
        <f t="shared" si="936"/>
        <v>1991220</v>
      </c>
      <c r="X2123" s="92">
        <f t="shared" si="937"/>
        <v>1846835</v>
      </c>
      <c r="Y2123" s="92">
        <f t="shared" si="938"/>
        <v>2336020</v>
      </c>
      <c r="Z2123" s="92">
        <f t="shared" si="939"/>
        <v>1573150</v>
      </c>
      <c r="AA2123" s="92">
        <f t="shared" si="940"/>
        <v>1973980</v>
      </c>
      <c r="AB2123" s="92">
        <f t="shared" si="941"/>
        <v>1846835</v>
      </c>
      <c r="AC2123" s="92">
        <f t="shared" si="942"/>
        <v>1525740</v>
      </c>
      <c r="AD2123" s="92">
        <f t="shared" si="943"/>
        <v>2021390</v>
      </c>
      <c r="AE2123" s="92">
        <f t="shared" si="944"/>
        <v>1769255</v>
      </c>
      <c r="AF2123" s="92">
        <f t="shared" si="945"/>
        <v>2079575</v>
      </c>
      <c r="AG2123" s="92">
        <f t="shared" si="946"/>
        <v>1930880</v>
      </c>
      <c r="AH2123" s="92">
        <f t="shared" si="947"/>
        <v>2055870</v>
      </c>
      <c r="AI2123" s="92">
        <f t="shared" si="948"/>
        <v>1928725</v>
      </c>
      <c r="AJ2123" s="92">
        <f t="shared" si="949"/>
        <v>2021390</v>
      </c>
      <c r="AK2123" s="92">
        <f t="shared" si="950"/>
        <v>1730465</v>
      </c>
      <c r="AL2123" s="92">
        <f t="shared" si="951"/>
        <v>1605475</v>
      </c>
      <c r="AM2123" s="92">
        <f t="shared" si="952"/>
        <v>1786495</v>
      </c>
      <c r="AN2123" s="92">
        <f t="shared" si="953"/>
        <v>1866230</v>
      </c>
      <c r="AO2123" s="92">
        <f t="shared" si="954"/>
        <v>1704605</v>
      </c>
      <c r="AP2123" s="92">
        <f t="shared" si="955"/>
        <v>1760635</v>
      </c>
      <c r="AQ2123" s="92">
        <f t="shared" si="956"/>
        <v>1726155</v>
      </c>
      <c r="AR2123" s="92">
        <f t="shared" si="957"/>
        <v>1631335</v>
      </c>
      <c r="AS2123" s="92">
        <f t="shared" si="958"/>
        <v>1652885</v>
      </c>
      <c r="AT2123" s="92">
        <f t="shared" si="959"/>
        <v>1976135</v>
      </c>
      <c r="AU2123" s="92">
        <f t="shared" si="960"/>
        <v>1857610</v>
      </c>
      <c r="AV2123" s="92">
        <f t="shared" si="961"/>
        <v>1711070</v>
      </c>
      <c r="AW2123" s="92">
        <f t="shared" si="962"/>
        <v>1790805</v>
      </c>
      <c r="AX2123" s="92">
        <f t="shared" si="963"/>
        <v>1838215</v>
      </c>
      <c r="AY2123" s="92">
        <f t="shared" si="964"/>
        <v>1435230</v>
      </c>
      <c r="AZ2123" s="92">
        <f t="shared" si="965"/>
        <v>1228350</v>
      </c>
      <c r="BA2123" s="92">
        <f t="shared" si="966"/>
        <v>1215420</v>
      </c>
      <c r="BB2123" s="92">
        <f t="shared" si="967"/>
        <v>1230505</v>
      </c>
      <c r="BC2123" s="92">
        <f t="shared" si="968"/>
        <v>1549445</v>
      </c>
      <c r="BD2123" s="92">
        <f t="shared" si="969"/>
        <v>1413680</v>
      </c>
      <c r="BE2123" s="92">
        <f t="shared" si="970"/>
        <v>1219730</v>
      </c>
      <c r="BF2123" s="92">
        <f t="shared" si="971"/>
        <v>1467555</v>
      </c>
      <c r="BG2123" s="92">
        <f t="shared" si="972"/>
        <v>1504190</v>
      </c>
      <c r="BH2123" s="92">
        <f t="shared" si="973"/>
        <v>1576342</v>
      </c>
      <c r="BI2123" s="92">
        <f t="shared" si="974"/>
        <v>1670488</v>
      </c>
      <c r="BJ2123" s="92">
        <f t="shared" si="975"/>
        <v>1745322</v>
      </c>
      <c r="BK2123" s="92">
        <f t="shared" si="976"/>
        <v>1368738</v>
      </c>
      <c r="BL2123" s="92">
        <f t="shared" si="977"/>
        <v>1156306</v>
      </c>
      <c r="BM2123" s="92">
        <f t="shared" si="978"/>
        <v>871454</v>
      </c>
      <c r="BN2123" s="92">
        <f t="shared" si="979"/>
        <v>1004224</v>
      </c>
      <c r="BO2123" s="92">
        <f t="shared" si="980"/>
        <v>1310802</v>
      </c>
      <c r="BP2123" s="92">
        <f t="shared" si="981"/>
        <v>1330114</v>
      </c>
      <c r="BQ2123" s="92">
        <f t="shared" si="982"/>
        <v>1528062</v>
      </c>
      <c r="BR2123" s="92">
        <f t="shared" si="983"/>
        <v>1281834</v>
      </c>
      <c r="BS2123" s="92">
        <f t="shared" si="984"/>
        <v>1293904</v>
      </c>
      <c r="BT2123" s="92">
        <f t="shared" si="985"/>
        <v>1315630</v>
      </c>
      <c r="BU2123" s="92">
        <f t="shared" si="986"/>
        <v>1284248</v>
      </c>
      <c r="BV2123" s="92">
        <f t="shared" si="987"/>
        <v>1450814</v>
      </c>
      <c r="BW2123" s="92">
        <f t="shared" si="988"/>
        <v>1318044</v>
      </c>
      <c r="BX2123" s="92">
        <f t="shared" si="989"/>
        <v>1223898</v>
      </c>
      <c r="BY2123" s="92">
        <f t="shared" si="990"/>
        <v>1484610</v>
      </c>
      <c r="BZ2123" s="92">
        <f t="shared" si="991"/>
        <v>1038020</v>
      </c>
      <c r="CA2123" s="92">
        <f>2155*CA2104</f>
        <v>125334800</v>
      </c>
      <c r="CB2123" s="133">
        <f>'NOGAL '!$CA2123/77</f>
        <v>1627724.6753246754</v>
      </c>
    </row>
    <row r="2124" spans="1:83" x14ac:dyDescent="0.25">
      <c r="A2124" s="218" t="s">
        <v>32</v>
      </c>
      <c r="B2124" s="199">
        <f>B2122+B2123</f>
        <v>13075172.413793104</v>
      </c>
      <c r="C2124" s="199">
        <f t="shared" ref="C2124:O2124" si="994">C2122+C2123</f>
        <v>39392844.827586211</v>
      </c>
      <c r="D2124" s="199">
        <f t="shared" si="994"/>
        <v>36583879.31034483</v>
      </c>
      <c r="E2124" s="199">
        <f t="shared" si="994"/>
        <v>47409568.965517245</v>
      </c>
      <c r="F2124" s="199">
        <f t="shared" si="994"/>
        <v>40267068.965517245</v>
      </c>
      <c r="G2124" s="199">
        <f t="shared" si="994"/>
        <v>47880086.206896558</v>
      </c>
      <c r="H2124" s="199">
        <f t="shared" si="994"/>
        <v>42627068.965517238</v>
      </c>
      <c r="I2124" s="199">
        <f t="shared" si="994"/>
        <v>42926465.517241389</v>
      </c>
      <c r="J2124" s="199">
        <f t="shared" si="994"/>
        <v>46315172.413793109</v>
      </c>
      <c r="K2124" s="199">
        <f t="shared" si="994"/>
        <v>36083275.862068966</v>
      </c>
      <c r="L2124" s="199">
        <f t="shared" si="994"/>
        <v>31752413.793103453</v>
      </c>
      <c r="M2124" s="199">
        <f t="shared" si="994"/>
        <v>26055775.862068973</v>
      </c>
      <c r="N2124" s="199">
        <f t="shared" si="994"/>
        <v>29304310.344827596</v>
      </c>
      <c r="O2124" s="199">
        <f t="shared" si="994"/>
        <v>40830862.075862072</v>
      </c>
      <c r="P2124" s="199">
        <f t="shared" si="929"/>
        <v>38226293.103448279</v>
      </c>
      <c r="Q2124" s="199">
        <f t="shared" si="930"/>
        <v>40386206.896551728</v>
      </c>
      <c r="R2124" s="199">
        <f t="shared" si="931"/>
        <v>43711034.482758619</v>
      </c>
      <c r="S2124" s="199">
        <f t="shared" si="932"/>
        <v>40160086.206896566</v>
      </c>
      <c r="T2124" s="199">
        <f t="shared" si="933"/>
        <v>38815255.913793109</v>
      </c>
      <c r="U2124" s="199">
        <f t="shared" si="934"/>
        <v>37957672.413793109</v>
      </c>
      <c r="V2124" s="199">
        <f t="shared" si="935"/>
        <v>40774332.072413802</v>
      </c>
      <c r="W2124" s="199">
        <f t="shared" si="936"/>
        <v>39187672.413793102</v>
      </c>
      <c r="X2124" s="199">
        <f t="shared" si="937"/>
        <v>37499913.793103442</v>
      </c>
      <c r="Y2124" s="199">
        <f t="shared" si="938"/>
        <v>44494396.551724136</v>
      </c>
      <c r="Z2124" s="199">
        <f t="shared" si="939"/>
        <v>32523534.482758623</v>
      </c>
      <c r="AA2124" s="199">
        <f t="shared" si="940"/>
        <v>39246206.896551728</v>
      </c>
      <c r="AB2124" s="199">
        <f t="shared" si="941"/>
        <v>36363275.862068966</v>
      </c>
      <c r="AC2124" s="199">
        <f t="shared" si="942"/>
        <v>30456120.689655174</v>
      </c>
      <c r="AD2124" s="199">
        <f t="shared" si="943"/>
        <v>39641724.137931041</v>
      </c>
      <c r="AE2124" s="199">
        <f t="shared" si="944"/>
        <v>35178706.896551728</v>
      </c>
      <c r="AF2124" s="199">
        <f t="shared" si="945"/>
        <v>40465172.413793102</v>
      </c>
      <c r="AG2124" s="199">
        <f t="shared" si="946"/>
        <v>36695948.275862075</v>
      </c>
      <c r="AH2124" s="199">
        <f t="shared" si="947"/>
        <v>41115689.655172423</v>
      </c>
      <c r="AI2124" s="199">
        <f t="shared" si="948"/>
        <v>37712413.793103456</v>
      </c>
      <c r="AJ2124" s="199">
        <f t="shared" si="949"/>
        <v>38886293.103448279</v>
      </c>
      <c r="AK2124" s="199">
        <f t="shared" si="950"/>
        <v>34474051.724137932</v>
      </c>
      <c r="AL2124" s="199">
        <f t="shared" si="951"/>
        <v>31369568.965517242</v>
      </c>
      <c r="AM2124" s="199">
        <f t="shared" si="952"/>
        <v>34673362.068965517</v>
      </c>
      <c r="AN2124" s="199">
        <f t="shared" si="953"/>
        <v>35716034.482758626</v>
      </c>
      <c r="AO2124" s="199">
        <f t="shared" si="954"/>
        <v>33710948.275862068</v>
      </c>
      <c r="AP2124" s="199">
        <f t="shared" si="955"/>
        <v>34293534.482758626</v>
      </c>
      <c r="AQ2124" s="199">
        <f t="shared" si="956"/>
        <v>33155948.275862075</v>
      </c>
      <c r="AR2124" s="199">
        <f t="shared" si="957"/>
        <v>32146293.103448275</v>
      </c>
      <c r="AS2124" s="199">
        <f t="shared" si="958"/>
        <v>32834827.586206902</v>
      </c>
      <c r="AT2124" s="199">
        <f t="shared" si="959"/>
        <v>38112068.965517245</v>
      </c>
      <c r="AU2124" s="199">
        <f t="shared" si="960"/>
        <v>37155172.413793109</v>
      </c>
      <c r="AV2124" s="199">
        <f t="shared" si="961"/>
        <v>35160086.206896551</v>
      </c>
      <c r="AW2124" s="199">
        <f t="shared" si="962"/>
        <v>34571724.137931034</v>
      </c>
      <c r="AX2124" s="199">
        <f t="shared" si="963"/>
        <v>36513362.068965524</v>
      </c>
      <c r="AY2124" s="199">
        <f t="shared" si="964"/>
        <v>27744310.344827581</v>
      </c>
      <c r="AZ2124" s="199">
        <f t="shared" si="965"/>
        <v>26068275.86206897</v>
      </c>
      <c r="BA2124" s="199">
        <f t="shared" si="966"/>
        <v>24428706.896551721</v>
      </c>
      <c r="BB2124" s="199">
        <f t="shared" si="967"/>
        <v>24859051.724137932</v>
      </c>
      <c r="BC2124" s="199">
        <f t="shared" si="968"/>
        <v>31475862.068965521</v>
      </c>
      <c r="BD2124" s="199">
        <f t="shared" si="969"/>
        <v>28378103.44827586</v>
      </c>
      <c r="BE2124" s="199">
        <f t="shared" si="970"/>
        <v>24473620.689655174</v>
      </c>
      <c r="BF2124" s="199">
        <f t="shared" si="971"/>
        <v>28915603.448275868</v>
      </c>
      <c r="BG2124" s="199">
        <f t="shared" si="972"/>
        <v>29300431.034482755</v>
      </c>
      <c r="BH2124" s="199">
        <f t="shared" si="973"/>
        <v>27218362.068965521</v>
      </c>
      <c r="BI2124" s="199">
        <f t="shared" si="974"/>
        <v>29798362.068965521</v>
      </c>
      <c r="BJ2124" s="199">
        <f t="shared" si="975"/>
        <v>32944482.758620691</v>
      </c>
      <c r="BK2124" s="199">
        <f t="shared" si="976"/>
        <v>25510344.827586211</v>
      </c>
      <c r="BL2124" s="199">
        <f t="shared" si="977"/>
        <v>21786810.344827589</v>
      </c>
      <c r="BM2124" s="199">
        <f t="shared" si="978"/>
        <v>16860000.000000004</v>
      </c>
      <c r="BN2124" s="199">
        <f t="shared" si="979"/>
        <v>18576379.31034483</v>
      </c>
      <c r="BO2124" s="199">
        <f t="shared" si="980"/>
        <v>23351034.482758623</v>
      </c>
      <c r="BP2124" s="199">
        <f t="shared" si="981"/>
        <v>24177241.379310343</v>
      </c>
      <c r="BQ2124" s="199">
        <f t="shared" si="982"/>
        <v>28137586.206896547</v>
      </c>
      <c r="BR2124" s="199">
        <f t="shared" si="983"/>
        <v>24629827.586206898</v>
      </c>
      <c r="BS2124" s="199">
        <f t="shared" si="984"/>
        <v>23613448.275862072</v>
      </c>
      <c r="BT2124" s="199">
        <f t="shared" si="985"/>
        <v>23866982.758620691</v>
      </c>
      <c r="BU2124" s="199">
        <f t="shared" si="986"/>
        <v>21896206.896551725</v>
      </c>
      <c r="BV2124" s="199">
        <f t="shared" si="987"/>
        <v>25707844.827586211</v>
      </c>
      <c r="BW2124" s="199">
        <f t="shared" si="988"/>
        <v>23616034.482758619</v>
      </c>
      <c r="BX2124" s="199">
        <f t="shared" si="989"/>
        <v>21856034.482758626</v>
      </c>
      <c r="BY2124" s="199">
        <f t="shared" si="990"/>
        <v>25125086.206896558</v>
      </c>
      <c r="BZ2124" s="199">
        <f t="shared" si="991"/>
        <v>20130603.448275868</v>
      </c>
      <c r="CA2124" s="199">
        <f>CA2122+CA2123</f>
        <v>2515626137.2689652</v>
      </c>
      <c r="CB2124" s="284">
        <f>'NOGAL '!$CA2124/77</f>
        <v>32670469.315181367</v>
      </c>
      <c r="CE2124" s="89"/>
    </row>
    <row r="2125" spans="1:83" x14ac:dyDescent="0.25">
      <c r="A2125" s="212" t="s">
        <v>33</v>
      </c>
      <c r="B2125" s="94">
        <f t="shared" ref="B2125:M2125" si="995">B2124*16%</f>
        <v>2092027.5862068967</v>
      </c>
      <c r="C2125" s="94">
        <f t="shared" si="995"/>
        <v>6302855.1724137943</v>
      </c>
      <c r="D2125" s="94">
        <f t="shared" si="995"/>
        <v>5853420.6896551726</v>
      </c>
      <c r="E2125" s="94">
        <f t="shared" si="995"/>
        <v>7585531.0344827594</v>
      </c>
      <c r="F2125" s="94">
        <f t="shared" si="995"/>
        <v>6442731.0344827594</v>
      </c>
      <c r="G2125" s="94">
        <f t="shared" si="995"/>
        <v>7660813.793103449</v>
      </c>
      <c r="H2125" s="94">
        <f t="shared" si="995"/>
        <v>6820331.0344827585</v>
      </c>
      <c r="I2125" s="94">
        <f t="shared" si="995"/>
        <v>6868234.4827586226</v>
      </c>
      <c r="J2125" s="94">
        <f t="shared" si="995"/>
        <v>7410427.5862068981</v>
      </c>
      <c r="K2125" s="94">
        <f t="shared" si="995"/>
        <v>5773324.1379310349</v>
      </c>
      <c r="L2125" s="94">
        <f t="shared" si="995"/>
        <v>5080386.2068965528</v>
      </c>
      <c r="M2125" s="94">
        <f t="shared" si="995"/>
        <v>4168924.1379310358</v>
      </c>
      <c r="N2125" s="94">
        <f>N2124*16%</f>
        <v>4688689.6551724151</v>
      </c>
      <c r="O2125" s="94">
        <f>O2124*16%</f>
        <v>6532937.9321379317</v>
      </c>
      <c r="P2125" s="94">
        <f>P2124*16%</f>
        <v>6116206.8965517245</v>
      </c>
      <c r="Q2125" s="94">
        <f>Q2124*16%</f>
        <v>6461793.1034482764</v>
      </c>
      <c r="R2125" s="94">
        <f t="shared" si="931"/>
        <v>6993765.5172413792</v>
      </c>
      <c r="S2125" s="94">
        <f t="shared" si="932"/>
        <v>6425613.7931034509</v>
      </c>
      <c r="T2125" s="94">
        <f t="shared" si="933"/>
        <v>6210440.9462068975</v>
      </c>
      <c r="U2125" s="94">
        <f t="shared" si="934"/>
        <v>6073227.5862068972</v>
      </c>
      <c r="V2125" s="94">
        <f t="shared" si="935"/>
        <v>6523893.1315862089</v>
      </c>
      <c r="W2125" s="94">
        <f t="shared" si="936"/>
        <v>6270027.5862068962</v>
      </c>
      <c r="X2125" s="94">
        <f t="shared" si="937"/>
        <v>5999986.206896551</v>
      </c>
      <c r="Y2125" s="94">
        <f t="shared" si="938"/>
        <v>7119103.4482758623</v>
      </c>
      <c r="Z2125" s="94">
        <f t="shared" si="939"/>
        <v>5203765.5172413802</v>
      </c>
      <c r="AA2125" s="94">
        <f t="shared" si="940"/>
        <v>6279393.1034482764</v>
      </c>
      <c r="AB2125" s="94">
        <f t="shared" si="941"/>
        <v>5818124.1379310349</v>
      </c>
      <c r="AC2125" s="94">
        <f t="shared" si="942"/>
        <v>4872979.3103448283</v>
      </c>
      <c r="AD2125" s="94">
        <f t="shared" si="943"/>
        <v>6342675.862068967</v>
      </c>
      <c r="AE2125" s="94">
        <f t="shared" si="944"/>
        <v>5628593.1034482764</v>
      </c>
      <c r="AF2125" s="94">
        <f t="shared" si="945"/>
        <v>6474427.5862068962</v>
      </c>
      <c r="AG2125" s="94">
        <f t="shared" si="946"/>
        <v>5871351.7241379321</v>
      </c>
      <c r="AH2125" s="94">
        <f t="shared" si="947"/>
        <v>6578510.3448275877</v>
      </c>
      <c r="AI2125" s="94">
        <f t="shared" si="948"/>
        <v>6033986.2068965528</v>
      </c>
      <c r="AJ2125" s="94">
        <f t="shared" si="949"/>
        <v>6221806.8965517245</v>
      </c>
      <c r="AK2125" s="94">
        <f t="shared" si="950"/>
        <v>5515848.2758620689</v>
      </c>
      <c r="AL2125" s="94">
        <f t="shared" si="951"/>
        <v>5019131.0344827585</v>
      </c>
      <c r="AM2125" s="94">
        <f t="shared" si="952"/>
        <v>5547737.931034483</v>
      </c>
      <c r="AN2125" s="94">
        <f t="shared" si="953"/>
        <v>5714565.5172413802</v>
      </c>
      <c r="AO2125" s="94">
        <f t="shared" si="954"/>
        <v>5393751.7241379311</v>
      </c>
      <c r="AP2125" s="94">
        <f t="shared" si="955"/>
        <v>5486965.5172413802</v>
      </c>
      <c r="AQ2125" s="94">
        <f t="shared" si="956"/>
        <v>5304951.7241379321</v>
      </c>
      <c r="AR2125" s="94">
        <f t="shared" si="957"/>
        <v>5143406.8965517245</v>
      </c>
      <c r="AS2125" s="94">
        <f t="shared" si="958"/>
        <v>5253572.4137931047</v>
      </c>
      <c r="AT2125" s="94">
        <f t="shared" si="959"/>
        <v>6097931.0344827594</v>
      </c>
      <c r="AU2125" s="94">
        <f t="shared" si="960"/>
        <v>5944827.5862068972</v>
      </c>
      <c r="AV2125" s="94">
        <f t="shared" si="961"/>
        <v>5625613.7931034481</v>
      </c>
      <c r="AW2125" s="94">
        <f t="shared" si="962"/>
        <v>5531475.8620689651</v>
      </c>
      <c r="AX2125" s="94">
        <f t="shared" si="963"/>
        <v>5842137.9310344839</v>
      </c>
      <c r="AY2125" s="94">
        <f t="shared" si="964"/>
        <v>4439089.6551724132</v>
      </c>
      <c r="AZ2125" s="94">
        <f t="shared" si="965"/>
        <v>4170924.1379310354</v>
      </c>
      <c r="BA2125" s="94">
        <f t="shared" si="966"/>
        <v>3908593.1034482755</v>
      </c>
      <c r="BB2125" s="94">
        <f t="shared" si="967"/>
        <v>3977448.2758620693</v>
      </c>
      <c r="BC2125" s="94">
        <f t="shared" si="968"/>
        <v>5036137.931034483</v>
      </c>
      <c r="BD2125" s="94">
        <f t="shared" si="969"/>
        <v>4540496.5517241377</v>
      </c>
      <c r="BE2125" s="94">
        <f t="shared" si="970"/>
        <v>3915779.3103448278</v>
      </c>
      <c r="BF2125" s="94">
        <f t="shared" si="971"/>
        <v>4626496.5517241387</v>
      </c>
      <c r="BG2125" s="94">
        <f t="shared" si="972"/>
        <v>4688068.9655172406</v>
      </c>
      <c r="BH2125" s="94">
        <f t="shared" si="973"/>
        <v>4354937.931034483</v>
      </c>
      <c r="BI2125" s="94">
        <f t="shared" si="974"/>
        <v>4767737.931034483</v>
      </c>
      <c r="BJ2125" s="94">
        <f t="shared" si="975"/>
        <v>5271117.2413793104</v>
      </c>
      <c r="BK2125" s="94">
        <f t="shared" si="976"/>
        <v>4081655.1724137939</v>
      </c>
      <c r="BL2125" s="94">
        <f t="shared" si="977"/>
        <v>3485889.6551724141</v>
      </c>
      <c r="BM2125" s="94">
        <f t="shared" si="978"/>
        <v>2697600.0000000005</v>
      </c>
      <c r="BN2125" s="94">
        <f t="shared" si="979"/>
        <v>2972220.6896551731</v>
      </c>
      <c r="BO2125" s="94">
        <f t="shared" si="980"/>
        <v>3736165.5172413797</v>
      </c>
      <c r="BP2125" s="94">
        <f t="shared" si="981"/>
        <v>3868358.6206896552</v>
      </c>
      <c r="BQ2125" s="94">
        <f t="shared" si="982"/>
        <v>4502013.7931034481</v>
      </c>
      <c r="BR2125" s="94">
        <f t="shared" si="983"/>
        <v>3940772.4137931038</v>
      </c>
      <c r="BS2125" s="94">
        <f t="shared" si="984"/>
        <v>3778151.7241379316</v>
      </c>
      <c r="BT2125" s="94">
        <f t="shared" si="985"/>
        <v>3818717.2413793104</v>
      </c>
      <c r="BU2125" s="94">
        <f t="shared" si="986"/>
        <v>3503393.1034482759</v>
      </c>
      <c r="BV2125" s="94">
        <f t="shared" si="987"/>
        <v>4113255.1724137939</v>
      </c>
      <c r="BW2125" s="94">
        <f t="shared" si="988"/>
        <v>3778565.5172413792</v>
      </c>
      <c r="BX2125" s="94">
        <f t="shared" si="989"/>
        <v>3496965.5172413802</v>
      </c>
      <c r="BY2125" s="94">
        <f t="shared" si="990"/>
        <v>4020013.7931034495</v>
      </c>
      <c r="BZ2125" s="94">
        <f t="shared" si="991"/>
        <v>3220896.5517241391</v>
      </c>
      <c r="CA2125" s="94">
        <f>CA2124*16%</f>
        <v>402500181.96303445</v>
      </c>
      <c r="CB2125" s="139">
        <f>'NOGAL '!$CA2125/77</f>
        <v>5227275.0904290192</v>
      </c>
      <c r="CE2125" s="89"/>
    </row>
    <row r="2126" spans="1:83" x14ac:dyDescent="0.25">
      <c r="A2126" s="220" t="s">
        <v>34</v>
      </c>
      <c r="B2126" s="202">
        <f>B2124+B2125</f>
        <v>15167200</v>
      </c>
      <c r="C2126" s="202">
        <f t="shared" ref="C2126:O2126" si="996">C2124+C2125</f>
        <v>45695700.000000007</v>
      </c>
      <c r="D2126" s="202">
        <f t="shared" si="996"/>
        <v>42437300</v>
      </c>
      <c r="E2126" s="202">
        <f t="shared" si="996"/>
        <v>54995100.000000007</v>
      </c>
      <c r="F2126" s="202">
        <f t="shared" si="996"/>
        <v>46709800.000000007</v>
      </c>
      <c r="G2126" s="202">
        <f t="shared" si="996"/>
        <v>55540900.000000007</v>
      </c>
      <c r="H2126" s="202">
        <f t="shared" si="996"/>
        <v>49447400</v>
      </c>
      <c r="I2126" s="202">
        <f t="shared" si="996"/>
        <v>49794700.000000015</v>
      </c>
      <c r="J2126" s="202">
        <f t="shared" si="996"/>
        <v>53725600.000000007</v>
      </c>
      <c r="K2126" s="202">
        <f t="shared" si="996"/>
        <v>41856600</v>
      </c>
      <c r="L2126" s="202">
        <f t="shared" si="996"/>
        <v>36832800.000000007</v>
      </c>
      <c r="M2126" s="202">
        <f t="shared" si="996"/>
        <v>30224700.000000007</v>
      </c>
      <c r="N2126" s="202">
        <f t="shared" si="996"/>
        <v>33993000.000000015</v>
      </c>
      <c r="O2126" s="202">
        <f t="shared" si="996"/>
        <v>47363800.008000001</v>
      </c>
      <c r="P2126" s="202">
        <f t="shared" si="929"/>
        <v>44342500</v>
      </c>
      <c r="Q2126" s="202">
        <f t="shared" si="930"/>
        <v>46848000</v>
      </c>
      <c r="R2126" s="202">
        <f t="shared" si="931"/>
        <v>50704800</v>
      </c>
      <c r="S2126" s="202">
        <f t="shared" si="932"/>
        <v>46585700</v>
      </c>
      <c r="T2126" s="202">
        <f t="shared" si="933"/>
        <v>45058800</v>
      </c>
      <c r="U2126" s="202">
        <f t="shared" si="934"/>
        <v>44030900</v>
      </c>
      <c r="V2126" s="202">
        <f t="shared" si="935"/>
        <v>47247500</v>
      </c>
      <c r="W2126" s="202">
        <f t="shared" si="936"/>
        <v>45457700</v>
      </c>
      <c r="X2126" s="202">
        <f t="shared" si="937"/>
        <v>43499900</v>
      </c>
      <c r="Y2126" s="202">
        <f t="shared" si="938"/>
        <v>51613500.000000007</v>
      </c>
      <c r="Z2126" s="202">
        <f t="shared" si="939"/>
        <v>37727300</v>
      </c>
      <c r="AA2126" s="202">
        <f t="shared" si="940"/>
        <v>45525600</v>
      </c>
      <c r="AB2126" s="202">
        <f t="shared" si="941"/>
        <v>42181400</v>
      </c>
      <c r="AC2126" s="202">
        <f t="shared" si="942"/>
        <v>35329100</v>
      </c>
      <c r="AD2126" s="202">
        <f t="shared" si="943"/>
        <v>45984400.000000007</v>
      </c>
      <c r="AE2126" s="202">
        <f t="shared" si="944"/>
        <v>40807300.000000007</v>
      </c>
      <c r="AF2126" s="202">
        <f t="shared" si="945"/>
        <v>46939600</v>
      </c>
      <c r="AG2126" s="202">
        <f t="shared" si="946"/>
        <v>42567300.000000007</v>
      </c>
      <c r="AH2126" s="202">
        <f t="shared" si="947"/>
        <v>47694200.000000007</v>
      </c>
      <c r="AI2126" s="202">
        <f t="shared" si="948"/>
        <v>43746400.000000007</v>
      </c>
      <c r="AJ2126" s="202">
        <f t="shared" si="949"/>
        <v>45108100</v>
      </c>
      <c r="AK2126" s="202">
        <f t="shared" si="950"/>
        <v>39989900</v>
      </c>
      <c r="AL2126" s="202">
        <f t="shared" si="951"/>
        <v>36388700</v>
      </c>
      <c r="AM2126" s="202">
        <f t="shared" si="952"/>
        <v>40221100</v>
      </c>
      <c r="AN2126" s="202">
        <f t="shared" si="953"/>
        <v>41430600.000000007</v>
      </c>
      <c r="AO2126" s="202">
        <f t="shared" si="954"/>
        <v>39104700</v>
      </c>
      <c r="AP2126" s="202">
        <f t="shared" si="955"/>
        <v>39780500.000000007</v>
      </c>
      <c r="AQ2126" s="202">
        <f t="shared" si="956"/>
        <v>38460900.000000007</v>
      </c>
      <c r="AR2126" s="202">
        <f t="shared" si="957"/>
        <v>37289700</v>
      </c>
      <c r="AS2126" s="202">
        <f t="shared" si="958"/>
        <v>38088400.000000007</v>
      </c>
      <c r="AT2126" s="202">
        <f t="shared" si="959"/>
        <v>44210000.000000007</v>
      </c>
      <c r="AU2126" s="202">
        <f t="shared" si="960"/>
        <v>43100000.000000007</v>
      </c>
      <c r="AV2126" s="202">
        <f t="shared" si="961"/>
        <v>40785700</v>
      </c>
      <c r="AW2126" s="202">
        <f t="shared" si="962"/>
        <v>40103200</v>
      </c>
      <c r="AX2126" s="202">
        <f t="shared" si="963"/>
        <v>42355500.000000007</v>
      </c>
      <c r="AY2126" s="202">
        <f t="shared" si="964"/>
        <v>32183399.999999993</v>
      </c>
      <c r="AZ2126" s="202">
        <f t="shared" si="965"/>
        <v>30239200.000000004</v>
      </c>
      <c r="BA2126" s="202">
        <f t="shared" si="966"/>
        <v>28337299.999999996</v>
      </c>
      <c r="BB2126" s="202">
        <f t="shared" si="967"/>
        <v>28836500</v>
      </c>
      <c r="BC2126" s="202">
        <f t="shared" si="968"/>
        <v>36512000</v>
      </c>
      <c r="BD2126" s="202">
        <f t="shared" si="969"/>
        <v>32918600</v>
      </c>
      <c r="BE2126" s="202">
        <f t="shared" si="970"/>
        <v>28389400</v>
      </c>
      <c r="BF2126" s="202">
        <f t="shared" si="971"/>
        <v>33542100.000000007</v>
      </c>
      <c r="BG2126" s="202">
        <f t="shared" si="972"/>
        <v>33988499.999999993</v>
      </c>
      <c r="BH2126" s="202">
        <f t="shared" si="973"/>
        <v>31573300.000000004</v>
      </c>
      <c r="BI2126" s="202">
        <f t="shared" si="974"/>
        <v>34566100</v>
      </c>
      <c r="BJ2126" s="202">
        <f t="shared" si="975"/>
        <v>38215600</v>
      </c>
      <c r="BK2126" s="202">
        <f t="shared" si="976"/>
        <v>29592000.000000004</v>
      </c>
      <c r="BL2126" s="202">
        <f t="shared" si="977"/>
        <v>25272700.000000004</v>
      </c>
      <c r="BM2126" s="202">
        <f t="shared" si="978"/>
        <v>19557600.000000004</v>
      </c>
      <c r="BN2126" s="202">
        <f t="shared" si="979"/>
        <v>21548600.000000004</v>
      </c>
      <c r="BO2126" s="202">
        <f t="shared" si="980"/>
        <v>27087200.000000004</v>
      </c>
      <c r="BP2126" s="202">
        <f t="shared" si="981"/>
        <v>28045600</v>
      </c>
      <c r="BQ2126" s="202">
        <f t="shared" si="982"/>
        <v>32639599.999999996</v>
      </c>
      <c r="BR2126" s="202">
        <f t="shared" si="983"/>
        <v>28570600</v>
      </c>
      <c r="BS2126" s="202">
        <f t="shared" si="984"/>
        <v>27391600.000000004</v>
      </c>
      <c r="BT2126" s="202">
        <f t="shared" si="985"/>
        <v>27685700</v>
      </c>
      <c r="BU2126" s="202">
        <f t="shared" si="986"/>
        <v>25399600</v>
      </c>
      <c r="BV2126" s="202">
        <f t="shared" si="987"/>
        <v>29821100.000000004</v>
      </c>
      <c r="BW2126" s="202">
        <f t="shared" si="988"/>
        <v>27394600</v>
      </c>
      <c r="BX2126" s="202">
        <f t="shared" si="989"/>
        <v>25353000.000000007</v>
      </c>
      <c r="BY2126" s="202">
        <f t="shared" si="990"/>
        <v>29145100.000000007</v>
      </c>
      <c r="BZ2126" s="202">
        <f t="shared" si="991"/>
        <v>23351500.000000007</v>
      </c>
      <c r="CA2126" s="202">
        <f>SUM('NOGAL '!$B2126:$BZ2126)</f>
        <v>2921251600.0079999</v>
      </c>
      <c r="CB2126" s="285">
        <f>'NOGAL '!$CA2126/77</f>
        <v>37938332.467636362</v>
      </c>
    </row>
    <row r="2129" spans="1:80" ht="27" thickBot="1" x14ac:dyDescent="0.3">
      <c r="A2129" s="85"/>
      <c r="B2129" s="1005" t="s">
        <v>401</v>
      </c>
      <c r="C2129" s="1005"/>
      <c r="D2129" s="1005"/>
      <c r="E2129" s="1005"/>
      <c r="F2129" s="1005"/>
      <c r="G2129" s="1005"/>
      <c r="H2129" s="1005"/>
      <c r="I2129" s="85"/>
    </row>
    <row r="2130" spans="1:80" ht="15.75" x14ac:dyDescent="0.25">
      <c r="A2130" s="72" t="s">
        <v>2</v>
      </c>
      <c r="B2130" s="287" t="s">
        <v>353</v>
      </c>
      <c r="C2130" s="153" t="s">
        <v>354</v>
      </c>
      <c r="D2130" s="50" t="s">
        <v>355</v>
      </c>
      <c r="E2130" s="50" t="s">
        <v>356</v>
      </c>
      <c r="F2130" s="50" t="s">
        <v>357</v>
      </c>
      <c r="G2130" s="50" t="s">
        <v>69</v>
      </c>
      <c r="H2130" s="50" t="s">
        <v>358</v>
      </c>
      <c r="I2130" s="50" t="s">
        <v>359</v>
      </c>
      <c r="J2130" s="50" t="s">
        <v>98</v>
      </c>
      <c r="K2130" s="50" t="s">
        <v>106</v>
      </c>
      <c r="L2130" s="50" t="s">
        <v>114</v>
      </c>
      <c r="M2130" s="50" t="s">
        <v>122</v>
      </c>
      <c r="N2130" s="50" t="s">
        <v>130</v>
      </c>
      <c r="O2130" s="50" t="s">
        <v>138</v>
      </c>
      <c r="P2130" s="50" t="s">
        <v>146</v>
      </c>
      <c r="Q2130" s="50" t="s">
        <v>154</v>
      </c>
      <c r="R2130" s="50" t="s">
        <v>162</v>
      </c>
      <c r="S2130" s="50" t="s">
        <v>166</v>
      </c>
      <c r="T2130" s="228" t="s">
        <v>169</v>
      </c>
      <c r="U2130" s="228" t="s">
        <v>360</v>
      </c>
      <c r="V2130" s="228" t="str">
        <f t="shared" ref="V2130:BZ2130" si="997">+V2102</f>
        <v>SEMANA 21</v>
      </c>
      <c r="W2130" s="228" t="str">
        <f t="shared" si="997"/>
        <v>SEMANA 22</v>
      </c>
      <c r="X2130" s="228" t="str">
        <f t="shared" si="997"/>
        <v>SEMANA 23</v>
      </c>
      <c r="Y2130" s="228" t="str">
        <f t="shared" si="997"/>
        <v>SEMANA 24</v>
      </c>
      <c r="Z2130" s="228" t="str">
        <f t="shared" si="997"/>
        <v>SEMANA 25</v>
      </c>
      <c r="AA2130" s="228" t="str">
        <f t="shared" si="997"/>
        <v>SEMANA 26</v>
      </c>
      <c r="AB2130" s="228" t="str">
        <f t="shared" si="997"/>
        <v>SEMANA 27</v>
      </c>
      <c r="AC2130" s="228" t="str">
        <f t="shared" si="997"/>
        <v>SEMANA 28</v>
      </c>
      <c r="AD2130" s="228" t="str">
        <f t="shared" si="997"/>
        <v>SEMANA 29</v>
      </c>
      <c r="AE2130" s="228" t="str">
        <f t="shared" si="997"/>
        <v>SEMANA 30</v>
      </c>
      <c r="AF2130" s="228" t="str">
        <f t="shared" si="997"/>
        <v>SEMANA 31</v>
      </c>
      <c r="AG2130" s="228" t="str">
        <f t="shared" si="997"/>
        <v>SEMANA 32</v>
      </c>
      <c r="AH2130" s="228" t="str">
        <f t="shared" si="997"/>
        <v>SEMANA 33</v>
      </c>
      <c r="AI2130" s="228" t="str">
        <f t="shared" si="997"/>
        <v>SEMANA 34</v>
      </c>
      <c r="AJ2130" s="228" t="str">
        <f t="shared" si="997"/>
        <v>SEMANA 35</v>
      </c>
      <c r="AK2130" s="228" t="str">
        <f t="shared" si="997"/>
        <v>SEMANA 36</v>
      </c>
      <c r="AL2130" s="228" t="str">
        <f t="shared" si="997"/>
        <v>SEMANA 37</v>
      </c>
      <c r="AM2130" s="228" t="str">
        <f t="shared" si="997"/>
        <v>SEMANA 38</v>
      </c>
      <c r="AN2130" s="228" t="str">
        <f t="shared" si="997"/>
        <v>SEMANA 39</v>
      </c>
      <c r="AO2130" s="228" t="str">
        <f t="shared" si="997"/>
        <v>SEMANA 40</v>
      </c>
      <c r="AP2130" s="228" t="str">
        <f t="shared" si="997"/>
        <v>SEMANA 41</v>
      </c>
      <c r="AQ2130" s="228" t="str">
        <f t="shared" si="997"/>
        <v>SEMANA 42</v>
      </c>
      <c r="AR2130" s="228" t="str">
        <f t="shared" si="997"/>
        <v>SEMANA 43</v>
      </c>
      <c r="AS2130" s="228" t="str">
        <f t="shared" si="997"/>
        <v>SEMANA 44</v>
      </c>
      <c r="AT2130" s="228" t="str">
        <f t="shared" si="997"/>
        <v>SEMANA 45</v>
      </c>
      <c r="AU2130" s="228" t="str">
        <f t="shared" si="997"/>
        <v>SEMANA 46</v>
      </c>
      <c r="AV2130" s="228" t="str">
        <f t="shared" si="997"/>
        <v>SEMANA 47</v>
      </c>
      <c r="AW2130" s="228" t="str">
        <f t="shared" ref="AW2130:BY2130" si="998">+AW2102</f>
        <v>SEMANA 48</v>
      </c>
      <c r="AX2130" s="228" t="str">
        <f t="shared" si="998"/>
        <v>SEMANA 49</v>
      </c>
      <c r="AY2130" s="228" t="str">
        <f t="shared" si="998"/>
        <v>SEMANA 50</v>
      </c>
      <c r="AZ2130" s="228" t="str">
        <f t="shared" si="998"/>
        <v>SEMANA 51</v>
      </c>
      <c r="BA2130" s="228" t="str">
        <f t="shared" si="998"/>
        <v>SEMANA 52</v>
      </c>
      <c r="BB2130" s="228" t="str">
        <f t="shared" si="998"/>
        <v>SEMANA 53</v>
      </c>
      <c r="BC2130" s="228" t="str">
        <f t="shared" si="998"/>
        <v>SEMANA 54</v>
      </c>
      <c r="BD2130" s="228" t="str">
        <f t="shared" si="998"/>
        <v>SEMANA 55</v>
      </c>
      <c r="BE2130" s="228" t="str">
        <f t="shared" si="998"/>
        <v>SEMANA 56</v>
      </c>
      <c r="BF2130" s="228" t="str">
        <f t="shared" si="998"/>
        <v>SEMANA 57</v>
      </c>
      <c r="BG2130" s="228" t="str">
        <f t="shared" si="998"/>
        <v>SEMANA 58</v>
      </c>
      <c r="BH2130" s="228" t="str">
        <f t="shared" si="998"/>
        <v>SEMANA 59</v>
      </c>
      <c r="BI2130" s="228" t="str">
        <f t="shared" si="998"/>
        <v>SEMANA 60</v>
      </c>
      <c r="BJ2130" s="228" t="str">
        <f t="shared" si="998"/>
        <v>SEMANA 61</v>
      </c>
      <c r="BK2130" s="228" t="str">
        <f t="shared" si="998"/>
        <v>SEMANA 62</v>
      </c>
      <c r="BL2130" s="228" t="str">
        <f t="shared" si="998"/>
        <v>SEMANA 63</v>
      </c>
      <c r="BM2130" s="228" t="str">
        <f t="shared" si="998"/>
        <v>SEMANA 64</v>
      </c>
      <c r="BN2130" s="228" t="str">
        <f t="shared" si="998"/>
        <v>SEMANA 65</v>
      </c>
      <c r="BO2130" s="228" t="str">
        <f t="shared" si="998"/>
        <v>SEMANA 66</v>
      </c>
      <c r="BP2130" s="228" t="str">
        <f t="shared" si="998"/>
        <v>SEMANA 67</v>
      </c>
      <c r="BQ2130" s="228" t="str">
        <f t="shared" si="998"/>
        <v>SEMANA 68</v>
      </c>
      <c r="BR2130" s="228" t="str">
        <f t="shared" si="998"/>
        <v>SEMANA 69</v>
      </c>
      <c r="BS2130" s="228" t="str">
        <f t="shared" si="998"/>
        <v>SEMANA 70</v>
      </c>
      <c r="BT2130" s="228" t="str">
        <f t="shared" si="998"/>
        <v>SEMANA 71</v>
      </c>
      <c r="BU2130" s="228" t="str">
        <f t="shared" si="998"/>
        <v>SEMANA 72</v>
      </c>
      <c r="BV2130" s="228" t="str">
        <f t="shared" si="998"/>
        <v>SEMANA 73</v>
      </c>
      <c r="BW2130" s="228" t="str">
        <f t="shared" si="998"/>
        <v>SEMANA 74</v>
      </c>
      <c r="BX2130" s="228" t="str">
        <f t="shared" si="998"/>
        <v>SEMANA 75</v>
      </c>
      <c r="BY2130" s="228" t="str">
        <f t="shared" si="998"/>
        <v>SEMANA 76</v>
      </c>
      <c r="BZ2130" s="228" t="str">
        <f t="shared" si="997"/>
        <v>SEMANA 77</v>
      </c>
      <c r="CA2130" s="50" t="s">
        <v>10</v>
      </c>
      <c r="CB2130" s="52" t="s">
        <v>400</v>
      </c>
    </row>
    <row r="2131" spans="1:80" x14ac:dyDescent="0.25">
      <c r="A2131" s="458" t="s">
        <v>11</v>
      </c>
      <c r="B2131" s="459">
        <v>480</v>
      </c>
      <c r="C2131" s="460">
        <v>1454</v>
      </c>
      <c r="D2131" s="460">
        <v>1284</v>
      </c>
      <c r="E2131" s="460">
        <v>1718</v>
      </c>
      <c r="F2131" s="57">
        <f>+F2103</f>
        <v>1448</v>
      </c>
      <c r="G2131" s="57">
        <f t="shared" ref="G2131:L2131" si="999">G2103</f>
        <v>1654</v>
      </c>
      <c r="H2131" s="57">
        <f t="shared" si="999"/>
        <v>1491</v>
      </c>
      <c r="I2131" s="58">
        <f t="shared" si="999"/>
        <v>1604</v>
      </c>
      <c r="J2131" s="7">
        <f t="shared" si="999"/>
        <v>1627</v>
      </c>
      <c r="K2131" s="7">
        <f t="shared" si="999"/>
        <v>1333</v>
      </c>
      <c r="L2131" s="7">
        <f t="shared" si="999"/>
        <v>1134</v>
      </c>
      <c r="M2131" s="7">
        <f t="shared" ref="M2131:R2131" si="1000">M2103</f>
        <v>984</v>
      </c>
      <c r="N2131" s="7">
        <f t="shared" si="1000"/>
        <v>1093</v>
      </c>
      <c r="O2131" s="7">
        <f t="shared" si="1000"/>
        <v>1501</v>
      </c>
      <c r="P2131" s="7">
        <f t="shared" si="1000"/>
        <v>1478</v>
      </c>
      <c r="Q2131" s="7">
        <f t="shared" si="1000"/>
        <v>1555</v>
      </c>
      <c r="R2131" s="7">
        <f t="shared" si="1000"/>
        <v>1575</v>
      </c>
      <c r="S2131" s="335">
        <f t="shared" ref="S2131:BZ2131" si="1001">S2103</f>
        <v>1528</v>
      </c>
      <c r="T2131" s="335">
        <f t="shared" si="1001"/>
        <v>1425</v>
      </c>
      <c r="U2131" s="335">
        <f t="shared" si="1001"/>
        <v>1412</v>
      </c>
      <c r="V2131" s="335">
        <f t="shared" si="1001"/>
        <v>1515</v>
      </c>
      <c r="W2131" s="335">
        <f t="shared" si="1001"/>
        <v>1433</v>
      </c>
      <c r="X2131" s="335">
        <f t="shared" si="1001"/>
        <v>1383</v>
      </c>
      <c r="Y2131" s="335">
        <f t="shared" si="1001"/>
        <v>1652</v>
      </c>
      <c r="Z2131" s="335">
        <f t="shared" si="1001"/>
        <v>1241</v>
      </c>
      <c r="AA2131" s="335">
        <f t="shared" si="1001"/>
        <v>1554</v>
      </c>
      <c r="AB2131" s="335">
        <f t="shared" si="1001"/>
        <v>1413</v>
      </c>
      <c r="AC2131" s="335">
        <f t="shared" si="1001"/>
        <v>1251</v>
      </c>
      <c r="AD2131" s="335">
        <f t="shared" si="1001"/>
        <v>1571</v>
      </c>
      <c r="AE2131" s="335">
        <f t="shared" si="1001"/>
        <v>1391</v>
      </c>
      <c r="AF2131" s="335">
        <f t="shared" si="1001"/>
        <v>1606</v>
      </c>
      <c r="AG2131" s="335">
        <f t="shared" si="1001"/>
        <v>1478</v>
      </c>
      <c r="AH2131" s="335">
        <f t="shared" si="1001"/>
        <v>1610</v>
      </c>
      <c r="AI2131" s="335">
        <f t="shared" si="1001"/>
        <v>1484</v>
      </c>
      <c r="AJ2131" s="335">
        <f t="shared" si="1001"/>
        <v>1551</v>
      </c>
      <c r="AK2131" s="335">
        <f t="shared" si="1001"/>
        <v>1351</v>
      </c>
      <c r="AL2131" s="335">
        <f t="shared" si="1001"/>
        <v>1260</v>
      </c>
      <c r="AM2131" s="335">
        <f t="shared" si="1001"/>
        <v>1390</v>
      </c>
      <c r="AN2131" s="335">
        <f t="shared" si="1001"/>
        <v>1427</v>
      </c>
      <c r="AO2131" s="335">
        <f t="shared" si="1001"/>
        <v>1326</v>
      </c>
      <c r="AP2131" s="335">
        <f t="shared" si="1001"/>
        <v>1337</v>
      </c>
      <c r="AQ2131" s="335">
        <f t="shared" si="1001"/>
        <v>1296</v>
      </c>
      <c r="AR2131" s="335">
        <f t="shared" si="1001"/>
        <v>1259</v>
      </c>
      <c r="AS2131" s="335">
        <f t="shared" si="1001"/>
        <v>1269</v>
      </c>
      <c r="AT2131" s="335">
        <f t="shared" si="1001"/>
        <v>1491</v>
      </c>
      <c r="AU2131" s="335">
        <f t="shared" si="1001"/>
        <v>1443</v>
      </c>
      <c r="AV2131" s="335">
        <f t="shared" si="1001"/>
        <v>1388</v>
      </c>
      <c r="AW2131" s="335">
        <f t="shared" ref="AW2131:BY2131" si="1002">AW2103</f>
        <v>1346</v>
      </c>
      <c r="AX2131" s="335">
        <f t="shared" si="1002"/>
        <v>1433</v>
      </c>
      <c r="AY2131" s="335">
        <f t="shared" si="1002"/>
        <v>1126</v>
      </c>
      <c r="AZ2131" s="335">
        <f t="shared" si="1002"/>
        <v>1053</v>
      </c>
      <c r="BA2131" s="335">
        <f t="shared" si="1002"/>
        <v>959</v>
      </c>
      <c r="BB2131" s="335">
        <f t="shared" si="1002"/>
        <v>1011</v>
      </c>
      <c r="BC2131" s="335">
        <f t="shared" si="1002"/>
        <v>1214</v>
      </c>
      <c r="BD2131" s="335">
        <f t="shared" si="1002"/>
        <v>1081</v>
      </c>
      <c r="BE2131" s="335">
        <f t="shared" si="1002"/>
        <v>867</v>
      </c>
      <c r="BF2131" s="335">
        <f t="shared" si="1002"/>
        <v>1153</v>
      </c>
      <c r="BG2131" s="335">
        <f t="shared" si="1002"/>
        <v>1168</v>
      </c>
      <c r="BH2131" s="335">
        <f t="shared" si="1002"/>
        <v>1071</v>
      </c>
      <c r="BI2131" s="335">
        <f t="shared" si="1002"/>
        <v>1183</v>
      </c>
      <c r="BJ2131" s="335">
        <f t="shared" si="1002"/>
        <v>1285</v>
      </c>
      <c r="BK2131" s="335">
        <f t="shared" si="1002"/>
        <v>1001</v>
      </c>
      <c r="BL2131" s="335">
        <f t="shared" si="1002"/>
        <v>845</v>
      </c>
      <c r="BM2131" s="335">
        <f t="shared" si="1002"/>
        <v>654</v>
      </c>
      <c r="BN2131" s="335">
        <f t="shared" si="1002"/>
        <v>746</v>
      </c>
      <c r="BO2131" s="335">
        <f t="shared" si="1002"/>
        <v>916</v>
      </c>
      <c r="BP2131" s="335">
        <f t="shared" si="1002"/>
        <v>983</v>
      </c>
      <c r="BQ2131" s="335">
        <f t="shared" si="1002"/>
        <v>1101</v>
      </c>
      <c r="BR2131" s="335">
        <f t="shared" si="1002"/>
        <v>972</v>
      </c>
      <c r="BS2131" s="335">
        <f t="shared" si="1002"/>
        <v>935</v>
      </c>
      <c r="BT2131" s="335">
        <f t="shared" si="1002"/>
        <v>972</v>
      </c>
      <c r="BU2131" s="335">
        <f t="shared" si="1002"/>
        <v>880</v>
      </c>
      <c r="BV2131" s="335">
        <f t="shared" si="1002"/>
        <v>1011</v>
      </c>
      <c r="BW2131" s="335">
        <f t="shared" si="1002"/>
        <v>952</v>
      </c>
      <c r="BX2131" s="335">
        <f t="shared" si="1002"/>
        <v>855</v>
      </c>
      <c r="BY2131" s="335">
        <f t="shared" si="1002"/>
        <v>1015</v>
      </c>
      <c r="BZ2131" s="335">
        <f t="shared" si="1001"/>
        <v>820</v>
      </c>
      <c r="CA2131" s="333">
        <f>SUM(B2131:BZ2131)</f>
        <v>96756</v>
      </c>
      <c r="CB2131" s="333">
        <f>CA2131/77</f>
        <v>1256.5714285714287</v>
      </c>
    </row>
    <row r="2132" spans="1:80" ht="15.75" thickBot="1" x14ac:dyDescent="0.3">
      <c r="A2132" s="79" t="s">
        <v>17</v>
      </c>
      <c r="B2132" s="461">
        <v>482</v>
      </c>
      <c r="C2132" s="462">
        <v>1368</v>
      </c>
      <c r="D2132" s="278">
        <v>1236</v>
      </c>
      <c r="E2132" s="278">
        <v>1541</v>
      </c>
      <c r="F2132" s="192">
        <f>+F2109</f>
        <v>1563</v>
      </c>
      <c r="G2132" s="192">
        <f t="shared" ref="G2132:L2132" si="1003">G2109</f>
        <v>1559</v>
      </c>
      <c r="H2132" s="192">
        <f t="shared" si="1003"/>
        <v>1365</v>
      </c>
      <c r="I2132" s="192">
        <f t="shared" si="1003"/>
        <v>1450</v>
      </c>
      <c r="J2132" s="192">
        <f t="shared" si="1003"/>
        <v>1626</v>
      </c>
      <c r="K2132" s="192">
        <f t="shared" si="1003"/>
        <v>1167</v>
      </c>
      <c r="L2132" s="192">
        <f t="shared" si="1003"/>
        <v>971</v>
      </c>
      <c r="M2132" s="192">
        <f t="shared" ref="M2132:R2132" si="1004">M2109</f>
        <v>829</v>
      </c>
      <c r="N2132" s="192">
        <f t="shared" si="1004"/>
        <v>930</v>
      </c>
      <c r="O2132" s="192">
        <f t="shared" si="1004"/>
        <v>1236</v>
      </c>
      <c r="P2132" s="192">
        <f t="shared" si="1004"/>
        <v>1196</v>
      </c>
      <c r="Q2132" s="192">
        <f t="shared" si="1004"/>
        <v>1296</v>
      </c>
      <c r="R2132" s="192">
        <f t="shared" si="1004"/>
        <v>1368</v>
      </c>
      <c r="S2132" s="192">
        <f t="shared" ref="S2132:BZ2132" si="1005">S2109</f>
        <v>1255</v>
      </c>
      <c r="T2132" s="192">
        <f t="shared" si="1005"/>
        <v>1212</v>
      </c>
      <c r="U2132" s="192">
        <f t="shared" si="1005"/>
        <v>1171</v>
      </c>
      <c r="V2132" s="192">
        <f t="shared" si="1005"/>
        <v>1262</v>
      </c>
      <c r="W2132" s="192">
        <f t="shared" si="1005"/>
        <v>1221</v>
      </c>
      <c r="X2132" s="192">
        <f t="shared" si="1005"/>
        <v>1124</v>
      </c>
      <c r="Y2132" s="192">
        <f t="shared" si="1005"/>
        <v>1363</v>
      </c>
      <c r="Z2132" s="192">
        <f t="shared" si="1005"/>
        <v>998</v>
      </c>
      <c r="AA2132" s="192">
        <f t="shared" si="1005"/>
        <v>1177</v>
      </c>
      <c r="AB2132" s="192">
        <f t="shared" si="1005"/>
        <v>1094</v>
      </c>
      <c r="AC2132" s="192">
        <f t="shared" si="1005"/>
        <v>953</v>
      </c>
      <c r="AD2132" s="192">
        <f t="shared" si="1005"/>
        <v>1186</v>
      </c>
      <c r="AE2132" s="192">
        <f t="shared" si="1005"/>
        <v>1074</v>
      </c>
      <c r="AF2132" s="192">
        <f t="shared" si="1005"/>
        <v>1235</v>
      </c>
      <c r="AG2132" s="192">
        <f t="shared" si="1005"/>
        <v>1169</v>
      </c>
      <c r="AH2132" s="192">
        <f t="shared" si="1005"/>
        <v>1168</v>
      </c>
      <c r="AI2132" s="192">
        <f t="shared" si="1005"/>
        <v>1142</v>
      </c>
      <c r="AJ2132" s="192">
        <f t="shared" si="1005"/>
        <v>1173</v>
      </c>
      <c r="AK2132" s="192">
        <f t="shared" si="1005"/>
        <v>1037</v>
      </c>
      <c r="AL2132" s="192">
        <f t="shared" si="1005"/>
        <v>967</v>
      </c>
      <c r="AM2132" s="192">
        <f t="shared" si="1005"/>
        <v>1057</v>
      </c>
      <c r="AN2132" s="192">
        <f t="shared" si="1005"/>
        <v>1083</v>
      </c>
      <c r="AO2132" s="192">
        <f t="shared" si="1005"/>
        <v>977</v>
      </c>
      <c r="AP2132" s="192">
        <f t="shared" si="1005"/>
        <v>1018</v>
      </c>
      <c r="AQ2132" s="192">
        <f t="shared" si="1005"/>
        <v>978</v>
      </c>
      <c r="AR2132" s="192">
        <f t="shared" si="1005"/>
        <v>953</v>
      </c>
      <c r="AS2132" s="192">
        <f t="shared" si="1005"/>
        <v>977</v>
      </c>
      <c r="AT2132" s="192">
        <f t="shared" si="1005"/>
        <v>1109</v>
      </c>
      <c r="AU2132" s="192">
        <f t="shared" si="1005"/>
        <v>1076</v>
      </c>
      <c r="AV2132" s="192">
        <f t="shared" si="1005"/>
        <v>1012</v>
      </c>
      <c r="AW2132" s="192">
        <f t="shared" ref="AW2132:BY2132" si="1006">AW2109</f>
        <v>1027</v>
      </c>
      <c r="AX2132" s="192">
        <f t="shared" si="1006"/>
        <v>1086</v>
      </c>
      <c r="AY2132" s="192">
        <f t="shared" si="1006"/>
        <v>858</v>
      </c>
      <c r="AZ2132" s="192">
        <f t="shared" si="1006"/>
        <v>797</v>
      </c>
      <c r="BA2132" s="192">
        <f t="shared" si="1006"/>
        <v>742</v>
      </c>
      <c r="BB2132" s="192">
        <f t="shared" si="1006"/>
        <v>763</v>
      </c>
      <c r="BC2132" s="192">
        <f t="shared" si="1006"/>
        <v>907</v>
      </c>
      <c r="BD2132" s="192">
        <f t="shared" si="1006"/>
        <v>859</v>
      </c>
      <c r="BE2132" s="192">
        <f t="shared" si="1006"/>
        <v>744</v>
      </c>
      <c r="BF2132" s="192">
        <f t="shared" si="1006"/>
        <v>852</v>
      </c>
      <c r="BG2132" s="192">
        <f t="shared" si="1006"/>
        <v>883</v>
      </c>
      <c r="BH2132" s="192">
        <f t="shared" si="1006"/>
        <v>838</v>
      </c>
      <c r="BI2132" s="192">
        <f t="shared" si="1006"/>
        <v>904</v>
      </c>
      <c r="BJ2132" s="192">
        <f t="shared" si="1006"/>
        <v>985</v>
      </c>
      <c r="BK2132" s="192">
        <f t="shared" si="1006"/>
        <v>751</v>
      </c>
      <c r="BL2132" s="192">
        <f t="shared" si="1006"/>
        <v>639</v>
      </c>
      <c r="BM2132" s="192">
        <f t="shared" si="1006"/>
        <v>508</v>
      </c>
      <c r="BN2132" s="192">
        <f t="shared" si="1006"/>
        <v>573</v>
      </c>
      <c r="BO2132" s="192">
        <f t="shared" si="1006"/>
        <v>698</v>
      </c>
      <c r="BP2132" s="192">
        <f t="shared" si="1006"/>
        <v>758</v>
      </c>
      <c r="BQ2132" s="192">
        <f t="shared" si="1006"/>
        <v>826</v>
      </c>
      <c r="BR2132" s="192">
        <f t="shared" si="1006"/>
        <v>760</v>
      </c>
      <c r="BS2132" s="192">
        <f t="shared" si="1006"/>
        <v>709</v>
      </c>
      <c r="BT2132" s="192">
        <f t="shared" si="1006"/>
        <v>759</v>
      </c>
      <c r="BU2132" s="192">
        <f t="shared" si="1006"/>
        <v>680</v>
      </c>
      <c r="BV2132" s="192">
        <f t="shared" si="1006"/>
        <v>768</v>
      </c>
      <c r="BW2132" s="192">
        <f t="shared" si="1006"/>
        <v>729</v>
      </c>
      <c r="BX2132" s="192">
        <f t="shared" si="1006"/>
        <v>691</v>
      </c>
      <c r="BY2132" s="192">
        <f t="shared" si="1006"/>
        <v>765</v>
      </c>
      <c r="BZ2132" s="192">
        <f t="shared" si="1005"/>
        <v>625</v>
      </c>
      <c r="CA2132" s="278">
        <f>SUM(B2132:BZ2132)</f>
        <v>77888</v>
      </c>
      <c r="CB2132" s="193">
        <f>CA2132/77</f>
        <v>1011.5324675324675</v>
      </c>
    </row>
    <row r="2133" spans="1:80" ht="15.75" x14ac:dyDescent="0.25">
      <c r="A2133" s="72" t="s">
        <v>2</v>
      </c>
      <c r="B2133" s="287" t="s">
        <v>353</v>
      </c>
      <c r="C2133" s="153" t="s">
        <v>354</v>
      </c>
      <c r="D2133" s="50" t="s">
        <v>355</v>
      </c>
      <c r="E2133" s="50" t="s">
        <v>356</v>
      </c>
      <c r="F2133" s="50" t="s">
        <v>357</v>
      </c>
      <c r="G2133" s="50" t="s">
        <v>69</v>
      </c>
      <c r="H2133" s="50" t="s">
        <v>358</v>
      </c>
      <c r="I2133" s="50" t="s">
        <v>359</v>
      </c>
      <c r="J2133" s="50" t="s">
        <v>98</v>
      </c>
      <c r="K2133" s="50" t="s">
        <v>106</v>
      </c>
      <c r="L2133" s="50" t="s">
        <v>114</v>
      </c>
      <c r="M2133" s="50" t="s">
        <v>122</v>
      </c>
      <c r="N2133" s="50" t="s">
        <v>130</v>
      </c>
      <c r="O2133" s="50" t="s">
        <v>138</v>
      </c>
      <c r="P2133" s="50" t="s">
        <v>146</v>
      </c>
      <c r="Q2133" s="50" t="s">
        <v>154</v>
      </c>
      <c r="R2133" s="50" t="s">
        <v>162</v>
      </c>
      <c r="S2133" s="50" t="s">
        <v>166</v>
      </c>
      <c r="T2133" s="228" t="s">
        <v>169</v>
      </c>
      <c r="U2133" s="228" t="s">
        <v>360</v>
      </c>
      <c r="V2133" s="228" t="str">
        <f t="shared" ref="V2133:BZ2133" si="1007">+V2130</f>
        <v>SEMANA 21</v>
      </c>
      <c r="W2133" s="228" t="str">
        <f t="shared" si="1007"/>
        <v>SEMANA 22</v>
      </c>
      <c r="X2133" s="228" t="str">
        <f t="shared" si="1007"/>
        <v>SEMANA 23</v>
      </c>
      <c r="Y2133" s="228" t="str">
        <f t="shared" si="1007"/>
        <v>SEMANA 24</v>
      </c>
      <c r="Z2133" s="228" t="str">
        <f t="shared" si="1007"/>
        <v>SEMANA 25</v>
      </c>
      <c r="AA2133" s="228" t="str">
        <f t="shared" si="1007"/>
        <v>SEMANA 26</v>
      </c>
      <c r="AB2133" s="228" t="str">
        <f t="shared" si="1007"/>
        <v>SEMANA 27</v>
      </c>
      <c r="AC2133" s="228" t="str">
        <f t="shared" si="1007"/>
        <v>SEMANA 28</v>
      </c>
      <c r="AD2133" s="228" t="str">
        <f t="shared" si="1007"/>
        <v>SEMANA 29</v>
      </c>
      <c r="AE2133" s="228" t="str">
        <f t="shared" si="1007"/>
        <v>SEMANA 30</v>
      </c>
      <c r="AF2133" s="228" t="str">
        <f t="shared" si="1007"/>
        <v>SEMANA 31</v>
      </c>
      <c r="AG2133" s="228" t="str">
        <f t="shared" si="1007"/>
        <v>SEMANA 32</v>
      </c>
      <c r="AH2133" s="228" t="str">
        <f t="shared" si="1007"/>
        <v>SEMANA 33</v>
      </c>
      <c r="AI2133" s="228" t="str">
        <f t="shared" si="1007"/>
        <v>SEMANA 34</v>
      </c>
      <c r="AJ2133" s="228" t="str">
        <f t="shared" si="1007"/>
        <v>SEMANA 35</v>
      </c>
      <c r="AK2133" s="228" t="str">
        <f t="shared" si="1007"/>
        <v>SEMANA 36</v>
      </c>
      <c r="AL2133" s="228" t="str">
        <f t="shared" si="1007"/>
        <v>SEMANA 37</v>
      </c>
      <c r="AM2133" s="228" t="str">
        <f t="shared" si="1007"/>
        <v>SEMANA 38</v>
      </c>
      <c r="AN2133" s="228" t="str">
        <f t="shared" si="1007"/>
        <v>SEMANA 39</v>
      </c>
      <c r="AO2133" s="228" t="str">
        <f t="shared" si="1007"/>
        <v>SEMANA 40</v>
      </c>
      <c r="AP2133" s="228" t="str">
        <f t="shared" si="1007"/>
        <v>SEMANA 41</v>
      </c>
      <c r="AQ2133" s="228" t="str">
        <f t="shared" si="1007"/>
        <v>SEMANA 42</v>
      </c>
      <c r="AR2133" s="228" t="str">
        <f t="shared" si="1007"/>
        <v>SEMANA 43</v>
      </c>
      <c r="AS2133" s="228" t="str">
        <f t="shared" si="1007"/>
        <v>SEMANA 44</v>
      </c>
      <c r="AT2133" s="228" t="str">
        <f t="shared" si="1007"/>
        <v>SEMANA 45</v>
      </c>
      <c r="AU2133" s="228" t="str">
        <f t="shared" si="1007"/>
        <v>SEMANA 46</v>
      </c>
      <c r="AV2133" s="228" t="str">
        <f t="shared" si="1007"/>
        <v>SEMANA 47</v>
      </c>
      <c r="AW2133" s="228" t="str">
        <f t="shared" ref="AW2133:BY2133" si="1008">+AW2130</f>
        <v>SEMANA 48</v>
      </c>
      <c r="AX2133" s="228" t="str">
        <f t="shared" si="1008"/>
        <v>SEMANA 49</v>
      </c>
      <c r="AY2133" s="228" t="str">
        <f t="shared" si="1008"/>
        <v>SEMANA 50</v>
      </c>
      <c r="AZ2133" s="228" t="str">
        <f t="shared" si="1008"/>
        <v>SEMANA 51</v>
      </c>
      <c r="BA2133" s="228" t="str">
        <f t="shared" si="1008"/>
        <v>SEMANA 52</v>
      </c>
      <c r="BB2133" s="228" t="str">
        <f t="shared" si="1008"/>
        <v>SEMANA 53</v>
      </c>
      <c r="BC2133" s="228" t="str">
        <f t="shared" si="1008"/>
        <v>SEMANA 54</v>
      </c>
      <c r="BD2133" s="228" t="str">
        <f t="shared" si="1008"/>
        <v>SEMANA 55</v>
      </c>
      <c r="BE2133" s="228" t="str">
        <f t="shared" si="1008"/>
        <v>SEMANA 56</v>
      </c>
      <c r="BF2133" s="228" t="str">
        <f t="shared" si="1008"/>
        <v>SEMANA 57</v>
      </c>
      <c r="BG2133" s="228" t="str">
        <f t="shared" si="1008"/>
        <v>SEMANA 58</v>
      </c>
      <c r="BH2133" s="228" t="str">
        <f t="shared" si="1008"/>
        <v>SEMANA 59</v>
      </c>
      <c r="BI2133" s="228" t="str">
        <f t="shared" si="1008"/>
        <v>SEMANA 60</v>
      </c>
      <c r="BJ2133" s="228" t="str">
        <f t="shared" si="1008"/>
        <v>SEMANA 61</v>
      </c>
      <c r="BK2133" s="228" t="str">
        <f t="shared" si="1008"/>
        <v>SEMANA 62</v>
      </c>
      <c r="BL2133" s="228" t="str">
        <f t="shared" si="1008"/>
        <v>SEMANA 63</v>
      </c>
      <c r="BM2133" s="228" t="str">
        <f t="shared" si="1008"/>
        <v>SEMANA 64</v>
      </c>
      <c r="BN2133" s="228" t="str">
        <f t="shared" si="1008"/>
        <v>SEMANA 65</v>
      </c>
      <c r="BO2133" s="228" t="str">
        <f t="shared" si="1008"/>
        <v>SEMANA 66</v>
      </c>
      <c r="BP2133" s="228" t="str">
        <f t="shared" si="1008"/>
        <v>SEMANA 67</v>
      </c>
      <c r="BQ2133" s="228" t="str">
        <f t="shared" si="1008"/>
        <v>SEMANA 68</v>
      </c>
      <c r="BR2133" s="228" t="str">
        <f t="shared" si="1008"/>
        <v>SEMANA 69</v>
      </c>
      <c r="BS2133" s="228" t="str">
        <f t="shared" si="1008"/>
        <v>SEMANA 70</v>
      </c>
      <c r="BT2133" s="228" t="str">
        <f t="shared" si="1008"/>
        <v>SEMANA 71</v>
      </c>
      <c r="BU2133" s="228" t="str">
        <f t="shared" si="1008"/>
        <v>SEMANA 72</v>
      </c>
      <c r="BV2133" s="228" t="str">
        <f t="shared" si="1008"/>
        <v>SEMANA 73</v>
      </c>
      <c r="BW2133" s="228" t="str">
        <f t="shared" si="1008"/>
        <v>SEMANA 74</v>
      </c>
      <c r="BX2133" s="228" t="str">
        <f t="shared" si="1008"/>
        <v>SEMANA 75</v>
      </c>
      <c r="BY2133" s="228" t="str">
        <f t="shared" si="1008"/>
        <v>SEMANA 76</v>
      </c>
      <c r="BZ2133" s="228" t="str">
        <f t="shared" si="1007"/>
        <v>SEMANA 77</v>
      </c>
      <c r="CA2133" s="50" t="s">
        <v>10</v>
      </c>
      <c r="CB2133" s="52" t="s">
        <v>400</v>
      </c>
    </row>
    <row r="2134" spans="1:80" x14ac:dyDescent="0.25">
      <c r="A2134" s="77" t="s">
        <v>25</v>
      </c>
      <c r="B2134" s="299">
        <v>7408902.81724138</v>
      </c>
      <c r="C2134" s="300">
        <v>24501813.224137928</v>
      </c>
      <c r="D2134" s="92">
        <v>24392867.760344826</v>
      </c>
      <c r="E2134" s="92">
        <v>33723001.203448281</v>
      </c>
      <c r="F2134" s="92">
        <f>+F2117</f>
        <v>28007099.822413795</v>
      </c>
      <c r="G2134" s="92">
        <f t="shared" ref="G2134:L2134" si="1009">G2117</f>
        <v>34461115.872413792</v>
      </c>
      <c r="H2134" s="92">
        <f t="shared" si="1009"/>
        <v>29994672.805172417</v>
      </c>
      <c r="I2134" s="92">
        <f t="shared" si="1009"/>
        <v>30902388.541379314</v>
      </c>
      <c r="J2134" s="92">
        <f t="shared" si="1009"/>
        <v>33982398.006896555</v>
      </c>
      <c r="K2134" s="92">
        <f t="shared" si="1009"/>
        <v>26757906.201724138</v>
      </c>
      <c r="L2134" s="92">
        <f t="shared" si="1009"/>
        <v>22166406.258620691</v>
      </c>
      <c r="M2134" s="92">
        <f t="shared" ref="M2134:R2134" si="1010">M2117</f>
        <v>17623771.151724141</v>
      </c>
      <c r="N2134" s="92">
        <f t="shared" si="1010"/>
        <v>20129937.415517248</v>
      </c>
      <c r="O2134" s="92">
        <f t="shared" si="1010"/>
        <v>29529051.974137932</v>
      </c>
      <c r="P2134" s="92">
        <f t="shared" si="1010"/>
        <v>27202621.391379312</v>
      </c>
      <c r="Q2134" s="92">
        <f t="shared" si="1010"/>
        <v>28601652.631034486</v>
      </c>
      <c r="R2134" s="92">
        <f t="shared" si="1010"/>
        <v>31425388.646551725</v>
      </c>
      <c r="S2134" s="92">
        <f t="shared" ref="S2134:BZ2134" si="1011">S2117</f>
        <v>30849885.429310348</v>
      </c>
      <c r="T2134" s="92">
        <f t="shared" si="1011"/>
        <v>28665461.420689657</v>
      </c>
      <c r="U2134" s="92">
        <f t="shared" si="1011"/>
        <v>28857789.793103449</v>
      </c>
      <c r="V2134" s="92">
        <f t="shared" si="1011"/>
        <v>31936592.775862075</v>
      </c>
      <c r="W2134" s="92">
        <f t="shared" si="1011"/>
        <v>30467946.463793106</v>
      </c>
      <c r="X2134" s="92">
        <f t="shared" si="1011"/>
        <v>29302269.77241379</v>
      </c>
      <c r="Y2134" s="92">
        <f t="shared" si="1011"/>
        <v>35611068.713793106</v>
      </c>
      <c r="Z2134" s="92">
        <f t="shared" si="1011"/>
        <v>23938707.09310345</v>
      </c>
      <c r="AA2134" s="92">
        <f t="shared" si="1011"/>
        <v>31598052.806896556</v>
      </c>
      <c r="AB2134" s="92">
        <f t="shared" si="1011"/>
        <v>29494238.413793106</v>
      </c>
      <c r="AC2134" s="92">
        <f t="shared" si="1011"/>
        <v>23495248.45862069</v>
      </c>
      <c r="AD2134" s="92">
        <f t="shared" si="1011"/>
        <v>32038332.770689659</v>
      </c>
      <c r="AE2134" s="92">
        <f t="shared" si="1011"/>
        <v>28151507.45862069</v>
      </c>
      <c r="AF2134" s="92">
        <f t="shared" si="1011"/>
        <v>32773376.715517245</v>
      </c>
      <c r="AG2134" s="92">
        <f t="shared" si="1011"/>
        <v>28835462.951724142</v>
      </c>
      <c r="AH2134" s="92">
        <f t="shared" si="1011"/>
        <v>33951200.158620693</v>
      </c>
      <c r="AI2134" s="92">
        <f t="shared" si="1011"/>
        <v>30115885.029310346</v>
      </c>
      <c r="AJ2134" s="92">
        <f t="shared" si="1011"/>
        <v>31495204.934482761</v>
      </c>
      <c r="AK2134" s="92">
        <f t="shared" si="1011"/>
        <v>28046281.903448276</v>
      </c>
      <c r="AL2134" s="92">
        <f t="shared" si="1011"/>
        <v>24710712.841379311</v>
      </c>
      <c r="AM2134" s="92">
        <f t="shared" si="1011"/>
        <v>27645710.668965518</v>
      </c>
      <c r="AN2134" s="92">
        <f t="shared" si="1011"/>
        <v>29205671.198275868</v>
      </c>
      <c r="AO2134" s="92">
        <f t="shared" si="1011"/>
        <v>27615040.222413797</v>
      </c>
      <c r="AP2134" s="92">
        <f t="shared" si="1011"/>
        <v>28189463.777586211</v>
      </c>
      <c r="AQ2134" s="92">
        <f t="shared" si="1011"/>
        <v>27568311.891379315</v>
      </c>
      <c r="AR2134" s="92">
        <f t="shared" si="1011"/>
        <v>25955688.653448276</v>
      </c>
      <c r="AS2134" s="92">
        <f t="shared" si="1011"/>
        <v>26822910.306896556</v>
      </c>
      <c r="AT2134" s="92">
        <f t="shared" si="1011"/>
        <v>31896970.951724142</v>
      </c>
      <c r="AU2134" s="92">
        <f t="shared" si="1011"/>
        <v>30422924.086206902</v>
      </c>
      <c r="AV2134" s="92">
        <f t="shared" si="1011"/>
        <v>28624844.389655173</v>
      </c>
      <c r="AW2134" s="92">
        <f t="shared" ref="AW2134:AY2138" si="1012">AW2117</f>
        <v>28554201.874137931</v>
      </c>
      <c r="AX2134" s="92">
        <f>AX2117</f>
        <v>30080708.175862074</v>
      </c>
      <c r="AY2134" s="92">
        <f t="shared" si="1012"/>
        <v>22079335.118965514</v>
      </c>
      <c r="AZ2134" s="92">
        <f t="shared" ref="AZ2134:BY2134" si="1013">AZ2117</f>
        <v>19573698.912068967</v>
      </c>
      <c r="BA2134" s="92">
        <f t="shared" si="1013"/>
        <v>19144407.172413792</v>
      </c>
      <c r="BB2134" s="92">
        <f t="shared" si="1013"/>
        <v>19409347.351724137</v>
      </c>
      <c r="BC2134" s="92">
        <f t="shared" si="1013"/>
        <v>25276378.129310347</v>
      </c>
      <c r="BD2134" s="92">
        <f t="shared" si="1013"/>
        <v>22350510.424137931</v>
      </c>
      <c r="BE2134" s="92">
        <f t="shared" si="1013"/>
        <v>19096892.394827589</v>
      </c>
      <c r="BF2134" s="92">
        <f t="shared" si="1013"/>
        <v>23294281.53793104</v>
      </c>
      <c r="BG2134" s="92">
        <f t="shared" si="1013"/>
        <v>23420034.594827585</v>
      </c>
      <c r="BH2134" s="92">
        <f t="shared" si="1013"/>
        <v>21273727.874482758</v>
      </c>
      <c r="BI2134" s="92">
        <f t="shared" si="1013"/>
        <v>23224885.857931037</v>
      </c>
      <c r="BJ2134" s="92">
        <f t="shared" si="1013"/>
        <v>24920488.517241381</v>
      </c>
      <c r="BK2134" s="92">
        <f t="shared" si="1013"/>
        <v>20031750.44896552</v>
      </c>
      <c r="BL2134" s="92">
        <f t="shared" si="1013"/>
        <v>17063995.611724138</v>
      </c>
      <c r="BM2134" s="92">
        <f t="shared" si="1013"/>
        <v>12649940.07310345</v>
      </c>
      <c r="BN2134" s="92">
        <f t="shared" si="1013"/>
        <v>14258024.898620693</v>
      </c>
      <c r="BO2134" s="92">
        <f t="shared" si="1013"/>
        <v>18476063.744137932</v>
      </c>
      <c r="BP2134" s="92">
        <f t="shared" si="1013"/>
        <v>18466037.652413793</v>
      </c>
      <c r="BQ2134" s="92">
        <f t="shared" si="1013"/>
        <v>22502195.679310344</v>
      </c>
      <c r="BR2134" s="92">
        <f t="shared" si="1013"/>
        <v>18270697.112413794</v>
      </c>
      <c r="BS2134" s="92">
        <f t="shared" si="1013"/>
        <v>18379137.369655173</v>
      </c>
      <c r="BT2134" s="92">
        <f t="shared" si="1013"/>
        <v>18408811.842068966</v>
      </c>
      <c r="BU2134" s="92">
        <f t="shared" si="1013"/>
        <v>17413365.34551724</v>
      </c>
      <c r="BV2134" s="92">
        <f t="shared" si="1013"/>
        <v>20557530.400000002</v>
      </c>
      <c r="BW2134" s="92">
        <f t="shared" si="1013"/>
        <v>18289944.089655172</v>
      </c>
      <c r="BX2134" s="92">
        <f t="shared" si="1013"/>
        <v>16941449.713793106</v>
      </c>
      <c r="BY2134" s="92">
        <f t="shared" si="1013"/>
        <v>20561876.145517245</v>
      </c>
      <c r="BZ2134" s="92">
        <f t="shared" si="1011"/>
        <v>14518306.441379312</v>
      </c>
      <c r="CA2134" s="92">
        <f t="shared" ref="CA2134:CA2139" si="1014">SUM(B2134:BZ2134)</f>
        <v>1937581782.2800004</v>
      </c>
      <c r="CB2134" s="92">
        <f t="shared" ref="CB2134:CB2140" si="1015">CA2134/77</f>
        <v>25163399.769870136</v>
      </c>
    </row>
    <row r="2135" spans="1:80" x14ac:dyDescent="0.25">
      <c r="A2135" s="77" t="s">
        <v>26</v>
      </c>
      <c r="B2135" s="299">
        <v>0</v>
      </c>
      <c r="C2135" s="300">
        <v>239793.8206896552</v>
      </c>
      <c r="D2135" s="92">
        <v>27882.87931034483</v>
      </c>
      <c r="E2135" s="92">
        <v>90139.987931034499</v>
      </c>
      <c r="F2135" s="92">
        <f>+F2118</f>
        <v>37276.891379310349</v>
      </c>
      <c r="G2135" s="92">
        <f t="shared" ref="G2135:I2138" si="1016">G2118</f>
        <v>369486.05172413797</v>
      </c>
      <c r="H2135" s="92">
        <f t="shared" si="1016"/>
        <v>416837.92241379316</v>
      </c>
      <c r="I2135" s="92">
        <f t="shared" si="1016"/>
        <v>95653.831034482777</v>
      </c>
      <c r="J2135" s="92">
        <f t="shared" ref="J2135:S2138" si="1017">J2118</f>
        <v>0</v>
      </c>
      <c r="K2135" s="92">
        <f t="shared" si="1017"/>
        <v>0</v>
      </c>
      <c r="L2135" s="92">
        <f t="shared" si="1017"/>
        <v>1344928.0827586208</v>
      </c>
      <c r="M2135" s="92">
        <f t="shared" si="1017"/>
        <v>873096.21551724151</v>
      </c>
      <c r="N2135" s="92">
        <f t="shared" si="1017"/>
        <v>1173994.1275862069</v>
      </c>
      <c r="O2135" s="92">
        <f t="shared" si="1017"/>
        <v>1340154.9741379311</v>
      </c>
      <c r="P2135" s="92">
        <f t="shared" si="1017"/>
        <v>1701102.9586206898</v>
      </c>
      <c r="Q2135" s="92">
        <f t="shared" si="1017"/>
        <v>1634677.1672413794</v>
      </c>
      <c r="R2135" s="92">
        <f t="shared" si="1017"/>
        <v>1291033.4741379311</v>
      </c>
      <c r="S2135" s="92">
        <f t="shared" si="1017"/>
        <v>1582090.3224137931</v>
      </c>
      <c r="T2135" s="92">
        <f t="shared" ref="T2135:BZ2135" si="1018">T2118</f>
        <v>605545.53275862068</v>
      </c>
      <c r="U2135" s="92">
        <f t="shared" si="1018"/>
        <v>1015141.2586206897</v>
      </c>
      <c r="V2135" s="92">
        <f t="shared" si="1018"/>
        <v>529360.05172413797</v>
      </c>
      <c r="W2135" s="92">
        <f t="shared" si="1018"/>
        <v>278974.45344827586</v>
      </c>
      <c r="X2135" s="92">
        <f t="shared" si="1018"/>
        <v>769844.7827586208</v>
      </c>
      <c r="Y2135" s="92">
        <f t="shared" si="1018"/>
        <v>624557.96896551736</v>
      </c>
      <c r="Z2135" s="92">
        <f t="shared" si="1018"/>
        <v>284070.1482758621</v>
      </c>
      <c r="AA2135" s="92">
        <f t="shared" si="1018"/>
        <v>243582.97931034485</v>
      </c>
      <c r="AB2135" s="92">
        <f t="shared" si="1018"/>
        <v>1003593.8896551725</v>
      </c>
      <c r="AC2135" s="92">
        <f t="shared" si="1018"/>
        <v>610258.61896551726</v>
      </c>
      <c r="AD2135" s="92">
        <f t="shared" si="1018"/>
        <v>477294.31034482759</v>
      </c>
      <c r="AE2135" s="92">
        <f t="shared" si="1018"/>
        <v>571762.82586206903</v>
      </c>
      <c r="AF2135" s="92">
        <f t="shared" si="1018"/>
        <v>402143.09310344834</v>
      </c>
      <c r="AG2135" s="92">
        <f t="shared" si="1018"/>
        <v>573162.92413793108</v>
      </c>
      <c r="AH2135" s="92">
        <f t="shared" si="1018"/>
        <v>434690.66724137939</v>
      </c>
      <c r="AI2135" s="92">
        <f t="shared" si="1018"/>
        <v>509793.52241379314</v>
      </c>
      <c r="AJ2135" s="92">
        <f t="shared" si="1018"/>
        <v>607944.98793103453</v>
      </c>
      <c r="AK2135" s="92">
        <f t="shared" si="1018"/>
        <v>410772.40172413801</v>
      </c>
      <c r="AL2135" s="92">
        <f t="shared" si="1018"/>
        <v>323651.35344827583</v>
      </c>
      <c r="AM2135" s="92">
        <f t="shared" si="1018"/>
        <v>449384.70689655177</v>
      </c>
      <c r="AN2135" s="92">
        <f t="shared" si="1018"/>
        <v>280700.38275862072</v>
      </c>
      <c r="AO2135" s="92">
        <f t="shared" si="1018"/>
        <v>305108.28448275867</v>
      </c>
      <c r="AP2135" s="92">
        <f t="shared" si="1018"/>
        <v>502332.33620689658</v>
      </c>
      <c r="AQ2135" s="92">
        <f t="shared" si="1018"/>
        <v>506472.85000000003</v>
      </c>
      <c r="AR2135" s="92">
        <f t="shared" si="1018"/>
        <v>569285.20862068981</v>
      </c>
      <c r="AS2135" s="92">
        <f t="shared" si="1018"/>
        <v>596588.75172413804</v>
      </c>
      <c r="AT2135" s="92">
        <f t="shared" si="1018"/>
        <v>516043.58793103456</v>
      </c>
      <c r="AU2135" s="92">
        <f t="shared" si="1018"/>
        <v>602344.73103448283</v>
      </c>
      <c r="AV2135" s="92">
        <f t="shared" si="1018"/>
        <v>183887.72931034482</v>
      </c>
      <c r="AW2135" s="92">
        <f t="shared" si="1012"/>
        <v>441693.30689655175</v>
      </c>
      <c r="AX2135" s="92">
        <f>AX2118</f>
        <v>682308.83965517255</v>
      </c>
      <c r="AY2135" s="92">
        <f t="shared" si="1012"/>
        <v>543675.71724137932</v>
      </c>
      <c r="AZ2135" s="92">
        <f t="shared" ref="AZ2135:BY2135" si="1019">AZ2118</f>
        <v>749591.82068965526</v>
      </c>
      <c r="BA2135" s="92">
        <f t="shared" si="1019"/>
        <v>449974.35344827594</v>
      </c>
      <c r="BB2135" s="92">
        <f t="shared" si="1019"/>
        <v>396133.54310344829</v>
      </c>
      <c r="BC2135" s="92">
        <f t="shared" si="1019"/>
        <v>583073.88275862078</v>
      </c>
      <c r="BD2135" s="92">
        <f t="shared" si="1019"/>
        <v>386502.42413793108</v>
      </c>
      <c r="BE2135" s="92">
        <f t="shared" si="1019"/>
        <v>328735.01206896559</v>
      </c>
      <c r="BF2135" s="92">
        <f t="shared" si="1019"/>
        <v>650908.8844827587</v>
      </c>
      <c r="BG2135" s="92">
        <f t="shared" si="1019"/>
        <v>453313.22068965522</v>
      </c>
      <c r="BH2135" s="92">
        <f t="shared" si="1019"/>
        <v>507900.86413793103</v>
      </c>
      <c r="BI2135" s="92">
        <f t="shared" si="1019"/>
        <v>441646.04137931042</v>
      </c>
      <c r="BJ2135" s="92">
        <f t="shared" si="1019"/>
        <v>526278.53310344822</v>
      </c>
      <c r="BK2135" s="92">
        <f t="shared" si="1019"/>
        <v>212019.64068965521</v>
      </c>
      <c r="BL2135" s="92">
        <f t="shared" si="1019"/>
        <v>417409.2537931035</v>
      </c>
      <c r="BM2135" s="92">
        <f t="shared" si="1019"/>
        <v>323634.69862068974</v>
      </c>
      <c r="BN2135" s="92">
        <f t="shared" si="1019"/>
        <v>260412.58482758619</v>
      </c>
      <c r="BO2135" s="92">
        <f t="shared" si="1019"/>
        <v>434219.53034482762</v>
      </c>
      <c r="BP2135" s="92">
        <f t="shared" si="1019"/>
        <v>334279.38758620695</v>
      </c>
      <c r="BQ2135" s="92">
        <f t="shared" si="1019"/>
        <v>641996.90896551718</v>
      </c>
      <c r="BR2135" s="92">
        <f t="shared" si="1019"/>
        <v>306683.16275862069</v>
      </c>
      <c r="BS2135" s="92">
        <f t="shared" si="1019"/>
        <v>290678.64344827586</v>
      </c>
      <c r="BT2135" s="92">
        <f t="shared" si="1019"/>
        <v>311364.86068965518</v>
      </c>
      <c r="BU2135" s="92">
        <f t="shared" si="1019"/>
        <v>355366.18137931038</v>
      </c>
      <c r="BV2135" s="92">
        <f t="shared" si="1019"/>
        <v>596284.84206896555</v>
      </c>
      <c r="BW2135" s="92">
        <f t="shared" si="1019"/>
        <v>339624.15724137932</v>
      </c>
      <c r="BX2135" s="92">
        <f t="shared" si="1019"/>
        <v>226416.92413793108</v>
      </c>
      <c r="BY2135" s="92">
        <f t="shared" si="1019"/>
        <v>332447.24896551727</v>
      </c>
      <c r="BZ2135" s="92">
        <f t="shared" si="1018"/>
        <v>280859.06</v>
      </c>
      <c r="CA2135" s="92">
        <f t="shared" si="1014"/>
        <v>39811876.575862095</v>
      </c>
      <c r="CB2135" s="92">
        <f t="shared" si="1015"/>
        <v>517037.35812807915</v>
      </c>
    </row>
    <row r="2136" spans="1:80" x14ac:dyDescent="0.25">
      <c r="A2136" s="77" t="s">
        <v>27</v>
      </c>
      <c r="B2136" s="299">
        <v>2730280.227586207</v>
      </c>
      <c r="C2136" s="300">
        <v>7139868.9517241381</v>
      </c>
      <c r="D2136" s="92">
        <v>5602179.2206896562</v>
      </c>
      <c r="E2136" s="92">
        <v>6139996.7448275872</v>
      </c>
      <c r="F2136" s="92">
        <f>+F2119</f>
        <v>5227510.6517241383</v>
      </c>
      <c r="G2136" s="92">
        <f t="shared" si="1016"/>
        <v>6238829.2568965517</v>
      </c>
      <c r="H2136" s="92">
        <f t="shared" si="1016"/>
        <v>6013668.9344827589</v>
      </c>
      <c r="I2136" s="92">
        <f t="shared" si="1016"/>
        <v>5833966.8637931049</v>
      </c>
      <c r="J2136" s="92">
        <f t="shared" si="1017"/>
        <v>6371022.0051724147</v>
      </c>
      <c r="K2136" s="92">
        <f t="shared" si="1017"/>
        <v>5797334.7672413802</v>
      </c>
      <c r="L2136" s="92">
        <f t="shared" si="1017"/>
        <v>4435372.6775862072</v>
      </c>
      <c r="M2136" s="92">
        <f t="shared" si="1017"/>
        <v>3682960.7465517246</v>
      </c>
      <c r="N2136" s="92">
        <f t="shared" si="1017"/>
        <v>3887583.7448275872</v>
      </c>
      <c r="O2136" s="92">
        <f t="shared" si="1017"/>
        <v>5558787.181034483</v>
      </c>
      <c r="P2136" s="92">
        <f t="shared" si="1017"/>
        <v>4855531.9051724141</v>
      </c>
      <c r="Q2136" s="92">
        <f t="shared" si="1017"/>
        <v>5207424.7534482758</v>
      </c>
      <c r="R2136" s="92">
        <f t="shared" si="1017"/>
        <v>5935063.8482758626</v>
      </c>
      <c r="S2136" s="92">
        <f t="shared" si="1017"/>
        <v>4070177.2224137937</v>
      </c>
      <c r="T2136" s="92">
        <f t="shared" ref="T2136:BZ2136" si="1020">T2119</f>
        <v>4968521.4448275864</v>
      </c>
      <c r="U2136" s="92">
        <f t="shared" si="1020"/>
        <v>4345404.7206896553</v>
      </c>
      <c r="V2136" s="92">
        <f t="shared" si="1020"/>
        <v>3956881.3224137938</v>
      </c>
      <c r="W2136" s="92">
        <f t="shared" si="1020"/>
        <v>4616307.3775862074</v>
      </c>
      <c r="X2136" s="92">
        <f t="shared" si="1020"/>
        <v>3630450.2017241381</v>
      </c>
      <c r="Y2136" s="92">
        <f t="shared" si="1020"/>
        <v>3933073.8017241382</v>
      </c>
      <c r="Z2136" s="92">
        <f t="shared" si="1020"/>
        <v>5164261.4034482753</v>
      </c>
      <c r="AA2136" s="92">
        <f t="shared" si="1020"/>
        <v>3525903.0017241384</v>
      </c>
      <c r="AB2136" s="92">
        <f t="shared" si="1020"/>
        <v>2689683.9051724141</v>
      </c>
      <c r="AC2136" s="92">
        <f t="shared" si="1020"/>
        <v>3075584.3672413798</v>
      </c>
      <c r="AD2136" s="92">
        <f t="shared" si="1020"/>
        <v>3670618.0982758626</v>
      </c>
      <c r="AE2136" s="92">
        <f t="shared" si="1020"/>
        <v>3606786.4327586209</v>
      </c>
      <c r="AF2136" s="92">
        <f t="shared" si="1020"/>
        <v>4113370.2534482758</v>
      </c>
      <c r="AG2136" s="92">
        <f t="shared" si="1020"/>
        <v>3964268.1500000004</v>
      </c>
      <c r="AH2136" s="92">
        <f t="shared" si="1020"/>
        <v>3351310.284482759</v>
      </c>
      <c r="AI2136" s="92">
        <f t="shared" si="1020"/>
        <v>3804984.6620689658</v>
      </c>
      <c r="AJ2136" s="92">
        <f t="shared" si="1020"/>
        <v>3449669.0258620689</v>
      </c>
      <c r="AK2136" s="92">
        <f t="shared" si="1020"/>
        <v>2912173.9689655178</v>
      </c>
      <c r="AL2136" s="92">
        <f t="shared" si="1020"/>
        <v>3540937.6000000006</v>
      </c>
      <c r="AM2136" s="92">
        <f t="shared" si="1020"/>
        <v>3320657.4637931036</v>
      </c>
      <c r="AN2136" s="92">
        <f t="shared" si="1020"/>
        <v>3194233.6862068968</v>
      </c>
      <c r="AO2136" s="92">
        <f t="shared" si="1020"/>
        <v>3210019.4689655174</v>
      </c>
      <c r="AP2136" s="92">
        <f t="shared" si="1020"/>
        <v>3150717.6500000004</v>
      </c>
      <c r="AQ2136" s="92">
        <f t="shared" si="1020"/>
        <v>2772645.6965517248</v>
      </c>
      <c r="AR2136" s="92">
        <f t="shared" si="1020"/>
        <v>2868702.7206896557</v>
      </c>
      <c r="AS2136" s="92">
        <f t="shared" si="1020"/>
        <v>2938547.8000000003</v>
      </c>
      <c r="AT2136" s="92">
        <f t="shared" si="1020"/>
        <v>3347355.6568965521</v>
      </c>
      <c r="AU2136" s="92">
        <f t="shared" si="1020"/>
        <v>3688111.0413793107</v>
      </c>
      <c r="AV2136" s="92">
        <f t="shared" si="1020"/>
        <v>4102976.6948275864</v>
      </c>
      <c r="AW2136" s="92">
        <f t="shared" si="1012"/>
        <v>3199663.6344827586</v>
      </c>
      <c r="AX2136" s="92">
        <f>AX2119</f>
        <v>3250197.032758621</v>
      </c>
      <c r="AY2136" s="92">
        <f t="shared" si="1012"/>
        <v>3105119.4913793104</v>
      </c>
      <c r="AZ2136" s="92">
        <f t="shared" ref="AZ2136:BY2136" si="1021">AZ2119</f>
        <v>3968323.3275862075</v>
      </c>
      <c r="BA2136" s="92">
        <f t="shared" si="1021"/>
        <v>3074620.3551724143</v>
      </c>
      <c r="BB2136" s="92">
        <f t="shared" si="1021"/>
        <v>3394513.0827586204</v>
      </c>
      <c r="BC2136" s="92">
        <f t="shared" si="1021"/>
        <v>3073142.0620689653</v>
      </c>
      <c r="BD2136" s="92">
        <f t="shared" si="1021"/>
        <v>3542077.7068965519</v>
      </c>
      <c r="BE2136" s="92">
        <f t="shared" si="1021"/>
        <v>3161051.7896551732</v>
      </c>
      <c r="BF2136" s="92">
        <f t="shared" si="1021"/>
        <v>2555132.4482758623</v>
      </c>
      <c r="BG2136" s="92">
        <f t="shared" si="1021"/>
        <v>3323529.3879310344</v>
      </c>
      <c r="BH2136" s="92">
        <f t="shared" si="1021"/>
        <v>3376286.1351724146</v>
      </c>
      <c r="BI2136" s="92">
        <f t="shared" si="1021"/>
        <v>3444975.9579310347</v>
      </c>
      <c r="BJ2136" s="92">
        <f t="shared" si="1021"/>
        <v>4164638.2462068973</v>
      </c>
      <c r="BK2136" s="92">
        <f t="shared" si="1021"/>
        <v>3481678.3068965524</v>
      </c>
      <c r="BL2136" s="92">
        <f t="shared" si="1021"/>
        <v>2798113.168275862</v>
      </c>
      <c r="BM2136" s="92">
        <f t="shared" si="1021"/>
        <v>2373081.1248275866</v>
      </c>
      <c r="BN2136" s="92">
        <f t="shared" si="1021"/>
        <v>2034483.2096551722</v>
      </c>
      <c r="BO2136" s="92">
        <f t="shared" si="1021"/>
        <v>2463098.2434482761</v>
      </c>
      <c r="BP2136" s="92">
        <f t="shared" si="1021"/>
        <v>2547505.747586207</v>
      </c>
      <c r="BQ2136" s="92">
        <f t="shared" si="1021"/>
        <v>2178084.5965517247</v>
      </c>
      <c r="BR2136" s="92">
        <f t="shared" si="1021"/>
        <v>3172869.7420689655</v>
      </c>
      <c r="BS2136" s="92">
        <f t="shared" si="1021"/>
        <v>2622771.0517241382</v>
      </c>
      <c r="BT2136" s="92">
        <f t="shared" si="1021"/>
        <v>2542169.5675862068</v>
      </c>
      <c r="BU2136" s="92">
        <f t="shared" si="1021"/>
        <v>1893522.8482758622</v>
      </c>
      <c r="BV2136" s="92">
        <f t="shared" si="1021"/>
        <v>2502925.490344828</v>
      </c>
      <c r="BW2136" s="92">
        <f t="shared" si="1021"/>
        <v>2343804.7496551727</v>
      </c>
      <c r="BX2136" s="92">
        <f t="shared" si="1021"/>
        <v>2223155.3289655177</v>
      </c>
      <c r="BY2136" s="92">
        <f t="shared" si="1021"/>
        <v>1662178.4682758623</v>
      </c>
      <c r="BZ2136" s="92">
        <f t="shared" si="1020"/>
        <v>3369221.3800000008</v>
      </c>
      <c r="CA2136" s="92">
        <f t="shared" si="1014"/>
        <v>286483651.28758633</v>
      </c>
      <c r="CB2136" s="92">
        <f t="shared" si="1015"/>
        <v>3720566.8998387833</v>
      </c>
    </row>
    <row r="2137" spans="1:80" x14ac:dyDescent="0.25">
      <c r="A2137" s="77" t="s">
        <v>28</v>
      </c>
      <c r="B2137" s="299">
        <v>1992127.7879310343</v>
      </c>
      <c r="C2137" s="300">
        <v>5377467.9379310356</v>
      </c>
      <c r="D2137" s="92">
        <v>4559595.4172413796</v>
      </c>
      <c r="E2137" s="92">
        <v>5097995.4068965521</v>
      </c>
      <c r="F2137" s="92">
        <f>+F2120</f>
        <v>4507949.9517241381</v>
      </c>
      <c r="G2137" s="92">
        <f t="shared" si="1016"/>
        <v>4257075.1931034494</v>
      </c>
      <c r="H2137" s="92">
        <f t="shared" si="1016"/>
        <v>3783351.2689655172</v>
      </c>
      <c r="I2137" s="92">
        <f t="shared" si="1016"/>
        <v>3950231.2810344831</v>
      </c>
      <c r="J2137" s="92">
        <f t="shared" si="1017"/>
        <v>3356357.4017241383</v>
      </c>
      <c r="K2137" s="92">
        <f t="shared" si="1017"/>
        <v>1771709.8931034484</v>
      </c>
      <c r="L2137" s="92">
        <f t="shared" si="1017"/>
        <v>2184874.1396551728</v>
      </c>
      <c r="M2137" s="92">
        <f t="shared" si="1017"/>
        <v>2607806.9137931042</v>
      </c>
      <c r="N2137" s="92">
        <f t="shared" si="1017"/>
        <v>2360099.6224137936</v>
      </c>
      <c r="O2137" s="92">
        <f t="shared" si="1017"/>
        <v>2383189.3706896557</v>
      </c>
      <c r="P2137" s="92">
        <f t="shared" si="1017"/>
        <v>2608601.3879310344</v>
      </c>
      <c r="Q2137" s="92">
        <f t="shared" si="1017"/>
        <v>2725740.0965517242</v>
      </c>
      <c r="R2137" s="92">
        <f t="shared" si="1017"/>
        <v>2713394.237931035</v>
      </c>
      <c r="S2137" s="92">
        <f t="shared" si="1017"/>
        <v>1514680.4758620693</v>
      </c>
      <c r="T2137" s="92">
        <f t="shared" ref="T2137:BZ2137" si="1022">T2120</f>
        <v>2692257.5155172418</v>
      </c>
      <c r="U2137" s="92">
        <f t="shared" si="1022"/>
        <v>1881726.6413793107</v>
      </c>
      <c r="V2137" s="92">
        <f t="shared" si="1022"/>
        <v>2249959.4896551729</v>
      </c>
      <c r="W2137" s="92">
        <f t="shared" si="1022"/>
        <v>1750819.4534482763</v>
      </c>
      <c r="X2137" s="92">
        <f t="shared" si="1022"/>
        <v>1877286.1637931035</v>
      </c>
      <c r="Y2137" s="92">
        <f t="shared" si="1022"/>
        <v>1916918.8706896557</v>
      </c>
      <c r="Z2137" s="92">
        <f t="shared" si="1022"/>
        <v>1540049.1775862072</v>
      </c>
      <c r="AA2137" s="92">
        <f t="shared" si="1022"/>
        <v>1769270.3431034484</v>
      </c>
      <c r="AB2137" s="92">
        <f t="shared" si="1022"/>
        <v>1328924.6534482758</v>
      </c>
      <c r="AC2137" s="92">
        <f t="shared" si="1022"/>
        <v>1749289.2448275867</v>
      </c>
      <c r="AD2137" s="92">
        <f t="shared" si="1022"/>
        <v>1347691.1672413794</v>
      </c>
      <c r="AE2137" s="92">
        <f t="shared" si="1022"/>
        <v>1079395.1793103446</v>
      </c>
      <c r="AF2137" s="92">
        <f t="shared" si="1022"/>
        <v>1063729.6327586207</v>
      </c>
      <c r="AG2137" s="92">
        <f t="shared" si="1022"/>
        <v>1329675.7103448277</v>
      </c>
      <c r="AH2137" s="92">
        <f t="shared" si="1022"/>
        <v>1322618.5448275863</v>
      </c>
      <c r="AI2137" s="92">
        <f t="shared" si="1022"/>
        <v>1288666.6879310347</v>
      </c>
      <c r="AJ2137" s="92">
        <f t="shared" si="1022"/>
        <v>1200250.0241379312</v>
      </c>
      <c r="AK2137" s="92">
        <f t="shared" si="1022"/>
        <v>1374358.4500000002</v>
      </c>
      <c r="AL2137" s="92">
        <f t="shared" si="1022"/>
        <v>1102158.1775862072</v>
      </c>
      <c r="AM2137" s="92">
        <f t="shared" si="1022"/>
        <v>1443240.829310345</v>
      </c>
      <c r="AN2137" s="92">
        <f t="shared" si="1022"/>
        <v>1117592.1172413793</v>
      </c>
      <c r="AO2137" s="92">
        <f t="shared" si="1022"/>
        <v>748126.50000000023</v>
      </c>
      <c r="AP2137" s="92">
        <f t="shared" si="1022"/>
        <v>640880.34827586217</v>
      </c>
      <c r="AQ2137" s="92">
        <f t="shared" si="1022"/>
        <v>510846.16551724146</v>
      </c>
      <c r="AR2137" s="92">
        <f t="shared" si="1022"/>
        <v>1069786.4706896553</v>
      </c>
      <c r="AS2137" s="92">
        <f t="shared" si="1022"/>
        <v>723698.74482758623</v>
      </c>
      <c r="AT2137" s="92">
        <f t="shared" si="1022"/>
        <v>375563.76896551729</v>
      </c>
      <c r="AU2137" s="92">
        <f t="shared" si="1022"/>
        <v>584182.55517241382</v>
      </c>
      <c r="AV2137" s="92">
        <f t="shared" si="1022"/>
        <v>537307.39310344821</v>
      </c>
      <c r="AW2137" s="92">
        <f t="shared" si="1012"/>
        <v>554617.11551724141</v>
      </c>
      <c r="AX2137" s="92">
        <f>AX2120</f>
        <v>661933.02068965521</v>
      </c>
      <c r="AY2137" s="92">
        <f t="shared" si="1012"/>
        <v>526005.81034482759</v>
      </c>
      <c r="AZ2137" s="92">
        <f t="shared" ref="AZ2137:BY2137" si="1023">AZ2120</f>
        <v>505207.30862068967</v>
      </c>
      <c r="BA2137" s="92">
        <f t="shared" si="1023"/>
        <v>495802.9</v>
      </c>
      <c r="BB2137" s="92">
        <f t="shared" si="1023"/>
        <v>428552.74655172415</v>
      </c>
      <c r="BC2137" s="92">
        <f t="shared" si="1023"/>
        <v>861710.30689655175</v>
      </c>
      <c r="BD2137" s="92">
        <f t="shared" si="1023"/>
        <v>629573.1948275863</v>
      </c>
      <c r="BE2137" s="92">
        <f t="shared" si="1023"/>
        <v>667211.49310344842</v>
      </c>
      <c r="BF2137" s="92">
        <f t="shared" si="1023"/>
        <v>892483.97931034502</v>
      </c>
      <c r="BG2137" s="92">
        <f t="shared" si="1023"/>
        <v>501616.83793103462</v>
      </c>
      <c r="BH2137" s="92">
        <f t="shared" si="1023"/>
        <v>484105.19517241383</v>
      </c>
      <c r="BI2137" s="92">
        <f t="shared" si="1023"/>
        <v>902596.98206896556</v>
      </c>
      <c r="BJ2137" s="92">
        <f t="shared" si="1023"/>
        <v>1481581.8579310346</v>
      </c>
      <c r="BK2137" s="92">
        <f t="shared" si="1023"/>
        <v>416158.43103448284</v>
      </c>
      <c r="BL2137" s="92">
        <f t="shared" si="1023"/>
        <v>320564.90620689659</v>
      </c>
      <c r="BM2137" s="92">
        <f t="shared" si="1023"/>
        <v>610190.2544827587</v>
      </c>
      <c r="BN2137" s="92">
        <f t="shared" si="1023"/>
        <v>994783.00482758624</v>
      </c>
      <c r="BO2137" s="92">
        <f t="shared" si="1023"/>
        <v>645767.46206896554</v>
      </c>
      <c r="BP2137" s="92">
        <f t="shared" si="1023"/>
        <v>1251391.2048275864</v>
      </c>
      <c r="BQ2137" s="92">
        <f t="shared" si="1023"/>
        <v>1258442.8648275863</v>
      </c>
      <c r="BR2137" s="92">
        <f t="shared" si="1023"/>
        <v>1502264.7386206898</v>
      </c>
      <c r="BS2137" s="92">
        <f t="shared" si="1023"/>
        <v>1026957.2110344828</v>
      </c>
      <c r="BT2137" s="92">
        <f t="shared" si="1023"/>
        <v>1245118.7765517242</v>
      </c>
      <c r="BU2137" s="92">
        <f t="shared" si="1023"/>
        <v>949704.5213793104</v>
      </c>
      <c r="BV2137" s="92">
        <f t="shared" si="1023"/>
        <v>600290.09517241386</v>
      </c>
      <c r="BW2137" s="92">
        <f t="shared" si="1023"/>
        <v>1276490.9937931036</v>
      </c>
      <c r="BX2137" s="92">
        <f t="shared" si="1023"/>
        <v>1179541.5648275863</v>
      </c>
      <c r="BY2137" s="92">
        <f t="shared" si="1023"/>
        <v>1083974.3441379312</v>
      </c>
      <c r="BZ2137" s="92">
        <f t="shared" si="1022"/>
        <v>875934.71724137932</v>
      </c>
      <c r="CA2137" s="92">
        <f t="shared" si="1014"/>
        <v>120199091.64517242</v>
      </c>
      <c r="CB2137" s="92">
        <f t="shared" si="1015"/>
        <v>1561027.1642230183</v>
      </c>
    </row>
    <row r="2138" spans="1:80" x14ac:dyDescent="0.25">
      <c r="A2138" s="77" t="s">
        <v>29</v>
      </c>
      <c r="B2138" s="299">
        <v>446056.58103448281</v>
      </c>
      <c r="C2138" s="300">
        <v>280600.89310344827</v>
      </c>
      <c r="D2138" s="92">
        <v>292439.03275862068</v>
      </c>
      <c r="E2138" s="92">
        <v>104305.62241379311</v>
      </c>
      <c r="F2138" s="92">
        <f>+F2121</f>
        <v>67166.64827586207</v>
      </c>
      <c r="G2138" s="92">
        <f t="shared" si="1016"/>
        <v>118429.83275862069</v>
      </c>
      <c r="H2138" s="92">
        <f t="shared" si="1016"/>
        <v>293708.03448275867</v>
      </c>
      <c r="I2138" s="92">
        <f t="shared" si="1016"/>
        <v>0</v>
      </c>
      <c r="J2138" s="92">
        <f t="shared" si="1017"/>
        <v>0</v>
      </c>
      <c r="K2138" s="92">
        <f t="shared" si="1017"/>
        <v>0</v>
      </c>
      <c r="L2138" s="92">
        <f t="shared" si="1017"/>
        <v>250252.63448275864</v>
      </c>
      <c r="M2138" s="92">
        <f t="shared" si="1017"/>
        <v>134610.83448275863</v>
      </c>
      <c r="N2138" s="92">
        <f t="shared" si="1017"/>
        <v>440300.43448275869</v>
      </c>
      <c r="O2138" s="92">
        <f t="shared" si="1017"/>
        <v>140518.57586206897</v>
      </c>
      <c r="P2138" s="92">
        <f t="shared" ref="P2138:U2138" si="1024">P2121</f>
        <v>130125.46034482759</v>
      </c>
      <c r="Q2138" s="92">
        <f t="shared" si="1024"/>
        <v>307382.24827586208</v>
      </c>
      <c r="R2138" s="92">
        <f t="shared" si="1024"/>
        <v>316144.27586206899</v>
      </c>
      <c r="S2138" s="92">
        <f t="shared" si="1024"/>
        <v>124017.75689655174</v>
      </c>
      <c r="T2138" s="92">
        <f t="shared" si="1024"/>
        <v>0</v>
      </c>
      <c r="U2138" s="92">
        <f t="shared" si="1024"/>
        <v>0</v>
      </c>
      <c r="V2138" s="92">
        <f t="shared" ref="V2138:BZ2138" si="1025">V2121</f>
        <v>37048.432758620693</v>
      </c>
      <c r="W2138" s="92">
        <f t="shared" si="1025"/>
        <v>82404.665517241374</v>
      </c>
      <c r="X2138" s="92">
        <f t="shared" si="1025"/>
        <v>73227.872413793113</v>
      </c>
      <c r="Y2138" s="92">
        <f t="shared" si="1025"/>
        <v>72757.196551724148</v>
      </c>
      <c r="Z2138" s="92">
        <f t="shared" si="1025"/>
        <v>23296.660344827589</v>
      </c>
      <c r="AA2138" s="92">
        <f t="shared" si="1025"/>
        <v>135417.76551724141</v>
      </c>
      <c r="AB2138" s="92">
        <f t="shared" si="1025"/>
        <v>0</v>
      </c>
      <c r="AC2138" s="92">
        <f t="shared" si="1025"/>
        <v>0</v>
      </c>
      <c r="AD2138" s="92">
        <f t="shared" si="1025"/>
        <v>86397.791379310336</v>
      </c>
      <c r="AE2138" s="92">
        <f t="shared" si="1025"/>
        <v>0</v>
      </c>
      <c r="AF2138" s="92">
        <f t="shared" si="1025"/>
        <v>32977.718965517248</v>
      </c>
      <c r="AG2138" s="92">
        <f t="shared" si="1025"/>
        <v>62498.539655172419</v>
      </c>
      <c r="AH2138" s="92">
        <f t="shared" si="1025"/>
        <v>0</v>
      </c>
      <c r="AI2138" s="92">
        <f t="shared" si="1025"/>
        <v>64358.891379310349</v>
      </c>
      <c r="AJ2138" s="92">
        <f t="shared" si="1025"/>
        <v>111834.13103448277</v>
      </c>
      <c r="AK2138" s="92">
        <f t="shared" si="1025"/>
        <v>0</v>
      </c>
      <c r="AL2138" s="92">
        <f t="shared" si="1025"/>
        <v>86633.993103448287</v>
      </c>
      <c r="AM2138" s="92">
        <f t="shared" si="1025"/>
        <v>27873.4</v>
      </c>
      <c r="AN2138" s="92">
        <f t="shared" si="1025"/>
        <v>51607.098275862074</v>
      </c>
      <c r="AO2138" s="92">
        <f t="shared" si="1025"/>
        <v>128048.80000000002</v>
      </c>
      <c r="AP2138" s="92">
        <f t="shared" si="1025"/>
        <v>49505.370689655181</v>
      </c>
      <c r="AQ2138" s="92">
        <f t="shared" si="1025"/>
        <v>71516.672413793116</v>
      </c>
      <c r="AR2138" s="92">
        <f t="shared" si="1025"/>
        <v>51495.05</v>
      </c>
      <c r="AS2138" s="92">
        <f t="shared" si="1025"/>
        <v>100196.9827586207</v>
      </c>
      <c r="AT2138" s="92">
        <f t="shared" si="1025"/>
        <v>0</v>
      </c>
      <c r="AU2138" s="92">
        <f t="shared" si="1025"/>
        <v>0</v>
      </c>
      <c r="AV2138" s="92">
        <f t="shared" si="1025"/>
        <v>0</v>
      </c>
      <c r="AW2138" s="92">
        <f t="shared" si="1012"/>
        <v>30743.206896551728</v>
      </c>
      <c r="AX2138" s="92">
        <f>AX2121</f>
        <v>0</v>
      </c>
      <c r="AY2138" s="92">
        <f t="shared" si="1012"/>
        <v>54944.206896551725</v>
      </c>
      <c r="AZ2138" s="92">
        <f t="shared" ref="AZ2138:BY2138" si="1026">AZ2121</f>
        <v>43104.493103448287</v>
      </c>
      <c r="BA2138" s="92">
        <f t="shared" si="1026"/>
        <v>48482.115517241386</v>
      </c>
      <c r="BB2138" s="92">
        <f t="shared" si="1026"/>
        <v>0</v>
      </c>
      <c r="BC2138" s="92">
        <f t="shared" si="1026"/>
        <v>132112.68793103448</v>
      </c>
      <c r="BD2138" s="92">
        <f t="shared" si="1026"/>
        <v>55759.69827586208</v>
      </c>
      <c r="BE2138" s="92">
        <f t="shared" si="1026"/>
        <v>0</v>
      </c>
      <c r="BF2138" s="92">
        <f t="shared" si="1026"/>
        <v>55241.598275862074</v>
      </c>
      <c r="BG2138" s="92">
        <f t="shared" si="1026"/>
        <v>97746.993103448287</v>
      </c>
      <c r="BH2138" s="92">
        <f t="shared" si="1026"/>
        <v>0</v>
      </c>
      <c r="BI2138" s="92">
        <f t="shared" si="1026"/>
        <v>113769.22965517243</v>
      </c>
      <c r="BJ2138" s="92">
        <f t="shared" si="1026"/>
        <v>106173.60413793103</v>
      </c>
      <c r="BK2138" s="92">
        <f t="shared" si="1026"/>
        <v>0</v>
      </c>
      <c r="BL2138" s="92">
        <f t="shared" si="1026"/>
        <v>30421.404827586208</v>
      </c>
      <c r="BM2138" s="92">
        <f t="shared" si="1026"/>
        <v>31699.848965517245</v>
      </c>
      <c r="BN2138" s="92">
        <f t="shared" si="1026"/>
        <v>24451.612413793104</v>
      </c>
      <c r="BO2138" s="92">
        <f t="shared" si="1026"/>
        <v>21083.502758620692</v>
      </c>
      <c r="BP2138" s="92">
        <f t="shared" si="1026"/>
        <v>247913.38689655176</v>
      </c>
      <c r="BQ2138" s="92">
        <f t="shared" si="1026"/>
        <v>28804.157241379311</v>
      </c>
      <c r="BR2138" s="92">
        <f t="shared" si="1026"/>
        <v>95478.830344827584</v>
      </c>
      <c r="BS2138" s="92">
        <f t="shared" si="1026"/>
        <v>0</v>
      </c>
      <c r="BT2138" s="92">
        <f t="shared" si="1026"/>
        <v>43887.711724137938</v>
      </c>
      <c r="BU2138" s="92">
        <f t="shared" si="1026"/>
        <v>0</v>
      </c>
      <c r="BV2138" s="92">
        <f t="shared" si="1026"/>
        <v>0</v>
      </c>
      <c r="BW2138" s="92">
        <f t="shared" si="1026"/>
        <v>48126.492413793101</v>
      </c>
      <c r="BX2138" s="92">
        <f t="shared" si="1026"/>
        <v>61572.951034482772</v>
      </c>
      <c r="BY2138" s="92">
        <f t="shared" si="1026"/>
        <v>0</v>
      </c>
      <c r="BZ2138" s="92">
        <f t="shared" si="1025"/>
        <v>48261.849655172417</v>
      </c>
      <c r="CA2138" s="92">
        <f t="shared" si="1014"/>
        <v>6214935.4803448264</v>
      </c>
      <c r="CB2138" s="92">
        <f t="shared" si="1015"/>
        <v>80713.447796686058</v>
      </c>
    </row>
    <row r="2139" spans="1:80" x14ac:dyDescent="0.25">
      <c r="A2139" s="77" t="s">
        <v>31</v>
      </c>
      <c r="B2139" s="299">
        <v>497805</v>
      </c>
      <c r="C2139" s="300">
        <v>1853300</v>
      </c>
      <c r="D2139" s="92">
        <v>1708915</v>
      </c>
      <c r="E2139" s="92">
        <v>2254130</v>
      </c>
      <c r="F2139" s="92">
        <f>+F2123</f>
        <v>2420065</v>
      </c>
      <c r="G2139" s="92">
        <f t="shared" ref="G2139:L2139" si="1027">G2123</f>
        <v>2435150</v>
      </c>
      <c r="H2139" s="92">
        <f t="shared" si="1027"/>
        <v>2124830</v>
      </c>
      <c r="I2139" s="92">
        <f t="shared" si="1027"/>
        <v>2144225</v>
      </c>
      <c r="J2139" s="92">
        <f t="shared" si="1027"/>
        <v>2605395</v>
      </c>
      <c r="K2139" s="92">
        <f t="shared" si="1027"/>
        <v>1756325</v>
      </c>
      <c r="L2139" s="92">
        <f t="shared" si="1027"/>
        <v>1370580</v>
      </c>
      <c r="M2139" s="92">
        <f t="shared" ref="M2139:R2139" si="1028">M2123</f>
        <v>1133530</v>
      </c>
      <c r="N2139" s="92">
        <f t="shared" si="1028"/>
        <v>1312395</v>
      </c>
      <c r="O2139" s="92">
        <f t="shared" si="1028"/>
        <v>1879160</v>
      </c>
      <c r="P2139" s="92">
        <f t="shared" si="1028"/>
        <v>1728310</v>
      </c>
      <c r="Q2139" s="92">
        <f t="shared" si="1028"/>
        <v>1909330</v>
      </c>
      <c r="R2139" s="92">
        <f t="shared" si="1028"/>
        <v>2030010</v>
      </c>
      <c r="S2139" s="92">
        <f t="shared" ref="S2139:BZ2139" si="1029">S2123</f>
        <v>2019235</v>
      </c>
      <c r="T2139" s="92">
        <f t="shared" si="1029"/>
        <v>1883470</v>
      </c>
      <c r="U2139" s="92">
        <f t="shared" si="1029"/>
        <v>1857610</v>
      </c>
      <c r="V2139" s="92">
        <f t="shared" si="1029"/>
        <v>2064490</v>
      </c>
      <c r="W2139" s="92">
        <f t="shared" si="1029"/>
        <v>1991220</v>
      </c>
      <c r="X2139" s="92">
        <f t="shared" si="1029"/>
        <v>1846835</v>
      </c>
      <c r="Y2139" s="92">
        <f t="shared" si="1029"/>
        <v>2336020</v>
      </c>
      <c r="Z2139" s="92">
        <f t="shared" si="1029"/>
        <v>1573150</v>
      </c>
      <c r="AA2139" s="92">
        <f t="shared" si="1029"/>
        <v>1973980</v>
      </c>
      <c r="AB2139" s="92">
        <f t="shared" si="1029"/>
        <v>1846835</v>
      </c>
      <c r="AC2139" s="92">
        <f t="shared" si="1029"/>
        <v>1525740</v>
      </c>
      <c r="AD2139" s="92">
        <f t="shared" si="1029"/>
        <v>2021390</v>
      </c>
      <c r="AE2139" s="92">
        <f t="shared" si="1029"/>
        <v>1769255</v>
      </c>
      <c r="AF2139" s="92">
        <f t="shared" si="1029"/>
        <v>2079575</v>
      </c>
      <c r="AG2139" s="92">
        <f t="shared" si="1029"/>
        <v>1930880</v>
      </c>
      <c r="AH2139" s="92">
        <f t="shared" si="1029"/>
        <v>2055870</v>
      </c>
      <c r="AI2139" s="92">
        <f t="shared" si="1029"/>
        <v>1928725</v>
      </c>
      <c r="AJ2139" s="92">
        <f t="shared" si="1029"/>
        <v>2021390</v>
      </c>
      <c r="AK2139" s="92">
        <f t="shared" si="1029"/>
        <v>1730465</v>
      </c>
      <c r="AL2139" s="92">
        <f t="shared" si="1029"/>
        <v>1605475</v>
      </c>
      <c r="AM2139" s="92">
        <f t="shared" si="1029"/>
        <v>1786495</v>
      </c>
      <c r="AN2139" s="92">
        <f t="shared" si="1029"/>
        <v>1866230</v>
      </c>
      <c r="AO2139" s="92">
        <f t="shared" si="1029"/>
        <v>1704605</v>
      </c>
      <c r="AP2139" s="92">
        <f t="shared" si="1029"/>
        <v>1760635</v>
      </c>
      <c r="AQ2139" s="92">
        <f t="shared" si="1029"/>
        <v>1726155</v>
      </c>
      <c r="AR2139" s="92">
        <f t="shared" si="1029"/>
        <v>1631335</v>
      </c>
      <c r="AS2139" s="92">
        <f t="shared" si="1029"/>
        <v>1652885</v>
      </c>
      <c r="AT2139" s="92">
        <f t="shared" si="1029"/>
        <v>1976135</v>
      </c>
      <c r="AU2139" s="92">
        <f t="shared" si="1029"/>
        <v>1857610</v>
      </c>
      <c r="AV2139" s="92">
        <f t="shared" si="1029"/>
        <v>1711070</v>
      </c>
      <c r="AW2139" s="92">
        <f t="shared" ref="AW2139:BY2139" si="1030">AW2123</f>
        <v>1790805</v>
      </c>
      <c r="AX2139" s="92">
        <f t="shared" si="1030"/>
        <v>1838215</v>
      </c>
      <c r="AY2139" s="92">
        <f t="shared" si="1030"/>
        <v>1435230</v>
      </c>
      <c r="AZ2139" s="92">
        <f t="shared" si="1030"/>
        <v>1228350</v>
      </c>
      <c r="BA2139" s="92">
        <f t="shared" si="1030"/>
        <v>1215420</v>
      </c>
      <c r="BB2139" s="92">
        <f t="shared" si="1030"/>
        <v>1230505</v>
      </c>
      <c r="BC2139" s="92">
        <f t="shared" si="1030"/>
        <v>1549445</v>
      </c>
      <c r="BD2139" s="92">
        <f t="shared" si="1030"/>
        <v>1413680</v>
      </c>
      <c r="BE2139" s="92">
        <f t="shared" si="1030"/>
        <v>1219730</v>
      </c>
      <c r="BF2139" s="92">
        <f t="shared" si="1030"/>
        <v>1467555</v>
      </c>
      <c r="BG2139" s="92">
        <f t="shared" si="1030"/>
        <v>1504190</v>
      </c>
      <c r="BH2139" s="92">
        <f t="shared" si="1030"/>
        <v>1576342</v>
      </c>
      <c r="BI2139" s="92">
        <f t="shared" si="1030"/>
        <v>1670488</v>
      </c>
      <c r="BJ2139" s="92">
        <f t="shared" si="1030"/>
        <v>1745322</v>
      </c>
      <c r="BK2139" s="92">
        <f t="shared" si="1030"/>
        <v>1368738</v>
      </c>
      <c r="BL2139" s="92">
        <f t="shared" si="1030"/>
        <v>1156306</v>
      </c>
      <c r="BM2139" s="92">
        <f t="shared" si="1030"/>
        <v>871454</v>
      </c>
      <c r="BN2139" s="92">
        <f t="shared" si="1030"/>
        <v>1004224</v>
      </c>
      <c r="BO2139" s="92">
        <f t="shared" si="1030"/>
        <v>1310802</v>
      </c>
      <c r="BP2139" s="92">
        <f t="shared" si="1030"/>
        <v>1330114</v>
      </c>
      <c r="BQ2139" s="92">
        <f t="shared" si="1030"/>
        <v>1528062</v>
      </c>
      <c r="BR2139" s="92">
        <f t="shared" si="1030"/>
        <v>1281834</v>
      </c>
      <c r="BS2139" s="92">
        <f t="shared" si="1030"/>
        <v>1293904</v>
      </c>
      <c r="BT2139" s="92">
        <f t="shared" si="1030"/>
        <v>1315630</v>
      </c>
      <c r="BU2139" s="92">
        <f t="shared" si="1030"/>
        <v>1284248</v>
      </c>
      <c r="BV2139" s="92">
        <f t="shared" si="1030"/>
        <v>1450814</v>
      </c>
      <c r="BW2139" s="92">
        <f t="shared" si="1030"/>
        <v>1318044</v>
      </c>
      <c r="BX2139" s="92">
        <f t="shared" si="1030"/>
        <v>1223898</v>
      </c>
      <c r="BY2139" s="92">
        <f t="shared" si="1030"/>
        <v>1484610</v>
      </c>
      <c r="BZ2139" s="92">
        <f t="shared" si="1029"/>
        <v>1038020</v>
      </c>
      <c r="CA2139" s="92">
        <f t="shared" si="1014"/>
        <v>128044199</v>
      </c>
      <c r="CB2139" s="92">
        <f t="shared" si="1015"/>
        <v>1662911.6753246754</v>
      </c>
    </row>
    <row r="2140" spans="1:80" x14ac:dyDescent="0.25">
      <c r="A2140" s="463" t="s">
        <v>32</v>
      </c>
      <c r="B2140" s="464">
        <f t="shared" ref="B2140:G2140" si="1031">SUM(B2134:B2139)</f>
        <v>13075172.413793106</v>
      </c>
      <c r="C2140" s="342">
        <f t="shared" si="1031"/>
        <v>39392844.827586211</v>
      </c>
      <c r="D2140" s="199">
        <f t="shared" si="1031"/>
        <v>36583879.31034483</v>
      </c>
      <c r="E2140" s="199">
        <f t="shared" si="1031"/>
        <v>47409568.965517253</v>
      </c>
      <c r="F2140" s="199">
        <f t="shared" si="1031"/>
        <v>40267068.965517245</v>
      </c>
      <c r="G2140" s="199">
        <f t="shared" si="1031"/>
        <v>47880086.206896544</v>
      </c>
      <c r="H2140" s="199">
        <f>SUM(H2134:H2139)</f>
        <v>42627068.965517253</v>
      </c>
      <c r="I2140" s="199">
        <f>SUM(I2134:I2139)</f>
        <v>42926465.517241389</v>
      </c>
      <c r="J2140" s="199">
        <f>SUM(J2134:J2139)</f>
        <v>46315172.413793109</v>
      </c>
      <c r="K2140" s="199">
        <f>SUM(K2134:K2139)</f>
        <v>36083275.862068966</v>
      </c>
      <c r="L2140" s="199">
        <f>SUM(L2134:L2139)</f>
        <v>31752413.793103453</v>
      </c>
      <c r="M2140" s="199">
        <f t="shared" ref="M2140:R2140" si="1032">SUM(M2134:M2139)</f>
        <v>26055775.862068973</v>
      </c>
      <c r="N2140" s="199">
        <f t="shared" si="1032"/>
        <v>29304310.344827596</v>
      </c>
      <c r="O2140" s="199">
        <f t="shared" si="1032"/>
        <v>40830862.075862072</v>
      </c>
      <c r="P2140" s="199">
        <f t="shared" si="1032"/>
        <v>38226293.103448279</v>
      </c>
      <c r="Q2140" s="199">
        <f t="shared" si="1032"/>
        <v>40386206.896551728</v>
      </c>
      <c r="R2140" s="199">
        <f t="shared" si="1032"/>
        <v>43711034.482758619</v>
      </c>
      <c r="S2140" s="199">
        <f t="shared" ref="S2140:CA2140" si="1033">SUM(S2134:S2139)</f>
        <v>40160086.206896566</v>
      </c>
      <c r="T2140" s="199">
        <f t="shared" si="1033"/>
        <v>38815255.913793109</v>
      </c>
      <c r="U2140" s="199">
        <f t="shared" si="1033"/>
        <v>37957672.413793109</v>
      </c>
      <c r="V2140" s="199">
        <f t="shared" si="1033"/>
        <v>40774332.072413802</v>
      </c>
      <c r="W2140" s="199">
        <f t="shared" si="1033"/>
        <v>39187672.413793102</v>
      </c>
      <c r="X2140" s="199">
        <f t="shared" si="1033"/>
        <v>37499913.793103442</v>
      </c>
      <c r="Y2140" s="199">
        <f t="shared" si="1033"/>
        <v>44494396.551724136</v>
      </c>
      <c r="Z2140" s="199">
        <f t="shared" si="1033"/>
        <v>32523534.482758623</v>
      </c>
      <c r="AA2140" s="199">
        <f t="shared" si="1033"/>
        <v>39246206.896551728</v>
      </c>
      <c r="AB2140" s="199">
        <f t="shared" si="1033"/>
        <v>36363275.862068966</v>
      </c>
      <c r="AC2140" s="199">
        <f t="shared" si="1033"/>
        <v>30456120.689655174</v>
      </c>
      <c r="AD2140" s="199">
        <f t="shared" si="1033"/>
        <v>39641724.137931041</v>
      </c>
      <c r="AE2140" s="199">
        <f t="shared" si="1033"/>
        <v>35178706.896551728</v>
      </c>
      <c r="AF2140" s="199">
        <f t="shared" si="1033"/>
        <v>40465172.413793102</v>
      </c>
      <c r="AG2140" s="199">
        <f t="shared" si="1033"/>
        <v>36695948.275862075</v>
      </c>
      <c r="AH2140" s="199">
        <f t="shared" si="1033"/>
        <v>41115689.655172423</v>
      </c>
      <c r="AI2140" s="199">
        <f t="shared" si="1033"/>
        <v>37712413.793103456</v>
      </c>
      <c r="AJ2140" s="199">
        <f t="shared" si="1033"/>
        <v>38886293.103448279</v>
      </c>
      <c r="AK2140" s="199">
        <f t="shared" si="1033"/>
        <v>34474051.724137932</v>
      </c>
      <c r="AL2140" s="199">
        <f t="shared" si="1033"/>
        <v>31369568.965517242</v>
      </c>
      <c r="AM2140" s="199">
        <f t="shared" si="1033"/>
        <v>34673362.068965517</v>
      </c>
      <c r="AN2140" s="199">
        <f t="shared" si="1033"/>
        <v>35716034.482758626</v>
      </c>
      <c r="AO2140" s="199">
        <f t="shared" si="1033"/>
        <v>33710948.275862068</v>
      </c>
      <c r="AP2140" s="199">
        <f t="shared" si="1033"/>
        <v>34293534.482758626</v>
      </c>
      <c r="AQ2140" s="199">
        <f t="shared" si="1033"/>
        <v>33155948.275862075</v>
      </c>
      <c r="AR2140" s="199">
        <f t="shared" si="1033"/>
        <v>32146293.103448275</v>
      </c>
      <c r="AS2140" s="199">
        <f t="shared" si="1033"/>
        <v>32834827.586206902</v>
      </c>
      <c r="AT2140" s="199">
        <f t="shared" si="1033"/>
        <v>38112068.965517245</v>
      </c>
      <c r="AU2140" s="199">
        <f t="shared" si="1033"/>
        <v>37155172.413793109</v>
      </c>
      <c r="AV2140" s="199">
        <f t="shared" si="1033"/>
        <v>35160086.206896551</v>
      </c>
      <c r="AW2140" s="199">
        <f t="shared" ref="AW2140:BY2140" si="1034">SUM(AW2134:AW2139)</f>
        <v>34571724.137931034</v>
      </c>
      <c r="AX2140" s="199">
        <f t="shared" si="1034"/>
        <v>36513362.068965524</v>
      </c>
      <c r="AY2140" s="199">
        <f t="shared" si="1034"/>
        <v>27744310.344827581</v>
      </c>
      <c r="AZ2140" s="199">
        <f t="shared" si="1034"/>
        <v>26068275.86206897</v>
      </c>
      <c r="BA2140" s="199">
        <f t="shared" si="1034"/>
        <v>24428706.896551721</v>
      </c>
      <c r="BB2140" s="199">
        <f t="shared" si="1034"/>
        <v>24859051.724137932</v>
      </c>
      <c r="BC2140" s="199">
        <f t="shared" si="1034"/>
        <v>31475862.068965521</v>
      </c>
      <c r="BD2140" s="199">
        <f t="shared" si="1034"/>
        <v>28378103.44827586</v>
      </c>
      <c r="BE2140" s="199">
        <f t="shared" si="1034"/>
        <v>24473620.689655174</v>
      </c>
      <c r="BF2140" s="199">
        <f t="shared" si="1034"/>
        <v>28915603.448275868</v>
      </c>
      <c r="BG2140" s="199">
        <f t="shared" si="1034"/>
        <v>29300431.034482755</v>
      </c>
      <c r="BH2140" s="199">
        <f t="shared" si="1034"/>
        <v>27218362.068965521</v>
      </c>
      <c r="BI2140" s="199">
        <f t="shared" si="1034"/>
        <v>29798362.068965521</v>
      </c>
      <c r="BJ2140" s="199">
        <f t="shared" si="1034"/>
        <v>32944482.758620691</v>
      </c>
      <c r="BK2140" s="199">
        <f t="shared" si="1034"/>
        <v>25510344.827586211</v>
      </c>
      <c r="BL2140" s="199">
        <f t="shared" si="1034"/>
        <v>21786810.344827589</v>
      </c>
      <c r="BM2140" s="199">
        <f t="shared" si="1034"/>
        <v>16860000.000000004</v>
      </c>
      <c r="BN2140" s="199">
        <f t="shared" si="1034"/>
        <v>18576379.31034483</v>
      </c>
      <c r="BO2140" s="199">
        <f t="shared" si="1034"/>
        <v>23351034.482758623</v>
      </c>
      <c r="BP2140" s="199">
        <f t="shared" si="1034"/>
        <v>24177241.379310343</v>
      </c>
      <c r="BQ2140" s="199">
        <f t="shared" si="1034"/>
        <v>28137586.206896547</v>
      </c>
      <c r="BR2140" s="199">
        <f t="shared" si="1034"/>
        <v>24629827.586206898</v>
      </c>
      <c r="BS2140" s="199">
        <f t="shared" si="1034"/>
        <v>23613448.275862072</v>
      </c>
      <c r="BT2140" s="199">
        <f t="shared" si="1034"/>
        <v>23866982.758620691</v>
      </c>
      <c r="BU2140" s="199">
        <f t="shared" si="1034"/>
        <v>21896206.896551725</v>
      </c>
      <c r="BV2140" s="199">
        <f t="shared" si="1034"/>
        <v>25707844.827586211</v>
      </c>
      <c r="BW2140" s="199">
        <f t="shared" si="1034"/>
        <v>23616034.482758619</v>
      </c>
      <c r="BX2140" s="199">
        <f t="shared" si="1034"/>
        <v>21856034.482758626</v>
      </c>
      <c r="BY2140" s="199">
        <f t="shared" si="1034"/>
        <v>25125086.206896558</v>
      </c>
      <c r="BZ2140" s="199">
        <f t="shared" si="1033"/>
        <v>20130603.448275868</v>
      </c>
      <c r="CA2140" s="199">
        <f t="shared" si="1033"/>
        <v>2518335536.2689662</v>
      </c>
      <c r="CB2140" s="199">
        <f t="shared" si="1015"/>
        <v>32705656.315181378</v>
      </c>
    </row>
    <row r="2141" spans="1:80" x14ac:dyDescent="0.25">
      <c r="A2141" s="204"/>
      <c r="B2141" s="343"/>
      <c r="C2141" s="343"/>
      <c r="D2141" s="343"/>
      <c r="E2141" s="343"/>
      <c r="F2141" s="343"/>
      <c r="G2141" s="343"/>
      <c r="H2141" s="343"/>
      <c r="I2141" s="343"/>
      <c r="J2141" s="343"/>
    </row>
    <row r="2142" spans="1:80" x14ac:dyDescent="0.25">
      <c r="A2142" s="204"/>
      <c r="B2142" s="343"/>
      <c r="C2142" s="343"/>
      <c r="D2142" s="343"/>
      <c r="E2142" s="343"/>
      <c r="F2142" s="343"/>
      <c r="G2142" s="343"/>
      <c r="H2142" s="343"/>
      <c r="I2142" s="343"/>
      <c r="J2142" s="343"/>
      <c r="O2142" t="s">
        <v>417</v>
      </c>
    </row>
  </sheetData>
  <sheetProtection selectLockedCells="1" selectUnlockedCells="1"/>
  <mergeCells count="81">
    <mergeCell ref="B1912:I1912"/>
    <mergeCell ref="B2101:H2101"/>
    <mergeCell ref="B2129:H2129"/>
    <mergeCell ref="B1372:I1372"/>
    <mergeCell ref="B1399:I1399"/>
    <mergeCell ref="B1426:I1426"/>
    <mergeCell ref="B1453:I1453"/>
    <mergeCell ref="B1480:I1480"/>
    <mergeCell ref="B1507:I1507"/>
    <mergeCell ref="B1534:I1534"/>
    <mergeCell ref="B1561:I1561"/>
    <mergeCell ref="B1588:I1588"/>
    <mergeCell ref="B1615:I1615"/>
    <mergeCell ref="B1642:I1642"/>
    <mergeCell ref="B1750:I1750"/>
    <mergeCell ref="B1885:I1885"/>
    <mergeCell ref="B1831:I1831"/>
    <mergeCell ref="B1858:I1858"/>
    <mergeCell ref="B1804:I1804"/>
    <mergeCell ref="B1777:I1777"/>
    <mergeCell ref="B1156:I1156"/>
    <mergeCell ref="B1696:I1696"/>
    <mergeCell ref="B1723:I1723"/>
    <mergeCell ref="B1669:I1669"/>
    <mergeCell ref="B1183:I1183"/>
    <mergeCell ref="B1210:I1210"/>
    <mergeCell ref="B1237:I1237"/>
    <mergeCell ref="B1264:I1264"/>
    <mergeCell ref="B1291:I1291"/>
    <mergeCell ref="B1318:I1318"/>
    <mergeCell ref="B1345:I1345"/>
    <mergeCell ref="B1:J1"/>
    <mergeCell ref="B3:I3"/>
    <mergeCell ref="B29:I29"/>
    <mergeCell ref="B30:I30"/>
    <mergeCell ref="B58:I58"/>
    <mergeCell ref="B86:I86"/>
    <mergeCell ref="B114:I114"/>
    <mergeCell ref="B142:I142"/>
    <mergeCell ref="B170:I170"/>
    <mergeCell ref="B198:I198"/>
    <mergeCell ref="B225:I225"/>
    <mergeCell ref="B252:I252"/>
    <mergeCell ref="B279:I279"/>
    <mergeCell ref="B307:I307"/>
    <mergeCell ref="B335:I335"/>
    <mergeCell ref="B363:I363"/>
    <mergeCell ref="B391:I391"/>
    <mergeCell ref="B419:I419"/>
    <mergeCell ref="B447:I447"/>
    <mergeCell ref="B475:I475"/>
    <mergeCell ref="B1048:I1048"/>
    <mergeCell ref="B1075:I1075"/>
    <mergeCell ref="B1102:I1102"/>
    <mergeCell ref="B1129:I1129"/>
    <mergeCell ref="B778:I778"/>
    <mergeCell ref="B805:I805"/>
    <mergeCell ref="B832:I832"/>
    <mergeCell ref="B859:I859"/>
    <mergeCell ref="B886:I886"/>
    <mergeCell ref="B913:I913"/>
    <mergeCell ref="B940:I940"/>
    <mergeCell ref="B967:I967"/>
    <mergeCell ref="B994:I994"/>
    <mergeCell ref="B1021:I1021"/>
    <mergeCell ref="B643:I643"/>
    <mergeCell ref="B670:I670"/>
    <mergeCell ref="B697:I697"/>
    <mergeCell ref="B724:I724"/>
    <mergeCell ref="B751:I751"/>
    <mergeCell ref="B503:I503"/>
    <mergeCell ref="B531:I531"/>
    <mergeCell ref="B559:I559"/>
    <mergeCell ref="B587:I587"/>
    <mergeCell ref="B615:I615"/>
    <mergeCell ref="B2074:I2074"/>
    <mergeCell ref="B2047:I2047"/>
    <mergeCell ref="B2020:I2020"/>
    <mergeCell ref="B1993:I1993"/>
    <mergeCell ref="B1939:I1939"/>
    <mergeCell ref="B1966:I1966"/>
  </mergeCells>
  <pageMargins left="0.98402777777777772" right="0.11805555555555555" top="0.74791666666666667" bottom="0.74791666666666667" header="0.51180555555555551" footer="0.51180555555555551"/>
  <pageSetup scale="65" firstPageNumber="0"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dimension ref="A2:BK1667"/>
  <sheetViews>
    <sheetView topLeftCell="A1600" zoomScale="75" zoomScaleNormal="75" zoomScalePageLayoutView="75" workbookViewId="0">
      <selection activeCell="I1624" sqref="I1624"/>
    </sheetView>
  </sheetViews>
  <sheetFormatPr baseColWidth="10" defaultRowHeight="15" x14ac:dyDescent="0.25"/>
  <cols>
    <col min="1" max="1" width="35.140625" customWidth="1"/>
    <col min="2" max="2" width="15.28515625" customWidth="1"/>
    <col min="3" max="3" width="15.7109375" customWidth="1"/>
    <col min="4" max="4" width="18.42578125" customWidth="1"/>
    <col min="5" max="5" width="15.42578125" customWidth="1"/>
    <col min="6" max="6" width="16.85546875" customWidth="1"/>
    <col min="7" max="7" width="18.140625" customWidth="1"/>
    <col min="8" max="8" width="17.85546875" customWidth="1"/>
    <col min="9" max="9" width="16.42578125" customWidth="1"/>
    <col min="10" max="10" width="18.140625" customWidth="1"/>
    <col min="11" max="16" width="18.140625" style="465" customWidth="1"/>
    <col min="17" max="60" width="16.42578125" style="465" customWidth="1"/>
    <col min="61" max="61" width="16.42578125" customWidth="1"/>
    <col min="62" max="62" width="19.28515625" customWidth="1"/>
    <col min="63" max="63" width="21.42578125" customWidth="1"/>
  </cols>
  <sheetData>
    <row r="2" spans="1:60" ht="26.25" x14ac:dyDescent="0.25">
      <c r="A2" s="85"/>
      <c r="B2" s="1002" t="s">
        <v>353</v>
      </c>
      <c r="C2" s="1002"/>
      <c r="D2" s="1002"/>
      <c r="E2" s="1002"/>
      <c r="F2" s="1002"/>
      <c r="G2" s="1002"/>
      <c r="H2" s="1002"/>
      <c r="I2" s="1002"/>
      <c r="J2" s="85"/>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row>
    <row r="3" spans="1:60" ht="15.75" x14ac:dyDescent="0.25">
      <c r="A3" s="72" t="s">
        <v>2</v>
      </c>
      <c r="B3" s="429" t="s">
        <v>217</v>
      </c>
      <c r="C3" s="51" t="s">
        <v>218</v>
      </c>
      <c r="D3" s="349" t="s">
        <v>219</v>
      </c>
      <c r="E3" s="51" t="s">
        <v>220</v>
      </c>
      <c r="F3" s="51" t="s">
        <v>221</v>
      </c>
      <c r="G3" s="349" t="s">
        <v>222</v>
      </c>
      <c r="H3" s="349" t="s">
        <v>223</v>
      </c>
      <c r="I3" s="153" t="s">
        <v>10</v>
      </c>
      <c r="J3" s="153" t="s">
        <v>77</v>
      </c>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row>
    <row r="4" spans="1:60" x14ac:dyDescent="0.25">
      <c r="A4" s="430" t="s">
        <v>11</v>
      </c>
      <c r="B4" s="431"/>
      <c r="C4" s="432"/>
      <c r="D4" s="433"/>
      <c r="E4" s="434"/>
      <c r="F4" s="435"/>
      <c r="G4" s="436">
        <v>106</v>
      </c>
      <c r="H4" s="434">
        <v>116</v>
      </c>
      <c r="I4" s="467">
        <f t="shared" ref="I4:I9" si="0">SUM(B4:H4)</f>
        <v>222</v>
      </c>
      <c r="J4" s="468">
        <f t="shared" ref="J4:J10" si="1">+$I4/2</f>
        <v>111</v>
      </c>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469"/>
      <c r="BD4" s="469"/>
      <c r="BE4" s="469"/>
      <c r="BF4" s="469"/>
      <c r="BG4" s="469"/>
      <c r="BH4" s="469"/>
    </row>
    <row r="5" spans="1:60" x14ac:dyDescent="0.25">
      <c r="A5" s="77" t="s">
        <v>12</v>
      </c>
      <c r="B5" s="233"/>
      <c r="C5" s="13"/>
      <c r="D5" s="13"/>
      <c r="E5" s="395"/>
      <c r="F5" s="125"/>
      <c r="G5" s="11">
        <v>50</v>
      </c>
      <c r="H5" s="11">
        <v>80</v>
      </c>
      <c r="I5" s="11">
        <f t="shared" si="0"/>
        <v>130</v>
      </c>
      <c r="J5" s="470">
        <f t="shared" si="1"/>
        <v>65</v>
      </c>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row>
    <row r="6" spans="1:60" x14ac:dyDescent="0.25">
      <c r="A6" s="77" t="s">
        <v>13</v>
      </c>
      <c r="B6" s="233"/>
      <c r="C6" s="13"/>
      <c r="D6" s="13"/>
      <c r="E6" s="395"/>
      <c r="F6" s="125"/>
      <c r="G6" s="11">
        <v>2</v>
      </c>
      <c r="H6" s="11">
        <v>0</v>
      </c>
      <c r="I6" s="11">
        <f t="shared" si="0"/>
        <v>2</v>
      </c>
      <c r="J6" s="470">
        <f t="shared" si="1"/>
        <v>1</v>
      </c>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row>
    <row r="7" spans="1:60" x14ac:dyDescent="0.25">
      <c r="A7" s="77" t="s">
        <v>14</v>
      </c>
      <c r="B7" s="233"/>
      <c r="C7" s="13"/>
      <c r="D7" s="13"/>
      <c r="E7" s="395"/>
      <c r="F7" s="125"/>
      <c r="G7" s="11">
        <v>33</v>
      </c>
      <c r="H7" s="11">
        <v>17</v>
      </c>
      <c r="I7" s="11">
        <f t="shared" si="0"/>
        <v>50</v>
      </c>
      <c r="J7" s="470">
        <f t="shared" si="1"/>
        <v>25</v>
      </c>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c r="AY7" s="471"/>
      <c r="AZ7" s="471"/>
      <c r="BA7" s="471"/>
      <c r="BB7" s="471"/>
      <c r="BC7" s="471"/>
      <c r="BD7" s="471"/>
      <c r="BE7" s="471"/>
      <c r="BF7" s="471"/>
      <c r="BG7" s="471"/>
      <c r="BH7" s="471"/>
    </row>
    <row r="8" spans="1:60" x14ac:dyDescent="0.25">
      <c r="A8" s="77" t="s">
        <v>15</v>
      </c>
      <c r="B8" s="233"/>
      <c r="C8" s="13"/>
      <c r="D8" s="13"/>
      <c r="E8" s="395"/>
      <c r="F8" s="125"/>
      <c r="G8" s="11">
        <v>4</v>
      </c>
      <c r="H8" s="11">
        <v>9</v>
      </c>
      <c r="I8" s="11">
        <f t="shared" si="0"/>
        <v>13</v>
      </c>
      <c r="J8" s="470">
        <f t="shared" si="1"/>
        <v>6.5</v>
      </c>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471"/>
      <c r="BF8" s="471"/>
      <c r="BG8" s="471"/>
      <c r="BH8" s="471"/>
    </row>
    <row r="9" spans="1:60" x14ac:dyDescent="0.25">
      <c r="A9" s="77" t="s">
        <v>16</v>
      </c>
      <c r="B9" s="233"/>
      <c r="C9" s="13"/>
      <c r="D9" s="13"/>
      <c r="E9" s="395"/>
      <c r="F9" s="125"/>
      <c r="G9" s="11">
        <v>0</v>
      </c>
      <c r="H9" s="11">
        <v>0</v>
      </c>
      <c r="I9" s="11">
        <f t="shared" si="0"/>
        <v>0</v>
      </c>
      <c r="J9" s="470">
        <f t="shared" si="1"/>
        <v>0</v>
      </c>
      <c r="K9" s="471"/>
      <c r="L9" s="471"/>
      <c r="M9" s="471"/>
      <c r="N9" s="471"/>
      <c r="O9" s="471"/>
      <c r="P9" s="471"/>
      <c r="Q9" s="471"/>
      <c r="R9" s="471"/>
      <c r="S9" s="471"/>
      <c r="T9" s="471"/>
      <c r="U9" s="471"/>
      <c r="V9" s="471"/>
      <c r="W9" s="471"/>
      <c r="X9" s="471"/>
      <c r="Y9" s="471"/>
      <c r="Z9" s="471"/>
      <c r="AA9" s="471"/>
      <c r="AB9" s="471"/>
      <c r="AC9" s="471"/>
      <c r="AD9" s="471"/>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row>
    <row r="10" spans="1:60" x14ac:dyDescent="0.25">
      <c r="A10" s="79" t="s">
        <v>17</v>
      </c>
      <c r="B10" s="102"/>
      <c r="C10" s="79"/>
      <c r="D10" s="79"/>
      <c r="E10" s="248"/>
      <c r="F10" s="15"/>
      <c r="G10" s="79">
        <f>SUM(G5:G9)</f>
        <v>89</v>
      </c>
      <c r="H10" s="79">
        <f>SUM(H5:H9)</f>
        <v>106</v>
      </c>
      <c r="I10" s="472">
        <f>SUM(I5:I9)</f>
        <v>195</v>
      </c>
      <c r="J10" s="473">
        <f t="shared" si="1"/>
        <v>97.5</v>
      </c>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row>
    <row r="11" spans="1:60" x14ac:dyDescent="0.25">
      <c r="A11" s="77" t="s">
        <v>18</v>
      </c>
      <c r="B11" s="406"/>
      <c r="C11" s="19"/>
      <c r="D11" s="19"/>
      <c r="E11" s="18"/>
      <c r="F11" s="18"/>
      <c r="G11" s="18">
        <v>0.68</v>
      </c>
      <c r="H11" s="18">
        <v>0.81</v>
      </c>
      <c r="I11" s="18">
        <f>I18/I23</f>
        <v>0.7498375657354468</v>
      </c>
      <c r="J11" s="475">
        <f>J18/J23</f>
        <v>0.7498375657354468</v>
      </c>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row>
    <row r="12" spans="1:60" x14ac:dyDescent="0.25">
      <c r="A12" s="77" t="s">
        <v>19</v>
      </c>
      <c r="B12" s="406"/>
      <c r="C12" s="19"/>
      <c r="D12" s="19"/>
      <c r="E12" s="18"/>
      <c r="F12" s="18"/>
      <c r="G12" s="18">
        <v>0.02</v>
      </c>
      <c r="H12" s="18">
        <v>0</v>
      </c>
      <c r="I12" s="18">
        <f>I19/I23</f>
        <v>9.2557591176235833E-3</v>
      </c>
      <c r="J12" s="475">
        <f>J19/J23</f>
        <v>9.2557591176235833E-3</v>
      </c>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c r="BB12" s="476"/>
      <c r="BC12" s="476"/>
      <c r="BD12" s="476"/>
      <c r="BE12" s="476"/>
      <c r="BF12" s="476"/>
      <c r="BG12" s="476"/>
      <c r="BH12" s="476"/>
    </row>
    <row r="13" spans="1:60" x14ac:dyDescent="0.25">
      <c r="A13" s="77" t="s">
        <v>20</v>
      </c>
      <c r="B13" s="406"/>
      <c r="C13" s="19"/>
      <c r="D13" s="19"/>
      <c r="E13" s="18"/>
      <c r="F13" s="18"/>
      <c r="G13" s="18">
        <v>0.27</v>
      </c>
      <c r="H13" s="18">
        <v>0.11</v>
      </c>
      <c r="I13" s="18">
        <f>I20/I23</f>
        <v>0.18404607294098868</v>
      </c>
      <c r="J13" s="475">
        <f>J20/J23</f>
        <v>0.18404607294098868</v>
      </c>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row>
    <row r="14" spans="1:60" x14ac:dyDescent="0.25">
      <c r="A14" s="77" t="s">
        <v>21</v>
      </c>
      <c r="B14" s="406"/>
      <c r="C14" s="19"/>
      <c r="D14" s="19"/>
      <c r="E14" s="18"/>
      <c r="F14" s="18"/>
      <c r="G14" s="18">
        <v>0.03</v>
      </c>
      <c r="H14" s="18">
        <v>0.08</v>
      </c>
      <c r="I14" s="18">
        <f>I21/I23</f>
        <v>5.6860602205941038E-2</v>
      </c>
      <c r="J14" s="475">
        <f>J21/J23</f>
        <v>5.6860602205941038E-2</v>
      </c>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row>
    <row r="15" spans="1:60" x14ac:dyDescent="0.25">
      <c r="A15" s="77" t="s">
        <v>22</v>
      </c>
      <c r="B15" s="406"/>
      <c r="C15" s="19"/>
      <c r="D15" s="19"/>
      <c r="E15" s="18"/>
      <c r="F15" s="18"/>
      <c r="G15" s="18">
        <v>0</v>
      </c>
      <c r="H15" s="18">
        <v>0</v>
      </c>
      <c r="I15" s="18">
        <f>I22/I23</f>
        <v>0</v>
      </c>
      <c r="J15" s="475">
        <f>J22/J23</f>
        <v>0</v>
      </c>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row>
    <row r="16" spans="1:60" x14ac:dyDescent="0.25">
      <c r="A16" s="81" t="s">
        <v>23</v>
      </c>
      <c r="B16" s="409"/>
      <c r="C16" s="131"/>
      <c r="D16" s="131"/>
      <c r="E16" s="397"/>
      <c r="F16" s="132"/>
      <c r="G16" s="130">
        <f>G27/G10</f>
        <v>34368.539325842699</v>
      </c>
      <c r="H16" s="130">
        <f>H27/H10</f>
        <v>34015.094339622643</v>
      </c>
      <c r="I16" s="359">
        <f>I27/I10</f>
        <v>34176.410256410258</v>
      </c>
      <c r="J16" s="477">
        <f>J27/J10</f>
        <v>34176.410256410258</v>
      </c>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8"/>
      <c r="BG16" s="478"/>
      <c r="BH16" s="478"/>
    </row>
    <row r="17" spans="1:61" x14ac:dyDescent="0.25">
      <c r="A17" s="81" t="s">
        <v>24</v>
      </c>
      <c r="B17" s="409"/>
      <c r="C17" s="131"/>
      <c r="D17" s="131"/>
      <c r="E17" s="397"/>
      <c r="F17" s="132"/>
      <c r="G17" s="130">
        <f>G27/G4</f>
        <v>28856.60377358491</v>
      </c>
      <c r="H17" s="130">
        <f>H27/H4</f>
        <v>31082.758620689656</v>
      </c>
      <c r="I17" s="359">
        <f>I27/I4</f>
        <v>30019.819819819819</v>
      </c>
      <c r="J17" s="477">
        <f>J27/J4</f>
        <v>30019.819819819819</v>
      </c>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row>
    <row r="18" spans="1:61" x14ac:dyDescent="0.25">
      <c r="A18" s="77" t="s">
        <v>25</v>
      </c>
      <c r="B18" s="255"/>
      <c r="C18" s="133"/>
      <c r="D18" s="133"/>
      <c r="E18" s="299"/>
      <c r="F18" s="134"/>
      <c r="G18" s="92">
        <f>G23*G11</f>
        <v>1719819.6551724141</v>
      </c>
      <c r="H18" s="92">
        <f>H23*H11</f>
        <v>2378059.4482758623</v>
      </c>
      <c r="I18" s="108">
        <f>SUM(B18:H18)</f>
        <v>4097879.1034482764</v>
      </c>
      <c r="J18" s="479">
        <f t="shared" ref="J18:J23" si="2">+$I18/2</f>
        <v>2048939.5517241382</v>
      </c>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row>
    <row r="19" spans="1:61" x14ac:dyDescent="0.25">
      <c r="A19" s="77" t="s">
        <v>26</v>
      </c>
      <c r="B19" s="255"/>
      <c r="C19" s="133"/>
      <c r="D19" s="133"/>
      <c r="E19" s="299"/>
      <c r="F19" s="134"/>
      <c r="G19" s="92">
        <f>G23*G12</f>
        <v>50582.931034482768</v>
      </c>
      <c r="H19" s="92">
        <f>H23*H12</f>
        <v>0</v>
      </c>
      <c r="I19" s="108">
        <f>SUM(B19:H19)</f>
        <v>50582.931034482768</v>
      </c>
      <c r="J19" s="479">
        <f t="shared" si="2"/>
        <v>25291.465517241384</v>
      </c>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row>
    <row r="20" spans="1:61" x14ac:dyDescent="0.25">
      <c r="A20" s="77" t="s">
        <v>27</v>
      </c>
      <c r="B20" s="255"/>
      <c r="C20" s="133"/>
      <c r="D20" s="133"/>
      <c r="E20" s="299"/>
      <c r="F20" s="134"/>
      <c r="G20" s="92">
        <f>G23*G13</f>
        <v>682869.56896551733</v>
      </c>
      <c r="H20" s="92">
        <f>H23*H13</f>
        <v>322946.3448275862</v>
      </c>
      <c r="I20" s="108">
        <f>SUM(B20:H20)</f>
        <v>1005815.9137931035</v>
      </c>
      <c r="J20" s="479">
        <f t="shared" si="2"/>
        <v>502907.95689655177</v>
      </c>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row>
    <row r="21" spans="1:61" x14ac:dyDescent="0.25">
      <c r="A21" s="77" t="s">
        <v>28</v>
      </c>
      <c r="B21" s="255"/>
      <c r="C21" s="133"/>
      <c r="D21" s="133"/>
      <c r="E21" s="299"/>
      <c r="F21" s="134"/>
      <c r="G21" s="92">
        <f>G23*G14</f>
        <v>75874.396551724145</v>
      </c>
      <c r="H21" s="92">
        <f>H23*H14</f>
        <v>234870.06896551725</v>
      </c>
      <c r="I21" s="108">
        <f>SUM(B21:H21)</f>
        <v>310744.46551724139</v>
      </c>
      <c r="J21" s="479">
        <f t="shared" si="2"/>
        <v>155372.2327586207</v>
      </c>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row>
    <row r="22" spans="1:61" x14ac:dyDescent="0.25">
      <c r="A22" s="77" t="s">
        <v>29</v>
      </c>
      <c r="B22" s="255"/>
      <c r="C22" s="133"/>
      <c r="D22" s="133"/>
      <c r="E22" s="299"/>
      <c r="F22" s="134"/>
      <c r="G22" s="92">
        <f>G23*G15</f>
        <v>0</v>
      </c>
      <c r="H22" s="92">
        <f>H23*H15</f>
        <v>0</v>
      </c>
      <c r="I22" s="108">
        <f>SUM(B22:H22)</f>
        <v>0</v>
      </c>
      <c r="J22" s="479">
        <f t="shared" si="2"/>
        <v>0</v>
      </c>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row>
    <row r="23" spans="1:61" x14ac:dyDescent="0.25">
      <c r="A23" s="82" t="s">
        <v>30</v>
      </c>
      <c r="B23" s="410"/>
      <c r="C23" s="136"/>
      <c r="D23" s="136"/>
      <c r="E23" s="398"/>
      <c r="F23" s="137"/>
      <c r="G23" s="91">
        <f>(3058800/1.16)-G24</f>
        <v>2529146.5517241382</v>
      </c>
      <c r="H23" s="91">
        <f>(3605600/1.16)-H24</f>
        <v>2935875.8620689656</v>
      </c>
      <c r="I23" s="111">
        <f>SUM(I18:I22)</f>
        <v>5465022.4137931038</v>
      </c>
      <c r="J23" s="481">
        <f t="shared" si="2"/>
        <v>2732511.2068965519</v>
      </c>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row>
    <row r="24" spans="1:61" x14ac:dyDescent="0.25">
      <c r="A24" s="77" t="s">
        <v>31</v>
      </c>
      <c r="B24" s="263"/>
      <c r="C24" s="139"/>
      <c r="D24" s="139"/>
      <c r="E24" s="113"/>
      <c r="F24" s="112"/>
      <c r="G24" s="94">
        <f>2155*G5</f>
        <v>107750</v>
      </c>
      <c r="H24" s="94">
        <f>2155*H5</f>
        <v>172400</v>
      </c>
      <c r="I24" s="109">
        <f>I5*2155</f>
        <v>280150</v>
      </c>
      <c r="J24" s="482">
        <f>2155*J5</f>
        <v>140075</v>
      </c>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c r="BC24" s="483"/>
      <c r="BD24" s="483"/>
      <c r="BE24" s="483"/>
      <c r="BF24" s="483"/>
      <c r="BG24" s="483"/>
      <c r="BH24" s="483"/>
    </row>
    <row r="25" spans="1:61" x14ac:dyDescent="0.25">
      <c r="A25" s="83" t="s">
        <v>32</v>
      </c>
      <c r="B25" s="411"/>
      <c r="C25" s="40"/>
      <c r="D25" s="40"/>
      <c r="E25" s="399"/>
      <c r="F25" s="140"/>
      <c r="G25" s="39">
        <f>G23+G24</f>
        <v>2636896.5517241382</v>
      </c>
      <c r="H25" s="39">
        <f>H23+H24</f>
        <v>3108275.8620689656</v>
      </c>
      <c r="I25" s="412">
        <f>I23+I24</f>
        <v>5745172.4137931038</v>
      </c>
      <c r="J25" s="484">
        <f>J23+J24</f>
        <v>2872586.2068965519</v>
      </c>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5"/>
      <c r="BC25" s="485"/>
      <c r="BD25" s="485"/>
      <c r="BE25" s="485"/>
      <c r="BF25" s="485"/>
      <c r="BG25" s="485"/>
      <c r="BH25" s="485"/>
    </row>
    <row r="26" spans="1:61" x14ac:dyDescent="0.25">
      <c r="A26" s="77" t="s">
        <v>33</v>
      </c>
      <c r="B26" s="413"/>
      <c r="C26" s="42"/>
      <c r="D26" s="42"/>
      <c r="E26" s="400"/>
      <c r="F26" s="141"/>
      <c r="G26" s="41">
        <f>G25*16%</f>
        <v>421903.44827586215</v>
      </c>
      <c r="H26" s="41">
        <f>H25*16%</f>
        <v>497324.13793103449</v>
      </c>
      <c r="I26" s="414">
        <f>I25*16%</f>
        <v>919227.58620689658</v>
      </c>
      <c r="J26" s="486">
        <f>J25*16%</f>
        <v>459613.79310344829</v>
      </c>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row>
    <row r="27" spans="1:61" x14ac:dyDescent="0.25">
      <c r="A27" s="142" t="s">
        <v>34</v>
      </c>
      <c r="B27" s="438"/>
      <c r="C27" s="143"/>
      <c r="D27" s="143"/>
      <c r="E27" s="439"/>
      <c r="F27" s="145"/>
      <c r="G27" s="144">
        <f>G25+G26</f>
        <v>3058800.0000000005</v>
      </c>
      <c r="H27" s="144">
        <f>H25+H26</f>
        <v>3605600</v>
      </c>
      <c r="I27" s="440">
        <f>I25+I26</f>
        <v>6664400</v>
      </c>
      <c r="J27" s="488">
        <f>+$I27/2</f>
        <v>3332200</v>
      </c>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89"/>
      <c r="BD27" s="489"/>
      <c r="BE27" s="489"/>
      <c r="BF27" s="489"/>
      <c r="BG27" s="489"/>
      <c r="BH27" s="489"/>
    </row>
    <row r="30" spans="1:61" ht="26.25" x14ac:dyDescent="0.25">
      <c r="A30" s="85"/>
      <c r="B30" s="1002" t="s">
        <v>354</v>
      </c>
      <c r="C30" s="1002"/>
      <c r="D30" s="1002"/>
      <c r="E30" s="1002"/>
      <c r="F30" s="1002"/>
      <c r="G30" s="1002"/>
      <c r="H30" s="1002"/>
      <c r="I30" s="1002"/>
    </row>
    <row r="31" spans="1:61" ht="15.75" x14ac:dyDescent="0.25">
      <c r="A31" s="72" t="s">
        <v>2</v>
      </c>
      <c r="B31" s="429" t="s">
        <v>225</v>
      </c>
      <c r="C31" s="51" t="s">
        <v>226</v>
      </c>
      <c r="D31" s="349" t="s">
        <v>227</v>
      </c>
      <c r="E31" s="51" t="s">
        <v>228</v>
      </c>
      <c r="F31" s="51" t="s">
        <v>229</v>
      </c>
      <c r="G31" s="349" t="s">
        <v>230</v>
      </c>
      <c r="H31" s="349" t="s">
        <v>231</v>
      </c>
      <c r="I31" s="153" t="s">
        <v>10</v>
      </c>
      <c r="J31" s="490" t="s">
        <v>77</v>
      </c>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row>
    <row r="32" spans="1:61" x14ac:dyDescent="0.25">
      <c r="A32" s="430" t="s">
        <v>11</v>
      </c>
      <c r="B32" s="431">
        <v>86</v>
      </c>
      <c r="C32" s="431">
        <v>109</v>
      </c>
      <c r="D32" s="431">
        <v>103</v>
      </c>
      <c r="E32" s="431">
        <v>120</v>
      </c>
      <c r="F32" s="431">
        <v>225</v>
      </c>
      <c r="G32" s="436">
        <v>192</v>
      </c>
      <c r="H32" s="434">
        <v>91</v>
      </c>
      <c r="I32" s="467">
        <f t="shared" ref="I32:I37" si="3">SUM(B32:H32)</f>
        <v>926</v>
      </c>
      <c r="J32" s="468">
        <f>+$I32/7</f>
        <v>132.28571428571428</v>
      </c>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9"/>
      <c r="AV32" s="469"/>
      <c r="AW32" s="469"/>
      <c r="AX32" s="469"/>
      <c r="AY32" s="469"/>
      <c r="AZ32" s="469"/>
      <c r="BA32" s="469"/>
      <c r="BB32" s="469"/>
      <c r="BC32" s="469"/>
      <c r="BD32" s="469"/>
      <c r="BE32" s="469"/>
      <c r="BF32" s="469"/>
      <c r="BG32" s="469"/>
      <c r="BH32" s="469"/>
      <c r="BI32">
        <v>49</v>
      </c>
    </row>
    <row r="33" spans="1:61" x14ac:dyDescent="0.25">
      <c r="A33" s="77" t="s">
        <v>12</v>
      </c>
      <c r="B33" s="233">
        <v>33</v>
      </c>
      <c r="C33" s="233">
        <v>38</v>
      </c>
      <c r="D33" s="233">
        <v>32</v>
      </c>
      <c r="E33" s="233">
        <v>34</v>
      </c>
      <c r="F33" s="233">
        <v>77</v>
      </c>
      <c r="G33" s="11">
        <v>84</v>
      </c>
      <c r="H33" s="11">
        <v>49</v>
      </c>
      <c r="I33" s="11">
        <f t="shared" si="3"/>
        <v>347</v>
      </c>
      <c r="J33" s="470">
        <f t="shared" ref="J33:J38" si="4">+$I33/7</f>
        <v>49.571428571428569</v>
      </c>
      <c r="K33" s="471"/>
      <c r="L33" s="471"/>
      <c r="M33" s="471"/>
      <c r="N33" s="471"/>
      <c r="O33" s="471"/>
      <c r="P33" s="471"/>
      <c r="Q33" s="471"/>
      <c r="R33" s="471"/>
      <c r="S33" s="471"/>
      <c r="T33" s="471"/>
      <c r="U33" s="471"/>
      <c r="V33" s="471"/>
      <c r="W33" s="471"/>
      <c r="X33" s="471"/>
      <c r="Y33" s="471"/>
      <c r="Z33" s="471"/>
      <c r="AA33" s="471"/>
      <c r="AB33" s="471"/>
      <c r="AC33" s="471"/>
      <c r="AD33" s="471"/>
      <c r="AE33" s="471"/>
      <c r="AF33" s="471"/>
      <c r="AG33" s="471"/>
      <c r="AH33" s="471"/>
      <c r="AI33" s="471"/>
      <c r="AJ33" s="471"/>
      <c r="AK33" s="471"/>
      <c r="AL33" s="471"/>
      <c r="AM33" s="471"/>
      <c r="AN33" s="471"/>
      <c r="AO33" s="471"/>
      <c r="AP33" s="471"/>
      <c r="AQ33" s="471"/>
      <c r="AR33" s="471"/>
      <c r="AS33" s="471"/>
      <c r="AT33" s="471"/>
      <c r="AU33" s="471"/>
      <c r="AV33" s="471"/>
      <c r="AW33" s="471"/>
      <c r="AX33" s="471"/>
      <c r="AY33" s="471"/>
      <c r="AZ33" s="471"/>
      <c r="BA33" s="471"/>
      <c r="BB33" s="471"/>
      <c r="BC33" s="471"/>
      <c r="BD33" s="471"/>
      <c r="BE33" s="471"/>
      <c r="BF33" s="471"/>
      <c r="BG33" s="471"/>
      <c r="BH33" s="471"/>
      <c r="BI33">
        <v>33</v>
      </c>
    </row>
    <row r="34" spans="1:61" x14ac:dyDescent="0.25">
      <c r="A34" s="77" t="s">
        <v>13</v>
      </c>
      <c r="B34" s="233">
        <v>0</v>
      </c>
      <c r="C34" s="233">
        <v>0</v>
      </c>
      <c r="D34" s="233">
        <v>0</v>
      </c>
      <c r="E34" s="233">
        <v>0</v>
      </c>
      <c r="F34" s="233">
        <v>2</v>
      </c>
      <c r="G34" s="11">
        <v>3</v>
      </c>
      <c r="H34" s="11">
        <v>1</v>
      </c>
      <c r="I34" s="11">
        <f t="shared" si="3"/>
        <v>6</v>
      </c>
      <c r="J34" s="470">
        <f t="shared" si="4"/>
        <v>0.8571428571428571</v>
      </c>
      <c r="K34" s="471"/>
      <c r="L34" s="471"/>
      <c r="M34" s="471"/>
      <c r="N34" s="471"/>
      <c r="O34" s="471"/>
      <c r="P34" s="471"/>
      <c r="Q34" s="471"/>
      <c r="R34" s="471"/>
      <c r="S34" s="471"/>
      <c r="T34" s="471"/>
      <c r="U34" s="471"/>
      <c r="V34" s="471"/>
      <c r="W34" s="471"/>
      <c r="X34" s="471"/>
      <c r="Y34" s="471"/>
      <c r="Z34" s="471"/>
      <c r="AA34" s="471"/>
      <c r="AB34" s="471"/>
      <c r="AC34" s="471"/>
      <c r="AD34" s="471"/>
      <c r="AE34" s="471"/>
      <c r="AF34" s="471"/>
      <c r="AG34" s="471"/>
      <c r="AH34" s="471"/>
      <c r="AI34" s="471"/>
      <c r="AJ34" s="471"/>
      <c r="AK34" s="471"/>
      <c r="AL34" s="471"/>
      <c r="AM34" s="471"/>
      <c r="AN34" s="471"/>
      <c r="AO34" s="471"/>
      <c r="AP34" s="471"/>
      <c r="AQ34" s="471"/>
      <c r="AR34" s="471"/>
      <c r="AS34" s="471"/>
      <c r="AT34" s="471"/>
      <c r="AU34" s="471"/>
      <c r="AV34" s="471"/>
      <c r="AW34" s="471"/>
      <c r="AX34" s="471"/>
      <c r="AY34" s="471"/>
      <c r="AZ34" s="471"/>
      <c r="BA34" s="471"/>
      <c r="BB34" s="471"/>
      <c r="BC34" s="471"/>
      <c r="BD34" s="471"/>
      <c r="BE34" s="471"/>
      <c r="BF34" s="471"/>
      <c r="BG34" s="471"/>
      <c r="BH34" s="471"/>
      <c r="BI34">
        <v>9</v>
      </c>
    </row>
    <row r="35" spans="1:61" x14ac:dyDescent="0.25">
      <c r="A35" s="77" t="s">
        <v>14</v>
      </c>
      <c r="B35" s="233">
        <v>53</v>
      </c>
      <c r="C35" s="233">
        <v>63</v>
      </c>
      <c r="D35" s="233">
        <v>46</v>
      </c>
      <c r="E35" s="233">
        <v>69</v>
      </c>
      <c r="F35" s="233">
        <v>109</v>
      </c>
      <c r="G35" s="11">
        <v>76</v>
      </c>
      <c r="H35" s="11">
        <v>29</v>
      </c>
      <c r="I35" s="11">
        <f t="shared" si="3"/>
        <v>445</v>
      </c>
      <c r="J35" s="470">
        <f t="shared" si="4"/>
        <v>63.571428571428569</v>
      </c>
      <c r="K35" s="471"/>
      <c r="L35" s="471"/>
      <c r="M35" s="471"/>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1"/>
      <c r="AL35" s="471"/>
      <c r="AM35" s="471"/>
      <c r="AN35" s="471"/>
      <c r="AO35" s="471"/>
      <c r="AP35" s="471"/>
      <c r="AQ35" s="471"/>
      <c r="AR35" s="471"/>
      <c r="AS35" s="471"/>
      <c r="AT35" s="471"/>
      <c r="AU35" s="471"/>
      <c r="AV35" s="471"/>
      <c r="AW35" s="471"/>
      <c r="AX35" s="471"/>
      <c r="AY35" s="471"/>
      <c r="AZ35" s="471"/>
      <c r="BA35" s="471"/>
      <c r="BB35" s="471"/>
      <c r="BC35" s="471"/>
      <c r="BD35" s="471"/>
      <c r="BE35" s="471"/>
      <c r="BF35" s="471"/>
      <c r="BG35" s="471"/>
      <c r="BH35" s="471"/>
      <c r="BI35">
        <f>SUM(BI32:BI34)</f>
        <v>91</v>
      </c>
    </row>
    <row r="36" spans="1:61" x14ac:dyDescent="0.25">
      <c r="A36" s="77" t="s">
        <v>15</v>
      </c>
      <c r="B36" s="233">
        <v>1</v>
      </c>
      <c r="C36" s="233">
        <v>5</v>
      </c>
      <c r="D36" s="233">
        <v>8</v>
      </c>
      <c r="E36" s="233">
        <v>6</v>
      </c>
      <c r="F36" s="233">
        <v>18</v>
      </c>
      <c r="G36" s="11">
        <v>10</v>
      </c>
      <c r="H36" s="11">
        <v>4</v>
      </c>
      <c r="I36" s="11">
        <f t="shared" si="3"/>
        <v>52</v>
      </c>
      <c r="J36" s="470">
        <f t="shared" si="4"/>
        <v>7.4285714285714288</v>
      </c>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471"/>
      <c r="AP36" s="471"/>
      <c r="AQ36" s="471"/>
      <c r="AR36" s="471"/>
      <c r="AS36" s="471"/>
      <c r="AT36" s="471"/>
      <c r="AU36" s="471"/>
      <c r="AV36" s="471"/>
      <c r="AW36" s="471"/>
      <c r="AX36" s="471"/>
      <c r="AY36" s="471"/>
      <c r="AZ36" s="471"/>
      <c r="BA36" s="471"/>
      <c r="BB36" s="471"/>
      <c r="BC36" s="471"/>
      <c r="BD36" s="471"/>
      <c r="BE36" s="471"/>
      <c r="BF36" s="471"/>
      <c r="BG36" s="471"/>
      <c r="BH36" s="471"/>
    </row>
    <row r="37" spans="1:61" x14ac:dyDescent="0.25">
      <c r="A37" s="77" t="s">
        <v>16</v>
      </c>
      <c r="B37" s="233">
        <v>0</v>
      </c>
      <c r="C37" s="233">
        <v>0</v>
      </c>
      <c r="D37" s="233">
        <v>0</v>
      </c>
      <c r="E37" s="233">
        <v>0</v>
      </c>
      <c r="F37" s="233">
        <v>0</v>
      </c>
      <c r="G37" s="11">
        <v>0</v>
      </c>
      <c r="H37" s="11">
        <v>0</v>
      </c>
      <c r="I37" s="11">
        <f t="shared" si="3"/>
        <v>0</v>
      </c>
      <c r="J37" s="470">
        <f t="shared" si="4"/>
        <v>0</v>
      </c>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1"/>
      <c r="BB37" s="471"/>
      <c r="BC37" s="471"/>
      <c r="BD37" s="471"/>
      <c r="BE37" s="471"/>
      <c r="BF37" s="471"/>
      <c r="BG37" s="471"/>
      <c r="BH37" s="471"/>
    </row>
    <row r="38" spans="1:61" x14ac:dyDescent="0.25">
      <c r="A38" s="79" t="s">
        <v>17</v>
      </c>
      <c r="B38" s="102">
        <f t="shared" ref="B38:I38" si="5">SUM(B33:B37)</f>
        <v>87</v>
      </c>
      <c r="C38" s="102">
        <f t="shared" si="5"/>
        <v>106</v>
      </c>
      <c r="D38" s="102">
        <f t="shared" si="5"/>
        <v>86</v>
      </c>
      <c r="E38" s="102">
        <f t="shared" si="5"/>
        <v>109</v>
      </c>
      <c r="F38" s="102">
        <f t="shared" si="5"/>
        <v>206</v>
      </c>
      <c r="G38" s="79">
        <f t="shared" si="5"/>
        <v>173</v>
      </c>
      <c r="H38" s="79">
        <f t="shared" si="5"/>
        <v>83</v>
      </c>
      <c r="I38" s="472">
        <f t="shared" si="5"/>
        <v>850</v>
      </c>
      <c r="J38" s="473">
        <f t="shared" si="4"/>
        <v>121.42857142857143</v>
      </c>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row>
    <row r="39" spans="1:61" x14ac:dyDescent="0.25">
      <c r="A39" s="77" t="s">
        <v>18</v>
      </c>
      <c r="B39" s="406">
        <v>0.47</v>
      </c>
      <c r="C39" s="406">
        <v>0.42</v>
      </c>
      <c r="D39" s="406">
        <v>0.4</v>
      </c>
      <c r="E39" s="406">
        <v>0.35</v>
      </c>
      <c r="F39" s="406">
        <v>0.43</v>
      </c>
      <c r="G39" s="18">
        <v>0.48</v>
      </c>
      <c r="H39" s="18">
        <v>0.66</v>
      </c>
      <c r="I39" s="18">
        <f>I46/I51</f>
        <v>0.45054551061313647</v>
      </c>
      <c r="J39" s="475">
        <f>J46/J51</f>
        <v>0.45054551061313647</v>
      </c>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row>
    <row r="40" spans="1:61" x14ac:dyDescent="0.25">
      <c r="A40" s="77" t="s">
        <v>19</v>
      </c>
      <c r="B40" s="406">
        <v>0</v>
      </c>
      <c r="C40" s="406">
        <v>0</v>
      </c>
      <c r="D40" s="406">
        <v>0</v>
      </c>
      <c r="E40" s="406">
        <v>0</v>
      </c>
      <c r="F40" s="406">
        <v>0.01</v>
      </c>
      <c r="G40" s="18">
        <v>0.02</v>
      </c>
      <c r="H40" s="18">
        <v>0.01</v>
      </c>
      <c r="I40" s="18">
        <f>I47/I51</f>
        <v>7.3045818245509294E-3</v>
      </c>
      <c r="J40" s="475">
        <f>J47/J51</f>
        <v>7.3045818245509285E-3</v>
      </c>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row>
    <row r="41" spans="1:61" x14ac:dyDescent="0.25">
      <c r="A41" s="77" t="s">
        <v>20</v>
      </c>
      <c r="B41" s="406">
        <v>0.52</v>
      </c>
      <c r="C41" s="406">
        <v>0.56000000000000005</v>
      </c>
      <c r="D41" s="406">
        <v>0.56999999999999995</v>
      </c>
      <c r="E41" s="406">
        <v>0.61</v>
      </c>
      <c r="F41" s="406">
        <v>0.49</v>
      </c>
      <c r="G41" s="18">
        <v>0.44</v>
      </c>
      <c r="H41" s="18">
        <v>0.3</v>
      </c>
      <c r="I41" s="18">
        <f>I48/I51</f>
        <v>0.4987619865188172</v>
      </c>
      <c r="J41" s="475">
        <f>J48/J51</f>
        <v>0.4987619865188172</v>
      </c>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row>
    <row r="42" spans="1:61" x14ac:dyDescent="0.25">
      <c r="A42" s="77" t="s">
        <v>21</v>
      </c>
      <c r="B42" s="406">
        <v>0.01</v>
      </c>
      <c r="C42" s="406">
        <v>0.02</v>
      </c>
      <c r="D42" s="406">
        <v>0.03</v>
      </c>
      <c r="E42" s="406">
        <v>0.04</v>
      </c>
      <c r="F42" s="406">
        <v>7.0000000000000007E-2</v>
      </c>
      <c r="G42" s="18">
        <v>0.06</v>
      </c>
      <c r="H42" s="18">
        <v>0.03</v>
      </c>
      <c r="I42" s="18">
        <f>I49/I51</f>
        <v>4.3387921043495425E-2</v>
      </c>
      <c r="J42" s="475">
        <f>J49/J51</f>
        <v>4.3387921043495419E-2</v>
      </c>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6"/>
      <c r="BH42" s="476"/>
    </row>
    <row r="43" spans="1:61" x14ac:dyDescent="0.25">
      <c r="A43" s="77" t="s">
        <v>22</v>
      </c>
      <c r="B43" s="406">
        <v>0</v>
      </c>
      <c r="C43" s="406">
        <v>0</v>
      </c>
      <c r="D43" s="406">
        <v>0</v>
      </c>
      <c r="E43" s="406">
        <v>0</v>
      </c>
      <c r="F43" s="406">
        <v>0</v>
      </c>
      <c r="G43" s="18">
        <v>0</v>
      </c>
      <c r="H43" s="18">
        <v>0</v>
      </c>
      <c r="I43" s="18">
        <f>I50/I51</f>
        <v>0</v>
      </c>
      <c r="J43" s="475">
        <f>J50/J51</f>
        <v>0</v>
      </c>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row>
    <row r="44" spans="1:61" x14ac:dyDescent="0.25">
      <c r="A44" s="81" t="s">
        <v>23</v>
      </c>
      <c r="B44" s="409">
        <f t="shared" ref="B44:J44" si="6">B55/B38</f>
        <v>35166.666666666664</v>
      </c>
      <c r="C44" s="409">
        <f t="shared" si="6"/>
        <v>33216.037735849059</v>
      </c>
      <c r="D44" s="409">
        <f t="shared" si="6"/>
        <v>34501.162790697672</v>
      </c>
      <c r="E44" s="409">
        <f t="shared" si="6"/>
        <v>34041.284403669728</v>
      </c>
      <c r="F44" s="409">
        <f t="shared" si="6"/>
        <v>32398.543689320388</v>
      </c>
      <c r="G44" s="130">
        <f t="shared" si="6"/>
        <v>33121.965317919079</v>
      </c>
      <c r="H44" s="130">
        <f t="shared" si="6"/>
        <v>31833.734939759037</v>
      </c>
      <c r="I44" s="359">
        <f t="shared" si="6"/>
        <v>33299.294117647056</v>
      </c>
      <c r="J44" s="477">
        <f t="shared" si="6"/>
        <v>33299.294117647056</v>
      </c>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8"/>
      <c r="AY44" s="478"/>
      <c r="AZ44" s="478"/>
      <c r="BA44" s="478"/>
      <c r="BB44" s="478"/>
      <c r="BC44" s="478"/>
      <c r="BD44" s="478"/>
      <c r="BE44" s="478"/>
      <c r="BF44" s="478"/>
      <c r="BG44" s="478"/>
      <c r="BH44" s="478"/>
    </row>
    <row r="45" spans="1:61" x14ac:dyDescent="0.25">
      <c r="A45" s="81" t="s">
        <v>24</v>
      </c>
      <c r="B45" s="409">
        <f t="shared" ref="B45:J45" si="7">B55/B32</f>
        <v>35575.58139534884</v>
      </c>
      <c r="C45" s="409">
        <f t="shared" si="7"/>
        <v>32301.83486238532</v>
      </c>
      <c r="D45" s="409">
        <f t="shared" si="7"/>
        <v>28806.796116504855</v>
      </c>
      <c r="E45" s="409">
        <f t="shared" si="7"/>
        <v>30920.833333333336</v>
      </c>
      <c r="F45" s="409">
        <f t="shared" si="7"/>
        <v>29662.666666666668</v>
      </c>
      <c r="G45" s="130">
        <f t="shared" si="7"/>
        <v>29844.270833333339</v>
      </c>
      <c r="H45" s="130">
        <f t="shared" si="7"/>
        <v>29035.164835164836</v>
      </c>
      <c r="I45" s="359">
        <f t="shared" si="7"/>
        <v>30566.306695464362</v>
      </c>
      <c r="J45" s="477">
        <f t="shared" si="7"/>
        <v>30566.306695464362</v>
      </c>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row>
    <row r="46" spans="1:61" x14ac:dyDescent="0.25">
      <c r="A46" s="77" t="s">
        <v>25</v>
      </c>
      <c r="B46" s="255">
        <f t="shared" ref="B46:H46" si="8">B51*B39</f>
        <v>1206200.95</v>
      </c>
      <c r="C46" s="255">
        <f t="shared" si="8"/>
        <v>1240414.8206896551</v>
      </c>
      <c r="D46" s="255">
        <f t="shared" si="8"/>
        <v>995553.9310344829</v>
      </c>
      <c r="E46" s="255">
        <f t="shared" si="8"/>
        <v>1093902.9137931035</v>
      </c>
      <c r="F46" s="255">
        <f t="shared" si="8"/>
        <v>2402667.7775862068</v>
      </c>
      <c r="G46" s="92">
        <f t="shared" si="8"/>
        <v>2284186.2620689655</v>
      </c>
      <c r="H46" s="92">
        <f t="shared" si="8"/>
        <v>1433627.9896551725</v>
      </c>
      <c r="I46" s="108">
        <f>SUM(B46:H46)</f>
        <v>10656554.644827588</v>
      </c>
      <c r="J46" s="479">
        <f t="shared" ref="J46:J51" si="9">+$I46/7</f>
        <v>1522364.949261084</v>
      </c>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row>
    <row r="47" spans="1:61" x14ac:dyDescent="0.25">
      <c r="A47" s="77" t="s">
        <v>26</v>
      </c>
      <c r="B47" s="255">
        <f t="shared" ref="B47:H47" si="10">B51*B40</f>
        <v>0</v>
      </c>
      <c r="C47" s="255">
        <f t="shared" si="10"/>
        <v>0</v>
      </c>
      <c r="D47" s="255">
        <f t="shared" si="10"/>
        <v>0</v>
      </c>
      <c r="E47" s="255">
        <f t="shared" si="10"/>
        <v>0</v>
      </c>
      <c r="F47" s="255">
        <f t="shared" si="10"/>
        <v>55875.994827586212</v>
      </c>
      <c r="G47" s="92">
        <f t="shared" si="10"/>
        <v>95174.427586206904</v>
      </c>
      <c r="H47" s="92">
        <f t="shared" si="10"/>
        <v>21721.636206896554</v>
      </c>
      <c r="I47" s="108">
        <f>SUM(B47:H47)</f>
        <v>172772.05862068967</v>
      </c>
      <c r="J47" s="479">
        <f t="shared" si="9"/>
        <v>24681.722660098523</v>
      </c>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row>
    <row r="48" spans="1:61" x14ac:dyDescent="0.25">
      <c r="A48" s="77" t="s">
        <v>27</v>
      </c>
      <c r="B48" s="255">
        <f t="shared" ref="B48:H48" si="11">B51*B41</f>
        <v>1334520.2</v>
      </c>
      <c r="C48" s="255">
        <f t="shared" si="11"/>
        <v>1653886.4275862072</v>
      </c>
      <c r="D48" s="255">
        <f t="shared" si="11"/>
        <v>1418664.351724138</v>
      </c>
      <c r="E48" s="255">
        <f t="shared" si="11"/>
        <v>1906516.5068965519</v>
      </c>
      <c r="F48" s="255">
        <f t="shared" si="11"/>
        <v>2737923.7465517242</v>
      </c>
      <c r="G48" s="92">
        <f t="shared" si="11"/>
        <v>2093837.4068965518</v>
      </c>
      <c r="H48" s="92">
        <f t="shared" si="11"/>
        <v>651649.08620689658</v>
      </c>
      <c r="I48" s="108">
        <f>SUM(B48:H48)</f>
        <v>11796997.725862069</v>
      </c>
      <c r="J48" s="479">
        <f t="shared" si="9"/>
        <v>1685285.3894088671</v>
      </c>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c r="AO48" s="480"/>
      <c r="AP48" s="480"/>
      <c r="AQ48" s="480"/>
      <c r="AR48" s="480"/>
      <c r="AS48" s="480"/>
      <c r="AT48" s="480"/>
      <c r="AU48" s="480"/>
      <c r="AV48" s="480"/>
      <c r="AW48" s="480"/>
      <c r="AX48" s="480"/>
      <c r="AY48" s="480"/>
      <c r="AZ48" s="480"/>
      <c r="BA48" s="480"/>
      <c r="BB48" s="480"/>
      <c r="BC48" s="480"/>
      <c r="BD48" s="480"/>
      <c r="BE48" s="480"/>
      <c r="BF48" s="480"/>
      <c r="BG48" s="480"/>
      <c r="BH48" s="480"/>
    </row>
    <row r="49" spans="1:60" x14ac:dyDescent="0.25">
      <c r="A49" s="77" t="s">
        <v>28</v>
      </c>
      <c r="B49" s="255">
        <f t="shared" ref="B49:H49" si="12">B51*B42</f>
        <v>25663.850000000002</v>
      </c>
      <c r="C49" s="255">
        <f t="shared" si="12"/>
        <v>59067.372413793106</v>
      </c>
      <c r="D49" s="255">
        <f t="shared" si="12"/>
        <v>74666.544827586215</v>
      </c>
      <c r="E49" s="255">
        <f t="shared" si="12"/>
        <v>125017.47586206898</v>
      </c>
      <c r="F49" s="255">
        <f t="shared" si="12"/>
        <v>391131.96379310347</v>
      </c>
      <c r="G49" s="92">
        <f t="shared" si="12"/>
        <v>285523.28275862068</v>
      </c>
      <c r="H49" s="92">
        <f t="shared" si="12"/>
        <v>65164.908620689654</v>
      </c>
      <c r="I49" s="108">
        <f>SUM(B49:H49)</f>
        <v>1026235.3982758621</v>
      </c>
      <c r="J49" s="479">
        <f t="shared" si="9"/>
        <v>146605.05689655172</v>
      </c>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480"/>
      <c r="AQ49" s="480"/>
      <c r="AR49" s="480"/>
      <c r="AS49" s="480"/>
      <c r="AT49" s="480"/>
      <c r="AU49" s="480"/>
      <c r="AV49" s="480"/>
      <c r="AW49" s="480"/>
      <c r="AX49" s="480"/>
      <c r="AY49" s="480"/>
      <c r="AZ49" s="480"/>
      <c r="BA49" s="480"/>
      <c r="BB49" s="480"/>
      <c r="BC49" s="480"/>
      <c r="BD49" s="480"/>
      <c r="BE49" s="480"/>
      <c r="BF49" s="480"/>
      <c r="BG49" s="480"/>
      <c r="BH49" s="480"/>
    </row>
    <row r="50" spans="1:60" x14ac:dyDescent="0.25">
      <c r="A50" s="77" t="s">
        <v>29</v>
      </c>
      <c r="B50" s="255">
        <f t="shared" ref="B50:H50" si="13">B51*B43</f>
        <v>0</v>
      </c>
      <c r="C50" s="255">
        <f t="shared" si="13"/>
        <v>0</v>
      </c>
      <c r="D50" s="255">
        <f t="shared" si="13"/>
        <v>0</v>
      </c>
      <c r="E50" s="255">
        <f t="shared" si="13"/>
        <v>0</v>
      </c>
      <c r="F50" s="255">
        <f t="shared" si="13"/>
        <v>0</v>
      </c>
      <c r="G50" s="92">
        <f t="shared" si="13"/>
        <v>0</v>
      </c>
      <c r="H50" s="92">
        <f t="shared" si="13"/>
        <v>0</v>
      </c>
      <c r="I50" s="108">
        <f>SUM(B50:H50)</f>
        <v>0</v>
      </c>
      <c r="J50" s="479">
        <f t="shared" si="9"/>
        <v>0</v>
      </c>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row>
    <row r="51" spans="1:60" x14ac:dyDescent="0.25">
      <c r="A51" s="82" t="s">
        <v>30</v>
      </c>
      <c r="B51" s="410">
        <f>(3059500/1.16)-B52</f>
        <v>2566385</v>
      </c>
      <c r="C51" s="410">
        <f>(3520900/1.16)-C52</f>
        <v>2953368.6206896552</v>
      </c>
      <c r="D51" s="410">
        <f>(2967100/1.16)-D52</f>
        <v>2488884.8275862071</v>
      </c>
      <c r="E51" s="410">
        <f>(3710500/1.16)-E52</f>
        <v>3125436.8965517245</v>
      </c>
      <c r="F51" s="410">
        <f>(6674100/1.16)-F52</f>
        <v>5587599.4827586208</v>
      </c>
      <c r="G51" s="91">
        <f>(5730100/1.16)-G52</f>
        <v>4758721.3793103453</v>
      </c>
      <c r="H51" s="91">
        <f>(2642200/1.16)-H52</f>
        <v>2172163.6206896552</v>
      </c>
      <c r="I51" s="111">
        <f>SUM(I46:I50)</f>
        <v>23652559.827586208</v>
      </c>
      <c r="J51" s="481">
        <f t="shared" si="9"/>
        <v>3378937.1182266013</v>
      </c>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row>
    <row r="52" spans="1:60" x14ac:dyDescent="0.25">
      <c r="A52" s="77" t="s">
        <v>31</v>
      </c>
      <c r="B52" s="263">
        <f t="shared" ref="B52:H52" si="14">2155*B33</f>
        <v>71115</v>
      </c>
      <c r="C52" s="263">
        <f t="shared" si="14"/>
        <v>81890</v>
      </c>
      <c r="D52" s="263">
        <f t="shared" si="14"/>
        <v>68960</v>
      </c>
      <c r="E52" s="263">
        <f t="shared" si="14"/>
        <v>73270</v>
      </c>
      <c r="F52" s="263">
        <f t="shared" si="14"/>
        <v>165935</v>
      </c>
      <c r="G52" s="94">
        <f t="shared" si="14"/>
        <v>181020</v>
      </c>
      <c r="H52" s="94">
        <f t="shared" si="14"/>
        <v>105595</v>
      </c>
      <c r="I52" s="109">
        <f>I33*2155</f>
        <v>747785</v>
      </c>
      <c r="J52" s="482">
        <f>2155*J33</f>
        <v>106826.42857142857</v>
      </c>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c r="BA52" s="483"/>
      <c r="BB52" s="483"/>
      <c r="BC52" s="483"/>
      <c r="BD52" s="483"/>
      <c r="BE52" s="483"/>
      <c r="BF52" s="483"/>
      <c r="BG52" s="483"/>
      <c r="BH52" s="483"/>
    </row>
    <row r="53" spans="1:60" x14ac:dyDescent="0.25">
      <c r="A53" s="83" t="s">
        <v>32</v>
      </c>
      <c r="B53" s="411">
        <f t="shared" ref="B53:J53" si="15">B51+B52</f>
        <v>2637500</v>
      </c>
      <c r="C53" s="411">
        <f t="shared" si="15"/>
        <v>3035258.6206896552</v>
      </c>
      <c r="D53" s="411">
        <f t="shared" si="15"/>
        <v>2557844.8275862071</v>
      </c>
      <c r="E53" s="411">
        <f t="shared" si="15"/>
        <v>3198706.8965517245</v>
      </c>
      <c r="F53" s="411">
        <f t="shared" si="15"/>
        <v>5753534.4827586208</v>
      </c>
      <c r="G53" s="39">
        <f t="shared" si="15"/>
        <v>4939741.3793103453</v>
      </c>
      <c r="H53" s="39">
        <f t="shared" si="15"/>
        <v>2277758.6206896552</v>
      </c>
      <c r="I53" s="412">
        <f t="shared" si="15"/>
        <v>24400344.827586208</v>
      </c>
      <c r="J53" s="484">
        <f t="shared" si="15"/>
        <v>3485763.5467980299</v>
      </c>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c r="BF53" s="485"/>
      <c r="BG53" s="485"/>
      <c r="BH53" s="485"/>
    </row>
    <row r="54" spans="1:60" x14ac:dyDescent="0.25">
      <c r="A54" s="77" t="s">
        <v>33</v>
      </c>
      <c r="B54" s="413">
        <f t="shared" ref="B54:J54" si="16">B53*16%</f>
        <v>422000</v>
      </c>
      <c r="C54" s="413">
        <f t="shared" si="16"/>
        <v>485641.37931034481</v>
      </c>
      <c r="D54" s="413">
        <f t="shared" si="16"/>
        <v>409255.17241379316</v>
      </c>
      <c r="E54" s="413">
        <f t="shared" si="16"/>
        <v>511793.10344827594</v>
      </c>
      <c r="F54" s="413">
        <f t="shared" si="16"/>
        <v>920565.51724137936</v>
      </c>
      <c r="G54" s="41">
        <f t="shared" si="16"/>
        <v>790358.6206896553</v>
      </c>
      <c r="H54" s="41">
        <f t="shared" si="16"/>
        <v>364441.37931034481</v>
      </c>
      <c r="I54" s="414">
        <f t="shared" si="16"/>
        <v>3904055.1724137934</v>
      </c>
      <c r="J54" s="486">
        <f t="shared" si="16"/>
        <v>557722.16748768475</v>
      </c>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row>
    <row r="55" spans="1:60" x14ac:dyDescent="0.25">
      <c r="A55" s="142" t="s">
        <v>34</v>
      </c>
      <c r="B55" s="438">
        <f t="shared" ref="B55:I55" si="17">B53+B54</f>
        <v>3059500</v>
      </c>
      <c r="C55" s="438">
        <f t="shared" si="17"/>
        <v>3520900</v>
      </c>
      <c r="D55" s="438">
        <f t="shared" si="17"/>
        <v>2967100</v>
      </c>
      <c r="E55" s="438">
        <f t="shared" si="17"/>
        <v>3710500.0000000005</v>
      </c>
      <c r="F55" s="438">
        <f t="shared" si="17"/>
        <v>6674100</v>
      </c>
      <c r="G55" s="144">
        <f t="shared" si="17"/>
        <v>5730100.0000000009</v>
      </c>
      <c r="H55" s="144">
        <f t="shared" si="17"/>
        <v>2642200</v>
      </c>
      <c r="I55" s="440">
        <f t="shared" si="17"/>
        <v>28304400</v>
      </c>
      <c r="J55" s="488">
        <f>+$I55/7</f>
        <v>4043485.7142857141</v>
      </c>
      <c r="K55" s="489"/>
      <c r="L55" s="489"/>
      <c r="M55" s="489"/>
      <c r="N55" s="489"/>
      <c r="O55" s="489"/>
      <c r="P55" s="489"/>
      <c r="Q55" s="489"/>
      <c r="R55" s="489"/>
      <c r="S55" s="489"/>
      <c r="T55" s="489"/>
      <c r="U55" s="489"/>
      <c r="V55" s="489"/>
      <c r="W55" s="489"/>
      <c r="X55" s="489"/>
      <c r="Y55" s="489"/>
      <c r="Z55" s="489"/>
      <c r="AA55" s="489"/>
      <c r="AB55" s="489"/>
      <c r="AC55" s="489"/>
      <c r="AD55" s="489"/>
      <c r="AE55" s="489"/>
      <c r="AF55" s="489"/>
      <c r="AG55" s="489"/>
      <c r="AH55" s="489"/>
      <c r="AI55" s="489"/>
      <c r="AJ55" s="489"/>
      <c r="AK55" s="489"/>
      <c r="AL55" s="489"/>
      <c r="AM55" s="489"/>
      <c r="AN55" s="489"/>
      <c r="AO55" s="489"/>
      <c r="AP55" s="489"/>
      <c r="AQ55" s="489"/>
      <c r="AR55" s="489"/>
      <c r="AS55" s="489"/>
      <c r="AT55" s="489"/>
      <c r="AU55" s="489"/>
      <c r="AV55" s="489"/>
      <c r="AW55" s="489"/>
      <c r="AX55" s="489"/>
      <c r="AY55" s="489"/>
      <c r="AZ55" s="489"/>
      <c r="BA55" s="489"/>
      <c r="BB55" s="489"/>
      <c r="BC55" s="489"/>
      <c r="BD55" s="489"/>
      <c r="BE55" s="489"/>
      <c r="BF55" s="489"/>
      <c r="BG55" s="489"/>
      <c r="BH55" s="489"/>
    </row>
    <row r="58" spans="1:60" ht="26.25" x14ac:dyDescent="0.25">
      <c r="A58" s="85"/>
      <c r="B58" s="1002" t="s">
        <v>355</v>
      </c>
      <c r="C58" s="1002"/>
      <c r="D58" s="1002"/>
      <c r="E58" s="1002"/>
      <c r="F58" s="1002"/>
      <c r="G58" s="1002"/>
      <c r="H58" s="1002"/>
      <c r="I58" s="1002"/>
    </row>
    <row r="59" spans="1:60" ht="15.75" x14ac:dyDescent="0.25">
      <c r="A59" s="72" t="s">
        <v>2</v>
      </c>
      <c r="B59" s="429" t="s">
        <v>233</v>
      </c>
      <c r="C59" s="51" t="s">
        <v>234</v>
      </c>
      <c r="D59" s="349" t="s">
        <v>235</v>
      </c>
      <c r="E59" s="51" t="s">
        <v>236</v>
      </c>
      <c r="F59" s="51" t="s">
        <v>237</v>
      </c>
      <c r="G59" s="349" t="s">
        <v>238</v>
      </c>
      <c r="H59" s="349" t="s">
        <v>239</v>
      </c>
      <c r="I59" s="153" t="s">
        <v>10</v>
      </c>
      <c r="J59" s="490" t="s">
        <v>77</v>
      </c>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c r="AP59" s="466"/>
      <c r="AQ59" s="466"/>
      <c r="AR59" s="466"/>
      <c r="AS59" s="466"/>
      <c r="AT59" s="466"/>
      <c r="AU59" s="466"/>
      <c r="AV59" s="466"/>
      <c r="AW59" s="466"/>
      <c r="AX59" s="466"/>
      <c r="AY59" s="466"/>
      <c r="AZ59" s="466"/>
      <c r="BA59" s="466"/>
      <c r="BB59" s="466"/>
      <c r="BC59" s="466"/>
      <c r="BD59" s="466"/>
      <c r="BE59" s="466"/>
      <c r="BF59" s="466"/>
      <c r="BG59" s="466"/>
      <c r="BH59" s="466"/>
    </row>
    <row r="60" spans="1:60" x14ac:dyDescent="0.25">
      <c r="A60" s="430" t="s">
        <v>11</v>
      </c>
      <c r="B60" s="431">
        <v>107</v>
      </c>
      <c r="C60" s="431">
        <v>115</v>
      </c>
      <c r="D60" s="431">
        <v>131</v>
      </c>
      <c r="E60" s="431">
        <v>115</v>
      </c>
      <c r="F60" s="431">
        <v>243</v>
      </c>
      <c r="G60" s="436">
        <v>203</v>
      </c>
      <c r="H60" s="434">
        <v>219</v>
      </c>
      <c r="I60" s="467">
        <f t="shared" ref="I60:I65" si="18">SUM(B60:H60)</f>
        <v>1133</v>
      </c>
      <c r="J60" s="468">
        <f>+$I60/7</f>
        <v>161.85714285714286</v>
      </c>
      <c r="K60" s="469"/>
      <c r="L60" s="469"/>
      <c r="M60" s="469"/>
      <c r="N60" s="469"/>
      <c r="O60" s="469"/>
      <c r="P60" s="469"/>
      <c r="Q60" s="469"/>
      <c r="R60" s="469"/>
      <c r="S60" s="469"/>
      <c r="T60" s="469"/>
      <c r="U60" s="469"/>
      <c r="V60" s="469"/>
      <c r="W60" s="469"/>
      <c r="X60" s="469"/>
      <c r="Y60" s="469"/>
      <c r="Z60" s="469"/>
      <c r="AA60" s="469"/>
      <c r="AB60" s="469"/>
      <c r="AC60" s="469"/>
      <c r="AD60" s="469"/>
      <c r="AE60" s="469"/>
      <c r="AF60" s="469"/>
      <c r="AG60" s="469"/>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row>
    <row r="61" spans="1:60" x14ac:dyDescent="0.25">
      <c r="A61" s="77" t="s">
        <v>12</v>
      </c>
      <c r="B61" s="233">
        <v>31</v>
      </c>
      <c r="C61" s="233">
        <v>45</v>
      </c>
      <c r="D61" s="233">
        <v>40</v>
      </c>
      <c r="E61" s="233">
        <v>33</v>
      </c>
      <c r="F61" s="233">
        <v>87</v>
      </c>
      <c r="G61" s="11">
        <v>105</v>
      </c>
      <c r="H61" s="11">
        <v>143</v>
      </c>
      <c r="I61" s="11">
        <f t="shared" si="18"/>
        <v>484</v>
      </c>
      <c r="J61" s="470">
        <f t="shared" ref="J61:J66" si="19">+$I61/7</f>
        <v>69.142857142857139</v>
      </c>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row>
    <row r="62" spans="1:60" x14ac:dyDescent="0.25">
      <c r="A62" s="77" t="s">
        <v>13</v>
      </c>
      <c r="B62" s="233">
        <v>5</v>
      </c>
      <c r="C62" s="233">
        <v>0</v>
      </c>
      <c r="D62" s="233">
        <v>0</v>
      </c>
      <c r="E62" s="233">
        <v>1</v>
      </c>
      <c r="F62" s="233">
        <v>1</v>
      </c>
      <c r="G62" s="11">
        <v>5</v>
      </c>
      <c r="H62" s="11">
        <v>2</v>
      </c>
      <c r="I62" s="11">
        <f t="shared" si="18"/>
        <v>14</v>
      </c>
      <c r="J62" s="470">
        <f t="shared" si="19"/>
        <v>2</v>
      </c>
      <c r="K62" s="471"/>
      <c r="L62" s="471"/>
      <c r="M62" s="471"/>
      <c r="N62" s="471"/>
      <c r="O62" s="471"/>
      <c r="P62" s="471"/>
      <c r="Q62" s="471"/>
      <c r="R62" s="471"/>
      <c r="S62" s="471"/>
      <c r="T62" s="471"/>
      <c r="U62" s="471"/>
      <c r="V62" s="471"/>
      <c r="W62" s="471"/>
      <c r="X62" s="471"/>
      <c r="Y62" s="471"/>
      <c r="Z62" s="471"/>
      <c r="AA62" s="471"/>
      <c r="AB62" s="471"/>
      <c r="AC62" s="471"/>
      <c r="AD62" s="471"/>
      <c r="AE62" s="471"/>
      <c r="AF62" s="471"/>
      <c r="AG62" s="471"/>
      <c r="AH62" s="471"/>
      <c r="AI62" s="471"/>
      <c r="AJ62" s="471"/>
      <c r="AK62" s="471"/>
      <c r="AL62" s="471"/>
      <c r="AM62" s="471"/>
      <c r="AN62" s="471"/>
      <c r="AO62" s="471"/>
      <c r="AP62" s="471"/>
      <c r="AQ62" s="471"/>
      <c r="AR62" s="471"/>
      <c r="AS62" s="471"/>
      <c r="AT62" s="471"/>
      <c r="AU62" s="471"/>
      <c r="AV62" s="471"/>
      <c r="AW62" s="471"/>
      <c r="AX62" s="471"/>
      <c r="AY62" s="471"/>
      <c r="AZ62" s="471"/>
      <c r="BA62" s="471"/>
      <c r="BB62" s="471"/>
      <c r="BC62" s="471"/>
      <c r="BD62" s="471"/>
      <c r="BE62" s="471"/>
      <c r="BF62" s="471"/>
      <c r="BG62" s="471"/>
      <c r="BH62" s="471"/>
    </row>
    <row r="63" spans="1:60" x14ac:dyDescent="0.25">
      <c r="A63" s="77" t="s">
        <v>14</v>
      </c>
      <c r="B63" s="233">
        <v>67</v>
      </c>
      <c r="C63" s="233">
        <v>71</v>
      </c>
      <c r="D63" s="233">
        <v>75</v>
      </c>
      <c r="E63" s="233">
        <v>74</v>
      </c>
      <c r="F63" s="233">
        <v>137</v>
      </c>
      <c r="G63" s="11">
        <v>76</v>
      </c>
      <c r="H63" s="11">
        <v>47</v>
      </c>
      <c r="I63" s="11">
        <f t="shared" si="18"/>
        <v>547</v>
      </c>
      <c r="J63" s="470">
        <f t="shared" si="19"/>
        <v>78.142857142857139</v>
      </c>
      <c r="K63" s="471"/>
      <c r="L63" s="471"/>
      <c r="M63" s="471"/>
      <c r="N63" s="471"/>
      <c r="O63" s="471"/>
      <c r="P63" s="471"/>
      <c r="Q63" s="471"/>
      <c r="R63" s="471"/>
      <c r="S63" s="471"/>
      <c r="T63" s="471"/>
      <c r="U63" s="471"/>
      <c r="V63" s="471"/>
      <c r="W63" s="471"/>
      <c r="X63" s="471"/>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471"/>
      <c r="AY63" s="471"/>
      <c r="AZ63" s="471"/>
      <c r="BA63" s="471"/>
      <c r="BB63" s="471"/>
      <c r="BC63" s="471"/>
      <c r="BD63" s="471"/>
      <c r="BE63" s="471"/>
      <c r="BF63" s="471"/>
      <c r="BG63" s="471"/>
      <c r="BH63" s="471"/>
    </row>
    <row r="64" spans="1:60" x14ac:dyDescent="0.25">
      <c r="A64" s="77" t="s">
        <v>15</v>
      </c>
      <c r="B64" s="233">
        <v>3</v>
      </c>
      <c r="C64" s="233">
        <v>1</v>
      </c>
      <c r="D64" s="233">
        <v>0</v>
      </c>
      <c r="E64" s="233">
        <v>1</v>
      </c>
      <c r="F64" s="233">
        <v>4</v>
      </c>
      <c r="G64" s="11">
        <v>4</v>
      </c>
      <c r="H64" s="11">
        <v>8</v>
      </c>
      <c r="I64" s="11">
        <f t="shared" si="18"/>
        <v>21</v>
      </c>
      <c r="J64" s="470">
        <f t="shared" si="19"/>
        <v>3</v>
      </c>
      <c r="K64" s="471"/>
      <c r="L64" s="471"/>
      <c r="M64" s="471"/>
      <c r="N64" s="471"/>
      <c r="O64" s="471"/>
      <c r="P64" s="471"/>
      <c r="Q64" s="471"/>
      <c r="R64" s="471"/>
      <c r="S64" s="471"/>
      <c r="T64" s="471"/>
      <c r="U64" s="471"/>
      <c r="V64" s="471"/>
      <c r="W64" s="471"/>
      <c r="X64" s="471"/>
      <c r="Y64" s="471"/>
      <c r="Z64" s="471"/>
      <c r="AA64" s="471"/>
      <c r="AB64" s="471"/>
      <c r="AC64" s="471"/>
      <c r="AD64" s="471"/>
      <c r="AE64" s="471"/>
      <c r="AF64" s="471"/>
      <c r="AG64" s="471"/>
      <c r="AH64" s="471"/>
      <c r="AI64" s="471"/>
      <c r="AJ64" s="471"/>
      <c r="AK64" s="471"/>
      <c r="AL64" s="471"/>
      <c r="AM64" s="471"/>
      <c r="AN64" s="471"/>
      <c r="AO64" s="471"/>
      <c r="AP64" s="471"/>
      <c r="AQ64" s="471"/>
      <c r="AR64" s="471"/>
      <c r="AS64" s="471"/>
      <c r="AT64" s="471"/>
      <c r="AU64" s="471"/>
      <c r="AV64" s="471"/>
      <c r="AW64" s="471"/>
      <c r="AX64" s="471"/>
      <c r="AY64" s="471"/>
      <c r="AZ64" s="471"/>
      <c r="BA64" s="471"/>
      <c r="BB64" s="471"/>
      <c r="BC64" s="471"/>
      <c r="BD64" s="471"/>
      <c r="BE64" s="471"/>
      <c r="BF64" s="471"/>
      <c r="BG64" s="471"/>
      <c r="BH64" s="471"/>
    </row>
    <row r="65" spans="1:60" x14ac:dyDescent="0.25">
      <c r="A65" s="77" t="s">
        <v>16</v>
      </c>
      <c r="B65" s="233">
        <v>0</v>
      </c>
      <c r="C65" s="233">
        <v>0</v>
      </c>
      <c r="D65" s="233">
        <v>0</v>
      </c>
      <c r="E65" s="233">
        <v>0</v>
      </c>
      <c r="F65" s="233">
        <v>0</v>
      </c>
      <c r="G65" s="11">
        <v>0</v>
      </c>
      <c r="H65" s="11">
        <v>0</v>
      </c>
      <c r="I65" s="11">
        <f t="shared" si="18"/>
        <v>0</v>
      </c>
      <c r="J65" s="470">
        <f t="shared" si="19"/>
        <v>0</v>
      </c>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c r="AK65" s="471"/>
      <c r="AL65" s="471"/>
      <c r="AM65" s="471"/>
      <c r="AN65" s="471"/>
      <c r="AO65" s="471"/>
      <c r="AP65" s="471"/>
      <c r="AQ65" s="471"/>
      <c r="AR65" s="471"/>
      <c r="AS65" s="471"/>
      <c r="AT65" s="471"/>
      <c r="AU65" s="471"/>
      <c r="AV65" s="471"/>
      <c r="AW65" s="471"/>
      <c r="AX65" s="471"/>
      <c r="AY65" s="471"/>
      <c r="AZ65" s="471"/>
      <c r="BA65" s="471"/>
      <c r="BB65" s="471"/>
      <c r="BC65" s="471"/>
      <c r="BD65" s="471"/>
      <c r="BE65" s="471"/>
      <c r="BF65" s="471"/>
      <c r="BG65" s="471"/>
      <c r="BH65" s="471"/>
    </row>
    <row r="66" spans="1:60" x14ac:dyDescent="0.25">
      <c r="A66" s="79" t="s">
        <v>17</v>
      </c>
      <c r="B66" s="102">
        <f t="shared" ref="B66:I66" si="20">SUM(B61:B65)</f>
        <v>106</v>
      </c>
      <c r="C66" s="102">
        <f t="shared" si="20"/>
        <v>117</v>
      </c>
      <c r="D66" s="102">
        <f t="shared" si="20"/>
        <v>115</v>
      </c>
      <c r="E66" s="102">
        <f t="shared" si="20"/>
        <v>109</v>
      </c>
      <c r="F66" s="102">
        <f t="shared" si="20"/>
        <v>229</v>
      </c>
      <c r="G66" s="79">
        <f t="shared" si="20"/>
        <v>190</v>
      </c>
      <c r="H66" s="79">
        <f t="shared" si="20"/>
        <v>200</v>
      </c>
      <c r="I66" s="472">
        <f t="shared" si="20"/>
        <v>1066</v>
      </c>
      <c r="J66" s="473">
        <f t="shared" si="19"/>
        <v>152.28571428571428</v>
      </c>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row>
    <row r="67" spans="1:60" x14ac:dyDescent="0.25">
      <c r="A67" s="77" t="s">
        <v>18</v>
      </c>
      <c r="B67" s="406">
        <v>0.34</v>
      </c>
      <c r="C67" s="406">
        <v>0.46</v>
      </c>
      <c r="D67" s="406">
        <v>0.41</v>
      </c>
      <c r="E67" s="406">
        <v>0.36</v>
      </c>
      <c r="F67" s="406">
        <v>0.43</v>
      </c>
      <c r="G67" s="18">
        <v>0.61</v>
      </c>
      <c r="H67" s="18">
        <v>0.72</v>
      </c>
      <c r="I67" s="18">
        <f>I74/I79</f>
        <v>0.50608771956775644</v>
      </c>
      <c r="J67" s="475">
        <f>J74/J79</f>
        <v>0.50608771956775644</v>
      </c>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row>
    <row r="68" spans="1:60" x14ac:dyDescent="0.25">
      <c r="A68" s="77" t="s">
        <v>19</v>
      </c>
      <c r="B68" s="406">
        <v>0.04</v>
      </c>
      <c r="C68" s="406">
        <v>0</v>
      </c>
      <c r="D68" s="406">
        <v>0</v>
      </c>
      <c r="E68" s="406">
        <v>0.01</v>
      </c>
      <c r="F68" s="406">
        <v>0</v>
      </c>
      <c r="G68" s="18">
        <v>0.02</v>
      </c>
      <c r="H68" s="18">
        <v>0.01</v>
      </c>
      <c r="I68" s="18">
        <f>I75/I79</f>
        <v>1.0250278053262256E-2</v>
      </c>
      <c r="J68" s="475">
        <f>J75/J79</f>
        <v>1.0250278053262256E-2</v>
      </c>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476"/>
      <c r="BE68" s="476"/>
      <c r="BF68" s="476"/>
      <c r="BG68" s="476"/>
      <c r="BH68" s="476"/>
    </row>
    <row r="69" spans="1:60" x14ac:dyDescent="0.25">
      <c r="A69" s="77" t="s">
        <v>20</v>
      </c>
      <c r="B69" s="406">
        <v>0.6</v>
      </c>
      <c r="C69" s="406">
        <v>0.53</v>
      </c>
      <c r="D69" s="406">
        <v>0.59</v>
      </c>
      <c r="E69" s="406">
        <v>0.62</v>
      </c>
      <c r="F69" s="406">
        <v>0.56000000000000005</v>
      </c>
      <c r="G69" s="18">
        <v>0.35</v>
      </c>
      <c r="H69" s="18">
        <v>0.24</v>
      </c>
      <c r="I69" s="18">
        <f>I76/I79</f>
        <v>0.46810126503815863</v>
      </c>
      <c r="J69" s="475">
        <f>J76/J79</f>
        <v>0.46810126503815863</v>
      </c>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row>
    <row r="70" spans="1:60" x14ac:dyDescent="0.25">
      <c r="A70" s="77" t="s">
        <v>21</v>
      </c>
      <c r="B70" s="406">
        <v>0.02</v>
      </c>
      <c r="C70" s="406">
        <v>0.01</v>
      </c>
      <c r="D70" s="406">
        <v>0</v>
      </c>
      <c r="E70" s="406">
        <v>0.01</v>
      </c>
      <c r="F70" s="406">
        <v>0.01</v>
      </c>
      <c r="G70" s="18">
        <v>0.02</v>
      </c>
      <c r="H70" s="18">
        <v>0.03</v>
      </c>
      <c r="I70" s="18">
        <f>I77/I79</f>
        <v>1.5560737340822544E-2</v>
      </c>
      <c r="J70" s="475">
        <f>J77/J79</f>
        <v>1.5560737340822544E-2</v>
      </c>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476"/>
      <c r="BE70" s="476"/>
      <c r="BF70" s="476"/>
      <c r="BG70" s="476"/>
      <c r="BH70" s="476"/>
    </row>
    <row r="71" spans="1:60" x14ac:dyDescent="0.25">
      <c r="A71" s="77" t="s">
        <v>22</v>
      </c>
      <c r="B71" s="406">
        <v>0</v>
      </c>
      <c r="C71" s="406">
        <v>0</v>
      </c>
      <c r="D71" s="406">
        <v>0</v>
      </c>
      <c r="E71" s="406">
        <v>0</v>
      </c>
      <c r="F71" s="406">
        <v>0</v>
      </c>
      <c r="G71" s="18">
        <v>0</v>
      </c>
      <c r="H71" s="18">
        <v>0</v>
      </c>
      <c r="I71" s="18">
        <f>I78/I79</f>
        <v>0</v>
      </c>
      <c r="J71" s="475">
        <f>J78/J79</f>
        <v>0</v>
      </c>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476"/>
      <c r="BE71" s="476"/>
      <c r="BF71" s="476"/>
      <c r="BG71" s="476"/>
      <c r="BH71" s="476"/>
    </row>
    <row r="72" spans="1:60" x14ac:dyDescent="0.25">
      <c r="A72" s="81" t="s">
        <v>23</v>
      </c>
      <c r="B72" s="409">
        <f t="shared" ref="B72:J72" si="21">B83/B66</f>
        <v>29447.169811320753</v>
      </c>
      <c r="C72" s="409">
        <f t="shared" si="21"/>
        <v>30512.820512820512</v>
      </c>
      <c r="D72" s="409">
        <f t="shared" si="21"/>
        <v>33523.478260869568</v>
      </c>
      <c r="E72" s="409">
        <f t="shared" si="21"/>
        <v>32047.706422018353</v>
      </c>
      <c r="F72" s="409">
        <f t="shared" si="21"/>
        <v>33690.829694323147</v>
      </c>
      <c r="G72" s="130">
        <f t="shared" si="21"/>
        <v>35256.84210526316</v>
      </c>
      <c r="H72" s="130">
        <f t="shared" si="21"/>
        <v>35111</v>
      </c>
      <c r="I72" s="359">
        <f t="shared" si="21"/>
        <v>33279.549718574119</v>
      </c>
      <c r="J72" s="477">
        <f t="shared" si="21"/>
        <v>33279.549718574119</v>
      </c>
      <c r="K72" s="478"/>
      <c r="L72" s="478"/>
      <c r="M72" s="478"/>
      <c r="N72" s="478"/>
      <c r="O72" s="478"/>
      <c r="P72" s="478"/>
      <c r="Q72" s="478"/>
      <c r="R72" s="478"/>
      <c r="S72" s="478"/>
      <c r="T72" s="478"/>
      <c r="U72" s="478"/>
      <c r="V72" s="478"/>
      <c r="W72" s="478"/>
      <c r="X72" s="478"/>
      <c r="Y72" s="478"/>
      <c r="Z72" s="478"/>
      <c r="AA72" s="478"/>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478"/>
      <c r="BE72" s="478"/>
      <c r="BF72" s="478"/>
      <c r="BG72" s="478"/>
      <c r="BH72" s="478"/>
    </row>
    <row r="73" spans="1:60" x14ac:dyDescent="0.25">
      <c r="A73" s="81" t="s">
        <v>24</v>
      </c>
      <c r="B73" s="409">
        <f t="shared" ref="B73:J73" si="22">B83/B60</f>
        <v>29171.962616822431</v>
      </c>
      <c r="C73" s="409">
        <f t="shared" si="22"/>
        <v>31043.478260869564</v>
      </c>
      <c r="D73" s="409">
        <f t="shared" si="22"/>
        <v>29429.007633587789</v>
      </c>
      <c r="E73" s="409">
        <f t="shared" si="22"/>
        <v>30375.652173913048</v>
      </c>
      <c r="F73" s="409">
        <f t="shared" si="22"/>
        <v>31749.794238683127</v>
      </c>
      <c r="G73" s="130">
        <f t="shared" si="22"/>
        <v>32999.01477832513</v>
      </c>
      <c r="H73" s="130">
        <f t="shared" si="22"/>
        <v>32064.840182648401</v>
      </c>
      <c r="I73" s="359">
        <f t="shared" si="22"/>
        <v>31311.562224183592</v>
      </c>
      <c r="J73" s="477">
        <f t="shared" si="22"/>
        <v>31311.562224183588</v>
      </c>
      <c r="K73" s="478"/>
      <c r="L73" s="478"/>
      <c r="M73" s="478"/>
      <c r="N73" s="478"/>
      <c r="O73" s="478"/>
      <c r="P73" s="478"/>
      <c r="Q73" s="478"/>
      <c r="R73" s="478"/>
      <c r="S73" s="478"/>
      <c r="T73" s="478"/>
      <c r="U73" s="478"/>
      <c r="V73" s="478"/>
      <c r="W73" s="478"/>
      <c r="X73" s="478"/>
      <c r="Y73" s="478"/>
      <c r="Z73" s="478"/>
      <c r="AA73" s="478"/>
      <c r="AB73" s="478"/>
      <c r="AC73" s="478"/>
      <c r="AD73" s="478"/>
      <c r="AE73" s="478"/>
      <c r="AF73" s="478"/>
      <c r="AG73" s="478"/>
      <c r="AH73" s="478"/>
      <c r="AI73" s="478"/>
      <c r="AJ73" s="478"/>
      <c r="AK73" s="478"/>
      <c r="AL73" s="478"/>
      <c r="AM73" s="478"/>
      <c r="AN73" s="478"/>
      <c r="AO73" s="478"/>
      <c r="AP73" s="478"/>
      <c r="AQ73" s="478"/>
      <c r="AR73" s="478"/>
      <c r="AS73" s="478"/>
      <c r="AT73" s="478"/>
      <c r="AU73" s="478"/>
      <c r="AV73" s="478"/>
      <c r="AW73" s="478"/>
      <c r="AX73" s="478"/>
      <c r="AY73" s="478"/>
      <c r="AZ73" s="478"/>
      <c r="BA73" s="478"/>
      <c r="BB73" s="478"/>
      <c r="BC73" s="478"/>
      <c r="BD73" s="478"/>
      <c r="BE73" s="478"/>
      <c r="BF73" s="478"/>
      <c r="BG73" s="478"/>
      <c r="BH73" s="478"/>
    </row>
    <row r="74" spans="1:60" x14ac:dyDescent="0.25">
      <c r="A74" s="77" t="s">
        <v>25</v>
      </c>
      <c r="B74" s="255">
        <f t="shared" ref="B74:H74" si="23">B79*B67</f>
        <v>892179.40344827599</v>
      </c>
      <c r="C74" s="255">
        <f t="shared" si="23"/>
        <v>1371081.1551724139</v>
      </c>
      <c r="D74" s="255">
        <f t="shared" si="23"/>
        <v>1327271.7931034483</v>
      </c>
      <c r="E74" s="255">
        <f t="shared" si="23"/>
        <v>1058495.1517241381</v>
      </c>
      <c r="F74" s="255">
        <f t="shared" si="23"/>
        <v>2779326.2775862068</v>
      </c>
      <c r="G74" s="92">
        <f t="shared" si="23"/>
        <v>3384617.0775862071</v>
      </c>
      <c r="H74" s="92">
        <f t="shared" si="23"/>
        <v>4136728.0965517242</v>
      </c>
      <c r="I74" s="108">
        <f>SUM(B74:H74)</f>
        <v>14949698.955172414</v>
      </c>
      <c r="J74" s="479">
        <f t="shared" ref="J74:J79" si="24">+$I74/7</f>
        <v>2135671.2793103447</v>
      </c>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480"/>
      <c r="BE74" s="480"/>
      <c r="BF74" s="480"/>
      <c r="BG74" s="480"/>
      <c r="BH74" s="480"/>
    </row>
    <row r="75" spans="1:60" x14ac:dyDescent="0.25">
      <c r="A75" s="77" t="s">
        <v>26</v>
      </c>
      <c r="B75" s="255">
        <f t="shared" ref="B75:H75" si="25">B79*B68</f>
        <v>104962.2827586207</v>
      </c>
      <c r="C75" s="255">
        <f t="shared" si="25"/>
        <v>0</v>
      </c>
      <c r="D75" s="255">
        <f t="shared" si="25"/>
        <v>0</v>
      </c>
      <c r="E75" s="255">
        <f t="shared" si="25"/>
        <v>29402.643103448278</v>
      </c>
      <c r="F75" s="255">
        <f t="shared" si="25"/>
        <v>0</v>
      </c>
      <c r="G75" s="92">
        <f t="shared" si="25"/>
        <v>110971.05172413794</v>
      </c>
      <c r="H75" s="92">
        <f t="shared" si="25"/>
        <v>57454.55689655173</v>
      </c>
      <c r="I75" s="108">
        <f>SUM(B75:H75)</f>
        <v>302790.53448275867</v>
      </c>
      <c r="J75" s="479">
        <f t="shared" si="24"/>
        <v>43255.790640394094</v>
      </c>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480"/>
      <c r="BB75" s="480"/>
      <c r="BC75" s="480"/>
      <c r="BD75" s="480"/>
      <c r="BE75" s="480"/>
      <c r="BF75" s="480"/>
      <c r="BG75" s="480"/>
      <c r="BH75" s="480"/>
    </row>
    <row r="76" spans="1:60" x14ac:dyDescent="0.25">
      <c r="A76" s="77" t="s">
        <v>27</v>
      </c>
      <c r="B76" s="255">
        <f t="shared" ref="B76:H76" si="26">B79*B69</f>
        <v>1574434.2413793104</v>
      </c>
      <c r="C76" s="255">
        <f t="shared" si="26"/>
        <v>1579723.9396551726</v>
      </c>
      <c r="D76" s="255">
        <f t="shared" si="26"/>
        <v>1909976.4827586208</v>
      </c>
      <c r="E76" s="255">
        <f t="shared" si="26"/>
        <v>1822963.8724137933</v>
      </c>
      <c r="F76" s="255">
        <f t="shared" si="26"/>
        <v>3619587.7103448277</v>
      </c>
      <c r="G76" s="92">
        <f t="shared" si="26"/>
        <v>1941993.4051724139</v>
      </c>
      <c r="H76" s="92">
        <f t="shared" si="26"/>
        <v>1378909.3655172414</v>
      </c>
      <c r="I76" s="108">
        <f>SUM(B76:H76)</f>
        <v>13827589.017241381</v>
      </c>
      <c r="J76" s="479">
        <f t="shared" si="24"/>
        <v>1975369.8596059117</v>
      </c>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480"/>
      <c r="BE76" s="480"/>
      <c r="BF76" s="480"/>
      <c r="BG76" s="480"/>
      <c r="BH76" s="480"/>
    </row>
    <row r="77" spans="1:60" x14ac:dyDescent="0.25">
      <c r="A77" s="77" t="s">
        <v>28</v>
      </c>
      <c r="B77" s="255">
        <f t="shared" ref="B77:H77" si="27">B79*B70</f>
        <v>52481.141379310349</v>
      </c>
      <c r="C77" s="255">
        <f t="shared" si="27"/>
        <v>29806.112068965518</v>
      </c>
      <c r="D77" s="255">
        <f t="shared" si="27"/>
        <v>0</v>
      </c>
      <c r="E77" s="255">
        <f t="shared" si="27"/>
        <v>29402.643103448278</v>
      </c>
      <c r="F77" s="255">
        <f t="shared" si="27"/>
        <v>64635.494827586212</v>
      </c>
      <c r="G77" s="92">
        <f t="shared" si="27"/>
        <v>110971.05172413794</v>
      </c>
      <c r="H77" s="92">
        <f t="shared" si="27"/>
        <v>172363.67068965518</v>
      </c>
      <c r="I77" s="108">
        <f>SUM(B77:H77)</f>
        <v>459660.11379310343</v>
      </c>
      <c r="J77" s="479">
        <f t="shared" si="24"/>
        <v>65665.730541871919</v>
      </c>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480"/>
      <c r="BE77" s="480"/>
      <c r="BF77" s="480"/>
      <c r="BG77" s="480"/>
      <c r="BH77" s="480"/>
    </row>
    <row r="78" spans="1:60" x14ac:dyDescent="0.25">
      <c r="A78" s="77" t="s">
        <v>29</v>
      </c>
      <c r="B78" s="255">
        <f t="shared" ref="B78:H78" si="28">B79*B71</f>
        <v>0</v>
      </c>
      <c r="C78" s="255">
        <f t="shared" si="28"/>
        <v>0</v>
      </c>
      <c r="D78" s="255">
        <f t="shared" si="28"/>
        <v>0</v>
      </c>
      <c r="E78" s="255">
        <f t="shared" si="28"/>
        <v>0</v>
      </c>
      <c r="F78" s="255">
        <f t="shared" si="28"/>
        <v>0</v>
      </c>
      <c r="G78" s="92">
        <f t="shared" si="28"/>
        <v>0</v>
      </c>
      <c r="H78" s="92">
        <f t="shared" si="28"/>
        <v>0</v>
      </c>
      <c r="I78" s="108">
        <f>SUM(B78:H78)</f>
        <v>0</v>
      </c>
      <c r="J78" s="479">
        <f t="shared" si="24"/>
        <v>0</v>
      </c>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480"/>
      <c r="BE78" s="480"/>
      <c r="BF78" s="480"/>
      <c r="BG78" s="480"/>
      <c r="BH78" s="480"/>
    </row>
    <row r="79" spans="1:60" x14ac:dyDescent="0.25">
      <c r="A79" s="82" t="s">
        <v>30</v>
      </c>
      <c r="B79" s="410">
        <f>(3121400/1.16)-B80</f>
        <v>2624057.0689655175</v>
      </c>
      <c r="C79" s="410">
        <f>(3570000/1.16)-C80</f>
        <v>2980611.2068965519</v>
      </c>
      <c r="D79" s="410">
        <f>(3855200/1.16)-D80</f>
        <v>3237248.2758620693</v>
      </c>
      <c r="E79" s="410">
        <f>(3493200/1.16)-E80</f>
        <v>2940264.3103448278</v>
      </c>
      <c r="F79" s="410">
        <f>(7715200/1.16)-F80</f>
        <v>6463549.4827586208</v>
      </c>
      <c r="G79" s="91">
        <f>(6698800/1.16)-G80</f>
        <v>5548552.5862068972</v>
      </c>
      <c r="H79" s="91">
        <f>(7022200/1.16)-H80</f>
        <v>5745455.6896551726</v>
      </c>
      <c r="I79" s="111">
        <f>SUM(I74:I78)</f>
        <v>29539738.62068966</v>
      </c>
      <c r="J79" s="481">
        <f t="shared" si="24"/>
        <v>4219962.6600985229</v>
      </c>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480"/>
      <c r="BE79" s="480"/>
      <c r="BF79" s="480"/>
      <c r="BG79" s="480"/>
      <c r="BH79" s="480"/>
    </row>
    <row r="80" spans="1:60" x14ac:dyDescent="0.25">
      <c r="A80" s="77" t="s">
        <v>31</v>
      </c>
      <c r="B80" s="263">
        <f t="shared" ref="B80:H80" si="29">2155*B61</f>
        <v>66805</v>
      </c>
      <c r="C80" s="263">
        <f t="shared" si="29"/>
        <v>96975</v>
      </c>
      <c r="D80" s="263">
        <f t="shared" si="29"/>
        <v>86200</v>
      </c>
      <c r="E80" s="263">
        <f t="shared" si="29"/>
        <v>71115</v>
      </c>
      <c r="F80" s="263">
        <f t="shared" si="29"/>
        <v>187485</v>
      </c>
      <c r="G80" s="94">
        <f t="shared" si="29"/>
        <v>226275</v>
      </c>
      <c r="H80" s="94">
        <f t="shared" si="29"/>
        <v>308165</v>
      </c>
      <c r="I80" s="109">
        <f>I61*2155</f>
        <v>1043020</v>
      </c>
      <c r="J80" s="482">
        <f>2155*J61</f>
        <v>149002.85714285713</v>
      </c>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row>
    <row r="81" spans="1:60" x14ac:dyDescent="0.25">
      <c r="A81" s="83" t="s">
        <v>32</v>
      </c>
      <c r="B81" s="411">
        <f t="shared" ref="B81:J81" si="30">B79+B80</f>
        <v>2690862.0689655175</v>
      </c>
      <c r="C81" s="411">
        <f t="shared" si="30"/>
        <v>3077586.2068965519</v>
      </c>
      <c r="D81" s="411">
        <f t="shared" si="30"/>
        <v>3323448.2758620693</v>
      </c>
      <c r="E81" s="411">
        <f t="shared" si="30"/>
        <v>3011379.3103448278</v>
      </c>
      <c r="F81" s="411">
        <f t="shared" si="30"/>
        <v>6651034.4827586208</v>
      </c>
      <c r="G81" s="39">
        <f t="shared" si="30"/>
        <v>5774827.5862068972</v>
      </c>
      <c r="H81" s="39">
        <f t="shared" si="30"/>
        <v>6053620.6896551726</v>
      </c>
      <c r="I81" s="412">
        <f t="shared" si="30"/>
        <v>30582758.62068966</v>
      </c>
      <c r="J81" s="484">
        <f t="shared" si="30"/>
        <v>4368965.5172413802</v>
      </c>
      <c r="K81" s="485"/>
      <c r="L81" s="485"/>
      <c r="M81" s="485"/>
      <c r="N81" s="485"/>
      <c r="O81" s="485"/>
      <c r="P81" s="485"/>
      <c r="Q81" s="485"/>
      <c r="R81" s="485"/>
      <c r="S81" s="485"/>
      <c r="T81" s="485"/>
      <c r="U81" s="485"/>
      <c r="V81" s="485"/>
      <c r="W81" s="485"/>
      <c r="X81" s="485"/>
      <c r="Y81" s="485"/>
      <c r="Z81" s="485"/>
      <c r="AA81" s="485"/>
      <c r="AB81" s="485"/>
      <c r="AC81" s="485"/>
      <c r="AD81" s="485"/>
      <c r="AE81" s="485"/>
      <c r="AF81" s="485"/>
      <c r="AG81" s="485"/>
      <c r="AH81" s="485"/>
      <c r="AI81" s="485"/>
      <c r="AJ81" s="485"/>
      <c r="AK81" s="485"/>
      <c r="AL81" s="485"/>
      <c r="AM81" s="485"/>
      <c r="AN81" s="485"/>
      <c r="AO81" s="485"/>
      <c r="AP81" s="485"/>
      <c r="AQ81" s="485"/>
      <c r="AR81" s="485"/>
      <c r="AS81" s="485"/>
      <c r="AT81" s="485"/>
      <c r="AU81" s="485"/>
      <c r="AV81" s="485"/>
      <c r="AW81" s="485"/>
      <c r="AX81" s="485"/>
      <c r="AY81" s="485"/>
      <c r="AZ81" s="485"/>
      <c r="BA81" s="485"/>
      <c r="BB81" s="485"/>
      <c r="BC81" s="485"/>
      <c r="BD81" s="485"/>
      <c r="BE81" s="485"/>
      <c r="BF81" s="485"/>
      <c r="BG81" s="485"/>
      <c r="BH81" s="485"/>
    </row>
    <row r="82" spans="1:60" x14ac:dyDescent="0.25">
      <c r="A82" s="77" t="s">
        <v>33</v>
      </c>
      <c r="B82" s="413">
        <f t="shared" ref="B82:J82" si="31">B81*16%</f>
        <v>430537.93103448278</v>
      </c>
      <c r="C82" s="413">
        <f t="shared" si="31"/>
        <v>492413.79310344829</v>
      </c>
      <c r="D82" s="413">
        <f t="shared" si="31"/>
        <v>531751.72413793113</v>
      </c>
      <c r="E82" s="413">
        <f t="shared" si="31"/>
        <v>481820.68965517246</v>
      </c>
      <c r="F82" s="413">
        <f t="shared" si="31"/>
        <v>1064165.5172413792</v>
      </c>
      <c r="G82" s="41">
        <f t="shared" si="31"/>
        <v>923972.41379310354</v>
      </c>
      <c r="H82" s="41">
        <f t="shared" si="31"/>
        <v>968579.31034482759</v>
      </c>
      <c r="I82" s="414">
        <f t="shared" si="31"/>
        <v>4893241.3793103462</v>
      </c>
      <c r="J82" s="486">
        <f t="shared" si="31"/>
        <v>699034.48275862087</v>
      </c>
      <c r="K82" s="487"/>
      <c r="L82" s="487"/>
      <c r="M82" s="487"/>
      <c r="N82" s="487"/>
      <c r="O82" s="487"/>
      <c r="P82" s="487"/>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row>
    <row r="83" spans="1:60" x14ac:dyDescent="0.25">
      <c r="A83" s="142" t="s">
        <v>34</v>
      </c>
      <c r="B83" s="438">
        <f t="shared" ref="B83:I83" si="32">B81+B82</f>
        <v>3121400</v>
      </c>
      <c r="C83" s="438">
        <f t="shared" si="32"/>
        <v>3570000</v>
      </c>
      <c r="D83" s="438">
        <f t="shared" si="32"/>
        <v>3855200.0000000005</v>
      </c>
      <c r="E83" s="438">
        <f t="shared" si="32"/>
        <v>3493200.0000000005</v>
      </c>
      <c r="F83" s="438">
        <f t="shared" si="32"/>
        <v>7715200</v>
      </c>
      <c r="G83" s="144">
        <f t="shared" si="32"/>
        <v>6698800.0000000009</v>
      </c>
      <c r="H83" s="144">
        <f t="shared" si="32"/>
        <v>7022200</v>
      </c>
      <c r="I83" s="440">
        <f t="shared" si="32"/>
        <v>35476000.000000007</v>
      </c>
      <c r="J83" s="488">
        <f>+$I83/7</f>
        <v>5068000.0000000009</v>
      </c>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89"/>
      <c r="AZ83" s="489"/>
      <c r="BA83" s="489"/>
      <c r="BB83" s="489"/>
      <c r="BC83" s="489"/>
      <c r="BD83" s="489"/>
      <c r="BE83" s="489"/>
      <c r="BF83" s="489"/>
      <c r="BG83" s="489"/>
      <c r="BH83" s="489"/>
    </row>
    <row r="86" spans="1:60" ht="26.25" x14ac:dyDescent="0.25">
      <c r="A86" s="85"/>
      <c r="B86" s="1002" t="s">
        <v>356</v>
      </c>
      <c r="C86" s="1002"/>
      <c r="D86" s="1002"/>
      <c r="E86" s="1002"/>
      <c r="F86" s="1002"/>
      <c r="G86" s="1002"/>
      <c r="H86" s="1002"/>
      <c r="I86" s="1002"/>
    </row>
    <row r="87" spans="1:60" ht="15.75" x14ac:dyDescent="0.25">
      <c r="A87" s="72" t="s">
        <v>2</v>
      </c>
      <c r="B87" s="429" t="s">
        <v>241</v>
      </c>
      <c r="C87" s="51" t="s">
        <v>242</v>
      </c>
      <c r="D87" s="349" t="s">
        <v>243</v>
      </c>
      <c r="E87" s="51" t="s">
        <v>244</v>
      </c>
      <c r="F87" s="51" t="s">
        <v>245</v>
      </c>
      <c r="G87" s="349" t="s">
        <v>246</v>
      </c>
      <c r="H87" s="349" t="s">
        <v>247</v>
      </c>
      <c r="I87" s="153" t="s">
        <v>10</v>
      </c>
      <c r="J87" s="490" t="s">
        <v>77</v>
      </c>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row>
    <row r="88" spans="1:60" x14ac:dyDescent="0.25">
      <c r="A88" s="430" t="s">
        <v>11</v>
      </c>
      <c r="B88" s="433">
        <v>105</v>
      </c>
      <c r="C88" s="75">
        <v>125</v>
      </c>
      <c r="D88" s="75">
        <v>157</v>
      </c>
      <c r="E88" s="75">
        <v>153</v>
      </c>
      <c r="F88" s="75">
        <v>312</v>
      </c>
      <c r="G88" s="75">
        <v>217</v>
      </c>
      <c r="H88" s="75">
        <v>180</v>
      </c>
      <c r="I88" s="467">
        <f t="shared" ref="I88:I93" si="33">SUM(B88:H88)</f>
        <v>1249</v>
      </c>
      <c r="J88" s="468">
        <f>+$I88/7</f>
        <v>178.42857142857142</v>
      </c>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s="469"/>
      <c r="BB88" s="469"/>
      <c r="BC88" s="469"/>
      <c r="BD88" s="469"/>
      <c r="BE88" s="469"/>
      <c r="BF88" s="469"/>
      <c r="BG88" s="469"/>
      <c r="BH88" s="469"/>
    </row>
    <row r="89" spans="1:60" x14ac:dyDescent="0.25">
      <c r="A89" s="77" t="s">
        <v>12</v>
      </c>
      <c r="B89" s="233">
        <v>41</v>
      </c>
      <c r="C89" s="13">
        <v>39</v>
      </c>
      <c r="D89" s="13">
        <v>61</v>
      </c>
      <c r="E89" s="13">
        <v>58</v>
      </c>
      <c r="F89" s="13">
        <v>122</v>
      </c>
      <c r="G89" s="13">
        <v>103</v>
      </c>
      <c r="H89" s="13">
        <v>116</v>
      </c>
      <c r="I89" s="11">
        <f t="shared" si="33"/>
        <v>540</v>
      </c>
      <c r="J89" s="470">
        <f t="shared" ref="J89:J94" si="34">+$I89/7</f>
        <v>77.142857142857139</v>
      </c>
      <c r="K89" s="471"/>
      <c r="L89" s="471"/>
      <c r="M89" s="471"/>
      <c r="N89" s="471"/>
      <c r="O89" s="471"/>
      <c r="P89" s="471"/>
      <c r="Q89" s="471"/>
      <c r="R89" s="471"/>
      <c r="S89" s="471"/>
      <c r="T89" s="471"/>
      <c r="U89" s="471"/>
      <c r="V89" s="471"/>
      <c r="W89" s="471"/>
      <c r="X89" s="471"/>
      <c r="Y89" s="471"/>
      <c r="Z89" s="471"/>
      <c r="AA89" s="471"/>
      <c r="AB89" s="471"/>
      <c r="AC89" s="471"/>
      <c r="AD89" s="471"/>
      <c r="AE89" s="471"/>
      <c r="AF89" s="471"/>
      <c r="AG89" s="471"/>
      <c r="AH89" s="471"/>
      <c r="AI89" s="471"/>
      <c r="AJ89" s="471"/>
      <c r="AK89" s="471"/>
      <c r="AL89" s="471"/>
      <c r="AM89" s="471"/>
      <c r="AN89" s="471"/>
      <c r="AO89" s="471"/>
      <c r="AP89" s="471"/>
      <c r="AQ89" s="471"/>
      <c r="AR89" s="471"/>
      <c r="AS89" s="471"/>
      <c r="AT89" s="471"/>
      <c r="AU89" s="471"/>
      <c r="AV89" s="471"/>
      <c r="AW89" s="471"/>
      <c r="AX89" s="471"/>
      <c r="AY89" s="471"/>
      <c r="AZ89" s="471"/>
      <c r="BA89" s="471"/>
      <c r="BB89" s="471"/>
      <c r="BC89" s="471"/>
      <c r="BD89" s="471"/>
      <c r="BE89" s="471"/>
      <c r="BF89" s="471"/>
      <c r="BG89" s="471"/>
      <c r="BH89" s="471"/>
    </row>
    <row r="90" spans="1:60" x14ac:dyDescent="0.25">
      <c r="A90" s="77" t="s">
        <v>13</v>
      </c>
      <c r="B90" s="233">
        <v>1</v>
      </c>
      <c r="C90" s="13">
        <v>2</v>
      </c>
      <c r="D90" s="13">
        <v>3</v>
      </c>
      <c r="E90" s="13">
        <v>0</v>
      </c>
      <c r="F90" s="13">
        <v>1</v>
      </c>
      <c r="G90" s="13">
        <v>6</v>
      </c>
      <c r="H90" s="13">
        <v>2</v>
      </c>
      <c r="I90" s="11">
        <f t="shared" si="33"/>
        <v>15</v>
      </c>
      <c r="J90" s="470">
        <f t="shared" si="34"/>
        <v>2.1428571428571428</v>
      </c>
      <c r="K90" s="471"/>
      <c r="L90" s="471"/>
      <c r="M90" s="471"/>
      <c r="N90" s="471"/>
      <c r="O90" s="471"/>
      <c r="P90" s="471"/>
      <c r="Q90" s="471"/>
      <c r="R90" s="471"/>
      <c r="S90" s="471"/>
      <c r="T90" s="471"/>
      <c r="U90" s="471"/>
      <c r="V90" s="471"/>
      <c r="W90" s="471"/>
      <c r="X90" s="471"/>
      <c r="Y90" s="471"/>
      <c r="Z90" s="471"/>
      <c r="AA90" s="471"/>
      <c r="AB90" s="471"/>
      <c r="AC90" s="471"/>
      <c r="AD90" s="471"/>
      <c r="AE90" s="471"/>
      <c r="AF90" s="471"/>
      <c r="AG90" s="471"/>
      <c r="AH90" s="471"/>
      <c r="AI90" s="471"/>
      <c r="AJ90" s="471"/>
      <c r="AK90" s="471"/>
      <c r="AL90" s="471"/>
      <c r="AM90" s="471"/>
      <c r="AN90" s="471"/>
      <c r="AO90" s="471"/>
      <c r="AP90" s="471"/>
      <c r="AQ90" s="471"/>
      <c r="AR90" s="471"/>
      <c r="AS90" s="471"/>
      <c r="AT90" s="471"/>
      <c r="AU90" s="471"/>
      <c r="AV90" s="471"/>
      <c r="AW90" s="471"/>
      <c r="AX90" s="471"/>
      <c r="AY90" s="471"/>
      <c r="AZ90" s="471"/>
      <c r="BA90" s="471"/>
      <c r="BB90" s="471"/>
      <c r="BC90" s="471"/>
      <c r="BD90" s="471"/>
      <c r="BE90" s="471"/>
      <c r="BF90" s="471"/>
      <c r="BG90" s="471"/>
      <c r="BH90" s="471"/>
    </row>
    <row r="91" spans="1:60" x14ac:dyDescent="0.25">
      <c r="A91" s="77" t="s">
        <v>14</v>
      </c>
      <c r="B91" s="233">
        <v>54</v>
      </c>
      <c r="C91" s="13">
        <v>71</v>
      </c>
      <c r="D91" s="13">
        <v>76</v>
      </c>
      <c r="E91" s="13">
        <v>91</v>
      </c>
      <c r="F91" s="13">
        <v>148</v>
      </c>
      <c r="G91" s="13">
        <v>94</v>
      </c>
      <c r="H91" s="13">
        <v>45</v>
      </c>
      <c r="I91" s="11">
        <f t="shared" si="33"/>
        <v>579</v>
      </c>
      <c r="J91" s="470">
        <f t="shared" si="34"/>
        <v>82.714285714285708</v>
      </c>
      <c r="K91" s="471"/>
      <c r="L91" s="471"/>
      <c r="M91" s="471"/>
      <c r="N91" s="471"/>
      <c r="O91" s="471"/>
      <c r="P91" s="471"/>
      <c r="Q91" s="471"/>
      <c r="R91" s="471"/>
      <c r="S91" s="471"/>
      <c r="T91" s="471"/>
      <c r="U91" s="471"/>
      <c r="V91" s="471"/>
      <c r="W91" s="471"/>
      <c r="X91" s="471"/>
      <c r="Y91" s="471"/>
      <c r="Z91" s="471"/>
      <c r="AA91" s="471"/>
      <c r="AB91" s="471"/>
      <c r="AC91" s="471"/>
      <c r="AD91" s="471"/>
      <c r="AE91" s="471"/>
      <c r="AF91" s="471"/>
      <c r="AG91" s="471"/>
      <c r="AH91" s="471"/>
      <c r="AI91" s="471"/>
      <c r="AJ91" s="471"/>
      <c r="AK91" s="471"/>
      <c r="AL91" s="471"/>
      <c r="AM91" s="471"/>
      <c r="AN91" s="471"/>
      <c r="AO91" s="471"/>
      <c r="AP91" s="471"/>
      <c r="AQ91" s="471"/>
      <c r="AR91" s="471"/>
      <c r="AS91" s="471"/>
      <c r="AT91" s="471"/>
      <c r="AU91" s="471"/>
      <c r="AV91" s="471"/>
      <c r="AW91" s="471"/>
      <c r="AX91" s="471"/>
      <c r="AY91" s="471"/>
      <c r="AZ91" s="471"/>
      <c r="BA91" s="471"/>
      <c r="BB91" s="471"/>
      <c r="BC91" s="471"/>
      <c r="BD91" s="471"/>
      <c r="BE91" s="471"/>
      <c r="BF91" s="471"/>
      <c r="BG91" s="471"/>
      <c r="BH91" s="471"/>
    </row>
    <row r="92" spans="1:60" x14ac:dyDescent="0.25">
      <c r="A92" s="77" t="s">
        <v>15</v>
      </c>
      <c r="B92" s="233">
        <v>2</v>
      </c>
      <c r="C92" s="13">
        <v>0</v>
      </c>
      <c r="D92" s="13">
        <v>1</v>
      </c>
      <c r="E92" s="13">
        <v>0</v>
      </c>
      <c r="F92" s="13">
        <v>2</v>
      </c>
      <c r="G92" s="13">
        <v>1</v>
      </c>
      <c r="H92" s="13">
        <v>0</v>
      </c>
      <c r="I92" s="11">
        <f t="shared" si="33"/>
        <v>6</v>
      </c>
      <c r="J92" s="470">
        <f t="shared" si="34"/>
        <v>0.8571428571428571</v>
      </c>
      <c r="K92" s="471"/>
      <c r="L92" s="471"/>
      <c r="M92" s="471"/>
      <c r="N92" s="471"/>
      <c r="O92" s="471"/>
      <c r="P92" s="471"/>
      <c r="Q92" s="471"/>
      <c r="R92" s="471"/>
      <c r="S92" s="471"/>
      <c r="T92" s="471"/>
      <c r="U92" s="471"/>
      <c r="V92" s="471"/>
      <c r="W92" s="471"/>
      <c r="X92" s="471"/>
      <c r="Y92" s="471"/>
      <c r="Z92" s="471"/>
      <c r="AA92" s="471"/>
      <c r="AB92" s="471"/>
      <c r="AC92" s="471"/>
      <c r="AD92" s="471"/>
      <c r="AE92" s="471"/>
      <c r="AF92" s="471"/>
      <c r="AG92" s="471"/>
      <c r="AH92" s="471"/>
      <c r="AI92" s="471"/>
      <c r="AJ92" s="471"/>
      <c r="AK92" s="471"/>
      <c r="AL92" s="471"/>
      <c r="AM92" s="471"/>
      <c r="AN92" s="471"/>
      <c r="AO92" s="471"/>
      <c r="AP92" s="471"/>
      <c r="AQ92" s="471"/>
      <c r="AR92" s="471"/>
      <c r="AS92" s="471"/>
      <c r="AT92" s="471"/>
      <c r="AU92" s="471"/>
      <c r="AV92" s="471"/>
      <c r="AW92" s="471"/>
      <c r="AX92" s="471"/>
      <c r="AY92" s="471"/>
      <c r="AZ92" s="471"/>
      <c r="BA92" s="471"/>
      <c r="BB92" s="471"/>
      <c r="BC92" s="471"/>
      <c r="BD92" s="471"/>
      <c r="BE92" s="471"/>
      <c r="BF92" s="471"/>
      <c r="BG92" s="471"/>
      <c r="BH92" s="471"/>
    </row>
    <row r="93" spans="1:60" x14ac:dyDescent="0.25">
      <c r="A93" s="77" t="s">
        <v>16</v>
      </c>
      <c r="B93" s="233">
        <v>0</v>
      </c>
      <c r="C93" s="13">
        <v>0</v>
      </c>
      <c r="D93" s="13">
        <v>0</v>
      </c>
      <c r="E93" s="13">
        <v>0</v>
      </c>
      <c r="F93" s="13">
        <v>3</v>
      </c>
      <c r="G93" s="13">
        <v>0</v>
      </c>
      <c r="H93" s="13">
        <v>0</v>
      </c>
      <c r="I93" s="11">
        <f t="shared" si="33"/>
        <v>3</v>
      </c>
      <c r="J93" s="470">
        <f t="shared" si="34"/>
        <v>0.42857142857142855</v>
      </c>
      <c r="K93" s="471"/>
      <c r="L93" s="471"/>
      <c r="M93" s="471"/>
      <c r="N93" s="471"/>
      <c r="O93" s="471"/>
      <c r="P93" s="471"/>
      <c r="Q93" s="471"/>
      <c r="R93" s="471"/>
      <c r="S93" s="471"/>
      <c r="T93" s="471"/>
      <c r="U93" s="471"/>
      <c r="V93" s="471"/>
      <c r="W93" s="471"/>
      <c r="X93" s="471"/>
      <c r="Y93" s="471"/>
      <c r="Z93" s="471"/>
      <c r="AA93" s="471"/>
      <c r="AB93" s="471"/>
      <c r="AC93" s="471"/>
      <c r="AD93" s="471"/>
      <c r="AE93" s="471"/>
      <c r="AF93" s="471"/>
      <c r="AG93" s="471"/>
      <c r="AH93" s="471"/>
      <c r="AI93" s="471"/>
      <c r="AJ93" s="471"/>
      <c r="AK93" s="471"/>
      <c r="AL93" s="471"/>
      <c r="AM93" s="471"/>
      <c r="AN93" s="471"/>
      <c r="AO93" s="471"/>
      <c r="AP93" s="471"/>
      <c r="AQ93" s="471"/>
      <c r="AR93" s="471"/>
      <c r="AS93" s="471"/>
      <c r="AT93" s="471"/>
      <c r="AU93" s="471"/>
      <c r="AV93" s="471"/>
      <c r="AW93" s="471"/>
      <c r="AX93" s="471"/>
      <c r="AY93" s="471"/>
      <c r="AZ93" s="471"/>
      <c r="BA93" s="471"/>
      <c r="BB93" s="471"/>
      <c r="BC93" s="471"/>
      <c r="BD93" s="471"/>
      <c r="BE93" s="471"/>
      <c r="BF93" s="471"/>
      <c r="BG93" s="471"/>
      <c r="BH93" s="471"/>
    </row>
    <row r="94" spans="1:60" x14ac:dyDescent="0.25">
      <c r="A94" s="79" t="s">
        <v>17</v>
      </c>
      <c r="B94" s="102">
        <f t="shared" ref="B94:I94" si="35">SUM(B89:B93)</f>
        <v>98</v>
      </c>
      <c r="C94" s="102">
        <f t="shared" si="35"/>
        <v>112</v>
      </c>
      <c r="D94" s="102">
        <f t="shared" si="35"/>
        <v>141</v>
      </c>
      <c r="E94" s="102">
        <f t="shared" si="35"/>
        <v>149</v>
      </c>
      <c r="F94" s="102">
        <f t="shared" si="35"/>
        <v>276</v>
      </c>
      <c r="G94" s="79">
        <f t="shared" si="35"/>
        <v>204</v>
      </c>
      <c r="H94" s="79">
        <f t="shared" si="35"/>
        <v>163</v>
      </c>
      <c r="I94" s="472">
        <f t="shared" si="35"/>
        <v>1143</v>
      </c>
      <c r="J94" s="473">
        <f t="shared" si="34"/>
        <v>163.28571428571428</v>
      </c>
      <c r="K94" s="474"/>
      <c r="L94" s="474"/>
      <c r="M94" s="474"/>
      <c r="N94" s="474"/>
      <c r="O94" s="474"/>
      <c r="P94" s="474"/>
      <c r="Q94" s="474"/>
      <c r="R94" s="474"/>
      <c r="S94" s="474"/>
      <c r="T94" s="474"/>
      <c r="U94" s="474"/>
      <c r="V94" s="474"/>
      <c r="W94" s="474"/>
      <c r="X94" s="474"/>
      <c r="Y94" s="474"/>
      <c r="Z94" s="474"/>
      <c r="AA94" s="474"/>
      <c r="AB94" s="474"/>
      <c r="AC94" s="474"/>
      <c r="AD94" s="474"/>
      <c r="AE94" s="474"/>
      <c r="AF94" s="474"/>
      <c r="AG94" s="474"/>
      <c r="AH94" s="474"/>
      <c r="AI94" s="474"/>
      <c r="AJ94" s="474"/>
      <c r="AK94" s="474"/>
      <c r="AL94" s="474"/>
      <c r="AM94" s="474"/>
      <c r="AN94" s="474"/>
      <c r="AO94" s="474"/>
      <c r="AP94" s="474"/>
      <c r="AQ94" s="474"/>
      <c r="AR94" s="474"/>
      <c r="AS94" s="474"/>
      <c r="AT94" s="474"/>
      <c r="AU94" s="474"/>
      <c r="AV94" s="474"/>
      <c r="AW94" s="474"/>
      <c r="AX94" s="474"/>
      <c r="AY94" s="474"/>
      <c r="AZ94" s="474"/>
      <c r="BA94" s="474"/>
      <c r="BB94" s="474"/>
      <c r="BC94" s="474"/>
      <c r="BD94" s="474"/>
      <c r="BE94" s="474"/>
      <c r="BF94" s="474"/>
      <c r="BG94" s="474"/>
      <c r="BH94" s="474"/>
    </row>
    <row r="95" spans="1:60" x14ac:dyDescent="0.25">
      <c r="A95" s="77" t="s">
        <v>18</v>
      </c>
      <c r="B95" s="234">
        <v>0.5</v>
      </c>
      <c r="C95" s="235">
        <v>0.41</v>
      </c>
      <c r="D95" s="235">
        <v>0.48</v>
      </c>
      <c r="E95" s="236">
        <v>0.46</v>
      </c>
      <c r="F95" s="236">
        <v>0.5</v>
      </c>
      <c r="G95" s="236">
        <v>0.54</v>
      </c>
      <c r="H95" s="236">
        <v>0.74</v>
      </c>
      <c r="I95" s="18">
        <f>I102/I107</f>
        <v>0.52542574724782909</v>
      </c>
      <c r="J95" s="475">
        <f>J102/J107</f>
        <v>0.52542574724782909</v>
      </c>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row>
    <row r="96" spans="1:60" x14ac:dyDescent="0.25">
      <c r="A96" s="77" t="s">
        <v>19</v>
      </c>
      <c r="B96" s="234">
        <v>0.01</v>
      </c>
      <c r="C96" s="235">
        <v>0.03</v>
      </c>
      <c r="D96" s="235">
        <v>0.02</v>
      </c>
      <c r="E96" s="236">
        <v>0</v>
      </c>
      <c r="F96" s="236">
        <v>0.01</v>
      </c>
      <c r="G96" s="236">
        <v>0.04</v>
      </c>
      <c r="H96" s="236">
        <v>0.01</v>
      </c>
      <c r="I96" s="18">
        <f>I103/I107</f>
        <v>1.7312773735659717E-2</v>
      </c>
      <c r="J96" s="475">
        <f>J103/J107</f>
        <v>1.7312773735659717E-2</v>
      </c>
      <c r="K96" s="476"/>
      <c r="L96" s="476"/>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row>
    <row r="97" spans="1:60" x14ac:dyDescent="0.25">
      <c r="A97" s="77" t="s">
        <v>20</v>
      </c>
      <c r="B97" s="234">
        <v>0.48</v>
      </c>
      <c r="C97" s="235">
        <v>0.56000000000000005</v>
      </c>
      <c r="D97" s="235">
        <v>0.49</v>
      </c>
      <c r="E97" s="236">
        <v>0.54</v>
      </c>
      <c r="F97" s="236">
        <v>0.47</v>
      </c>
      <c r="G97" s="236">
        <v>0.41</v>
      </c>
      <c r="H97" s="236">
        <v>0.25</v>
      </c>
      <c r="I97" s="18">
        <f>I104/I107</f>
        <v>0.44826562411347048</v>
      </c>
      <c r="J97" s="475">
        <f>J104/J107</f>
        <v>0.44826562411347048</v>
      </c>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row>
    <row r="98" spans="1:60" x14ac:dyDescent="0.25">
      <c r="A98" s="77" t="s">
        <v>21</v>
      </c>
      <c r="B98" s="234">
        <v>0.01</v>
      </c>
      <c r="C98" s="235">
        <v>0</v>
      </c>
      <c r="D98" s="235">
        <v>0.01</v>
      </c>
      <c r="E98" s="236">
        <v>0</v>
      </c>
      <c r="F98" s="236">
        <v>0.01</v>
      </c>
      <c r="G98" s="236">
        <v>0.01</v>
      </c>
      <c r="H98" s="236">
        <v>0</v>
      </c>
      <c r="I98" s="18">
        <f>I105/I107</f>
        <v>6.3880413073723547E-3</v>
      </c>
      <c r="J98" s="475">
        <f>J105/J107</f>
        <v>6.3880413073723547E-3</v>
      </c>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row>
    <row r="99" spans="1:60" x14ac:dyDescent="0.25">
      <c r="A99" s="77" t="s">
        <v>22</v>
      </c>
      <c r="B99" s="234">
        <v>0</v>
      </c>
      <c r="C99" s="235">
        <v>0</v>
      </c>
      <c r="D99" s="235">
        <v>0</v>
      </c>
      <c r="E99" s="236">
        <v>0</v>
      </c>
      <c r="F99" s="236">
        <v>0.01</v>
      </c>
      <c r="G99" s="236">
        <v>0</v>
      </c>
      <c r="H99" s="236">
        <v>0</v>
      </c>
      <c r="I99" s="18">
        <f>I106/I107</f>
        <v>2.6078135956682925E-3</v>
      </c>
      <c r="J99" s="475">
        <f>J106/J107</f>
        <v>2.6078135956682925E-3</v>
      </c>
      <c r="K99" s="476"/>
      <c r="L99" s="476"/>
      <c r="M99" s="476"/>
      <c r="N99" s="476"/>
      <c r="O99" s="476"/>
      <c r="P99" s="476"/>
      <c r="Q99" s="476"/>
      <c r="R99" s="476"/>
      <c r="S99" s="476"/>
      <c r="T99" s="476"/>
      <c r="U99" s="476"/>
      <c r="V99" s="476"/>
      <c r="W99" s="476"/>
      <c r="X99" s="476"/>
      <c r="Y99" s="476"/>
      <c r="Z99" s="476"/>
      <c r="AA99" s="476"/>
      <c r="AB99" s="476"/>
      <c r="AC99" s="476"/>
      <c r="AD99" s="476"/>
      <c r="AE99" s="476"/>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row>
    <row r="100" spans="1:60" x14ac:dyDescent="0.25">
      <c r="A100" s="81" t="s">
        <v>23</v>
      </c>
      <c r="B100" s="409">
        <f t="shared" ref="B100:J100" si="36">B111/B94</f>
        <v>30622.448979591838</v>
      </c>
      <c r="C100" s="409">
        <f t="shared" si="36"/>
        <v>31917.857142857149</v>
      </c>
      <c r="D100" s="409">
        <f t="shared" si="36"/>
        <v>30943.262411347518</v>
      </c>
      <c r="E100" s="409">
        <f t="shared" si="36"/>
        <v>31493.288590604032</v>
      </c>
      <c r="F100" s="409">
        <f t="shared" si="36"/>
        <v>35610.144927536239</v>
      </c>
      <c r="G100" s="130">
        <f t="shared" si="36"/>
        <v>34085.294117647063</v>
      </c>
      <c r="H100" s="130">
        <f t="shared" si="36"/>
        <v>33469.938650306751</v>
      </c>
      <c r="I100" s="359">
        <f t="shared" si="36"/>
        <v>33130.97112860893</v>
      </c>
      <c r="J100" s="477">
        <f t="shared" si="36"/>
        <v>33130.97112860893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8"/>
      <c r="AK100" s="478"/>
      <c r="AL100" s="478"/>
      <c r="AM100" s="478"/>
      <c r="AN100" s="478"/>
      <c r="AO100" s="478"/>
      <c r="AP100" s="478"/>
      <c r="AQ100" s="478"/>
      <c r="AR100" s="478"/>
      <c r="AS100" s="478"/>
      <c r="AT100" s="478"/>
      <c r="AU100" s="478"/>
      <c r="AV100" s="478"/>
      <c r="AW100" s="478"/>
      <c r="AX100" s="478"/>
      <c r="AY100" s="478"/>
      <c r="AZ100" s="478"/>
      <c r="BA100" s="478"/>
      <c r="BB100" s="478"/>
      <c r="BC100" s="478"/>
      <c r="BD100" s="478"/>
      <c r="BE100" s="478"/>
      <c r="BF100" s="478"/>
      <c r="BG100" s="478"/>
      <c r="BH100" s="478"/>
    </row>
    <row r="101" spans="1:60" x14ac:dyDescent="0.25">
      <c r="A101" s="81" t="s">
        <v>24</v>
      </c>
      <c r="B101" s="409">
        <f t="shared" ref="B101:J101" si="37">B111/B88</f>
        <v>28580.952380952382</v>
      </c>
      <c r="C101" s="409">
        <f t="shared" si="37"/>
        <v>28598.400000000005</v>
      </c>
      <c r="D101" s="409">
        <f t="shared" si="37"/>
        <v>27789.808917197453</v>
      </c>
      <c r="E101" s="409">
        <f t="shared" si="37"/>
        <v>30669.934640522883</v>
      </c>
      <c r="F101" s="409">
        <f t="shared" si="37"/>
        <v>31501.282051282058</v>
      </c>
      <c r="G101" s="130">
        <f t="shared" si="37"/>
        <v>32043.317972350236</v>
      </c>
      <c r="H101" s="130">
        <f t="shared" si="37"/>
        <v>30308.888888888891</v>
      </c>
      <c r="I101" s="359">
        <f t="shared" si="37"/>
        <v>30319.215372297844</v>
      </c>
      <c r="J101" s="477">
        <f t="shared" si="37"/>
        <v>30319.215372297844</v>
      </c>
      <c r="K101" s="478"/>
      <c r="L101" s="478"/>
      <c r="M101" s="478"/>
      <c r="N101" s="478"/>
      <c r="O101" s="478"/>
      <c r="P101" s="478"/>
      <c r="Q101" s="478"/>
      <c r="R101" s="478"/>
      <c r="S101" s="478"/>
      <c r="T101" s="478"/>
      <c r="U101" s="478"/>
      <c r="V101" s="478"/>
      <c r="W101" s="478"/>
      <c r="X101" s="478"/>
      <c r="Y101" s="478"/>
      <c r="Z101" s="478"/>
      <c r="AA101" s="478"/>
      <c r="AB101" s="478"/>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row>
    <row r="102" spans="1:60" x14ac:dyDescent="0.25">
      <c r="A102" s="77" t="s">
        <v>25</v>
      </c>
      <c r="B102" s="255">
        <f t="shared" ref="B102:H102" si="38">B107*B95</f>
        <v>1249356.9827586208</v>
      </c>
      <c r="C102" s="255">
        <f t="shared" si="38"/>
        <v>1229048.4465517243</v>
      </c>
      <c r="D102" s="255">
        <f t="shared" si="38"/>
        <v>1742280.9103448277</v>
      </c>
      <c r="E102" s="255">
        <f t="shared" si="38"/>
        <v>1803323.5655172416</v>
      </c>
      <c r="F102" s="255">
        <f t="shared" si="38"/>
        <v>4104924.3103448283</v>
      </c>
      <c r="G102" s="92">
        <f t="shared" si="38"/>
        <v>3117066.4862068971</v>
      </c>
      <c r="H102" s="92">
        <f t="shared" si="38"/>
        <v>3295311.351724138</v>
      </c>
      <c r="I102" s="108">
        <f>SUM(B102:H102)</f>
        <v>16541312.053448278</v>
      </c>
      <c r="J102" s="479">
        <f t="shared" ref="J102:J107" si="39">+$I102/7</f>
        <v>2363044.57906404</v>
      </c>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c r="AO102" s="480"/>
      <c r="AP102" s="480"/>
      <c r="AQ102" s="480"/>
      <c r="AR102" s="480"/>
      <c r="AS102" s="480"/>
      <c r="AT102" s="480"/>
      <c r="AU102" s="480"/>
      <c r="AV102" s="480"/>
      <c r="AW102" s="480"/>
      <c r="AX102" s="480"/>
      <c r="AY102" s="480"/>
      <c r="AZ102" s="480"/>
      <c r="BA102" s="480"/>
      <c r="BB102" s="480"/>
      <c r="BC102" s="480"/>
      <c r="BD102" s="480"/>
      <c r="BE102" s="480"/>
      <c r="BF102" s="480"/>
      <c r="BG102" s="480"/>
      <c r="BH102" s="480"/>
    </row>
    <row r="103" spans="1:60" x14ac:dyDescent="0.25">
      <c r="A103" s="77" t="s">
        <v>26</v>
      </c>
      <c r="B103" s="255">
        <f t="shared" ref="B103:H103" si="40">B107*B96</f>
        <v>24987.139655172417</v>
      </c>
      <c r="C103" s="255">
        <f t="shared" si="40"/>
        <v>89930.374137931038</v>
      </c>
      <c r="D103" s="255">
        <f t="shared" si="40"/>
        <v>72595.037931034487</v>
      </c>
      <c r="E103" s="255">
        <f t="shared" si="40"/>
        <v>0</v>
      </c>
      <c r="F103" s="255">
        <f t="shared" si="40"/>
        <v>82098.486206896574</v>
      </c>
      <c r="G103" s="92">
        <f t="shared" si="40"/>
        <v>230893.81379310347</v>
      </c>
      <c r="H103" s="92">
        <f t="shared" si="40"/>
        <v>44531.23448275862</v>
      </c>
      <c r="I103" s="108">
        <f>SUM(B103:H103)</f>
        <v>545036.0862068967</v>
      </c>
      <c r="J103" s="479">
        <f t="shared" si="39"/>
        <v>77862.298029556667</v>
      </c>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c r="AY103" s="480"/>
      <c r="AZ103" s="480"/>
      <c r="BA103" s="480"/>
      <c r="BB103" s="480"/>
      <c r="BC103" s="480"/>
      <c r="BD103" s="480"/>
      <c r="BE103" s="480"/>
      <c r="BF103" s="480"/>
      <c r="BG103" s="480"/>
      <c r="BH103" s="480"/>
    </row>
    <row r="104" spans="1:60" x14ac:dyDescent="0.25">
      <c r="A104" s="77" t="s">
        <v>27</v>
      </c>
      <c r="B104" s="255">
        <f t="shared" ref="B104:H104" si="41">B107*B97</f>
        <v>1199382.7034482758</v>
      </c>
      <c r="C104" s="255">
        <f t="shared" si="41"/>
        <v>1678700.3172413798</v>
      </c>
      <c r="D104" s="255">
        <f t="shared" si="41"/>
        <v>1778578.4293103451</v>
      </c>
      <c r="E104" s="255">
        <f t="shared" si="41"/>
        <v>2116945.0551724141</v>
      </c>
      <c r="F104" s="255">
        <f t="shared" si="41"/>
        <v>3858628.8517241385</v>
      </c>
      <c r="G104" s="92">
        <f t="shared" si="41"/>
        <v>2366661.5913793105</v>
      </c>
      <c r="H104" s="92">
        <f t="shared" si="41"/>
        <v>1113280.8620689656</v>
      </c>
      <c r="I104" s="108">
        <f>SUM(B104:H104)</f>
        <v>14112177.81034483</v>
      </c>
      <c r="J104" s="479">
        <f t="shared" si="39"/>
        <v>2016025.4014778328</v>
      </c>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c r="AR104" s="480"/>
      <c r="AS104" s="480"/>
      <c r="AT104" s="480"/>
      <c r="AU104" s="480"/>
      <c r="AV104" s="480"/>
      <c r="AW104" s="480"/>
      <c r="AX104" s="480"/>
      <c r="AY104" s="480"/>
      <c r="AZ104" s="480"/>
      <c r="BA104" s="480"/>
      <c r="BB104" s="480"/>
      <c r="BC104" s="480"/>
      <c r="BD104" s="480"/>
      <c r="BE104" s="480"/>
      <c r="BF104" s="480"/>
      <c r="BG104" s="480"/>
      <c r="BH104" s="480"/>
    </row>
    <row r="105" spans="1:60" x14ac:dyDescent="0.25">
      <c r="A105" s="77" t="s">
        <v>28</v>
      </c>
      <c r="B105" s="255">
        <f t="shared" ref="B105:H105" si="42">B107*B98</f>
        <v>24987.139655172417</v>
      </c>
      <c r="C105" s="255">
        <f t="shared" si="42"/>
        <v>0</v>
      </c>
      <c r="D105" s="255">
        <f t="shared" si="42"/>
        <v>36297.518965517243</v>
      </c>
      <c r="E105" s="255">
        <f t="shared" si="42"/>
        <v>0</v>
      </c>
      <c r="F105" s="255">
        <f t="shared" si="42"/>
        <v>82098.486206896574</v>
      </c>
      <c r="G105" s="92">
        <f t="shared" si="42"/>
        <v>57723.453448275868</v>
      </c>
      <c r="H105" s="92">
        <f t="shared" si="42"/>
        <v>0</v>
      </c>
      <c r="I105" s="108">
        <f>SUM(B105:H105)</f>
        <v>201106.59827586211</v>
      </c>
      <c r="J105" s="479">
        <f t="shared" si="39"/>
        <v>28729.514039408874</v>
      </c>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c r="AO105" s="480"/>
      <c r="AP105" s="480"/>
      <c r="AQ105" s="480"/>
      <c r="AR105" s="480"/>
      <c r="AS105" s="480"/>
      <c r="AT105" s="480"/>
      <c r="AU105" s="480"/>
      <c r="AV105" s="480"/>
      <c r="AW105" s="480"/>
      <c r="AX105" s="480"/>
      <c r="AY105" s="480"/>
      <c r="AZ105" s="480"/>
      <c r="BA105" s="480"/>
      <c r="BB105" s="480"/>
      <c r="BC105" s="480"/>
      <c r="BD105" s="480"/>
      <c r="BE105" s="480"/>
      <c r="BF105" s="480"/>
      <c r="BG105" s="480"/>
      <c r="BH105" s="480"/>
    </row>
    <row r="106" spans="1:60" x14ac:dyDescent="0.25">
      <c r="A106" s="77" t="s">
        <v>29</v>
      </c>
      <c r="B106" s="255">
        <f t="shared" ref="B106:H106" si="43">B107*B99</f>
        <v>0</v>
      </c>
      <c r="C106" s="255">
        <f t="shared" si="43"/>
        <v>0</v>
      </c>
      <c r="D106" s="255">
        <f t="shared" si="43"/>
        <v>0</v>
      </c>
      <c r="E106" s="255">
        <f t="shared" si="43"/>
        <v>0</v>
      </c>
      <c r="F106" s="255">
        <f t="shared" si="43"/>
        <v>82098.486206896574</v>
      </c>
      <c r="G106" s="92">
        <f t="shared" si="43"/>
        <v>0</v>
      </c>
      <c r="H106" s="92">
        <f t="shared" si="43"/>
        <v>0</v>
      </c>
      <c r="I106" s="108">
        <f>SUM(B106:H106)</f>
        <v>82098.486206896574</v>
      </c>
      <c r="J106" s="479">
        <f t="shared" si="39"/>
        <v>11728.355172413796</v>
      </c>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c r="AO106" s="480"/>
      <c r="AP106" s="480"/>
      <c r="AQ106" s="480"/>
      <c r="AR106" s="480"/>
      <c r="AS106" s="480"/>
      <c r="AT106" s="480"/>
      <c r="AU106" s="480"/>
      <c r="AV106" s="480"/>
      <c r="AW106" s="480"/>
      <c r="AX106" s="480"/>
      <c r="AY106" s="480"/>
      <c r="AZ106" s="480"/>
      <c r="BA106" s="480"/>
      <c r="BB106" s="480"/>
      <c r="BC106" s="480"/>
      <c r="BD106" s="480"/>
      <c r="BE106" s="480"/>
      <c r="BF106" s="480"/>
      <c r="BG106" s="480"/>
      <c r="BH106" s="480"/>
    </row>
    <row r="107" spans="1:60" x14ac:dyDescent="0.25">
      <c r="A107" s="82" t="s">
        <v>30</v>
      </c>
      <c r="B107" s="222">
        <f>(3001000/1.16)-B108</f>
        <v>2498713.9655172415</v>
      </c>
      <c r="C107" s="222">
        <f>(3574800/1.16)-C108</f>
        <v>2997679.1379310349</v>
      </c>
      <c r="D107" s="222">
        <f>(4363000/1.16)-D108</f>
        <v>3629751.8965517245</v>
      </c>
      <c r="E107" s="222">
        <f>(4692500/1.16)-E108</f>
        <v>3920268.6206896557</v>
      </c>
      <c r="F107" s="222">
        <f>(9828400/1.16)-F108</f>
        <v>8209848.6206896566</v>
      </c>
      <c r="G107" s="222">
        <f>(6953400/1.16)-G108</f>
        <v>5772345.3448275868</v>
      </c>
      <c r="H107" s="222">
        <f>(5455600/1.16)-H108</f>
        <v>4453123.4482758623</v>
      </c>
      <c r="I107" s="111">
        <f>SUM(I102:I106)</f>
        <v>31481731.034482766</v>
      </c>
      <c r="J107" s="481">
        <f t="shared" si="39"/>
        <v>4497390.1477832524</v>
      </c>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c r="AR107" s="480"/>
      <c r="AS107" s="480"/>
      <c r="AT107" s="480"/>
      <c r="AU107" s="480"/>
      <c r="AV107" s="480"/>
      <c r="AW107" s="480"/>
      <c r="AX107" s="480"/>
      <c r="AY107" s="480"/>
      <c r="AZ107" s="480"/>
      <c r="BA107" s="480"/>
      <c r="BB107" s="480"/>
      <c r="BC107" s="480"/>
      <c r="BD107" s="480"/>
      <c r="BE107" s="480"/>
      <c r="BF107" s="480"/>
      <c r="BG107" s="480"/>
      <c r="BH107" s="480"/>
    </row>
    <row r="108" spans="1:60" x14ac:dyDescent="0.25">
      <c r="A108" s="77" t="s">
        <v>31</v>
      </c>
      <c r="B108" s="263">
        <f t="shared" ref="B108:H108" si="44">2155*B89</f>
        <v>88355</v>
      </c>
      <c r="C108" s="263">
        <f t="shared" si="44"/>
        <v>84045</v>
      </c>
      <c r="D108" s="263">
        <f t="shared" si="44"/>
        <v>131455</v>
      </c>
      <c r="E108" s="263">
        <f t="shared" si="44"/>
        <v>124990</v>
      </c>
      <c r="F108" s="263">
        <f t="shared" si="44"/>
        <v>262910</v>
      </c>
      <c r="G108" s="94">
        <f t="shared" si="44"/>
        <v>221965</v>
      </c>
      <c r="H108" s="94">
        <f t="shared" si="44"/>
        <v>249980</v>
      </c>
      <c r="I108" s="109">
        <f>I89*2155</f>
        <v>1163700</v>
      </c>
      <c r="J108" s="482">
        <f>2155*J89</f>
        <v>166242.85714285713</v>
      </c>
      <c r="K108" s="483"/>
      <c r="L108" s="483"/>
      <c r="M108" s="483"/>
      <c r="N108" s="483"/>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K108" s="483"/>
      <c r="AL108" s="483"/>
      <c r="AM108" s="483"/>
      <c r="AN108" s="483"/>
      <c r="AO108" s="483"/>
      <c r="AP108" s="483"/>
      <c r="AQ108" s="483"/>
      <c r="AR108" s="483"/>
      <c r="AS108" s="483"/>
      <c r="AT108" s="483"/>
      <c r="AU108" s="483"/>
      <c r="AV108" s="483"/>
      <c r="AW108" s="483"/>
      <c r="AX108" s="483"/>
      <c r="AY108" s="483"/>
      <c r="AZ108" s="483"/>
      <c r="BA108" s="483"/>
      <c r="BB108" s="483"/>
      <c r="BC108" s="483"/>
      <c r="BD108" s="483"/>
      <c r="BE108" s="483"/>
      <c r="BF108" s="483"/>
      <c r="BG108" s="483"/>
      <c r="BH108" s="483"/>
    </row>
    <row r="109" spans="1:60" x14ac:dyDescent="0.25">
      <c r="A109" s="83" t="s">
        <v>32</v>
      </c>
      <c r="B109" s="411">
        <f t="shared" ref="B109:J109" si="45">B107+B108</f>
        <v>2587068.9655172415</v>
      </c>
      <c r="C109" s="411">
        <f t="shared" si="45"/>
        <v>3081724.1379310349</v>
      </c>
      <c r="D109" s="411">
        <f t="shared" si="45"/>
        <v>3761206.8965517245</v>
      </c>
      <c r="E109" s="411">
        <f t="shared" si="45"/>
        <v>4045258.6206896557</v>
      </c>
      <c r="F109" s="411">
        <f t="shared" si="45"/>
        <v>8472758.6206896566</v>
      </c>
      <c r="G109" s="39">
        <f t="shared" si="45"/>
        <v>5994310.3448275868</v>
      </c>
      <c r="H109" s="39">
        <f t="shared" si="45"/>
        <v>4703103.4482758623</v>
      </c>
      <c r="I109" s="412">
        <f t="shared" si="45"/>
        <v>32645431.034482766</v>
      </c>
      <c r="J109" s="484">
        <f t="shared" si="45"/>
        <v>4663633.0049261097</v>
      </c>
      <c r="K109" s="485"/>
      <c r="L109" s="485"/>
      <c r="M109" s="485"/>
      <c r="N109" s="485"/>
      <c r="O109" s="485"/>
      <c r="P109" s="485"/>
      <c r="Q109" s="485"/>
      <c r="R109" s="485"/>
      <c r="S109" s="485"/>
      <c r="T109" s="485"/>
      <c r="U109" s="485"/>
      <c r="V109" s="485"/>
      <c r="W109" s="485"/>
      <c r="X109" s="485"/>
      <c r="Y109" s="485"/>
      <c r="Z109" s="485"/>
      <c r="AA109" s="485"/>
      <c r="AB109" s="485"/>
      <c r="AC109" s="485"/>
      <c r="AD109" s="485"/>
      <c r="AE109" s="485"/>
      <c r="AF109" s="485"/>
      <c r="AG109" s="485"/>
      <c r="AH109" s="485"/>
      <c r="AI109" s="485"/>
      <c r="AJ109" s="485"/>
      <c r="AK109" s="485"/>
      <c r="AL109" s="485"/>
      <c r="AM109" s="485"/>
      <c r="AN109" s="485"/>
      <c r="AO109" s="485"/>
      <c r="AP109" s="485"/>
      <c r="AQ109" s="485"/>
      <c r="AR109" s="485"/>
      <c r="AS109" s="485"/>
      <c r="AT109" s="485"/>
      <c r="AU109" s="485"/>
      <c r="AV109" s="485"/>
      <c r="AW109" s="485"/>
      <c r="AX109" s="485"/>
      <c r="AY109" s="485"/>
      <c r="AZ109" s="485"/>
      <c r="BA109" s="485"/>
      <c r="BB109" s="485"/>
      <c r="BC109" s="485"/>
      <c r="BD109" s="485"/>
      <c r="BE109" s="485"/>
      <c r="BF109" s="485"/>
      <c r="BG109" s="485"/>
      <c r="BH109" s="485"/>
    </row>
    <row r="110" spans="1:60" x14ac:dyDescent="0.25">
      <c r="A110" s="77" t="s">
        <v>33</v>
      </c>
      <c r="B110" s="413">
        <f t="shared" ref="B110:J110" si="46">B109*16%</f>
        <v>413931.03448275867</v>
      </c>
      <c r="C110" s="413">
        <f t="shared" si="46"/>
        <v>493075.86206896557</v>
      </c>
      <c r="D110" s="413">
        <f t="shared" si="46"/>
        <v>601793.10344827594</v>
      </c>
      <c r="E110" s="413">
        <f t="shared" si="46"/>
        <v>647241.37931034493</v>
      </c>
      <c r="F110" s="413">
        <f t="shared" si="46"/>
        <v>1355641.379310345</v>
      </c>
      <c r="G110" s="41">
        <f t="shared" si="46"/>
        <v>959089.65517241391</v>
      </c>
      <c r="H110" s="41">
        <f t="shared" si="46"/>
        <v>752496.55172413797</v>
      </c>
      <c r="I110" s="414">
        <f t="shared" si="46"/>
        <v>5223268.9655172424</v>
      </c>
      <c r="J110" s="486">
        <f t="shared" si="46"/>
        <v>746181.28078817751</v>
      </c>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row>
    <row r="111" spans="1:60" x14ac:dyDescent="0.25">
      <c r="A111" s="142" t="s">
        <v>34</v>
      </c>
      <c r="B111" s="438">
        <f t="shared" ref="B111:I111" si="47">B109+B110</f>
        <v>3001000</v>
      </c>
      <c r="C111" s="438">
        <f t="shared" si="47"/>
        <v>3574800.0000000005</v>
      </c>
      <c r="D111" s="438">
        <f t="shared" si="47"/>
        <v>4363000</v>
      </c>
      <c r="E111" s="438">
        <f t="shared" si="47"/>
        <v>4692500.0000000009</v>
      </c>
      <c r="F111" s="438">
        <f t="shared" si="47"/>
        <v>9828400.0000000019</v>
      </c>
      <c r="G111" s="144">
        <f t="shared" si="47"/>
        <v>6953400.0000000009</v>
      </c>
      <c r="H111" s="144">
        <f t="shared" si="47"/>
        <v>5455600</v>
      </c>
      <c r="I111" s="440">
        <f t="shared" si="47"/>
        <v>37868700.000000007</v>
      </c>
      <c r="J111" s="488">
        <f>+$I111/7</f>
        <v>5409814.2857142864</v>
      </c>
      <c r="K111" s="489"/>
      <c r="L111" s="489"/>
      <c r="M111" s="489"/>
      <c r="N111" s="489"/>
      <c r="O111" s="489"/>
      <c r="P111" s="489"/>
      <c r="Q111" s="489"/>
      <c r="R111" s="489"/>
      <c r="S111" s="489"/>
      <c r="T111" s="489"/>
      <c r="U111" s="489"/>
      <c r="V111" s="489"/>
      <c r="W111" s="489"/>
      <c r="X111" s="489"/>
      <c r="Y111" s="489"/>
      <c r="Z111" s="489"/>
      <c r="AA111" s="489"/>
      <c r="AB111" s="489"/>
      <c r="AC111" s="489"/>
      <c r="AD111" s="489"/>
      <c r="AE111" s="489"/>
      <c r="AF111" s="489"/>
      <c r="AG111" s="489"/>
      <c r="AH111" s="489"/>
      <c r="AI111" s="489"/>
      <c r="AJ111" s="489"/>
      <c r="AK111" s="489"/>
      <c r="AL111" s="489"/>
      <c r="AM111" s="489"/>
      <c r="AN111" s="489"/>
      <c r="AO111" s="489"/>
      <c r="AP111" s="489"/>
      <c r="AQ111" s="489"/>
      <c r="AR111" s="489"/>
      <c r="AS111" s="489"/>
      <c r="AT111" s="489"/>
      <c r="AU111" s="489"/>
      <c r="AV111" s="489"/>
      <c r="AW111" s="489"/>
      <c r="AX111" s="489"/>
      <c r="AY111" s="489"/>
      <c r="AZ111" s="489"/>
      <c r="BA111" s="489"/>
      <c r="BB111" s="489"/>
      <c r="BC111" s="489"/>
      <c r="BD111" s="489"/>
      <c r="BE111" s="489"/>
      <c r="BF111" s="489"/>
      <c r="BG111" s="489"/>
      <c r="BH111" s="489"/>
    </row>
    <row r="114" spans="1:60" ht="26.25" x14ac:dyDescent="0.25">
      <c r="A114" s="85"/>
      <c r="B114" s="1002" t="s">
        <v>357</v>
      </c>
      <c r="C114" s="1002"/>
      <c r="D114" s="1002"/>
      <c r="E114" s="1002"/>
      <c r="F114" s="1002"/>
      <c r="G114" s="1002"/>
      <c r="H114" s="1002"/>
      <c r="I114" s="1002"/>
    </row>
    <row r="115" spans="1:60" ht="15.75" x14ac:dyDescent="0.25">
      <c r="A115" s="72" t="s">
        <v>2</v>
      </c>
      <c r="B115" s="429" t="s">
        <v>249</v>
      </c>
      <c r="C115" s="51" t="s">
        <v>250</v>
      </c>
      <c r="D115" s="349" t="s">
        <v>251</v>
      </c>
      <c r="E115" s="51" t="s">
        <v>220</v>
      </c>
      <c r="F115" s="51" t="s">
        <v>221</v>
      </c>
      <c r="G115" s="349" t="s">
        <v>222</v>
      </c>
      <c r="H115" s="349" t="s">
        <v>223</v>
      </c>
      <c r="I115" s="153" t="s">
        <v>10</v>
      </c>
      <c r="J115" s="490" t="s">
        <v>77</v>
      </c>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c r="AP115" s="466"/>
      <c r="AQ115" s="466"/>
      <c r="AR115" s="466"/>
      <c r="AS115" s="466"/>
      <c r="AT115" s="466"/>
      <c r="AU115" s="466"/>
      <c r="AV115" s="466"/>
      <c r="AW115" s="466"/>
      <c r="AX115" s="466"/>
      <c r="AY115" s="466"/>
      <c r="AZ115" s="466"/>
      <c r="BA115" s="466"/>
      <c r="BB115" s="466"/>
      <c r="BC115" s="466"/>
      <c r="BD115" s="466"/>
      <c r="BE115" s="466"/>
      <c r="BF115" s="466"/>
      <c r="BG115" s="466"/>
      <c r="BH115" s="466"/>
    </row>
    <row r="116" spans="1:60" x14ac:dyDescent="0.25">
      <c r="A116" s="430" t="s">
        <v>11</v>
      </c>
      <c r="B116" s="433">
        <v>96</v>
      </c>
      <c r="C116" s="75">
        <v>157</v>
      </c>
      <c r="D116" s="75">
        <v>121</v>
      </c>
      <c r="E116" s="75">
        <v>144</v>
      </c>
      <c r="F116" s="75">
        <v>249</v>
      </c>
      <c r="G116" s="75">
        <v>215</v>
      </c>
      <c r="H116" s="75">
        <v>182</v>
      </c>
      <c r="I116" s="467">
        <f t="shared" ref="I116:I121" si="48">SUM(B116:H116)</f>
        <v>1164</v>
      </c>
      <c r="J116" s="468">
        <f>+$I116/7</f>
        <v>166.28571428571428</v>
      </c>
      <c r="K116" s="469"/>
      <c r="L116" s="469"/>
      <c r="M116" s="469"/>
      <c r="N116" s="469"/>
      <c r="O116" s="469"/>
      <c r="P116" s="469"/>
      <c r="Q116" s="469"/>
      <c r="R116" s="469"/>
      <c r="S116" s="469"/>
      <c r="T116" s="469"/>
      <c r="U116" s="469"/>
      <c r="V116" s="469"/>
      <c r="W116" s="469"/>
      <c r="X116" s="469"/>
      <c r="Y116" s="469"/>
      <c r="Z116" s="469"/>
      <c r="AA116" s="469"/>
      <c r="AB116" s="469"/>
      <c r="AC116" s="469"/>
      <c r="AD116" s="469"/>
      <c r="AE116" s="469"/>
      <c r="AF116" s="469"/>
      <c r="AG116" s="469"/>
      <c r="AH116" s="469"/>
      <c r="AI116" s="469"/>
      <c r="AJ116" s="469"/>
      <c r="AK116" s="469"/>
      <c r="AL116" s="469"/>
      <c r="AM116" s="469"/>
      <c r="AN116" s="469"/>
      <c r="AO116" s="469"/>
      <c r="AP116" s="469"/>
      <c r="AQ116" s="469"/>
      <c r="AR116" s="469"/>
      <c r="AS116" s="469"/>
      <c r="AT116" s="469"/>
      <c r="AU116" s="469"/>
      <c r="AV116" s="469"/>
      <c r="AW116" s="469"/>
      <c r="AX116" s="469"/>
      <c r="AY116" s="469"/>
      <c r="AZ116" s="469"/>
      <c r="BA116" s="469"/>
      <c r="BB116" s="469"/>
      <c r="BC116" s="469"/>
      <c r="BD116" s="469"/>
      <c r="BE116" s="469"/>
      <c r="BF116" s="469"/>
      <c r="BG116" s="469"/>
      <c r="BH116" s="469"/>
    </row>
    <row r="117" spans="1:60" x14ac:dyDescent="0.25">
      <c r="A117" s="77" t="s">
        <v>12</v>
      </c>
      <c r="B117" s="233">
        <v>35</v>
      </c>
      <c r="C117" s="13">
        <v>57</v>
      </c>
      <c r="D117" s="13">
        <v>46</v>
      </c>
      <c r="E117" s="13">
        <v>50</v>
      </c>
      <c r="F117" s="13">
        <v>108</v>
      </c>
      <c r="G117" s="13">
        <v>103</v>
      </c>
      <c r="H117" s="13">
        <v>106</v>
      </c>
      <c r="I117" s="11">
        <f t="shared" si="48"/>
        <v>505</v>
      </c>
      <c r="J117" s="470">
        <f t="shared" ref="J117:J122" si="49">+$I117/7</f>
        <v>72.142857142857139</v>
      </c>
      <c r="K117" s="471"/>
      <c r="L117" s="471"/>
      <c r="M117" s="471"/>
      <c r="N117" s="471"/>
      <c r="O117" s="471"/>
      <c r="P117" s="471"/>
      <c r="Q117" s="471"/>
      <c r="R117" s="471"/>
      <c r="S117" s="471"/>
      <c r="T117" s="471"/>
      <c r="U117" s="471"/>
      <c r="V117" s="471"/>
      <c r="W117" s="471"/>
      <c r="X117" s="471"/>
      <c r="Y117" s="471"/>
      <c r="Z117" s="471"/>
      <c r="AA117" s="471"/>
      <c r="AB117" s="471"/>
      <c r="AC117" s="471"/>
      <c r="AD117" s="471"/>
      <c r="AE117" s="471"/>
      <c r="AF117" s="471"/>
      <c r="AG117" s="471"/>
      <c r="AH117" s="471"/>
      <c r="AI117" s="471"/>
      <c r="AJ117" s="471"/>
      <c r="AK117" s="471"/>
      <c r="AL117" s="471"/>
      <c r="AM117" s="471"/>
      <c r="AN117" s="471"/>
      <c r="AO117" s="471"/>
      <c r="AP117" s="471"/>
      <c r="AQ117" s="471"/>
      <c r="AR117" s="471"/>
      <c r="AS117" s="471"/>
      <c r="AT117" s="471"/>
      <c r="AU117" s="471"/>
      <c r="AV117" s="471"/>
      <c r="AW117" s="471"/>
      <c r="AX117" s="471"/>
      <c r="AY117" s="471"/>
      <c r="AZ117" s="471"/>
      <c r="BA117" s="471"/>
      <c r="BB117" s="471"/>
      <c r="BC117" s="471"/>
      <c r="BD117" s="471"/>
      <c r="BE117" s="471"/>
      <c r="BF117" s="471"/>
      <c r="BG117" s="471"/>
      <c r="BH117" s="471"/>
    </row>
    <row r="118" spans="1:60" x14ac:dyDescent="0.25">
      <c r="A118" s="77" t="s">
        <v>13</v>
      </c>
      <c r="B118" s="233">
        <v>1</v>
      </c>
      <c r="C118" s="13">
        <v>0</v>
      </c>
      <c r="D118" s="13">
        <v>1</v>
      </c>
      <c r="E118" s="13">
        <v>1</v>
      </c>
      <c r="F118" s="13">
        <v>4</v>
      </c>
      <c r="G118" s="13">
        <v>0</v>
      </c>
      <c r="H118" s="13">
        <v>1</v>
      </c>
      <c r="I118" s="11">
        <f t="shared" si="48"/>
        <v>8</v>
      </c>
      <c r="J118" s="470">
        <f t="shared" si="49"/>
        <v>1.1428571428571428</v>
      </c>
      <c r="K118" s="471"/>
      <c r="L118" s="471"/>
      <c r="M118" s="471"/>
      <c r="N118" s="471"/>
      <c r="O118" s="471"/>
      <c r="P118" s="471"/>
      <c r="Q118" s="471"/>
      <c r="R118" s="471"/>
      <c r="S118" s="471"/>
      <c r="T118" s="471"/>
      <c r="U118" s="471"/>
      <c r="V118" s="471"/>
      <c r="W118" s="471"/>
      <c r="X118" s="471"/>
      <c r="Y118" s="471"/>
      <c r="Z118" s="471"/>
      <c r="AA118" s="471"/>
      <c r="AB118" s="471"/>
      <c r="AC118" s="471"/>
      <c r="AD118" s="471"/>
      <c r="AE118" s="471"/>
      <c r="AF118" s="471"/>
      <c r="AG118" s="471"/>
      <c r="AH118" s="471"/>
      <c r="AI118" s="471"/>
      <c r="AJ118" s="471"/>
      <c r="AK118" s="471"/>
      <c r="AL118" s="471"/>
      <c r="AM118" s="471"/>
      <c r="AN118" s="471"/>
      <c r="AO118" s="471"/>
      <c r="AP118" s="471"/>
      <c r="AQ118" s="471"/>
      <c r="AR118" s="471"/>
      <c r="AS118" s="471"/>
      <c r="AT118" s="471"/>
      <c r="AU118" s="471"/>
      <c r="AV118" s="471"/>
      <c r="AW118" s="471"/>
      <c r="AX118" s="471"/>
      <c r="AY118" s="471"/>
      <c r="AZ118" s="471"/>
      <c r="BA118" s="471"/>
      <c r="BB118" s="471"/>
      <c r="BC118" s="471"/>
      <c r="BD118" s="471"/>
      <c r="BE118" s="471"/>
      <c r="BF118" s="471"/>
      <c r="BG118" s="471"/>
      <c r="BH118" s="471"/>
    </row>
    <row r="119" spans="1:60" x14ac:dyDescent="0.25">
      <c r="A119" s="77" t="s">
        <v>14</v>
      </c>
      <c r="B119" s="233">
        <v>54</v>
      </c>
      <c r="C119" s="13">
        <v>91</v>
      </c>
      <c r="D119" s="13">
        <v>66</v>
      </c>
      <c r="E119" s="13">
        <v>83</v>
      </c>
      <c r="F119" s="13">
        <v>122</v>
      </c>
      <c r="G119" s="13">
        <v>83</v>
      </c>
      <c r="H119" s="13">
        <v>58</v>
      </c>
      <c r="I119" s="11">
        <f t="shared" si="48"/>
        <v>557</v>
      </c>
      <c r="J119" s="470">
        <f t="shared" si="49"/>
        <v>79.571428571428569</v>
      </c>
      <c r="K119" s="471"/>
      <c r="L119" s="471"/>
      <c r="M119" s="471"/>
      <c r="N119" s="471"/>
      <c r="O119" s="471"/>
      <c r="P119" s="471"/>
      <c r="Q119" s="471"/>
      <c r="R119" s="471"/>
      <c r="S119" s="471"/>
      <c r="T119" s="471"/>
      <c r="U119" s="471"/>
      <c r="V119" s="471"/>
      <c r="W119" s="471"/>
      <c r="X119" s="471"/>
      <c r="Y119" s="471"/>
      <c r="Z119" s="471"/>
      <c r="AA119" s="471"/>
      <c r="AB119" s="471"/>
      <c r="AC119" s="471"/>
      <c r="AD119" s="471"/>
      <c r="AE119" s="471"/>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row>
    <row r="120" spans="1:60" x14ac:dyDescent="0.25">
      <c r="A120" s="77" t="s">
        <v>15</v>
      </c>
      <c r="B120" s="233">
        <v>0</v>
      </c>
      <c r="C120" s="13">
        <v>1</v>
      </c>
      <c r="D120" s="13">
        <v>1</v>
      </c>
      <c r="E120" s="13">
        <v>0</v>
      </c>
      <c r="F120" s="13">
        <v>0</v>
      </c>
      <c r="G120" s="13">
        <v>1</v>
      </c>
      <c r="H120" s="13">
        <v>0</v>
      </c>
      <c r="I120" s="11">
        <f t="shared" si="48"/>
        <v>3</v>
      </c>
      <c r="J120" s="470">
        <f t="shared" si="49"/>
        <v>0.42857142857142855</v>
      </c>
      <c r="K120" s="471"/>
      <c r="L120" s="471"/>
      <c r="M120" s="471"/>
      <c r="N120" s="471"/>
      <c r="O120" s="471"/>
      <c r="P120" s="471"/>
      <c r="Q120" s="471"/>
      <c r="R120" s="471"/>
      <c r="S120" s="471"/>
      <c r="T120" s="471"/>
      <c r="U120" s="471"/>
      <c r="V120" s="471"/>
      <c r="W120" s="471"/>
      <c r="X120" s="471"/>
      <c r="Y120" s="471"/>
      <c r="Z120" s="471"/>
      <c r="AA120" s="471"/>
      <c r="AB120" s="471"/>
      <c r="AC120" s="471"/>
      <c r="AD120" s="471"/>
      <c r="AE120" s="471"/>
      <c r="AF120" s="471"/>
      <c r="AG120" s="471"/>
      <c r="AH120" s="471"/>
      <c r="AI120" s="471"/>
      <c r="AJ120" s="471"/>
      <c r="AK120" s="471"/>
      <c r="AL120" s="471"/>
      <c r="AM120" s="471"/>
      <c r="AN120" s="471"/>
      <c r="AO120" s="471"/>
      <c r="AP120" s="471"/>
      <c r="AQ120" s="471"/>
      <c r="AR120" s="471"/>
      <c r="AS120" s="471"/>
      <c r="AT120" s="471"/>
      <c r="AU120" s="471"/>
      <c r="AV120" s="471"/>
      <c r="AW120" s="471"/>
      <c r="AX120" s="471"/>
      <c r="AY120" s="471"/>
      <c r="AZ120" s="471"/>
      <c r="BA120" s="471"/>
      <c r="BB120" s="471"/>
      <c r="BC120" s="471"/>
      <c r="BD120" s="471"/>
      <c r="BE120" s="471"/>
      <c r="BF120" s="471"/>
      <c r="BG120" s="471"/>
      <c r="BH120" s="471"/>
    </row>
    <row r="121" spans="1:60" x14ac:dyDescent="0.25">
      <c r="A121" s="77" t="s">
        <v>16</v>
      </c>
      <c r="B121" s="233">
        <v>0</v>
      </c>
      <c r="C121" s="13">
        <v>0</v>
      </c>
      <c r="D121" s="13">
        <v>0</v>
      </c>
      <c r="E121" s="13">
        <v>0</v>
      </c>
      <c r="F121" s="13">
        <v>0</v>
      </c>
      <c r="G121" s="13">
        <v>0</v>
      </c>
      <c r="H121" s="13">
        <v>0</v>
      </c>
      <c r="I121" s="11">
        <f t="shared" si="48"/>
        <v>0</v>
      </c>
      <c r="J121" s="470">
        <f t="shared" si="49"/>
        <v>0</v>
      </c>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471"/>
      <c r="AL121" s="471"/>
      <c r="AM121" s="471"/>
      <c r="AN121" s="471"/>
      <c r="AO121" s="471"/>
      <c r="AP121" s="471"/>
      <c r="AQ121" s="471"/>
      <c r="AR121" s="471"/>
      <c r="AS121" s="471"/>
      <c r="AT121" s="471"/>
      <c r="AU121" s="471"/>
      <c r="AV121" s="471"/>
      <c r="AW121" s="471"/>
      <c r="AX121" s="471"/>
      <c r="AY121" s="471"/>
      <c r="AZ121" s="471"/>
      <c r="BA121" s="471"/>
      <c r="BB121" s="471"/>
      <c r="BC121" s="471"/>
      <c r="BD121" s="471"/>
      <c r="BE121" s="471"/>
      <c r="BF121" s="471"/>
      <c r="BG121" s="471"/>
      <c r="BH121" s="471"/>
    </row>
    <row r="122" spans="1:60" x14ac:dyDescent="0.25">
      <c r="A122" s="79" t="s">
        <v>17</v>
      </c>
      <c r="B122" s="102">
        <f t="shared" ref="B122:I122" si="50">SUM(B117:B121)</f>
        <v>90</v>
      </c>
      <c r="C122" s="102">
        <f t="shared" si="50"/>
        <v>149</v>
      </c>
      <c r="D122" s="102">
        <f t="shared" si="50"/>
        <v>114</v>
      </c>
      <c r="E122" s="102">
        <f t="shared" si="50"/>
        <v>134</v>
      </c>
      <c r="F122" s="102">
        <f t="shared" si="50"/>
        <v>234</v>
      </c>
      <c r="G122" s="79">
        <f t="shared" si="50"/>
        <v>187</v>
      </c>
      <c r="H122" s="79">
        <f t="shared" si="50"/>
        <v>165</v>
      </c>
      <c r="I122" s="472">
        <f t="shared" si="50"/>
        <v>1073</v>
      </c>
      <c r="J122" s="473">
        <f t="shared" si="49"/>
        <v>153.28571428571428</v>
      </c>
      <c r="K122" s="474"/>
      <c r="L122" s="474"/>
      <c r="M122" s="474"/>
      <c r="N122" s="474"/>
      <c r="O122" s="474"/>
      <c r="P122" s="474"/>
      <c r="Q122" s="474"/>
      <c r="R122" s="474"/>
      <c r="S122" s="474"/>
      <c r="T122" s="474"/>
      <c r="U122" s="474"/>
      <c r="V122" s="474"/>
      <c r="W122" s="474"/>
      <c r="X122" s="474"/>
      <c r="Y122" s="474"/>
      <c r="Z122" s="474"/>
      <c r="AA122" s="474"/>
      <c r="AB122" s="474"/>
      <c r="AC122" s="474"/>
      <c r="AD122" s="474"/>
      <c r="AE122" s="474"/>
      <c r="AF122" s="474"/>
      <c r="AG122" s="474"/>
      <c r="AH122" s="474"/>
      <c r="AI122" s="474"/>
      <c r="AJ122" s="474"/>
      <c r="AK122" s="474"/>
      <c r="AL122" s="474"/>
      <c r="AM122" s="474"/>
      <c r="AN122" s="474"/>
      <c r="AO122" s="474"/>
      <c r="AP122" s="474"/>
      <c r="AQ122" s="474"/>
      <c r="AR122" s="474"/>
      <c r="AS122" s="474"/>
      <c r="AT122" s="474"/>
      <c r="AU122" s="474"/>
      <c r="AV122" s="474"/>
      <c r="AW122" s="474"/>
      <c r="AX122" s="474"/>
      <c r="AY122" s="474"/>
      <c r="AZ122" s="474"/>
      <c r="BA122" s="474"/>
      <c r="BB122" s="474"/>
      <c r="BC122" s="474"/>
      <c r="BD122" s="474"/>
      <c r="BE122" s="474"/>
      <c r="BF122" s="474"/>
      <c r="BG122" s="474"/>
      <c r="BH122" s="474"/>
    </row>
    <row r="123" spans="1:60" x14ac:dyDescent="0.25">
      <c r="A123" s="77" t="s">
        <v>18</v>
      </c>
      <c r="B123" s="234">
        <v>0.45</v>
      </c>
      <c r="C123" s="235">
        <v>0.44</v>
      </c>
      <c r="D123" s="235">
        <v>0.44</v>
      </c>
      <c r="E123" s="236">
        <v>0.43</v>
      </c>
      <c r="F123" s="236">
        <v>0.5</v>
      </c>
      <c r="G123" s="236">
        <v>0.57999999999999996</v>
      </c>
      <c r="H123" s="236">
        <v>0.64</v>
      </c>
      <c r="I123" s="18">
        <f>I130/I135</f>
        <v>0.51106167442469264</v>
      </c>
      <c r="J123" s="475">
        <f>J130/J135</f>
        <v>0.51106167442469252</v>
      </c>
      <c r="K123" s="476"/>
      <c r="L123" s="476"/>
      <c r="M123" s="476"/>
      <c r="N123" s="476"/>
      <c r="O123" s="476"/>
      <c r="P123" s="476"/>
      <c r="Q123" s="476"/>
      <c r="R123" s="476"/>
      <c r="S123" s="476"/>
      <c r="T123" s="476"/>
      <c r="U123" s="476"/>
      <c r="V123" s="476"/>
      <c r="W123" s="476"/>
      <c r="X123" s="476"/>
      <c r="Y123" s="476"/>
      <c r="Z123" s="476"/>
      <c r="AA123" s="476"/>
      <c r="AB123" s="476"/>
      <c r="AC123" s="476"/>
      <c r="AD123" s="476"/>
      <c r="AE123" s="476"/>
      <c r="AF123" s="476"/>
      <c r="AG123" s="476"/>
      <c r="AH123" s="476"/>
      <c r="AI123" s="476"/>
      <c r="AJ123" s="476"/>
      <c r="AK123" s="476"/>
      <c r="AL123" s="476"/>
      <c r="AM123" s="476"/>
      <c r="AN123" s="476"/>
      <c r="AO123" s="476"/>
      <c r="AP123" s="476"/>
      <c r="AQ123" s="476"/>
      <c r="AR123" s="476"/>
      <c r="AS123" s="476"/>
      <c r="AT123" s="476"/>
      <c r="AU123" s="476"/>
      <c r="AV123" s="476"/>
      <c r="AW123" s="476"/>
      <c r="AX123" s="476"/>
      <c r="AY123" s="476"/>
      <c r="AZ123" s="476"/>
      <c r="BA123" s="476"/>
      <c r="BB123" s="476"/>
      <c r="BC123" s="476"/>
      <c r="BD123" s="476"/>
      <c r="BE123" s="476"/>
      <c r="BF123" s="476"/>
      <c r="BG123" s="476"/>
      <c r="BH123" s="476"/>
    </row>
    <row r="124" spans="1:60" x14ac:dyDescent="0.25">
      <c r="A124" s="77" t="s">
        <v>19</v>
      </c>
      <c r="B124" s="234">
        <v>0.02</v>
      </c>
      <c r="C124" s="235">
        <v>0</v>
      </c>
      <c r="D124" s="235">
        <v>0.01</v>
      </c>
      <c r="E124" s="236">
        <v>0.01</v>
      </c>
      <c r="F124" s="236">
        <v>0.01</v>
      </c>
      <c r="G124" s="236">
        <v>0</v>
      </c>
      <c r="H124" s="236">
        <v>0.01</v>
      </c>
      <c r="I124" s="18">
        <f>I131/I135</f>
        <v>7.5845183563784807E-3</v>
      </c>
      <c r="J124" s="475">
        <f>J131/J135</f>
        <v>7.5845183563784798E-3</v>
      </c>
      <c r="K124" s="476"/>
      <c r="L124" s="476"/>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6"/>
      <c r="AJ124" s="476"/>
      <c r="AK124" s="476"/>
      <c r="AL124" s="476"/>
      <c r="AM124" s="476"/>
      <c r="AN124" s="476"/>
      <c r="AO124" s="476"/>
      <c r="AP124" s="476"/>
      <c r="AQ124" s="476"/>
      <c r="AR124" s="476"/>
      <c r="AS124" s="476"/>
      <c r="AT124" s="476"/>
      <c r="AU124" s="476"/>
      <c r="AV124" s="476"/>
      <c r="AW124" s="476"/>
      <c r="AX124" s="476"/>
      <c r="AY124" s="476"/>
      <c r="AZ124" s="476"/>
      <c r="BA124" s="476"/>
      <c r="BB124" s="476"/>
      <c r="BC124" s="476"/>
      <c r="BD124" s="476"/>
      <c r="BE124" s="476"/>
      <c r="BF124" s="476"/>
      <c r="BG124" s="476"/>
      <c r="BH124" s="476"/>
    </row>
    <row r="125" spans="1:60" x14ac:dyDescent="0.25">
      <c r="A125" s="77" t="s">
        <v>20</v>
      </c>
      <c r="B125" s="234">
        <v>0.53</v>
      </c>
      <c r="C125" s="235">
        <v>0.55000000000000004</v>
      </c>
      <c r="D125" s="235">
        <v>0.54</v>
      </c>
      <c r="E125" s="236">
        <v>0.56000000000000005</v>
      </c>
      <c r="F125" s="236">
        <v>0.49</v>
      </c>
      <c r="G125" s="236">
        <v>0.41</v>
      </c>
      <c r="H125" s="236">
        <v>0.35</v>
      </c>
      <c r="I125" s="18">
        <f>I132/I135</f>
        <v>0.47714224657699511</v>
      </c>
      <c r="J125" s="475">
        <f>J132/J135</f>
        <v>0.47714224657699505</v>
      </c>
      <c r="K125" s="476"/>
      <c r="L125" s="476"/>
      <c r="M125" s="476"/>
      <c r="N125" s="476"/>
      <c r="O125" s="476"/>
      <c r="P125" s="476"/>
      <c r="Q125" s="476"/>
      <c r="R125" s="476"/>
      <c r="S125" s="476"/>
      <c r="T125" s="476"/>
      <c r="U125" s="476"/>
      <c r="V125" s="476"/>
      <c r="W125" s="476"/>
      <c r="X125" s="476"/>
      <c r="Y125" s="476"/>
      <c r="Z125" s="476"/>
      <c r="AA125" s="476"/>
      <c r="AB125" s="476"/>
      <c r="AC125" s="476"/>
      <c r="AD125" s="476"/>
      <c r="AE125" s="476"/>
      <c r="AF125" s="476"/>
      <c r="AG125" s="476"/>
      <c r="AH125" s="476"/>
      <c r="AI125" s="476"/>
      <c r="AJ125" s="476"/>
      <c r="AK125" s="476"/>
      <c r="AL125" s="476"/>
      <c r="AM125" s="476"/>
      <c r="AN125" s="476"/>
      <c r="AO125" s="476"/>
      <c r="AP125" s="476"/>
      <c r="AQ125" s="476"/>
      <c r="AR125" s="476"/>
      <c r="AS125" s="476"/>
      <c r="AT125" s="476"/>
      <c r="AU125" s="476"/>
      <c r="AV125" s="476"/>
      <c r="AW125" s="476"/>
      <c r="AX125" s="476"/>
      <c r="AY125" s="476"/>
      <c r="AZ125" s="476"/>
      <c r="BA125" s="476"/>
      <c r="BB125" s="476"/>
      <c r="BC125" s="476"/>
      <c r="BD125" s="476"/>
      <c r="BE125" s="476"/>
      <c r="BF125" s="476"/>
      <c r="BG125" s="476"/>
      <c r="BH125" s="476"/>
    </row>
    <row r="126" spans="1:60" x14ac:dyDescent="0.25">
      <c r="A126" s="77" t="s">
        <v>21</v>
      </c>
      <c r="B126" s="234">
        <v>0</v>
      </c>
      <c r="C126" s="235">
        <v>0.01</v>
      </c>
      <c r="D126" s="235">
        <v>0.01</v>
      </c>
      <c r="E126" s="236">
        <v>0</v>
      </c>
      <c r="F126" s="236">
        <v>0</v>
      </c>
      <c r="G126" s="236">
        <v>0.01</v>
      </c>
      <c r="H126" s="236">
        <v>0</v>
      </c>
      <c r="I126" s="18">
        <f>I133/I135</f>
        <v>4.2115606419337584E-3</v>
      </c>
      <c r="J126" s="475">
        <f>J133/J135</f>
        <v>4.2115606419337575E-3</v>
      </c>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row>
    <row r="127" spans="1:60" x14ac:dyDescent="0.25">
      <c r="A127" s="77" t="s">
        <v>22</v>
      </c>
      <c r="B127" s="234">
        <v>0</v>
      </c>
      <c r="C127" s="235">
        <v>0</v>
      </c>
      <c r="D127" s="235">
        <v>0</v>
      </c>
      <c r="E127" s="236">
        <v>0</v>
      </c>
      <c r="F127" s="236">
        <v>0</v>
      </c>
      <c r="G127" s="236">
        <v>0</v>
      </c>
      <c r="H127" s="236">
        <v>0</v>
      </c>
      <c r="I127" s="18">
        <f>I134/I135</f>
        <v>0</v>
      </c>
      <c r="J127" s="475">
        <f>J134/J135</f>
        <v>0</v>
      </c>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row>
    <row r="128" spans="1:60" x14ac:dyDescent="0.25">
      <c r="A128" s="81" t="s">
        <v>23</v>
      </c>
      <c r="B128" s="409">
        <f t="shared" ref="B128:J128" si="51">B139/B122</f>
        <v>33112.222222222219</v>
      </c>
      <c r="C128" s="409">
        <f t="shared" si="51"/>
        <v>32573.154362416106</v>
      </c>
      <c r="D128" s="409">
        <f t="shared" si="51"/>
        <v>30691.228070175443</v>
      </c>
      <c r="E128" s="409">
        <f t="shared" si="51"/>
        <v>30312.686567164183</v>
      </c>
      <c r="F128" s="409">
        <f t="shared" si="51"/>
        <v>35131.623931623937</v>
      </c>
      <c r="G128" s="130">
        <f t="shared" si="51"/>
        <v>36791.978609625665</v>
      </c>
      <c r="H128" s="130">
        <f t="shared" si="51"/>
        <v>34620.606060606064</v>
      </c>
      <c r="I128" s="359">
        <f t="shared" si="51"/>
        <v>33744.175209692454</v>
      </c>
      <c r="J128" s="477">
        <f t="shared" si="51"/>
        <v>33744.175209692454</v>
      </c>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c r="AM128" s="478"/>
      <c r="AN128" s="478"/>
      <c r="AO128" s="478"/>
      <c r="AP128" s="478"/>
      <c r="AQ128" s="478"/>
      <c r="AR128" s="478"/>
      <c r="AS128" s="478"/>
      <c r="AT128" s="478"/>
      <c r="AU128" s="478"/>
      <c r="AV128" s="478"/>
      <c r="AW128" s="478"/>
      <c r="AX128" s="478"/>
      <c r="AY128" s="478"/>
      <c r="AZ128" s="478"/>
      <c r="BA128" s="478"/>
      <c r="BB128" s="478"/>
      <c r="BC128" s="478"/>
      <c r="BD128" s="478"/>
      <c r="BE128" s="478"/>
      <c r="BF128" s="478"/>
      <c r="BG128" s="478"/>
      <c r="BH128" s="478"/>
    </row>
    <row r="129" spans="1:60" x14ac:dyDescent="0.25">
      <c r="A129" s="81" t="s">
        <v>24</v>
      </c>
      <c r="B129" s="409">
        <f t="shared" ref="B129:J129" si="52">B139/B116</f>
        <v>31042.708333333332</v>
      </c>
      <c r="C129" s="409">
        <f t="shared" si="52"/>
        <v>30913.375796178345</v>
      </c>
      <c r="D129" s="409">
        <f t="shared" si="52"/>
        <v>28915.702479338848</v>
      </c>
      <c r="E129" s="409">
        <f t="shared" si="52"/>
        <v>28207.638888888891</v>
      </c>
      <c r="F129" s="409">
        <f t="shared" si="52"/>
        <v>33015.26104417671</v>
      </c>
      <c r="G129" s="130">
        <f t="shared" si="52"/>
        <v>32000.465116279069</v>
      </c>
      <c r="H129" s="130">
        <f t="shared" si="52"/>
        <v>31386.813186813186</v>
      </c>
      <c r="I129" s="359">
        <f t="shared" si="52"/>
        <v>31106.09965635739</v>
      </c>
      <c r="J129" s="477">
        <f t="shared" si="52"/>
        <v>31106.09965635739</v>
      </c>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row>
    <row r="130" spans="1:60" x14ac:dyDescent="0.25">
      <c r="A130" s="77" t="s">
        <v>25</v>
      </c>
      <c r="B130" s="255">
        <f t="shared" ref="B130:H130" si="53">B135*B123</f>
        <v>1122132.0258620691</v>
      </c>
      <c r="C130" s="255">
        <f t="shared" si="53"/>
        <v>1786897.4275862072</v>
      </c>
      <c r="D130" s="255">
        <f t="shared" si="53"/>
        <v>1283513.8344827588</v>
      </c>
      <c r="E130" s="255">
        <f t="shared" si="53"/>
        <v>1459371.8103448276</v>
      </c>
      <c r="F130" s="255">
        <f t="shared" si="53"/>
        <v>3427078.2758620693</v>
      </c>
      <c r="G130" s="92">
        <f t="shared" si="53"/>
        <v>3311310.3</v>
      </c>
      <c r="H130" s="92">
        <f t="shared" si="53"/>
        <v>3005473.7655172413</v>
      </c>
      <c r="I130" s="108">
        <f>SUM(B130:H130)</f>
        <v>15395777.439655174</v>
      </c>
      <c r="J130" s="479">
        <f t="shared" ref="J130:J135" si="54">+$I130/7</f>
        <v>2199396.7770935963</v>
      </c>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c r="AO130" s="480"/>
      <c r="AP130" s="480"/>
      <c r="AQ130" s="480"/>
      <c r="AR130" s="480"/>
      <c r="AS130" s="480"/>
      <c r="AT130" s="480"/>
      <c r="AU130" s="480"/>
      <c r="AV130" s="480"/>
      <c r="AW130" s="480"/>
      <c r="AX130" s="480"/>
      <c r="AY130" s="480"/>
      <c r="AZ130" s="480"/>
      <c r="BA130" s="480"/>
      <c r="BB130" s="480"/>
      <c r="BC130" s="480"/>
      <c r="BD130" s="480"/>
      <c r="BE130" s="480"/>
      <c r="BF130" s="480"/>
      <c r="BG130" s="480"/>
      <c r="BH130" s="480"/>
    </row>
    <row r="131" spans="1:60" x14ac:dyDescent="0.25">
      <c r="A131" s="77" t="s">
        <v>26</v>
      </c>
      <c r="B131" s="255">
        <f t="shared" ref="B131:H131" si="55">B135*B124</f>
        <v>49872.534482758623</v>
      </c>
      <c r="C131" s="255">
        <f t="shared" si="55"/>
        <v>0</v>
      </c>
      <c r="D131" s="255">
        <f t="shared" si="55"/>
        <v>29170.768965517247</v>
      </c>
      <c r="E131" s="255">
        <f t="shared" si="55"/>
        <v>33938.879310344833</v>
      </c>
      <c r="F131" s="255">
        <f t="shared" si="55"/>
        <v>68541.565517241383</v>
      </c>
      <c r="G131" s="92">
        <f t="shared" si="55"/>
        <v>0</v>
      </c>
      <c r="H131" s="92">
        <f t="shared" si="55"/>
        <v>46960.527586206896</v>
      </c>
      <c r="I131" s="108">
        <f>SUM(B131:H131)</f>
        <v>228484.27586206899</v>
      </c>
      <c r="J131" s="479">
        <f t="shared" si="54"/>
        <v>32640.610837438428</v>
      </c>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c r="AO131" s="480"/>
      <c r="AP131" s="480"/>
      <c r="AQ131" s="480"/>
      <c r="AR131" s="480"/>
      <c r="AS131" s="480"/>
      <c r="AT131" s="480"/>
      <c r="AU131" s="480"/>
      <c r="AV131" s="480"/>
      <c r="AW131" s="480"/>
      <c r="AX131" s="480"/>
      <c r="AY131" s="480"/>
      <c r="AZ131" s="480"/>
      <c r="BA131" s="480"/>
      <c r="BB131" s="480"/>
      <c r="BC131" s="480"/>
      <c r="BD131" s="480"/>
      <c r="BE131" s="480"/>
      <c r="BF131" s="480"/>
      <c r="BG131" s="480"/>
      <c r="BH131" s="480"/>
    </row>
    <row r="132" spans="1:60" x14ac:dyDescent="0.25">
      <c r="A132" s="77" t="s">
        <v>27</v>
      </c>
      <c r="B132" s="255">
        <f t="shared" ref="B132:H132" si="56">B135*B125</f>
        <v>1321622.1637931035</v>
      </c>
      <c r="C132" s="255">
        <f t="shared" si="56"/>
        <v>2233621.784482759</v>
      </c>
      <c r="D132" s="255">
        <f t="shared" si="56"/>
        <v>1575221.5241379314</v>
      </c>
      <c r="E132" s="255">
        <f t="shared" si="56"/>
        <v>1900577.2413793106</v>
      </c>
      <c r="F132" s="255">
        <f t="shared" si="56"/>
        <v>3358536.7103448277</v>
      </c>
      <c r="G132" s="92">
        <f t="shared" si="56"/>
        <v>2340753.8327586208</v>
      </c>
      <c r="H132" s="92">
        <f t="shared" si="56"/>
        <v>1643618.4655172413</v>
      </c>
      <c r="I132" s="108">
        <f>SUM(B132:H132)</f>
        <v>14373951.722413793</v>
      </c>
      <c r="J132" s="479">
        <f t="shared" si="54"/>
        <v>2053421.6746305418</v>
      </c>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c r="AO132" s="480"/>
      <c r="AP132" s="480"/>
      <c r="AQ132" s="480"/>
      <c r="AR132" s="480"/>
      <c r="AS132" s="480"/>
      <c r="AT132" s="480"/>
      <c r="AU132" s="480"/>
      <c r="AV132" s="480"/>
      <c r="AW132" s="480"/>
      <c r="AX132" s="480"/>
      <c r="AY132" s="480"/>
      <c r="AZ132" s="480"/>
      <c r="BA132" s="480"/>
      <c r="BB132" s="480"/>
      <c r="BC132" s="480"/>
      <c r="BD132" s="480"/>
      <c r="BE132" s="480"/>
      <c r="BF132" s="480"/>
      <c r="BG132" s="480"/>
      <c r="BH132" s="480"/>
    </row>
    <row r="133" spans="1:60" x14ac:dyDescent="0.25">
      <c r="A133" s="77" t="s">
        <v>28</v>
      </c>
      <c r="B133" s="255">
        <f t="shared" ref="B133:H133" si="57">B135*B126</f>
        <v>0</v>
      </c>
      <c r="C133" s="255">
        <f t="shared" si="57"/>
        <v>40611.305172413799</v>
      </c>
      <c r="D133" s="255">
        <f t="shared" si="57"/>
        <v>29170.768965517247</v>
      </c>
      <c r="E133" s="255">
        <f t="shared" si="57"/>
        <v>0</v>
      </c>
      <c r="F133" s="255">
        <f t="shared" si="57"/>
        <v>0</v>
      </c>
      <c r="G133" s="92">
        <f t="shared" si="57"/>
        <v>57091.55689655173</v>
      </c>
      <c r="H133" s="92">
        <f t="shared" si="57"/>
        <v>0</v>
      </c>
      <c r="I133" s="108">
        <f>SUM(B133:H133)</f>
        <v>126873.63103448278</v>
      </c>
      <c r="J133" s="479">
        <f t="shared" si="54"/>
        <v>18124.804433497538</v>
      </c>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c r="AO133" s="480"/>
      <c r="AP133" s="480"/>
      <c r="AQ133" s="480"/>
      <c r="AR133" s="480"/>
      <c r="AS133" s="480"/>
      <c r="AT133" s="480"/>
      <c r="AU133" s="480"/>
      <c r="AV133" s="480"/>
      <c r="AW133" s="480"/>
      <c r="AX133" s="480"/>
      <c r="AY133" s="480"/>
      <c r="AZ133" s="480"/>
      <c r="BA133" s="480"/>
      <c r="BB133" s="480"/>
      <c r="BC133" s="480"/>
      <c r="BD133" s="480"/>
      <c r="BE133" s="480"/>
      <c r="BF133" s="480"/>
      <c r="BG133" s="480"/>
      <c r="BH133" s="480"/>
    </row>
    <row r="134" spans="1:60" x14ac:dyDescent="0.25">
      <c r="A134" s="77" t="s">
        <v>29</v>
      </c>
      <c r="B134" s="255">
        <f t="shared" ref="B134:H134" si="58">B135*B127</f>
        <v>0</v>
      </c>
      <c r="C134" s="255">
        <f t="shared" si="58"/>
        <v>0</v>
      </c>
      <c r="D134" s="255">
        <f t="shared" si="58"/>
        <v>0</v>
      </c>
      <c r="E134" s="255">
        <f t="shared" si="58"/>
        <v>0</v>
      </c>
      <c r="F134" s="255">
        <f t="shared" si="58"/>
        <v>0</v>
      </c>
      <c r="G134" s="92">
        <f t="shared" si="58"/>
        <v>0</v>
      </c>
      <c r="H134" s="92">
        <f t="shared" si="58"/>
        <v>0</v>
      </c>
      <c r="I134" s="108">
        <f>SUM(B134:H134)</f>
        <v>0</v>
      </c>
      <c r="J134" s="479">
        <f t="shared" si="54"/>
        <v>0</v>
      </c>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c r="AO134" s="480"/>
      <c r="AP134" s="480"/>
      <c r="AQ134" s="480"/>
      <c r="AR134" s="480"/>
      <c r="AS134" s="480"/>
      <c r="AT134" s="480"/>
      <c r="AU134" s="480"/>
      <c r="AV134" s="480"/>
      <c r="AW134" s="480"/>
      <c r="AX134" s="480"/>
      <c r="AY134" s="480"/>
      <c r="AZ134" s="480"/>
      <c r="BA134" s="480"/>
      <c r="BB134" s="480"/>
      <c r="BC134" s="480"/>
      <c r="BD134" s="480"/>
      <c r="BE134" s="480"/>
      <c r="BF134" s="480"/>
      <c r="BG134" s="480"/>
      <c r="BH134" s="480"/>
    </row>
    <row r="135" spans="1:60" x14ac:dyDescent="0.25">
      <c r="A135" s="82" t="s">
        <v>30</v>
      </c>
      <c r="B135" s="222">
        <f>(2980100/1.16)-B136</f>
        <v>2493626.7241379311</v>
      </c>
      <c r="C135" s="222">
        <f>(4853400/1.16)-C136</f>
        <v>4061130.5172413797</v>
      </c>
      <c r="D135" s="222">
        <f>(3498800/1.16)-D136</f>
        <v>2917076.8965517245</v>
      </c>
      <c r="E135" s="222">
        <f>(4061900/1.16)-E136</f>
        <v>3393887.931034483</v>
      </c>
      <c r="F135" s="222">
        <f>(8220800/1.16)-F136</f>
        <v>6854156.5517241387</v>
      </c>
      <c r="G135" s="222">
        <f>(6880100/1.16)-G136</f>
        <v>5709155.6896551726</v>
      </c>
      <c r="H135" s="222">
        <f>(5712400/1.16)-H136</f>
        <v>4696052.7586206896</v>
      </c>
      <c r="I135" s="111">
        <f>SUM(I130:I134)</f>
        <v>30125087.068965521</v>
      </c>
      <c r="J135" s="481">
        <f t="shared" si="54"/>
        <v>4303583.8669950748</v>
      </c>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c r="AO135" s="480"/>
      <c r="AP135" s="480"/>
      <c r="AQ135" s="480"/>
      <c r="AR135" s="480"/>
      <c r="AS135" s="480"/>
      <c r="AT135" s="480"/>
      <c r="AU135" s="480"/>
      <c r="AV135" s="480"/>
      <c r="AW135" s="480"/>
      <c r="AX135" s="480"/>
      <c r="AY135" s="480"/>
      <c r="AZ135" s="480"/>
      <c r="BA135" s="480"/>
      <c r="BB135" s="480"/>
      <c r="BC135" s="480"/>
      <c r="BD135" s="480"/>
      <c r="BE135" s="480"/>
      <c r="BF135" s="480"/>
      <c r="BG135" s="480"/>
      <c r="BH135" s="480"/>
    </row>
    <row r="136" spans="1:60" x14ac:dyDescent="0.25">
      <c r="A136" s="77" t="s">
        <v>31</v>
      </c>
      <c r="B136" s="263">
        <f t="shared" ref="B136:H136" si="59">2155*B117</f>
        <v>75425</v>
      </c>
      <c r="C136" s="263">
        <f t="shared" si="59"/>
        <v>122835</v>
      </c>
      <c r="D136" s="263">
        <f t="shared" si="59"/>
        <v>99130</v>
      </c>
      <c r="E136" s="263">
        <f t="shared" si="59"/>
        <v>107750</v>
      </c>
      <c r="F136" s="263">
        <f t="shared" si="59"/>
        <v>232740</v>
      </c>
      <c r="G136" s="94">
        <f t="shared" si="59"/>
        <v>221965</v>
      </c>
      <c r="H136" s="94">
        <f t="shared" si="59"/>
        <v>228430</v>
      </c>
      <c r="I136" s="109">
        <f>I117*2155</f>
        <v>1088275</v>
      </c>
      <c r="J136" s="482">
        <f>2155*J117</f>
        <v>155467.85714285713</v>
      </c>
      <c r="K136" s="483"/>
      <c r="L136" s="48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c r="AO136" s="483"/>
      <c r="AP136" s="483"/>
      <c r="AQ136" s="483"/>
      <c r="AR136" s="483"/>
      <c r="AS136" s="483"/>
      <c r="AT136" s="483"/>
      <c r="AU136" s="483"/>
      <c r="AV136" s="483"/>
      <c r="AW136" s="483"/>
      <c r="AX136" s="483"/>
      <c r="AY136" s="483"/>
      <c r="AZ136" s="483"/>
      <c r="BA136" s="483"/>
      <c r="BB136" s="483"/>
      <c r="BC136" s="483"/>
      <c r="BD136" s="483"/>
      <c r="BE136" s="483"/>
      <c r="BF136" s="483"/>
      <c r="BG136" s="483"/>
      <c r="BH136" s="483"/>
    </row>
    <row r="137" spans="1:60" x14ac:dyDescent="0.25">
      <c r="A137" s="83" t="s">
        <v>32</v>
      </c>
      <c r="B137" s="411">
        <f t="shared" ref="B137:J137" si="60">B135+B136</f>
        <v>2569051.7241379311</v>
      </c>
      <c r="C137" s="411">
        <f t="shared" si="60"/>
        <v>4183965.5172413797</v>
      </c>
      <c r="D137" s="411">
        <f t="shared" si="60"/>
        <v>3016206.8965517245</v>
      </c>
      <c r="E137" s="411">
        <f t="shared" si="60"/>
        <v>3501637.931034483</v>
      </c>
      <c r="F137" s="411">
        <f t="shared" si="60"/>
        <v>7086896.5517241387</v>
      </c>
      <c r="G137" s="39">
        <f t="shared" si="60"/>
        <v>5931120.6896551726</v>
      </c>
      <c r="H137" s="39">
        <f t="shared" si="60"/>
        <v>4924482.7586206896</v>
      </c>
      <c r="I137" s="412">
        <f t="shared" si="60"/>
        <v>31213362.068965521</v>
      </c>
      <c r="J137" s="484">
        <f t="shared" si="60"/>
        <v>4459051.7241379321</v>
      </c>
      <c r="K137" s="485"/>
      <c r="L137" s="485"/>
      <c r="M137" s="485"/>
      <c r="N137" s="485"/>
      <c r="O137" s="485"/>
      <c r="P137" s="485"/>
      <c r="Q137" s="485"/>
      <c r="R137" s="485"/>
      <c r="S137" s="485"/>
      <c r="T137" s="485"/>
      <c r="U137" s="485"/>
      <c r="V137" s="485"/>
      <c r="W137" s="485"/>
      <c r="X137" s="485"/>
      <c r="Y137" s="485"/>
      <c r="Z137" s="485"/>
      <c r="AA137" s="485"/>
      <c r="AB137" s="485"/>
      <c r="AC137" s="485"/>
      <c r="AD137" s="485"/>
      <c r="AE137" s="485"/>
      <c r="AF137" s="485"/>
      <c r="AG137" s="485"/>
      <c r="AH137" s="485"/>
      <c r="AI137" s="485"/>
      <c r="AJ137" s="485"/>
      <c r="AK137" s="485"/>
      <c r="AL137" s="485"/>
      <c r="AM137" s="485"/>
      <c r="AN137" s="485"/>
      <c r="AO137" s="485"/>
      <c r="AP137" s="485"/>
      <c r="AQ137" s="485"/>
      <c r="AR137" s="485"/>
      <c r="AS137" s="485"/>
      <c r="AT137" s="485"/>
      <c r="AU137" s="485"/>
      <c r="AV137" s="485"/>
      <c r="AW137" s="485"/>
      <c r="AX137" s="485"/>
      <c r="AY137" s="485"/>
      <c r="AZ137" s="485"/>
      <c r="BA137" s="485"/>
      <c r="BB137" s="485"/>
      <c r="BC137" s="485"/>
      <c r="BD137" s="485"/>
      <c r="BE137" s="485"/>
      <c r="BF137" s="485"/>
      <c r="BG137" s="485"/>
      <c r="BH137" s="485"/>
    </row>
    <row r="138" spans="1:60" x14ac:dyDescent="0.25">
      <c r="A138" s="77" t="s">
        <v>33</v>
      </c>
      <c r="B138" s="413">
        <f t="shared" ref="B138:J138" si="61">B137*16%</f>
        <v>411048.27586206899</v>
      </c>
      <c r="C138" s="413">
        <f t="shared" si="61"/>
        <v>669434.48275862075</v>
      </c>
      <c r="D138" s="413">
        <f t="shared" si="61"/>
        <v>482593.10344827594</v>
      </c>
      <c r="E138" s="413">
        <f t="shared" si="61"/>
        <v>560262.06896551733</v>
      </c>
      <c r="F138" s="413">
        <f t="shared" si="61"/>
        <v>1133903.4482758623</v>
      </c>
      <c r="G138" s="41">
        <f t="shared" si="61"/>
        <v>948979.31034482759</v>
      </c>
      <c r="H138" s="41">
        <f t="shared" si="61"/>
        <v>787917.24137931038</v>
      </c>
      <c r="I138" s="414">
        <f t="shared" si="61"/>
        <v>4994137.931034483</v>
      </c>
      <c r="J138" s="486">
        <f t="shared" si="61"/>
        <v>713448.2758620691</v>
      </c>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row>
    <row r="139" spans="1:60" x14ac:dyDescent="0.25">
      <c r="A139" s="142" t="s">
        <v>34</v>
      </c>
      <c r="B139" s="438">
        <f t="shared" ref="B139:I139" si="62">B137+B138</f>
        <v>2980100</v>
      </c>
      <c r="C139" s="438">
        <f t="shared" si="62"/>
        <v>4853400</v>
      </c>
      <c r="D139" s="438">
        <f t="shared" si="62"/>
        <v>3498800.0000000005</v>
      </c>
      <c r="E139" s="438">
        <f t="shared" si="62"/>
        <v>4061900.0000000005</v>
      </c>
      <c r="F139" s="438">
        <f t="shared" si="62"/>
        <v>8220800.0000000009</v>
      </c>
      <c r="G139" s="144">
        <f t="shared" si="62"/>
        <v>6880100</v>
      </c>
      <c r="H139" s="144">
        <f t="shared" si="62"/>
        <v>5712400</v>
      </c>
      <c r="I139" s="440">
        <f t="shared" si="62"/>
        <v>36207500</v>
      </c>
      <c r="J139" s="488">
        <f>+$I139/7</f>
        <v>5172500</v>
      </c>
      <c r="K139" s="489"/>
      <c r="L139" s="489"/>
      <c r="M139" s="489"/>
      <c r="N139" s="489"/>
      <c r="O139" s="489"/>
      <c r="P139" s="489"/>
      <c r="Q139" s="489"/>
      <c r="R139" s="489"/>
      <c r="S139" s="489"/>
      <c r="T139" s="489"/>
      <c r="U139" s="489"/>
      <c r="V139" s="489"/>
      <c r="W139" s="489"/>
      <c r="X139" s="489"/>
      <c r="Y139" s="489"/>
      <c r="Z139" s="489"/>
      <c r="AA139" s="489"/>
      <c r="AB139" s="489"/>
      <c r="AC139" s="489"/>
      <c r="AD139" s="489"/>
      <c r="AE139" s="489"/>
      <c r="AF139" s="489"/>
      <c r="AG139" s="489"/>
      <c r="AH139" s="489"/>
      <c r="AI139" s="489"/>
      <c r="AJ139" s="489"/>
      <c r="AK139" s="489"/>
      <c r="AL139" s="489"/>
      <c r="AM139" s="489"/>
      <c r="AN139" s="489"/>
      <c r="AO139" s="489"/>
      <c r="AP139" s="489"/>
      <c r="AQ139" s="489"/>
      <c r="AR139" s="489"/>
      <c r="AS139" s="489"/>
      <c r="AT139" s="489"/>
      <c r="AU139" s="489"/>
      <c r="AV139" s="489"/>
      <c r="AW139" s="489"/>
      <c r="AX139" s="489"/>
      <c r="AY139" s="489"/>
      <c r="AZ139" s="489"/>
      <c r="BA139" s="489"/>
      <c r="BB139" s="489"/>
      <c r="BC139" s="489"/>
      <c r="BD139" s="489"/>
      <c r="BE139" s="489"/>
      <c r="BF139" s="489"/>
      <c r="BG139" s="489"/>
      <c r="BH139" s="489"/>
    </row>
    <row r="142" spans="1:60" ht="26.25" x14ac:dyDescent="0.25">
      <c r="A142" s="85"/>
      <c r="B142" s="1002" t="s">
        <v>69</v>
      </c>
      <c r="C142" s="1002"/>
      <c r="D142" s="1002"/>
      <c r="E142" s="1002"/>
      <c r="F142" s="1002"/>
      <c r="G142" s="1002"/>
      <c r="H142" s="1002"/>
      <c r="I142" s="1002"/>
    </row>
    <row r="143" spans="1:60" ht="15.75" x14ac:dyDescent="0.25">
      <c r="A143" s="72" t="s">
        <v>2</v>
      </c>
      <c r="B143" s="429" t="s">
        <v>225</v>
      </c>
      <c r="C143" s="51" t="s">
        <v>226</v>
      </c>
      <c r="D143" s="349" t="s">
        <v>227</v>
      </c>
      <c r="E143" s="51" t="s">
        <v>228</v>
      </c>
      <c r="F143" s="51" t="s">
        <v>229</v>
      </c>
      <c r="G143" s="349" t="s">
        <v>230</v>
      </c>
      <c r="H143" s="349" t="s">
        <v>231</v>
      </c>
      <c r="I143" s="153" t="s">
        <v>10</v>
      </c>
      <c r="J143" s="490" t="s">
        <v>77</v>
      </c>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c r="AP143" s="466"/>
      <c r="AQ143" s="466"/>
      <c r="AR143" s="466"/>
      <c r="AS143" s="466"/>
      <c r="AT143" s="466"/>
      <c r="AU143" s="466"/>
      <c r="AV143" s="466"/>
      <c r="AW143" s="466"/>
      <c r="AX143" s="466"/>
      <c r="AY143" s="466"/>
      <c r="AZ143" s="466"/>
      <c r="BA143" s="466"/>
      <c r="BB143" s="466"/>
      <c r="BC143" s="466"/>
      <c r="BD143" s="466"/>
      <c r="BE143" s="466"/>
      <c r="BF143" s="466"/>
      <c r="BG143" s="466"/>
      <c r="BH143" s="466"/>
    </row>
    <row r="144" spans="1:60" x14ac:dyDescent="0.25">
      <c r="A144" s="430" t="s">
        <v>11</v>
      </c>
      <c r="B144" s="433">
        <v>110</v>
      </c>
      <c r="C144" s="75">
        <v>120</v>
      </c>
      <c r="D144" s="75">
        <v>127</v>
      </c>
      <c r="E144" s="75">
        <v>143</v>
      </c>
      <c r="F144" s="75">
        <v>242</v>
      </c>
      <c r="G144" s="75">
        <v>176</v>
      </c>
      <c r="H144" s="75">
        <v>166</v>
      </c>
      <c r="I144" s="467">
        <f t="shared" ref="I144:I149" si="63">SUM(B144:H144)</f>
        <v>1084</v>
      </c>
      <c r="J144" s="468">
        <f>+$I144/7</f>
        <v>154.85714285714286</v>
      </c>
      <c r="K144" s="469"/>
      <c r="L144" s="469"/>
      <c r="M144" s="469"/>
      <c r="N144" s="469"/>
      <c r="O144" s="469"/>
      <c r="P144" s="469"/>
      <c r="Q144" s="469"/>
      <c r="R144" s="469"/>
      <c r="S144" s="469"/>
      <c r="T144" s="469"/>
      <c r="U144" s="469"/>
      <c r="V144" s="469"/>
      <c r="W144" s="469"/>
      <c r="X144" s="469"/>
      <c r="Y144" s="469"/>
      <c r="Z144" s="469"/>
      <c r="AA144" s="469"/>
      <c r="AB144" s="469"/>
      <c r="AC144" s="469"/>
      <c r="AD144" s="469"/>
      <c r="AE144" s="469"/>
      <c r="AF144" s="469"/>
      <c r="AG144" s="469"/>
      <c r="AH144" s="469"/>
      <c r="AI144" s="469"/>
      <c r="AJ144" s="469"/>
      <c r="AK144" s="469"/>
      <c r="AL144" s="469"/>
      <c r="AM144" s="469"/>
      <c r="AN144" s="469"/>
      <c r="AO144" s="469"/>
      <c r="AP144" s="469"/>
      <c r="AQ144" s="469"/>
      <c r="AR144" s="469"/>
      <c r="AS144" s="469"/>
      <c r="AT144" s="469"/>
      <c r="AU144" s="469"/>
      <c r="AV144" s="469"/>
      <c r="AW144" s="469"/>
      <c r="AX144" s="469"/>
      <c r="AY144" s="469"/>
      <c r="AZ144" s="469"/>
      <c r="BA144" s="469"/>
      <c r="BB144" s="469"/>
      <c r="BC144" s="469"/>
      <c r="BD144" s="469"/>
      <c r="BE144" s="469"/>
      <c r="BF144" s="469"/>
      <c r="BG144" s="469"/>
      <c r="BH144" s="469"/>
    </row>
    <row r="145" spans="1:60" x14ac:dyDescent="0.25">
      <c r="A145" s="77" t="s">
        <v>12</v>
      </c>
      <c r="B145" s="233">
        <v>53</v>
      </c>
      <c r="C145" s="13">
        <v>39</v>
      </c>
      <c r="D145" s="13">
        <v>45</v>
      </c>
      <c r="E145" s="13">
        <v>66</v>
      </c>
      <c r="F145" s="13">
        <v>69</v>
      </c>
      <c r="G145" s="13">
        <v>75</v>
      </c>
      <c r="H145" s="13">
        <v>99</v>
      </c>
      <c r="I145" s="11">
        <f t="shared" si="63"/>
        <v>446</v>
      </c>
      <c r="J145" s="470">
        <f t="shared" ref="J145:J150" si="64">+$I145/7</f>
        <v>63.714285714285715</v>
      </c>
      <c r="K145" s="471"/>
      <c r="L145" s="471"/>
      <c r="M145" s="471"/>
      <c r="N145" s="471"/>
      <c r="O145" s="471"/>
      <c r="P145" s="471"/>
      <c r="Q145" s="471"/>
      <c r="R145" s="471"/>
      <c r="S145" s="471"/>
      <c r="T145" s="471"/>
      <c r="U145" s="471"/>
      <c r="V145" s="471"/>
      <c r="W145" s="471"/>
      <c r="X145" s="471"/>
      <c r="Y145" s="471"/>
      <c r="Z145" s="471"/>
      <c r="AA145" s="471"/>
      <c r="AB145" s="471"/>
      <c r="AC145" s="471"/>
      <c r="AD145" s="471"/>
      <c r="AE145" s="471"/>
      <c r="AF145" s="471"/>
      <c r="AG145" s="471"/>
      <c r="AH145" s="471"/>
      <c r="AI145" s="471"/>
      <c r="AJ145" s="471"/>
      <c r="AK145" s="471"/>
      <c r="AL145" s="471"/>
      <c r="AM145" s="471"/>
      <c r="AN145" s="471"/>
      <c r="AO145" s="471"/>
      <c r="AP145" s="471"/>
      <c r="AQ145" s="471"/>
      <c r="AR145" s="471"/>
      <c r="AS145" s="471"/>
      <c r="AT145" s="471"/>
      <c r="AU145" s="471"/>
      <c r="AV145" s="471"/>
      <c r="AW145" s="471"/>
      <c r="AX145" s="471"/>
      <c r="AY145" s="471"/>
      <c r="AZ145" s="471"/>
      <c r="BA145" s="471"/>
      <c r="BB145" s="471"/>
      <c r="BC145" s="471"/>
      <c r="BD145" s="471"/>
      <c r="BE145" s="471"/>
      <c r="BF145" s="471"/>
      <c r="BG145" s="471"/>
      <c r="BH145" s="471"/>
    </row>
    <row r="146" spans="1:60" x14ac:dyDescent="0.25">
      <c r="A146" s="77" t="s">
        <v>13</v>
      </c>
      <c r="B146" s="233">
        <v>2</v>
      </c>
      <c r="C146" s="13">
        <v>1</v>
      </c>
      <c r="D146" s="13">
        <v>3</v>
      </c>
      <c r="E146" s="13">
        <v>0</v>
      </c>
      <c r="F146" s="13">
        <v>2</v>
      </c>
      <c r="G146" s="13">
        <v>3</v>
      </c>
      <c r="H146" s="13">
        <v>3</v>
      </c>
      <c r="I146" s="11">
        <f t="shared" si="63"/>
        <v>14</v>
      </c>
      <c r="J146" s="470">
        <f t="shared" si="64"/>
        <v>2</v>
      </c>
      <c r="K146" s="471"/>
      <c r="L146" s="471"/>
      <c r="M146" s="471"/>
      <c r="N146" s="471"/>
      <c r="O146" s="471"/>
      <c r="P146" s="471"/>
      <c r="Q146" s="471"/>
      <c r="R146" s="471"/>
      <c r="S146" s="471"/>
      <c r="T146" s="471"/>
      <c r="U146" s="471"/>
      <c r="V146" s="471"/>
      <c r="W146" s="471"/>
      <c r="X146" s="471"/>
      <c r="Y146" s="471"/>
      <c r="Z146" s="471"/>
      <c r="AA146" s="471"/>
      <c r="AB146" s="471"/>
      <c r="AC146" s="471"/>
      <c r="AD146" s="471"/>
      <c r="AE146" s="471"/>
      <c r="AF146" s="471"/>
      <c r="AG146" s="471"/>
      <c r="AH146" s="471"/>
      <c r="AI146" s="471"/>
      <c r="AJ146" s="471"/>
      <c r="AK146" s="471"/>
      <c r="AL146" s="471"/>
      <c r="AM146" s="471"/>
      <c r="AN146" s="471"/>
      <c r="AO146" s="471"/>
      <c r="AP146" s="471"/>
      <c r="AQ146" s="471"/>
      <c r="AR146" s="471"/>
      <c r="AS146" s="471"/>
      <c r="AT146" s="471"/>
      <c r="AU146" s="471"/>
      <c r="AV146" s="471"/>
      <c r="AW146" s="471"/>
      <c r="AX146" s="471"/>
      <c r="AY146" s="471"/>
      <c r="AZ146" s="471"/>
      <c r="BA146" s="471"/>
      <c r="BB146" s="471"/>
      <c r="BC146" s="471"/>
      <c r="BD146" s="471"/>
      <c r="BE146" s="471"/>
      <c r="BF146" s="471"/>
      <c r="BG146" s="471"/>
      <c r="BH146" s="471"/>
    </row>
    <row r="147" spans="1:60" x14ac:dyDescent="0.25">
      <c r="A147" s="77" t="s">
        <v>14</v>
      </c>
      <c r="B147" s="233">
        <v>53</v>
      </c>
      <c r="C147" s="13">
        <v>69</v>
      </c>
      <c r="D147" s="13">
        <v>76</v>
      </c>
      <c r="E147" s="13">
        <v>62</v>
      </c>
      <c r="F147" s="13">
        <v>136</v>
      </c>
      <c r="G147" s="13">
        <v>78</v>
      </c>
      <c r="H147" s="13">
        <v>55</v>
      </c>
      <c r="I147" s="11">
        <f t="shared" si="63"/>
        <v>529</v>
      </c>
      <c r="J147" s="470">
        <f t="shared" si="64"/>
        <v>75.571428571428569</v>
      </c>
      <c r="K147" s="471"/>
      <c r="L147" s="471"/>
      <c r="M147" s="471"/>
      <c r="N147" s="471"/>
      <c r="O147" s="471"/>
      <c r="P147" s="471"/>
      <c r="Q147" s="471"/>
      <c r="R147" s="471"/>
      <c r="S147" s="471"/>
      <c r="T147" s="471"/>
      <c r="U147" s="471"/>
      <c r="V147" s="471"/>
      <c r="W147" s="471"/>
      <c r="X147" s="471"/>
      <c r="Y147" s="471"/>
      <c r="Z147" s="471"/>
      <c r="AA147" s="471"/>
      <c r="AB147" s="471"/>
      <c r="AC147" s="471"/>
      <c r="AD147" s="471"/>
      <c r="AE147" s="471"/>
      <c r="AF147" s="471"/>
      <c r="AG147" s="471"/>
      <c r="AH147" s="471"/>
      <c r="AI147" s="471"/>
      <c r="AJ147" s="471"/>
      <c r="AK147" s="471"/>
      <c r="AL147" s="471"/>
      <c r="AM147" s="471"/>
      <c r="AN147" s="471"/>
      <c r="AO147" s="471"/>
      <c r="AP147" s="471"/>
      <c r="AQ147" s="471"/>
      <c r="AR147" s="471"/>
      <c r="AS147" s="471"/>
      <c r="AT147" s="471"/>
      <c r="AU147" s="471"/>
      <c r="AV147" s="471"/>
      <c r="AW147" s="471"/>
      <c r="AX147" s="471"/>
      <c r="AY147" s="471"/>
      <c r="AZ147" s="471"/>
      <c r="BA147" s="471"/>
      <c r="BB147" s="471"/>
      <c r="BC147" s="471"/>
      <c r="BD147" s="471"/>
      <c r="BE147" s="471"/>
      <c r="BF147" s="471"/>
      <c r="BG147" s="471"/>
      <c r="BH147" s="471"/>
    </row>
    <row r="148" spans="1:60" x14ac:dyDescent="0.25">
      <c r="A148" s="77" t="s">
        <v>15</v>
      </c>
      <c r="B148" s="233">
        <v>0</v>
      </c>
      <c r="C148" s="13">
        <v>0</v>
      </c>
      <c r="D148" s="13">
        <v>0</v>
      </c>
      <c r="E148" s="13">
        <v>1</v>
      </c>
      <c r="F148" s="13">
        <v>0</v>
      </c>
      <c r="G148" s="13">
        <v>0</v>
      </c>
      <c r="H148" s="13">
        <v>0</v>
      </c>
      <c r="I148" s="11">
        <f t="shared" si="63"/>
        <v>1</v>
      </c>
      <c r="J148" s="470">
        <f t="shared" si="64"/>
        <v>0.14285714285714285</v>
      </c>
      <c r="K148" s="471"/>
      <c r="L148" s="471"/>
      <c r="M148" s="471"/>
      <c r="N148" s="471"/>
      <c r="O148" s="471"/>
      <c r="P148" s="471"/>
      <c r="Q148" s="471"/>
      <c r="R148" s="471"/>
      <c r="S148" s="471"/>
      <c r="T148" s="471"/>
      <c r="U148" s="471"/>
      <c r="V148" s="471"/>
      <c r="W148" s="471"/>
      <c r="X148" s="471"/>
      <c r="Y148" s="471"/>
      <c r="Z148" s="471"/>
      <c r="AA148" s="471"/>
      <c r="AB148" s="471"/>
      <c r="AC148" s="471"/>
      <c r="AD148" s="471"/>
      <c r="AE148" s="471"/>
      <c r="AF148" s="471"/>
      <c r="AG148" s="471"/>
      <c r="AH148" s="471"/>
      <c r="AI148" s="471"/>
      <c r="AJ148" s="471"/>
      <c r="AK148" s="471"/>
      <c r="AL148" s="471"/>
      <c r="AM148" s="471"/>
      <c r="AN148" s="471"/>
      <c r="AO148" s="471"/>
      <c r="AP148" s="471"/>
      <c r="AQ148" s="471"/>
      <c r="AR148" s="471"/>
      <c r="AS148" s="471"/>
      <c r="AT148" s="471"/>
      <c r="AU148" s="471"/>
      <c r="AV148" s="471"/>
      <c r="AW148" s="471"/>
      <c r="AX148" s="471"/>
      <c r="AY148" s="471"/>
      <c r="AZ148" s="471"/>
      <c r="BA148" s="471"/>
      <c r="BB148" s="471"/>
      <c r="BC148" s="471"/>
      <c r="BD148" s="471"/>
      <c r="BE148" s="471"/>
      <c r="BF148" s="471"/>
      <c r="BG148" s="471"/>
      <c r="BH148" s="471"/>
    </row>
    <row r="149" spans="1:60" x14ac:dyDescent="0.25">
      <c r="A149" s="77" t="s">
        <v>16</v>
      </c>
      <c r="B149" s="233">
        <v>0</v>
      </c>
      <c r="C149" s="13">
        <v>0</v>
      </c>
      <c r="D149" s="13">
        <v>0</v>
      </c>
      <c r="E149" s="13">
        <v>0</v>
      </c>
      <c r="F149" s="13">
        <v>0</v>
      </c>
      <c r="G149" s="13">
        <v>0</v>
      </c>
      <c r="H149" s="13">
        <v>0</v>
      </c>
      <c r="I149" s="11">
        <f t="shared" si="63"/>
        <v>0</v>
      </c>
      <c r="J149" s="470">
        <f t="shared" si="64"/>
        <v>0</v>
      </c>
      <c r="K149" s="471"/>
      <c r="L149" s="471"/>
      <c r="M149" s="471"/>
      <c r="N149" s="471"/>
      <c r="O149" s="471"/>
      <c r="P149" s="471"/>
      <c r="Q149" s="471"/>
      <c r="R149" s="471"/>
      <c r="S149" s="471"/>
      <c r="T149" s="471"/>
      <c r="U149" s="471"/>
      <c r="V149" s="471"/>
      <c r="W149" s="471"/>
      <c r="X149" s="471"/>
      <c r="Y149" s="471"/>
      <c r="Z149" s="471"/>
      <c r="AA149" s="471"/>
      <c r="AB149" s="471"/>
      <c r="AC149" s="471"/>
      <c r="AD149" s="471"/>
      <c r="AE149" s="471"/>
      <c r="AF149" s="471"/>
      <c r="AG149" s="471"/>
      <c r="AH149" s="471"/>
      <c r="AI149" s="471"/>
      <c r="AJ149" s="471"/>
      <c r="AK149" s="471"/>
      <c r="AL149" s="471"/>
      <c r="AM149" s="471"/>
      <c r="AN149" s="471"/>
      <c r="AO149" s="471"/>
      <c r="AP149" s="471"/>
      <c r="AQ149" s="471"/>
      <c r="AR149" s="471"/>
      <c r="AS149" s="471"/>
      <c r="AT149" s="471"/>
      <c r="AU149" s="471"/>
      <c r="AV149" s="471"/>
      <c r="AW149" s="471"/>
      <c r="AX149" s="471"/>
      <c r="AY149" s="471"/>
      <c r="AZ149" s="471"/>
      <c r="BA149" s="471"/>
      <c r="BB149" s="471"/>
      <c r="BC149" s="471"/>
      <c r="BD149" s="471"/>
      <c r="BE149" s="471"/>
      <c r="BF149" s="471"/>
      <c r="BG149" s="471"/>
      <c r="BH149" s="471"/>
    </row>
    <row r="150" spans="1:60" x14ac:dyDescent="0.25">
      <c r="A150" s="79" t="s">
        <v>17</v>
      </c>
      <c r="B150" s="102">
        <f t="shared" ref="B150:I150" si="65">SUM(B145:B149)</f>
        <v>108</v>
      </c>
      <c r="C150" s="102">
        <f t="shared" si="65"/>
        <v>109</v>
      </c>
      <c r="D150" s="102">
        <f t="shared" si="65"/>
        <v>124</v>
      </c>
      <c r="E150" s="102">
        <f t="shared" si="65"/>
        <v>129</v>
      </c>
      <c r="F150" s="102">
        <f t="shared" si="65"/>
        <v>207</v>
      </c>
      <c r="G150" s="79">
        <f t="shared" si="65"/>
        <v>156</v>
      </c>
      <c r="H150" s="79">
        <f t="shared" si="65"/>
        <v>157</v>
      </c>
      <c r="I150" s="472">
        <f t="shared" si="65"/>
        <v>990</v>
      </c>
      <c r="J150" s="473">
        <f t="shared" si="64"/>
        <v>141.42857142857142</v>
      </c>
      <c r="K150" s="474"/>
      <c r="L150" s="474"/>
      <c r="M150" s="474"/>
      <c r="N150" s="474"/>
      <c r="O150" s="474"/>
      <c r="P150" s="474"/>
      <c r="Q150" s="474"/>
      <c r="R150" s="474"/>
      <c r="S150" s="474"/>
      <c r="T150" s="474"/>
      <c r="U150" s="474"/>
      <c r="V150" s="474"/>
      <c r="W150" s="474"/>
      <c r="X150" s="474"/>
      <c r="Y150" s="474"/>
      <c r="Z150" s="474"/>
      <c r="AA150" s="474"/>
      <c r="AB150" s="474"/>
      <c r="AC150" s="474"/>
      <c r="AD150" s="474"/>
      <c r="AE150" s="474"/>
      <c r="AF150" s="474"/>
      <c r="AG150" s="474"/>
      <c r="AH150" s="474"/>
      <c r="AI150" s="474"/>
      <c r="AJ150" s="474"/>
      <c r="AK150" s="474"/>
      <c r="AL150" s="474"/>
      <c r="AM150" s="474"/>
      <c r="AN150" s="474"/>
      <c r="AO150" s="474"/>
      <c r="AP150" s="474"/>
      <c r="AQ150" s="474"/>
      <c r="AR150" s="474"/>
      <c r="AS150" s="474"/>
      <c r="AT150" s="474"/>
      <c r="AU150" s="474"/>
      <c r="AV150" s="474"/>
      <c r="AW150" s="474"/>
      <c r="AX150" s="474"/>
      <c r="AY150" s="474"/>
      <c r="AZ150" s="474"/>
      <c r="BA150" s="474"/>
      <c r="BB150" s="474"/>
      <c r="BC150" s="474"/>
      <c r="BD150" s="474"/>
      <c r="BE150" s="474"/>
      <c r="BF150" s="474"/>
      <c r="BG150" s="474"/>
      <c r="BH150" s="474"/>
    </row>
    <row r="151" spans="1:60" x14ac:dyDescent="0.25">
      <c r="A151" s="77" t="s">
        <v>18</v>
      </c>
      <c r="B151" s="234">
        <v>0.59</v>
      </c>
      <c r="C151" s="235">
        <v>0.48</v>
      </c>
      <c r="D151" s="235">
        <v>0.43</v>
      </c>
      <c r="E151" s="236">
        <v>0.57999999999999996</v>
      </c>
      <c r="F151" s="236">
        <v>0.38</v>
      </c>
      <c r="G151" s="236">
        <v>0.53</v>
      </c>
      <c r="H151" s="236">
        <v>0.68</v>
      </c>
      <c r="I151" s="18">
        <f>I158/I163</f>
        <v>0.51797173865400392</v>
      </c>
      <c r="J151" s="475">
        <f>J158/J163</f>
        <v>0.51797173865400392</v>
      </c>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row>
    <row r="152" spans="1:60" x14ac:dyDescent="0.25">
      <c r="A152" s="77" t="s">
        <v>19</v>
      </c>
      <c r="B152" s="234">
        <v>0</v>
      </c>
      <c r="C152" s="235">
        <v>0.01</v>
      </c>
      <c r="D152" s="235">
        <v>0.02</v>
      </c>
      <c r="E152" s="236">
        <v>0</v>
      </c>
      <c r="F152" s="236">
        <v>0.01</v>
      </c>
      <c r="G152" s="236">
        <v>0.02</v>
      </c>
      <c r="H152" s="236">
        <v>0.01</v>
      </c>
      <c r="I152" s="18">
        <f>I159/I163</f>
        <v>1.060168223615084E-2</v>
      </c>
      <c r="J152" s="475">
        <f>J159/J163</f>
        <v>1.060168223615084E-2</v>
      </c>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row>
    <row r="153" spans="1:60" x14ac:dyDescent="0.25">
      <c r="A153" s="77" t="s">
        <v>20</v>
      </c>
      <c r="B153" s="234">
        <v>0.41</v>
      </c>
      <c r="C153" s="235">
        <v>0.51</v>
      </c>
      <c r="D153" s="235">
        <v>0.55000000000000004</v>
      </c>
      <c r="E153" s="236">
        <v>0.41</v>
      </c>
      <c r="F153" s="236">
        <v>0.61</v>
      </c>
      <c r="G153" s="236">
        <v>0.45</v>
      </c>
      <c r="H153" s="236">
        <v>0.31</v>
      </c>
      <c r="I153" s="18">
        <f>I160/I163</f>
        <v>0.47014523915619999</v>
      </c>
      <c r="J153" s="475">
        <f>J160/J163</f>
        <v>0.47014523915620005</v>
      </c>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row>
    <row r="154" spans="1:60" x14ac:dyDescent="0.25">
      <c r="A154" s="77" t="s">
        <v>21</v>
      </c>
      <c r="B154" s="234">
        <v>0</v>
      </c>
      <c r="C154" s="235">
        <v>0</v>
      </c>
      <c r="D154" s="235">
        <v>0</v>
      </c>
      <c r="E154" s="236">
        <v>0.01</v>
      </c>
      <c r="F154" s="236">
        <v>0</v>
      </c>
      <c r="G154" s="236">
        <v>0</v>
      </c>
      <c r="H154" s="236">
        <v>0</v>
      </c>
      <c r="I154" s="18">
        <f>I161/I163</f>
        <v>1.2813399536451594E-3</v>
      </c>
      <c r="J154" s="475">
        <f>J161/J163</f>
        <v>1.2813399536451594E-3</v>
      </c>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row>
    <row r="155" spans="1:60" x14ac:dyDescent="0.25">
      <c r="A155" s="77" t="s">
        <v>22</v>
      </c>
      <c r="B155" s="234">
        <v>0</v>
      </c>
      <c r="C155" s="235">
        <v>0</v>
      </c>
      <c r="D155" s="235">
        <v>0</v>
      </c>
      <c r="E155" s="236">
        <v>0</v>
      </c>
      <c r="F155" s="236">
        <v>0</v>
      </c>
      <c r="G155" s="236">
        <v>0</v>
      </c>
      <c r="H155" s="236">
        <v>0</v>
      </c>
      <c r="I155" s="18">
        <f>I162/I163</f>
        <v>0</v>
      </c>
      <c r="J155" s="475">
        <f>J162/J163</f>
        <v>0</v>
      </c>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row>
    <row r="156" spans="1:60" x14ac:dyDescent="0.25">
      <c r="A156" s="81" t="s">
        <v>23</v>
      </c>
      <c r="B156" s="409">
        <f t="shared" ref="B156:J156" si="66">B167/B150</f>
        <v>29357.407407407409</v>
      </c>
      <c r="C156" s="409">
        <f t="shared" si="66"/>
        <v>31337.614678899088</v>
      </c>
      <c r="D156" s="409">
        <f t="shared" si="66"/>
        <v>30417.741935483871</v>
      </c>
      <c r="E156" s="409">
        <f t="shared" si="66"/>
        <v>32082.17054263566</v>
      </c>
      <c r="F156" s="409">
        <f t="shared" si="66"/>
        <v>32921.739130434784</v>
      </c>
      <c r="G156" s="130">
        <f t="shared" si="66"/>
        <v>34652.564102564102</v>
      </c>
      <c r="H156" s="130">
        <f t="shared" si="66"/>
        <v>34451.592356687906</v>
      </c>
      <c r="I156" s="359">
        <f t="shared" si="66"/>
        <v>32450.808080808085</v>
      </c>
      <c r="J156" s="477">
        <f t="shared" si="66"/>
        <v>32450.808080808089</v>
      </c>
      <c r="K156" s="478"/>
      <c r="L156" s="478"/>
      <c r="M156" s="478"/>
      <c r="N156" s="478"/>
      <c r="O156" s="478"/>
      <c r="P156" s="478"/>
      <c r="Q156" s="478"/>
      <c r="R156" s="478"/>
      <c r="S156" s="478"/>
      <c r="T156" s="478"/>
      <c r="U156" s="478"/>
      <c r="V156" s="478"/>
      <c r="W156" s="478"/>
      <c r="X156" s="478"/>
      <c r="Y156" s="478"/>
      <c r="Z156" s="478"/>
      <c r="AA156" s="478"/>
      <c r="AB156" s="478"/>
      <c r="AC156" s="478"/>
      <c r="AD156" s="478"/>
      <c r="AE156" s="478"/>
      <c r="AF156" s="478"/>
      <c r="AG156" s="478"/>
      <c r="AH156" s="478"/>
      <c r="AI156" s="478"/>
      <c r="AJ156" s="478"/>
      <c r="AK156" s="478"/>
      <c r="AL156" s="478"/>
      <c r="AM156" s="478"/>
      <c r="AN156" s="478"/>
      <c r="AO156" s="478"/>
      <c r="AP156" s="478"/>
      <c r="AQ156" s="478"/>
      <c r="AR156" s="478"/>
      <c r="AS156" s="478"/>
      <c r="AT156" s="478"/>
      <c r="AU156" s="478"/>
      <c r="AV156" s="478"/>
      <c r="AW156" s="478"/>
      <c r="AX156" s="478"/>
      <c r="AY156" s="478"/>
      <c r="AZ156" s="478"/>
      <c r="BA156" s="478"/>
      <c r="BB156" s="478"/>
      <c r="BC156" s="478"/>
      <c r="BD156" s="478"/>
      <c r="BE156" s="478"/>
      <c r="BF156" s="478"/>
      <c r="BG156" s="478"/>
      <c r="BH156" s="478"/>
    </row>
    <row r="157" spans="1:60" x14ac:dyDescent="0.25">
      <c r="A157" s="81" t="s">
        <v>24</v>
      </c>
      <c r="B157" s="409">
        <f t="shared" ref="B157:J157" si="67">B167/B144</f>
        <v>28823.636363636364</v>
      </c>
      <c r="C157" s="409">
        <f t="shared" si="67"/>
        <v>28465.000000000004</v>
      </c>
      <c r="D157" s="409">
        <f t="shared" si="67"/>
        <v>29699.212598425198</v>
      </c>
      <c r="E157" s="409">
        <f t="shared" si="67"/>
        <v>28941.258741258742</v>
      </c>
      <c r="F157" s="409">
        <f t="shared" si="67"/>
        <v>28160.330578512399</v>
      </c>
      <c r="G157" s="130">
        <f t="shared" si="67"/>
        <v>30714.772727272728</v>
      </c>
      <c r="H157" s="130">
        <f t="shared" si="67"/>
        <v>32583.734939759041</v>
      </c>
      <c r="I157" s="359">
        <f t="shared" si="67"/>
        <v>29636.808118081186</v>
      </c>
      <c r="J157" s="477">
        <f t="shared" si="67"/>
        <v>29636.808118081182</v>
      </c>
      <c r="K157" s="478"/>
      <c r="L157" s="478"/>
      <c r="M157" s="478"/>
      <c r="N157" s="478"/>
      <c r="O157" s="478"/>
      <c r="P157" s="478"/>
      <c r="Q157" s="478"/>
      <c r="R157" s="478"/>
      <c r="S157" s="478"/>
      <c r="T157" s="478"/>
      <c r="U157" s="478"/>
      <c r="V157" s="478"/>
      <c r="W157" s="478"/>
      <c r="X157" s="478"/>
      <c r="Y157" s="478"/>
      <c r="Z157" s="478"/>
      <c r="AA157" s="478"/>
      <c r="AB157" s="478"/>
      <c r="AC157" s="478"/>
      <c r="AD157" s="478"/>
      <c r="AE157" s="478"/>
      <c r="AF157" s="478"/>
      <c r="AG157" s="478"/>
      <c r="AH157" s="478"/>
      <c r="AI157" s="478"/>
      <c r="AJ157" s="478"/>
      <c r="AK157" s="478"/>
      <c r="AL157" s="478"/>
      <c r="AM157" s="478"/>
      <c r="AN157" s="478"/>
      <c r="AO157" s="478"/>
      <c r="AP157" s="478"/>
      <c r="AQ157" s="478"/>
      <c r="AR157" s="478"/>
      <c r="AS157" s="478"/>
      <c r="AT157" s="478"/>
      <c r="AU157" s="478"/>
      <c r="AV157" s="478"/>
      <c r="AW157" s="478"/>
      <c r="AX157" s="478"/>
      <c r="AY157" s="478"/>
      <c r="AZ157" s="478"/>
      <c r="BA157" s="478"/>
      <c r="BB157" s="478"/>
      <c r="BC157" s="478"/>
      <c r="BD157" s="478"/>
      <c r="BE157" s="478"/>
      <c r="BF157" s="478"/>
      <c r="BG157" s="478"/>
      <c r="BH157" s="478"/>
    </row>
    <row r="158" spans="1:60" x14ac:dyDescent="0.25">
      <c r="A158" s="77" t="s">
        <v>25</v>
      </c>
      <c r="B158" s="255">
        <f t="shared" ref="B158:H158" si="68">B163*B151</f>
        <v>1545245.9086206895</v>
      </c>
      <c r="C158" s="255">
        <f t="shared" si="68"/>
        <v>1373092.8827586209</v>
      </c>
      <c r="D158" s="255">
        <f t="shared" si="68"/>
        <v>1356467.9913793104</v>
      </c>
      <c r="E158" s="255">
        <f t="shared" si="68"/>
        <v>1986806.5999999999</v>
      </c>
      <c r="F158" s="255">
        <f t="shared" si="68"/>
        <v>2175930.3827586211</v>
      </c>
      <c r="G158" s="92">
        <f t="shared" si="68"/>
        <v>2384230.1293103453</v>
      </c>
      <c r="H158" s="92">
        <f t="shared" si="68"/>
        <v>3025659.8827586211</v>
      </c>
      <c r="I158" s="108">
        <f>SUM(B158:H158)</f>
        <v>13847433.777586209</v>
      </c>
      <c r="J158" s="479">
        <f t="shared" ref="J158:J163" si="69">+$I158/7</f>
        <v>1978204.8253694584</v>
      </c>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c r="AO158" s="480"/>
      <c r="AP158" s="480"/>
      <c r="AQ158" s="480"/>
      <c r="AR158" s="480"/>
      <c r="AS158" s="480"/>
      <c r="AT158" s="480"/>
      <c r="AU158" s="480"/>
      <c r="AV158" s="480"/>
      <c r="AW158" s="480"/>
      <c r="AX158" s="480"/>
      <c r="AY158" s="480"/>
      <c r="AZ158" s="480"/>
      <c r="BA158" s="480"/>
      <c r="BB158" s="480"/>
      <c r="BC158" s="480"/>
      <c r="BD158" s="480"/>
      <c r="BE158" s="480"/>
      <c r="BF158" s="480"/>
      <c r="BG158" s="480"/>
      <c r="BH158" s="480"/>
    </row>
    <row r="159" spans="1:60" x14ac:dyDescent="0.25">
      <c r="A159" s="77" t="s">
        <v>26</v>
      </c>
      <c r="B159" s="255">
        <f t="shared" ref="B159:H159" si="70">B163*B152</f>
        <v>0</v>
      </c>
      <c r="C159" s="255">
        <f t="shared" si="70"/>
        <v>28606.101724137934</v>
      </c>
      <c r="D159" s="255">
        <f t="shared" si="70"/>
        <v>63091.534482758623</v>
      </c>
      <c r="E159" s="255">
        <f t="shared" si="70"/>
        <v>0</v>
      </c>
      <c r="F159" s="255">
        <f t="shared" si="70"/>
        <v>57261.325862068974</v>
      </c>
      <c r="G159" s="92">
        <f t="shared" si="70"/>
        <v>89970.948275862072</v>
      </c>
      <c r="H159" s="92">
        <f t="shared" si="70"/>
        <v>44494.998275862075</v>
      </c>
      <c r="I159" s="108">
        <f>SUM(B159:H159)</f>
        <v>283424.9086206897</v>
      </c>
      <c r="J159" s="479">
        <f t="shared" si="69"/>
        <v>40489.272660098526</v>
      </c>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c r="AO159" s="480"/>
      <c r="AP159" s="480"/>
      <c r="AQ159" s="480"/>
      <c r="AR159" s="480"/>
      <c r="AS159" s="480"/>
      <c r="AT159" s="480"/>
      <c r="AU159" s="480"/>
      <c r="AV159" s="480"/>
      <c r="AW159" s="480"/>
      <c r="AX159" s="480"/>
      <c r="AY159" s="480"/>
      <c r="AZ159" s="480"/>
      <c r="BA159" s="480"/>
      <c r="BB159" s="480"/>
      <c r="BC159" s="480"/>
      <c r="BD159" s="480"/>
      <c r="BE159" s="480"/>
      <c r="BF159" s="480"/>
      <c r="BG159" s="480"/>
      <c r="BH159" s="480"/>
    </row>
    <row r="160" spans="1:60" x14ac:dyDescent="0.25">
      <c r="A160" s="77" t="s">
        <v>27</v>
      </c>
      <c r="B160" s="255">
        <f t="shared" ref="B160:H160" si="71">B163*B153</f>
        <v>1073814.9534482758</v>
      </c>
      <c r="C160" s="255">
        <f t="shared" si="71"/>
        <v>1458911.1879310347</v>
      </c>
      <c r="D160" s="255">
        <f t="shared" si="71"/>
        <v>1735017.1982758623</v>
      </c>
      <c r="E160" s="255">
        <f t="shared" si="71"/>
        <v>1404466.7344827584</v>
      </c>
      <c r="F160" s="255">
        <f t="shared" si="71"/>
        <v>3492940.8775862074</v>
      </c>
      <c r="G160" s="92">
        <f t="shared" si="71"/>
        <v>2024346.3362068967</v>
      </c>
      <c r="H160" s="92">
        <f t="shared" si="71"/>
        <v>1379344.9465517243</v>
      </c>
      <c r="I160" s="108">
        <f>SUM(B160:H160)</f>
        <v>12568842.234482758</v>
      </c>
      <c r="J160" s="479">
        <f t="shared" si="69"/>
        <v>1795548.8906403941</v>
      </c>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c r="AO160" s="480"/>
      <c r="AP160" s="480"/>
      <c r="AQ160" s="480"/>
      <c r="AR160" s="480"/>
      <c r="AS160" s="480"/>
      <c r="AT160" s="480"/>
      <c r="AU160" s="480"/>
      <c r="AV160" s="480"/>
      <c r="AW160" s="480"/>
      <c r="AX160" s="480"/>
      <c r="AY160" s="480"/>
      <c r="AZ160" s="480"/>
      <c r="BA160" s="480"/>
      <c r="BB160" s="480"/>
      <c r="BC160" s="480"/>
      <c r="BD160" s="480"/>
      <c r="BE160" s="480"/>
      <c r="BF160" s="480"/>
      <c r="BG160" s="480"/>
      <c r="BH160" s="480"/>
    </row>
    <row r="161" spans="1:60" x14ac:dyDescent="0.25">
      <c r="A161" s="77" t="s">
        <v>28</v>
      </c>
      <c r="B161" s="255">
        <f t="shared" ref="B161:H161" si="72">B163*B154</f>
        <v>0</v>
      </c>
      <c r="C161" s="255">
        <f t="shared" si="72"/>
        <v>0</v>
      </c>
      <c r="D161" s="255">
        <f t="shared" si="72"/>
        <v>0</v>
      </c>
      <c r="E161" s="255">
        <f t="shared" si="72"/>
        <v>34255.286206896555</v>
      </c>
      <c r="F161" s="255">
        <f t="shared" si="72"/>
        <v>0</v>
      </c>
      <c r="G161" s="92">
        <f t="shared" si="72"/>
        <v>0</v>
      </c>
      <c r="H161" s="92">
        <f t="shared" si="72"/>
        <v>0</v>
      </c>
      <c r="I161" s="108">
        <f>SUM(B161:H161)</f>
        <v>34255.286206896555</v>
      </c>
      <c r="J161" s="479">
        <f t="shared" si="69"/>
        <v>4893.6123152709361</v>
      </c>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c r="AO161" s="480"/>
      <c r="AP161" s="480"/>
      <c r="AQ161" s="480"/>
      <c r="AR161" s="480"/>
      <c r="AS161" s="480"/>
      <c r="AT161" s="480"/>
      <c r="AU161" s="480"/>
      <c r="AV161" s="480"/>
      <c r="AW161" s="480"/>
      <c r="AX161" s="480"/>
      <c r="AY161" s="480"/>
      <c r="AZ161" s="480"/>
      <c r="BA161" s="480"/>
      <c r="BB161" s="480"/>
      <c r="BC161" s="480"/>
      <c r="BD161" s="480"/>
      <c r="BE161" s="480"/>
      <c r="BF161" s="480"/>
      <c r="BG161" s="480"/>
      <c r="BH161" s="480"/>
    </row>
    <row r="162" spans="1:60" x14ac:dyDescent="0.25">
      <c r="A162" s="77" t="s">
        <v>29</v>
      </c>
      <c r="B162" s="255">
        <f t="shared" ref="B162:H162" si="73">B163*B155</f>
        <v>0</v>
      </c>
      <c r="C162" s="255">
        <f t="shared" si="73"/>
        <v>0</v>
      </c>
      <c r="D162" s="255">
        <f t="shared" si="73"/>
        <v>0</v>
      </c>
      <c r="E162" s="255">
        <f t="shared" si="73"/>
        <v>0</v>
      </c>
      <c r="F162" s="255">
        <f t="shared" si="73"/>
        <v>0</v>
      </c>
      <c r="G162" s="92">
        <f t="shared" si="73"/>
        <v>0</v>
      </c>
      <c r="H162" s="92">
        <f t="shared" si="73"/>
        <v>0</v>
      </c>
      <c r="I162" s="108">
        <f>SUM(B162:H162)</f>
        <v>0</v>
      </c>
      <c r="J162" s="479">
        <f t="shared" si="69"/>
        <v>0</v>
      </c>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480"/>
      <c r="BB162" s="480"/>
      <c r="BC162" s="480"/>
      <c r="BD162" s="480"/>
      <c r="BE162" s="480"/>
      <c r="BF162" s="480"/>
      <c r="BG162" s="480"/>
      <c r="BH162" s="480"/>
    </row>
    <row r="163" spans="1:60" x14ac:dyDescent="0.25">
      <c r="A163" s="82" t="s">
        <v>30</v>
      </c>
      <c r="B163" s="222">
        <f>(3170600/1.16)-B164</f>
        <v>2619060.8620689656</v>
      </c>
      <c r="C163" s="222">
        <f>(3415800/1.16)-C164</f>
        <v>2860610.1724137934</v>
      </c>
      <c r="D163" s="222">
        <f>(3771800/1.16)-D164</f>
        <v>3154576.7241379311</v>
      </c>
      <c r="E163" s="222">
        <f>(4138600/1.16)-E164</f>
        <v>3425528.6206896552</v>
      </c>
      <c r="F163" s="222">
        <f>(6814800/1.16)-F164</f>
        <v>5726132.5862068972</v>
      </c>
      <c r="G163" s="222">
        <f>(5405800/1.16)-G164</f>
        <v>4498547.4137931038</v>
      </c>
      <c r="H163" s="222">
        <f>(5408900/1.16)-H164</f>
        <v>4449499.8275862075</v>
      </c>
      <c r="I163" s="111">
        <f>SUM(I158:I162)</f>
        <v>26733956.206896555</v>
      </c>
      <c r="J163" s="481">
        <f t="shared" si="69"/>
        <v>3819136.600985222</v>
      </c>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c r="AO163" s="480"/>
      <c r="AP163" s="480"/>
      <c r="AQ163" s="480"/>
      <c r="AR163" s="480"/>
      <c r="AS163" s="480"/>
      <c r="AT163" s="480"/>
      <c r="AU163" s="480"/>
      <c r="AV163" s="480"/>
      <c r="AW163" s="480"/>
      <c r="AX163" s="480"/>
      <c r="AY163" s="480"/>
      <c r="AZ163" s="480"/>
      <c r="BA163" s="480"/>
      <c r="BB163" s="480"/>
      <c r="BC163" s="480"/>
      <c r="BD163" s="480"/>
      <c r="BE163" s="480"/>
      <c r="BF163" s="480"/>
      <c r="BG163" s="480"/>
      <c r="BH163" s="480"/>
    </row>
    <row r="164" spans="1:60" x14ac:dyDescent="0.25">
      <c r="A164" s="77" t="s">
        <v>31</v>
      </c>
      <c r="B164" s="263">
        <f t="shared" ref="B164:H164" si="74">2155*B145</f>
        <v>114215</v>
      </c>
      <c r="C164" s="263">
        <f t="shared" si="74"/>
        <v>84045</v>
      </c>
      <c r="D164" s="263">
        <f t="shared" si="74"/>
        <v>96975</v>
      </c>
      <c r="E164" s="263">
        <f t="shared" si="74"/>
        <v>142230</v>
      </c>
      <c r="F164" s="263">
        <f t="shared" si="74"/>
        <v>148695</v>
      </c>
      <c r="G164" s="94">
        <f t="shared" si="74"/>
        <v>161625</v>
      </c>
      <c r="H164" s="94">
        <f t="shared" si="74"/>
        <v>213345</v>
      </c>
      <c r="I164" s="109">
        <f>I145*2155</f>
        <v>961130</v>
      </c>
      <c r="J164" s="482">
        <f>2155*J145</f>
        <v>137304.28571428571</v>
      </c>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83"/>
      <c r="AT164" s="483"/>
      <c r="AU164" s="483"/>
      <c r="AV164" s="483"/>
      <c r="AW164" s="483"/>
      <c r="AX164" s="483"/>
      <c r="AY164" s="483"/>
      <c r="AZ164" s="483"/>
      <c r="BA164" s="483"/>
      <c r="BB164" s="483"/>
      <c r="BC164" s="483"/>
      <c r="BD164" s="483"/>
      <c r="BE164" s="483"/>
      <c r="BF164" s="483"/>
      <c r="BG164" s="483"/>
      <c r="BH164" s="483"/>
    </row>
    <row r="165" spans="1:60" x14ac:dyDescent="0.25">
      <c r="A165" s="83" t="s">
        <v>32</v>
      </c>
      <c r="B165" s="411">
        <f t="shared" ref="B165:J165" si="75">B163+B164</f>
        <v>2733275.8620689656</v>
      </c>
      <c r="C165" s="411">
        <f t="shared" si="75"/>
        <v>2944655.1724137934</v>
      </c>
      <c r="D165" s="411">
        <f t="shared" si="75"/>
        <v>3251551.7241379311</v>
      </c>
      <c r="E165" s="411">
        <f t="shared" si="75"/>
        <v>3567758.6206896552</v>
      </c>
      <c r="F165" s="411">
        <f t="shared" si="75"/>
        <v>5874827.5862068972</v>
      </c>
      <c r="G165" s="39">
        <f t="shared" si="75"/>
        <v>4660172.4137931038</v>
      </c>
      <c r="H165" s="39">
        <f t="shared" si="75"/>
        <v>4662844.8275862075</v>
      </c>
      <c r="I165" s="412">
        <f t="shared" si="75"/>
        <v>27695086.206896555</v>
      </c>
      <c r="J165" s="484">
        <f t="shared" si="75"/>
        <v>3956440.8866995079</v>
      </c>
      <c r="K165" s="485"/>
      <c r="L165" s="485"/>
      <c r="M165" s="485"/>
      <c r="N165" s="485"/>
      <c r="O165" s="485"/>
      <c r="P165" s="485"/>
      <c r="Q165" s="485"/>
      <c r="R165" s="485"/>
      <c r="S165" s="485"/>
      <c r="T165" s="485"/>
      <c r="U165" s="485"/>
      <c r="V165" s="485"/>
      <c r="W165" s="485"/>
      <c r="X165" s="485"/>
      <c r="Y165" s="485"/>
      <c r="Z165" s="485"/>
      <c r="AA165" s="485"/>
      <c r="AB165" s="485"/>
      <c r="AC165" s="485"/>
      <c r="AD165" s="485"/>
      <c r="AE165" s="485"/>
      <c r="AF165" s="485"/>
      <c r="AG165" s="485"/>
      <c r="AH165" s="485"/>
      <c r="AI165" s="485"/>
      <c r="AJ165" s="485"/>
      <c r="AK165" s="485"/>
      <c r="AL165" s="485"/>
      <c r="AM165" s="485"/>
      <c r="AN165" s="485"/>
      <c r="AO165" s="485"/>
      <c r="AP165" s="485"/>
      <c r="AQ165" s="485"/>
      <c r="AR165" s="485"/>
      <c r="AS165" s="485"/>
      <c r="AT165" s="485"/>
      <c r="AU165" s="485"/>
      <c r="AV165" s="485"/>
      <c r="AW165" s="485"/>
      <c r="AX165" s="485"/>
      <c r="AY165" s="485"/>
      <c r="AZ165" s="485"/>
      <c r="BA165" s="485"/>
      <c r="BB165" s="485"/>
      <c r="BC165" s="485"/>
      <c r="BD165" s="485"/>
      <c r="BE165" s="485"/>
      <c r="BF165" s="485"/>
      <c r="BG165" s="485"/>
      <c r="BH165" s="485"/>
    </row>
    <row r="166" spans="1:60" x14ac:dyDescent="0.25">
      <c r="A166" s="77" t="s">
        <v>33</v>
      </c>
      <c r="B166" s="413">
        <f t="shared" ref="B166:J166" si="76">B165*16%</f>
        <v>437324.13793103449</v>
      </c>
      <c r="C166" s="413">
        <f t="shared" si="76"/>
        <v>471144.82758620696</v>
      </c>
      <c r="D166" s="413">
        <f t="shared" si="76"/>
        <v>520248.27586206899</v>
      </c>
      <c r="E166" s="413">
        <f t="shared" si="76"/>
        <v>570841.37931034481</v>
      </c>
      <c r="F166" s="413">
        <f t="shared" si="76"/>
        <v>939972.41379310354</v>
      </c>
      <c r="G166" s="41">
        <f t="shared" si="76"/>
        <v>745627.58620689658</v>
      </c>
      <c r="H166" s="41">
        <f t="shared" si="76"/>
        <v>746055.17241379328</v>
      </c>
      <c r="I166" s="414">
        <f t="shared" si="76"/>
        <v>4431213.793103449</v>
      </c>
      <c r="J166" s="486">
        <f t="shared" si="76"/>
        <v>633030.54187192128</v>
      </c>
      <c r="K166" s="487"/>
      <c r="L166" s="487"/>
      <c r="M166" s="487"/>
      <c r="N166" s="487"/>
      <c r="O166" s="487"/>
      <c r="P166" s="487"/>
      <c r="Q166" s="487"/>
      <c r="R166" s="487"/>
      <c r="S166" s="487"/>
      <c r="T166" s="487"/>
      <c r="U166" s="487"/>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7"/>
    </row>
    <row r="167" spans="1:60" x14ac:dyDescent="0.25">
      <c r="A167" s="142" t="s">
        <v>34</v>
      </c>
      <c r="B167" s="438">
        <f t="shared" ref="B167:I167" si="77">B165+B166</f>
        <v>3170600</v>
      </c>
      <c r="C167" s="438">
        <f t="shared" si="77"/>
        <v>3415800.0000000005</v>
      </c>
      <c r="D167" s="438">
        <f t="shared" si="77"/>
        <v>3771800</v>
      </c>
      <c r="E167" s="438">
        <f t="shared" si="77"/>
        <v>4138600</v>
      </c>
      <c r="F167" s="438">
        <f t="shared" si="77"/>
        <v>6814800.0000000009</v>
      </c>
      <c r="G167" s="144">
        <f t="shared" si="77"/>
        <v>5405800</v>
      </c>
      <c r="H167" s="144">
        <f t="shared" si="77"/>
        <v>5408900.0000000009</v>
      </c>
      <c r="I167" s="440">
        <f t="shared" si="77"/>
        <v>32126300.000000004</v>
      </c>
      <c r="J167" s="488">
        <f>+$I167/7</f>
        <v>4589471.4285714291</v>
      </c>
      <c r="K167" s="489"/>
      <c r="L167" s="489"/>
      <c r="M167" s="489"/>
      <c r="N167" s="489"/>
      <c r="O167" s="489"/>
      <c r="P167" s="489"/>
      <c r="Q167" s="489"/>
      <c r="R167" s="489"/>
      <c r="S167" s="489"/>
      <c r="T167" s="489"/>
      <c r="U167" s="489"/>
      <c r="V167" s="489"/>
      <c r="W167" s="489"/>
      <c r="X167" s="489"/>
      <c r="Y167" s="489"/>
      <c r="Z167" s="489"/>
      <c r="AA167" s="489"/>
      <c r="AB167" s="489"/>
      <c r="AC167" s="489"/>
      <c r="AD167" s="489"/>
      <c r="AE167" s="489"/>
      <c r="AF167" s="489"/>
      <c r="AG167" s="489"/>
      <c r="AH167" s="489"/>
      <c r="AI167" s="489"/>
      <c r="AJ167" s="489"/>
      <c r="AK167" s="489"/>
      <c r="AL167" s="489"/>
      <c r="AM167" s="489"/>
      <c r="AN167" s="489"/>
      <c r="AO167" s="489"/>
      <c r="AP167" s="489"/>
      <c r="AQ167" s="489"/>
      <c r="AR167" s="489"/>
      <c r="AS167" s="489"/>
      <c r="AT167" s="489"/>
      <c r="AU167" s="489"/>
      <c r="AV167" s="489"/>
      <c r="AW167" s="489"/>
      <c r="AX167" s="489"/>
      <c r="AY167" s="489"/>
      <c r="AZ167" s="489"/>
      <c r="BA167" s="489"/>
      <c r="BB167" s="489"/>
      <c r="BC167" s="489"/>
      <c r="BD167" s="489"/>
      <c r="BE167" s="489"/>
      <c r="BF167" s="489"/>
      <c r="BG167" s="489"/>
      <c r="BH167" s="489"/>
    </row>
    <row r="170" spans="1:60" ht="26.25" x14ac:dyDescent="0.25">
      <c r="A170" s="85"/>
      <c r="B170" s="1002" t="s">
        <v>358</v>
      </c>
      <c r="C170" s="1002"/>
      <c r="D170" s="1002"/>
      <c r="E170" s="1002"/>
      <c r="F170" s="1002"/>
      <c r="G170" s="1002"/>
      <c r="H170" s="1002"/>
      <c r="I170" s="1002"/>
    </row>
    <row r="171" spans="1:60" ht="15.75" x14ac:dyDescent="0.25">
      <c r="A171" s="72" t="s">
        <v>2</v>
      </c>
      <c r="B171" s="121" t="s">
        <v>233</v>
      </c>
      <c r="C171" s="121" t="s">
        <v>234</v>
      </c>
      <c r="D171" s="121" t="s">
        <v>235</v>
      </c>
      <c r="E171" s="121" t="s">
        <v>236</v>
      </c>
      <c r="F171" s="121" t="s">
        <v>237</v>
      </c>
      <c r="G171" s="121" t="s">
        <v>238</v>
      </c>
      <c r="H171" s="121" t="s">
        <v>239</v>
      </c>
      <c r="I171" s="153" t="s">
        <v>10</v>
      </c>
      <c r="J171" s="490" t="s">
        <v>77</v>
      </c>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6"/>
      <c r="AO171" s="466"/>
      <c r="AP171" s="466"/>
      <c r="AQ171" s="466"/>
      <c r="AR171" s="466"/>
      <c r="AS171" s="466"/>
      <c r="AT171" s="466"/>
      <c r="AU171" s="466"/>
      <c r="AV171" s="466"/>
      <c r="AW171" s="466"/>
      <c r="AX171" s="466"/>
      <c r="AY171" s="466"/>
      <c r="AZ171" s="466"/>
      <c r="BA171" s="466"/>
      <c r="BB171" s="466"/>
      <c r="BC171" s="466"/>
      <c r="BD171" s="466"/>
      <c r="BE171" s="466"/>
      <c r="BF171" s="466"/>
      <c r="BG171" s="466"/>
      <c r="BH171" s="466"/>
    </row>
    <row r="172" spans="1:60" x14ac:dyDescent="0.25">
      <c r="A172" s="430" t="s">
        <v>11</v>
      </c>
      <c r="B172" s="433">
        <v>171</v>
      </c>
      <c r="C172" s="75">
        <v>101</v>
      </c>
      <c r="D172" s="75">
        <v>128</v>
      </c>
      <c r="E172" s="75">
        <v>133</v>
      </c>
      <c r="F172" s="75">
        <v>229</v>
      </c>
      <c r="G172" s="75">
        <v>203</v>
      </c>
      <c r="H172" s="75">
        <v>183</v>
      </c>
      <c r="I172" s="467">
        <f t="shared" ref="I172:I177" si="78">SUM(B172:H172)</f>
        <v>1148</v>
      </c>
      <c r="J172" s="468">
        <f>+$I172/7</f>
        <v>164</v>
      </c>
      <c r="K172" s="469"/>
      <c r="L172" s="469"/>
      <c r="M172" s="469"/>
      <c r="N172" s="469"/>
      <c r="O172" s="469"/>
      <c r="P172" s="469"/>
      <c r="Q172" s="469"/>
      <c r="R172" s="469"/>
      <c r="S172" s="469"/>
      <c r="T172" s="469"/>
      <c r="U172" s="469"/>
      <c r="V172" s="469"/>
      <c r="W172" s="469"/>
      <c r="X172" s="469"/>
      <c r="Y172" s="469"/>
      <c r="Z172" s="469"/>
      <c r="AA172" s="469"/>
      <c r="AB172" s="469"/>
      <c r="AC172" s="469"/>
      <c r="AD172" s="469"/>
      <c r="AE172" s="469"/>
      <c r="AF172" s="469"/>
      <c r="AG172" s="469"/>
      <c r="AH172" s="469"/>
      <c r="AI172" s="469"/>
      <c r="AJ172" s="469"/>
      <c r="AK172" s="469"/>
      <c r="AL172" s="469"/>
      <c r="AM172" s="469"/>
      <c r="AN172" s="469"/>
      <c r="AO172" s="469"/>
      <c r="AP172" s="469"/>
      <c r="AQ172" s="469"/>
      <c r="AR172" s="469"/>
      <c r="AS172" s="469"/>
      <c r="AT172" s="469"/>
      <c r="AU172" s="469"/>
      <c r="AV172" s="469"/>
      <c r="AW172" s="469"/>
      <c r="AX172" s="469"/>
      <c r="AY172" s="469"/>
      <c r="AZ172" s="469"/>
      <c r="BA172" s="469"/>
      <c r="BB172" s="469"/>
      <c r="BC172" s="469"/>
      <c r="BD172" s="469"/>
      <c r="BE172" s="469"/>
      <c r="BF172" s="469"/>
      <c r="BG172" s="469"/>
      <c r="BH172" s="469"/>
    </row>
    <row r="173" spans="1:60" x14ac:dyDescent="0.25">
      <c r="A173" s="77" t="s">
        <v>12</v>
      </c>
      <c r="B173" s="233">
        <v>119</v>
      </c>
      <c r="C173" s="13">
        <v>41</v>
      </c>
      <c r="D173" s="13">
        <v>39</v>
      </c>
      <c r="E173" s="13">
        <v>48</v>
      </c>
      <c r="F173" s="13">
        <v>77</v>
      </c>
      <c r="G173" s="13">
        <v>99</v>
      </c>
      <c r="H173" s="13">
        <v>100</v>
      </c>
      <c r="I173" s="11">
        <f t="shared" si="78"/>
        <v>523</v>
      </c>
      <c r="J173" s="470">
        <f t="shared" ref="J173:J178" si="79">+$I173/7</f>
        <v>74.714285714285708</v>
      </c>
      <c r="K173" s="471"/>
      <c r="L173" s="471"/>
      <c r="M173" s="471"/>
      <c r="N173" s="471"/>
      <c r="O173" s="471"/>
      <c r="P173" s="471"/>
      <c r="Q173" s="471"/>
      <c r="R173" s="471"/>
      <c r="S173" s="471"/>
      <c r="T173" s="471"/>
      <c r="U173" s="471"/>
      <c r="V173" s="471"/>
      <c r="W173" s="47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row>
    <row r="174" spans="1:60" x14ac:dyDescent="0.25">
      <c r="A174" s="77" t="s">
        <v>13</v>
      </c>
      <c r="B174" s="233">
        <v>4</v>
      </c>
      <c r="C174" s="13">
        <v>2</v>
      </c>
      <c r="D174" s="13">
        <v>2</v>
      </c>
      <c r="E174" s="13">
        <v>0</v>
      </c>
      <c r="F174" s="13">
        <v>3</v>
      </c>
      <c r="G174" s="13">
        <v>0</v>
      </c>
      <c r="H174" s="13">
        <v>4</v>
      </c>
      <c r="I174" s="11">
        <f t="shared" si="78"/>
        <v>15</v>
      </c>
      <c r="J174" s="470">
        <f t="shared" si="79"/>
        <v>2.1428571428571428</v>
      </c>
      <c r="K174" s="471"/>
      <c r="L174" s="471"/>
      <c r="M174" s="471"/>
      <c r="N174" s="471"/>
      <c r="O174" s="471"/>
      <c r="P174" s="471"/>
      <c r="Q174" s="471"/>
      <c r="R174" s="471"/>
      <c r="S174" s="471"/>
      <c r="T174" s="471"/>
      <c r="U174" s="471"/>
      <c r="V174" s="471"/>
      <c r="W174" s="471"/>
      <c r="X174" s="471"/>
      <c r="Y174" s="471"/>
      <c r="Z174" s="471"/>
      <c r="AA174" s="471"/>
      <c r="AB174" s="471"/>
      <c r="AC174" s="471"/>
      <c r="AD174" s="471"/>
      <c r="AE174" s="471"/>
      <c r="AF174" s="471"/>
      <c r="AG174" s="471"/>
      <c r="AH174" s="471"/>
      <c r="AI174" s="471"/>
      <c r="AJ174" s="471"/>
      <c r="AK174" s="471"/>
      <c r="AL174" s="471"/>
      <c r="AM174" s="471"/>
      <c r="AN174" s="471"/>
      <c r="AO174" s="471"/>
      <c r="AP174" s="471"/>
      <c r="AQ174" s="471"/>
      <c r="AR174" s="471"/>
      <c r="AS174" s="471"/>
      <c r="AT174" s="471"/>
      <c r="AU174" s="471"/>
      <c r="AV174" s="471"/>
      <c r="AW174" s="471"/>
      <c r="AX174" s="471"/>
      <c r="AY174" s="471"/>
      <c r="AZ174" s="471"/>
      <c r="BA174" s="471"/>
      <c r="BB174" s="471"/>
      <c r="BC174" s="471"/>
      <c r="BD174" s="471"/>
      <c r="BE174" s="471"/>
      <c r="BF174" s="471"/>
      <c r="BG174" s="471"/>
      <c r="BH174" s="471"/>
    </row>
    <row r="175" spans="1:60" x14ac:dyDescent="0.25">
      <c r="A175" s="77" t="s">
        <v>14</v>
      </c>
      <c r="B175" s="233">
        <v>28</v>
      </c>
      <c r="C175" s="13">
        <v>43</v>
      </c>
      <c r="D175" s="13">
        <v>67</v>
      </c>
      <c r="E175" s="13">
        <v>83</v>
      </c>
      <c r="F175" s="13">
        <v>138</v>
      </c>
      <c r="G175" s="13">
        <v>78</v>
      </c>
      <c r="H175" s="13">
        <v>61</v>
      </c>
      <c r="I175" s="11">
        <f t="shared" si="78"/>
        <v>498</v>
      </c>
      <c r="J175" s="470">
        <f t="shared" si="79"/>
        <v>71.142857142857139</v>
      </c>
      <c r="K175" s="471"/>
      <c r="L175" s="471"/>
      <c r="M175" s="471"/>
      <c r="N175" s="471"/>
      <c r="O175" s="471"/>
      <c r="P175" s="471"/>
      <c r="Q175" s="471"/>
      <c r="R175" s="471"/>
      <c r="S175" s="471"/>
      <c r="T175" s="471"/>
      <c r="U175" s="471"/>
      <c r="V175" s="471"/>
      <c r="W175" s="471"/>
      <c r="X175" s="471"/>
      <c r="Y175" s="471"/>
      <c r="Z175" s="471"/>
      <c r="AA175" s="471"/>
      <c r="AB175" s="471"/>
      <c r="AC175" s="471"/>
      <c r="AD175" s="471"/>
      <c r="AE175" s="471"/>
      <c r="AF175" s="471"/>
      <c r="AG175" s="471"/>
      <c r="AH175" s="471"/>
      <c r="AI175" s="471"/>
      <c r="AJ175" s="471"/>
      <c r="AK175" s="471"/>
      <c r="AL175" s="471"/>
      <c r="AM175" s="471"/>
      <c r="AN175" s="471"/>
      <c r="AO175" s="471"/>
      <c r="AP175" s="471"/>
      <c r="AQ175" s="471"/>
      <c r="AR175" s="471"/>
      <c r="AS175" s="471"/>
      <c r="AT175" s="471"/>
      <c r="AU175" s="471"/>
      <c r="AV175" s="471"/>
      <c r="AW175" s="471"/>
      <c r="AX175" s="471"/>
      <c r="AY175" s="471"/>
      <c r="AZ175" s="471"/>
      <c r="BA175" s="471"/>
      <c r="BB175" s="471"/>
      <c r="BC175" s="471"/>
      <c r="BD175" s="471"/>
      <c r="BE175" s="471"/>
      <c r="BF175" s="471"/>
      <c r="BG175" s="471"/>
      <c r="BH175" s="471"/>
    </row>
    <row r="176" spans="1:60" x14ac:dyDescent="0.25">
      <c r="A176" s="77" t="s">
        <v>15</v>
      </c>
      <c r="B176" s="233">
        <v>0</v>
      </c>
      <c r="C176" s="13">
        <v>0</v>
      </c>
      <c r="D176" s="13">
        <v>0</v>
      </c>
      <c r="E176" s="13">
        <v>0</v>
      </c>
      <c r="F176" s="13">
        <v>0</v>
      </c>
      <c r="G176" s="13">
        <v>0</v>
      </c>
      <c r="H176" s="13">
        <v>0</v>
      </c>
      <c r="I176" s="11">
        <f t="shared" si="78"/>
        <v>0</v>
      </c>
      <c r="J176" s="470">
        <f t="shared" si="79"/>
        <v>0</v>
      </c>
      <c r="K176" s="471"/>
      <c r="L176" s="471"/>
      <c r="M176" s="471"/>
      <c r="N176" s="471"/>
      <c r="O176" s="471"/>
      <c r="P176" s="471"/>
      <c r="Q176" s="471"/>
      <c r="R176" s="471"/>
      <c r="S176" s="471"/>
      <c r="T176" s="471"/>
      <c r="U176" s="471"/>
      <c r="V176" s="471"/>
      <c r="W176" s="47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row>
    <row r="177" spans="1:60" x14ac:dyDescent="0.25">
      <c r="A177" s="77" t="s">
        <v>16</v>
      </c>
      <c r="B177" s="233">
        <v>0</v>
      </c>
      <c r="C177" s="13">
        <v>0</v>
      </c>
      <c r="D177" s="13">
        <v>0</v>
      </c>
      <c r="E177" s="13">
        <v>0</v>
      </c>
      <c r="F177" s="13">
        <v>0</v>
      </c>
      <c r="G177" s="13">
        <v>0</v>
      </c>
      <c r="H177" s="13">
        <v>0</v>
      </c>
      <c r="I177" s="11">
        <f t="shared" si="78"/>
        <v>0</v>
      </c>
      <c r="J177" s="470">
        <f t="shared" si="79"/>
        <v>0</v>
      </c>
      <c r="K177" s="471"/>
      <c r="L177" s="471"/>
      <c r="M177" s="471"/>
      <c r="N177" s="471"/>
      <c r="O177" s="471"/>
      <c r="P177" s="471"/>
      <c r="Q177" s="471"/>
      <c r="R177" s="471"/>
      <c r="S177" s="471"/>
      <c r="T177" s="471"/>
      <c r="U177" s="471"/>
      <c r="V177" s="471"/>
      <c r="W177" s="471"/>
      <c r="X177" s="471"/>
      <c r="Y177" s="471"/>
      <c r="Z177" s="471"/>
      <c r="AA177" s="471"/>
      <c r="AB177" s="471"/>
      <c r="AC177" s="471"/>
      <c r="AD177" s="471"/>
      <c r="AE177" s="471"/>
      <c r="AF177" s="471"/>
      <c r="AG177" s="471"/>
      <c r="AH177" s="471"/>
      <c r="AI177" s="471"/>
      <c r="AJ177" s="471"/>
      <c r="AK177" s="471"/>
      <c r="AL177" s="471"/>
      <c r="AM177" s="471"/>
      <c r="AN177" s="471"/>
      <c r="AO177" s="471"/>
      <c r="AP177" s="471"/>
      <c r="AQ177" s="471"/>
      <c r="AR177" s="471"/>
      <c r="AS177" s="471"/>
      <c r="AT177" s="471"/>
      <c r="AU177" s="471"/>
      <c r="AV177" s="471"/>
      <c r="AW177" s="471"/>
      <c r="AX177" s="471"/>
      <c r="AY177" s="471"/>
      <c r="AZ177" s="471"/>
      <c r="BA177" s="471"/>
      <c r="BB177" s="471"/>
      <c r="BC177" s="471"/>
      <c r="BD177" s="471"/>
      <c r="BE177" s="471"/>
      <c r="BF177" s="471"/>
      <c r="BG177" s="471"/>
      <c r="BH177" s="471"/>
    </row>
    <row r="178" spans="1:60" x14ac:dyDescent="0.25">
      <c r="A178" s="79" t="s">
        <v>17</v>
      </c>
      <c r="B178" s="102">
        <f t="shared" ref="B178:I178" si="80">SUM(B173:B177)</f>
        <v>151</v>
      </c>
      <c r="C178" s="102">
        <f t="shared" si="80"/>
        <v>86</v>
      </c>
      <c r="D178" s="102">
        <f t="shared" si="80"/>
        <v>108</v>
      </c>
      <c r="E178" s="102">
        <f t="shared" si="80"/>
        <v>131</v>
      </c>
      <c r="F178" s="102">
        <f t="shared" si="80"/>
        <v>218</v>
      </c>
      <c r="G178" s="79">
        <f t="shared" si="80"/>
        <v>177</v>
      </c>
      <c r="H178" s="79">
        <f t="shared" si="80"/>
        <v>165</v>
      </c>
      <c r="I178" s="472">
        <f t="shared" si="80"/>
        <v>1036</v>
      </c>
      <c r="J178" s="473">
        <f t="shared" si="79"/>
        <v>148</v>
      </c>
      <c r="K178" s="474"/>
      <c r="L178" s="474"/>
      <c r="M178" s="474"/>
      <c r="N178" s="474"/>
      <c r="O178" s="474"/>
      <c r="P178" s="474"/>
      <c r="Q178" s="474"/>
      <c r="R178" s="474"/>
      <c r="S178" s="474"/>
      <c r="T178" s="474"/>
      <c r="U178" s="474"/>
      <c r="V178" s="474"/>
      <c r="W178" s="474"/>
      <c r="X178" s="474"/>
      <c r="Y178" s="474"/>
      <c r="Z178" s="474"/>
      <c r="AA178" s="474"/>
      <c r="AB178" s="474"/>
      <c r="AC178" s="474"/>
      <c r="AD178" s="474"/>
      <c r="AE178" s="474"/>
      <c r="AF178" s="474"/>
      <c r="AG178" s="474"/>
      <c r="AH178" s="474"/>
      <c r="AI178" s="474"/>
      <c r="AJ178" s="474"/>
      <c r="AK178" s="474"/>
      <c r="AL178" s="474"/>
      <c r="AM178" s="474"/>
      <c r="AN178" s="474"/>
      <c r="AO178" s="474"/>
      <c r="AP178" s="474"/>
      <c r="AQ178" s="474"/>
      <c r="AR178" s="474"/>
      <c r="AS178" s="474"/>
      <c r="AT178" s="474"/>
      <c r="AU178" s="474"/>
      <c r="AV178" s="474"/>
      <c r="AW178" s="474"/>
      <c r="AX178" s="474"/>
      <c r="AY178" s="474"/>
      <c r="AZ178" s="474"/>
      <c r="BA178" s="474"/>
      <c r="BB178" s="474"/>
      <c r="BC178" s="474"/>
      <c r="BD178" s="474"/>
      <c r="BE178" s="474"/>
      <c r="BF178" s="474"/>
      <c r="BG178" s="474"/>
      <c r="BH178" s="474"/>
    </row>
    <row r="179" spans="1:60" x14ac:dyDescent="0.25">
      <c r="A179" s="77" t="s">
        <v>18</v>
      </c>
      <c r="B179" s="234">
        <v>0.8</v>
      </c>
      <c r="C179" s="235">
        <v>0.56000000000000005</v>
      </c>
      <c r="D179" s="235">
        <v>0.46</v>
      </c>
      <c r="E179" s="236">
        <v>0.37</v>
      </c>
      <c r="F179" s="236">
        <v>0.4</v>
      </c>
      <c r="G179" s="236">
        <v>0.56000000000000005</v>
      </c>
      <c r="H179" s="236">
        <v>0.65</v>
      </c>
      <c r="I179" s="18">
        <f>I186/I191</f>
        <v>0.54862620129414119</v>
      </c>
      <c r="J179" s="475">
        <f>J186/J191</f>
        <v>0.54862620129414119</v>
      </c>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c r="AN179" s="476"/>
      <c r="AO179" s="476"/>
      <c r="AP179" s="476"/>
      <c r="AQ179" s="476"/>
      <c r="AR179" s="476"/>
      <c r="AS179" s="476"/>
      <c r="AT179" s="476"/>
      <c r="AU179" s="476"/>
      <c r="AV179" s="476"/>
      <c r="AW179" s="476"/>
      <c r="AX179" s="476"/>
      <c r="AY179" s="476"/>
      <c r="AZ179" s="476"/>
      <c r="BA179" s="476"/>
      <c r="BB179" s="476"/>
      <c r="BC179" s="476"/>
      <c r="BD179" s="476"/>
      <c r="BE179" s="476"/>
      <c r="BF179" s="476"/>
      <c r="BG179" s="476"/>
      <c r="BH179" s="476"/>
    </row>
    <row r="180" spans="1:60" x14ac:dyDescent="0.25">
      <c r="A180" s="77" t="s">
        <v>19</v>
      </c>
      <c r="B180" s="234">
        <v>0.02</v>
      </c>
      <c r="C180" s="235">
        <v>0.04</v>
      </c>
      <c r="D180" s="235">
        <v>0.03</v>
      </c>
      <c r="E180" s="236">
        <v>0</v>
      </c>
      <c r="F180" s="236">
        <v>0.01</v>
      </c>
      <c r="G180" s="236">
        <v>0</v>
      </c>
      <c r="H180" s="236">
        <v>0.02</v>
      </c>
      <c r="I180" s="18">
        <f>I187/I191</f>
        <v>1.4539390568350217E-2</v>
      </c>
      <c r="J180" s="475">
        <f>J187/J191</f>
        <v>1.4539390568350217E-2</v>
      </c>
      <c r="K180" s="476"/>
      <c r="L180" s="476"/>
      <c r="M180" s="476"/>
      <c r="N180" s="476"/>
      <c r="O180" s="476"/>
      <c r="P180" s="476"/>
      <c r="Q180" s="476"/>
      <c r="R180" s="476"/>
      <c r="S180" s="476"/>
      <c r="T180" s="476"/>
      <c r="U180" s="476"/>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row>
    <row r="181" spans="1:60" x14ac:dyDescent="0.25">
      <c r="A181" s="77" t="s">
        <v>20</v>
      </c>
      <c r="B181" s="234">
        <v>0.18</v>
      </c>
      <c r="C181" s="235">
        <v>0.4</v>
      </c>
      <c r="D181" s="235">
        <v>0.51</v>
      </c>
      <c r="E181" s="236">
        <v>0.63</v>
      </c>
      <c r="F181" s="236">
        <v>0.59</v>
      </c>
      <c r="G181" s="236">
        <v>0.44</v>
      </c>
      <c r="H181" s="236">
        <v>0.33</v>
      </c>
      <c r="I181" s="18">
        <f>I188/I191</f>
        <v>0.43683440813750857</v>
      </c>
      <c r="J181" s="475">
        <f>J188/J191</f>
        <v>0.43683440813750857</v>
      </c>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row>
    <row r="182" spans="1:60" x14ac:dyDescent="0.25">
      <c r="A182" s="77" t="s">
        <v>21</v>
      </c>
      <c r="B182" s="234">
        <v>0</v>
      </c>
      <c r="C182" s="235">
        <v>0</v>
      </c>
      <c r="D182" s="235">
        <v>0</v>
      </c>
      <c r="E182" s="236">
        <v>0</v>
      </c>
      <c r="F182" s="236">
        <v>0</v>
      </c>
      <c r="G182" s="236">
        <v>0</v>
      </c>
      <c r="H182" s="236">
        <v>0</v>
      </c>
      <c r="I182" s="18">
        <f>I189/I191</f>
        <v>0</v>
      </c>
      <c r="J182" s="475">
        <f>J189/J191</f>
        <v>0</v>
      </c>
      <c r="K182" s="476"/>
      <c r="L182" s="476"/>
      <c r="M182" s="476"/>
      <c r="N182" s="476"/>
      <c r="O182" s="476"/>
      <c r="P182" s="476"/>
      <c r="Q182" s="476"/>
      <c r="R182" s="476"/>
      <c r="S182" s="476"/>
      <c r="T182" s="476"/>
      <c r="U182" s="476"/>
      <c r="V182" s="476"/>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row>
    <row r="183" spans="1:60" x14ac:dyDescent="0.25">
      <c r="A183" s="77" t="s">
        <v>22</v>
      </c>
      <c r="B183" s="234">
        <v>0</v>
      </c>
      <c r="C183" s="235">
        <v>0</v>
      </c>
      <c r="D183" s="235">
        <v>0</v>
      </c>
      <c r="E183" s="236">
        <v>0</v>
      </c>
      <c r="F183" s="236">
        <v>0</v>
      </c>
      <c r="G183" s="236">
        <v>0</v>
      </c>
      <c r="H183" s="236">
        <v>0</v>
      </c>
      <c r="I183" s="18">
        <f>I190/I191</f>
        <v>0</v>
      </c>
      <c r="J183" s="475">
        <f>J190/J191</f>
        <v>0</v>
      </c>
      <c r="K183" s="476"/>
      <c r="L183" s="476"/>
      <c r="M183" s="476"/>
      <c r="N183" s="476"/>
      <c r="O183" s="476"/>
      <c r="P183" s="476"/>
      <c r="Q183" s="476"/>
      <c r="R183" s="476"/>
      <c r="S183" s="476"/>
      <c r="T183" s="476"/>
      <c r="U183" s="476"/>
      <c r="V183" s="476"/>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row>
    <row r="184" spans="1:60" x14ac:dyDescent="0.25">
      <c r="A184" s="81" t="s">
        <v>23</v>
      </c>
      <c r="B184" s="409">
        <f t="shared" ref="B184:J184" si="81">B195/B178</f>
        <v>36935.76158940397</v>
      </c>
      <c r="C184" s="409">
        <f t="shared" si="81"/>
        <v>30831.39534883721</v>
      </c>
      <c r="D184" s="409">
        <f t="shared" si="81"/>
        <v>32648.148148148153</v>
      </c>
      <c r="E184" s="409">
        <f t="shared" si="81"/>
        <v>29400.763358778626</v>
      </c>
      <c r="F184" s="409">
        <f t="shared" si="81"/>
        <v>31465.137614678904</v>
      </c>
      <c r="G184" s="130">
        <f t="shared" si="81"/>
        <v>36750.847457627118</v>
      </c>
      <c r="H184" s="130">
        <f t="shared" si="81"/>
        <v>33434.545454545463</v>
      </c>
      <c r="I184" s="359">
        <f t="shared" si="81"/>
        <v>33288.899613899623</v>
      </c>
      <c r="J184" s="477">
        <f t="shared" si="81"/>
        <v>33288.899613899623</v>
      </c>
      <c r="K184" s="478"/>
      <c r="L184" s="478"/>
      <c r="M184" s="478"/>
      <c r="N184" s="478"/>
      <c r="O184" s="478"/>
      <c r="P184" s="478"/>
      <c r="Q184" s="478"/>
      <c r="R184" s="478"/>
      <c r="S184" s="478"/>
      <c r="T184" s="478"/>
      <c r="U184" s="478"/>
      <c r="V184" s="478"/>
      <c r="W184" s="478"/>
      <c r="X184" s="478"/>
      <c r="Y184" s="478"/>
      <c r="Z184" s="478"/>
      <c r="AA184" s="478"/>
      <c r="AB184" s="478"/>
      <c r="AC184" s="478"/>
      <c r="AD184" s="478"/>
      <c r="AE184" s="478"/>
      <c r="AF184" s="478"/>
      <c r="AG184" s="478"/>
      <c r="AH184" s="478"/>
      <c r="AI184" s="478"/>
      <c r="AJ184" s="478"/>
      <c r="AK184" s="478"/>
      <c r="AL184" s="478"/>
      <c r="AM184" s="478"/>
      <c r="AN184" s="478"/>
      <c r="AO184" s="478"/>
      <c r="AP184" s="478"/>
      <c r="AQ184" s="478"/>
      <c r="AR184" s="478"/>
      <c r="AS184" s="478"/>
      <c r="AT184" s="478"/>
      <c r="AU184" s="478"/>
      <c r="AV184" s="478"/>
      <c r="AW184" s="478"/>
      <c r="AX184" s="478"/>
      <c r="AY184" s="478"/>
      <c r="AZ184" s="478"/>
      <c r="BA184" s="478"/>
      <c r="BB184" s="478"/>
      <c r="BC184" s="478"/>
      <c r="BD184" s="478"/>
      <c r="BE184" s="478"/>
      <c r="BF184" s="478"/>
      <c r="BG184" s="478"/>
      <c r="BH184" s="478"/>
    </row>
    <row r="185" spans="1:60" x14ac:dyDescent="0.25">
      <c r="A185" s="81" t="s">
        <v>24</v>
      </c>
      <c r="B185" s="409">
        <f t="shared" ref="B185:J185" si="82">B195/B172</f>
        <v>32615.78947368421</v>
      </c>
      <c r="C185" s="409">
        <f t="shared" si="82"/>
        <v>26252.475247524751</v>
      </c>
      <c r="D185" s="409">
        <f t="shared" si="82"/>
        <v>27546.875000000004</v>
      </c>
      <c r="E185" s="409">
        <f t="shared" si="82"/>
        <v>28958.646616541355</v>
      </c>
      <c r="F185" s="409">
        <f t="shared" si="82"/>
        <v>29953.711790393016</v>
      </c>
      <c r="G185" s="130">
        <f t="shared" si="82"/>
        <v>32043.842364532018</v>
      </c>
      <c r="H185" s="130">
        <f t="shared" si="82"/>
        <v>30145.901639344269</v>
      </c>
      <c r="I185" s="359">
        <f t="shared" si="82"/>
        <v>30041.202090592342</v>
      </c>
      <c r="J185" s="477">
        <f t="shared" si="82"/>
        <v>30041.202090592338</v>
      </c>
      <c r="K185" s="478"/>
      <c r="L185" s="478"/>
      <c r="M185" s="478"/>
      <c r="N185" s="478"/>
      <c r="O185" s="478"/>
      <c r="P185" s="478"/>
      <c r="Q185" s="478"/>
      <c r="R185" s="478"/>
      <c r="S185" s="478"/>
      <c r="T185" s="478"/>
      <c r="U185" s="478"/>
      <c r="V185" s="478"/>
      <c r="W185" s="478"/>
      <c r="X185" s="478"/>
      <c r="Y185" s="478"/>
      <c r="Z185" s="478"/>
      <c r="AA185" s="478"/>
      <c r="AB185" s="478"/>
      <c r="AC185" s="478"/>
      <c r="AD185" s="478"/>
      <c r="AE185" s="478"/>
      <c r="AF185" s="478"/>
      <c r="AG185" s="478"/>
      <c r="AH185" s="478"/>
      <c r="AI185" s="478"/>
      <c r="AJ185" s="478"/>
      <c r="AK185" s="478"/>
      <c r="AL185" s="478"/>
      <c r="AM185" s="478"/>
      <c r="AN185" s="478"/>
      <c r="AO185" s="478"/>
      <c r="AP185" s="478"/>
      <c r="AQ185" s="478"/>
      <c r="AR185" s="478"/>
      <c r="AS185" s="478"/>
      <c r="AT185" s="478"/>
      <c r="AU185" s="478"/>
      <c r="AV185" s="478"/>
      <c r="AW185" s="478"/>
      <c r="AX185" s="478"/>
      <c r="AY185" s="478"/>
      <c r="AZ185" s="478"/>
      <c r="BA185" s="478"/>
      <c r="BB185" s="478"/>
      <c r="BC185" s="478"/>
      <c r="BD185" s="478"/>
      <c r="BE185" s="478"/>
      <c r="BF185" s="478"/>
      <c r="BG185" s="478"/>
      <c r="BH185" s="478"/>
    </row>
    <row r="186" spans="1:60" x14ac:dyDescent="0.25">
      <c r="A186" s="77" t="s">
        <v>25</v>
      </c>
      <c r="B186" s="255">
        <f t="shared" ref="B186:H186" si="83">B191*B179</f>
        <v>3641257.7931034486</v>
      </c>
      <c r="C186" s="255">
        <f t="shared" si="83"/>
        <v>1230555.6827586209</v>
      </c>
      <c r="D186" s="255">
        <f t="shared" si="83"/>
        <v>1359580.6793103451</v>
      </c>
      <c r="E186" s="255">
        <f t="shared" si="83"/>
        <v>1190222.8896551724</v>
      </c>
      <c r="F186" s="255">
        <f t="shared" si="83"/>
        <v>2298936.3448275863</v>
      </c>
      <c r="G186" s="92">
        <f t="shared" si="83"/>
        <v>3020823.3517241385</v>
      </c>
      <c r="H186" s="92">
        <f t="shared" si="83"/>
        <v>2951179.3103448278</v>
      </c>
      <c r="I186" s="108">
        <f>SUM(B186:H186)</f>
        <v>15692556.05172414</v>
      </c>
      <c r="J186" s="479">
        <f t="shared" ref="J186:J191" si="84">+$I186/7</f>
        <v>2241793.7216748772</v>
      </c>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c r="AO186" s="480"/>
      <c r="AP186" s="480"/>
      <c r="AQ186" s="480"/>
      <c r="AR186" s="480"/>
      <c r="AS186" s="480"/>
      <c r="AT186" s="480"/>
      <c r="AU186" s="480"/>
      <c r="AV186" s="480"/>
      <c r="AW186" s="480"/>
      <c r="AX186" s="480"/>
      <c r="AY186" s="480"/>
      <c r="AZ186" s="480"/>
      <c r="BA186" s="480"/>
      <c r="BB186" s="480"/>
      <c r="BC186" s="480"/>
      <c r="BD186" s="480"/>
      <c r="BE186" s="480"/>
      <c r="BF186" s="480"/>
      <c r="BG186" s="480"/>
      <c r="BH186" s="480"/>
    </row>
    <row r="187" spans="1:60" x14ac:dyDescent="0.25">
      <c r="A187" s="77" t="s">
        <v>26</v>
      </c>
      <c r="B187" s="255">
        <f t="shared" ref="B187:H187" si="85">B191*B180</f>
        <v>91031.444827586209</v>
      </c>
      <c r="C187" s="255">
        <f t="shared" si="85"/>
        <v>87896.834482758626</v>
      </c>
      <c r="D187" s="255">
        <f t="shared" si="85"/>
        <v>88668.305172413791</v>
      </c>
      <c r="E187" s="255">
        <f t="shared" si="85"/>
        <v>0</v>
      </c>
      <c r="F187" s="255">
        <f t="shared" si="85"/>
        <v>57473.408620689661</v>
      </c>
      <c r="G187" s="92">
        <f t="shared" si="85"/>
        <v>0</v>
      </c>
      <c r="H187" s="92">
        <f t="shared" si="85"/>
        <v>90805.517241379319</v>
      </c>
      <c r="I187" s="108">
        <f>SUM(B187:H187)</f>
        <v>415875.51034482761</v>
      </c>
      <c r="J187" s="479">
        <f t="shared" si="84"/>
        <v>59410.78719211823</v>
      </c>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c r="AO187" s="480"/>
      <c r="AP187" s="480"/>
      <c r="AQ187" s="480"/>
      <c r="AR187" s="480"/>
      <c r="AS187" s="480"/>
      <c r="AT187" s="480"/>
      <c r="AU187" s="480"/>
      <c r="AV187" s="480"/>
      <c r="AW187" s="480"/>
      <c r="AX187" s="480"/>
      <c r="AY187" s="480"/>
      <c r="AZ187" s="480"/>
      <c r="BA187" s="480"/>
      <c r="BB187" s="480"/>
      <c r="BC187" s="480"/>
      <c r="BD187" s="480"/>
      <c r="BE187" s="480"/>
      <c r="BF187" s="480"/>
      <c r="BG187" s="480"/>
      <c r="BH187" s="480"/>
    </row>
    <row r="188" spans="1:60" x14ac:dyDescent="0.25">
      <c r="A188" s="77" t="s">
        <v>27</v>
      </c>
      <c r="B188" s="255">
        <f t="shared" ref="B188:H188" si="86">B191*B181</f>
        <v>819283.00344827585</v>
      </c>
      <c r="C188" s="255">
        <f t="shared" si="86"/>
        <v>878968.34482758632</v>
      </c>
      <c r="D188" s="255">
        <f t="shared" si="86"/>
        <v>1507361.1879310347</v>
      </c>
      <c r="E188" s="255">
        <f t="shared" si="86"/>
        <v>2026595.7310344828</v>
      </c>
      <c r="F188" s="255">
        <f t="shared" si="86"/>
        <v>3390931.1086206897</v>
      </c>
      <c r="G188" s="92">
        <f t="shared" si="86"/>
        <v>2373504.0620689658</v>
      </c>
      <c r="H188" s="92">
        <f t="shared" si="86"/>
        <v>1498291.034482759</v>
      </c>
      <c r="I188" s="108">
        <f>SUM(B188:H188)</f>
        <v>12494934.472413793</v>
      </c>
      <c r="J188" s="479">
        <f t="shared" si="84"/>
        <v>1784990.6389162561</v>
      </c>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c r="AO188" s="480"/>
      <c r="AP188" s="480"/>
      <c r="AQ188" s="480"/>
      <c r="AR188" s="480"/>
      <c r="AS188" s="480"/>
      <c r="AT188" s="480"/>
      <c r="AU188" s="480"/>
      <c r="AV188" s="480"/>
      <c r="AW188" s="480"/>
      <c r="AX188" s="480"/>
      <c r="AY188" s="480"/>
      <c r="AZ188" s="480"/>
      <c r="BA188" s="480"/>
      <c r="BB188" s="480"/>
      <c r="BC188" s="480"/>
      <c r="BD188" s="480"/>
      <c r="BE188" s="480"/>
      <c r="BF188" s="480"/>
      <c r="BG188" s="480"/>
      <c r="BH188" s="480"/>
    </row>
    <row r="189" spans="1:60" x14ac:dyDescent="0.25">
      <c r="A189" s="77" t="s">
        <v>28</v>
      </c>
      <c r="B189" s="255">
        <f t="shared" ref="B189:H189" si="87">B191*B182</f>
        <v>0</v>
      </c>
      <c r="C189" s="255">
        <f t="shared" si="87"/>
        <v>0</v>
      </c>
      <c r="D189" s="255">
        <f t="shared" si="87"/>
        <v>0</v>
      </c>
      <c r="E189" s="255">
        <f t="shared" si="87"/>
        <v>0</v>
      </c>
      <c r="F189" s="255">
        <f t="shared" si="87"/>
        <v>0</v>
      </c>
      <c r="G189" s="92">
        <f t="shared" si="87"/>
        <v>0</v>
      </c>
      <c r="H189" s="92">
        <f t="shared" si="87"/>
        <v>0</v>
      </c>
      <c r="I189" s="108">
        <f>SUM(B189:H189)</f>
        <v>0</v>
      </c>
      <c r="J189" s="479">
        <f t="shared" si="84"/>
        <v>0</v>
      </c>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c r="AO189" s="480"/>
      <c r="AP189" s="480"/>
      <c r="AQ189" s="480"/>
      <c r="AR189" s="480"/>
      <c r="AS189" s="480"/>
      <c r="AT189" s="480"/>
      <c r="AU189" s="480"/>
      <c r="AV189" s="480"/>
      <c r="AW189" s="480"/>
      <c r="AX189" s="480"/>
      <c r="AY189" s="480"/>
      <c r="AZ189" s="480"/>
      <c r="BA189" s="480"/>
      <c r="BB189" s="480"/>
      <c r="BC189" s="480"/>
      <c r="BD189" s="480"/>
      <c r="BE189" s="480"/>
      <c r="BF189" s="480"/>
      <c r="BG189" s="480"/>
      <c r="BH189" s="480"/>
    </row>
    <row r="190" spans="1:60" x14ac:dyDescent="0.25">
      <c r="A190" s="77" t="s">
        <v>29</v>
      </c>
      <c r="B190" s="255">
        <f t="shared" ref="B190:H190" si="88">B191*B183</f>
        <v>0</v>
      </c>
      <c r="C190" s="255">
        <f t="shared" si="88"/>
        <v>0</v>
      </c>
      <c r="D190" s="255">
        <f t="shared" si="88"/>
        <v>0</v>
      </c>
      <c r="E190" s="255">
        <f t="shared" si="88"/>
        <v>0</v>
      </c>
      <c r="F190" s="255">
        <f t="shared" si="88"/>
        <v>0</v>
      </c>
      <c r="G190" s="92">
        <f t="shared" si="88"/>
        <v>0</v>
      </c>
      <c r="H190" s="92">
        <f t="shared" si="88"/>
        <v>0</v>
      </c>
      <c r="I190" s="108">
        <f>SUM(B190:H190)</f>
        <v>0</v>
      </c>
      <c r="J190" s="479">
        <f t="shared" si="84"/>
        <v>0</v>
      </c>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c r="AO190" s="480"/>
      <c r="AP190" s="480"/>
      <c r="AQ190" s="480"/>
      <c r="AR190" s="480"/>
      <c r="AS190" s="480"/>
      <c r="AT190" s="480"/>
      <c r="AU190" s="480"/>
      <c r="AV190" s="480"/>
      <c r="AW190" s="480"/>
      <c r="AX190" s="480"/>
      <c r="AY190" s="480"/>
      <c r="AZ190" s="480"/>
      <c r="BA190" s="480"/>
      <c r="BB190" s="480"/>
      <c r="BC190" s="480"/>
      <c r="BD190" s="480"/>
      <c r="BE190" s="480"/>
      <c r="BF190" s="480"/>
      <c r="BG190" s="480"/>
      <c r="BH190" s="480"/>
    </row>
    <row r="191" spans="1:60" x14ac:dyDescent="0.25">
      <c r="A191" s="82" t="s">
        <v>30</v>
      </c>
      <c r="B191" s="222">
        <f>(5577300/1.16)-B192</f>
        <v>4551572.2413793104</v>
      </c>
      <c r="C191" s="222">
        <f>(2651500/1.16)-C192</f>
        <v>2197420.8620689656</v>
      </c>
      <c r="D191" s="222">
        <f>(3526000/1.16)-D192</f>
        <v>2955610.1724137934</v>
      </c>
      <c r="E191" s="222">
        <f>(3851500/1.16)-E192</f>
        <v>3216818.6206896552</v>
      </c>
      <c r="F191" s="222">
        <f>(6859400/1.16)-F192</f>
        <v>5747340.862068966</v>
      </c>
      <c r="G191" s="222">
        <f>(6504900/1.16)-G192</f>
        <v>5394327.4137931038</v>
      </c>
      <c r="H191" s="222">
        <f>(5516700/1.16)-H192</f>
        <v>4540275.862068966</v>
      </c>
      <c r="I191" s="111">
        <f>SUM(I186:I190)</f>
        <v>28603366.034482762</v>
      </c>
      <c r="J191" s="481">
        <f t="shared" si="84"/>
        <v>4086195.1477832519</v>
      </c>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c r="AO191" s="480"/>
      <c r="AP191" s="480"/>
      <c r="AQ191" s="480"/>
      <c r="AR191" s="480"/>
      <c r="AS191" s="480"/>
      <c r="AT191" s="480"/>
      <c r="AU191" s="480"/>
      <c r="AV191" s="480"/>
      <c r="AW191" s="480"/>
      <c r="AX191" s="480"/>
      <c r="AY191" s="480"/>
      <c r="AZ191" s="480"/>
      <c r="BA191" s="480"/>
      <c r="BB191" s="480"/>
      <c r="BC191" s="480"/>
      <c r="BD191" s="480"/>
      <c r="BE191" s="480"/>
      <c r="BF191" s="480"/>
      <c r="BG191" s="480"/>
      <c r="BH191" s="480"/>
    </row>
    <row r="192" spans="1:60" x14ac:dyDescent="0.25">
      <c r="A192" s="77" t="s">
        <v>31</v>
      </c>
      <c r="B192" s="263">
        <f t="shared" ref="B192:H192" si="89">2155*B173</f>
        <v>256445</v>
      </c>
      <c r="C192" s="263">
        <f t="shared" si="89"/>
        <v>88355</v>
      </c>
      <c r="D192" s="263">
        <f t="shared" si="89"/>
        <v>84045</v>
      </c>
      <c r="E192" s="263">
        <f t="shared" si="89"/>
        <v>103440</v>
      </c>
      <c r="F192" s="263">
        <f t="shared" si="89"/>
        <v>165935</v>
      </c>
      <c r="G192" s="94">
        <f t="shared" si="89"/>
        <v>213345</v>
      </c>
      <c r="H192" s="94">
        <f t="shared" si="89"/>
        <v>215500</v>
      </c>
      <c r="I192" s="109">
        <f>I173*2155</f>
        <v>1127065</v>
      </c>
      <c r="J192" s="482">
        <f>2155*J173</f>
        <v>161009.28571428571</v>
      </c>
      <c r="K192" s="483"/>
      <c r="L192" s="483"/>
      <c r="M192" s="483"/>
      <c r="N192" s="483"/>
      <c r="O192" s="483"/>
      <c r="P192" s="483"/>
      <c r="Q192" s="483"/>
      <c r="R192" s="483"/>
      <c r="S192" s="483"/>
      <c r="T192" s="483"/>
      <c r="U192" s="483"/>
      <c r="V192" s="483"/>
      <c r="W192" s="483"/>
      <c r="X192" s="483"/>
      <c r="Y192" s="483"/>
      <c r="Z192" s="483"/>
      <c r="AA192" s="483"/>
      <c r="AB192" s="483"/>
      <c r="AC192" s="483"/>
      <c r="AD192" s="483"/>
      <c r="AE192" s="483"/>
      <c r="AF192" s="483"/>
      <c r="AG192" s="483"/>
      <c r="AH192" s="483"/>
      <c r="AI192" s="483"/>
      <c r="AJ192" s="483"/>
      <c r="AK192" s="483"/>
      <c r="AL192" s="483"/>
      <c r="AM192" s="483"/>
      <c r="AN192" s="483"/>
      <c r="AO192" s="483"/>
      <c r="AP192" s="483"/>
      <c r="AQ192" s="483"/>
      <c r="AR192" s="483"/>
      <c r="AS192" s="483"/>
      <c r="AT192" s="483"/>
      <c r="AU192" s="483"/>
      <c r="AV192" s="483"/>
      <c r="AW192" s="483"/>
      <c r="AX192" s="483"/>
      <c r="AY192" s="483"/>
      <c r="AZ192" s="483"/>
      <c r="BA192" s="483"/>
      <c r="BB192" s="483"/>
      <c r="BC192" s="483"/>
      <c r="BD192" s="483"/>
      <c r="BE192" s="483"/>
      <c r="BF192" s="483"/>
      <c r="BG192" s="483"/>
      <c r="BH192" s="483"/>
    </row>
    <row r="193" spans="1:60" x14ac:dyDescent="0.25">
      <c r="A193" s="83" t="s">
        <v>32</v>
      </c>
      <c r="B193" s="411">
        <f t="shared" ref="B193:J193" si="90">B191+B192</f>
        <v>4808017.2413793104</v>
      </c>
      <c r="C193" s="411">
        <f t="shared" si="90"/>
        <v>2285775.8620689656</v>
      </c>
      <c r="D193" s="411">
        <f t="shared" si="90"/>
        <v>3039655.1724137934</v>
      </c>
      <c r="E193" s="411">
        <f t="shared" si="90"/>
        <v>3320258.6206896552</v>
      </c>
      <c r="F193" s="411">
        <f t="shared" si="90"/>
        <v>5913275.862068966</v>
      </c>
      <c r="G193" s="39">
        <f t="shared" si="90"/>
        <v>5607672.4137931038</v>
      </c>
      <c r="H193" s="39">
        <f t="shared" si="90"/>
        <v>4755775.862068966</v>
      </c>
      <c r="I193" s="412">
        <f t="shared" si="90"/>
        <v>29730431.034482762</v>
      </c>
      <c r="J193" s="484">
        <f t="shared" si="90"/>
        <v>4247204.4334975379</v>
      </c>
      <c r="K193" s="485"/>
      <c r="L193" s="485"/>
      <c r="M193" s="485"/>
      <c r="N193" s="485"/>
      <c r="O193" s="485"/>
      <c r="P193" s="485"/>
      <c r="Q193" s="485"/>
      <c r="R193" s="485"/>
      <c r="S193" s="485"/>
      <c r="T193" s="485"/>
      <c r="U193" s="485"/>
      <c r="V193" s="485"/>
      <c r="W193" s="485"/>
      <c r="X193" s="485"/>
      <c r="Y193" s="485"/>
      <c r="Z193" s="485"/>
      <c r="AA193" s="485"/>
      <c r="AB193" s="485"/>
      <c r="AC193" s="485"/>
      <c r="AD193" s="485"/>
      <c r="AE193" s="485"/>
      <c r="AF193" s="485"/>
      <c r="AG193" s="485"/>
      <c r="AH193" s="485"/>
      <c r="AI193" s="485"/>
      <c r="AJ193" s="485"/>
      <c r="AK193" s="485"/>
      <c r="AL193" s="485"/>
      <c r="AM193" s="485"/>
      <c r="AN193" s="485"/>
      <c r="AO193" s="485"/>
      <c r="AP193" s="485"/>
      <c r="AQ193" s="485"/>
      <c r="AR193" s="485"/>
      <c r="AS193" s="485"/>
      <c r="AT193" s="485"/>
      <c r="AU193" s="485"/>
      <c r="AV193" s="485"/>
      <c r="AW193" s="485"/>
      <c r="AX193" s="485"/>
      <c r="AY193" s="485"/>
      <c r="AZ193" s="485"/>
      <c r="BA193" s="485"/>
      <c r="BB193" s="485"/>
      <c r="BC193" s="485"/>
      <c r="BD193" s="485"/>
      <c r="BE193" s="485"/>
      <c r="BF193" s="485"/>
      <c r="BG193" s="485"/>
      <c r="BH193" s="485"/>
    </row>
    <row r="194" spans="1:60" x14ac:dyDescent="0.25">
      <c r="A194" s="77" t="s">
        <v>33</v>
      </c>
      <c r="B194" s="413">
        <f t="shared" ref="B194:J194" si="91">B193*16%</f>
        <v>769282.75862068962</v>
      </c>
      <c r="C194" s="413">
        <f t="shared" si="91"/>
        <v>365724.13793103449</v>
      </c>
      <c r="D194" s="413">
        <f t="shared" si="91"/>
        <v>486344.82758620696</v>
      </c>
      <c r="E194" s="413">
        <f t="shared" si="91"/>
        <v>531241.37931034481</v>
      </c>
      <c r="F194" s="413">
        <f t="shared" si="91"/>
        <v>946124.13793103455</v>
      </c>
      <c r="G194" s="41">
        <f t="shared" si="91"/>
        <v>897227.58620689658</v>
      </c>
      <c r="H194" s="41">
        <f t="shared" si="91"/>
        <v>760924.13793103455</v>
      </c>
      <c r="I194" s="414">
        <f t="shared" si="91"/>
        <v>4756868.9655172424</v>
      </c>
      <c r="J194" s="486">
        <f t="shared" si="91"/>
        <v>679552.70935960603</v>
      </c>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7"/>
    </row>
    <row r="195" spans="1:60" x14ac:dyDescent="0.25">
      <c r="A195" s="142" t="s">
        <v>34</v>
      </c>
      <c r="B195" s="438">
        <f t="shared" ref="B195:I195" si="92">B193+B194</f>
        <v>5577300</v>
      </c>
      <c r="C195" s="438">
        <f t="shared" si="92"/>
        <v>2651500</v>
      </c>
      <c r="D195" s="438">
        <f t="shared" si="92"/>
        <v>3526000.0000000005</v>
      </c>
      <c r="E195" s="438">
        <f t="shared" si="92"/>
        <v>3851500</v>
      </c>
      <c r="F195" s="438">
        <f t="shared" si="92"/>
        <v>6859400.0000000009</v>
      </c>
      <c r="G195" s="144">
        <f t="shared" si="92"/>
        <v>6504900</v>
      </c>
      <c r="H195" s="144">
        <f t="shared" si="92"/>
        <v>5516700.0000000009</v>
      </c>
      <c r="I195" s="440">
        <f t="shared" si="92"/>
        <v>34487300.000000007</v>
      </c>
      <c r="J195" s="488">
        <f>+$I195/7</f>
        <v>4926757.1428571437</v>
      </c>
      <c r="K195" s="489"/>
      <c r="L195" s="489"/>
      <c r="M195" s="489"/>
      <c r="N195" s="489"/>
      <c r="O195" s="489"/>
      <c r="P195" s="489"/>
      <c r="Q195" s="489"/>
      <c r="R195" s="489"/>
      <c r="S195" s="489"/>
      <c r="T195" s="489"/>
      <c r="U195" s="489"/>
      <c r="V195" s="489"/>
      <c r="W195" s="489"/>
      <c r="X195" s="489"/>
      <c r="Y195" s="489"/>
      <c r="Z195" s="489"/>
      <c r="AA195" s="489"/>
      <c r="AB195" s="489"/>
      <c r="AC195" s="489"/>
      <c r="AD195" s="489"/>
      <c r="AE195" s="489"/>
      <c r="AF195" s="489"/>
      <c r="AG195" s="489"/>
      <c r="AH195" s="489"/>
      <c r="AI195" s="489"/>
      <c r="AJ195" s="489"/>
      <c r="AK195" s="489"/>
      <c r="AL195" s="489"/>
      <c r="AM195" s="489"/>
      <c r="AN195" s="489"/>
      <c r="AO195" s="489"/>
      <c r="AP195" s="489"/>
      <c r="AQ195" s="489"/>
      <c r="AR195" s="489"/>
      <c r="AS195" s="489"/>
      <c r="AT195" s="489"/>
      <c r="AU195" s="489"/>
      <c r="AV195" s="489"/>
      <c r="AW195" s="489"/>
      <c r="AX195" s="489"/>
      <c r="AY195" s="489"/>
      <c r="AZ195" s="489"/>
      <c r="BA195" s="489"/>
      <c r="BB195" s="489"/>
      <c r="BC195" s="489"/>
      <c r="BD195" s="489"/>
      <c r="BE195" s="489"/>
      <c r="BF195" s="489"/>
      <c r="BG195" s="489"/>
      <c r="BH195" s="489"/>
    </row>
    <row r="197" spans="1:60" ht="26.25" x14ac:dyDescent="0.25">
      <c r="A197" s="85"/>
      <c r="B197" s="1002" t="s">
        <v>359</v>
      </c>
      <c r="C197" s="1002"/>
      <c r="D197" s="1002"/>
      <c r="E197" s="1002"/>
      <c r="F197" s="1002"/>
      <c r="G197" s="1002"/>
      <c r="H197" s="1002"/>
      <c r="I197" s="1002"/>
    </row>
    <row r="198" spans="1:60" ht="15.75" x14ac:dyDescent="0.25">
      <c r="A198" s="72" t="s">
        <v>2</v>
      </c>
      <c r="B198" s="121" t="s">
        <v>241</v>
      </c>
      <c r="C198" s="121" t="s">
        <v>255</v>
      </c>
      <c r="D198" s="121" t="s">
        <v>256</v>
      </c>
      <c r="E198" s="121" t="s">
        <v>257</v>
      </c>
      <c r="F198" s="121" t="s">
        <v>258</v>
      </c>
      <c r="G198" s="121" t="s">
        <v>259</v>
      </c>
      <c r="H198" s="121" t="s">
        <v>260</v>
      </c>
      <c r="I198" s="153" t="s">
        <v>10</v>
      </c>
      <c r="J198" s="490" t="s">
        <v>77</v>
      </c>
      <c r="K198" s="466"/>
      <c r="L198" s="466"/>
      <c r="M198" s="466"/>
      <c r="N198" s="466"/>
      <c r="O198" s="466"/>
      <c r="P198" s="466"/>
      <c r="Q198" s="466"/>
      <c r="R198" s="466"/>
      <c r="S198" s="466"/>
      <c r="T198" s="466"/>
      <c r="U198" s="466"/>
      <c r="V198" s="466"/>
      <c r="W198" s="466"/>
      <c r="X198" s="466"/>
      <c r="Y198" s="466"/>
      <c r="Z198" s="466"/>
      <c r="AA198" s="466"/>
      <c r="AB198" s="466"/>
      <c r="AC198" s="466"/>
      <c r="AD198" s="466"/>
      <c r="AE198" s="466"/>
      <c r="AF198" s="466"/>
      <c r="AG198" s="466"/>
      <c r="AH198" s="466"/>
      <c r="AI198" s="466"/>
      <c r="AJ198" s="466"/>
      <c r="AK198" s="466"/>
      <c r="AL198" s="466"/>
      <c r="AM198" s="466"/>
      <c r="AN198" s="466"/>
      <c r="AO198" s="466"/>
      <c r="AP198" s="466"/>
      <c r="AQ198" s="466"/>
      <c r="AR198" s="466"/>
      <c r="AS198" s="466"/>
      <c r="AT198" s="466"/>
      <c r="AU198" s="466"/>
      <c r="AV198" s="466"/>
      <c r="AW198" s="466"/>
      <c r="AX198" s="466"/>
      <c r="AY198" s="466"/>
      <c r="AZ198" s="466"/>
      <c r="BA198" s="466"/>
      <c r="BB198" s="466"/>
      <c r="BC198" s="466"/>
      <c r="BD198" s="466"/>
      <c r="BE198" s="466"/>
      <c r="BF198" s="466"/>
      <c r="BG198" s="466"/>
      <c r="BH198" s="466"/>
    </row>
    <row r="199" spans="1:60" x14ac:dyDescent="0.25">
      <c r="A199" s="430" t="s">
        <v>11</v>
      </c>
      <c r="B199" s="433">
        <v>95</v>
      </c>
      <c r="C199" s="75">
        <v>132</v>
      </c>
      <c r="D199" s="75">
        <v>127</v>
      </c>
      <c r="E199" s="75">
        <v>149</v>
      </c>
      <c r="F199" s="75">
        <v>249</v>
      </c>
      <c r="G199" s="75">
        <v>254</v>
      </c>
      <c r="H199" s="75">
        <v>479</v>
      </c>
      <c r="I199" s="467">
        <f t="shared" ref="I199:I204" si="93">SUM(B199:H199)</f>
        <v>1485</v>
      </c>
      <c r="J199" s="468">
        <f>+$I199/7</f>
        <v>212.14285714285714</v>
      </c>
      <c r="K199" s="469"/>
      <c r="L199" s="469"/>
      <c r="M199" s="469"/>
      <c r="N199" s="469"/>
      <c r="O199" s="469"/>
      <c r="P199" s="469"/>
      <c r="Q199" s="469"/>
      <c r="R199" s="469"/>
      <c r="S199" s="469"/>
      <c r="T199" s="469"/>
      <c r="U199" s="469"/>
      <c r="V199" s="469"/>
      <c r="W199" s="469"/>
      <c r="X199" s="469"/>
      <c r="Y199" s="469"/>
      <c r="Z199" s="469"/>
      <c r="AA199" s="469"/>
      <c r="AB199" s="469"/>
      <c r="AC199" s="469"/>
      <c r="AD199" s="469"/>
      <c r="AE199" s="469"/>
      <c r="AF199" s="469"/>
      <c r="AG199" s="469"/>
      <c r="AH199" s="469"/>
      <c r="AI199" s="469"/>
      <c r="AJ199" s="469"/>
      <c r="AK199" s="469"/>
      <c r="AL199" s="469"/>
      <c r="AM199" s="469"/>
      <c r="AN199" s="469"/>
      <c r="AO199" s="469"/>
      <c r="AP199" s="469"/>
      <c r="AQ199" s="469"/>
      <c r="AR199" s="469"/>
      <c r="AS199" s="469"/>
      <c r="AT199" s="469"/>
      <c r="AU199" s="469"/>
      <c r="AV199" s="469"/>
      <c r="AW199" s="469"/>
      <c r="AX199" s="469"/>
      <c r="AY199" s="469"/>
      <c r="AZ199" s="469"/>
      <c r="BA199" s="469"/>
      <c r="BB199" s="469"/>
      <c r="BC199" s="469"/>
      <c r="BD199" s="469"/>
      <c r="BE199" s="469"/>
      <c r="BF199" s="469"/>
      <c r="BG199" s="469"/>
      <c r="BH199" s="469"/>
    </row>
    <row r="200" spans="1:60" x14ac:dyDescent="0.25">
      <c r="A200" s="77" t="s">
        <v>12</v>
      </c>
      <c r="B200" s="233">
        <v>33</v>
      </c>
      <c r="C200" s="13">
        <v>44</v>
      </c>
      <c r="D200" s="13">
        <v>44</v>
      </c>
      <c r="E200" s="13">
        <v>40</v>
      </c>
      <c r="F200" s="13">
        <v>85</v>
      </c>
      <c r="G200" s="13">
        <v>107</v>
      </c>
      <c r="H200" s="13">
        <v>302</v>
      </c>
      <c r="I200" s="11">
        <f t="shared" si="93"/>
        <v>655</v>
      </c>
      <c r="J200" s="470">
        <f t="shared" ref="J200:J205" si="94">+$I200/7</f>
        <v>93.571428571428569</v>
      </c>
      <c r="K200" s="471"/>
      <c r="L200" s="471"/>
      <c r="M200" s="471"/>
      <c r="N200" s="471"/>
      <c r="O200" s="471"/>
      <c r="P200" s="471"/>
      <c r="Q200" s="471"/>
      <c r="R200" s="471"/>
      <c r="S200" s="471"/>
      <c r="T200" s="471"/>
      <c r="U200" s="471"/>
      <c r="V200" s="471"/>
      <c r="W200" s="471"/>
      <c r="X200" s="471"/>
      <c r="Y200" s="471"/>
      <c r="Z200" s="471"/>
      <c r="AA200" s="471"/>
      <c r="AB200" s="471"/>
      <c r="AC200" s="471"/>
      <c r="AD200" s="471"/>
      <c r="AE200" s="471"/>
      <c r="AF200" s="471"/>
      <c r="AG200" s="471"/>
      <c r="AH200" s="471"/>
      <c r="AI200" s="471"/>
      <c r="AJ200" s="471"/>
      <c r="AK200" s="471"/>
      <c r="AL200" s="471"/>
      <c r="AM200" s="471"/>
      <c r="AN200" s="471"/>
      <c r="AO200" s="471"/>
      <c r="AP200" s="471"/>
      <c r="AQ200" s="471"/>
      <c r="AR200" s="471"/>
      <c r="AS200" s="471"/>
      <c r="AT200" s="471"/>
      <c r="AU200" s="471"/>
      <c r="AV200" s="471"/>
      <c r="AW200" s="471"/>
      <c r="AX200" s="471"/>
      <c r="AY200" s="471"/>
      <c r="AZ200" s="471"/>
      <c r="BA200" s="471"/>
      <c r="BB200" s="471"/>
      <c r="BC200" s="471"/>
      <c r="BD200" s="471"/>
      <c r="BE200" s="471"/>
      <c r="BF200" s="471"/>
      <c r="BG200" s="471"/>
      <c r="BH200" s="471"/>
    </row>
    <row r="201" spans="1:60" x14ac:dyDescent="0.25">
      <c r="A201" s="77" t="s">
        <v>13</v>
      </c>
      <c r="B201" s="233">
        <v>4</v>
      </c>
      <c r="C201" s="13">
        <v>0</v>
      </c>
      <c r="D201" s="13">
        <v>0</v>
      </c>
      <c r="E201" s="13">
        <v>0</v>
      </c>
      <c r="F201" s="13">
        <v>2</v>
      </c>
      <c r="G201" s="13">
        <v>3</v>
      </c>
      <c r="H201" s="13">
        <v>3</v>
      </c>
      <c r="I201" s="11">
        <f t="shared" si="93"/>
        <v>12</v>
      </c>
      <c r="J201" s="470">
        <f t="shared" si="94"/>
        <v>1.7142857142857142</v>
      </c>
      <c r="K201" s="471"/>
      <c r="L201" s="471"/>
      <c r="M201" s="471"/>
      <c r="N201" s="471"/>
      <c r="O201" s="471"/>
      <c r="P201" s="471"/>
      <c r="Q201" s="471"/>
      <c r="R201" s="471"/>
      <c r="S201" s="471"/>
      <c r="T201" s="471"/>
      <c r="U201" s="471"/>
      <c r="V201" s="471"/>
      <c r="W201" s="471"/>
      <c r="X201" s="471"/>
      <c r="Y201" s="471"/>
      <c r="Z201" s="471"/>
      <c r="AA201" s="471"/>
      <c r="AB201" s="471"/>
      <c r="AC201" s="471"/>
      <c r="AD201" s="471"/>
      <c r="AE201" s="471"/>
      <c r="AF201" s="471"/>
      <c r="AG201" s="471"/>
      <c r="AH201" s="471"/>
      <c r="AI201" s="471"/>
      <c r="AJ201" s="471"/>
      <c r="AK201" s="471"/>
      <c r="AL201" s="471"/>
      <c r="AM201" s="471"/>
      <c r="AN201" s="471"/>
      <c r="AO201" s="471"/>
      <c r="AP201" s="471"/>
      <c r="AQ201" s="471"/>
      <c r="AR201" s="471"/>
      <c r="AS201" s="471"/>
      <c r="AT201" s="471"/>
      <c r="AU201" s="471"/>
      <c r="AV201" s="471"/>
      <c r="AW201" s="471"/>
      <c r="AX201" s="471"/>
      <c r="AY201" s="471"/>
      <c r="AZ201" s="471"/>
      <c r="BA201" s="471"/>
      <c r="BB201" s="471"/>
      <c r="BC201" s="471"/>
      <c r="BD201" s="471"/>
      <c r="BE201" s="471"/>
      <c r="BF201" s="471"/>
      <c r="BG201" s="471"/>
      <c r="BH201" s="471"/>
    </row>
    <row r="202" spans="1:60" x14ac:dyDescent="0.25">
      <c r="A202" s="77" t="s">
        <v>14</v>
      </c>
      <c r="B202" s="233">
        <v>50</v>
      </c>
      <c r="C202" s="13">
        <v>64</v>
      </c>
      <c r="D202" s="13">
        <v>65</v>
      </c>
      <c r="E202" s="13">
        <v>91</v>
      </c>
      <c r="F202" s="13">
        <v>109</v>
      </c>
      <c r="G202" s="13">
        <v>87</v>
      </c>
      <c r="H202" s="13">
        <v>60</v>
      </c>
      <c r="I202" s="11">
        <f t="shared" si="93"/>
        <v>526</v>
      </c>
      <c r="J202" s="470">
        <f t="shared" si="94"/>
        <v>75.142857142857139</v>
      </c>
      <c r="K202" s="471"/>
      <c r="L202" s="471"/>
      <c r="M202" s="471"/>
      <c r="N202" s="471"/>
      <c r="O202" s="471"/>
      <c r="P202" s="471"/>
      <c r="Q202" s="471"/>
      <c r="R202" s="471"/>
      <c r="S202" s="471"/>
      <c r="T202" s="471"/>
      <c r="U202" s="471"/>
      <c r="V202" s="471"/>
      <c r="W202" s="471"/>
      <c r="X202" s="471"/>
      <c r="Y202" s="471"/>
      <c r="Z202" s="471"/>
      <c r="AA202" s="471"/>
      <c r="AB202" s="471"/>
      <c r="AC202" s="471"/>
      <c r="AD202" s="471"/>
      <c r="AE202" s="471"/>
      <c r="AF202" s="471"/>
      <c r="AG202" s="471"/>
      <c r="AH202" s="471"/>
      <c r="AI202" s="471"/>
      <c r="AJ202" s="471"/>
      <c r="AK202" s="471"/>
      <c r="AL202" s="471"/>
      <c r="AM202" s="471"/>
      <c r="AN202" s="471"/>
      <c r="AO202" s="471"/>
      <c r="AP202" s="471"/>
      <c r="AQ202" s="471"/>
      <c r="AR202" s="471"/>
      <c r="AS202" s="471"/>
      <c r="AT202" s="471"/>
      <c r="AU202" s="471"/>
      <c r="AV202" s="471"/>
      <c r="AW202" s="471"/>
      <c r="AX202" s="471"/>
      <c r="AY202" s="471"/>
      <c r="AZ202" s="471"/>
      <c r="BA202" s="471"/>
      <c r="BB202" s="471"/>
      <c r="BC202" s="471"/>
      <c r="BD202" s="471"/>
      <c r="BE202" s="471"/>
      <c r="BF202" s="471"/>
      <c r="BG202" s="471"/>
      <c r="BH202" s="471"/>
    </row>
    <row r="203" spans="1:60" x14ac:dyDescent="0.25">
      <c r="A203" s="77" t="s">
        <v>15</v>
      </c>
      <c r="B203" s="233">
        <v>0</v>
      </c>
      <c r="C203" s="13">
        <v>5</v>
      </c>
      <c r="D203" s="13">
        <v>0</v>
      </c>
      <c r="E203" s="13">
        <v>0</v>
      </c>
      <c r="F203" s="13">
        <v>1</v>
      </c>
      <c r="G203" s="13">
        <v>7</v>
      </c>
      <c r="H203" s="13">
        <v>3</v>
      </c>
      <c r="I203" s="11">
        <f t="shared" si="93"/>
        <v>16</v>
      </c>
      <c r="J203" s="470">
        <f t="shared" si="94"/>
        <v>2.2857142857142856</v>
      </c>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row>
    <row r="204" spans="1:60" x14ac:dyDescent="0.25">
      <c r="A204" s="77" t="s">
        <v>16</v>
      </c>
      <c r="B204" s="233">
        <v>0</v>
      </c>
      <c r="C204" s="13">
        <v>1</v>
      </c>
      <c r="D204" s="13">
        <v>1</v>
      </c>
      <c r="E204" s="13">
        <v>0</v>
      </c>
      <c r="F204" s="13">
        <v>2</v>
      </c>
      <c r="G204" s="13">
        <v>0</v>
      </c>
      <c r="H204" s="13">
        <v>1</v>
      </c>
      <c r="I204" s="11">
        <f t="shared" si="93"/>
        <v>5</v>
      </c>
      <c r="J204" s="470">
        <f t="shared" si="94"/>
        <v>0.7142857142857143</v>
      </c>
      <c r="K204" s="471"/>
      <c r="L204" s="471"/>
      <c r="M204" s="471"/>
      <c r="N204" s="471"/>
      <c r="O204" s="471"/>
      <c r="P204" s="471"/>
      <c r="Q204" s="471"/>
      <c r="R204" s="471"/>
      <c r="S204" s="471"/>
      <c r="T204" s="471"/>
      <c r="U204" s="471"/>
      <c r="V204" s="471"/>
      <c r="W204" s="471"/>
      <c r="X204" s="471"/>
      <c r="Y204" s="471"/>
      <c r="Z204" s="471"/>
      <c r="AA204" s="471"/>
      <c r="AB204" s="471"/>
      <c r="AC204" s="471"/>
      <c r="AD204" s="471"/>
      <c r="AE204" s="471"/>
      <c r="AF204" s="471"/>
      <c r="AG204" s="471"/>
      <c r="AH204" s="471"/>
      <c r="AI204" s="471"/>
      <c r="AJ204" s="471"/>
      <c r="AK204" s="471"/>
      <c r="AL204" s="471"/>
      <c r="AM204" s="471"/>
      <c r="AN204" s="471"/>
      <c r="AO204" s="471"/>
      <c r="AP204" s="471"/>
      <c r="AQ204" s="471"/>
      <c r="AR204" s="471"/>
      <c r="AS204" s="471"/>
      <c r="AT204" s="471"/>
      <c r="AU204" s="471"/>
      <c r="AV204" s="471"/>
      <c r="AW204" s="471"/>
      <c r="AX204" s="471"/>
      <c r="AY204" s="471"/>
      <c r="AZ204" s="471"/>
      <c r="BA204" s="471"/>
      <c r="BB204" s="471"/>
      <c r="BC204" s="471"/>
      <c r="BD204" s="471"/>
      <c r="BE204" s="471"/>
      <c r="BF204" s="471"/>
      <c r="BG204" s="471"/>
      <c r="BH204" s="471"/>
    </row>
    <row r="205" spans="1:60" x14ac:dyDescent="0.25">
      <c r="A205" s="79" t="s">
        <v>17</v>
      </c>
      <c r="B205" s="102">
        <f t="shared" ref="B205:I205" si="95">SUM(B200:B204)</f>
        <v>87</v>
      </c>
      <c r="C205" s="102">
        <f t="shared" si="95"/>
        <v>114</v>
      </c>
      <c r="D205" s="102">
        <f t="shared" si="95"/>
        <v>110</v>
      </c>
      <c r="E205" s="102">
        <f t="shared" si="95"/>
        <v>131</v>
      </c>
      <c r="F205" s="102">
        <f t="shared" si="95"/>
        <v>199</v>
      </c>
      <c r="G205" s="79">
        <f t="shared" si="95"/>
        <v>204</v>
      </c>
      <c r="H205" s="79">
        <f t="shared" si="95"/>
        <v>369</v>
      </c>
      <c r="I205" s="472">
        <f t="shared" si="95"/>
        <v>1214</v>
      </c>
      <c r="J205" s="473">
        <f t="shared" si="94"/>
        <v>173.42857142857142</v>
      </c>
      <c r="K205" s="474"/>
      <c r="L205" s="474"/>
      <c r="M205" s="474"/>
      <c r="N205" s="474"/>
      <c r="O205" s="474"/>
      <c r="P205" s="474"/>
      <c r="Q205" s="474"/>
      <c r="R205" s="474"/>
      <c r="S205" s="474"/>
      <c r="T205" s="474"/>
      <c r="U205" s="474"/>
      <c r="V205" s="474"/>
      <c r="W205" s="474"/>
      <c r="X205" s="474"/>
      <c r="Y205" s="474"/>
      <c r="Z205" s="474"/>
      <c r="AA205" s="474"/>
      <c r="AB205" s="474"/>
      <c r="AC205" s="474"/>
      <c r="AD205" s="474"/>
      <c r="AE205" s="474"/>
      <c r="AF205" s="474"/>
      <c r="AG205" s="474"/>
      <c r="AH205" s="474"/>
      <c r="AI205" s="474"/>
      <c r="AJ205" s="474"/>
      <c r="AK205" s="474"/>
      <c r="AL205" s="474"/>
      <c r="AM205" s="474"/>
      <c r="AN205" s="474"/>
      <c r="AO205" s="474"/>
      <c r="AP205" s="474"/>
      <c r="AQ205" s="474"/>
      <c r="AR205" s="474"/>
      <c r="AS205" s="474"/>
      <c r="AT205" s="474"/>
      <c r="AU205" s="474"/>
      <c r="AV205" s="474"/>
      <c r="AW205" s="474"/>
      <c r="AX205" s="474"/>
      <c r="AY205" s="474"/>
      <c r="AZ205" s="474"/>
      <c r="BA205" s="474"/>
      <c r="BB205" s="474"/>
      <c r="BC205" s="474"/>
      <c r="BD205" s="474"/>
      <c r="BE205" s="474"/>
      <c r="BF205" s="474"/>
      <c r="BG205" s="474"/>
      <c r="BH205" s="474"/>
    </row>
    <row r="206" spans="1:60" x14ac:dyDescent="0.25">
      <c r="A206" s="77" t="s">
        <v>18</v>
      </c>
      <c r="B206" s="234">
        <v>0.38</v>
      </c>
      <c r="C206" s="235">
        <v>0.43</v>
      </c>
      <c r="D206" s="235">
        <v>0.46</v>
      </c>
      <c r="E206" s="236">
        <v>0.34</v>
      </c>
      <c r="F206" s="236">
        <v>0.38</v>
      </c>
      <c r="G206" s="236">
        <v>0.47</v>
      </c>
      <c r="H206" s="236">
        <v>0.8</v>
      </c>
      <c r="I206" s="18">
        <f>I213/I218</f>
        <v>0.53670569959072811</v>
      </c>
      <c r="J206" s="475">
        <f>J213/J218</f>
        <v>0.536705699590728</v>
      </c>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6"/>
      <c r="BH206" s="476"/>
    </row>
    <row r="207" spans="1:60" x14ac:dyDescent="0.25">
      <c r="A207" s="77" t="s">
        <v>19</v>
      </c>
      <c r="B207" s="234">
        <v>7.0000000000000007E-2</v>
      </c>
      <c r="C207" s="235">
        <v>0.53</v>
      </c>
      <c r="D207" s="235">
        <v>0</v>
      </c>
      <c r="E207" s="236">
        <v>0</v>
      </c>
      <c r="F207" s="236">
        <v>0.01</v>
      </c>
      <c r="G207" s="236">
        <v>0.02</v>
      </c>
      <c r="H207" s="236">
        <v>0.01</v>
      </c>
      <c r="I207" s="18">
        <f>I214/I218</f>
        <v>5.7262393997773615E-2</v>
      </c>
      <c r="J207" s="475">
        <f>J214/J218</f>
        <v>5.7262393997773609E-2</v>
      </c>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6"/>
      <c r="BH207" s="476"/>
    </row>
    <row r="208" spans="1:60" x14ac:dyDescent="0.25">
      <c r="A208" s="77" t="s">
        <v>20</v>
      </c>
      <c r="B208" s="234">
        <v>0.55000000000000004</v>
      </c>
      <c r="C208" s="235">
        <v>0.03</v>
      </c>
      <c r="D208" s="235">
        <v>0.52</v>
      </c>
      <c r="E208" s="236">
        <v>0.66</v>
      </c>
      <c r="F208" s="236">
        <v>0.59</v>
      </c>
      <c r="G208" s="236">
        <v>0.49</v>
      </c>
      <c r="H208" s="236">
        <v>0.18</v>
      </c>
      <c r="I208" s="18">
        <f>I215/I218</f>
        <v>0.39341442257507064</v>
      </c>
      <c r="J208" s="475">
        <f>J215/J218</f>
        <v>0.3934144225750707</v>
      </c>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row>
    <row r="209" spans="1:60" x14ac:dyDescent="0.25">
      <c r="A209" s="77" t="s">
        <v>21</v>
      </c>
      <c r="B209" s="234">
        <v>0</v>
      </c>
      <c r="C209" s="235">
        <v>0.01</v>
      </c>
      <c r="D209" s="235">
        <v>0</v>
      </c>
      <c r="E209" s="236">
        <v>0</v>
      </c>
      <c r="F209" s="236">
        <v>0</v>
      </c>
      <c r="G209" s="236">
        <v>0.02</v>
      </c>
      <c r="H209" s="236">
        <v>0.01</v>
      </c>
      <c r="I209" s="18">
        <f>I216/I218</f>
        <v>7.5832126083247645E-3</v>
      </c>
      <c r="J209" s="475">
        <f>J216/J218</f>
        <v>7.5832126083247645E-3</v>
      </c>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row>
    <row r="210" spans="1:60" x14ac:dyDescent="0.25">
      <c r="A210" s="77" t="s">
        <v>22</v>
      </c>
      <c r="B210" s="234">
        <v>0</v>
      </c>
      <c r="C210" s="235">
        <v>0</v>
      </c>
      <c r="D210" s="235">
        <v>0.02</v>
      </c>
      <c r="E210" s="236">
        <v>0</v>
      </c>
      <c r="F210" s="236">
        <v>0.02</v>
      </c>
      <c r="G210" s="236">
        <v>0</v>
      </c>
      <c r="H210" s="236">
        <v>0</v>
      </c>
      <c r="I210" s="18">
        <f>I217/I218</f>
        <v>5.0342712281028247E-3</v>
      </c>
      <c r="J210" s="475">
        <f>J217/J218</f>
        <v>5.0342712281028247E-3</v>
      </c>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row>
    <row r="211" spans="1:60" x14ac:dyDescent="0.25">
      <c r="A211" s="81" t="s">
        <v>23</v>
      </c>
      <c r="B211" s="409">
        <f t="shared" ref="B211:J211" si="96">B222/B205</f>
        <v>32588.505747126441</v>
      </c>
      <c r="C211" s="409">
        <f t="shared" si="96"/>
        <v>30215.789473684214</v>
      </c>
      <c r="D211" s="409">
        <f t="shared" si="96"/>
        <v>30653.636363636364</v>
      </c>
      <c r="E211" s="409">
        <f t="shared" si="96"/>
        <v>31277.862595419851</v>
      </c>
      <c r="F211" s="409">
        <f t="shared" si="96"/>
        <v>35475.376884422112</v>
      </c>
      <c r="G211" s="130">
        <f t="shared" si="96"/>
        <v>36375.490196078434</v>
      </c>
      <c r="H211" s="130">
        <f t="shared" si="96"/>
        <v>36772.086720867213</v>
      </c>
      <c r="I211" s="359">
        <f t="shared" si="96"/>
        <v>34430.148270181227</v>
      </c>
      <c r="J211" s="477">
        <f t="shared" si="96"/>
        <v>34430.148270181227</v>
      </c>
      <c r="K211" s="478"/>
      <c r="L211" s="478"/>
      <c r="M211" s="478"/>
      <c r="N211" s="478"/>
      <c r="O211" s="478"/>
      <c r="P211" s="478"/>
      <c r="Q211" s="478"/>
      <c r="R211" s="478"/>
      <c r="S211" s="478"/>
      <c r="T211" s="478"/>
      <c r="U211" s="478"/>
      <c r="V211" s="478"/>
      <c r="W211" s="478"/>
      <c r="X211" s="478"/>
      <c r="Y211" s="478"/>
      <c r="Z211" s="478"/>
      <c r="AA211" s="478"/>
      <c r="AB211" s="478"/>
      <c r="AC211" s="478"/>
      <c r="AD211" s="478"/>
      <c r="AE211" s="478"/>
      <c r="AF211" s="478"/>
      <c r="AG211" s="478"/>
      <c r="AH211" s="478"/>
      <c r="AI211" s="478"/>
      <c r="AJ211" s="478"/>
      <c r="AK211" s="478"/>
      <c r="AL211" s="478"/>
      <c r="AM211" s="478"/>
      <c r="AN211" s="478"/>
      <c r="AO211" s="478"/>
      <c r="AP211" s="478"/>
      <c r="AQ211" s="478"/>
      <c r="AR211" s="478"/>
      <c r="AS211" s="478"/>
      <c r="AT211" s="478"/>
      <c r="AU211" s="478"/>
      <c r="AV211" s="478"/>
      <c r="AW211" s="478"/>
      <c r="AX211" s="478"/>
      <c r="AY211" s="478"/>
      <c r="AZ211" s="478"/>
      <c r="BA211" s="478"/>
      <c r="BB211" s="478"/>
      <c r="BC211" s="478"/>
      <c r="BD211" s="478"/>
      <c r="BE211" s="478"/>
      <c r="BF211" s="478"/>
      <c r="BG211" s="478"/>
      <c r="BH211" s="478"/>
    </row>
    <row r="212" spans="1:60" x14ac:dyDescent="0.25">
      <c r="A212" s="81" t="s">
        <v>24</v>
      </c>
      <c r="B212" s="409">
        <f t="shared" ref="B212:J212" si="97">B222/B199</f>
        <v>29844.210526315794</v>
      </c>
      <c r="C212" s="409">
        <f t="shared" si="97"/>
        <v>26095.454545454548</v>
      </c>
      <c r="D212" s="409">
        <f t="shared" si="97"/>
        <v>26550.393700787401</v>
      </c>
      <c r="E212" s="409">
        <f t="shared" si="97"/>
        <v>27499.328859060406</v>
      </c>
      <c r="F212" s="409">
        <f t="shared" si="97"/>
        <v>28351.807228915666</v>
      </c>
      <c r="G212" s="130">
        <f t="shared" si="97"/>
        <v>29214.960629921261</v>
      </c>
      <c r="H212" s="130">
        <f t="shared" si="97"/>
        <v>28327.55741127349</v>
      </c>
      <c r="I212" s="359">
        <f t="shared" si="97"/>
        <v>28146.936026936033</v>
      </c>
      <c r="J212" s="477">
        <f t="shared" si="97"/>
        <v>28146.936026936033</v>
      </c>
      <c r="K212" s="478"/>
      <c r="L212" s="478"/>
      <c r="M212" s="478"/>
      <c r="N212" s="478"/>
      <c r="O212" s="478"/>
      <c r="P212" s="478"/>
      <c r="Q212" s="478"/>
      <c r="R212" s="478"/>
      <c r="S212" s="478"/>
      <c r="T212" s="478"/>
      <c r="U212" s="478"/>
      <c r="V212" s="478"/>
      <c r="W212" s="478"/>
      <c r="X212" s="478"/>
      <c r="Y212" s="478"/>
      <c r="Z212" s="478"/>
      <c r="AA212" s="478"/>
      <c r="AB212" s="478"/>
      <c r="AC212" s="478"/>
      <c r="AD212" s="478"/>
      <c r="AE212" s="478"/>
      <c r="AF212" s="478"/>
      <c r="AG212" s="478"/>
      <c r="AH212" s="478"/>
      <c r="AI212" s="478"/>
      <c r="AJ212" s="478"/>
      <c r="AK212" s="478"/>
      <c r="AL212" s="478"/>
      <c r="AM212" s="478"/>
      <c r="AN212" s="478"/>
      <c r="AO212" s="478"/>
      <c r="AP212" s="478"/>
      <c r="AQ212" s="478"/>
      <c r="AR212" s="478"/>
      <c r="AS212" s="478"/>
      <c r="AT212" s="478"/>
      <c r="AU212" s="478"/>
      <c r="AV212" s="478"/>
      <c r="AW212" s="478"/>
      <c r="AX212" s="478"/>
      <c r="AY212" s="478"/>
      <c r="AZ212" s="478"/>
      <c r="BA212" s="478"/>
      <c r="BB212" s="478"/>
      <c r="BC212" s="478"/>
      <c r="BD212" s="478"/>
      <c r="BE212" s="478"/>
      <c r="BF212" s="478"/>
      <c r="BG212" s="478"/>
      <c r="BH212" s="478"/>
    </row>
    <row r="213" spans="1:60" x14ac:dyDescent="0.25">
      <c r="A213" s="77" t="s">
        <v>25</v>
      </c>
      <c r="B213" s="255">
        <f t="shared" ref="B213:H213" si="98">B218*B206</f>
        <v>901748.71379310358</v>
      </c>
      <c r="C213" s="255">
        <f t="shared" si="98"/>
        <v>1236104.9862068966</v>
      </c>
      <c r="D213" s="255">
        <f t="shared" si="98"/>
        <v>1293515.5586206897</v>
      </c>
      <c r="E213" s="255">
        <f t="shared" si="98"/>
        <v>1171654.0689655175</v>
      </c>
      <c r="F213" s="255">
        <f t="shared" si="98"/>
        <v>2243021.0862068967</v>
      </c>
      <c r="G213" s="92">
        <f t="shared" si="98"/>
        <v>2898247.4637931031</v>
      </c>
      <c r="H213" s="92">
        <f t="shared" si="98"/>
        <v>8837214.0689655188</v>
      </c>
      <c r="I213" s="108">
        <f>SUM(B213:H213)</f>
        <v>18581505.946551725</v>
      </c>
      <c r="J213" s="479">
        <f t="shared" ref="J213:J218" si="99">+$I213/7</f>
        <v>2654500.8495073891</v>
      </c>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0"/>
      <c r="BD213" s="480"/>
      <c r="BE213" s="480"/>
      <c r="BF213" s="480"/>
      <c r="BG213" s="480"/>
      <c r="BH213" s="480"/>
    </row>
    <row r="214" spans="1:60" x14ac:dyDescent="0.25">
      <c r="A214" s="77" t="s">
        <v>26</v>
      </c>
      <c r="B214" s="255">
        <f t="shared" ref="B214:H214" si="100">B218*B207</f>
        <v>166111.60517241384</v>
      </c>
      <c r="C214" s="255">
        <f t="shared" si="100"/>
        <v>1523571.2620689659</v>
      </c>
      <c r="D214" s="255">
        <f t="shared" si="100"/>
        <v>0</v>
      </c>
      <c r="E214" s="255">
        <f t="shared" si="100"/>
        <v>0</v>
      </c>
      <c r="F214" s="255">
        <f t="shared" si="100"/>
        <v>59026.870689655181</v>
      </c>
      <c r="G214" s="92">
        <f t="shared" si="100"/>
        <v>123329.67931034483</v>
      </c>
      <c r="H214" s="92">
        <f t="shared" si="100"/>
        <v>110465.17586206898</v>
      </c>
      <c r="I214" s="108">
        <f>SUM(B214:H214)</f>
        <v>1982504.5931034489</v>
      </c>
      <c r="J214" s="479">
        <f t="shared" si="99"/>
        <v>283214.94187192124</v>
      </c>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c r="AO214" s="480"/>
      <c r="AP214" s="480"/>
      <c r="AQ214" s="480"/>
      <c r="AR214" s="480"/>
      <c r="AS214" s="480"/>
      <c r="AT214" s="480"/>
      <c r="AU214" s="480"/>
      <c r="AV214" s="480"/>
      <c r="AW214" s="480"/>
      <c r="AX214" s="480"/>
      <c r="AY214" s="480"/>
      <c r="AZ214" s="480"/>
      <c r="BA214" s="480"/>
      <c r="BB214" s="480"/>
      <c r="BC214" s="480"/>
      <c r="BD214" s="480"/>
      <c r="BE214" s="480"/>
      <c r="BF214" s="480"/>
      <c r="BG214" s="480"/>
      <c r="BH214" s="480"/>
    </row>
    <row r="215" spans="1:60" x14ac:dyDescent="0.25">
      <c r="A215" s="77" t="s">
        <v>27</v>
      </c>
      <c r="B215" s="255">
        <f t="shared" ref="B215:H215" si="101">B218*B208</f>
        <v>1305162.6120689658</v>
      </c>
      <c r="C215" s="255">
        <f t="shared" si="101"/>
        <v>86239.882758620704</v>
      </c>
      <c r="D215" s="255">
        <f t="shared" si="101"/>
        <v>1462234.9793103449</v>
      </c>
      <c r="E215" s="255">
        <f t="shared" si="101"/>
        <v>2274387.3103448278</v>
      </c>
      <c r="F215" s="255">
        <f t="shared" si="101"/>
        <v>3482585.3706896552</v>
      </c>
      <c r="G215" s="92">
        <f t="shared" si="101"/>
        <v>3021577.1431034482</v>
      </c>
      <c r="H215" s="92">
        <f t="shared" si="101"/>
        <v>1988373.1655172417</v>
      </c>
      <c r="I215" s="108">
        <f>SUM(B215:H215)</f>
        <v>13620560.463793103</v>
      </c>
      <c r="J215" s="479">
        <f t="shared" si="99"/>
        <v>1945794.3519704433</v>
      </c>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c r="AO215" s="480"/>
      <c r="AP215" s="480"/>
      <c r="AQ215" s="480"/>
      <c r="AR215" s="480"/>
      <c r="AS215" s="480"/>
      <c r="AT215" s="480"/>
      <c r="AU215" s="480"/>
      <c r="AV215" s="480"/>
      <c r="AW215" s="480"/>
      <c r="AX215" s="480"/>
      <c r="AY215" s="480"/>
      <c r="AZ215" s="480"/>
      <c r="BA215" s="480"/>
      <c r="BB215" s="480"/>
      <c r="BC215" s="480"/>
      <c r="BD215" s="480"/>
      <c r="BE215" s="480"/>
      <c r="BF215" s="480"/>
      <c r="BG215" s="480"/>
      <c r="BH215" s="480"/>
    </row>
    <row r="216" spans="1:60" x14ac:dyDescent="0.25">
      <c r="A216" s="77" t="s">
        <v>28</v>
      </c>
      <c r="B216" s="255">
        <f t="shared" ref="B216:H216" si="102">B218*B209</f>
        <v>0</v>
      </c>
      <c r="C216" s="255">
        <f t="shared" si="102"/>
        <v>28746.627586206901</v>
      </c>
      <c r="D216" s="255">
        <f t="shared" si="102"/>
        <v>0</v>
      </c>
      <c r="E216" s="255">
        <f t="shared" si="102"/>
        <v>0</v>
      </c>
      <c r="F216" s="255">
        <f t="shared" si="102"/>
        <v>0</v>
      </c>
      <c r="G216" s="92">
        <f t="shared" si="102"/>
        <v>123329.67931034483</v>
      </c>
      <c r="H216" s="92">
        <f t="shared" si="102"/>
        <v>110465.17586206898</v>
      </c>
      <c r="I216" s="108">
        <f>SUM(B216:H216)</f>
        <v>262541.48275862075</v>
      </c>
      <c r="J216" s="479">
        <f t="shared" si="99"/>
        <v>37505.926108374391</v>
      </c>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c r="AO216" s="480"/>
      <c r="AP216" s="480"/>
      <c r="AQ216" s="480"/>
      <c r="AR216" s="480"/>
      <c r="AS216" s="480"/>
      <c r="AT216" s="480"/>
      <c r="AU216" s="480"/>
      <c r="AV216" s="480"/>
      <c r="AW216" s="480"/>
      <c r="AX216" s="480"/>
      <c r="AY216" s="480"/>
      <c r="AZ216" s="480"/>
      <c r="BA216" s="480"/>
      <c r="BB216" s="480"/>
      <c r="BC216" s="480"/>
      <c r="BD216" s="480"/>
      <c r="BE216" s="480"/>
      <c r="BF216" s="480"/>
      <c r="BG216" s="480"/>
      <c r="BH216" s="480"/>
    </row>
    <row r="217" spans="1:60" x14ac:dyDescent="0.25">
      <c r="A217" s="77" t="s">
        <v>29</v>
      </c>
      <c r="B217" s="255">
        <f t="shared" ref="B217:H217" si="103">B218*B210</f>
        <v>0</v>
      </c>
      <c r="C217" s="255">
        <f t="shared" si="103"/>
        <v>0</v>
      </c>
      <c r="D217" s="255">
        <f t="shared" si="103"/>
        <v>56239.80689655173</v>
      </c>
      <c r="E217" s="255">
        <f t="shared" si="103"/>
        <v>0</v>
      </c>
      <c r="F217" s="255">
        <f t="shared" si="103"/>
        <v>118053.74137931036</v>
      </c>
      <c r="G217" s="92">
        <f t="shared" si="103"/>
        <v>0</v>
      </c>
      <c r="H217" s="92">
        <f t="shared" si="103"/>
        <v>0</v>
      </c>
      <c r="I217" s="108">
        <f>SUM(B217:H217)</f>
        <v>174293.54827586209</v>
      </c>
      <c r="J217" s="479">
        <f t="shared" si="99"/>
        <v>24899.078325123155</v>
      </c>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c r="AO217" s="480"/>
      <c r="AP217" s="480"/>
      <c r="AQ217" s="480"/>
      <c r="AR217" s="480"/>
      <c r="AS217" s="480"/>
      <c r="AT217" s="480"/>
      <c r="AU217" s="480"/>
      <c r="AV217" s="480"/>
      <c r="AW217" s="480"/>
      <c r="AX217" s="480"/>
      <c r="AY217" s="480"/>
      <c r="AZ217" s="480"/>
      <c r="BA217" s="480"/>
      <c r="BB217" s="480"/>
      <c r="BC217" s="480"/>
      <c r="BD217" s="480"/>
      <c r="BE217" s="480"/>
      <c r="BF217" s="480"/>
      <c r="BG217" s="480"/>
      <c r="BH217" s="480"/>
    </row>
    <row r="218" spans="1:60" x14ac:dyDescent="0.25">
      <c r="A218" s="82" t="s">
        <v>30</v>
      </c>
      <c r="B218" s="222">
        <f>(2835200/1.16)-B219</f>
        <v>2373022.931034483</v>
      </c>
      <c r="C218" s="222">
        <f>(3444600/1.16)-C219</f>
        <v>2874662.7586206901</v>
      </c>
      <c r="D218" s="222">
        <f>(3371900/1.16)-D219</f>
        <v>2811990.3448275863</v>
      </c>
      <c r="E218" s="222">
        <f>(4097400/1.16)-E219</f>
        <v>3446041.3793103453</v>
      </c>
      <c r="F218" s="222">
        <f>(7059600/1.16)-F219</f>
        <v>5902687.0689655179</v>
      </c>
      <c r="G218" s="222">
        <f>(7420600/1.16)-G219</f>
        <v>6166483.9655172415</v>
      </c>
      <c r="H218" s="222">
        <f>(13568900/1.16)-H219</f>
        <v>11046517.586206898</v>
      </c>
      <c r="I218" s="111">
        <f>SUM(I213:I217)</f>
        <v>34621406.034482762</v>
      </c>
      <c r="J218" s="481">
        <f t="shared" si="99"/>
        <v>4945915.1477832515</v>
      </c>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c r="AO218" s="480"/>
      <c r="AP218" s="480"/>
      <c r="AQ218" s="480"/>
      <c r="AR218" s="480"/>
      <c r="AS218" s="480"/>
      <c r="AT218" s="480"/>
      <c r="AU218" s="480"/>
      <c r="AV218" s="480"/>
      <c r="AW218" s="480"/>
      <c r="AX218" s="480"/>
      <c r="AY218" s="480"/>
      <c r="AZ218" s="480"/>
      <c r="BA218" s="480"/>
      <c r="BB218" s="480"/>
      <c r="BC218" s="480"/>
      <c r="BD218" s="480"/>
      <c r="BE218" s="480"/>
      <c r="BF218" s="480"/>
      <c r="BG218" s="480"/>
      <c r="BH218" s="480"/>
    </row>
    <row r="219" spans="1:60" x14ac:dyDescent="0.25">
      <c r="A219" s="77" t="s">
        <v>31</v>
      </c>
      <c r="B219" s="263">
        <f t="shared" ref="B219:H219" si="104">2155*B200</f>
        <v>71115</v>
      </c>
      <c r="C219" s="263">
        <f t="shared" si="104"/>
        <v>94820</v>
      </c>
      <c r="D219" s="263">
        <f t="shared" si="104"/>
        <v>94820</v>
      </c>
      <c r="E219" s="263">
        <f t="shared" si="104"/>
        <v>86200</v>
      </c>
      <c r="F219" s="263">
        <f t="shared" si="104"/>
        <v>183175</v>
      </c>
      <c r="G219" s="94">
        <f t="shared" si="104"/>
        <v>230585</v>
      </c>
      <c r="H219" s="94">
        <f t="shared" si="104"/>
        <v>650810</v>
      </c>
      <c r="I219" s="109">
        <f>I200*2155</f>
        <v>1411525</v>
      </c>
      <c r="J219" s="482">
        <f>2155*J200</f>
        <v>201646.42857142858</v>
      </c>
      <c r="K219" s="483"/>
      <c r="L219" s="483"/>
      <c r="M219" s="483"/>
      <c r="N219" s="483"/>
      <c r="O219" s="483"/>
      <c r="P219" s="483"/>
      <c r="Q219" s="483"/>
      <c r="R219" s="483"/>
      <c r="S219" s="483"/>
      <c r="T219" s="483"/>
      <c r="U219" s="483"/>
      <c r="V219" s="483"/>
      <c r="W219" s="483"/>
      <c r="X219" s="483"/>
      <c r="Y219" s="483"/>
      <c r="Z219" s="483"/>
      <c r="AA219" s="483"/>
      <c r="AB219" s="483"/>
      <c r="AC219" s="483"/>
      <c r="AD219" s="483"/>
      <c r="AE219" s="483"/>
      <c r="AF219" s="483"/>
      <c r="AG219" s="483"/>
      <c r="AH219" s="483"/>
      <c r="AI219" s="483"/>
      <c r="AJ219" s="483"/>
      <c r="AK219" s="483"/>
      <c r="AL219" s="483"/>
      <c r="AM219" s="483"/>
      <c r="AN219" s="483"/>
      <c r="AO219" s="483"/>
      <c r="AP219" s="483"/>
      <c r="AQ219" s="483"/>
      <c r="AR219" s="483"/>
      <c r="AS219" s="483"/>
      <c r="AT219" s="483"/>
      <c r="AU219" s="483"/>
      <c r="AV219" s="483"/>
      <c r="AW219" s="483"/>
      <c r="AX219" s="483"/>
      <c r="AY219" s="483"/>
      <c r="AZ219" s="483"/>
      <c r="BA219" s="483"/>
      <c r="BB219" s="483"/>
      <c r="BC219" s="483"/>
      <c r="BD219" s="483"/>
      <c r="BE219" s="483"/>
      <c r="BF219" s="483"/>
      <c r="BG219" s="483"/>
      <c r="BH219" s="483"/>
    </row>
    <row r="220" spans="1:60" x14ac:dyDescent="0.25">
      <c r="A220" s="83" t="s">
        <v>32</v>
      </c>
      <c r="B220" s="411">
        <f t="shared" ref="B220:J220" si="105">B218+B219</f>
        <v>2444137.931034483</v>
      </c>
      <c r="C220" s="411">
        <f t="shared" si="105"/>
        <v>2969482.7586206901</v>
      </c>
      <c r="D220" s="411">
        <f t="shared" si="105"/>
        <v>2906810.3448275863</v>
      </c>
      <c r="E220" s="411">
        <f t="shared" si="105"/>
        <v>3532241.3793103453</v>
      </c>
      <c r="F220" s="411">
        <f t="shared" si="105"/>
        <v>6085862.0689655179</v>
      </c>
      <c r="G220" s="39">
        <f t="shared" si="105"/>
        <v>6397068.9655172415</v>
      </c>
      <c r="H220" s="39">
        <f t="shared" si="105"/>
        <v>11697327.586206898</v>
      </c>
      <c r="I220" s="412">
        <f t="shared" si="105"/>
        <v>36032931.034482762</v>
      </c>
      <c r="J220" s="484">
        <f t="shared" si="105"/>
        <v>5147561.5763546797</v>
      </c>
      <c r="K220" s="485"/>
      <c r="L220" s="485"/>
      <c r="M220" s="485"/>
      <c r="N220" s="485"/>
      <c r="O220" s="485"/>
      <c r="P220" s="485"/>
      <c r="Q220" s="485"/>
      <c r="R220" s="485"/>
      <c r="S220" s="485"/>
      <c r="T220" s="485"/>
      <c r="U220" s="485"/>
      <c r="V220" s="485"/>
      <c r="W220" s="485"/>
      <c r="X220" s="485"/>
      <c r="Y220" s="485"/>
      <c r="Z220" s="485"/>
      <c r="AA220" s="485"/>
      <c r="AB220" s="485"/>
      <c r="AC220" s="485"/>
      <c r="AD220" s="485"/>
      <c r="AE220" s="485"/>
      <c r="AF220" s="485"/>
      <c r="AG220" s="485"/>
      <c r="AH220" s="485"/>
      <c r="AI220" s="485"/>
      <c r="AJ220" s="485"/>
      <c r="AK220" s="485"/>
      <c r="AL220" s="485"/>
      <c r="AM220" s="485"/>
      <c r="AN220" s="485"/>
      <c r="AO220" s="485"/>
      <c r="AP220" s="485"/>
      <c r="AQ220" s="485"/>
      <c r="AR220" s="485"/>
      <c r="AS220" s="485"/>
      <c r="AT220" s="485"/>
      <c r="AU220" s="485"/>
      <c r="AV220" s="485"/>
      <c r="AW220" s="485"/>
      <c r="AX220" s="485"/>
      <c r="AY220" s="485"/>
      <c r="AZ220" s="485"/>
      <c r="BA220" s="485"/>
      <c r="BB220" s="485"/>
      <c r="BC220" s="485"/>
      <c r="BD220" s="485"/>
      <c r="BE220" s="485"/>
      <c r="BF220" s="485"/>
      <c r="BG220" s="485"/>
      <c r="BH220" s="485"/>
    </row>
    <row r="221" spans="1:60" x14ac:dyDescent="0.25">
      <c r="A221" s="77" t="s">
        <v>33</v>
      </c>
      <c r="B221" s="413">
        <f t="shared" ref="B221:J221" si="106">B220*16%</f>
        <v>391062.06896551728</v>
      </c>
      <c r="C221" s="413">
        <f t="shared" si="106"/>
        <v>475117.24137931044</v>
      </c>
      <c r="D221" s="413">
        <f t="shared" si="106"/>
        <v>465089.6551724138</v>
      </c>
      <c r="E221" s="413">
        <f t="shared" si="106"/>
        <v>565158.6206896553</v>
      </c>
      <c r="F221" s="413">
        <f t="shared" si="106"/>
        <v>973737.9310344829</v>
      </c>
      <c r="G221" s="41">
        <f t="shared" si="106"/>
        <v>1023531.0344827586</v>
      </c>
      <c r="H221" s="41">
        <f t="shared" si="106"/>
        <v>1871572.4137931038</v>
      </c>
      <c r="I221" s="414">
        <f t="shared" si="106"/>
        <v>5765268.9655172424</v>
      </c>
      <c r="J221" s="486">
        <f t="shared" si="106"/>
        <v>823609.85221674875</v>
      </c>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row>
    <row r="222" spans="1:60" x14ac:dyDescent="0.25">
      <c r="A222" s="142" t="s">
        <v>34</v>
      </c>
      <c r="B222" s="438">
        <f t="shared" ref="B222:I222" si="107">B220+B221</f>
        <v>2835200.0000000005</v>
      </c>
      <c r="C222" s="438">
        <f t="shared" si="107"/>
        <v>3444600.0000000005</v>
      </c>
      <c r="D222" s="438">
        <f t="shared" si="107"/>
        <v>3371900</v>
      </c>
      <c r="E222" s="438">
        <f t="shared" si="107"/>
        <v>4097400.0000000005</v>
      </c>
      <c r="F222" s="438">
        <f t="shared" si="107"/>
        <v>7059600.0000000009</v>
      </c>
      <c r="G222" s="144">
        <f t="shared" si="107"/>
        <v>7420600</v>
      </c>
      <c r="H222" s="144">
        <f t="shared" si="107"/>
        <v>13568900.000000002</v>
      </c>
      <c r="I222" s="440">
        <f t="shared" si="107"/>
        <v>41798200.000000007</v>
      </c>
      <c r="J222" s="488">
        <f>+$I222/7</f>
        <v>5971171.42857143</v>
      </c>
      <c r="K222" s="489"/>
      <c r="L222" s="489"/>
      <c r="M222" s="489"/>
      <c r="N222" s="489"/>
      <c r="O222" s="489"/>
      <c r="P222" s="489"/>
      <c r="Q222" s="489"/>
      <c r="R222" s="489"/>
      <c r="S222" s="489"/>
      <c r="T222" s="489"/>
      <c r="U222" s="489"/>
      <c r="V222" s="489"/>
      <c r="W222" s="489"/>
      <c r="X222" s="489"/>
      <c r="Y222" s="489"/>
      <c r="Z222" s="489"/>
      <c r="AA222" s="489"/>
      <c r="AB222" s="489"/>
      <c r="AC222" s="489"/>
      <c r="AD222" s="489"/>
      <c r="AE222" s="489"/>
      <c r="AF222" s="489"/>
      <c r="AG222" s="489"/>
      <c r="AH222" s="489"/>
      <c r="AI222" s="489"/>
      <c r="AJ222" s="489"/>
      <c r="AK222" s="489"/>
      <c r="AL222" s="489"/>
      <c r="AM222" s="489"/>
      <c r="AN222" s="489"/>
      <c r="AO222" s="489"/>
      <c r="AP222" s="489"/>
      <c r="AQ222" s="489"/>
      <c r="AR222" s="489"/>
      <c r="AS222" s="489"/>
      <c r="AT222" s="489"/>
      <c r="AU222" s="489"/>
      <c r="AV222" s="489"/>
      <c r="AW222" s="489"/>
      <c r="AX222" s="489"/>
      <c r="AY222" s="489"/>
      <c r="AZ222" s="489"/>
      <c r="BA222" s="489"/>
      <c r="BB222" s="489"/>
      <c r="BC222" s="489"/>
      <c r="BD222" s="489"/>
      <c r="BE222" s="489"/>
      <c r="BF222" s="489"/>
      <c r="BG222" s="489"/>
      <c r="BH222" s="489"/>
    </row>
    <row r="224" spans="1:60" ht="26.25" x14ac:dyDescent="0.25">
      <c r="A224" s="85"/>
      <c r="B224" s="1002" t="s">
        <v>98</v>
      </c>
      <c r="C224" s="1002"/>
      <c r="D224" s="1002"/>
      <c r="E224" s="1002"/>
      <c r="F224" s="1002"/>
      <c r="G224" s="1002"/>
      <c r="H224" s="1002"/>
      <c r="I224" s="1002"/>
    </row>
    <row r="225" spans="1:60" ht="15.75" x14ac:dyDescent="0.25">
      <c r="A225" s="72" t="s">
        <v>2</v>
      </c>
      <c r="B225" s="121" t="s">
        <v>262</v>
      </c>
      <c r="C225" s="121" t="s">
        <v>263</v>
      </c>
      <c r="D225" s="121" t="s">
        <v>264</v>
      </c>
      <c r="E225" s="121" t="s">
        <v>265</v>
      </c>
      <c r="F225" s="121" t="s">
        <v>266</v>
      </c>
      <c r="G225" s="121" t="s">
        <v>267</v>
      </c>
      <c r="H225" s="121" t="s">
        <v>105</v>
      </c>
      <c r="I225" s="153" t="s">
        <v>10</v>
      </c>
      <c r="J225" s="490" t="s">
        <v>77</v>
      </c>
      <c r="K225" s="466"/>
      <c r="L225" s="466"/>
      <c r="M225" s="466"/>
      <c r="N225" s="466"/>
      <c r="O225" s="466"/>
      <c r="P225" s="466"/>
      <c r="Q225" s="466"/>
      <c r="R225" s="466"/>
      <c r="S225" s="466"/>
      <c r="T225" s="466"/>
      <c r="U225" s="466"/>
      <c r="V225" s="466"/>
      <c r="W225" s="466"/>
      <c r="X225" s="466"/>
      <c r="Y225" s="466"/>
      <c r="Z225" s="466"/>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c r="AU225" s="466"/>
      <c r="AV225" s="466"/>
      <c r="AW225" s="466"/>
      <c r="AX225" s="466"/>
      <c r="AY225" s="466"/>
      <c r="AZ225" s="466"/>
      <c r="BA225" s="466"/>
      <c r="BB225" s="466"/>
      <c r="BC225" s="466"/>
      <c r="BD225" s="466"/>
      <c r="BE225" s="466"/>
      <c r="BF225" s="466"/>
      <c r="BG225" s="466"/>
      <c r="BH225" s="466"/>
    </row>
    <row r="226" spans="1:60" x14ac:dyDescent="0.25">
      <c r="A226" s="430" t="s">
        <v>11</v>
      </c>
      <c r="B226" s="433">
        <v>113</v>
      </c>
      <c r="C226" s="75">
        <v>150</v>
      </c>
      <c r="D226" s="75">
        <v>117</v>
      </c>
      <c r="E226" s="75">
        <v>144</v>
      </c>
      <c r="F226" s="75">
        <v>283</v>
      </c>
      <c r="G226" s="75">
        <v>235</v>
      </c>
      <c r="H226" s="75">
        <v>264</v>
      </c>
      <c r="I226" s="467">
        <f t="shared" ref="I226:I231" si="108">SUM(B226:H226)</f>
        <v>1306</v>
      </c>
      <c r="J226" s="468">
        <f>+$I226/7</f>
        <v>186.57142857142858</v>
      </c>
      <c r="K226" s="469"/>
      <c r="L226" s="469"/>
      <c r="M226" s="469"/>
      <c r="N226" s="469"/>
      <c r="O226" s="469"/>
      <c r="P226" s="469"/>
      <c r="Q226" s="469"/>
      <c r="R226" s="469"/>
      <c r="S226" s="469"/>
      <c r="T226" s="469"/>
      <c r="U226" s="469"/>
      <c r="V226" s="469"/>
      <c r="W226" s="469"/>
      <c r="X226" s="469"/>
      <c r="Y226" s="469"/>
      <c r="Z226" s="469"/>
      <c r="AA226" s="469"/>
      <c r="AB226" s="469"/>
      <c r="AC226" s="469"/>
      <c r="AD226" s="469"/>
      <c r="AE226" s="469"/>
      <c r="AF226" s="469"/>
      <c r="AG226" s="469"/>
      <c r="AH226" s="469"/>
      <c r="AI226" s="469"/>
      <c r="AJ226" s="469"/>
      <c r="AK226" s="469"/>
      <c r="AL226" s="469"/>
      <c r="AM226" s="469"/>
      <c r="AN226" s="469"/>
      <c r="AO226" s="469"/>
      <c r="AP226" s="469"/>
      <c r="AQ226" s="469"/>
      <c r="AR226" s="469"/>
      <c r="AS226" s="469"/>
      <c r="AT226" s="469"/>
      <c r="AU226" s="469"/>
      <c r="AV226" s="469"/>
      <c r="AW226" s="469"/>
      <c r="AX226" s="469"/>
      <c r="AY226" s="469"/>
      <c r="AZ226" s="469"/>
      <c r="BA226" s="469"/>
      <c r="BB226" s="469"/>
      <c r="BC226" s="469"/>
      <c r="BD226" s="469"/>
      <c r="BE226" s="469"/>
      <c r="BF226" s="469"/>
      <c r="BG226" s="469"/>
      <c r="BH226" s="469"/>
    </row>
    <row r="227" spans="1:60" x14ac:dyDescent="0.25">
      <c r="A227" s="77" t="s">
        <v>12</v>
      </c>
      <c r="B227" s="233">
        <v>42</v>
      </c>
      <c r="C227" s="13">
        <v>55</v>
      </c>
      <c r="D227" s="13">
        <v>45</v>
      </c>
      <c r="E227" s="13">
        <v>47</v>
      </c>
      <c r="F227" s="13">
        <v>92</v>
      </c>
      <c r="G227" s="13">
        <v>112</v>
      </c>
      <c r="H227" s="13">
        <v>142</v>
      </c>
      <c r="I227" s="11">
        <f t="shared" si="108"/>
        <v>535</v>
      </c>
      <c r="J227" s="470">
        <f t="shared" ref="J227:J232" si="109">+$I227/7</f>
        <v>76.428571428571431</v>
      </c>
      <c r="K227" s="471"/>
      <c r="L227" s="471"/>
      <c r="M227" s="471"/>
      <c r="N227" s="471"/>
      <c r="O227" s="471"/>
      <c r="P227" s="471"/>
      <c r="Q227" s="471"/>
      <c r="R227" s="471"/>
      <c r="S227" s="471"/>
      <c r="T227" s="471"/>
      <c r="U227" s="471"/>
      <c r="V227" s="471"/>
      <c r="W227" s="471"/>
      <c r="X227" s="471"/>
      <c r="Y227" s="471"/>
      <c r="Z227" s="471"/>
      <c r="AA227" s="471"/>
      <c r="AB227" s="471"/>
      <c r="AC227" s="471"/>
      <c r="AD227" s="471"/>
      <c r="AE227" s="471"/>
      <c r="AF227" s="471"/>
      <c r="AG227" s="471"/>
      <c r="AH227" s="471"/>
      <c r="AI227" s="471"/>
      <c r="AJ227" s="471"/>
      <c r="AK227" s="471"/>
      <c r="AL227" s="471"/>
      <c r="AM227" s="471"/>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row>
    <row r="228" spans="1:60" x14ac:dyDescent="0.25">
      <c r="A228" s="77" t="s">
        <v>13</v>
      </c>
      <c r="B228" s="233">
        <v>2</v>
      </c>
      <c r="C228" s="13">
        <v>1</v>
      </c>
      <c r="D228" s="13">
        <v>1</v>
      </c>
      <c r="E228" s="13">
        <v>0</v>
      </c>
      <c r="F228" s="13">
        <v>4</v>
      </c>
      <c r="G228" s="13">
        <v>2</v>
      </c>
      <c r="H228" s="13">
        <v>3</v>
      </c>
      <c r="I228" s="11">
        <f t="shared" si="108"/>
        <v>13</v>
      </c>
      <c r="J228" s="470">
        <f t="shared" si="109"/>
        <v>1.8571428571428572</v>
      </c>
      <c r="K228" s="471"/>
      <c r="L228" s="471"/>
      <c r="M228" s="471"/>
      <c r="N228" s="471"/>
      <c r="O228" s="471"/>
      <c r="P228" s="471"/>
      <c r="Q228" s="471"/>
      <c r="R228" s="471"/>
      <c r="S228" s="471"/>
      <c r="T228" s="471"/>
      <c r="U228" s="471"/>
      <c r="V228" s="471"/>
      <c r="W228" s="471"/>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row>
    <row r="229" spans="1:60" x14ac:dyDescent="0.25">
      <c r="A229" s="77" t="s">
        <v>14</v>
      </c>
      <c r="B229" s="233">
        <v>52</v>
      </c>
      <c r="C229" s="13">
        <v>65</v>
      </c>
      <c r="D229" s="13">
        <v>53</v>
      </c>
      <c r="E229" s="13">
        <v>73</v>
      </c>
      <c r="F229" s="13">
        <v>113</v>
      </c>
      <c r="G229" s="13">
        <v>63</v>
      </c>
      <c r="H229" s="13">
        <v>69</v>
      </c>
      <c r="I229" s="11">
        <f t="shared" si="108"/>
        <v>488</v>
      </c>
      <c r="J229" s="470">
        <f t="shared" si="109"/>
        <v>69.714285714285708</v>
      </c>
      <c r="K229" s="471"/>
      <c r="L229" s="471"/>
      <c r="M229" s="471"/>
      <c r="N229" s="471"/>
      <c r="O229" s="471"/>
      <c r="P229" s="471"/>
      <c r="Q229" s="471"/>
      <c r="R229" s="471"/>
      <c r="S229" s="471"/>
      <c r="T229" s="471"/>
      <c r="U229" s="471"/>
      <c r="V229" s="471"/>
      <c r="W229" s="471"/>
      <c r="X229" s="471"/>
      <c r="Y229" s="471"/>
      <c r="Z229" s="471"/>
      <c r="AA229" s="471"/>
      <c r="AB229" s="471"/>
      <c r="AC229" s="471"/>
      <c r="AD229" s="471"/>
      <c r="AE229" s="471"/>
      <c r="AF229" s="471"/>
      <c r="AG229" s="471"/>
      <c r="AH229" s="471"/>
      <c r="AI229" s="471"/>
      <c r="AJ229" s="471"/>
      <c r="AK229" s="471"/>
      <c r="AL229" s="471"/>
      <c r="AM229" s="471"/>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row>
    <row r="230" spans="1:60" x14ac:dyDescent="0.25">
      <c r="A230" s="77" t="s">
        <v>15</v>
      </c>
      <c r="B230" s="233">
        <v>3</v>
      </c>
      <c r="C230" s="13">
        <v>9</v>
      </c>
      <c r="D230" s="13">
        <v>4</v>
      </c>
      <c r="E230" s="13">
        <v>2</v>
      </c>
      <c r="F230" s="13">
        <v>14</v>
      </c>
      <c r="G230" s="13">
        <v>13</v>
      </c>
      <c r="H230" s="13">
        <v>1</v>
      </c>
      <c r="I230" s="11">
        <f t="shared" si="108"/>
        <v>46</v>
      </c>
      <c r="J230" s="470">
        <f t="shared" si="109"/>
        <v>6.5714285714285712</v>
      </c>
      <c r="K230" s="471"/>
      <c r="L230" s="471"/>
      <c r="M230" s="471"/>
      <c r="N230" s="471"/>
      <c r="O230" s="471"/>
      <c r="P230" s="471"/>
      <c r="Q230" s="471"/>
      <c r="R230" s="471"/>
      <c r="S230" s="471"/>
      <c r="T230" s="471"/>
      <c r="U230" s="471"/>
      <c r="V230" s="471"/>
      <c r="W230" s="471"/>
      <c r="X230" s="471"/>
      <c r="Y230" s="471"/>
      <c r="Z230" s="471"/>
      <c r="AA230" s="471"/>
      <c r="AB230" s="471"/>
      <c r="AC230" s="471"/>
      <c r="AD230" s="471"/>
      <c r="AE230" s="471"/>
      <c r="AF230" s="471"/>
      <c r="AG230" s="471"/>
      <c r="AH230" s="471"/>
      <c r="AI230" s="471"/>
      <c r="AJ230" s="471"/>
      <c r="AK230" s="471"/>
      <c r="AL230" s="471"/>
      <c r="AM230" s="471"/>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row>
    <row r="231" spans="1:60" x14ac:dyDescent="0.25">
      <c r="A231" s="77" t="s">
        <v>16</v>
      </c>
      <c r="B231" s="233">
        <v>0</v>
      </c>
      <c r="C231" s="13">
        <v>0</v>
      </c>
      <c r="D231" s="13">
        <v>0</v>
      </c>
      <c r="E231" s="13">
        <v>0</v>
      </c>
      <c r="F231" s="13">
        <v>0</v>
      </c>
      <c r="G231" s="13">
        <v>1</v>
      </c>
      <c r="H231" s="13">
        <v>0</v>
      </c>
      <c r="I231" s="11">
        <f t="shared" si="108"/>
        <v>1</v>
      </c>
      <c r="J231" s="470">
        <f t="shared" si="109"/>
        <v>0.14285714285714285</v>
      </c>
      <c r="K231" s="471"/>
      <c r="L231" s="471"/>
      <c r="M231" s="471"/>
      <c r="N231" s="471"/>
      <c r="O231" s="471"/>
      <c r="P231" s="471"/>
      <c r="Q231" s="471"/>
      <c r="R231" s="471"/>
      <c r="S231" s="471"/>
      <c r="T231" s="471"/>
      <c r="U231" s="471"/>
      <c r="V231" s="471"/>
      <c r="W231" s="471"/>
      <c r="X231" s="471"/>
      <c r="Y231" s="471"/>
      <c r="Z231" s="471"/>
      <c r="AA231" s="471"/>
      <c r="AB231" s="471"/>
      <c r="AC231" s="471"/>
      <c r="AD231" s="471"/>
      <c r="AE231" s="471"/>
      <c r="AF231" s="471"/>
      <c r="AG231" s="471"/>
      <c r="AH231" s="471"/>
      <c r="AI231" s="471"/>
      <c r="AJ231" s="471"/>
      <c r="AK231" s="471"/>
      <c r="AL231" s="471"/>
      <c r="AM231" s="471"/>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row>
    <row r="232" spans="1:60" x14ac:dyDescent="0.25">
      <c r="A232" s="79" t="s">
        <v>17</v>
      </c>
      <c r="B232" s="102">
        <f t="shared" ref="B232:I232" si="110">SUM(B227:B231)</f>
        <v>99</v>
      </c>
      <c r="C232" s="102">
        <f t="shared" si="110"/>
        <v>130</v>
      </c>
      <c r="D232" s="102">
        <f t="shared" si="110"/>
        <v>103</v>
      </c>
      <c r="E232" s="102">
        <f t="shared" si="110"/>
        <v>122</v>
      </c>
      <c r="F232" s="102">
        <f t="shared" si="110"/>
        <v>223</v>
      </c>
      <c r="G232" s="79">
        <f t="shared" si="110"/>
        <v>191</v>
      </c>
      <c r="H232" s="79">
        <f t="shared" si="110"/>
        <v>215</v>
      </c>
      <c r="I232" s="472">
        <f t="shared" si="110"/>
        <v>1083</v>
      </c>
      <c r="J232" s="473">
        <f t="shared" si="109"/>
        <v>154.71428571428572</v>
      </c>
      <c r="K232" s="474"/>
      <c r="L232" s="474"/>
      <c r="M232" s="474"/>
      <c r="N232" s="474"/>
      <c r="O232" s="474"/>
      <c r="P232" s="474"/>
      <c r="Q232" s="474"/>
      <c r="R232" s="474"/>
      <c r="S232" s="474"/>
      <c r="T232" s="474"/>
      <c r="U232" s="474"/>
      <c r="V232" s="474"/>
      <c r="W232" s="474"/>
      <c r="X232" s="474"/>
      <c r="Y232" s="474"/>
      <c r="Z232" s="474"/>
      <c r="AA232" s="474"/>
      <c r="AB232" s="474"/>
      <c r="AC232" s="474"/>
      <c r="AD232" s="474"/>
      <c r="AE232" s="474"/>
      <c r="AF232" s="474"/>
      <c r="AG232" s="474"/>
      <c r="AH232" s="474"/>
      <c r="AI232" s="474"/>
      <c r="AJ232" s="474"/>
      <c r="AK232" s="474"/>
      <c r="AL232" s="474"/>
      <c r="AM232" s="474"/>
      <c r="AN232" s="474"/>
      <c r="AO232" s="474"/>
      <c r="AP232" s="474"/>
      <c r="AQ232" s="474"/>
      <c r="AR232" s="474"/>
      <c r="AS232" s="474"/>
      <c r="AT232" s="474"/>
      <c r="AU232" s="474"/>
      <c r="AV232" s="474"/>
      <c r="AW232" s="474"/>
      <c r="AX232" s="474"/>
      <c r="AY232" s="474"/>
      <c r="AZ232" s="474"/>
      <c r="BA232" s="474"/>
      <c r="BB232" s="474"/>
      <c r="BC232" s="474"/>
      <c r="BD232" s="474"/>
      <c r="BE232" s="474"/>
      <c r="BF232" s="474"/>
      <c r="BG232" s="474"/>
      <c r="BH232" s="474"/>
    </row>
    <row r="233" spans="1:60" x14ac:dyDescent="0.25">
      <c r="A233" s="77" t="s">
        <v>18</v>
      </c>
      <c r="B233" s="234">
        <v>0.47</v>
      </c>
      <c r="C233" s="235">
        <v>0.46</v>
      </c>
      <c r="D233" s="235">
        <v>0.42</v>
      </c>
      <c r="E233" s="236">
        <v>0.37</v>
      </c>
      <c r="F233" s="236">
        <v>0.53</v>
      </c>
      <c r="G233" s="236">
        <v>0.64</v>
      </c>
      <c r="H233" s="236">
        <v>0.69</v>
      </c>
      <c r="I233" s="18">
        <f>I240/I245</f>
        <v>0.54154075657046041</v>
      </c>
      <c r="J233" s="475">
        <f>J240/J245</f>
        <v>0.54154075657046052</v>
      </c>
      <c r="K233" s="476"/>
      <c r="L233" s="476"/>
      <c r="M233" s="476"/>
      <c r="N233" s="476"/>
      <c r="O233" s="476"/>
      <c r="P233" s="476"/>
      <c r="Q233" s="476"/>
      <c r="R233" s="476"/>
      <c r="S233" s="476"/>
      <c r="T233" s="476"/>
      <c r="U233" s="476"/>
      <c r="V233" s="476"/>
      <c r="W233" s="476"/>
      <c r="X233" s="476"/>
      <c r="Y233" s="476"/>
      <c r="Z233" s="476"/>
      <c r="AA233" s="476"/>
      <c r="AB233" s="476"/>
      <c r="AC233" s="476"/>
      <c r="AD233" s="476"/>
      <c r="AE233" s="476"/>
      <c r="AF233" s="476"/>
      <c r="AG233" s="476"/>
      <c r="AH233" s="476"/>
      <c r="AI233" s="476"/>
      <c r="AJ233" s="476"/>
      <c r="AK233" s="476"/>
      <c r="AL233" s="476"/>
      <c r="AM233" s="476"/>
      <c r="AN233" s="476"/>
      <c r="AO233" s="476"/>
      <c r="AP233" s="476"/>
      <c r="AQ233" s="476"/>
      <c r="AR233" s="476"/>
      <c r="AS233" s="476"/>
      <c r="AT233" s="476"/>
      <c r="AU233" s="476"/>
      <c r="AV233" s="476"/>
      <c r="AW233" s="476"/>
      <c r="AX233" s="476"/>
      <c r="AY233" s="476"/>
      <c r="AZ233" s="476"/>
      <c r="BA233" s="476"/>
      <c r="BB233" s="476"/>
      <c r="BC233" s="476"/>
      <c r="BD233" s="476"/>
      <c r="BE233" s="476"/>
      <c r="BF233" s="476"/>
      <c r="BG233" s="476"/>
      <c r="BH233" s="476"/>
    </row>
    <row r="234" spans="1:60" x14ac:dyDescent="0.25">
      <c r="A234" s="77" t="s">
        <v>19</v>
      </c>
      <c r="B234" s="234">
        <v>0.02</v>
      </c>
      <c r="C234" s="235">
        <v>0</v>
      </c>
      <c r="D234" s="235">
        <v>0.01</v>
      </c>
      <c r="E234" s="236">
        <v>0</v>
      </c>
      <c r="F234" s="236">
        <v>0.01</v>
      </c>
      <c r="G234" s="236">
        <v>0.01</v>
      </c>
      <c r="H234" s="236">
        <v>0.01</v>
      </c>
      <c r="I234" s="18">
        <f>I241/I245</f>
        <v>8.6879965451433297E-3</v>
      </c>
      <c r="J234" s="475">
        <f>J241/J245</f>
        <v>8.6879965451433297E-3</v>
      </c>
      <c r="K234" s="476"/>
      <c r="L234" s="476"/>
      <c r="M234" s="476"/>
      <c r="N234" s="476"/>
      <c r="O234" s="476"/>
      <c r="P234" s="476"/>
      <c r="Q234" s="476"/>
      <c r="R234" s="476"/>
      <c r="S234" s="476"/>
      <c r="T234" s="476"/>
      <c r="U234" s="476"/>
      <c r="V234" s="476"/>
      <c r="W234" s="476"/>
      <c r="X234" s="476"/>
      <c r="Y234" s="476"/>
      <c r="Z234" s="476"/>
      <c r="AA234" s="476"/>
      <c r="AB234" s="476"/>
      <c r="AC234" s="476"/>
      <c r="AD234" s="476"/>
      <c r="AE234" s="476"/>
      <c r="AF234" s="476"/>
      <c r="AG234" s="476"/>
      <c r="AH234" s="476"/>
      <c r="AI234" s="476"/>
      <c r="AJ234" s="476"/>
      <c r="AK234" s="476"/>
      <c r="AL234" s="476"/>
      <c r="AM234" s="476"/>
      <c r="AN234" s="476"/>
      <c r="AO234" s="476"/>
      <c r="AP234" s="476"/>
      <c r="AQ234" s="476"/>
      <c r="AR234" s="476"/>
      <c r="AS234" s="476"/>
      <c r="AT234" s="476"/>
      <c r="AU234" s="476"/>
      <c r="AV234" s="476"/>
      <c r="AW234" s="476"/>
      <c r="AX234" s="476"/>
      <c r="AY234" s="476"/>
      <c r="AZ234" s="476"/>
      <c r="BA234" s="476"/>
      <c r="BB234" s="476"/>
      <c r="BC234" s="476"/>
      <c r="BD234" s="476"/>
      <c r="BE234" s="476"/>
      <c r="BF234" s="476"/>
      <c r="BG234" s="476"/>
      <c r="BH234" s="476"/>
    </row>
    <row r="235" spans="1:60" x14ac:dyDescent="0.25">
      <c r="A235" s="77" t="s">
        <v>20</v>
      </c>
      <c r="B235" s="234">
        <v>0.48</v>
      </c>
      <c r="C235" s="235">
        <v>0.49</v>
      </c>
      <c r="D235" s="235">
        <v>0.55000000000000004</v>
      </c>
      <c r="E235" s="236">
        <v>0.61</v>
      </c>
      <c r="F235" s="236">
        <v>0.4</v>
      </c>
      <c r="G235" s="236">
        <v>0.28000000000000003</v>
      </c>
      <c r="H235" s="236">
        <v>0.28999999999999998</v>
      </c>
      <c r="I235" s="18">
        <f>I242/I245</f>
        <v>0.40955096121494788</v>
      </c>
      <c r="J235" s="475">
        <f>J242/J245</f>
        <v>0.40955096121494788</v>
      </c>
      <c r="K235" s="476"/>
      <c r="L235" s="476"/>
      <c r="M235" s="476"/>
      <c r="N235" s="476"/>
      <c r="O235" s="476"/>
      <c r="P235" s="476"/>
      <c r="Q235" s="476"/>
      <c r="R235" s="476"/>
      <c r="S235" s="476"/>
      <c r="T235" s="476"/>
      <c r="U235" s="476"/>
      <c r="V235" s="476"/>
      <c r="W235" s="476"/>
      <c r="X235" s="476"/>
      <c r="Y235" s="476"/>
      <c r="Z235" s="476"/>
      <c r="AA235" s="476"/>
      <c r="AB235" s="476"/>
      <c r="AC235" s="476"/>
      <c r="AD235" s="476"/>
      <c r="AE235" s="476"/>
      <c r="AF235" s="476"/>
      <c r="AG235" s="476"/>
      <c r="AH235" s="476"/>
      <c r="AI235" s="476"/>
      <c r="AJ235" s="476"/>
      <c r="AK235" s="476"/>
      <c r="AL235" s="476"/>
      <c r="AM235" s="476"/>
      <c r="AN235" s="476"/>
      <c r="AO235" s="476"/>
      <c r="AP235" s="476"/>
      <c r="AQ235" s="476"/>
      <c r="AR235" s="476"/>
      <c r="AS235" s="476"/>
      <c r="AT235" s="476"/>
      <c r="AU235" s="476"/>
      <c r="AV235" s="476"/>
      <c r="AW235" s="476"/>
      <c r="AX235" s="476"/>
      <c r="AY235" s="476"/>
      <c r="AZ235" s="476"/>
      <c r="BA235" s="476"/>
      <c r="BB235" s="476"/>
      <c r="BC235" s="476"/>
      <c r="BD235" s="476"/>
      <c r="BE235" s="476"/>
      <c r="BF235" s="476"/>
      <c r="BG235" s="476"/>
      <c r="BH235" s="476"/>
    </row>
    <row r="236" spans="1:60" x14ac:dyDescent="0.25">
      <c r="A236" s="77" t="s">
        <v>21</v>
      </c>
      <c r="B236" s="234">
        <v>0.03</v>
      </c>
      <c r="C236" s="235">
        <v>0.05</v>
      </c>
      <c r="D236" s="235">
        <v>0.02</v>
      </c>
      <c r="E236" s="236">
        <v>0.02</v>
      </c>
      <c r="F236" s="236">
        <v>0.06</v>
      </c>
      <c r="G236" s="236">
        <v>0.06</v>
      </c>
      <c r="H236" s="236">
        <v>0.01</v>
      </c>
      <c r="I236" s="18">
        <f>I243/I245</f>
        <v>3.8417365970121201E-2</v>
      </c>
      <c r="J236" s="475">
        <f>J243/J245</f>
        <v>3.8417365970121208E-2</v>
      </c>
      <c r="K236" s="476"/>
      <c r="L236" s="476"/>
      <c r="M236" s="476"/>
      <c r="N236" s="476"/>
      <c r="O236" s="476"/>
      <c r="P236" s="476"/>
      <c r="Q236" s="476"/>
      <c r="R236" s="476"/>
      <c r="S236" s="476"/>
      <c r="T236" s="476"/>
      <c r="U236" s="476"/>
      <c r="V236" s="476"/>
      <c r="W236" s="476"/>
      <c r="X236" s="476"/>
      <c r="Y236" s="476"/>
      <c r="Z236" s="476"/>
      <c r="AA236" s="476"/>
      <c r="AB236" s="476"/>
      <c r="AC236" s="476"/>
      <c r="AD236" s="476"/>
      <c r="AE236" s="476"/>
      <c r="AF236" s="476"/>
      <c r="AG236" s="476"/>
      <c r="AH236" s="476"/>
      <c r="AI236" s="476"/>
      <c r="AJ236" s="476"/>
      <c r="AK236" s="476"/>
      <c r="AL236" s="476"/>
      <c r="AM236" s="476"/>
      <c r="AN236" s="476"/>
      <c r="AO236" s="476"/>
      <c r="AP236" s="476"/>
      <c r="AQ236" s="476"/>
      <c r="AR236" s="476"/>
      <c r="AS236" s="476"/>
      <c r="AT236" s="476"/>
      <c r="AU236" s="476"/>
      <c r="AV236" s="476"/>
      <c r="AW236" s="476"/>
      <c r="AX236" s="476"/>
      <c r="AY236" s="476"/>
      <c r="AZ236" s="476"/>
      <c r="BA236" s="476"/>
      <c r="BB236" s="476"/>
      <c r="BC236" s="476"/>
      <c r="BD236" s="476"/>
      <c r="BE236" s="476"/>
      <c r="BF236" s="476"/>
      <c r="BG236" s="476"/>
      <c r="BH236" s="476"/>
    </row>
    <row r="237" spans="1:60" x14ac:dyDescent="0.25">
      <c r="A237" s="77" t="s">
        <v>22</v>
      </c>
      <c r="B237" s="234">
        <v>0</v>
      </c>
      <c r="C237" s="235">
        <v>0</v>
      </c>
      <c r="D237" s="235">
        <v>0</v>
      </c>
      <c r="E237" s="236">
        <v>0</v>
      </c>
      <c r="F237" s="236">
        <v>0</v>
      </c>
      <c r="G237" s="236">
        <v>0.01</v>
      </c>
      <c r="H237" s="236">
        <v>0</v>
      </c>
      <c r="I237" s="18">
        <f>I244/I245</f>
        <v>1.802919699327211E-3</v>
      </c>
      <c r="J237" s="475">
        <f>J244/J245</f>
        <v>1.8029196993272112E-3</v>
      </c>
      <c r="K237" s="476"/>
      <c r="L237" s="476"/>
      <c r="M237" s="476"/>
      <c r="N237" s="476"/>
      <c r="O237" s="476"/>
      <c r="P237" s="476"/>
      <c r="Q237" s="476"/>
      <c r="R237" s="476"/>
      <c r="S237" s="476"/>
      <c r="T237" s="476"/>
      <c r="U237" s="476"/>
      <c r="V237" s="476"/>
      <c r="W237" s="476"/>
      <c r="X237" s="476"/>
      <c r="Y237" s="476"/>
      <c r="Z237" s="476"/>
      <c r="AA237" s="476"/>
      <c r="AB237" s="476"/>
      <c r="AC237" s="476"/>
      <c r="AD237" s="476"/>
      <c r="AE237" s="476"/>
      <c r="AF237" s="476"/>
      <c r="AG237" s="476"/>
      <c r="AH237" s="476"/>
      <c r="AI237" s="476"/>
      <c r="AJ237" s="476"/>
      <c r="AK237" s="476"/>
      <c r="AL237" s="476"/>
      <c r="AM237" s="476"/>
      <c r="AN237" s="476"/>
      <c r="AO237" s="476"/>
      <c r="AP237" s="476"/>
      <c r="AQ237" s="476"/>
      <c r="AR237" s="476"/>
      <c r="AS237" s="476"/>
      <c r="AT237" s="476"/>
      <c r="AU237" s="476"/>
      <c r="AV237" s="476"/>
      <c r="AW237" s="476"/>
      <c r="AX237" s="476"/>
      <c r="AY237" s="476"/>
      <c r="AZ237" s="476"/>
      <c r="BA237" s="476"/>
      <c r="BB237" s="476"/>
      <c r="BC237" s="476"/>
      <c r="BD237" s="476"/>
      <c r="BE237" s="476"/>
      <c r="BF237" s="476"/>
      <c r="BG237" s="476"/>
      <c r="BH237" s="476"/>
    </row>
    <row r="238" spans="1:60" x14ac:dyDescent="0.25">
      <c r="A238" s="81" t="s">
        <v>23</v>
      </c>
      <c r="B238" s="409">
        <f t="shared" ref="B238:J238" si="111">B249/B232</f>
        <v>31312.121212121212</v>
      </c>
      <c r="C238" s="409">
        <f t="shared" si="111"/>
        <v>30316.153846153851</v>
      </c>
      <c r="D238" s="409">
        <f t="shared" si="111"/>
        <v>31221.359223300969</v>
      </c>
      <c r="E238" s="409">
        <f t="shared" si="111"/>
        <v>31318.852459016394</v>
      </c>
      <c r="F238" s="409">
        <f t="shared" si="111"/>
        <v>35755.156950672645</v>
      </c>
      <c r="G238" s="130">
        <f t="shared" si="111"/>
        <v>33928.795811518321</v>
      </c>
      <c r="H238" s="130">
        <f t="shared" si="111"/>
        <v>33473.953488372092</v>
      </c>
      <c r="I238" s="359">
        <f t="shared" si="111"/>
        <v>32990.212373037859</v>
      </c>
      <c r="J238" s="477">
        <f t="shared" si="111"/>
        <v>32990.212373037852</v>
      </c>
      <c r="K238" s="478"/>
      <c r="L238" s="478"/>
      <c r="M238" s="478"/>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78"/>
      <c r="AK238" s="478"/>
      <c r="AL238" s="478"/>
      <c r="AM238" s="478"/>
      <c r="AN238" s="478"/>
      <c r="AO238" s="478"/>
      <c r="AP238" s="478"/>
      <c r="AQ238" s="478"/>
      <c r="AR238" s="478"/>
      <c r="AS238" s="478"/>
      <c r="AT238" s="478"/>
      <c r="AU238" s="478"/>
      <c r="AV238" s="478"/>
      <c r="AW238" s="478"/>
      <c r="AX238" s="478"/>
      <c r="AY238" s="478"/>
      <c r="AZ238" s="478"/>
      <c r="BA238" s="478"/>
      <c r="BB238" s="478"/>
      <c r="BC238" s="478"/>
      <c r="BD238" s="478"/>
      <c r="BE238" s="478"/>
      <c r="BF238" s="478"/>
      <c r="BG238" s="478"/>
      <c r="BH238" s="478"/>
    </row>
    <row r="239" spans="1:60" x14ac:dyDescent="0.25">
      <c r="A239" s="81" t="s">
        <v>24</v>
      </c>
      <c r="B239" s="409">
        <f t="shared" ref="B239:J239" si="112">B249/B226</f>
        <v>27432.743362831858</v>
      </c>
      <c r="C239" s="409">
        <f t="shared" si="112"/>
        <v>26274.000000000004</v>
      </c>
      <c r="D239" s="409">
        <f t="shared" si="112"/>
        <v>27485.470085470086</v>
      </c>
      <c r="E239" s="409">
        <f t="shared" si="112"/>
        <v>26534.027777777777</v>
      </c>
      <c r="F239" s="409">
        <f t="shared" si="112"/>
        <v>28174.558303886926</v>
      </c>
      <c r="G239" s="130">
        <f t="shared" si="112"/>
        <v>27576.170212765959</v>
      </c>
      <c r="H239" s="130">
        <f t="shared" si="112"/>
        <v>27260.984848484848</v>
      </c>
      <c r="I239" s="359">
        <f t="shared" si="112"/>
        <v>27357.120980091884</v>
      </c>
      <c r="J239" s="477">
        <f t="shared" si="112"/>
        <v>27357.12098009188</v>
      </c>
      <c r="K239" s="478"/>
      <c r="L239" s="478"/>
      <c r="M239" s="478"/>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78"/>
      <c r="AK239" s="478"/>
      <c r="AL239" s="478"/>
      <c r="AM239" s="478"/>
      <c r="AN239" s="478"/>
      <c r="AO239" s="478"/>
      <c r="AP239" s="478"/>
      <c r="AQ239" s="478"/>
      <c r="AR239" s="478"/>
      <c r="AS239" s="478"/>
      <c r="AT239" s="478"/>
      <c r="AU239" s="478"/>
      <c r="AV239" s="478"/>
      <c r="AW239" s="478"/>
      <c r="AX239" s="478"/>
      <c r="AY239" s="478"/>
      <c r="AZ239" s="478"/>
      <c r="BA239" s="478"/>
      <c r="BB239" s="478"/>
      <c r="BC239" s="478"/>
      <c r="BD239" s="478"/>
      <c r="BE239" s="478"/>
      <c r="BF239" s="478"/>
      <c r="BG239" s="478"/>
      <c r="BH239" s="478"/>
    </row>
    <row r="240" spans="1:60" x14ac:dyDescent="0.25">
      <c r="A240" s="77" t="s">
        <v>25</v>
      </c>
      <c r="B240" s="255">
        <f t="shared" ref="B240:H240" si="113">B245*B233</f>
        <v>1213454.2655172413</v>
      </c>
      <c r="C240" s="255">
        <f t="shared" si="113"/>
        <v>1508328.5000000002</v>
      </c>
      <c r="D240" s="255">
        <f t="shared" si="113"/>
        <v>1123611.8793103448</v>
      </c>
      <c r="E240" s="255">
        <f t="shared" si="113"/>
        <v>1181259.8948275864</v>
      </c>
      <c r="F240" s="255">
        <f t="shared" si="113"/>
        <v>3537941.1655172417</v>
      </c>
      <c r="G240" s="92">
        <f t="shared" si="113"/>
        <v>3420922.703448276</v>
      </c>
      <c r="H240" s="92">
        <f t="shared" si="113"/>
        <v>4069767.7551724138</v>
      </c>
      <c r="I240" s="108">
        <f>SUM(B240:H240)</f>
        <v>16055286.163793102</v>
      </c>
      <c r="J240" s="479">
        <f t="shared" ref="J240:J245" si="114">+$I240/7</f>
        <v>2293612.3091133004</v>
      </c>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c r="AO240" s="480"/>
      <c r="AP240" s="480"/>
      <c r="AQ240" s="480"/>
      <c r="AR240" s="480"/>
      <c r="AS240" s="480"/>
      <c r="AT240" s="480"/>
      <c r="AU240" s="480"/>
      <c r="AV240" s="480"/>
      <c r="AW240" s="480"/>
      <c r="AX240" s="480"/>
      <c r="AY240" s="480"/>
      <c r="AZ240" s="480"/>
      <c r="BA240" s="480"/>
      <c r="BB240" s="480"/>
      <c r="BC240" s="480"/>
      <c r="BD240" s="480"/>
      <c r="BE240" s="480"/>
      <c r="BF240" s="480"/>
      <c r="BG240" s="480"/>
      <c r="BH240" s="480"/>
    </row>
    <row r="241" spans="1:60" x14ac:dyDescent="0.25">
      <c r="A241" s="77" t="s">
        <v>26</v>
      </c>
      <c r="B241" s="255">
        <f t="shared" ref="B241:H241" si="115">B245*B234</f>
        <v>51636.351724137938</v>
      </c>
      <c r="C241" s="255">
        <f t="shared" si="115"/>
        <v>0</v>
      </c>
      <c r="D241" s="255">
        <f t="shared" si="115"/>
        <v>26752.663793103449</v>
      </c>
      <c r="E241" s="255">
        <f t="shared" si="115"/>
        <v>0</v>
      </c>
      <c r="F241" s="255">
        <f t="shared" si="115"/>
        <v>66753.606896551733</v>
      </c>
      <c r="G241" s="92">
        <f t="shared" si="115"/>
        <v>53451.917241379313</v>
      </c>
      <c r="H241" s="92">
        <f t="shared" si="115"/>
        <v>58982.141379310349</v>
      </c>
      <c r="I241" s="108">
        <f>SUM(B241:H241)</f>
        <v>257576.68103448278</v>
      </c>
      <c r="J241" s="479">
        <f t="shared" si="114"/>
        <v>36796.668719211826</v>
      </c>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c r="AO241" s="480"/>
      <c r="AP241" s="480"/>
      <c r="AQ241" s="480"/>
      <c r="AR241" s="480"/>
      <c r="AS241" s="480"/>
      <c r="AT241" s="480"/>
      <c r="AU241" s="480"/>
      <c r="AV241" s="480"/>
      <c r="AW241" s="480"/>
      <c r="AX241" s="480"/>
      <c r="AY241" s="480"/>
      <c r="AZ241" s="480"/>
      <c r="BA241" s="480"/>
      <c r="BB241" s="480"/>
      <c r="BC241" s="480"/>
      <c r="BD241" s="480"/>
      <c r="BE241" s="480"/>
      <c r="BF241" s="480"/>
      <c r="BG241" s="480"/>
      <c r="BH241" s="480"/>
    </row>
    <row r="242" spans="1:60" x14ac:dyDescent="0.25">
      <c r="A242" s="77" t="s">
        <v>27</v>
      </c>
      <c r="B242" s="255">
        <f t="shared" ref="B242:H242" si="116">B245*B235</f>
        <v>1239272.4413793103</v>
      </c>
      <c r="C242" s="255">
        <f t="shared" si="116"/>
        <v>1606697.7500000002</v>
      </c>
      <c r="D242" s="255">
        <f t="shared" si="116"/>
        <v>1471396.5086206899</v>
      </c>
      <c r="E242" s="255">
        <f t="shared" si="116"/>
        <v>1947482.529310345</v>
      </c>
      <c r="F242" s="255">
        <f t="shared" si="116"/>
        <v>2670144.2758620693</v>
      </c>
      <c r="G242" s="92">
        <f t="shared" si="116"/>
        <v>1496653.6827586209</v>
      </c>
      <c r="H242" s="92">
        <f t="shared" si="116"/>
        <v>1710482.1</v>
      </c>
      <c r="I242" s="108">
        <f>SUM(B242:H242)</f>
        <v>12142129.287931034</v>
      </c>
      <c r="J242" s="479">
        <f t="shared" si="114"/>
        <v>1734589.898275862</v>
      </c>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c r="AO242" s="480"/>
      <c r="AP242" s="480"/>
      <c r="AQ242" s="480"/>
      <c r="AR242" s="480"/>
      <c r="AS242" s="480"/>
      <c r="AT242" s="480"/>
      <c r="AU242" s="480"/>
      <c r="AV242" s="480"/>
      <c r="AW242" s="480"/>
      <c r="AX242" s="480"/>
      <c r="AY242" s="480"/>
      <c r="AZ242" s="480"/>
      <c r="BA242" s="480"/>
      <c r="BB242" s="480"/>
      <c r="BC242" s="480"/>
      <c r="BD242" s="480"/>
      <c r="BE242" s="480"/>
      <c r="BF242" s="480"/>
      <c r="BG242" s="480"/>
      <c r="BH242" s="480"/>
    </row>
    <row r="243" spans="1:60" x14ac:dyDescent="0.25">
      <c r="A243" s="77" t="s">
        <v>28</v>
      </c>
      <c r="B243" s="255">
        <f t="shared" ref="B243:H243" si="117">B245*B236</f>
        <v>77454.527586206896</v>
      </c>
      <c r="C243" s="255">
        <f t="shared" si="117"/>
        <v>163948.75000000003</v>
      </c>
      <c r="D243" s="255">
        <f t="shared" si="117"/>
        <v>53505.327586206899</v>
      </c>
      <c r="E243" s="255">
        <f t="shared" si="117"/>
        <v>63851.886206896561</v>
      </c>
      <c r="F243" s="255">
        <f t="shared" si="117"/>
        <v>400521.64137931034</v>
      </c>
      <c r="G243" s="92">
        <f t="shared" si="117"/>
        <v>320711.50344827585</v>
      </c>
      <c r="H243" s="92">
        <f t="shared" si="117"/>
        <v>58982.141379310349</v>
      </c>
      <c r="I243" s="108">
        <f>SUM(B243:H243)</f>
        <v>1138975.7775862068</v>
      </c>
      <c r="J243" s="479">
        <f t="shared" si="114"/>
        <v>162710.82536945812</v>
      </c>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c r="AO243" s="480"/>
      <c r="AP243" s="480"/>
      <c r="AQ243" s="480"/>
      <c r="AR243" s="480"/>
      <c r="AS243" s="480"/>
      <c r="AT243" s="480"/>
      <c r="AU243" s="480"/>
      <c r="AV243" s="480"/>
      <c r="AW243" s="480"/>
      <c r="AX243" s="480"/>
      <c r="AY243" s="480"/>
      <c r="AZ243" s="480"/>
      <c r="BA243" s="480"/>
      <c r="BB243" s="480"/>
      <c r="BC243" s="480"/>
      <c r="BD243" s="480"/>
      <c r="BE243" s="480"/>
      <c r="BF243" s="480"/>
      <c r="BG243" s="480"/>
      <c r="BH243" s="480"/>
    </row>
    <row r="244" spans="1:60" x14ac:dyDescent="0.25">
      <c r="A244" s="77" t="s">
        <v>29</v>
      </c>
      <c r="B244" s="255">
        <f t="shared" ref="B244:H244" si="118">B245*B237</f>
        <v>0</v>
      </c>
      <c r="C244" s="255">
        <f t="shared" si="118"/>
        <v>0</v>
      </c>
      <c r="D244" s="255">
        <f t="shared" si="118"/>
        <v>0</v>
      </c>
      <c r="E244" s="255">
        <f t="shared" si="118"/>
        <v>0</v>
      </c>
      <c r="F244" s="255">
        <f t="shared" si="118"/>
        <v>0</v>
      </c>
      <c r="G244" s="92">
        <f t="shared" si="118"/>
        <v>53451.917241379313</v>
      </c>
      <c r="H244" s="92">
        <f t="shared" si="118"/>
        <v>0</v>
      </c>
      <c r="I244" s="108">
        <f>SUM(B244:H244)</f>
        <v>53451.917241379313</v>
      </c>
      <c r="J244" s="479">
        <f t="shared" si="114"/>
        <v>7635.988177339902</v>
      </c>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c r="AO244" s="480"/>
      <c r="AP244" s="480"/>
      <c r="AQ244" s="480"/>
      <c r="AR244" s="480"/>
      <c r="AS244" s="480"/>
      <c r="AT244" s="480"/>
      <c r="AU244" s="480"/>
      <c r="AV244" s="480"/>
      <c r="AW244" s="480"/>
      <c r="AX244" s="480"/>
      <c r="AY244" s="480"/>
      <c r="AZ244" s="480"/>
      <c r="BA244" s="480"/>
      <c r="BB244" s="480"/>
      <c r="BC244" s="480"/>
      <c r="BD244" s="480"/>
      <c r="BE244" s="480"/>
      <c r="BF244" s="480"/>
      <c r="BG244" s="480"/>
      <c r="BH244" s="480"/>
    </row>
    <row r="245" spans="1:60" x14ac:dyDescent="0.25">
      <c r="A245" s="82" t="s">
        <v>30</v>
      </c>
      <c r="B245" s="222">
        <f>(3099900/1.16)-B246</f>
        <v>2581817.5862068967</v>
      </c>
      <c r="C245" s="222">
        <f>(3941100/1.16)-C246</f>
        <v>3278975.0000000005</v>
      </c>
      <c r="D245" s="222">
        <f>(3215800/1.16)-D246</f>
        <v>2675266.3793103448</v>
      </c>
      <c r="E245" s="222">
        <f>(3820900/1.16)-E246</f>
        <v>3192594.3103448278</v>
      </c>
      <c r="F245" s="222">
        <f>(7973400/1.16)-F246</f>
        <v>6675360.6896551726</v>
      </c>
      <c r="G245" s="222">
        <f>(6480400/1.16)-G246</f>
        <v>5345191.7241379311</v>
      </c>
      <c r="H245" s="222">
        <f>(7196900/1.16)-H246</f>
        <v>5898214.1379310349</v>
      </c>
      <c r="I245" s="111">
        <f>SUM(I240:I244)</f>
        <v>29647419.827586204</v>
      </c>
      <c r="J245" s="481">
        <f t="shared" si="114"/>
        <v>4235345.6896551717</v>
      </c>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c r="AO245" s="480"/>
      <c r="AP245" s="480"/>
      <c r="AQ245" s="480"/>
      <c r="AR245" s="480"/>
      <c r="AS245" s="480"/>
      <c r="AT245" s="480"/>
      <c r="AU245" s="480"/>
      <c r="AV245" s="480"/>
      <c r="AW245" s="480"/>
      <c r="AX245" s="480"/>
      <c r="AY245" s="480"/>
      <c r="AZ245" s="480"/>
      <c r="BA245" s="480"/>
      <c r="BB245" s="480"/>
      <c r="BC245" s="480"/>
      <c r="BD245" s="480"/>
      <c r="BE245" s="480"/>
      <c r="BF245" s="480"/>
      <c r="BG245" s="480"/>
      <c r="BH245" s="480"/>
    </row>
    <row r="246" spans="1:60" x14ac:dyDescent="0.25">
      <c r="A246" s="77" t="s">
        <v>31</v>
      </c>
      <c r="B246" s="263">
        <f t="shared" ref="B246:H246" si="119">2155*B227</f>
        <v>90510</v>
      </c>
      <c r="C246" s="263">
        <f t="shared" si="119"/>
        <v>118525</v>
      </c>
      <c r="D246" s="263">
        <f t="shared" si="119"/>
        <v>96975</v>
      </c>
      <c r="E246" s="263">
        <f t="shared" si="119"/>
        <v>101285</v>
      </c>
      <c r="F246" s="263">
        <f t="shared" si="119"/>
        <v>198260</v>
      </c>
      <c r="G246" s="94">
        <f t="shared" si="119"/>
        <v>241360</v>
      </c>
      <c r="H246" s="94">
        <f t="shared" si="119"/>
        <v>306010</v>
      </c>
      <c r="I246" s="109">
        <f>I227*2155</f>
        <v>1152925</v>
      </c>
      <c r="J246" s="482">
        <f>2155*J227</f>
        <v>164703.57142857142</v>
      </c>
      <c r="K246" s="483"/>
      <c r="L246" s="483"/>
      <c r="M246" s="483"/>
      <c r="N246" s="483"/>
      <c r="O246" s="483"/>
      <c r="P246" s="483"/>
      <c r="Q246" s="483"/>
      <c r="R246" s="483"/>
      <c r="S246" s="483"/>
      <c r="T246" s="483"/>
      <c r="U246" s="483"/>
      <c r="V246" s="483"/>
      <c r="W246" s="483"/>
      <c r="X246" s="483"/>
      <c r="Y246" s="483"/>
      <c r="Z246" s="483"/>
      <c r="AA246" s="483"/>
      <c r="AB246" s="483"/>
      <c r="AC246" s="483"/>
      <c r="AD246" s="483"/>
      <c r="AE246" s="483"/>
      <c r="AF246" s="483"/>
      <c r="AG246" s="483"/>
      <c r="AH246" s="483"/>
      <c r="AI246" s="483"/>
      <c r="AJ246" s="483"/>
      <c r="AK246" s="483"/>
      <c r="AL246" s="483"/>
      <c r="AM246" s="483"/>
      <c r="AN246" s="483"/>
      <c r="AO246" s="483"/>
      <c r="AP246" s="483"/>
      <c r="AQ246" s="483"/>
      <c r="AR246" s="483"/>
      <c r="AS246" s="483"/>
      <c r="AT246" s="483"/>
      <c r="AU246" s="483"/>
      <c r="AV246" s="483"/>
      <c r="AW246" s="483"/>
      <c r="AX246" s="483"/>
      <c r="AY246" s="483"/>
      <c r="AZ246" s="483"/>
      <c r="BA246" s="483"/>
      <c r="BB246" s="483"/>
      <c r="BC246" s="483"/>
      <c r="BD246" s="483"/>
      <c r="BE246" s="483"/>
      <c r="BF246" s="483"/>
      <c r="BG246" s="483"/>
      <c r="BH246" s="483"/>
    </row>
    <row r="247" spans="1:60" x14ac:dyDescent="0.25">
      <c r="A247" s="83" t="s">
        <v>32</v>
      </c>
      <c r="B247" s="411">
        <f t="shared" ref="B247:J247" si="120">B245+B246</f>
        <v>2672327.5862068967</v>
      </c>
      <c r="C247" s="411">
        <f t="shared" si="120"/>
        <v>3397500.0000000005</v>
      </c>
      <c r="D247" s="411">
        <f t="shared" si="120"/>
        <v>2772241.3793103448</v>
      </c>
      <c r="E247" s="411">
        <f t="shared" si="120"/>
        <v>3293879.3103448278</v>
      </c>
      <c r="F247" s="411">
        <f t="shared" si="120"/>
        <v>6873620.6896551726</v>
      </c>
      <c r="G247" s="39">
        <f t="shared" si="120"/>
        <v>5586551.7241379311</v>
      </c>
      <c r="H247" s="39">
        <f t="shared" si="120"/>
        <v>6204224.1379310349</v>
      </c>
      <c r="I247" s="412">
        <f t="shared" si="120"/>
        <v>30800344.827586204</v>
      </c>
      <c r="J247" s="484">
        <f t="shared" si="120"/>
        <v>4400049.2610837435</v>
      </c>
      <c r="K247" s="485"/>
      <c r="L247" s="485"/>
      <c r="M247" s="485"/>
      <c r="N247" s="485"/>
      <c r="O247" s="485"/>
      <c r="P247" s="485"/>
      <c r="Q247" s="485"/>
      <c r="R247" s="485"/>
      <c r="S247" s="485"/>
      <c r="T247" s="485"/>
      <c r="U247" s="485"/>
      <c r="V247" s="485"/>
      <c r="W247" s="485"/>
      <c r="X247" s="485"/>
      <c r="Y247" s="485"/>
      <c r="Z247" s="485"/>
      <c r="AA247" s="485"/>
      <c r="AB247" s="485"/>
      <c r="AC247" s="485"/>
      <c r="AD247" s="485"/>
      <c r="AE247" s="485"/>
      <c r="AF247" s="485"/>
      <c r="AG247" s="485"/>
      <c r="AH247" s="485"/>
      <c r="AI247" s="485"/>
      <c r="AJ247" s="485"/>
      <c r="AK247" s="485"/>
      <c r="AL247" s="485"/>
      <c r="AM247" s="485"/>
      <c r="AN247" s="485"/>
      <c r="AO247" s="485"/>
      <c r="AP247" s="485"/>
      <c r="AQ247" s="485"/>
      <c r="AR247" s="485"/>
      <c r="AS247" s="485"/>
      <c r="AT247" s="485"/>
      <c r="AU247" s="485"/>
      <c r="AV247" s="485"/>
      <c r="AW247" s="485"/>
      <c r="AX247" s="485"/>
      <c r="AY247" s="485"/>
      <c r="AZ247" s="485"/>
      <c r="BA247" s="485"/>
      <c r="BB247" s="485"/>
      <c r="BC247" s="485"/>
      <c r="BD247" s="485"/>
      <c r="BE247" s="485"/>
      <c r="BF247" s="485"/>
      <c r="BG247" s="485"/>
      <c r="BH247" s="485"/>
    </row>
    <row r="248" spans="1:60" x14ac:dyDescent="0.25">
      <c r="A248" s="77" t="s">
        <v>33</v>
      </c>
      <c r="B248" s="413">
        <f t="shared" ref="B248:J248" si="121">B247*16%</f>
        <v>427572.41379310348</v>
      </c>
      <c r="C248" s="413">
        <f t="shared" si="121"/>
        <v>543600.00000000012</v>
      </c>
      <c r="D248" s="413">
        <f t="shared" si="121"/>
        <v>443558.62068965519</v>
      </c>
      <c r="E248" s="413">
        <f t="shared" si="121"/>
        <v>527020.68965517241</v>
      </c>
      <c r="F248" s="413">
        <f t="shared" si="121"/>
        <v>1099779.3103448276</v>
      </c>
      <c r="G248" s="41">
        <f t="shared" si="121"/>
        <v>893848.27586206899</v>
      </c>
      <c r="H248" s="41">
        <f t="shared" si="121"/>
        <v>992675.86206896557</v>
      </c>
      <c r="I248" s="414">
        <f t="shared" si="121"/>
        <v>4928055.1724137925</v>
      </c>
      <c r="J248" s="486">
        <f t="shared" si="121"/>
        <v>704007.88177339896</v>
      </c>
      <c r="K248" s="487"/>
      <c r="L248" s="487"/>
      <c r="M248" s="487"/>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row>
    <row r="249" spans="1:60" x14ac:dyDescent="0.25">
      <c r="A249" s="142" t="s">
        <v>34</v>
      </c>
      <c r="B249" s="438">
        <f t="shared" ref="B249:I249" si="122">B247+B248</f>
        <v>3099900</v>
      </c>
      <c r="C249" s="438">
        <f t="shared" si="122"/>
        <v>3941100.0000000005</v>
      </c>
      <c r="D249" s="438">
        <f t="shared" si="122"/>
        <v>3215800</v>
      </c>
      <c r="E249" s="438">
        <f t="shared" si="122"/>
        <v>3820900</v>
      </c>
      <c r="F249" s="438">
        <f t="shared" si="122"/>
        <v>7973400</v>
      </c>
      <c r="G249" s="144">
        <f t="shared" si="122"/>
        <v>6480400</v>
      </c>
      <c r="H249" s="144">
        <f t="shared" si="122"/>
        <v>7196900</v>
      </c>
      <c r="I249" s="440">
        <f t="shared" si="122"/>
        <v>35728400</v>
      </c>
      <c r="J249" s="488">
        <f>+$I249/7</f>
        <v>5104057.1428571427</v>
      </c>
      <c r="K249" s="489"/>
      <c r="L249" s="489"/>
      <c r="M249" s="489"/>
      <c r="N249" s="489"/>
      <c r="O249" s="489"/>
      <c r="P249" s="489"/>
      <c r="Q249" s="489"/>
      <c r="R249" s="489"/>
      <c r="S249" s="489"/>
      <c r="T249" s="489"/>
      <c r="U249" s="489"/>
      <c r="V249" s="489"/>
      <c r="W249" s="489"/>
      <c r="X249" s="489"/>
      <c r="Y249" s="489"/>
      <c r="Z249" s="489"/>
      <c r="AA249" s="489"/>
      <c r="AB249" s="489"/>
      <c r="AC249" s="489"/>
      <c r="AD249" s="489"/>
      <c r="AE249" s="489"/>
      <c r="AF249" s="489"/>
      <c r="AG249" s="489"/>
      <c r="AH249" s="489"/>
      <c r="AI249" s="489"/>
      <c r="AJ249" s="489"/>
      <c r="AK249" s="489"/>
      <c r="AL249" s="489"/>
      <c r="AM249" s="489"/>
      <c r="AN249" s="489"/>
      <c r="AO249" s="489"/>
      <c r="AP249" s="489"/>
      <c r="AQ249" s="489"/>
      <c r="AR249" s="489"/>
      <c r="AS249" s="489"/>
      <c r="AT249" s="489"/>
      <c r="AU249" s="489"/>
      <c r="AV249" s="489"/>
      <c r="AW249" s="489"/>
      <c r="AX249" s="489"/>
      <c r="AY249" s="489"/>
      <c r="AZ249" s="489"/>
      <c r="BA249" s="489"/>
      <c r="BB249" s="489"/>
      <c r="BC249" s="489"/>
      <c r="BD249" s="489"/>
      <c r="BE249" s="489"/>
      <c r="BF249" s="489"/>
      <c r="BG249" s="489"/>
      <c r="BH249" s="489"/>
    </row>
    <row r="251" spans="1:60" ht="26.25" x14ac:dyDescent="0.25">
      <c r="A251" s="85"/>
      <c r="B251" s="1002" t="s">
        <v>106</v>
      </c>
      <c r="C251" s="1002"/>
      <c r="D251" s="1002"/>
      <c r="E251" s="1002"/>
      <c r="F251" s="1002"/>
      <c r="G251" s="1002"/>
      <c r="H251" s="1002"/>
      <c r="I251" s="1002"/>
    </row>
    <row r="252" spans="1:60" ht="15.75" x14ac:dyDescent="0.25">
      <c r="A252" s="72" t="s">
        <v>2</v>
      </c>
      <c r="B252" s="121" t="s">
        <v>107</v>
      </c>
      <c r="C252" s="121" t="s">
        <v>108</v>
      </c>
      <c r="D252" s="121" t="s">
        <v>109</v>
      </c>
      <c r="E252" s="121" t="s">
        <v>110</v>
      </c>
      <c r="F252" s="121" t="s">
        <v>111</v>
      </c>
      <c r="G252" s="121" t="s">
        <v>112</v>
      </c>
      <c r="H252" s="121" t="s">
        <v>113</v>
      </c>
      <c r="I252" s="153" t="s">
        <v>10</v>
      </c>
      <c r="J252" s="490" t="s">
        <v>77</v>
      </c>
      <c r="K252" s="466"/>
      <c r="L252" s="466"/>
      <c r="M252" s="466"/>
      <c r="N252" s="466"/>
      <c r="O252" s="466"/>
      <c r="P252" s="466"/>
      <c r="Q252" s="466"/>
      <c r="R252" s="466"/>
      <c r="S252" s="466"/>
      <c r="T252" s="466"/>
      <c r="U252" s="466"/>
      <c r="V252" s="466"/>
      <c r="W252" s="466"/>
      <c r="X252" s="466"/>
      <c r="Y252" s="466"/>
      <c r="Z252" s="466"/>
      <c r="AA252" s="466"/>
      <c r="AB252" s="466"/>
      <c r="AC252" s="466"/>
      <c r="AD252" s="466"/>
      <c r="AE252" s="466"/>
      <c r="AF252" s="466"/>
      <c r="AG252" s="466"/>
      <c r="AH252" s="466"/>
      <c r="AI252" s="466"/>
      <c r="AJ252" s="466"/>
      <c r="AK252" s="466"/>
      <c r="AL252" s="466"/>
      <c r="AM252" s="466"/>
      <c r="AN252" s="466"/>
      <c r="AO252" s="466"/>
      <c r="AP252" s="466"/>
      <c r="AQ252" s="466"/>
      <c r="AR252" s="466"/>
      <c r="AS252" s="466"/>
      <c r="AT252" s="466"/>
      <c r="AU252" s="466"/>
      <c r="AV252" s="466"/>
      <c r="AW252" s="466"/>
      <c r="AX252" s="466"/>
      <c r="AY252" s="466"/>
      <c r="AZ252" s="466"/>
      <c r="BA252" s="466"/>
      <c r="BB252" s="466"/>
      <c r="BC252" s="466"/>
      <c r="BD252" s="466"/>
      <c r="BE252" s="466"/>
      <c r="BF252" s="466"/>
      <c r="BG252" s="466"/>
      <c r="BH252" s="466"/>
    </row>
    <row r="253" spans="1:60" x14ac:dyDescent="0.25">
      <c r="A253" s="430" t="s">
        <v>11</v>
      </c>
      <c r="B253" s="433">
        <v>86</v>
      </c>
      <c r="C253" s="75">
        <v>155</v>
      </c>
      <c r="D253" s="75">
        <v>131</v>
      </c>
      <c r="E253" s="75">
        <v>167</v>
      </c>
      <c r="F253" s="75">
        <v>308</v>
      </c>
      <c r="G253" s="75">
        <v>219</v>
      </c>
      <c r="H253" s="75">
        <v>192</v>
      </c>
      <c r="I253" s="467">
        <f t="shared" ref="I253:I258" si="123">SUM(B253:H253)</f>
        <v>1258</v>
      </c>
      <c r="J253" s="468">
        <f>+$I253/7</f>
        <v>179.71428571428572</v>
      </c>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69"/>
      <c r="AU253" s="469"/>
      <c r="AV253" s="469"/>
      <c r="AW253" s="469"/>
      <c r="AX253" s="469"/>
      <c r="AY253" s="469"/>
      <c r="AZ253" s="469"/>
      <c r="BA253" s="469"/>
      <c r="BB253" s="469"/>
      <c r="BC253" s="469"/>
      <c r="BD253" s="469"/>
      <c r="BE253" s="469"/>
      <c r="BF253" s="469"/>
      <c r="BG253" s="469"/>
      <c r="BH253" s="469"/>
    </row>
    <row r="254" spans="1:60" x14ac:dyDescent="0.25">
      <c r="A254" s="77" t="s">
        <v>12</v>
      </c>
      <c r="B254" s="233">
        <v>39</v>
      </c>
      <c r="C254" s="13">
        <v>70</v>
      </c>
      <c r="D254" s="13">
        <v>47</v>
      </c>
      <c r="E254" s="13">
        <v>67</v>
      </c>
      <c r="F254" s="13">
        <v>129</v>
      </c>
      <c r="G254" s="13">
        <v>110</v>
      </c>
      <c r="H254" s="13">
        <v>89</v>
      </c>
      <c r="I254" s="11">
        <f t="shared" si="123"/>
        <v>551</v>
      </c>
      <c r="J254" s="470">
        <f t="shared" ref="J254:J259" si="124">+$I254/7</f>
        <v>78.714285714285708</v>
      </c>
      <c r="K254" s="471"/>
      <c r="L254" s="471"/>
      <c r="M254" s="471"/>
      <c r="N254" s="471"/>
      <c r="O254" s="471"/>
      <c r="P254" s="471"/>
      <c r="Q254" s="471"/>
      <c r="R254" s="471"/>
      <c r="S254" s="471"/>
      <c r="T254" s="471"/>
      <c r="U254" s="471"/>
      <c r="V254" s="471"/>
      <c r="W254" s="471"/>
      <c r="X254" s="471"/>
      <c r="Y254" s="471"/>
      <c r="Z254" s="471"/>
      <c r="AA254" s="471"/>
      <c r="AB254" s="471"/>
      <c r="AC254" s="471"/>
      <c r="AD254" s="471"/>
      <c r="AE254" s="471"/>
      <c r="AF254" s="471"/>
      <c r="AG254" s="471"/>
      <c r="AH254" s="471"/>
      <c r="AI254" s="471"/>
      <c r="AJ254" s="471"/>
      <c r="AK254" s="471"/>
      <c r="AL254" s="471"/>
      <c r="AM254" s="471"/>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row>
    <row r="255" spans="1:60" x14ac:dyDescent="0.25">
      <c r="A255" s="77" t="s">
        <v>13</v>
      </c>
      <c r="B255" s="233">
        <v>0</v>
      </c>
      <c r="C255" s="13">
        <v>3</v>
      </c>
      <c r="D255" s="13">
        <v>1</v>
      </c>
      <c r="E255" s="13">
        <v>2</v>
      </c>
      <c r="F255" s="13">
        <v>2</v>
      </c>
      <c r="G255" s="13">
        <v>4</v>
      </c>
      <c r="H255" s="13">
        <v>4</v>
      </c>
      <c r="I255" s="11">
        <f t="shared" si="123"/>
        <v>16</v>
      </c>
      <c r="J255" s="470">
        <f t="shared" si="124"/>
        <v>2.2857142857142856</v>
      </c>
      <c r="K255" s="471"/>
      <c r="L255" s="471"/>
      <c r="M255" s="471"/>
      <c r="N255" s="471"/>
      <c r="O255" s="471"/>
      <c r="P255" s="471"/>
      <c r="Q255" s="471"/>
      <c r="R255" s="471"/>
      <c r="S255" s="471"/>
      <c r="T255" s="471"/>
      <c r="U255" s="471"/>
      <c r="V255" s="471"/>
      <c r="W255" s="471"/>
      <c r="X255" s="471"/>
      <c r="Y255" s="471"/>
      <c r="Z255" s="471"/>
      <c r="AA255" s="471"/>
      <c r="AB255" s="471"/>
      <c r="AC255" s="471"/>
      <c r="AD255" s="471"/>
      <c r="AE255" s="471"/>
      <c r="AF255" s="471"/>
      <c r="AG255" s="471"/>
      <c r="AH255" s="471"/>
      <c r="AI255" s="471"/>
      <c r="AJ255" s="471"/>
      <c r="AK255" s="471"/>
      <c r="AL255" s="471"/>
      <c r="AM255" s="471"/>
      <c r="AN255" s="471"/>
      <c r="AO255" s="471"/>
      <c r="AP255" s="471"/>
      <c r="AQ255" s="471"/>
      <c r="AR255" s="471"/>
      <c r="AS255" s="471"/>
      <c r="AT255" s="471"/>
      <c r="AU255" s="471"/>
      <c r="AV255" s="471"/>
      <c r="AW255" s="471"/>
      <c r="AX255" s="471"/>
      <c r="AY255" s="471"/>
      <c r="AZ255" s="471"/>
      <c r="BA255" s="471"/>
      <c r="BB255" s="471"/>
      <c r="BC255" s="471"/>
      <c r="BD255" s="471"/>
      <c r="BE255" s="471"/>
      <c r="BF255" s="471"/>
      <c r="BG255" s="471"/>
      <c r="BH255" s="471"/>
    </row>
    <row r="256" spans="1:60" x14ac:dyDescent="0.25">
      <c r="A256" s="77" t="s">
        <v>14</v>
      </c>
      <c r="B256" s="233">
        <v>34</v>
      </c>
      <c r="C256" s="13">
        <v>59</v>
      </c>
      <c r="D256" s="13">
        <v>65</v>
      </c>
      <c r="E256" s="13">
        <v>55</v>
      </c>
      <c r="F256" s="13">
        <v>112</v>
      </c>
      <c r="G256" s="13">
        <v>48</v>
      </c>
      <c r="H256" s="13">
        <v>57</v>
      </c>
      <c r="I256" s="11">
        <f t="shared" si="123"/>
        <v>430</v>
      </c>
      <c r="J256" s="470">
        <f t="shared" si="124"/>
        <v>61.428571428571431</v>
      </c>
      <c r="K256" s="471"/>
      <c r="L256" s="471"/>
      <c r="M256" s="471"/>
      <c r="N256" s="471"/>
      <c r="O256" s="471"/>
      <c r="P256" s="471"/>
      <c r="Q256" s="471"/>
      <c r="R256" s="471"/>
      <c r="S256" s="471"/>
      <c r="T256" s="471"/>
      <c r="U256" s="471"/>
      <c r="V256" s="471"/>
      <c r="W256" s="471"/>
      <c r="X256" s="471"/>
      <c r="Y256" s="471"/>
      <c r="Z256" s="471"/>
      <c r="AA256" s="471"/>
      <c r="AB256" s="471"/>
      <c r="AC256" s="471"/>
      <c r="AD256" s="471"/>
      <c r="AE256" s="471"/>
      <c r="AF256" s="471"/>
      <c r="AG256" s="471"/>
      <c r="AH256" s="471"/>
      <c r="AI256" s="471"/>
      <c r="AJ256" s="471"/>
      <c r="AK256" s="471"/>
      <c r="AL256" s="471"/>
      <c r="AM256" s="471"/>
      <c r="AN256" s="471"/>
      <c r="AO256" s="471"/>
      <c r="AP256" s="471"/>
      <c r="AQ256" s="471"/>
      <c r="AR256" s="471"/>
      <c r="AS256" s="471"/>
      <c r="AT256" s="471"/>
      <c r="AU256" s="471"/>
      <c r="AV256" s="471"/>
      <c r="AW256" s="471"/>
      <c r="AX256" s="471"/>
      <c r="AY256" s="471"/>
      <c r="AZ256" s="471"/>
      <c r="BA256" s="471"/>
      <c r="BB256" s="471"/>
      <c r="BC256" s="471"/>
      <c r="BD256" s="471"/>
      <c r="BE256" s="471"/>
      <c r="BF256" s="471"/>
      <c r="BG256" s="471"/>
      <c r="BH256" s="471"/>
    </row>
    <row r="257" spans="1:60" x14ac:dyDescent="0.25">
      <c r="A257" s="77" t="s">
        <v>15</v>
      </c>
      <c r="B257" s="233">
        <v>4</v>
      </c>
      <c r="C257" s="13">
        <v>0</v>
      </c>
      <c r="D257" s="13">
        <v>0</v>
      </c>
      <c r="E257" s="13">
        <v>2</v>
      </c>
      <c r="F257" s="13">
        <v>1</v>
      </c>
      <c r="G257" s="13">
        <v>13</v>
      </c>
      <c r="H257" s="13">
        <v>0</v>
      </c>
      <c r="I257" s="11">
        <f t="shared" si="123"/>
        <v>20</v>
      </c>
      <c r="J257" s="470">
        <f t="shared" si="124"/>
        <v>2.8571428571428572</v>
      </c>
      <c r="K257" s="471"/>
      <c r="L257" s="471"/>
      <c r="M257" s="471"/>
      <c r="N257" s="471"/>
      <c r="O257" s="471"/>
      <c r="P257" s="471"/>
      <c r="Q257" s="471"/>
      <c r="R257" s="471"/>
      <c r="S257" s="471"/>
      <c r="T257" s="471"/>
      <c r="U257" s="471"/>
      <c r="V257" s="471"/>
      <c r="W257" s="471"/>
      <c r="X257" s="471"/>
      <c r="Y257" s="471"/>
      <c r="Z257" s="471"/>
      <c r="AA257" s="471"/>
      <c r="AB257" s="471"/>
      <c r="AC257" s="471"/>
      <c r="AD257" s="471"/>
      <c r="AE257" s="471"/>
      <c r="AF257" s="471"/>
      <c r="AG257" s="471"/>
      <c r="AH257" s="471"/>
      <c r="AI257" s="471"/>
      <c r="AJ257" s="471"/>
      <c r="AK257" s="471"/>
      <c r="AL257" s="471"/>
      <c r="AM257" s="471"/>
      <c r="AN257" s="471"/>
      <c r="AO257" s="471"/>
      <c r="AP257" s="471"/>
      <c r="AQ257" s="471"/>
      <c r="AR257" s="471"/>
      <c r="AS257" s="471"/>
      <c r="AT257" s="471"/>
      <c r="AU257" s="471"/>
      <c r="AV257" s="471"/>
      <c r="AW257" s="471"/>
      <c r="AX257" s="471"/>
      <c r="AY257" s="471"/>
      <c r="AZ257" s="471"/>
      <c r="BA257" s="471"/>
      <c r="BB257" s="471"/>
      <c r="BC257" s="471"/>
      <c r="BD257" s="471"/>
      <c r="BE257" s="471"/>
      <c r="BF257" s="471"/>
      <c r="BG257" s="471"/>
      <c r="BH257" s="471"/>
    </row>
    <row r="258" spans="1:60" x14ac:dyDescent="0.25">
      <c r="A258" s="77" t="s">
        <v>16</v>
      </c>
      <c r="B258" s="233">
        <v>0</v>
      </c>
      <c r="C258" s="13">
        <v>0</v>
      </c>
      <c r="D258" s="13">
        <v>0</v>
      </c>
      <c r="E258" s="13">
        <v>0</v>
      </c>
      <c r="F258" s="13">
        <v>0</v>
      </c>
      <c r="G258" s="13">
        <v>1</v>
      </c>
      <c r="H258" s="13">
        <v>0</v>
      </c>
      <c r="I258" s="11">
        <f t="shared" si="123"/>
        <v>1</v>
      </c>
      <c r="J258" s="470">
        <f t="shared" si="124"/>
        <v>0.14285714285714285</v>
      </c>
      <c r="K258" s="471"/>
      <c r="L258" s="471"/>
      <c r="M258" s="471"/>
      <c r="N258" s="471"/>
      <c r="O258" s="471"/>
      <c r="P258" s="471"/>
      <c r="Q258" s="471"/>
      <c r="R258" s="471"/>
      <c r="S258" s="471"/>
      <c r="T258" s="471"/>
      <c r="U258" s="471"/>
      <c r="V258" s="471"/>
      <c r="W258" s="471"/>
      <c r="X258" s="471"/>
      <c r="Y258" s="471"/>
      <c r="Z258" s="471"/>
      <c r="AA258" s="471"/>
      <c r="AB258" s="471"/>
      <c r="AC258" s="471"/>
      <c r="AD258" s="471"/>
      <c r="AE258" s="471"/>
      <c r="AF258" s="471"/>
      <c r="AG258" s="471"/>
      <c r="AH258" s="471"/>
      <c r="AI258" s="471"/>
      <c r="AJ258" s="471"/>
      <c r="AK258" s="471"/>
      <c r="AL258" s="471"/>
      <c r="AM258" s="471"/>
      <c r="AN258" s="471"/>
      <c r="AO258" s="471"/>
      <c r="AP258" s="471"/>
      <c r="AQ258" s="471"/>
      <c r="AR258" s="471"/>
      <c r="AS258" s="471"/>
      <c r="AT258" s="471"/>
      <c r="AU258" s="471"/>
      <c r="AV258" s="471"/>
      <c r="AW258" s="471"/>
      <c r="AX258" s="471"/>
      <c r="AY258" s="471"/>
      <c r="AZ258" s="471"/>
      <c r="BA258" s="471"/>
      <c r="BB258" s="471"/>
      <c r="BC258" s="471"/>
      <c r="BD258" s="471"/>
      <c r="BE258" s="471"/>
      <c r="BF258" s="471"/>
      <c r="BG258" s="471"/>
      <c r="BH258" s="471"/>
    </row>
    <row r="259" spans="1:60" x14ac:dyDescent="0.25">
      <c r="A259" s="79" t="s">
        <v>17</v>
      </c>
      <c r="B259" s="102">
        <f t="shared" ref="B259:I259" si="125">SUM(B254:B258)</f>
        <v>77</v>
      </c>
      <c r="C259" s="102">
        <f t="shared" si="125"/>
        <v>132</v>
      </c>
      <c r="D259" s="102">
        <f t="shared" si="125"/>
        <v>113</v>
      </c>
      <c r="E259" s="102">
        <f t="shared" si="125"/>
        <v>126</v>
      </c>
      <c r="F259" s="102">
        <f t="shared" si="125"/>
        <v>244</v>
      </c>
      <c r="G259" s="79">
        <f t="shared" si="125"/>
        <v>176</v>
      </c>
      <c r="H259" s="79">
        <f t="shared" si="125"/>
        <v>150</v>
      </c>
      <c r="I259" s="472">
        <f t="shared" si="125"/>
        <v>1018</v>
      </c>
      <c r="J259" s="473">
        <f t="shared" si="124"/>
        <v>145.42857142857142</v>
      </c>
      <c r="K259" s="474"/>
      <c r="L259" s="474"/>
      <c r="M259" s="474"/>
      <c r="N259" s="474"/>
      <c r="O259" s="474"/>
      <c r="P259" s="474"/>
      <c r="Q259" s="474"/>
      <c r="R259" s="474"/>
      <c r="S259" s="474"/>
      <c r="T259" s="474"/>
      <c r="U259" s="474"/>
      <c r="V259" s="474"/>
      <c r="W259" s="474"/>
      <c r="X259" s="474"/>
      <c r="Y259" s="474"/>
      <c r="Z259" s="474"/>
      <c r="AA259" s="474"/>
      <c r="AB259" s="474"/>
      <c r="AC259" s="474"/>
      <c r="AD259" s="474"/>
      <c r="AE259" s="474"/>
      <c r="AF259" s="474"/>
      <c r="AG259" s="474"/>
      <c r="AH259" s="474"/>
      <c r="AI259" s="474"/>
      <c r="AJ259" s="474"/>
      <c r="AK259" s="474"/>
      <c r="AL259" s="474"/>
      <c r="AM259" s="474"/>
      <c r="AN259" s="474"/>
      <c r="AO259" s="474"/>
      <c r="AP259" s="474"/>
      <c r="AQ259" s="474"/>
      <c r="AR259" s="474"/>
      <c r="AS259" s="474"/>
      <c r="AT259" s="474"/>
      <c r="AU259" s="474"/>
      <c r="AV259" s="474"/>
      <c r="AW259" s="474"/>
      <c r="AX259" s="474"/>
      <c r="AY259" s="474"/>
      <c r="AZ259" s="474"/>
      <c r="BA259" s="474"/>
      <c r="BB259" s="474"/>
      <c r="BC259" s="474"/>
      <c r="BD259" s="474"/>
      <c r="BE259" s="474"/>
      <c r="BF259" s="474"/>
      <c r="BG259" s="474"/>
      <c r="BH259" s="474"/>
    </row>
    <row r="260" spans="1:60" x14ac:dyDescent="0.25">
      <c r="A260" s="77" t="s">
        <v>18</v>
      </c>
      <c r="B260" s="234">
        <v>0.55000000000000004</v>
      </c>
      <c r="C260" s="235">
        <v>0.59</v>
      </c>
      <c r="D260" s="235">
        <v>0.49</v>
      </c>
      <c r="E260" s="236">
        <v>0.59</v>
      </c>
      <c r="F260" s="236">
        <v>0.57999999999999996</v>
      </c>
      <c r="G260" s="236">
        <v>0.66</v>
      </c>
      <c r="H260" s="236">
        <v>0.6</v>
      </c>
      <c r="I260" s="18">
        <f>I267/I272</f>
        <v>0.58908248513480044</v>
      </c>
      <c r="J260" s="475">
        <f>J267/J272</f>
        <v>0.58908248513480033</v>
      </c>
      <c r="K260" s="476"/>
      <c r="L260" s="476"/>
      <c r="M260" s="476"/>
      <c r="N260" s="476"/>
      <c r="O260" s="476"/>
      <c r="P260" s="476"/>
      <c r="Q260" s="476"/>
      <c r="R260" s="476"/>
      <c r="S260" s="476"/>
      <c r="T260" s="476"/>
      <c r="U260" s="476"/>
      <c r="V260" s="476"/>
      <c r="W260" s="476"/>
      <c r="X260" s="476"/>
      <c r="Y260" s="476"/>
      <c r="Z260" s="476"/>
      <c r="AA260" s="476"/>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6"/>
      <c r="AY260" s="476"/>
      <c r="AZ260" s="476"/>
      <c r="BA260" s="476"/>
      <c r="BB260" s="476"/>
      <c r="BC260" s="476"/>
      <c r="BD260" s="476"/>
      <c r="BE260" s="476"/>
      <c r="BF260" s="476"/>
      <c r="BG260" s="476"/>
      <c r="BH260" s="476"/>
    </row>
    <row r="261" spans="1:60" x14ac:dyDescent="0.25">
      <c r="A261" s="77" t="s">
        <v>19</v>
      </c>
      <c r="B261" s="234">
        <v>0</v>
      </c>
      <c r="C261" s="235">
        <v>0.02</v>
      </c>
      <c r="D261" s="235">
        <v>0.01</v>
      </c>
      <c r="E261" s="236">
        <v>0.01</v>
      </c>
      <c r="F261" s="236">
        <v>0.01</v>
      </c>
      <c r="G261" s="236">
        <v>0.02</v>
      </c>
      <c r="H261" s="236">
        <v>0.02</v>
      </c>
      <c r="I261" s="18">
        <f>I268/I272</f>
        <v>1.3881837708253632E-2</v>
      </c>
      <c r="J261" s="475">
        <f>J268/J272</f>
        <v>1.3881837708253634E-2</v>
      </c>
      <c r="K261" s="476"/>
      <c r="L261" s="476"/>
      <c r="M261" s="476"/>
      <c r="N261" s="476"/>
      <c r="O261" s="476"/>
      <c r="P261" s="476"/>
      <c r="Q261" s="476"/>
      <c r="R261" s="476"/>
      <c r="S261" s="476"/>
      <c r="T261" s="476"/>
      <c r="U261" s="476"/>
      <c r="V261" s="476"/>
      <c r="W261" s="476"/>
      <c r="X261" s="476"/>
      <c r="Y261" s="476"/>
      <c r="Z261" s="476"/>
      <c r="AA261" s="476"/>
      <c r="AB261" s="476"/>
      <c r="AC261" s="476"/>
      <c r="AD261" s="476"/>
      <c r="AE261" s="476"/>
      <c r="AF261" s="476"/>
      <c r="AG261" s="476"/>
      <c r="AH261" s="476"/>
      <c r="AI261" s="476"/>
      <c r="AJ261" s="476"/>
      <c r="AK261" s="476"/>
      <c r="AL261" s="476"/>
      <c r="AM261" s="476"/>
      <c r="AN261" s="476"/>
      <c r="AO261" s="476"/>
      <c r="AP261" s="476"/>
      <c r="AQ261" s="476"/>
      <c r="AR261" s="476"/>
      <c r="AS261" s="476"/>
      <c r="AT261" s="476"/>
      <c r="AU261" s="476"/>
      <c r="AV261" s="476"/>
      <c r="AW261" s="476"/>
      <c r="AX261" s="476"/>
      <c r="AY261" s="476"/>
      <c r="AZ261" s="476"/>
      <c r="BA261" s="476"/>
      <c r="BB261" s="476"/>
      <c r="BC261" s="476"/>
      <c r="BD261" s="476"/>
      <c r="BE261" s="476"/>
      <c r="BF261" s="476"/>
      <c r="BG261" s="476"/>
      <c r="BH261" s="476"/>
    </row>
    <row r="262" spans="1:60" x14ac:dyDescent="0.25">
      <c r="A262" s="77" t="s">
        <v>20</v>
      </c>
      <c r="B262" s="234">
        <v>0.41</v>
      </c>
      <c r="C262" s="235">
        <v>0.39</v>
      </c>
      <c r="D262" s="235">
        <v>0.5</v>
      </c>
      <c r="E262" s="236">
        <v>0.38</v>
      </c>
      <c r="F262" s="236">
        <v>0.41</v>
      </c>
      <c r="G262" s="236">
        <v>0.25</v>
      </c>
      <c r="H262" s="236">
        <v>0.38</v>
      </c>
      <c r="I262" s="18">
        <f>I269/I272</f>
        <v>0.37878173238426166</v>
      </c>
      <c r="J262" s="475">
        <f>J269/J272</f>
        <v>0.37878173238426172</v>
      </c>
      <c r="K262" s="476"/>
      <c r="L262" s="476"/>
      <c r="M262" s="476"/>
      <c r="N262" s="476"/>
      <c r="O262" s="476"/>
      <c r="P262" s="476"/>
      <c r="Q262" s="476"/>
      <c r="R262" s="476"/>
      <c r="S262" s="476"/>
      <c r="T262" s="476"/>
      <c r="U262" s="476"/>
      <c r="V262" s="476"/>
      <c r="W262" s="476"/>
      <c r="X262" s="476"/>
      <c r="Y262" s="476"/>
      <c r="Z262" s="476"/>
      <c r="AA262" s="476"/>
      <c r="AB262" s="476"/>
      <c r="AC262" s="476"/>
      <c r="AD262" s="476"/>
      <c r="AE262" s="476"/>
      <c r="AF262" s="476"/>
      <c r="AG262" s="476"/>
      <c r="AH262" s="476"/>
      <c r="AI262" s="476"/>
      <c r="AJ262" s="476"/>
      <c r="AK262" s="476"/>
      <c r="AL262" s="476"/>
      <c r="AM262" s="476"/>
      <c r="AN262" s="476"/>
      <c r="AO262" s="476"/>
      <c r="AP262" s="476"/>
      <c r="AQ262" s="476"/>
      <c r="AR262" s="476"/>
      <c r="AS262" s="476"/>
      <c r="AT262" s="476"/>
      <c r="AU262" s="476"/>
      <c r="AV262" s="476"/>
      <c r="AW262" s="476"/>
      <c r="AX262" s="476"/>
      <c r="AY262" s="476"/>
      <c r="AZ262" s="476"/>
      <c r="BA262" s="476"/>
      <c r="BB262" s="476"/>
      <c r="BC262" s="476"/>
      <c r="BD262" s="476"/>
      <c r="BE262" s="476"/>
      <c r="BF262" s="476"/>
      <c r="BG262" s="476"/>
      <c r="BH262" s="476"/>
    </row>
    <row r="263" spans="1:60" x14ac:dyDescent="0.25">
      <c r="A263" s="77" t="s">
        <v>21</v>
      </c>
      <c r="B263" s="234">
        <v>0.04</v>
      </c>
      <c r="C263" s="235">
        <v>0</v>
      </c>
      <c r="D263" s="235">
        <v>0</v>
      </c>
      <c r="E263" s="236">
        <v>0.02</v>
      </c>
      <c r="F263" s="236">
        <v>0</v>
      </c>
      <c r="G263" s="236">
        <v>0.06</v>
      </c>
      <c r="H263" s="236">
        <v>0</v>
      </c>
      <c r="I263" s="18">
        <f>I270/I272</f>
        <v>1.6404153206551742E-2</v>
      </c>
      <c r="J263" s="475">
        <f>J270/J272</f>
        <v>1.6404153206551746E-2</v>
      </c>
      <c r="K263" s="476"/>
      <c r="L263" s="476"/>
      <c r="M263" s="476"/>
      <c r="N263" s="476"/>
      <c r="O263" s="476"/>
      <c r="P263" s="476"/>
      <c r="Q263" s="476"/>
      <c r="R263" s="476"/>
      <c r="S263" s="476"/>
      <c r="T263" s="476"/>
      <c r="U263" s="476"/>
      <c r="V263" s="476"/>
      <c r="W263" s="476"/>
      <c r="X263" s="476"/>
      <c r="Y263" s="476"/>
      <c r="Z263" s="476"/>
      <c r="AA263" s="476"/>
      <c r="AB263" s="476"/>
      <c r="AC263" s="476"/>
      <c r="AD263" s="476"/>
      <c r="AE263" s="476"/>
      <c r="AF263" s="476"/>
      <c r="AG263" s="476"/>
      <c r="AH263" s="476"/>
      <c r="AI263" s="476"/>
      <c r="AJ263" s="476"/>
      <c r="AK263" s="476"/>
      <c r="AL263" s="476"/>
      <c r="AM263" s="476"/>
      <c r="AN263" s="476"/>
      <c r="AO263" s="476"/>
      <c r="AP263" s="476"/>
      <c r="AQ263" s="476"/>
      <c r="AR263" s="476"/>
      <c r="AS263" s="476"/>
      <c r="AT263" s="476"/>
      <c r="AU263" s="476"/>
      <c r="AV263" s="476"/>
      <c r="AW263" s="476"/>
      <c r="AX263" s="476"/>
      <c r="AY263" s="476"/>
      <c r="AZ263" s="476"/>
      <c r="BA263" s="476"/>
      <c r="BB263" s="476"/>
      <c r="BC263" s="476"/>
      <c r="BD263" s="476"/>
      <c r="BE263" s="476"/>
      <c r="BF263" s="476"/>
      <c r="BG263" s="476"/>
      <c r="BH263" s="476"/>
    </row>
    <row r="264" spans="1:60" x14ac:dyDescent="0.25">
      <c r="A264" s="77" t="s">
        <v>22</v>
      </c>
      <c r="B264" s="234">
        <v>0</v>
      </c>
      <c r="C264" s="235">
        <v>0</v>
      </c>
      <c r="D264" s="235">
        <v>0</v>
      </c>
      <c r="E264" s="236">
        <v>0</v>
      </c>
      <c r="F264" s="236">
        <v>0</v>
      </c>
      <c r="G264" s="236">
        <v>0.01</v>
      </c>
      <c r="H264" s="236">
        <v>0</v>
      </c>
      <c r="I264" s="18">
        <f>I271/I272</f>
        <v>1.8497915661323579E-3</v>
      </c>
      <c r="J264" s="475">
        <f>J271/J272</f>
        <v>1.8497915661323582E-3</v>
      </c>
      <c r="K264" s="476"/>
      <c r="L264" s="476"/>
      <c r="M264" s="476"/>
      <c r="N264" s="476"/>
      <c r="O264" s="476"/>
      <c r="P264" s="476"/>
      <c r="Q264" s="476"/>
      <c r="R264" s="476"/>
      <c r="S264" s="476"/>
      <c r="T264" s="476"/>
      <c r="U264" s="476"/>
      <c r="V264" s="476"/>
      <c r="W264" s="476"/>
      <c r="X264" s="476"/>
      <c r="Y264" s="476"/>
      <c r="Z264" s="476"/>
      <c r="AA264" s="476"/>
      <c r="AB264" s="476"/>
      <c r="AC264" s="476"/>
      <c r="AD264" s="476"/>
      <c r="AE264" s="476"/>
      <c r="AF264" s="476"/>
      <c r="AG264" s="476"/>
      <c r="AH264" s="476"/>
      <c r="AI264" s="476"/>
      <c r="AJ264" s="476"/>
      <c r="AK264" s="476"/>
      <c r="AL264" s="476"/>
      <c r="AM264" s="476"/>
      <c r="AN264" s="476"/>
      <c r="AO264" s="476"/>
      <c r="AP264" s="476"/>
      <c r="AQ264" s="476"/>
      <c r="AR264" s="476"/>
      <c r="AS264" s="476"/>
      <c r="AT264" s="476"/>
      <c r="AU264" s="476"/>
      <c r="AV264" s="476"/>
      <c r="AW264" s="476"/>
      <c r="AX264" s="476"/>
      <c r="AY264" s="476"/>
      <c r="AZ264" s="476"/>
      <c r="BA264" s="476"/>
      <c r="BB264" s="476"/>
      <c r="BC264" s="476"/>
      <c r="BD264" s="476"/>
      <c r="BE264" s="476"/>
      <c r="BF264" s="476"/>
      <c r="BG264" s="476"/>
      <c r="BH264" s="476"/>
    </row>
    <row r="265" spans="1:60" x14ac:dyDescent="0.25">
      <c r="A265" s="81" t="s">
        <v>23</v>
      </c>
      <c r="B265" s="409">
        <f t="shared" ref="B265:J265" si="126">B276/B259</f>
        <v>30876.623376623378</v>
      </c>
      <c r="C265" s="409">
        <f t="shared" si="126"/>
        <v>32601.515151515152</v>
      </c>
      <c r="D265" s="409">
        <f t="shared" si="126"/>
        <v>31714.159292035401</v>
      </c>
      <c r="E265" s="409">
        <f t="shared" si="126"/>
        <v>36538.888888888891</v>
      </c>
      <c r="F265" s="409">
        <f t="shared" si="126"/>
        <v>35283.196721311477</v>
      </c>
      <c r="G265" s="130">
        <f t="shared" si="126"/>
        <v>37206.818181818184</v>
      </c>
      <c r="H265" s="130">
        <f t="shared" si="126"/>
        <v>35104.000000000007</v>
      </c>
      <c r="I265" s="359">
        <f t="shared" si="126"/>
        <v>34667.583497053056</v>
      </c>
      <c r="J265" s="477">
        <f t="shared" si="126"/>
        <v>34667.583497053056</v>
      </c>
      <c r="K265" s="478"/>
      <c r="L265" s="478"/>
      <c r="M265" s="478"/>
      <c r="N265" s="478"/>
      <c r="O265" s="478"/>
      <c r="P265" s="478"/>
      <c r="Q265" s="478"/>
      <c r="R265" s="478"/>
      <c r="S265" s="478"/>
      <c r="T265" s="478"/>
      <c r="U265" s="478"/>
      <c r="V265" s="478"/>
      <c r="W265" s="478"/>
      <c r="X265" s="478"/>
      <c r="Y265" s="478"/>
      <c r="Z265" s="478"/>
      <c r="AA265" s="478"/>
      <c r="AB265" s="478"/>
      <c r="AC265" s="478"/>
      <c r="AD265" s="478"/>
      <c r="AE265" s="478"/>
      <c r="AF265" s="478"/>
      <c r="AG265" s="478"/>
      <c r="AH265" s="478"/>
      <c r="AI265" s="478"/>
      <c r="AJ265" s="478"/>
      <c r="AK265" s="478"/>
      <c r="AL265" s="478"/>
      <c r="AM265" s="478"/>
      <c r="AN265" s="478"/>
      <c r="AO265" s="478"/>
      <c r="AP265" s="478"/>
      <c r="AQ265" s="478"/>
      <c r="AR265" s="478"/>
      <c r="AS265" s="478"/>
      <c r="AT265" s="478"/>
      <c r="AU265" s="478"/>
      <c r="AV265" s="478"/>
      <c r="AW265" s="478"/>
      <c r="AX265" s="478"/>
      <c r="AY265" s="478"/>
      <c r="AZ265" s="478"/>
      <c r="BA265" s="478"/>
      <c r="BB265" s="478"/>
      <c r="BC265" s="478"/>
      <c r="BD265" s="478"/>
      <c r="BE265" s="478"/>
      <c r="BF265" s="478"/>
      <c r="BG265" s="478"/>
      <c r="BH265" s="478"/>
    </row>
    <row r="266" spans="1:60" x14ac:dyDescent="0.25">
      <c r="A266" s="81" t="s">
        <v>24</v>
      </c>
      <c r="B266" s="409">
        <f t="shared" ref="B266:J266" si="127">B276/B253</f>
        <v>27645.348837209302</v>
      </c>
      <c r="C266" s="409">
        <f t="shared" si="127"/>
        <v>27763.870967741936</v>
      </c>
      <c r="D266" s="409">
        <f t="shared" si="127"/>
        <v>27356.488549618323</v>
      </c>
      <c r="E266" s="409">
        <f t="shared" si="127"/>
        <v>27568.263473053892</v>
      </c>
      <c r="F266" s="409">
        <f t="shared" si="127"/>
        <v>27951.623376623378</v>
      </c>
      <c r="G266" s="130">
        <f t="shared" si="127"/>
        <v>29901.369863013697</v>
      </c>
      <c r="H266" s="130">
        <f t="shared" si="127"/>
        <v>27425.000000000004</v>
      </c>
      <c r="I266" s="359">
        <f t="shared" si="127"/>
        <v>28053.736089030212</v>
      </c>
      <c r="J266" s="477">
        <f t="shared" si="127"/>
        <v>28053.736089030212</v>
      </c>
      <c r="K266" s="478"/>
      <c r="L266" s="478"/>
      <c r="M266" s="478"/>
      <c r="N266" s="478"/>
      <c r="O266" s="478"/>
      <c r="P266" s="478"/>
      <c r="Q266" s="478"/>
      <c r="R266" s="478"/>
      <c r="S266" s="478"/>
      <c r="T266" s="478"/>
      <c r="U266" s="478"/>
      <c r="V266" s="478"/>
      <c r="W266" s="478"/>
      <c r="X266" s="478"/>
      <c r="Y266" s="478"/>
      <c r="Z266" s="478"/>
      <c r="AA266" s="478"/>
      <c r="AB266" s="478"/>
      <c r="AC266" s="478"/>
      <c r="AD266" s="478"/>
      <c r="AE266" s="478"/>
      <c r="AF266" s="478"/>
      <c r="AG266" s="478"/>
      <c r="AH266" s="478"/>
      <c r="AI266" s="478"/>
      <c r="AJ266" s="478"/>
      <c r="AK266" s="478"/>
      <c r="AL266" s="478"/>
      <c r="AM266" s="478"/>
      <c r="AN266" s="478"/>
      <c r="AO266" s="478"/>
      <c r="AP266" s="478"/>
      <c r="AQ266" s="478"/>
      <c r="AR266" s="478"/>
      <c r="AS266" s="478"/>
      <c r="AT266" s="478"/>
      <c r="AU266" s="478"/>
      <c r="AV266" s="478"/>
      <c r="AW266" s="478"/>
      <c r="AX266" s="478"/>
      <c r="AY266" s="478"/>
      <c r="AZ266" s="478"/>
      <c r="BA266" s="478"/>
      <c r="BB266" s="478"/>
      <c r="BC266" s="478"/>
      <c r="BD266" s="478"/>
      <c r="BE266" s="478"/>
      <c r="BF266" s="478"/>
      <c r="BG266" s="478"/>
      <c r="BH266" s="478"/>
    </row>
    <row r="267" spans="1:60" x14ac:dyDescent="0.25">
      <c r="A267" s="77" t="s">
        <v>25</v>
      </c>
      <c r="B267" s="255">
        <f t="shared" ref="B267:H267" si="128">B272*B260</f>
        <v>1081038.181034483</v>
      </c>
      <c r="C267" s="255">
        <f t="shared" si="128"/>
        <v>2099796.7758620689</v>
      </c>
      <c r="D267" s="255">
        <f t="shared" si="128"/>
        <v>1464174.6603448277</v>
      </c>
      <c r="E267" s="255">
        <f t="shared" si="128"/>
        <v>2256451.6431034482</v>
      </c>
      <c r="F267" s="255">
        <f t="shared" si="128"/>
        <v>4143312.9</v>
      </c>
      <c r="G267" s="92">
        <f t="shared" si="128"/>
        <v>3569360.7931034486</v>
      </c>
      <c r="H267" s="92">
        <f t="shared" si="128"/>
        <v>2608509.2068965519</v>
      </c>
      <c r="I267" s="108">
        <f>SUM(B267:H267)</f>
        <v>17222644.160344828</v>
      </c>
      <c r="J267" s="479">
        <f t="shared" ref="J267:J272" si="129">+$I267/7</f>
        <v>2460377.7371921181</v>
      </c>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c r="BC267" s="480"/>
      <c r="BD267" s="480"/>
      <c r="BE267" s="480"/>
      <c r="BF267" s="480"/>
      <c r="BG267" s="480"/>
      <c r="BH267" s="480"/>
    </row>
    <row r="268" spans="1:60" x14ac:dyDescent="0.25">
      <c r="A268" s="77" t="s">
        <v>26</v>
      </c>
      <c r="B268" s="255">
        <f t="shared" ref="B268:H268" si="130">B272*B261</f>
        <v>0</v>
      </c>
      <c r="C268" s="255">
        <f t="shared" si="130"/>
        <v>71179.551724137942</v>
      </c>
      <c r="D268" s="255">
        <f t="shared" si="130"/>
        <v>29881.115517241382</v>
      </c>
      <c r="E268" s="255">
        <f t="shared" si="130"/>
        <v>38244.943103448277</v>
      </c>
      <c r="F268" s="255">
        <f t="shared" si="130"/>
        <v>71436.429310344829</v>
      </c>
      <c r="G268" s="92">
        <f t="shared" si="130"/>
        <v>108162.44827586207</v>
      </c>
      <c r="H268" s="92">
        <f t="shared" si="130"/>
        <v>86950.30689655173</v>
      </c>
      <c r="I268" s="108">
        <f>SUM(B268:H268)</f>
        <v>405854.79482758627</v>
      </c>
      <c r="J268" s="479">
        <f t="shared" si="129"/>
        <v>57979.256403940897</v>
      </c>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c r="BC268" s="480"/>
      <c r="BD268" s="480"/>
      <c r="BE268" s="480"/>
      <c r="BF268" s="480"/>
      <c r="BG268" s="480"/>
      <c r="BH268" s="480"/>
    </row>
    <row r="269" spans="1:60" x14ac:dyDescent="0.25">
      <c r="A269" s="77" t="s">
        <v>27</v>
      </c>
      <c r="B269" s="255">
        <f t="shared" ref="B269:H269" si="131">B272*B262</f>
        <v>805864.82586206892</v>
      </c>
      <c r="C269" s="255">
        <f t="shared" si="131"/>
        <v>1388001.2586206899</v>
      </c>
      <c r="D269" s="255">
        <f t="shared" si="131"/>
        <v>1494055.7758620691</v>
      </c>
      <c r="E269" s="255">
        <f t="shared" si="131"/>
        <v>1453307.8379310346</v>
      </c>
      <c r="F269" s="255">
        <f t="shared" si="131"/>
        <v>2928893.601724138</v>
      </c>
      <c r="G269" s="92">
        <f t="shared" si="131"/>
        <v>1352030.6034482759</v>
      </c>
      <c r="H269" s="92">
        <f t="shared" si="131"/>
        <v>1652055.8310344829</v>
      </c>
      <c r="I269" s="108">
        <f>SUM(B269:H269)</f>
        <v>11074209.73448276</v>
      </c>
      <c r="J269" s="479">
        <f t="shared" si="129"/>
        <v>1582029.9620689657</v>
      </c>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c r="AO269" s="480"/>
      <c r="AP269" s="480"/>
      <c r="AQ269" s="480"/>
      <c r="AR269" s="480"/>
      <c r="AS269" s="480"/>
      <c r="AT269" s="480"/>
      <c r="AU269" s="480"/>
      <c r="AV269" s="480"/>
      <c r="AW269" s="480"/>
      <c r="AX269" s="480"/>
      <c r="AY269" s="480"/>
      <c r="AZ269" s="480"/>
      <c r="BA269" s="480"/>
      <c r="BB269" s="480"/>
      <c r="BC269" s="480"/>
      <c r="BD269" s="480"/>
      <c r="BE269" s="480"/>
      <c r="BF269" s="480"/>
      <c r="BG269" s="480"/>
      <c r="BH269" s="480"/>
    </row>
    <row r="270" spans="1:60" x14ac:dyDescent="0.25">
      <c r="A270" s="77" t="s">
        <v>28</v>
      </c>
      <c r="B270" s="255">
        <f t="shared" ref="B270:H270" si="132">B272*B263</f>
        <v>78620.958620689664</v>
      </c>
      <c r="C270" s="255">
        <f t="shared" si="132"/>
        <v>0</v>
      </c>
      <c r="D270" s="255">
        <f t="shared" si="132"/>
        <v>0</v>
      </c>
      <c r="E270" s="255">
        <f t="shared" si="132"/>
        <v>76489.886206896554</v>
      </c>
      <c r="F270" s="255">
        <f t="shared" si="132"/>
        <v>0</v>
      </c>
      <c r="G270" s="92">
        <f t="shared" si="132"/>
        <v>324487.3448275862</v>
      </c>
      <c r="H270" s="92">
        <f t="shared" si="132"/>
        <v>0</v>
      </c>
      <c r="I270" s="108">
        <f>SUM(B270:H270)</f>
        <v>479598.18965517241</v>
      </c>
      <c r="J270" s="479">
        <f t="shared" si="129"/>
        <v>68514.027093596058</v>
      </c>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c r="AO270" s="480"/>
      <c r="AP270" s="480"/>
      <c r="AQ270" s="480"/>
      <c r="AR270" s="480"/>
      <c r="AS270" s="480"/>
      <c r="AT270" s="480"/>
      <c r="AU270" s="480"/>
      <c r="AV270" s="480"/>
      <c r="AW270" s="480"/>
      <c r="AX270" s="480"/>
      <c r="AY270" s="480"/>
      <c r="AZ270" s="480"/>
      <c r="BA270" s="480"/>
      <c r="BB270" s="480"/>
      <c r="BC270" s="480"/>
      <c r="BD270" s="480"/>
      <c r="BE270" s="480"/>
      <c r="BF270" s="480"/>
      <c r="BG270" s="480"/>
      <c r="BH270" s="480"/>
    </row>
    <row r="271" spans="1:60" x14ac:dyDescent="0.25">
      <c r="A271" s="77" t="s">
        <v>29</v>
      </c>
      <c r="B271" s="255">
        <f t="shared" ref="B271:H271" si="133">B272*B264</f>
        <v>0</v>
      </c>
      <c r="C271" s="255">
        <f t="shared" si="133"/>
        <v>0</v>
      </c>
      <c r="D271" s="255">
        <f t="shared" si="133"/>
        <v>0</v>
      </c>
      <c r="E271" s="255">
        <f t="shared" si="133"/>
        <v>0</v>
      </c>
      <c r="F271" s="255">
        <f t="shared" si="133"/>
        <v>0</v>
      </c>
      <c r="G271" s="92">
        <f t="shared" si="133"/>
        <v>54081.224137931036</v>
      </c>
      <c r="H271" s="92">
        <f t="shared" si="133"/>
        <v>0</v>
      </c>
      <c r="I271" s="108">
        <f>SUM(B271:H271)</f>
        <v>54081.224137931036</v>
      </c>
      <c r="J271" s="479">
        <f t="shared" si="129"/>
        <v>7725.889162561577</v>
      </c>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c r="AO271" s="480"/>
      <c r="AP271" s="480"/>
      <c r="AQ271" s="480"/>
      <c r="AR271" s="480"/>
      <c r="AS271" s="480"/>
      <c r="AT271" s="480"/>
      <c r="AU271" s="480"/>
      <c r="AV271" s="480"/>
      <c r="AW271" s="480"/>
      <c r="AX271" s="480"/>
      <c r="AY271" s="480"/>
      <c r="AZ271" s="480"/>
      <c r="BA271" s="480"/>
      <c r="BB271" s="480"/>
      <c r="BC271" s="480"/>
      <c r="BD271" s="480"/>
      <c r="BE271" s="480"/>
      <c r="BF271" s="480"/>
      <c r="BG271" s="480"/>
      <c r="BH271" s="480"/>
    </row>
    <row r="272" spans="1:60" x14ac:dyDescent="0.25">
      <c r="A272" s="82" t="s">
        <v>30</v>
      </c>
      <c r="B272" s="222">
        <f>(2377500/1.16)-B273</f>
        <v>1965523.9655172415</v>
      </c>
      <c r="C272" s="222">
        <f>(4303400/1.16)-C273</f>
        <v>3558977.5862068967</v>
      </c>
      <c r="D272" s="222">
        <f>(3583700/1.16)-D273</f>
        <v>2988111.5517241382</v>
      </c>
      <c r="E272" s="222">
        <f>(4603900/1.16)-E273</f>
        <v>3824494.3103448278</v>
      </c>
      <c r="F272" s="222">
        <f>(8609100/1.16)-F273</f>
        <v>7143642.931034483</v>
      </c>
      <c r="G272" s="222">
        <f>(6548400/1.16)-G273</f>
        <v>5408122.4137931038</v>
      </c>
      <c r="H272" s="222">
        <f>(5265600/1.16)-H273</f>
        <v>4347515.3448275868</v>
      </c>
      <c r="I272" s="111">
        <f>SUM(I267:I271)</f>
        <v>29236388.103448283</v>
      </c>
      <c r="J272" s="481">
        <f t="shared" si="129"/>
        <v>4176626.8719211831</v>
      </c>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c r="AO272" s="480"/>
      <c r="AP272" s="480"/>
      <c r="AQ272" s="480"/>
      <c r="AR272" s="480"/>
      <c r="AS272" s="480"/>
      <c r="AT272" s="480"/>
      <c r="AU272" s="480"/>
      <c r="AV272" s="480"/>
      <c r="AW272" s="480"/>
      <c r="AX272" s="480"/>
      <c r="AY272" s="480"/>
      <c r="AZ272" s="480"/>
      <c r="BA272" s="480"/>
      <c r="BB272" s="480"/>
      <c r="BC272" s="480"/>
      <c r="BD272" s="480"/>
      <c r="BE272" s="480"/>
      <c r="BF272" s="480"/>
      <c r="BG272" s="480"/>
      <c r="BH272" s="480"/>
    </row>
    <row r="273" spans="1:60" x14ac:dyDescent="0.25">
      <c r="A273" s="77" t="s">
        <v>31</v>
      </c>
      <c r="B273" s="263">
        <f t="shared" ref="B273:H273" si="134">2155*B254</f>
        <v>84045</v>
      </c>
      <c r="C273" s="263">
        <f t="shared" si="134"/>
        <v>150850</v>
      </c>
      <c r="D273" s="263">
        <f t="shared" si="134"/>
        <v>101285</v>
      </c>
      <c r="E273" s="263">
        <f t="shared" si="134"/>
        <v>144385</v>
      </c>
      <c r="F273" s="263">
        <f t="shared" si="134"/>
        <v>277995</v>
      </c>
      <c r="G273" s="94">
        <f t="shared" si="134"/>
        <v>237050</v>
      </c>
      <c r="H273" s="94">
        <f t="shared" si="134"/>
        <v>191795</v>
      </c>
      <c r="I273" s="109">
        <f>I254*2155</f>
        <v>1187405</v>
      </c>
      <c r="J273" s="482">
        <f>2155*J254</f>
        <v>169629.28571428571</v>
      </c>
      <c r="K273" s="483"/>
      <c r="L273" s="483"/>
      <c r="M273" s="483"/>
      <c r="N273" s="483"/>
      <c r="O273" s="483"/>
      <c r="P273" s="483"/>
      <c r="Q273" s="483"/>
      <c r="R273" s="483"/>
      <c r="S273" s="483"/>
      <c r="T273" s="483"/>
      <c r="U273" s="483"/>
      <c r="V273" s="483"/>
      <c r="W273" s="483"/>
      <c r="X273" s="483"/>
      <c r="Y273" s="483"/>
      <c r="Z273" s="483"/>
      <c r="AA273" s="483"/>
      <c r="AB273" s="483"/>
      <c r="AC273" s="483"/>
      <c r="AD273" s="483"/>
      <c r="AE273" s="483"/>
      <c r="AF273" s="483"/>
      <c r="AG273" s="483"/>
      <c r="AH273" s="483"/>
      <c r="AI273" s="483"/>
      <c r="AJ273" s="483"/>
      <c r="AK273" s="483"/>
      <c r="AL273" s="483"/>
      <c r="AM273" s="483"/>
      <c r="AN273" s="483"/>
      <c r="AO273" s="483"/>
      <c r="AP273" s="483"/>
      <c r="AQ273" s="483"/>
      <c r="AR273" s="483"/>
      <c r="AS273" s="483"/>
      <c r="AT273" s="483"/>
      <c r="AU273" s="483"/>
      <c r="AV273" s="483"/>
      <c r="AW273" s="483"/>
      <c r="AX273" s="483"/>
      <c r="AY273" s="483"/>
      <c r="AZ273" s="483"/>
      <c r="BA273" s="483"/>
      <c r="BB273" s="483"/>
      <c r="BC273" s="483"/>
      <c r="BD273" s="483"/>
      <c r="BE273" s="483"/>
      <c r="BF273" s="483"/>
      <c r="BG273" s="483"/>
      <c r="BH273" s="483"/>
    </row>
    <row r="274" spans="1:60" x14ac:dyDescent="0.25">
      <c r="A274" s="83" t="s">
        <v>32</v>
      </c>
      <c r="B274" s="411">
        <f t="shared" ref="B274:J274" si="135">B272+B273</f>
        <v>2049568.9655172415</v>
      </c>
      <c r="C274" s="411">
        <f t="shared" si="135"/>
        <v>3709827.5862068967</v>
      </c>
      <c r="D274" s="411">
        <f t="shared" si="135"/>
        <v>3089396.5517241382</v>
      </c>
      <c r="E274" s="411">
        <f t="shared" si="135"/>
        <v>3968879.3103448278</v>
      </c>
      <c r="F274" s="411">
        <f t="shared" si="135"/>
        <v>7421637.931034483</v>
      </c>
      <c r="G274" s="39">
        <f t="shared" si="135"/>
        <v>5645172.4137931038</v>
      </c>
      <c r="H274" s="39">
        <f t="shared" si="135"/>
        <v>4539310.3448275868</v>
      </c>
      <c r="I274" s="412">
        <f t="shared" si="135"/>
        <v>30423793.103448283</v>
      </c>
      <c r="J274" s="484">
        <f t="shared" si="135"/>
        <v>4346256.157635469</v>
      </c>
      <c r="K274" s="485"/>
      <c r="L274" s="485"/>
      <c r="M274" s="485"/>
      <c r="N274" s="485"/>
      <c r="O274" s="485"/>
      <c r="P274" s="485"/>
      <c r="Q274" s="485"/>
      <c r="R274" s="485"/>
      <c r="S274" s="485"/>
      <c r="T274" s="485"/>
      <c r="U274" s="485"/>
      <c r="V274" s="485"/>
      <c r="W274" s="485"/>
      <c r="X274" s="485"/>
      <c r="Y274" s="485"/>
      <c r="Z274" s="485"/>
      <c r="AA274" s="485"/>
      <c r="AB274" s="485"/>
      <c r="AC274" s="485"/>
      <c r="AD274" s="485"/>
      <c r="AE274" s="485"/>
      <c r="AF274" s="485"/>
      <c r="AG274" s="485"/>
      <c r="AH274" s="485"/>
      <c r="AI274" s="485"/>
      <c r="AJ274" s="485"/>
      <c r="AK274" s="485"/>
      <c r="AL274" s="485"/>
      <c r="AM274" s="485"/>
      <c r="AN274" s="485"/>
      <c r="AO274" s="485"/>
      <c r="AP274" s="485"/>
      <c r="AQ274" s="485"/>
      <c r="AR274" s="485"/>
      <c r="AS274" s="485"/>
      <c r="AT274" s="485"/>
      <c r="AU274" s="485"/>
      <c r="AV274" s="485"/>
      <c r="AW274" s="485"/>
      <c r="AX274" s="485"/>
      <c r="AY274" s="485"/>
      <c r="AZ274" s="485"/>
      <c r="BA274" s="485"/>
      <c r="BB274" s="485"/>
      <c r="BC274" s="485"/>
      <c r="BD274" s="485"/>
      <c r="BE274" s="485"/>
      <c r="BF274" s="485"/>
      <c r="BG274" s="485"/>
      <c r="BH274" s="485"/>
    </row>
    <row r="275" spans="1:60" x14ac:dyDescent="0.25">
      <c r="A275" s="77" t="s">
        <v>33</v>
      </c>
      <c r="B275" s="413">
        <f t="shared" ref="B275:J275" si="136">B274*16%</f>
        <v>327931.03448275867</v>
      </c>
      <c r="C275" s="413">
        <f t="shared" si="136"/>
        <v>593572.41379310354</v>
      </c>
      <c r="D275" s="413">
        <f t="shared" si="136"/>
        <v>494303.44827586215</v>
      </c>
      <c r="E275" s="413">
        <f t="shared" si="136"/>
        <v>635020.68965517252</v>
      </c>
      <c r="F275" s="413">
        <f t="shared" si="136"/>
        <v>1187462.0689655172</v>
      </c>
      <c r="G275" s="41">
        <f t="shared" si="136"/>
        <v>903227.58620689658</v>
      </c>
      <c r="H275" s="41">
        <f t="shared" si="136"/>
        <v>726289.65517241391</v>
      </c>
      <c r="I275" s="414">
        <f t="shared" si="136"/>
        <v>4867806.8965517255</v>
      </c>
      <c r="J275" s="486">
        <f t="shared" si="136"/>
        <v>695400.98522167502</v>
      </c>
      <c r="K275" s="487"/>
      <c r="L275" s="487"/>
      <c r="M275" s="487"/>
      <c r="N275" s="487"/>
      <c r="O275" s="487"/>
      <c r="P275" s="487"/>
      <c r="Q275" s="487"/>
      <c r="R275" s="487"/>
      <c r="S275" s="487"/>
      <c r="T275" s="487"/>
      <c r="U275" s="487"/>
      <c r="V275" s="487"/>
      <c r="W275" s="487"/>
      <c r="X275" s="487"/>
      <c r="Y275" s="487"/>
      <c r="Z275" s="487"/>
      <c r="AA275" s="487"/>
      <c r="AB275" s="487"/>
      <c r="AC275" s="487"/>
      <c r="AD275" s="487"/>
      <c r="AE275" s="487"/>
      <c r="AF275" s="487"/>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7"/>
    </row>
    <row r="276" spans="1:60" x14ac:dyDescent="0.25">
      <c r="A276" s="142" t="s">
        <v>34</v>
      </c>
      <c r="B276" s="438">
        <f t="shared" ref="B276:I276" si="137">B274+B275</f>
        <v>2377500</v>
      </c>
      <c r="C276" s="438">
        <f t="shared" si="137"/>
        <v>4303400</v>
      </c>
      <c r="D276" s="438">
        <f t="shared" si="137"/>
        <v>3583700.0000000005</v>
      </c>
      <c r="E276" s="438">
        <f t="shared" si="137"/>
        <v>4603900</v>
      </c>
      <c r="F276" s="438">
        <f t="shared" si="137"/>
        <v>8609100</v>
      </c>
      <c r="G276" s="144">
        <f t="shared" si="137"/>
        <v>6548400</v>
      </c>
      <c r="H276" s="144">
        <f t="shared" si="137"/>
        <v>5265600.0000000009</v>
      </c>
      <c r="I276" s="440">
        <f t="shared" si="137"/>
        <v>35291600.000000007</v>
      </c>
      <c r="J276" s="488">
        <f>+$I276/7</f>
        <v>5041657.1428571437</v>
      </c>
      <c r="K276" s="489"/>
      <c r="L276" s="489"/>
      <c r="M276" s="489"/>
      <c r="N276" s="489"/>
      <c r="O276" s="489"/>
      <c r="P276" s="489"/>
      <c r="Q276" s="489"/>
      <c r="R276" s="489"/>
      <c r="S276" s="489"/>
      <c r="T276" s="489"/>
      <c r="U276" s="489"/>
      <c r="V276" s="489"/>
      <c r="W276" s="489"/>
      <c r="X276" s="489"/>
      <c r="Y276" s="489"/>
      <c r="Z276" s="489"/>
      <c r="AA276" s="489"/>
      <c r="AB276" s="489"/>
      <c r="AC276" s="489"/>
      <c r="AD276" s="489"/>
      <c r="AE276" s="489"/>
      <c r="AF276" s="489"/>
      <c r="AG276" s="489"/>
      <c r="AH276" s="489"/>
      <c r="AI276" s="489"/>
      <c r="AJ276" s="489"/>
      <c r="AK276" s="489"/>
      <c r="AL276" s="489"/>
      <c r="AM276" s="489"/>
      <c r="AN276" s="489"/>
      <c r="AO276" s="489"/>
      <c r="AP276" s="489"/>
      <c r="AQ276" s="489"/>
      <c r="AR276" s="489"/>
      <c r="AS276" s="489"/>
      <c r="AT276" s="489"/>
      <c r="AU276" s="489"/>
      <c r="AV276" s="489"/>
      <c r="AW276" s="489"/>
      <c r="AX276" s="489"/>
      <c r="AY276" s="489"/>
      <c r="AZ276" s="489"/>
      <c r="BA276" s="489"/>
      <c r="BB276" s="489"/>
      <c r="BC276" s="489"/>
      <c r="BD276" s="489"/>
      <c r="BE276" s="489"/>
      <c r="BF276" s="489"/>
      <c r="BG276" s="489"/>
      <c r="BH276" s="489"/>
    </row>
    <row r="278" spans="1:60" ht="26.25" x14ac:dyDescent="0.25">
      <c r="A278" s="85"/>
      <c r="B278" s="1002" t="s">
        <v>114</v>
      </c>
      <c r="C278" s="1002"/>
      <c r="D278" s="1002"/>
      <c r="E278" s="1002"/>
      <c r="F278" s="1002"/>
      <c r="G278" s="1002"/>
      <c r="H278" s="1002"/>
      <c r="I278" s="1002"/>
    </row>
    <row r="279" spans="1:60" ht="15.75" x14ac:dyDescent="0.25">
      <c r="A279" s="72" t="s">
        <v>2</v>
      </c>
      <c r="B279" s="121" t="s">
        <v>270</v>
      </c>
      <c r="C279" s="121" t="s">
        <v>116</v>
      </c>
      <c r="D279" s="121" t="s">
        <v>117</v>
      </c>
      <c r="E279" s="121" t="s">
        <v>118</v>
      </c>
      <c r="F279" s="121" t="s">
        <v>119</v>
      </c>
      <c r="G279" s="121" t="s">
        <v>120</v>
      </c>
      <c r="H279" s="121" t="s">
        <v>121</v>
      </c>
      <c r="I279" s="153" t="s">
        <v>10</v>
      </c>
      <c r="J279" s="490" t="s">
        <v>77</v>
      </c>
      <c r="K279" s="466"/>
      <c r="L279" s="466"/>
      <c r="M279" s="466"/>
      <c r="N279" s="466"/>
      <c r="O279" s="466"/>
      <c r="P279" s="466"/>
      <c r="Q279" s="466"/>
      <c r="R279" s="466"/>
      <c r="S279" s="466"/>
      <c r="T279" s="466"/>
      <c r="U279" s="466"/>
      <c r="V279" s="466"/>
      <c r="W279" s="466"/>
      <c r="X279" s="466"/>
      <c r="Y279" s="466"/>
      <c r="Z279" s="466"/>
      <c r="AA279" s="466"/>
      <c r="AB279" s="466"/>
      <c r="AC279" s="466"/>
      <c r="AD279" s="466"/>
      <c r="AE279" s="466"/>
      <c r="AF279" s="466"/>
      <c r="AG279" s="466"/>
      <c r="AH279" s="466"/>
      <c r="AI279" s="466"/>
      <c r="AJ279" s="466"/>
      <c r="AK279" s="466"/>
      <c r="AL279" s="466"/>
      <c r="AM279" s="466"/>
      <c r="AN279" s="466"/>
      <c r="AO279" s="466"/>
      <c r="AP279" s="466"/>
      <c r="AQ279" s="466"/>
      <c r="AR279" s="466"/>
      <c r="AS279" s="466"/>
      <c r="AT279" s="466"/>
      <c r="AU279" s="466"/>
      <c r="AV279" s="466"/>
      <c r="AW279" s="466"/>
      <c r="AX279" s="466"/>
      <c r="AY279" s="466"/>
      <c r="AZ279" s="466"/>
      <c r="BA279" s="466"/>
      <c r="BB279" s="466"/>
      <c r="BC279" s="466"/>
      <c r="BD279" s="466"/>
      <c r="BE279" s="466"/>
      <c r="BF279" s="466"/>
      <c r="BG279" s="466"/>
      <c r="BH279" s="466"/>
    </row>
    <row r="280" spans="1:60" x14ac:dyDescent="0.25">
      <c r="A280" s="430" t="s">
        <v>11</v>
      </c>
      <c r="B280" s="433">
        <v>132</v>
      </c>
      <c r="C280" s="75">
        <v>146</v>
      </c>
      <c r="D280" s="75">
        <v>187</v>
      </c>
      <c r="E280" s="75">
        <v>117</v>
      </c>
      <c r="F280" s="75">
        <v>117</v>
      </c>
      <c r="G280" s="75">
        <v>175</v>
      </c>
      <c r="H280" s="75">
        <v>211</v>
      </c>
      <c r="I280" s="467">
        <f t="shared" ref="I280:I285" si="138">SUM(B280:H280)</f>
        <v>1085</v>
      </c>
      <c r="J280" s="468">
        <f>+$I280/7</f>
        <v>155</v>
      </c>
      <c r="K280" s="469"/>
      <c r="L280" s="469"/>
      <c r="M280" s="469"/>
      <c r="N280" s="469"/>
      <c r="O280" s="469"/>
      <c r="P280" s="469"/>
      <c r="Q280" s="469"/>
      <c r="R280" s="469"/>
      <c r="S280" s="469"/>
      <c r="T280" s="469"/>
      <c r="U280" s="469"/>
      <c r="V280" s="469"/>
      <c r="W280" s="469"/>
      <c r="X280" s="469"/>
      <c r="Y280" s="469"/>
      <c r="Z280" s="469"/>
      <c r="AA280" s="469"/>
      <c r="AB280" s="469"/>
      <c r="AC280" s="469"/>
      <c r="AD280" s="469"/>
      <c r="AE280" s="469"/>
      <c r="AF280" s="469"/>
      <c r="AG280" s="469"/>
      <c r="AH280" s="469"/>
      <c r="AI280" s="469"/>
      <c r="AJ280" s="469"/>
      <c r="AK280" s="469"/>
      <c r="AL280" s="469"/>
      <c r="AM280" s="469"/>
      <c r="AN280" s="469"/>
      <c r="AO280" s="469"/>
      <c r="AP280" s="469"/>
      <c r="AQ280" s="469"/>
      <c r="AR280" s="469"/>
      <c r="AS280" s="469"/>
      <c r="AT280" s="469"/>
      <c r="AU280" s="469"/>
      <c r="AV280" s="469"/>
      <c r="AW280" s="469"/>
      <c r="AX280" s="469"/>
      <c r="AY280" s="469"/>
      <c r="AZ280" s="469"/>
      <c r="BA280" s="469"/>
      <c r="BB280" s="469"/>
      <c r="BC280" s="469"/>
      <c r="BD280" s="469"/>
      <c r="BE280" s="469"/>
      <c r="BF280" s="469"/>
      <c r="BG280" s="469"/>
      <c r="BH280" s="469"/>
    </row>
    <row r="281" spans="1:60" x14ac:dyDescent="0.25">
      <c r="A281" s="77" t="s">
        <v>12</v>
      </c>
      <c r="B281" s="233">
        <v>46</v>
      </c>
      <c r="C281" s="13">
        <v>36</v>
      </c>
      <c r="D281" s="13">
        <v>62</v>
      </c>
      <c r="E281" s="13">
        <v>52</v>
      </c>
      <c r="F281" s="13">
        <v>52</v>
      </c>
      <c r="G281" s="13">
        <v>79</v>
      </c>
      <c r="H281" s="13">
        <v>99</v>
      </c>
      <c r="I281" s="11">
        <f t="shared" si="138"/>
        <v>426</v>
      </c>
      <c r="J281" s="470">
        <f t="shared" ref="J281:J286" si="139">+$I281/7</f>
        <v>60.857142857142854</v>
      </c>
      <c r="K281" s="471"/>
      <c r="L281" s="471"/>
      <c r="M281" s="471"/>
      <c r="N281" s="471"/>
      <c r="O281" s="471"/>
      <c r="P281" s="471"/>
      <c r="Q281" s="471"/>
      <c r="R281" s="471"/>
      <c r="S281" s="471"/>
      <c r="T281" s="471"/>
      <c r="U281" s="471"/>
      <c r="V281" s="471"/>
      <c r="W281" s="471"/>
      <c r="X281" s="471"/>
      <c r="Y281" s="471"/>
      <c r="Z281" s="471"/>
      <c r="AA281" s="471"/>
      <c r="AB281" s="471"/>
      <c r="AC281" s="471"/>
      <c r="AD281" s="471"/>
      <c r="AE281" s="471"/>
      <c r="AF281" s="471"/>
      <c r="AG281" s="471"/>
      <c r="AH281" s="471"/>
      <c r="AI281" s="471"/>
      <c r="AJ281" s="471"/>
      <c r="AK281" s="471"/>
      <c r="AL281" s="471"/>
      <c r="AM281" s="471"/>
      <c r="AN281" s="471"/>
      <c r="AO281" s="471"/>
      <c r="AP281" s="471"/>
      <c r="AQ281" s="471"/>
      <c r="AR281" s="471"/>
      <c r="AS281" s="471"/>
      <c r="AT281" s="471"/>
      <c r="AU281" s="471"/>
      <c r="AV281" s="471"/>
      <c r="AW281" s="471"/>
      <c r="AX281" s="471"/>
      <c r="AY281" s="471"/>
      <c r="AZ281" s="471"/>
      <c r="BA281" s="471"/>
      <c r="BB281" s="471"/>
      <c r="BC281" s="471"/>
      <c r="BD281" s="471"/>
      <c r="BE281" s="471"/>
      <c r="BF281" s="471"/>
      <c r="BG281" s="471"/>
      <c r="BH281" s="471"/>
    </row>
    <row r="282" spans="1:60" x14ac:dyDescent="0.25">
      <c r="A282" s="77" t="s">
        <v>13</v>
      </c>
      <c r="B282" s="233">
        <v>1</v>
      </c>
      <c r="C282" s="13">
        <v>2</v>
      </c>
      <c r="D282" s="13">
        <v>2</v>
      </c>
      <c r="E282" s="13">
        <v>3</v>
      </c>
      <c r="F282" s="13">
        <v>2</v>
      </c>
      <c r="G282" s="13">
        <v>0</v>
      </c>
      <c r="H282" s="13">
        <v>2</v>
      </c>
      <c r="I282" s="11">
        <f t="shared" si="138"/>
        <v>12</v>
      </c>
      <c r="J282" s="470">
        <f t="shared" si="139"/>
        <v>1.7142857142857142</v>
      </c>
      <c r="K282" s="471"/>
      <c r="L282" s="471"/>
      <c r="M282" s="471"/>
      <c r="N282" s="471"/>
      <c r="O282" s="471"/>
      <c r="P282" s="471"/>
      <c r="Q282" s="471"/>
      <c r="R282" s="471"/>
      <c r="S282" s="471"/>
      <c r="T282" s="471"/>
      <c r="U282" s="471"/>
      <c r="V282" s="471"/>
      <c r="W282" s="471"/>
      <c r="X282" s="471"/>
      <c r="Y282" s="471"/>
      <c r="Z282" s="471"/>
      <c r="AA282" s="471"/>
      <c r="AB282" s="471"/>
      <c r="AC282" s="471"/>
      <c r="AD282" s="471"/>
      <c r="AE282" s="471"/>
      <c r="AF282" s="471"/>
      <c r="AG282" s="471"/>
      <c r="AH282" s="471"/>
      <c r="AI282" s="471"/>
      <c r="AJ282" s="471"/>
      <c r="AK282" s="471"/>
      <c r="AL282" s="471"/>
      <c r="AM282" s="471"/>
      <c r="AN282" s="471"/>
      <c r="AO282" s="471"/>
      <c r="AP282" s="471"/>
      <c r="AQ282" s="471"/>
      <c r="AR282" s="471"/>
      <c r="AS282" s="471"/>
      <c r="AT282" s="471"/>
      <c r="AU282" s="471"/>
      <c r="AV282" s="471"/>
      <c r="AW282" s="471"/>
      <c r="AX282" s="471"/>
      <c r="AY282" s="471"/>
      <c r="AZ282" s="471"/>
      <c r="BA282" s="471"/>
      <c r="BB282" s="471"/>
      <c r="BC282" s="471"/>
      <c r="BD282" s="471"/>
      <c r="BE282" s="471"/>
      <c r="BF282" s="471"/>
      <c r="BG282" s="471"/>
      <c r="BH282" s="471"/>
    </row>
    <row r="283" spans="1:60" x14ac:dyDescent="0.25">
      <c r="A283" s="77" t="s">
        <v>14</v>
      </c>
      <c r="B283" s="233">
        <v>64</v>
      </c>
      <c r="C283" s="13">
        <v>86</v>
      </c>
      <c r="D283" s="13">
        <v>89</v>
      </c>
      <c r="E283" s="13">
        <v>48</v>
      </c>
      <c r="F283" s="13">
        <v>36</v>
      </c>
      <c r="G283" s="13">
        <v>52</v>
      </c>
      <c r="H283" s="13">
        <v>61</v>
      </c>
      <c r="I283" s="11">
        <f t="shared" si="138"/>
        <v>436</v>
      </c>
      <c r="J283" s="470">
        <f t="shared" si="139"/>
        <v>62.285714285714285</v>
      </c>
      <c r="K283" s="471"/>
      <c r="L283" s="471"/>
      <c r="M283" s="471"/>
      <c r="N283" s="471"/>
      <c r="O283" s="471"/>
      <c r="P283" s="471"/>
      <c r="Q283" s="471"/>
      <c r="R283" s="471"/>
      <c r="S283" s="471"/>
      <c r="T283" s="471"/>
      <c r="U283" s="471"/>
      <c r="V283" s="471"/>
      <c r="W283" s="471"/>
      <c r="X283" s="471"/>
      <c r="Y283" s="471"/>
      <c r="Z283" s="471"/>
      <c r="AA283" s="471"/>
      <c r="AB283" s="471"/>
      <c r="AC283" s="471"/>
      <c r="AD283" s="471"/>
      <c r="AE283" s="471"/>
      <c r="AF283" s="471"/>
      <c r="AG283" s="471"/>
      <c r="AH283" s="471"/>
      <c r="AI283" s="471"/>
      <c r="AJ283" s="471"/>
      <c r="AK283" s="471"/>
      <c r="AL283" s="471"/>
      <c r="AM283" s="471"/>
      <c r="AN283" s="471"/>
      <c r="AO283" s="471"/>
      <c r="AP283" s="471"/>
      <c r="AQ283" s="471"/>
      <c r="AR283" s="471"/>
      <c r="AS283" s="471"/>
      <c r="AT283" s="471"/>
      <c r="AU283" s="471"/>
      <c r="AV283" s="471"/>
      <c r="AW283" s="471"/>
      <c r="AX283" s="471"/>
      <c r="AY283" s="471"/>
      <c r="AZ283" s="471"/>
      <c r="BA283" s="471"/>
      <c r="BB283" s="471"/>
      <c r="BC283" s="471"/>
      <c r="BD283" s="471"/>
      <c r="BE283" s="471"/>
      <c r="BF283" s="471"/>
      <c r="BG283" s="471"/>
      <c r="BH283" s="471"/>
    </row>
    <row r="284" spans="1:60" x14ac:dyDescent="0.25">
      <c r="A284" s="77" t="s">
        <v>15</v>
      </c>
      <c r="B284" s="233">
        <v>1</v>
      </c>
      <c r="C284" s="13">
        <v>1</v>
      </c>
      <c r="D284" s="13">
        <v>2</v>
      </c>
      <c r="E284" s="13">
        <v>0</v>
      </c>
      <c r="F284" s="13">
        <v>6</v>
      </c>
      <c r="G284" s="13">
        <v>2</v>
      </c>
      <c r="H284" s="13">
        <v>1</v>
      </c>
      <c r="I284" s="11">
        <f t="shared" si="138"/>
        <v>13</v>
      </c>
      <c r="J284" s="470">
        <f t="shared" si="139"/>
        <v>1.8571428571428572</v>
      </c>
      <c r="K284" s="471"/>
      <c r="L284" s="471"/>
      <c r="M284" s="471"/>
      <c r="N284" s="471"/>
      <c r="O284" s="471"/>
      <c r="P284" s="471"/>
      <c r="Q284" s="471"/>
      <c r="R284" s="471"/>
      <c r="S284" s="471"/>
      <c r="T284" s="471"/>
      <c r="U284" s="471"/>
      <c r="V284" s="471"/>
      <c r="W284" s="47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row>
    <row r="285" spans="1:60" x14ac:dyDescent="0.25">
      <c r="A285" s="77" t="s">
        <v>16</v>
      </c>
      <c r="B285" s="233">
        <v>0</v>
      </c>
      <c r="C285" s="13">
        <v>0</v>
      </c>
      <c r="D285" s="13">
        <v>0</v>
      </c>
      <c r="E285" s="13">
        <v>0</v>
      </c>
      <c r="F285" s="13">
        <v>0</v>
      </c>
      <c r="G285" s="13">
        <v>0</v>
      </c>
      <c r="H285" s="13">
        <v>2</v>
      </c>
      <c r="I285" s="11">
        <f t="shared" si="138"/>
        <v>2</v>
      </c>
      <c r="J285" s="470">
        <f t="shared" si="139"/>
        <v>0.2857142857142857</v>
      </c>
      <c r="K285" s="471"/>
      <c r="L285" s="471"/>
      <c r="M285" s="471"/>
      <c r="N285" s="471"/>
      <c r="O285" s="471"/>
      <c r="P285" s="471"/>
      <c r="Q285" s="471"/>
      <c r="R285" s="471"/>
      <c r="S285" s="471"/>
      <c r="T285" s="471"/>
      <c r="U285" s="471"/>
      <c r="V285" s="471"/>
      <c r="W285" s="47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row>
    <row r="286" spans="1:60" x14ac:dyDescent="0.25">
      <c r="A286" s="79" t="s">
        <v>17</v>
      </c>
      <c r="B286" s="102">
        <f t="shared" ref="B286:I286" si="140">SUM(B281:B285)</f>
        <v>112</v>
      </c>
      <c r="C286" s="102">
        <f t="shared" si="140"/>
        <v>125</v>
      </c>
      <c r="D286" s="102">
        <f t="shared" si="140"/>
        <v>155</v>
      </c>
      <c r="E286" s="102">
        <f t="shared" si="140"/>
        <v>103</v>
      </c>
      <c r="F286" s="102">
        <f t="shared" si="140"/>
        <v>96</v>
      </c>
      <c r="G286" s="79">
        <f t="shared" si="140"/>
        <v>133</v>
      </c>
      <c r="H286" s="79">
        <f t="shared" si="140"/>
        <v>165</v>
      </c>
      <c r="I286" s="472">
        <f t="shared" si="140"/>
        <v>889</v>
      </c>
      <c r="J286" s="473">
        <f t="shared" si="139"/>
        <v>127</v>
      </c>
      <c r="K286" s="474"/>
      <c r="L286" s="474"/>
      <c r="M286" s="474"/>
      <c r="N286" s="474"/>
      <c r="O286" s="474"/>
      <c r="P286" s="474"/>
      <c r="Q286" s="474"/>
      <c r="R286" s="474"/>
      <c r="S286" s="474"/>
      <c r="T286" s="474"/>
      <c r="U286" s="474"/>
      <c r="V286" s="474"/>
      <c r="W286" s="474"/>
      <c r="X286" s="474"/>
      <c r="Y286" s="474"/>
      <c r="Z286" s="474"/>
      <c r="AA286" s="474"/>
      <c r="AB286" s="474"/>
      <c r="AC286" s="474"/>
      <c r="AD286" s="474"/>
      <c r="AE286" s="474"/>
      <c r="AF286" s="474"/>
      <c r="AG286" s="474"/>
      <c r="AH286" s="474"/>
      <c r="AI286" s="474"/>
      <c r="AJ286" s="474"/>
      <c r="AK286" s="474"/>
      <c r="AL286" s="474"/>
      <c r="AM286" s="474"/>
      <c r="AN286" s="474"/>
      <c r="AO286" s="474"/>
      <c r="AP286" s="474"/>
      <c r="AQ286" s="474"/>
      <c r="AR286" s="474"/>
      <c r="AS286" s="474"/>
      <c r="AT286" s="474"/>
      <c r="AU286" s="474"/>
      <c r="AV286" s="474"/>
      <c r="AW286" s="474"/>
      <c r="AX286" s="474"/>
      <c r="AY286" s="474"/>
      <c r="AZ286" s="474"/>
      <c r="BA286" s="474"/>
      <c r="BB286" s="474"/>
      <c r="BC286" s="474"/>
      <c r="BD286" s="474"/>
      <c r="BE286" s="474"/>
      <c r="BF286" s="474"/>
      <c r="BG286" s="474"/>
      <c r="BH286" s="474"/>
    </row>
    <row r="287" spans="1:60" x14ac:dyDescent="0.25">
      <c r="A287" s="77" t="s">
        <v>18</v>
      </c>
      <c r="B287" s="234">
        <v>0.52</v>
      </c>
      <c r="C287" s="235">
        <v>0.31</v>
      </c>
      <c r="D287" s="235">
        <v>0.44</v>
      </c>
      <c r="E287" s="236">
        <v>0.55000000000000004</v>
      </c>
      <c r="F287" s="236">
        <v>0.56000000000000005</v>
      </c>
      <c r="G287" s="236">
        <v>0.63</v>
      </c>
      <c r="H287" s="236">
        <v>0.6</v>
      </c>
      <c r="I287" s="18">
        <f>I294/I299</f>
        <v>0.52195786570876745</v>
      </c>
      <c r="J287" s="475">
        <f>J294/J299</f>
        <v>0.52195786570876745</v>
      </c>
      <c r="K287" s="476"/>
      <c r="L287" s="476"/>
      <c r="M287" s="476"/>
      <c r="N287" s="476"/>
      <c r="O287" s="476"/>
      <c r="P287" s="476"/>
      <c r="Q287" s="476"/>
      <c r="R287" s="476"/>
      <c r="S287" s="476"/>
      <c r="T287" s="476"/>
      <c r="U287" s="476"/>
      <c r="V287" s="476"/>
      <c r="W287" s="476"/>
      <c r="X287" s="476"/>
      <c r="Y287" s="476"/>
      <c r="Z287" s="476"/>
      <c r="AA287" s="476"/>
      <c r="AB287" s="476"/>
      <c r="AC287" s="476"/>
      <c r="AD287" s="476"/>
      <c r="AE287" s="476"/>
      <c r="AF287" s="476"/>
      <c r="AG287" s="476"/>
      <c r="AH287" s="476"/>
      <c r="AI287" s="476"/>
      <c r="AJ287" s="476"/>
      <c r="AK287" s="476"/>
      <c r="AL287" s="476"/>
      <c r="AM287" s="476"/>
      <c r="AN287" s="476"/>
      <c r="AO287" s="476"/>
      <c r="AP287" s="476"/>
      <c r="AQ287" s="476"/>
      <c r="AR287" s="476"/>
      <c r="AS287" s="476"/>
      <c r="AT287" s="476"/>
      <c r="AU287" s="476"/>
      <c r="AV287" s="476"/>
      <c r="AW287" s="476"/>
      <c r="AX287" s="476"/>
      <c r="AY287" s="476"/>
      <c r="AZ287" s="476"/>
      <c r="BA287" s="476"/>
      <c r="BB287" s="476"/>
      <c r="BC287" s="476"/>
      <c r="BD287" s="476"/>
      <c r="BE287" s="476"/>
      <c r="BF287" s="476"/>
      <c r="BG287" s="476"/>
      <c r="BH287" s="476"/>
    </row>
    <row r="288" spans="1:60" x14ac:dyDescent="0.25">
      <c r="A288" s="77" t="s">
        <v>19</v>
      </c>
      <c r="B288" s="234">
        <v>0.01</v>
      </c>
      <c r="C288" s="235">
        <v>0.02</v>
      </c>
      <c r="D288" s="235">
        <v>0.01</v>
      </c>
      <c r="E288" s="236">
        <v>0.02</v>
      </c>
      <c r="F288" s="236">
        <v>0.04</v>
      </c>
      <c r="G288" s="236">
        <v>0</v>
      </c>
      <c r="H288" s="236">
        <v>0.01</v>
      </c>
      <c r="I288" s="18">
        <f>I295/I299</f>
        <v>1.3987624431777949E-2</v>
      </c>
      <c r="J288" s="475">
        <f>J295/J299</f>
        <v>1.3987624431777949E-2</v>
      </c>
      <c r="K288" s="476"/>
      <c r="L288" s="476"/>
      <c r="M288" s="476"/>
      <c r="N288" s="476"/>
      <c r="O288" s="476"/>
      <c r="P288" s="476"/>
      <c r="Q288" s="476"/>
      <c r="R288" s="476"/>
      <c r="S288" s="476"/>
      <c r="T288" s="476"/>
      <c r="U288" s="476"/>
      <c r="V288" s="476"/>
      <c r="W288" s="476"/>
      <c r="X288" s="476"/>
      <c r="Y288" s="476"/>
      <c r="Z288" s="476"/>
      <c r="AA288" s="476"/>
      <c r="AB288" s="476"/>
      <c r="AC288" s="476"/>
      <c r="AD288" s="476"/>
      <c r="AE288" s="476"/>
      <c r="AF288" s="476"/>
      <c r="AG288" s="476"/>
      <c r="AH288" s="476"/>
      <c r="AI288" s="476"/>
      <c r="AJ288" s="476"/>
      <c r="AK288" s="476"/>
      <c r="AL288" s="476"/>
      <c r="AM288" s="476"/>
      <c r="AN288" s="476"/>
      <c r="AO288" s="476"/>
      <c r="AP288" s="476"/>
      <c r="AQ288" s="476"/>
      <c r="AR288" s="476"/>
      <c r="AS288" s="476"/>
      <c r="AT288" s="476"/>
      <c r="AU288" s="476"/>
      <c r="AV288" s="476"/>
      <c r="AW288" s="476"/>
      <c r="AX288" s="476"/>
      <c r="AY288" s="476"/>
      <c r="AZ288" s="476"/>
      <c r="BA288" s="476"/>
      <c r="BB288" s="476"/>
      <c r="BC288" s="476"/>
      <c r="BD288" s="476"/>
      <c r="BE288" s="476"/>
      <c r="BF288" s="476"/>
      <c r="BG288" s="476"/>
      <c r="BH288" s="476"/>
    </row>
    <row r="289" spans="1:60" x14ac:dyDescent="0.25">
      <c r="A289" s="77" t="s">
        <v>20</v>
      </c>
      <c r="B289" s="234">
        <v>0.47</v>
      </c>
      <c r="C289" s="235">
        <v>0.67</v>
      </c>
      <c r="D289" s="235">
        <v>0.54</v>
      </c>
      <c r="E289" s="236">
        <v>0.43</v>
      </c>
      <c r="F289" s="236">
        <v>0.34</v>
      </c>
      <c r="G289" s="236">
        <v>0.36</v>
      </c>
      <c r="H289" s="236">
        <v>0.36</v>
      </c>
      <c r="I289" s="18">
        <f>I296/I299</f>
        <v>0.44829269501696983</v>
      </c>
      <c r="J289" s="475">
        <f>J296/J299</f>
        <v>0.44829269501696978</v>
      </c>
      <c r="K289" s="476"/>
      <c r="L289" s="476"/>
      <c r="M289" s="476"/>
      <c r="N289" s="476"/>
      <c r="O289" s="476"/>
      <c r="P289" s="476"/>
      <c r="Q289" s="476"/>
      <c r="R289" s="476"/>
      <c r="S289" s="476"/>
      <c r="T289" s="476"/>
      <c r="U289" s="476"/>
      <c r="V289" s="476"/>
      <c r="W289" s="476"/>
      <c r="X289" s="476"/>
      <c r="Y289" s="476"/>
      <c r="Z289" s="476"/>
      <c r="AA289" s="476"/>
      <c r="AB289" s="476"/>
      <c r="AC289" s="476"/>
      <c r="AD289" s="476"/>
      <c r="AE289" s="476"/>
      <c r="AF289" s="476"/>
      <c r="AG289" s="476"/>
      <c r="AH289" s="476"/>
      <c r="AI289" s="476"/>
      <c r="AJ289" s="476"/>
      <c r="AK289" s="476"/>
      <c r="AL289" s="476"/>
      <c r="AM289" s="476"/>
      <c r="AN289" s="476"/>
      <c r="AO289" s="476"/>
      <c r="AP289" s="476"/>
      <c r="AQ289" s="476"/>
      <c r="AR289" s="476"/>
      <c r="AS289" s="476"/>
      <c r="AT289" s="476"/>
      <c r="AU289" s="476"/>
      <c r="AV289" s="476"/>
      <c r="AW289" s="476"/>
      <c r="AX289" s="476"/>
      <c r="AY289" s="476"/>
      <c r="AZ289" s="476"/>
      <c r="BA289" s="476"/>
      <c r="BB289" s="476"/>
      <c r="BC289" s="476"/>
      <c r="BD289" s="476"/>
      <c r="BE289" s="476"/>
      <c r="BF289" s="476"/>
      <c r="BG289" s="476"/>
      <c r="BH289" s="476"/>
    </row>
    <row r="290" spans="1:60" x14ac:dyDescent="0.25">
      <c r="A290" s="77" t="s">
        <v>21</v>
      </c>
      <c r="B290" s="234">
        <v>0</v>
      </c>
      <c r="C290" s="235">
        <v>0</v>
      </c>
      <c r="D290" s="235">
        <v>0.01</v>
      </c>
      <c r="E290" s="236">
        <v>0</v>
      </c>
      <c r="F290" s="236">
        <v>0.06</v>
      </c>
      <c r="G290" s="236">
        <v>0.01</v>
      </c>
      <c r="H290" s="236">
        <v>0.01</v>
      </c>
      <c r="I290" s="18">
        <f>I297/I299</f>
        <v>1.1838746907525005E-2</v>
      </c>
      <c r="J290" s="475">
        <f>J297/J299</f>
        <v>1.1838746907525005E-2</v>
      </c>
      <c r="K290" s="476"/>
      <c r="L290" s="476"/>
      <c r="M290" s="476"/>
      <c r="N290" s="476"/>
      <c r="O290" s="476"/>
      <c r="P290" s="476"/>
      <c r="Q290" s="476"/>
      <c r="R290" s="476"/>
      <c r="S290" s="476"/>
      <c r="T290" s="476"/>
      <c r="U290" s="476"/>
      <c r="V290" s="476"/>
      <c r="W290" s="476"/>
      <c r="X290" s="476"/>
      <c r="Y290" s="476"/>
      <c r="Z290" s="476"/>
      <c r="AA290" s="476"/>
      <c r="AB290" s="476"/>
      <c r="AC290" s="476"/>
      <c r="AD290" s="476"/>
      <c r="AE290" s="476"/>
      <c r="AF290" s="476"/>
      <c r="AG290" s="476"/>
      <c r="AH290" s="476"/>
      <c r="AI290" s="476"/>
      <c r="AJ290" s="476"/>
      <c r="AK290" s="476"/>
      <c r="AL290" s="476"/>
      <c r="AM290" s="476"/>
      <c r="AN290" s="476"/>
      <c r="AO290" s="476"/>
      <c r="AP290" s="476"/>
      <c r="AQ290" s="476"/>
      <c r="AR290" s="476"/>
      <c r="AS290" s="476"/>
      <c r="AT290" s="476"/>
      <c r="AU290" s="476"/>
      <c r="AV290" s="476"/>
      <c r="AW290" s="476"/>
      <c r="AX290" s="476"/>
      <c r="AY290" s="476"/>
      <c r="AZ290" s="476"/>
      <c r="BA290" s="476"/>
      <c r="BB290" s="476"/>
      <c r="BC290" s="476"/>
      <c r="BD290" s="476"/>
      <c r="BE290" s="476"/>
      <c r="BF290" s="476"/>
      <c r="BG290" s="476"/>
      <c r="BH290" s="476"/>
    </row>
    <row r="291" spans="1:60" x14ac:dyDescent="0.25">
      <c r="A291" s="77" t="s">
        <v>22</v>
      </c>
      <c r="B291" s="234">
        <v>0</v>
      </c>
      <c r="C291" s="235">
        <v>0</v>
      </c>
      <c r="D291" s="235">
        <v>0</v>
      </c>
      <c r="E291" s="236">
        <v>0</v>
      </c>
      <c r="F291" s="236">
        <v>0</v>
      </c>
      <c r="G291" s="236">
        <v>0</v>
      </c>
      <c r="H291" s="236">
        <v>0.02</v>
      </c>
      <c r="I291" s="18">
        <f>I298/I299</f>
        <v>3.9230679349599286E-3</v>
      </c>
      <c r="J291" s="475">
        <f>J298/J299</f>
        <v>3.9230679349599278E-3</v>
      </c>
      <c r="K291" s="476"/>
      <c r="L291" s="476"/>
      <c r="M291" s="476"/>
      <c r="N291" s="476"/>
      <c r="O291" s="476"/>
      <c r="P291" s="476"/>
      <c r="Q291" s="476"/>
      <c r="R291" s="476"/>
      <c r="S291" s="476"/>
      <c r="T291" s="476"/>
      <c r="U291" s="476"/>
      <c r="V291" s="476"/>
      <c r="W291" s="476"/>
      <c r="X291" s="476"/>
      <c r="Y291" s="476"/>
      <c r="Z291" s="476"/>
      <c r="AA291" s="476"/>
      <c r="AB291" s="476"/>
      <c r="AC291" s="476"/>
      <c r="AD291" s="476"/>
      <c r="AE291" s="476"/>
      <c r="AF291" s="476"/>
      <c r="AG291" s="476"/>
      <c r="AH291" s="476"/>
      <c r="AI291" s="476"/>
      <c r="AJ291" s="476"/>
      <c r="AK291" s="476"/>
      <c r="AL291" s="476"/>
      <c r="AM291" s="476"/>
      <c r="AN291" s="476"/>
      <c r="AO291" s="476"/>
      <c r="AP291" s="476"/>
      <c r="AQ291" s="476"/>
      <c r="AR291" s="476"/>
      <c r="AS291" s="476"/>
      <c r="AT291" s="476"/>
      <c r="AU291" s="476"/>
      <c r="AV291" s="476"/>
      <c r="AW291" s="476"/>
      <c r="AX291" s="476"/>
      <c r="AY291" s="476"/>
      <c r="AZ291" s="476"/>
      <c r="BA291" s="476"/>
      <c r="BB291" s="476"/>
      <c r="BC291" s="476"/>
      <c r="BD291" s="476"/>
      <c r="BE291" s="476"/>
      <c r="BF291" s="476"/>
      <c r="BG291" s="476"/>
      <c r="BH291" s="476"/>
    </row>
    <row r="292" spans="1:60" x14ac:dyDescent="0.25">
      <c r="A292" s="81" t="s">
        <v>23</v>
      </c>
      <c r="B292" s="409">
        <f t="shared" ref="B292:J292" si="141">B303/B286</f>
        <v>32661.607142857141</v>
      </c>
      <c r="C292" s="409">
        <f t="shared" si="141"/>
        <v>29612.799999999999</v>
      </c>
      <c r="D292" s="409">
        <f t="shared" si="141"/>
        <v>32882.580645161295</v>
      </c>
      <c r="E292" s="409">
        <f t="shared" si="141"/>
        <v>33357.281553398061</v>
      </c>
      <c r="F292" s="409">
        <f t="shared" si="141"/>
        <v>34284.375</v>
      </c>
      <c r="G292" s="130">
        <f t="shared" si="141"/>
        <v>37632.330827067679</v>
      </c>
      <c r="H292" s="130">
        <f t="shared" si="141"/>
        <v>36063.636363636368</v>
      </c>
      <c r="I292" s="359">
        <f t="shared" si="141"/>
        <v>33902.362204724406</v>
      </c>
      <c r="J292" s="477">
        <f t="shared" si="141"/>
        <v>33902.362204724406</v>
      </c>
      <c r="K292" s="478"/>
      <c r="L292" s="478"/>
      <c r="M292" s="478"/>
      <c r="N292" s="478"/>
      <c r="O292" s="478"/>
      <c r="P292" s="478"/>
      <c r="Q292" s="478"/>
      <c r="R292" s="478"/>
      <c r="S292" s="478"/>
      <c r="T292" s="478"/>
      <c r="U292" s="478"/>
      <c r="V292" s="478"/>
      <c r="W292" s="478"/>
      <c r="X292" s="478"/>
      <c r="Y292" s="478"/>
      <c r="Z292" s="478"/>
      <c r="AA292" s="478"/>
      <c r="AB292" s="478"/>
      <c r="AC292" s="478"/>
      <c r="AD292" s="478"/>
      <c r="AE292" s="478"/>
      <c r="AF292" s="478"/>
      <c r="AG292" s="478"/>
      <c r="AH292" s="478"/>
      <c r="AI292" s="478"/>
      <c r="AJ292" s="478"/>
      <c r="AK292" s="478"/>
      <c r="AL292" s="478"/>
      <c r="AM292" s="478"/>
      <c r="AN292" s="478"/>
      <c r="AO292" s="478"/>
      <c r="AP292" s="478"/>
      <c r="AQ292" s="478"/>
      <c r="AR292" s="478"/>
      <c r="AS292" s="478"/>
      <c r="AT292" s="478"/>
      <c r="AU292" s="478"/>
      <c r="AV292" s="478"/>
      <c r="AW292" s="478"/>
      <c r="AX292" s="478"/>
      <c r="AY292" s="478"/>
      <c r="AZ292" s="478"/>
      <c r="BA292" s="478"/>
      <c r="BB292" s="478"/>
      <c r="BC292" s="478"/>
      <c r="BD292" s="478"/>
      <c r="BE292" s="478"/>
      <c r="BF292" s="478"/>
      <c r="BG292" s="478"/>
      <c r="BH292" s="478"/>
    </row>
    <row r="293" spans="1:60" x14ac:dyDescent="0.25">
      <c r="A293" s="81" t="s">
        <v>24</v>
      </c>
      <c r="B293" s="409">
        <f t="shared" ref="B293:J293" si="142">B303/B280</f>
        <v>27712.878787878788</v>
      </c>
      <c r="C293" s="409">
        <f t="shared" si="142"/>
        <v>25353.424657534248</v>
      </c>
      <c r="D293" s="409">
        <f t="shared" si="142"/>
        <v>27255.614973262036</v>
      </c>
      <c r="E293" s="409">
        <f t="shared" si="142"/>
        <v>29365.811965811969</v>
      </c>
      <c r="F293" s="409">
        <f t="shared" si="142"/>
        <v>28130.76923076923</v>
      </c>
      <c r="G293" s="130">
        <f t="shared" si="142"/>
        <v>28600.571428571435</v>
      </c>
      <c r="H293" s="130">
        <f t="shared" si="142"/>
        <v>28201.421800947872</v>
      </c>
      <c r="I293" s="359">
        <f t="shared" si="142"/>
        <v>27778.064516129034</v>
      </c>
      <c r="J293" s="477">
        <f t="shared" si="142"/>
        <v>27778.064516129034</v>
      </c>
      <c r="K293" s="478"/>
      <c r="L293" s="478"/>
      <c r="M293" s="478"/>
      <c r="N293" s="478"/>
      <c r="O293" s="478"/>
      <c r="P293" s="478"/>
      <c r="Q293" s="478"/>
      <c r="R293" s="478"/>
      <c r="S293" s="478"/>
      <c r="T293" s="478"/>
      <c r="U293" s="478"/>
      <c r="V293" s="478"/>
      <c r="W293" s="478"/>
      <c r="X293" s="478"/>
      <c r="Y293" s="478"/>
      <c r="Z293" s="478"/>
      <c r="AA293" s="478"/>
      <c r="AB293" s="478"/>
      <c r="AC293" s="478"/>
      <c r="AD293" s="478"/>
      <c r="AE293" s="478"/>
      <c r="AF293" s="478"/>
      <c r="AG293" s="478"/>
      <c r="AH293" s="478"/>
      <c r="AI293" s="478"/>
      <c r="AJ293" s="478"/>
      <c r="AK293" s="478"/>
      <c r="AL293" s="478"/>
      <c r="AM293" s="478"/>
      <c r="AN293" s="478"/>
      <c r="AO293" s="478"/>
      <c r="AP293" s="478"/>
      <c r="AQ293" s="478"/>
      <c r="AR293" s="478"/>
      <c r="AS293" s="478"/>
      <c r="AT293" s="478"/>
      <c r="AU293" s="478"/>
      <c r="AV293" s="478"/>
      <c r="AW293" s="478"/>
      <c r="AX293" s="478"/>
      <c r="AY293" s="478"/>
      <c r="AZ293" s="478"/>
      <c r="BA293" s="478"/>
      <c r="BB293" s="478"/>
      <c r="BC293" s="478"/>
      <c r="BD293" s="478"/>
      <c r="BE293" s="478"/>
      <c r="BF293" s="478"/>
      <c r="BG293" s="478"/>
      <c r="BH293" s="478"/>
    </row>
    <row r="294" spans="1:60" x14ac:dyDescent="0.25">
      <c r="A294" s="77" t="s">
        <v>25</v>
      </c>
      <c r="B294" s="255">
        <f t="shared" ref="B294:H294" si="143">B299*B287</f>
        <v>1588290.3310344829</v>
      </c>
      <c r="C294" s="255">
        <f t="shared" si="143"/>
        <v>965170.88965517248</v>
      </c>
      <c r="D294" s="255">
        <f t="shared" si="143"/>
        <v>1874480.5655172416</v>
      </c>
      <c r="E294" s="255">
        <f t="shared" si="143"/>
        <v>1567410.1034482762</v>
      </c>
      <c r="F294" s="255">
        <f t="shared" si="143"/>
        <v>1526149.8482758624</v>
      </c>
      <c r="G294" s="92">
        <f t="shared" si="143"/>
        <v>2611032.7189655174</v>
      </c>
      <c r="H294" s="92">
        <f t="shared" si="143"/>
        <v>2949837.8275862071</v>
      </c>
      <c r="I294" s="108">
        <f>SUM(B294:H294)</f>
        <v>13082372.284482762</v>
      </c>
      <c r="J294" s="479">
        <f t="shared" ref="J294:J299" si="144">+$I294/7</f>
        <v>1868910.3263546804</v>
      </c>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c r="BC294" s="480"/>
      <c r="BD294" s="480"/>
      <c r="BE294" s="480"/>
      <c r="BF294" s="480"/>
      <c r="BG294" s="480"/>
      <c r="BH294" s="480"/>
    </row>
    <row r="295" spans="1:60" x14ac:dyDescent="0.25">
      <c r="A295" s="77" t="s">
        <v>26</v>
      </c>
      <c r="B295" s="255">
        <f t="shared" ref="B295:H295" si="145">B299*B288</f>
        <v>30544.044827586207</v>
      </c>
      <c r="C295" s="255">
        <f t="shared" si="145"/>
        <v>62269.089655172414</v>
      </c>
      <c r="D295" s="255">
        <f t="shared" si="145"/>
        <v>42601.831034482762</v>
      </c>
      <c r="E295" s="255">
        <f t="shared" si="145"/>
        <v>56996.731034482764</v>
      </c>
      <c r="F295" s="255">
        <f t="shared" si="145"/>
        <v>109010.70344827588</v>
      </c>
      <c r="G295" s="92">
        <f t="shared" si="145"/>
        <v>0</v>
      </c>
      <c r="H295" s="92">
        <f t="shared" si="145"/>
        <v>49163.963793103452</v>
      </c>
      <c r="I295" s="108">
        <f>SUM(B295:H295)</f>
        <v>350586.36379310349</v>
      </c>
      <c r="J295" s="479">
        <f t="shared" si="144"/>
        <v>50083.766256157644</v>
      </c>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c r="BC295" s="480"/>
      <c r="BD295" s="480"/>
      <c r="BE295" s="480"/>
      <c r="BF295" s="480"/>
      <c r="BG295" s="480"/>
      <c r="BH295" s="480"/>
    </row>
    <row r="296" spans="1:60" x14ac:dyDescent="0.25">
      <c r="A296" s="77" t="s">
        <v>27</v>
      </c>
      <c r="B296" s="255">
        <f t="shared" ref="B296:H296" si="146">B299*B289</f>
        <v>1435570.1068965516</v>
      </c>
      <c r="C296" s="255">
        <f t="shared" si="146"/>
        <v>2086014.5034482761</v>
      </c>
      <c r="D296" s="255">
        <f t="shared" si="146"/>
        <v>2300498.8758620694</v>
      </c>
      <c r="E296" s="255">
        <f t="shared" si="146"/>
        <v>1225429.7172413794</v>
      </c>
      <c r="F296" s="255">
        <f t="shared" si="146"/>
        <v>926590.9793103449</v>
      </c>
      <c r="G296" s="92">
        <f t="shared" si="146"/>
        <v>1492018.6965517243</v>
      </c>
      <c r="H296" s="92">
        <f t="shared" si="146"/>
        <v>1769902.6965517243</v>
      </c>
      <c r="I296" s="108">
        <f>SUM(B296:H296)</f>
        <v>11236025.575862069</v>
      </c>
      <c r="J296" s="479">
        <f t="shared" si="144"/>
        <v>1605146.5108374383</v>
      </c>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c r="BC296" s="480"/>
      <c r="BD296" s="480"/>
      <c r="BE296" s="480"/>
      <c r="BF296" s="480"/>
      <c r="BG296" s="480"/>
      <c r="BH296" s="480"/>
    </row>
    <row r="297" spans="1:60" x14ac:dyDescent="0.25">
      <c r="A297" s="77" t="s">
        <v>28</v>
      </c>
      <c r="B297" s="255">
        <f t="shared" ref="B297:H297" si="147">B299*B290</f>
        <v>0</v>
      </c>
      <c r="C297" s="255">
        <f t="shared" si="147"/>
        <v>0</v>
      </c>
      <c r="D297" s="255">
        <f t="shared" si="147"/>
        <v>42601.831034482762</v>
      </c>
      <c r="E297" s="255">
        <f t="shared" si="147"/>
        <v>0</v>
      </c>
      <c r="F297" s="255">
        <f t="shared" si="147"/>
        <v>163516.05517241379</v>
      </c>
      <c r="G297" s="92">
        <f t="shared" si="147"/>
        <v>41444.963793103452</v>
      </c>
      <c r="H297" s="92">
        <f t="shared" si="147"/>
        <v>49163.963793103452</v>
      </c>
      <c r="I297" s="108">
        <f>SUM(B297:H297)</f>
        <v>296726.8137931035</v>
      </c>
      <c r="J297" s="479">
        <f t="shared" si="144"/>
        <v>42389.544827586215</v>
      </c>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c r="AO297" s="480"/>
      <c r="AP297" s="480"/>
      <c r="AQ297" s="480"/>
      <c r="AR297" s="480"/>
      <c r="AS297" s="480"/>
      <c r="AT297" s="480"/>
      <c r="AU297" s="480"/>
      <c r="AV297" s="480"/>
      <c r="AW297" s="480"/>
      <c r="AX297" s="480"/>
      <c r="AY297" s="480"/>
      <c r="AZ297" s="480"/>
      <c r="BA297" s="480"/>
      <c r="BB297" s="480"/>
      <c r="BC297" s="480"/>
      <c r="BD297" s="480"/>
      <c r="BE297" s="480"/>
      <c r="BF297" s="480"/>
      <c r="BG297" s="480"/>
      <c r="BH297" s="480"/>
    </row>
    <row r="298" spans="1:60" x14ac:dyDescent="0.25">
      <c r="A298" s="77" t="s">
        <v>29</v>
      </c>
      <c r="B298" s="255">
        <f t="shared" ref="B298:H298" si="148">B299*B291</f>
        <v>0</v>
      </c>
      <c r="C298" s="255">
        <f t="shared" si="148"/>
        <v>0</v>
      </c>
      <c r="D298" s="255">
        <f t="shared" si="148"/>
        <v>0</v>
      </c>
      <c r="E298" s="255">
        <f t="shared" si="148"/>
        <v>0</v>
      </c>
      <c r="F298" s="255">
        <f t="shared" si="148"/>
        <v>0</v>
      </c>
      <c r="G298" s="92">
        <f t="shared" si="148"/>
        <v>0</v>
      </c>
      <c r="H298" s="92">
        <f t="shared" si="148"/>
        <v>98327.927586206904</v>
      </c>
      <c r="I298" s="108">
        <f>SUM(B298:H298)</f>
        <v>98327.927586206904</v>
      </c>
      <c r="J298" s="479">
        <f t="shared" si="144"/>
        <v>14046.846798029557</v>
      </c>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c r="AO298" s="480"/>
      <c r="AP298" s="480"/>
      <c r="AQ298" s="480"/>
      <c r="AR298" s="480"/>
      <c r="AS298" s="480"/>
      <c r="AT298" s="480"/>
      <c r="AU298" s="480"/>
      <c r="AV298" s="480"/>
      <c r="AW298" s="480"/>
      <c r="AX298" s="480"/>
      <c r="AY298" s="480"/>
      <c r="AZ298" s="480"/>
      <c r="BA298" s="480"/>
      <c r="BB298" s="480"/>
      <c r="BC298" s="480"/>
      <c r="BD298" s="480"/>
      <c r="BE298" s="480"/>
      <c r="BF298" s="480"/>
      <c r="BG298" s="480"/>
      <c r="BH298" s="480"/>
    </row>
    <row r="299" spans="1:60" x14ac:dyDescent="0.25">
      <c r="A299" s="82" t="s">
        <v>30</v>
      </c>
      <c r="B299" s="222">
        <f>(3658100/1.16)-B300</f>
        <v>3054404.4827586208</v>
      </c>
      <c r="C299" s="222">
        <f>(3701600/1.16)-C300</f>
        <v>3113454.4827586208</v>
      </c>
      <c r="D299" s="222">
        <f>(5096800/1.16)-D300</f>
        <v>4260183.1034482764</v>
      </c>
      <c r="E299" s="222">
        <f>(3435800/1.16)-E300</f>
        <v>2849836.5517241382</v>
      </c>
      <c r="F299" s="222">
        <f>(3291300/1.16)-F300</f>
        <v>2725267.5862068967</v>
      </c>
      <c r="G299" s="222">
        <f>(5005100/1.16)-G300</f>
        <v>4144496.3793103453</v>
      </c>
      <c r="H299" s="222">
        <f>(5950500/1.16)-H300</f>
        <v>4916396.3793103453</v>
      </c>
      <c r="I299" s="111">
        <f>SUM(I294:I298)</f>
        <v>25064038.965517242</v>
      </c>
      <c r="J299" s="481">
        <f t="shared" si="144"/>
        <v>3580576.9950738917</v>
      </c>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c r="AO299" s="480"/>
      <c r="AP299" s="480"/>
      <c r="AQ299" s="480"/>
      <c r="AR299" s="480"/>
      <c r="AS299" s="480"/>
      <c r="AT299" s="480"/>
      <c r="AU299" s="480"/>
      <c r="AV299" s="480"/>
      <c r="AW299" s="480"/>
      <c r="AX299" s="480"/>
      <c r="AY299" s="480"/>
      <c r="AZ299" s="480"/>
      <c r="BA299" s="480"/>
      <c r="BB299" s="480"/>
      <c r="BC299" s="480"/>
      <c r="BD299" s="480"/>
      <c r="BE299" s="480"/>
      <c r="BF299" s="480"/>
      <c r="BG299" s="480"/>
      <c r="BH299" s="480"/>
    </row>
    <row r="300" spans="1:60" x14ac:dyDescent="0.25">
      <c r="A300" s="77" t="s">
        <v>31</v>
      </c>
      <c r="B300" s="263">
        <f t="shared" ref="B300:H300" si="149">2155*B281</f>
        <v>99130</v>
      </c>
      <c r="C300" s="263">
        <f t="shared" si="149"/>
        <v>77580</v>
      </c>
      <c r="D300" s="263">
        <f t="shared" si="149"/>
        <v>133610</v>
      </c>
      <c r="E300" s="263">
        <f t="shared" si="149"/>
        <v>112060</v>
      </c>
      <c r="F300" s="263">
        <f t="shared" si="149"/>
        <v>112060</v>
      </c>
      <c r="G300" s="94">
        <f t="shared" si="149"/>
        <v>170245</v>
      </c>
      <c r="H300" s="94">
        <f t="shared" si="149"/>
        <v>213345</v>
      </c>
      <c r="I300" s="109">
        <f>I281*2155</f>
        <v>918030</v>
      </c>
      <c r="J300" s="482">
        <f>2155*J281</f>
        <v>131147.14285714284</v>
      </c>
      <c r="K300" s="483"/>
      <c r="L300" s="483"/>
      <c r="M300" s="483"/>
      <c r="N300" s="483"/>
      <c r="O300" s="483"/>
      <c r="P300" s="483"/>
      <c r="Q300" s="483"/>
      <c r="R300" s="483"/>
      <c r="S300" s="483"/>
      <c r="T300" s="483"/>
      <c r="U300" s="483"/>
      <c r="V300" s="483"/>
      <c r="W300" s="483"/>
      <c r="X300" s="483"/>
      <c r="Y300" s="483"/>
      <c r="Z300" s="483"/>
      <c r="AA300" s="483"/>
      <c r="AB300" s="483"/>
      <c r="AC300" s="483"/>
      <c r="AD300" s="483"/>
      <c r="AE300" s="483"/>
      <c r="AF300" s="483"/>
      <c r="AG300" s="483"/>
      <c r="AH300" s="483"/>
      <c r="AI300" s="483"/>
      <c r="AJ300" s="483"/>
      <c r="AK300" s="483"/>
      <c r="AL300" s="483"/>
      <c r="AM300" s="483"/>
      <c r="AN300" s="483"/>
      <c r="AO300" s="483"/>
      <c r="AP300" s="483"/>
      <c r="AQ300" s="483"/>
      <c r="AR300" s="483"/>
      <c r="AS300" s="483"/>
      <c r="AT300" s="483"/>
      <c r="AU300" s="483"/>
      <c r="AV300" s="483"/>
      <c r="AW300" s="483"/>
      <c r="AX300" s="483"/>
      <c r="AY300" s="483"/>
      <c r="AZ300" s="483"/>
      <c r="BA300" s="483"/>
      <c r="BB300" s="483"/>
      <c r="BC300" s="483"/>
      <c r="BD300" s="483"/>
      <c r="BE300" s="483"/>
      <c r="BF300" s="483"/>
      <c r="BG300" s="483"/>
      <c r="BH300" s="483"/>
    </row>
    <row r="301" spans="1:60" x14ac:dyDescent="0.25">
      <c r="A301" s="83" t="s">
        <v>32</v>
      </c>
      <c r="B301" s="411">
        <f t="shared" ref="B301:J301" si="150">B299+B300</f>
        <v>3153534.4827586208</v>
      </c>
      <c r="C301" s="411">
        <f t="shared" si="150"/>
        <v>3191034.4827586208</v>
      </c>
      <c r="D301" s="411">
        <f t="shared" si="150"/>
        <v>4393793.1034482764</v>
      </c>
      <c r="E301" s="411">
        <f t="shared" si="150"/>
        <v>2961896.5517241382</v>
      </c>
      <c r="F301" s="411">
        <f t="shared" si="150"/>
        <v>2837327.5862068967</v>
      </c>
      <c r="G301" s="39">
        <f t="shared" si="150"/>
        <v>4314741.3793103453</v>
      </c>
      <c r="H301" s="39">
        <f t="shared" si="150"/>
        <v>5129741.3793103453</v>
      </c>
      <c r="I301" s="412">
        <f t="shared" si="150"/>
        <v>25982068.965517242</v>
      </c>
      <c r="J301" s="484">
        <f t="shared" si="150"/>
        <v>3711724.1379310344</v>
      </c>
      <c r="K301" s="485"/>
      <c r="L301" s="485"/>
      <c r="M301" s="485"/>
      <c r="N301" s="485"/>
      <c r="O301" s="485"/>
      <c r="P301" s="485"/>
      <c r="Q301" s="485"/>
      <c r="R301" s="485"/>
      <c r="S301" s="485"/>
      <c r="T301" s="485"/>
      <c r="U301" s="485"/>
      <c r="V301" s="485"/>
      <c r="W301" s="485"/>
      <c r="X301" s="485"/>
      <c r="Y301" s="485"/>
      <c r="Z301" s="485"/>
      <c r="AA301" s="485"/>
      <c r="AB301" s="485"/>
      <c r="AC301" s="485"/>
      <c r="AD301" s="485"/>
      <c r="AE301" s="485"/>
      <c r="AF301" s="485"/>
      <c r="AG301" s="485"/>
      <c r="AH301" s="485"/>
      <c r="AI301" s="485"/>
      <c r="AJ301" s="485"/>
      <c r="AK301" s="485"/>
      <c r="AL301" s="485"/>
      <c r="AM301" s="485"/>
      <c r="AN301" s="485"/>
      <c r="AO301" s="485"/>
      <c r="AP301" s="485"/>
      <c r="AQ301" s="485"/>
      <c r="AR301" s="485"/>
      <c r="AS301" s="485"/>
      <c r="AT301" s="485"/>
      <c r="AU301" s="485"/>
      <c r="AV301" s="485"/>
      <c r="AW301" s="485"/>
      <c r="AX301" s="485"/>
      <c r="AY301" s="485"/>
      <c r="AZ301" s="485"/>
      <c r="BA301" s="485"/>
      <c r="BB301" s="485"/>
      <c r="BC301" s="485"/>
      <c r="BD301" s="485"/>
      <c r="BE301" s="485"/>
      <c r="BF301" s="485"/>
      <c r="BG301" s="485"/>
      <c r="BH301" s="485"/>
    </row>
    <row r="302" spans="1:60" x14ac:dyDescent="0.25">
      <c r="A302" s="77" t="s">
        <v>33</v>
      </c>
      <c r="B302" s="413">
        <f t="shared" ref="B302:J302" si="151">B301*16%</f>
        <v>504565.5172413793</v>
      </c>
      <c r="C302" s="413">
        <f t="shared" si="151"/>
        <v>510565.5172413793</v>
      </c>
      <c r="D302" s="413">
        <f t="shared" si="151"/>
        <v>703006.89655172429</v>
      </c>
      <c r="E302" s="413">
        <f t="shared" si="151"/>
        <v>473903.44827586215</v>
      </c>
      <c r="F302" s="413">
        <f t="shared" si="151"/>
        <v>453972.41379310348</v>
      </c>
      <c r="G302" s="41">
        <f t="shared" si="151"/>
        <v>690358.6206896553</v>
      </c>
      <c r="H302" s="41">
        <f t="shared" si="151"/>
        <v>820758.6206896553</v>
      </c>
      <c r="I302" s="414">
        <f t="shared" si="151"/>
        <v>4157131.034482759</v>
      </c>
      <c r="J302" s="486">
        <f t="shared" si="151"/>
        <v>593875.86206896557</v>
      </c>
      <c r="K302" s="487"/>
      <c r="L302" s="487"/>
      <c r="M302" s="487"/>
      <c r="N302" s="487"/>
      <c r="O302" s="487"/>
      <c r="P302" s="487"/>
      <c r="Q302" s="487"/>
      <c r="R302" s="487"/>
      <c r="S302" s="487"/>
      <c r="T302" s="487"/>
      <c r="U302" s="487"/>
      <c r="V302" s="487"/>
      <c r="W302" s="487"/>
      <c r="X302" s="487"/>
      <c r="Y302" s="487"/>
      <c r="Z302" s="487"/>
      <c r="AA302" s="487"/>
      <c r="AB302" s="487"/>
      <c r="AC302" s="487"/>
      <c r="AD302" s="487"/>
      <c r="AE302" s="487"/>
      <c r="AF302" s="487"/>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7"/>
    </row>
    <row r="303" spans="1:60" x14ac:dyDescent="0.25">
      <c r="A303" s="142" t="s">
        <v>34</v>
      </c>
      <c r="B303" s="438">
        <f t="shared" ref="B303:I303" si="152">B301+B302</f>
        <v>3658100</v>
      </c>
      <c r="C303" s="438">
        <f t="shared" si="152"/>
        <v>3701600</v>
      </c>
      <c r="D303" s="438">
        <f t="shared" si="152"/>
        <v>5096800.0000000009</v>
      </c>
      <c r="E303" s="438">
        <f t="shared" si="152"/>
        <v>3435800.0000000005</v>
      </c>
      <c r="F303" s="438">
        <f t="shared" si="152"/>
        <v>3291300</v>
      </c>
      <c r="G303" s="144">
        <f t="shared" si="152"/>
        <v>5005100.0000000009</v>
      </c>
      <c r="H303" s="144">
        <f t="shared" si="152"/>
        <v>5950500.0000000009</v>
      </c>
      <c r="I303" s="440">
        <f t="shared" si="152"/>
        <v>30139200</v>
      </c>
      <c r="J303" s="488">
        <f>+$I303/7</f>
        <v>4305600</v>
      </c>
      <c r="K303" s="489"/>
      <c r="L303" s="489"/>
      <c r="M303" s="489"/>
      <c r="N303" s="489"/>
      <c r="O303" s="489"/>
      <c r="P303" s="489"/>
      <c r="Q303" s="489"/>
      <c r="R303" s="489"/>
      <c r="S303" s="489"/>
      <c r="T303" s="489"/>
      <c r="U303" s="489"/>
      <c r="V303" s="489"/>
      <c r="W303" s="489"/>
      <c r="X303" s="489"/>
      <c r="Y303" s="489"/>
      <c r="Z303" s="489"/>
      <c r="AA303" s="489"/>
      <c r="AB303" s="489"/>
      <c r="AC303" s="489"/>
      <c r="AD303" s="489"/>
      <c r="AE303" s="489"/>
      <c r="AF303" s="489"/>
      <c r="AG303" s="489"/>
      <c r="AH303" s="489"/>
      <c r="AI303" s="489"/>
      <c r="AJ303" s="489"/>
      <c r="AK303" s="489"/>
      <c r="AL303" s="489"/>
      <c r="AM303" s="489"/>
      <c r="AN303" s="489"/>
      <c r="AO303" s="489"/>
      <c r="AP303" s="489"/>
      <c r="AQ303" s="489"/>
      <c r="AR303" s="489"/>
      <c r="AS303" s="489"/>
      <c r="AT303" s="489"/>
      <c r="AU303" s="489"/>
      <c r="AV303" s="489"/>
      <c r="AW303" s="489"/>
      <c r="AX303" s="489"/>
      <c r="AY303" s="489"/>
      <c r="AZ303" s="489"/>
      <c r="BA303" s="489"/>
      <c r="BB303" s="489"/>
      <c r="BC303" s="489"/>
      <c r="BD303" s="489"/>
      <c r="BE303" s="489"/>
      <c r="BF303" s="489"/>
      <c r="BG303" s="489"/>
      <c r="BH303" s="489"/>
    </row>
    <row r="305" spans="1:10" ht="26.25" x14ac:dyDescent="0.25">
      <c r="A305" s="85"/>
      <c r="B305" s="1002" t="s">
        <v>122</v>
      </c>
      <c r="C305" s="1002"/>
      <c r="D305" s="1002"/>
      <c r="E305" s="1002"/>
      <c r="F305" s="1002"/>
      <c r="G305" s="1002"/>
      <c r="H305" s="1002"/>
      <c r="I305" s="1002"/>
    </row>
    <row r="306" spans="1:10" ht="15.75" x14ac:dyDescent="0.25">
      <c r="A306" s="72" t="s">
        <v>2</v>
      </c>
      <c r="B306" s="121" t="s">
        <v>123</v>
      </c>
      <c r="C306" s="121" t="s">
        <v>124</v>
      </c>
      <c r="D306" s="121" t="s">
        <v>125</v>
      </c>
      <c r="E306" s="121" t="s">
        <v>126</v>
      </c>
      <c r="F306" s="121" t="s">
        <v>127</v>
      </c>
      <c r="G306" s="121" t="s">
        <v>128</v>
      </c>
      <c r="H306" s="121" t="s">
        <v>272</v>
      </c>
      <c r="I306" s="153" t="s">
        <v>10</v>
      </c>
      <c r="J306" s="490" t="s">
        <v>77</v>
      </c>
    </row>
    <row r="307" spans="1:10" x14ac:dyDescent="0.25">
      <c r="A307" s="430" t="s">
        <v>11</v>
      </c>
      <c r="B307" s="433">
        <v>115</v>
      </c>
      <c r="C307" s="75">
        <v>115</v>
      </c>
      <c r="D307" s="75">
        <v>138</v>
      </c>
      <c r="E307" s="75">
        <v>149</v>
      </c>
      <c r="F307" s="75">
        <v>287</v>
      </c>
      <c r="G307" s="75">
        <v>236</v>
      </c>
      <c r="H307" s="75">
        <v>210</v>
      </c>
      <c r="I307" s="467">
        <f t="shared" ref="I307:I312" si="153">SUM(B307:H307)</f>
        <v>1250</v>
      </c>
      <c r="J307" s="468">
        <f>+$I307/7</f>
        <v>178.57142857142858</v>
      </c>
    </row>
    <row r="308" spans="1:10" x14ac:dyDescent="0.25">
      <c r="A308" s="77" t="s">
        <v>12</v>
      </c>
      <c r="B308" s="233">
        <v>54</v>
      </c>
      <c r="C308" s="13">
        <v>42</v>
      </c>
      <c r="D308" s="13">
        <v>61</v>
      </c>
      <c r="E308" s="13">
        <v>57</v>
      </c>
      <c r="F308" s="13">
        <v>108</v>
      </c>
      <c r="G308" s="13">
        <v>110</v>
      </c>
      <c r="H308" s="13">
        <v>118</v>
      </c>
      <c r="I308" s="11">
        <f t="shared" si="153"/>
        <v>550</v>
      </c>
      <c r="J308" s="470">
        <f t="shared" ref="J308:J313" si="154">+$I308/7</f>
        <v>78.571428571428569</v>
      </c>
    </row>
    <row r="309" spans="1:10" x14ac:dyDescent="0.25">
      <c r="A309" s="77" t="s">
        <v>13</v>
      </c>
      <c r="B309" s="233">
        <v>2</v>
      </c>
      <c r="C309" s="13">
        <v>1</v>
      </c>
      <c r="D309" s="13">
        <v>2</v>
      </c>
      <c r="E309" s="13">
        <v>1</v>
      </c>
      <c r="F309" s="13">
        <v>3</v>
      </c>
      <c r="G309" s="13">
        <v>4</v>
      </c>
      <c r="H309" s="13">
        <v>3</v>
      </c>
      <c r="I309" s="11">
        <f t="shared" si="153"/>
        <v>16</v>
      </c>
      <c r="J309" s="470">
        <f t="shared" si="154"/>
        <v>2.2857142857142856</v>
      </c>
    </row>
    <row r="310" spans="1:10" x14ac:dyDescent="0.25">
      <c r="A310" s="77" t="s">
        <v>14</v>
      </c>
      <c r="B310" s="233">
        <v>40</v>
      </c>
      <c r="C310" s="13">
        <v>49</v>
      </c>
      <c r="D310" s="13">
        <v>56</v>
      </c>
      <c r="E310" s="13">
        <v>59</v>
      </c>
      <c r="F310" s="13">
        <v>114</v>
      </c>
      <c r="G310" s="13">
        <v>81</v>
      </c>
      <c r="H310" s="13">
        <v>52</v>
      </c>
      <c r="I310" s="11">
        <f t="shared" si="153"/>
        <v>451</v>
      </c>
      <c r="J310" s="470">
        <f t="shared" si="154"/>
        <v>64.428571428571431</v>
      </c>
    </row>
    <row r="311" spans="1:10" x14ac:dyDescent="0.25">
      <c r="A311" s="77" t="s">
        <v>15</v>
      </c>
      <c r="B311" s="233">
        <v>1</v>
      </c>
      <c r="C311" s="13">
        <v>0</v>
      </c>
      <c r="D311" s="13">
        <v>0</v>
      </c>
      <c r="E311" s="13">
        <v>0</v>
      </c>
      <c r="F311" s="13">
        <v>0</v>
      </c>
      <c r="G311" s="13">
        <v>1</v>
      </c>
      <c r="H311" s="13">
        <v>0</v>
      </c>
      <c r="I311" s="11">
        <f t="shared" si="153"/>
        <v>2</v>
      </c>
      <c r="J311" s="470">
        <f t="shared" si="154"/>
        <v>0.2857142857142857</v>
      </c>
    </row>
    <row r="312" spans="1:10" x14ac:dyDescent="0.25">
      <c r="A312" s="77" t="s">
        <v>16</v>
      </c>
      <c r="B312" s="233">
        <v>0</v>
      </c>
      <c r="C312" s="13">
        <v>0</v>
      </c>
      <c r="D312" s="13">
        <v>0</v>
      </c>
      <c r="E312" s="13">
        <v>0</v>
      </c>
      <c r="F312" s="13">
        <v>0</v>
      </c>
      <c r="G312" s="13">
        <v>0</v>
      </c>
      <c r="H312" s="13">
        <v>0</v>
      </c>
      <c r="I312" s="11">
        <f t="shared" si="153"/>
        <v>0</v>
      </c>
      <c r="J312" s="470">
        <f t="shared" si="154"/>
        <v>0</v>
      </c>
    </row>
    <row r="313" spans="1:10" x14ac:dyDescent="0.25">
      <c r="A313" s="79" t="s">
        <v>17</v>
      </c>
      <c r="B313" s="102">
        <f t="shared" ref="B313:I313" si="155">SUM(B308:B312)</f>
        <v>97</v>
      </c>
      <c r="C313" s="102">
        <f t="shared" si="155"/>
        <v>92</v>
      </c>
      <c r="D313" s="102">
        <f t="shared" si="155"/>
        <v>119</v>
      </c>
      <c r="E313" s="102">
        <f t="shared" si="155"/>
        <v>117</v>
      </c>
      <c r="F313" s="102">
        <f t="shared" si="155"/>
        <v>225</v>
      </c>
      <c r="G313" s="79">
        <f t="shared" si="155"/>
        <v>196</v>
      </c>
      <c r="H313" s="79">
        <f t="shared" si="155"/>
        <v>173</v>
      </c>
      <c r="I313" s="472">
        <f t="shared" si="155"/>
        <v>1019</v>
      </c>
      <c r="J313" s="473">
        <f t="shared" si="154"/>
        <v>145.57142857142858</v>
      </c>
    </row>
    <row r="314" spans="1:10" x14ac:dyDescent="0.25">
      <c r="A314" s="77" t="s">
        <v>18</v>
      </c>
      <c r="B314" s="234">
        <v>0.65</v>
      </c>
      <c r="C314" s="235">
        <v>0.52</v>
      </c>
      <c r="D314" s="235">
        <v>0.59</v>
      </c>
      <c r="E314" s="236">
        <v>0.56000000000000005</v>
      </c>
      <c r="F314" s="236">
        <v>0.52</v>
      </c>
      <c r="G314" s="236">
        <v>0.57999999999999996</v>
      </c>
      <c r="H314" s="236">
        <v>0.7</v>
      </c>
      <c r="I314" s="18">
        <f>I321/I326</f>
        <v>0.58660070522840391</v>
      </c>
      <c r="J314" s="475">
        <f>J321/J326</f>
        <v>0.5866007052284038</v>
      </c>
    </row>
    <row r="315" spans="1:10" x14ac:dyDescent="0.25">
      <c r="A315" s="77" t="s">
        <v>19</v>
      </c>
      <c r="B315" s="234">
        <v>0.01</v>
      </c>
      <c r="C315" s="235">
        <v>0.01</v>
      </c>
      <c r="D315" s="235">
        <v>0.02</v>
      </c>
      <c r="E315" s="236">
        <v>0.01</v>
      </c>
      <c r="F315" s="236">
        <v>0.01</v>
      </c>
      <c r="G315" s="236">
        <v>0.02</v>
      </c>
      <c r="H315" s="236">
        <v>0.03</v>
      </c>
      <c r="I315" s="18">
        <f>I322/I326</f>
        <v>1.6503238881730026E-2</v>
      </c>
      <c r="J315" s="475">
        <f>J322/J326</f>
        <v>1.6503238881730026E-2</v>
      </c>
    </row>
    <row r="316" spans="1:10" x14ac:dyDescent="0.25">
      <c r="A316" s="77" t="s">
        <v>20</v>
      </c>
      <c r="B316" s="234">
        <v>0.33</v>
      </c>
      <c r="C316" s="235">
        <v>0.47</v>
      </c>
      <c r="D316" s="235">
        <v>0.39</v>
      </c>
      <c r="E316" s="236">
        <v>0.43</v>
      </c>
      <c r="F316" s="236">
        <v>0.47</v>
      </c>
      <c r="G316" s="236">
        <v>0.4</v>
      </c>
      <c r="H316" s="236">
        <v>0.27</v>
      </c>
      <c r="I316" s="18">
        <f>I323/I326</f>
        <v>0.3959923082959475</v>
      </c>
      <c r="J316" s="475">
        <f>J323/J326</f>
        <v>0.3959923082959475</v>
      </c>
    </row>
    <row r="317" spans="1:10" x14ac:dyDescent="0.25">
      <c r="A317" s="77" t="s">
        <v>21</v>
      </c>
      <c r="B317" s="234">
        <v>0.01</v>
      </c>
      <c r="C317" s="235">
        <v>0</v>
      </c>
      <c r="D317" s="235">
        <v>0</v>
      </c>
      <c r="E317" s="236">
        <v>0</v>
      </c>
      <c r="F317" s="236">
        <v>0</v>
      </c>
      <c r="G317" s="236">
        <v>0</v>
      </c>
      <c r="H317" s="236">
        <v>0</v>
      </c>
      <c r="I317" s="18">
        <f>I324/I326</f>
        <v>9.0374759391860179E-4</v>
      </c>
      <c r="J317" s="475">
        <f>J324/J326</f>
        <v>9.0374759391860179E-4</v>
      </c>
    </row>
    <row r="318" spans="1:10" x14ac:dyDescent="0.25">
      <c r="A318" s="77" t="s">
        <v>22</v>
      </c>
      <c r="B318" s="234">
        <v>0</v>
      </c>
      <c r="C318" s="235">
        <v>0</v>
      </c>
      <c r="D318" s="235">
        <v>0</v>
      </c>
      <c r="E318" s="236">
        <v>0</v>
      </c>
      <c r="F318" s="236">
        <v>0</v>
      </c>
      <c r="G318" s="236">
        <v>0</v>
      </c>
      <c r="H318" s="236">
        <v>0</v>
      </c>
      <c r="I318" s="18">
        <f>I325/I326</f>
        <v>0</v>
      </c>
      <c r="J318" s="475">
        <f>J325/J326</f>
        <v>0</v>
      </c>
    </row>
    <row r="319" spans="1:10" x14ac:dyDescent="0.25">
      <c r="A319" s="81" t="s">
        <v>23</v>
      </c>
      <c r="B319" s="409">
        <f t="shared" ref="B319:J319" si="156">B330/B313</f>
        <v>32142.268041237112</v>
      </c>
      <c r="C319" s="409">
        <f t="shared" si="156"/>
        <v>30992.391304347828</v>
      </c>
      <c r="D319" s="409">
        <f t="shared" si="156"/>
        <v>31898.319327731093</v>
      </c>
      <c r="E319" s="409">
        <f t="shared" si="156"/>
        <v>33442.735042735039</v>
      </c>
      <c r="F319" s="409">
        <f t="shared" si="156"/>
        <v>35111.111111111117</v>
      </c>
      <c r="G319" s="130">
        <f t="shared" si="156"/>
        <v>35298.979591836738</v>
      </c>
      <c r="H319" s="130">
        <f t="shared" si="156"/>
        <v>34008.092485549139</v>
      </c>
      <c r="I319" s="359">
        <f t="shared" si="156"/>
        <v>33738.763493621198</v>
      </c>
      <c r="J319" s="477">
        <f t="shared" si="156"/>
        <v>33738.763493621198</v>
      </c>
    </row>
    <row r="320" spans="1:10" x14ac:dyDescent="0.25">
      <c r="A320" s="81" t="s">
        <v>24</v>
      </c>
      <c r="B320" s="409">
        <f t="shared" ref="B320:J320" si="157">B330/B307</f>
        <v>27111.304347826088</v>
      </c>
      <c r="C320" s="409">
        <f t="shared" si="157"/>
        <v>24793.91304347826</v>
      </c>
      <c r="D320" s="409">
        <f t="shared" si="157"/>
        <v>27506.521739130436</v>
      </c>
      <c r="E320" s="409">
        <f t="shared" si="157"/>
        <v>26260.40268456376</v>
      </c>
      <c r="F320" s="409">
        <f t="shared" si="157"/>
        <v>27526.132404181189</v>
      </c>
      <c r="G320" s="130">
        <f t="shared" si="157"/>
        <v>29316.101694915258</v>
      </c>
      <c r="H320" s="130">
        <f t="shared" si="157"/>
        <v>28016.190476190481</v>
      </c>
      <c r="I320" s="359">
        <f t="shared" si="157"/>
        <v>27503.84</v>
      </c>
      <c r="J320" s="477">
        <f t="shared" si="157"/>
        <v>27503.839999999997</v>
      </c>
    </row>
    <row r="321" spans="1:10" x14ac:dyDescent="0.25">
      <c r="A321" s="77" t="s">
        <v>25</v>
      </c>
      <c r="B321" s="255">
        <f t="shared" ref="B321:H321" si="158">B326*B314</f>
        <v>1671402.6034482759</v>
      </c>
      <c r="C321" s="255">
        <f t="shared" si="158"/>
        <v>1231103.7655172416</v>
      </c>
      <c r="D321" s="255">
        <f t="shared" si="158"/>
        <v>1853114.8258620689</v>
      </c>
      <c r="E321" s="255">
        <f t="shared" si="158"/>
        <v>1820150.3310344832</v>
      </c>
      <c r="F321" s="255">
        <f t="shared" si="158"/>
        <v>3420354.510344828</v>
      </c>
      <c r="G321" s="92">
        <f t="shared" si="158"/>
        <v>3321811</v>
      </c>
      <c r="H321" s="92">
        <f t="shared" si="158"/>
        <v>3372324.5862068967</v>
      </c>
      <c r="I321" s="108">
        <f>SUM(B321:H321)</f>
        <v>16690261.622413794</v>
      </c>
      <c r="J321" s="479">
        <f t="shared" ref="J321:J326" si="159">+$I321/7</f>
        <v>2384323.0889162561</v>
      </c>
    </row>
    <row r="322" spans="1:10" x14ac:dyDescent="0.25">
      <c r="A322" s="77" t="s">
        <v>26</v>
      </c>
      <c r="B322" s="255">
        <f t="shared" ref="B322:H322" si="160">B326*B315</f>
        <v>25713.886206896554</v>
      </c>
      <c r="C322" s="255">
        <f t="shared" si="160"/>
        <v>23675.072413793103</v>
      </c>
      <c r="D322" s="255">
        <f t="shared" si="160"/>
        <v>62817.451724137936</v>
      </c>
      <c r="E322" s="255">
        <f t="shared" si="160"/>
        <v>32502.684482758625</v>
      </c>
      <c r="F322" s="255">
        <f t="shared" si="160"/>
        <v>65776.048275862078</v>
      </c>
      <c r="G322" s="92">
        <f t="shared" si="160"/>
        <v>114545.20689655174</v>
      </c>
      <c r="H322" s="92">
        <f t="shared" si="160"/>
        <v>144528.19655172416</v>
      </c>
      <c r="I322" s="108">
        <f>SUM(B322:H322)</f>
        <v>469558.54655172426</v>
      </c>
      <c r="J322" s="479">
        <f t="shared" si="159"/>
        <v>67079.792364532041</v>
      </c>
    </row>
    <row r="323" spans="1:10" x14ac:dyDescent="0.25">
      <c r="A323" s="77" t="s">
        <v>27</v>
      </c>
      <c r="B323" s="255">
        <f t="shared" ref="B323:H323" si="161">B326*B316</f>
        <v>848558.24482758623</v>
      </c>
      <c r="C323" s="255">
        <f t="shared" si="161"/>
        <v>1112728.4034482758</v>
      </c>
      <c r="D323" s="255">
        <f t="shared" si="161"/>
        <v>1224940.3086206897</v>
      </c>
      <c r="E323" s="255">
        <f t="shared" si="161"/>
        <v>1397615.4327586207</v>
      </c>
      <c r="F323" s="255">
        <f t="shared" si="161"/>
        <v>3091474.2689655172</v>
      </c>
      <c r="G323" s="92">
        <f t="shared" si="161"/>
        <v>2290904.1379310349</v>
      </c>
      <c r="H323" s="92">
        <f t="shared" si="161"/>
        <v>1300753.7689655176</v>
      </c>
      <c r="I323" s="108">
        <f>SUM(B323:H323)</f>
        <v>11266974.565517243</v>
      </c>
      <c r="J323" s="479">
        <f t="shared" si="159"/>
        <v>1609567.7950738918</v>
      </c>
    </row>
    <row r="324" spans="1:10" x14ac:dyDescent="0.25">
      <c r="A324" s="77" t="s">
        <v>28</v>
      </c>
      <c r="B324" s="255">
        <f t="shared" ref="B324:H324" si="162">B326*B317</f>
        <v>25713.886206896554</v>
      </c>
      <c r="C324" s="255">
        <f t="shared" si="162"/>
        <v>0</v>
      </c>
      <c r="D324" s="255">
        <f t="shared" si="162"/>
        <v>0</v>
      </c>
      <c r="E324" s="255">
        <f t="shared" si="162"/>
        <v>0</v>
      </c>
      <c r="F324" s="255">
        <f t="shared" si="162"/>
        <v>0</v>
      </c>
      <c r="G324" s="92">
        <f t="shared" si="162"/>
        <v>0</v>
      </c>
      <c r="H324" s="92">
        <f t="shared" si="162"/>
        <v>0</v>
      </c>
      <c r="I324" s="108">
        <f>SUM(B324:H324)</f>
        <v>25713.886206896554</v>
      </c>
      <c r="J324" s="479">
        <f t="shared" si="159"/>
        <v>3673.4123152709362</v>
      </c>
    </row>
    <row r="325" spans="1:10" x14ac:dyDescent="0.25">
      <c r="A325" s="77" t="s">
        <v>29</v>
      </c>
      <c r="B325" s="255">
        <f t="shared" ref="B325:H325" si="163">B326*B318</f>
        <v>0</v>
      </c>
      <c r="C325" s="255">
        <f t="shared" si="163"/>
        <v>0</v>
      </c>
      <c r="D325" s="255">
        <f t="shared" si="163"/>
        <v>0</v>
      </c>
      <c r="E325" s="255">
        <f t="shared" si="163"/>
        <v>0</v>
      </c>
      <c r="F325" s="255">
        <f t="shared" si="163"/>
        <v>0</v>
      </c>
      <c r="G325" s="92">
        <f t="shared" si="163"/>
        <v>0</v>
      </c>
      <c r="H325" s="92">
        <f t="shared" si="163"/>
        <v>0</v>
      </c>
      <c r="I325" s="108">
        <f>SUM(B325:H325)</f>
        <v>0</v>
      </c>
      <c r="J325" s="479">
        <f t="shared" si="159"/>
        <v>0</v>
      </c>
    </row>
    <row r="326" spans="1:10" x14ac:dyDescent="0.25">
      <c r="A326" s="82" t="s">
        <v>30</v>
      </c>
      <c r="B326" s="222">
        <f>(3117800/1.16)-B327</f>
        <v>2571388.6206896552</v>
      </c>
      <c r="C326" s="222">
        <f>(2851300/1.16)-C327</f>
        <v>2367507.2413793104</v>
      </c>
      <c r="D326" s="222">
        <f>(3795900/1.16)-D327</f>
        <v>3140872.5862068967</v>
      </c>
      <c r="E326" s="222">
        <f>(3912800/1.16)-E327</f>
        <v>3250268.4482758623</v>
      </c>
      <c r="F326" s="222">
        <f>(7900000/1.16)-F327</f>
        <v>6577604.8275862075</v>
      </c>
      <c r="G326" s="222">
        <f>(6918600/1.16)-G327</f>
        <v>5727260.3448275868</v>
      </c>
      <c r="H326" s="222">
        <f>(5883400/1.16)-H327</f>
        <v>4817606.5517241387</v>
      </c>
      <c r="I326" s="111">
        <f>SUM(I321:I325)</f>
        <v>28452508.620689657</v>
      </c>
      <c r="J326" s="481">
        <f t="shared" si="159"/>
        <v>4064644.0886699511</v>
      </c>
    </row>
    <row r="327" spans="1:10" x14ac:dyDescent="0.25">
      <c r="A327" s="77" t="s">
        <v>31</v>
      </c>
      <c r="B327" s="263">
        <f t="shared" ref="B327:H327" si="164">2155*B308</f>
        <v>116370</v>
      </c>
      <c r="C327" s="263">
        <f t="shared" si="164"/>
        <v>90510</v>
      </c>
      <c r="D327" s="263">
        <f t="shared" si="164"/>
        <v>131455</v>
      </c>
      <c r="E327" s="263">
        <f t="shared" si="164"/>
        <v>122835</v>
      </c>
      <c r="F327" s="263">
        <f t="shared" si="164"/>
        <v>232740</v>
      </c>
      <c r="G327" s="94">
        <f t="shared" si="164"/>
        <v>237050</v>
      </c>
      <c r="H327" s="94">
        <f t="shared" si="164"/>
        <v>254290</v>
      </c>
      <c r="I327" s="109">
        <f>I308*2155</f>
        <v>1185250</v>
      </c>
      <c r="J327" s="482">
        <f>2155*J308</f>
        <v>169321.42857142858</v>
      </c>
    </row>
    <row r="328" spans="1:10" x14ac:dyDescent="0.25">
      <c r="A328" s="83" t="s">
        <v>32</v>
      </c>
      <c r="B328" s="411">
        <f t="shared" ref="B328:J328" si="165">B326+B327</f>
        <v>2687758.6206896552</v>
      </c>
      <c r="C328" s="411">
        <f t="shared" si="165"/>
        <v>2458017.2413793104</v>
      </c>
      <c r="D328" s="411">
        <f t="shared" si="165"/>
        <v>3272327.5862068967</v>
      </c>
      <c r="E328" s="411">
        <f t="shared" si="165"/>
        <v>3373103.4482758623</v>
      </c>
      <c r="F328" s="411">
        <f t="shared" si="165"/>
        <v>6810344.8275862075</v>
      </c>
      <c r="G328" s="39">
        <f t="shared" si="165"/>
        <v>5964310.3448275868</v>
      </c>
      <c r="H328" s="39">
        <f t="shared" si="165"/>
        <v>5071896.5517241387</v>
      </c>
      <c r="I328" s="412">
        <f t="shared" si="165"/>
        <v>29637758.620689657</v>
      </c>
      <c r="J328" s="484">
        <f t="shared" si="165"/>
        <v>4233965.5172413792</v>
      </c>
    </row>
    <row r="329" spans="1:10" x14ac:dyDescent="0.25">
      <c r="A329" s="77" t="s">
        <v>33</v>
      </c>
      <c r="B329" s="413">
        <f t="shared" ref="B329:J329" si="166">B328*16%</f>
        <v>430041.37931034481</v>
      </c>
      <c r="C329" s="413">
        <f t="shared" si="166"/>
        <v>393282.75862068968</v>
      </c>
      <c r="D329" s="413">
        <f t="shared" si="166"/>
        <v>523572.41379310348</v>
      </c>
      <c r="E329" s="413">
        <f t="shared" si="166"/>
        <v>539696.55172413797</v>
      </c>
      <c r="F329" s="413">
        <f t="shared" si="166"/>
        <v>1089655.1724137932</v>
      </c>
      <c r="G329" s="41">
        <f t="shared" si="166"/>
        <v>954289.65517241391</v>
      </c>
      <c r="H329" s="41">
        <f t="shared" si="166"/>
        <v>811503.44827586226</v>
      </c>
      <c r="I329" s="414">
        <f t="shared" si="166"/>
        <v>4742041.3793103453</v>
      </c>
      <c r="J329" s="486">
        <f t="shared" si="166"/>
        <v>677434.48275862064</v>
      </c>
    </row>
    <row r="330" spans="1:10" x14ac:dyDescent="0.25">
      <c r="A330" s="142" t="s">
        <v>34</v>
      </c>
      <c r="B330" s="438">
        <f t="shared" ref="B330:I330" si="167">B328+B329</f>
        <v>3117800</v>
      </c>
      <c r="C330" s="438">
        <f t="shared" si="167"/>
        <v>2851300</v>
      </c>
      <c r="D330" s="438">
        <f t="shared" si="167"/>
        <v>3795900</v>
      </c>
      <c r="E330" s="438">
        <f t="shared" si="167"/>
        <v>3912800</v>
      </c>
      <c r="F330" s="438">
        <f t="shared" si="167"/>
        <v>7900000.0000000009</v>
      </c>
      <c r="G330" s="144">
        <f t="shared" si="167"/>
        <v>6918600.0000000009</v>
      </c>
      <c r="H330" s="144">
        <f t="shared" si="167"/>
        <v>5883400.0000000009</v>
      </c>
      <c r="I330" s="440">
        <f t="shared" si="167"/>
        <v>34379800</v>
      </c>
      <c r="J330" s="488">
        <f>+$I330/7</f>
        <v>4911400</v>
      </c>
    </row>
    <row r="332" spans="1:10" ht="26.25" x14ac:dyDescent="0.25">
      <c r="A332" s="85"/>
      <c r="B332" s="1002" t="s">
        <v>130</v>
      </c>
      <c r="C332" s="1002"/>
      <c r="D332" s="1002"/>
      <c r="E332" s="1002"/>
      <c r="F332" s="1002"/>
      <c r="G332" s="1002"/>
      <c r="H332" s="1002"/>
      <c r="I332" s="1002"/>
    </row>
    <row r="333" spans="1:10" ht="15.75" x14ac:dyDescent="0.25">
      <c r="A333" s="72" t="s">
        <v>2</v>
      </c>
      <c r="B333" s="121" t="s">
        <v>274</v>
      </c>
      <c r="C333" s="121" t="s">
        <v>275</v>
      </c>
      <c r="D333" s="121" t="s">
        <v>276</v>
      </c>
      <c r="E333" s="121" t="s">
        <v>277</v>
      </c>
      <c r="F333" s="121" t="s">
        <v>278</v>
      </c>
      <c r="G333" s="121" t="s">
        <v>279</v>
      </c>
      <c r="H333" s="121" t="s">
        <v>280</v>
      </c>
      <c r="I333" s="153" t="s">
        <v>10</v>
      </c>
      <c r="J333" s="490" t="s">
        <v>77</v>
      </c>
    </row>
    <row r="334" spans="1:10" x14ac:dyDescent="0.25">
      <c r="A334" s="430" t="s">
        <v>11</v>
      </c>
      <c r="B334" s="433">
        <v>111</v>
      </c>
      <c r="C334" s="75">
        <v>109</v>
      </c>
      <c r="D334" s="75">
        <v>124</v>
      </c>
      <c r="E334" s="75">
        <v>120</v>
      </c>
      <c r="F334" s="75">
        <v>270</v>
      </c>
      <c r="G334" s="75">
        <v>234</v>
      </c>
      <c r="H334" s="75">
        <v>187</v>
      </c>
      <c r="I334" s="467">
        <f t="shared" ref="I334:I339" si="168">SUM(B334:H334)</f>
        <v>1155</v>
      </c>
      <c r="J334" s="468">
        <f>+$I334/7</f>
        <v>165</v>
      </c>
    </row>
    <row r="335" spans="1:10" x14ac:dyDescent="0.25">
      <c r="A335" s="77" t="s">
        <v>12</v>
      </c>
      <c r="B335" s="233">
        <v>47</v>
      </c>
      <c r="C335" s="13">
        <v>48</v>
      </c>
      <c r="D335" s="13">
        <v>39</v>
      </c>
      <c r="E335" s="13">
        <v>50</v>
      </c>
      <c r="F335" s="13">
        <v>111</v>
      </c>
      <c r="G335" s="13">
        <v>119</v>
      </c>
      <c r="H335" s="13">
        <v>103</v>
      </c>
      <c r="I335" s="11">
        <f t="shared" si="168"/>
        <v>517</v>
      </c>
      <c r="J335" s="470">
        <f t="shared" ref="J335:J340" si="169">+$I335/7</f>
        <v>73.857142857142861</v>
      </c>
    </row>
    <row r="336" spans="1:10" x14ac:dyDescent="0.25">
      <c r="A336" s="77" t="s">
        <v>13</v>
      </c>
      <c r="B336" s="233">
        <v>0</v>
      </c>
      <c r="C336" s="13">
        <v>1</v>
      </c>
      <c r="D336" s="13">
        <v>3</v>
      </c>
      <c r="E336" s="13">
        <v>1</v>
      </c>
      <c r="F336" s="13">
        <v>1</v>
      </c>
      <c r="G336" s="13">
        <v>3</v>
      </c>
      <c r="H336" s="13">
        <v>3</v>
      </c>
      <c r="I336" s="11">
        <f t="shared" si="168"/>
        <v>12</v>
      </c>
      <c r="J336" s="470">
        <f t="shared" si="169"/>
        <v>1.7142857142857142</v>
      </c>
    </row>
    <row r="337" spans="1:10" x14ac:dyDescent="0.25">
      <c r="A337" s="77" t="s">
        <v>14</v>
      </c>
      <c r="B337" s="233">
        <v>46</v>
      </c>
      <c r="C337" s="13">
        <v>47</v>
      </c>
      <c r="D337" s="13">
        <v>71</v>
      </c>
      <c r="E337" s="13">
        <v>46</v>
      </c>
      <c r="F337" s="13">
        <v>108</v>
      </c>
      <c r="G337" s="13">
        <v>64</v>
      </c>
      <c r="H337" s="13">
        <v>41</v>
      </c>
      <c r="I337" s="11">
        <f t="shared" si="168"/>
        <v>423</v>
      </c>
      <c r="J337" s="470">
        <f t="shared" si="169"/>
        <v>60.428571428571431</v>
      </c>
    </row>
    <row r="338" spans="1:10" x14ac:dyDescent="0.25">
      <c r="A338" s="77" t="s">
        <v>15</v>
      </c>
      <c r="B338" s="233">
        <v>5</v>
      </c>
      <c r="C338" s="13">
        <v>0</v>
      </c>
      <c r="D338" s="13">
        <v>0</v>
      </c>
      <c r="E338" s="13">
        <v>6</v>
      </c>
      <c r="F338" s="13">
        <v>0</v>
      </c>
      <c r="G338" s="13">
        <v>0</v>
      </c>
      <c r="H338" s="13">
        <v>7</v>
      </c>
      <c r="I338" s="11">
        <f t="shared" si="168"/>
        <v>18</v>
      </c>
      <c r="J338" s="470">
        <f t="shared" si="169"/>
        <v>2.5714285714285716</v>
      </c>
    </row>
    <row r="339" spans="1:10" x14ac:dyDescent="0.25">
      <c r="A339" s="77" t="s">
        <v>16</v>
      </c>
      <c r="B339" s="233">
        <v>0</v>
      </c>
      <c r="C339" s="13">
        <v>0</v>
      </c>
      <c r="D339" s="13">
        <v>0</v>
      </c>
      <c r="E339" s="13">
        <v>0</v>
      </c>
      <c r="F339" s="13">
        <v>0</v>
      </c>
      <c r="G339" s="13">
        <v>0</v>
      </c>
      <c r="H339" s="13">
        <v>1</v>
      </c>
      <c r="I339" s="11">
        <f t="shared" si="168"/>
        <v>1</v>
      </c>
      <c r="J339" s="470">
        <f t="shared" si="169"/>
        <v>0.14285714285714285</v>
      </c>
    </row>
    <row r="340" spans="1:10" x14ac:dyDescent="0.25">
      <c r="A340" s="79" t="s">
        <v>17</v>
      </c>
      <c r="B340" s="102">
        <f t="shared" ref="B340:I340" si="170">SUM(B335:B339)</f>
        <v>98</v>
      </c>
      <c r="C340" s="102">
        <f t="shared" si="170"/>
        <v>96</v>
      </c>
      <c r="D340" s="102">
        <f t="shared" si="170"/>
        <v>113</v>
      </c>
      <c r="E340" s="102">
        <f t="shared" si="170"/>
        <v>103</v>
      </c>
      <c r="F340" s="102">
        <f t="shared" si="170"/>
        <v>220</v>
      </c>
      <c r="G340" s="79">
        <f t="shared" si="170"/>
        <v>186</v>
      </c>
      <c r="H340" s="79">
        <f t="shared" si="170"/>
        <v>155</v>
      </c>
      <c r="I340" s="472">
        <f t="shared" si="170"/>
        <v>971</v>
      </c>
      <c r="J340" s="473">
        <f t="shared" si="169"/>
        <v>138.71428571428572</v>
      </c>
    </row>
    <row r="341" spans="1:10" x14ac:dyDescent="0.25">
      <c r="A341" s="77" t="s">
        <v>18</v>
      </c>
      <c r="B341" s="234">
        <v>0.56999999999999995</v>
      </c>
      <c r="C341" s="235">
        <v>0.53</v>
      </c>
      <c r="D341" s="235">
        <v>0.39</v>
      </c>
      <c r="E341" s="236">
        <v>0.56000000000000005</v>
      </c>
      <c r="F341" s="236">
        <v>0.57999999999999996</v>
      </c>
      <c r="G341" s="236">
        <v>0.7</v>
      </c>
      <c r="H341" s="236">
        <v>0.69</v>
      </c>
      <c r="I341" s="18">
        <f>I348/I353</f>
        <v>0.59372504751176791</v>
      </c>
      <c r="J341" s="475">
        <f>J348/J353</f>
        <v>0.59372504751176791</v>
      </c>
    </row>
    <row r="342" spans="1:10" x14ac:dyDescent="0.25">
      <c r="A342" s="77" t="s">
        <v>19</v>
      </c>
      <c r="B342" s="234">
        <v>0</v>
      </c>
      <c r="C342" s="235">
        <v>0.01</v>
      </c>
      <c r="D342" s="235">
        <v>0.02</v>
      </c>
      <c r="E342" s="236">
        <v>0.01</v>
      </c>
      <c r="F342" s="236">
        <v>0</v>
      </c>
      <c r="G342" s="236">
        <v>0.01</v>
      </c>
      <c r="H342" s="236">
        <v>0.02</v>
      </c>
      <c r="I342" s="18">
        <f>I349/I353</f>
        <v>9.3190536998456735E-3</v>
      </c>
      <c r="J342" s="475">
        <f>J349/J353</f>
        <v>9.3190536998456752E-3</v>
      </c>
    </row>
    <row r="343" spans="1:10" x14ac:dyDescent="0.25">
      <c r="A343" s="77" t="s">
        <v>20</v>
      </c>
      <c r="B343" s="234">
        <v>0.39</v>
      </c>
      <c r="C343" s="235">
        <v>0.46</v>
      </c>
      <c r="D343" s="235">
        <v>0.59</v>
      </c>
      <c r="E343" s="236">
        <v>0.37</v>
      </c>
      <c r="F343" s="236">
        <v>0.42</v>
      </c>
      <c r="G343" s="236">
        <v>0.28999999999999998</v>
      </c>
      <c r="H343" s="236">
        <v>0.23</v>
      </c>
      <c r="I343" s="18">
        <f>I350/I353</f>
        <v>0.37742379231541279</v>
      </c>
      <c r="J343" s="475">
        <f>J350/J353</f>
        <v>0.37742379231541279</v>
      </c>
    </row>
    <row r="344" spans="1:10" x14ac:dyDescent="0.25">
      <c r="A344" s="77" t="s">
        <v>21</v>
      </c>
      <c r="B344" s="234">
        <v>0.04</v>
      </c>
      <c r="C344" s="235">
        <v>0</v>
      </c>
      <c r="D344" s="235">
        <v>0</v>
      </c>
      <c r="E344" s="236">
        <v>0.06</v>
      </c>
      <c r="F344" s="236">
        <v>0</v>
      </c>
      <c r="G344" s="236">
        <v>0</v>
      </c>
      <c r="H344" s="236">
        <v>0.05</v>
      </c>
      <c r="I344" s="18">
        <f>I351/I353</f>
        <v>1.7898580476486306E-2</v>
      </c>
      <c r="J344" s="475">
        <f>J351/J353</f>
        <v>1.7898580476486306E-2</v>
      </c>
    </row>
    <row r="345" spans="1:10" x14ac:dyDescent="0.25">
      <c r="A345" s="77" t="s">
        <v>22</v>
      </c>
      <c r="B345" s="234">
        <v>0</v>
      </c>
      <c r="C345" s="235">
        <v>0</v>
      </c>
      <c r="D345" s="235">
        <v>0</v>
      </c>
      <c r="E345" s="236">
        <v>0</v>
      </c>
      <c r="F345" s="236">
        <v>0</v>
      </c>
      <c r="G345" s="236">
        <v>0</v>
      </c>
      <c r="H345" s="236">
        <v>0.01</v>
      </c>
      <c r="I345" s="18">
        <f>I352/I353</f>
        <v>1.6335259964873521E-3</v>
      </c>
      <c r="J345" s="475">
        <f>J352/J353</f>
        <v>1.6335259964873521E-3</v>
      </c>
    </row>
    <row r="346" spans="1:10" x14ac:dyDescent="0.25">
      <c r="A346" s="81" t="s">
        <v>23</v>
      </c>
      <c r="B346" s="409">
        <f t="shared" ref="B346:J346" si="171">B357/B340</f>
        <v>33447.959183673469</v>
      </c>
      <c r="C346" s="409">
        <f t="shared" si="171"/>
        <v>34005.208333333336</v>
      </c>
      <c r="D346" s="409">
        <f t="shared" si="171"/>
        <v>30692.035398230088</v>
      </c>
      <c r="E346" s="409">
        <f t="shared" si="171"/>
        <v>30778.640776699034</v>
      </c>
      <c r="F346" s="409">
        <f t="shared" si="171"/>
        <v>35637.727272727279</v>
      </c>
      <c r="G346" s="130">
        <f t="shared" si="171"/>
        <v>35441.397849462373</v>
      </c>
      <c r="H346" s="130">
        <f t="shared" si="171"/>
        <v>35140.645161290326</v>
      </c>
      <c r="I346" s="359">
        <f t="shared" si="171"/>
        <v>34047.373841400622</v>
      </c>
      <c r="J346" s="477">
        <f t="shared" si="171"/>
        <v>34047.373841400622</v>
      </c>
    </row>
    <row r="347" spans="1:10" x14ac:dyDescent="0.25">
      <c r="A347" s="81" t="s">
        <v>24</v>
      </c>
      <c r="B347" s="409">
        <f t="shared" ref="B347:J347" si="172">B357/B334</f>
        <v>29530.630630630632</v>
      </c>
      <c r="C347" s="409">
        <f t="shared" si="172"/>
        <v>29949.541284403673</v>
      </c>
      <c r="D347" s="409">
        <f t="shared" si="172"/>
        <v>27969.354838709678</v>
      </c>
      <c r="E347" s="409">
        <f t="shared" si="172"/>
        <v>26418.333333333336</v>
      </c>
      <c r="F347" s="409">
        <f t="shared" si="172"/>
        <v>29038.148148148153</v>
      </c>
      <c r="G347" s="130">
        <f t="shared" si="172"/>
        <v>28171.367521367527</v>
      </c>
      <c r="H347" s="130">
        <f t="shared" si="172"/>
        <v>29127.272727272728</v>
      </c>
      <c r="I347" s="359">
        <f t="shared" si="172"/>
        <v>28623.376623376626</v>
      </c>
      <c r="J347" s="477">
        <f t="shared" si="172"/>
        <v>28623.376623376629</v>
      </c>
    </row>
    <row r="348" spans="1:10" x14ac:dyDescent="0.25">
      <c r="A348" s="77" t="s">
        <v>25</v>
      </c>
      <c r="B348" s="255">
        <f t="shared" ref="B348:H348" si="173">B353*B341</f>
        <v>1552959.7913793102</v>
      </c>
      <c r="C348" s="255">
        <f t="shared" si="173"/>
        <v>1436715.5931034486</v>
      </c>
      <c r="D348" s="255">
        <f t="shared" si="173"/>
        <v>1133255.2086206898</v>
      </c>
      <c r="E348" s="255">
        <f t="shared" si="173"/>
        <v>1470101.379310345</v>
      </c>
      <c r="F348" s="255">
        <f t="shared" si="173"/>
        <v>3781411.1</v>
      </c>
      <c r="G348" s="92">
        <f t="shared" si="173"/>
        <v>3798479.8793103448</v>
      </c>
      <c r="H348" s="92">
        <f t="shared" si="173"/>
        <v>3086751.046551724</v>
      </c>
      <c r="I348" s="108">
        <f>SUM(B348:H348)</f>
        <v>16259673.998275865</v>
      </c>
      <c r="J348" s="479">
        <f t="shared" ref="J348:J353" si="174">+$I348/7</f>
        <v>2322810.5711822663</v>
      </c>
    </row>
    <row r="349" spans="1:10" x14ac:dyDescent="0.25">
      <c r="A349" s="77" t="s">
        <v>26</v>
      </c>
      <c r="B349" s="255">
        <f t="shared" ref="B349:H349" si="175">B353*B342</f>
        <v>0</v>
      </c>
      <c r="C349" s="255">
        <f t="shared" si="175"/>
        <v>27107.84137931035</v>
      </c>
      <c r="D349" s="255">
        <f t="shared" si="175"/>
        <v>58115.651724137933</v>
      </c>
      <c r="E349" s="255">
        <f t="shared" si="175"/>
        <v>26251.810344827591</v>
      </c>
      <c r="F349" s="255">
        <f t="shared" si="175"/>
        <v>0</v>
      </c>
      <c r="G349" s="92">
        <f t="shared" si="175"/>
        <v>54263.998275862075</v>
      </c>
      <c r="H349" s="92">
        <f t="shared" si="175"/>
        <v>89471.044827586215</v>
      </c>
      <c r="I349" s="108">
        <f>SUM(B349:H349)</f>
        <v>255210.34655172419</v>
      </c>
      <c r="J349" s="479">
        <f t="shared" si="174"/>
        <v>36458.6209359606</v>
      </c>
    </row>
    <row r="350" spans="1:10" x14ac:dyDescent="0.25">
      <c r="A350" s="77" t="s">
        <v>27</v>
      </c>
      <c r="B350" s="255">
        <f t="shared" ref="B350:H350" si="176">B353*B343</f>
        <v>1062551.4362068966</v>
      </c>
      <c r="C350" s="255">
        <f t="shared" si="176"/>
        <v>1246960.703448276</v>
      </c>
      <c r="D350" s="255">
        <f t="shared" si="176"/>
        <v>1714411.7258620691</v>
      </c>
      <c r="E350" s="255">
        <f t="shared" si="176"/>
        <v>971316.98275862075</v>
      </c>
      <c r="F350" s="255">
        <f t="shared" si="176"/>
        <v>2738263.2103448277</v>
      </c>
      <c r="G350" s="92">
        <f t="shared" si="176"/>
        <v>1573655.9500000002</v>
      </c>
      <c r="H350" s="92">
        <f t="shared" si="176"/>
        <v>1028917.0155172414</v>
      </c>
      <c r="I350" s="108">
        <f>SUM(B350:H350)</f>
        <v>10336077.024137933</v>
      </c>
      <c r="J350" s="479">
        <f t="shared" si="174"/>
        <v>1476582.4320197047</v>
      </c>
    </row>
    <row r="351" spans="1:10" x14ac:dyDescent="0.25">
      <c r="A351" s="77" t="s">
        <v>28</v>
      </c>
      <c r="B351" s="255">
        <f t="shared" ref="B351:H351" si="177">B353*B344</f>
        <v>108979.63448275863</v>
      </c>
      <c r="C351" s="255">
        <f t="shared" si="177"/>
        <v>0</v>
      </c>
      <c r="D351" s="255">
        <f t="shared" si="177"/>
        <v>0</v>
      </c>
      <c r="E351" s="255">
        <f t="shared" si="177"/>
        <v>157510.86206896554</v>
      </c>
      <c r="F351" s="255">
        <f t="shared" si="177"/>
        <v>0</v>
      </c>
      <c r="G351" s="92">
        <f t="shared" si="177"/>
        <v>0</v>
      </c>
      <c r="H351" s="92">
        <f t="shared" si="177"/>
        <v>223677.61206896554</v>
      </c>
      <c r="I351" s="108">
        <f>SUM(B351:H351)</f>
        <v>490168.10862068972</v>
      </c>
      <c r="J351" s="479">
        <f t="shared" si="174"/>
        <v>70024.015517241394</v>
      </c>
    </row>
    <row r="352" spans="1:10" x14ac:dyDescent="0.25">
      <c r="A352" s="77" t="s">
        <v>29</v>
      </c>
      <c r="B352" s="255">
        <f t="shared" ref="B352:H352" si="178">B353*B345</f>
        <v>0</v>
      </c>
      <c r="C352" s="255">
        <f t="shared" si="178"/>
        <v>0</v>
      </c>
      <c r="D352" s="255">
        <f t="shared" si="178"/>
        <v>0</v>
      </c>
      <c r="E352" s="255">
        <f t="shared" si="178"/>
        <v>0</v>
      </c>
      <c r="F352" s="255">
        <f t="shared" si="178"/>
        <v>0</v>
      </c>
      <c r="G352" s="92">
        <f t="shared" si="178"/>
        <v>0</v>
      </c>
      <c r="H352" s="92">
        <f t="shared" si="178"/>
        <v>44735.522413793107</v>
      </c>
      <c r="I352" s="108">
        <f>SUM(B352:H352)</f>
        <v>44735.522413793107</v>
      </c>
      <c r="J352" s="479">
        <f t="shared" si="174"/>
        <v>6390.7889162561578</v>
      </c>
    </row>
    <row r="353" spans="1:10" x14ac:dyDescent="0.25">
      <c r="A353" s="82" t="s">
        <v>30</v>
      </c>
      <c r="B353" s="222">
        <f>(3277900/1.16)-B354</f>
        <v>2724490.8620689656</v>
      </c>
      <c r="C353" s="222">
        <f>(3264500/1.16)-C354</f>
        <v>2710784.1379310349</v>
      </c>
      <c r="D353" s="222">
        <f>(3468200/1.16)-D354</f>
        <v>2905782.5862068967</v>
      </c>
      <c r="E353" s="222">
        <f>(3170200/1.16)-E354</f>
        <v>2625181.034482759</v>
      </c>
      <c r="F353" s="222">
        <f>(7840300/1.16)-F354</f>
        <v>6519674.3103448283</v>
      </c>
      <c r="G353" s="222">
        <f>(6592100/1.16)-G354</f>
        <v>5426399.8275862075</v>
      </c>
      <c r="H353" s="222">
        <f>(5446800/1.16)-H354</f>
        <v>4473552.2413793104</v>
      </c>
      <c r="I353" s="111">
        <f>SUM(I348:I352)</f>
        <v>27385865.000000004</v>
      </c>
      <c r="J353" s="481">
        <f t="shared" si="174"/>
        <v>3912266.4285714291</v>
      </c>
    </row>
    <row r="354" spans="1:10" x14ac:dyDescent="0.25">
      <c r="A354" s="77" t="s">
        <v>31</v>
      </c>
      <c r="B354" s="263">
        <f t="shared" ref="B354:H354" si="179">2155*B335</f>
        <v>101285</v>
      </c>
      <c r="C354" s="263">
        <f t="shared" si="179"/>
        <v>103440</v>
      </c>
      <c r="D354" s="263">
        <f t="shared" si="179"/>
        <v>84045</v>
      </c>
      <c r="E354" s="263">
        <f t="shared" si="179"/>
        <v>107750</v>
      </c>
      <c r="F354" s="263">
        <f t="shared" si="179"/>
        <v>239205</v>
      </c>
      <c r="G354" s="94">
        <f t="shared" si="179"/>
        <v>256445</v>
      </c>
      <c r="H354" s="94">
        <f t="shared" si="179"/>
        <v>221965</v>
      </c>
      <c r="I354" s="109">
        <f>I335*2155</f>
        <v>1114135</v>
      </c>
      <c r="J354" s="482">
        <f>2155*J335</f>
        <v>159162.14285714287</v>
      </c>
    </row>
    <row r="355" spans="1:10" x14ac:dyDescent="0.25">
      <c r="A355" s="83" t="s">
        <v>32</v>
      </c>
      <c r="B355" s="411">
        <f t="shared" ref="B355:J355" si="180">B353+B354</f>
        <v>2825775.8620689656</v>
      </c>
      <c r="C355" s="411">
        <f t="shared" si="180"/>
        <v>2814224.1379310349</v>
      </c>
      <c r="D355" s="411">
        <f t="shared" si="180"/>
        <v>2989827.5862068967</v>
      </c>
      <c r="E355" s="411">
        <f t="shared" si="180"/>
        <v>2732931.034482759</v>
      </c>
      <c r="F355" s="411">
        <f t="shared" si="180"/>
        <v>6758879.3103448283</v>
      </c>
      <c r="G355" s="39">
        <f t="shared" si="180"/>
        <v>5682844.8275862075</v>
      </c>
      <c r="H355" s="39">
        <f t="shared" si="180"/>
        <v>4695517.2413793104</v>
      </c>
      <c r="I355" s="412">
        <f t="shared" si="180"/>
        <v>28500000.000000004</v>
      </c>
      <c r="J355" s="484">
        <f t="shared" si="180"/>
        <v>4071428.5714285718</v>
      </c>
    </row>
    <row r="356" spans="1:10" x14ac:dyDescent="0.25">
      <c r="A356" s="77" t="s">
        <v>33</v>
      </c>
      <c r="B356" s="413">
        <f t="shared" ref="B356:J356" si="181">B355*16%</f>
        <v>452124.13793103449</v>
      </c>
      <c r="C356" s="413">
        <f t="shared" si="181"/>
        <v>450275.86206896557</v>
      </c>
      <c r="D356" s="413">
        <f t="shared" si="181"/>
        <v>478372.41379310348</v>
      </c>
      <c r="E356" s="413">
        <f t="shared" si="181"/>
        <v>437268.96551724145</v>
      </c>
      <c r="F356" s="413">
        <f t="shared" si="181"/>
        <v>1081420.6896551726</v>
      </c>
      <c r="G356" s="41">
        <f t="shared" si="181"/>
        <v>909255.17241379328</v>
      </c>
      <c r="H356" s="41">
        <f t="shared" si="181"/>
        <v>751282.75862068962</v>
      </c>
      <c r="I356" s="414">
        <f t="shared" si="181"/>
        <v>4560000.0000000009</v>
      </c>
      <c r="J356" s="486">
        <f t="shared" si="181"/>
        <v>651428.57142857148</v>
      </c>
    </row>
    <row r="357" spans="1:10" x14ac:dyDescent="0.25">
      <c r="A357" s="142" t="s">
        <v>34</v>
      </c>
      <c r="B357" s="438">
        <f t="shared" ref="B357:I357" si="182">B355+B356</f>
        <v>3277900</v>
      </c>
      <c r="C357" s="438">
        <f t="shared" si="182"/>
        <v>3264500.0000000005</v>
      </c>
      <c r="D357" s="438">
        <f t="shared" si="182"/>
        <v>3468200</v>
      </c>
      <c r="E357" s="438">
        <f t="shared" si="182"/>
        <v>3170200.0000000005</v>
      </c>
      <c r="F357" s="438">
        <f t="shared" si="182"/>
        <v>7840300.0000000009</v>
      </c>
      <c r="G357" s="144">
        <f t="shared" si="182"/>
        <v>6592100.0000000009</v>
      </c>
      <c r="H357" s="144">
        <f t="shared" si="182"/>
        <v>5446800</v>
      </c>
      <c r="I357" s="440">
        <f t="shared" si="182"/>
        <v>33060000.000000004</v>
      </c>
      <c r="J357" s="488">
        <f>+$I357/7</f>
        <v>4722857.1428571437</v>
      </c>
    </row>
    <row r="359" spans="1:10" ht="26.25" x14ac:dyDescent="0.25">
      <c r="A359" s="85"/>
      <c r="B359" s="1002" t="s">
        <v>138</v>
      </c>
      <c r="C359" s="1002"/>
      <c r="D359" s="1002"/>
      <c r="E359" s="1002"/>
      <c r="F359" s="1002"/>
      <c r="G359" s="1002"/>
      <c r="H359" s="1002"/>
      <c r="I359" s="1002"/>
    </row>
    <row r="360" spans="1:10" ht="15.75" x14ac:dyDescent="0.25">
      <c r="A360" s="72" t="s">
        <v>2</v>
      </c>
      <c r="B360" s="121" t="s">
        <v>282</v>
      </c>
      <c r="C360" s="121" t="s">
        <v>4</v>
      </c>
      <c r="D360" s="121" t="s">
        <v>5</v>
      </c>
      <c r="E360" s="121" t="s">
        <v>6</v>
      </c>
      <c r="F360" s="121" t="s">
        <v>7</v>
      </c>
      <c r="G360" s="121" t="s">
        <v>283</v>
      </c>
      <c r="H360" s="121" t="s">
        <v>9</v>
      </c>
      <c r="I360" s="153" t="s">
        <v>10</v>
      </c>
      <c r="J360" s="490" t="s">
        <v>77</v>
      </c>
    </row>
    <row r="361" spans="1:10" x14ac:dyDescent="0.25">
      <c r="A361" s="430" t="s">
        <v>11</v>
      </c>
      <c r="B361" s="433">
        <v>99</v>
      </c>
      <c r="C361" s="75">
        <v>134</v>
      </c>
      <c r="D361" s="75">
        <v>114</v>
      </c>
      <c r="E361" s="75">
        <v>187</v>
      </c>
      <c r="F361" s="75">
        <v>280</v>
      </c>
      <c r="G361" s="75">
        <v>280</v>
      </c>
      <c r="H361" s="75">
        <v>217</v>
      </c>
      <c r="I361" s="467">
        <f t="shared" ref="I361:I366" si="183">SUM(B361:H361)</f>
        <v>1311</v>
      </c>
      <c r="J361" s="468">
        <f>+$I361/7</f>
        <v>187.28571428571428</v>
      </c>
    </row>
    <row r="362" spans="1:10" x14ac:dyDescent="0.25">
      <c r="A362" s="77" t="s">
        <v>12</v>
      </c>
      <c r="B362" s="233">
        <v>32</v>
      </c>
      <c r="C362" s="13">
        <v>46</v>
      </c>
      <c r="D362" s="13">
        <v>38</v>
      </c>
      <c r="E362" s="13">
        <v>82</v>
      </c>
      <c r="F362" s="13">
        <v>123</v>
      </c>
      <c r="G362" s="13">
        <v>132</v>
      </c>
      <c r="H362" s="13">
        <v>127</v>
      </c>
      <c r="I362" s="11">
        <f t="shared" si="183"/>
        <v>580</v>
      </c>
      <c r="J362" s="470">
        <f t="shared" ref="J362:J367" si="184">+$I362/7</f>
        <v>82.857142857142861</v>
      </c>
    </row>
    <row r="363" spans="1:10" x14ac:dyDescent="0.25">
      <c r="A363" s="77" t="s">
        <v>13</v>
      </c>
      <c r="B363" s="233">
        <v>1</v>
      </c>
      <c r="C363" s="13">
        <v>1</v>
      </c>
      <c r="D363" s="13">
        <v>1</v>
      </c>
      <c r="E363" s="13">
        <v>4</v>
      </c>
      <c r="F363" s="13">
        <v>3</v>
      </c>
      <c r="G363" s="13">
        <v>4</v>
      </c>
      <c r="H363" s="13">
        <v>3</v>
      </c>
      <c r="I363" s="11">
        <f t="shared" si="183"/>
        <v>17</v>
      </c>
      <c r="J363" s="470">
        <f t="shared" si="184"/>
        <v>2.4285714285714284</v>
      </c>
    </row>
    <row r="364" spans="1:10" x14ac:dyDescent="0.25">
      <c r="A364" s="77" t="s">
        <v>14</v>
      </c>
      <c r="B364" s="233">
        <v>53</v>
      </c>
      <c r="C364" s="13">
        <v>74</v>
      </c>
      <c r="D364" s="13">
        <v>43</v>
      </c>
      <c r="E364" s="13">
        <v>74</v>
      </c>
      <c r="F364" s="13">
        <v>85</v>
      </c>
      <c r="G364" s="13">
        <v>86</v>
      </c>
      <c r="H364" s="13">
        <v>49</v>
      </c>
      <c r="I364" s="11">
        <f t="shared" si="183"/>
        <v>464</v>
      </c>
      <c r="J364" s="470">
        <f t="shared" si="184"/>
        <v>66.285714285714292</v>
      </c>
    </row>
    <row r="365" spans="1:10" x14ac:dyDescent="0.25">
      <c r="A365" s="77" t="s">
        <v>15</v>
      </c>
      <c r="B365" s="233">
        <v>0</v>
      </c>
      <c r="C365" s="13">
        <v>2</v>
      </c>
      <c r="D365" s="13">
        <v>0</v>
      </c>
      <c r="E365" s="13">
        <v>2</v>
      </c>
      <c r="F365" s="13">
        <v>6</v>
      </c>
      <c r="G365" s="13">
        <v>0</v>
      </c>
      <c r="H365" s="13">
        <v>0</v>
      </c>
      <c r="I365" s="11">
        <f t="shared" si="183"/>
        <v>10</v>
      </c>
      <c r="J365" s="470">
        <f t="shared" si="184"/>
        <v>1.4285714285714286</v>
      </c>
    </row>
    <row r="366" spans="1:10" x14ac:dyDescent="0.25">
      <c r="A366" s="77" t="s">
        <v>16</v>
      </c>
      <c r="B366" s="233">
        <v>0</v>
      </c>
      <c r="C366" s="13">
        <v>0</v>
      </c>
      <c r="D366" s="13">
        <v>0</v>
      </c>
      <c r="E366" s="13">
        <v>0</v>
      </c>
      <c r="F366" s="13">
        <v>0</v>
      </c>
      <c r="G366" s="13">
        <v>1</v>
      </c>
      <c r="H366" s="13">
        <v>0</v>
      </c>
      <c r="I366" s="11">
        <f t="shared" si="183"/>
        <v>1</v>
      </c>
      <c r="J366" s="470">
        <f t="shared" si="184"/>
        <v>0.14285714285714285</v>
      </c>
    </row>
    <row r="367" spans="1:10" x14ac:dyDescent="0.25">
      <c r="A367" s="79" t="s">
        <v>17</v>
      </c>
      <c r="B367" s="102">
        <f t="shared" ref="B367:I367" si="185">SUM(B362:B366)</f>
        <v>86</v>
      </c>
      <c r="C367" s="102">
        <f t="shared" si="185"/>
        <v>123</v>
      </c>
      <c r="D367" s="102">
        <f t="shared" si="185"/>
        <v>82</v>
      </c>
      <c r="E367" s="102">
        <f t="shared" si="185"/>
        <v>162</v>
      </c>
      <c r="F367" s="102">
        <f t="shared" si="185"/>
        <v>217</v>
      </c>
      <c r="G367" s="79">
        <f t="shared" si="185"/>
        <v>223</v>
      </c>
      <c r="H367" s="79">
        <f t="shared" si="185"/>
        <v>179</v>
      </c>
      <c r="I367" s="472">
        <f t="shared" si="185"/>
        <v>1072</v>
      </c>
      <c r="J367" s="473">
        <f t="shared" si="184"/>
        <v>153.14285714285714</v>
      </c>
    </row>
    <row r="368" spans="1:10" x14ac:dyDescent="0.25">
      <c r="A368" s="77" t="s">
        <v>18</v>
      </c>
      <c r="B368" s="234">
        <v>0.44</v>
      </c>
      <c r="C368" s="235">
        <v>0.47</v>
      </c>
      <c r="D368" s="235">
        <v>0.53</v>
      </c>
      <c r="E368" s="236">
        <v>0.57999999999999996</v>
      </c>
      <c r="F368" s="236">
        <v>0.6</v>
      </c>
      <c r="G368" s="236">
        <v>0.61</v>
      </c>
      <c r="H368" s="236">
        <v>0.74</v>
      </c>
      <c r="I368" s="18">
        <f>I375/I380</f>
        <v>0.59238200514986394</v>
      </c>
      <c r="J368" s="475">
        <f>J375/J380</f>
        <v>0.59238200514986394</v>
      </c>
    </row>
    <row r="369" spans="1:10" x14ac:dyDescent="0.25">
      <c r="A369" s="77" t="s">
        <v>19</v>
      </c>
      <c r="B369" s="234">
        <v>0.01</v>
      </c>
      <c r="C369" s="235">
        <v>0.01</v>
      </c>
      <c r="D369" s="235">
        <v>0.01</v>
      </c>
      <c r="E369" s="236">
        <v>0.01</v>
      </c>
      <c r="F369" s="236">
        <v>0.01</v>
      </c>
      <c r="G369" s="236">
        <v>0.01</v>
      </c>
      <c r="H369" s="236">
        <v>0.03</v>
      </c>
      <c r="I369" s="18">
        <f>I376/I380</f>
        <v>1.3346930463464695E-2</v>
      </c>
      <c r="J369" s="475">
        <f>J376/J380</f>
        <v>1.3346930463464695E-2</v>
      </c>
    </row>
    <row r="370" spans="1:10" x14ac:dyDescent="0.25">
      <c r="A370" s="77" t="s">
        <v>20</v>
      </c>
      <c r="B370" s="234">
        <v>0.55000000000000004</v>
      </c>
      <c r="C370" s="235">
        <v>0.48</v>
      </c>
      <c r="D370" s="235">
        <v>0.46</v>
      </c>
      <c r="E370" s="236">
        <v>0.4</v>
      </c>
      <c r="F370" s="236">
        <v>0.36</v>
      </c>
      <c r="G370" s="236">
        <v>0.38</v>
      </c>
      <c r="H370" s="236">
        <v>0.23</v>
      </c>
      <c r="I370" s="18">
        <f>I377/I380</f>
        <v>0.38241179803246428</v>
      </c>
      <c r="J370" s="475">
        <f>J377/J380</f>
        <v>0.38241179803246433</v>
      </c>
    </row>
    <row r="371" spans="1:10" x14ac:dyDescent="0.25">
      <c r="A371" s="77" t="s">
        <v>21</v>
      </c>
      <c r="B371" s="234">
        <v>0</v>
      </c>
      <c r="C371" s="235">
        <v>0.04</v>
      </c>
      <c r="D371" s="235">
        <v>0</v>
      </c>
      <c r="E371" s="236">
        <v>0.01</v>
      </c>
      <c r="F371" s="236">
        <v>0.03</v>
      </c>
      <c r="G371" s="236">
        <v>0</v>
      </c>
      <c r="H371" s="236">
        <v>0</v>
      </c>
      <c r="I371" s="18">
        <f>I378/I380</f>
        <v>1.185926635420716E-2</v>
      </c>
      <c r="J371" s="475">
        <f>J378/J380</f>
        <v>1.1859266354207162E-2</v>
      </c>
    </row>
    <row r="372" spans="1:10" x14ac:dyDescent="0.25">
      <c r="A372" s="77" t="s">
        <v>22</v>
      </c>
      <c r="B372" s="234">
        <v>0</v>
      </c>
      <c r="C372" s="235">
        <v>0</v>
      </c>
      <c r="D372" s="235">
        <v>0</v>
      </c>
      <c r="E372" s="236">
        <v>0</v>
      </c>
      <c r="F372" s="236">
        <v>0</v>
      </c>
      <c r="G372" s="236">
        <v>0</v>
      </c>
      <c r="H372" s="236">
        <v>0</v>
      </c>
      <c r="I372" s="18">
        <f>I379/I380</f>
        <v>0</v>
      </c>
      <c r="J372" s="475">
        <f>J379/J380</f>
        <v>0</v>
      </c>
    </row>
    <row r="373" spans="1:10" x14ac:dyDescent="0.25">
      <c r="A373" s="81" t="s">
        <v>23</v>
      </c>
      <c r="B373" s="409">
        <f t="shared" ref="B373:J373" si="186">B384/B367</f>
        <v>29753.488372093023</v>
      </c>
      <c r="C373" s="409">
        <f t="shared" si="186"/>
        <v>29488.617886178861</v>
      </c>
      <c r="D373" s="409">
        <f t="shared" si="186"/>
        <v>37713.414634146349</v>
      </c>
      <c r="E373" s="409">
        <f t="shared" si="186"/>
        <v>29719.753086419758</v>
      </c>
      <c r="F373" s="409">
        <f t="shared" si="186"/>
        <v>35964.976958525353</v>
      </c>
      <c r="G373" s="130">
        <f t="shared" si="186"/>
        <v>36439.910313901346</v>
      </c>
      <c r="H373" s="130">
        <f t="shared" si="186"/>
        <v>34212.290502793301</v>
      </c>
      <c r="I373" s="359">
        <f t="shared" si="186"/>
        <v>33719.682835820895</v>
      </c>
      <c r="J373" s="477">
        <f t="shared" si="186"/>
        <v>33719.682835820902</v>
      </c>
    </row>
    <row r="374" spans="1:10" x14ac:dyDescent="0.25">
      <c r="A374" s="81" t="s">
        <v>24</v>
      </c>
      <c r="B374" s="409">
        <f t="shared" ref="B374:J374" si="187">B384/B361</f>
        <v>25846.464646464647</v>
      </c>
      <c r="C374" s="409">
        <f t="shared" si="187"/>
        <v>27067.910447761195</v>
      </c>
      <c r="D374" s="409">
        <f t="shared" si="187"/>
        <v>27127.192982456145</v>
      </c>
      <c r="E374" s="409">
        <f t="shared" si="187"/>
        <v>25746.524064171128</v>
      </c>
      <c r="F374" s="409">
        <f t="shared" si="187"/>
        <v>27872.857142857145</v>
      </c>
      <c r="G374" s="130">
        <f t="shared" si="187"/>
        <v>29021.785714285714</v>
      </c>
      <c r="H374" s="130">
        <f t="shared" si="187"/>
        <v>28221.198156682032</v>
      </c>
      <c r="I374" s="359">
        <f t="shared" si="187"/>
        <v>27572.463768115944</v>
      </c>
      <c r="J374" s="477">
        <f t="shared" si="187"/>
        <v>27572.463768115944</v>
      </c>
    </row>
    <row r="375" spans="1:10" x14ac:dyDescent="0.25">
      <c r="A375" s="77" t="s">
        <v>25</v>
      </c>
      <c r="B375" s="255">
        <f t="shared" ref="B375:H375" si="188">B380*B368</f>
        <v>940236.91034482769</v>
      </c>
      <c r="C375" s="255">
        <f t="shared" si="188"/>
        <v>1423009.7620689655</v>
      </c>
      <c r="D375" s="255">
        <f t="shared" si="188"/>
        <v>1369550.8862068967</v>
      </c>
      <c r="E375" s="255">
        <f t="shared" si="188"/>
        <v>2304808.2000000002</v>
      </c>
      <c r="F375" s="255">
        <f t="shared" si="188"/>
        <v>3877719.6206896557</v>
      </c>
      <c r="G375" s="92">
        <f t="shared" si="188"/>
        <v>4099687.15862069</v>
      </c>
      <c r="H375" s="92">
        <f t="shared" si="188"/>
        <v>3704162.7551724142</v>
      </c>
      <c r="I375" s="108">
        <f>SUM(B375:H375)</f>
        <v>17719175.293103449</v>
      </c>
      <c r="J375" s="479">
        <f t="shared" ref="J375:J380" si="189">+$I375/7</f>
        <v>2531310.7561576357</v>
      </c>
    </row>
    <row r="376" spans="1:10" x14ac:dyDescent="0.25">
      <c r="A376" s="77" t="s">
        <v>26</v>
      </c>
      <c r="B376" s="255">
        <f t="shared" ref="B376:H376" si="190">B380*B369</f>
        <v>21369.020689655175</v>
      </c>
      <c r="C376" s="255">
        <f t="shared" si="190"/>
        <v>30276.803448275863</v>
      </c>
      <c r="D376" s="255">
        <f t="shared" si="190"/>
        <v>25840.582758620694</v>
      </c>
      <c r="E376" s="255">
        <f t="shared" si="190"/>
        <v>39738.07241379311</v>
      </c>
      <c r="F376" s="255">
        <f t="shared" si="190"/>
        <v>64628.660344827593</v>
      </c>
      <c r="G376" s="92">
        <f t="shared" si="190"/>
        <v>67207.986206896559</v>
      </c>
      <c r="H376" s="92">
        <f t="shared" si="190"/>
        <v>150168.76034482761</v>
      </c>
      <c r="I376" s="108">
        <f>SUM(B376:H376)</f>
        <v>399229.88620689657</v>
      </c>
      <c r="J376" s="479">
        <f t="shared" si="189"/>
        <v>57032.840886699509</v>
      </c>
    </row>
    <row r="377" spans="1:10" x14ac:dyDescent="0.25">
      <c r="A377" s="77" t="s">
        <v>27</v>
      </c>
      <c r="B377" s="255">
        <f t="shared" ref="B377:H377" si="191">B380*B370</f>
        <v>1175296.1379310347</v>
      </c>
      <c r="C377" s="255">
        <f t="shared" si="191"/>
        <v>1453286.5655172414</v>
      </c>
      <c r="D377" s="255">
        <f t="shared" si="191"/>
        <v>1188666.806896552</v>
      </c>
      <c r="E377" s="255">
        <f t="shared" si="191"/>
        <v>1589522.8965517245</v>
      </c>
      <c r="F377" s="255">
        <f t="shared" si="191"/>
        <v>2326631.7724137935</v>
      </c>
      <c r="G377" s="92">
        <f t="shared" si="191"/>
        <v>2553903.4758620691</v>
      </c>
      <c r="H377" s="92">
        <f t="shared" si="191"/>
        <v>1151293.829310345</v>
      </c>
      <c r="I377" s="108">
        <f>SUM(B377:H377)</f>
        <v>11438601.48448276</v>
      </c>
      <c r="J377" s="479">
        <f t="shared" si="189"/>
        <v>1634085.92635468</v>
      </c>
    </row>
    <row r="378" spans="1:10" x14ac:dyDescent="0.25">
      <c r="A378" s="77" t="s">
        <v>28</v>
      </c>
      <c r="B378" s="255">
        <f t="shared" ref="B378:H378" si="192">B380*B371</f>
        <v>0</v>
      </c>
      <c r="C378" s="255">
        <f t="shared" si="192"/>
        <v>121107.21379310345</v>
      </c>
      <c r="D378" s="255">
        <f t="shared" si="192"/>
        <v>0</v>
      </c>
      <c r="E378" s="255">
        <f t="shared" si="192"/>
        <v>39738.07241379311</v>
      </c>
      <c r="F378" s="255">
        <f t="shared" si="192"/>
        <v>193885.98103448277</v>
      </c>
      <c r="G378" s="92">
        <f t="shared" si="192"/>
        <v>0</v>
      </c>
      <c r="H378" s="92">
        <f t="shared" si="192"/>
        <v>0</v>
      </c>
      <c r="I378" s="108">
        <f>SUM(B378:H378)</f>
        <v>354731.26724137936</v>
      </c>
      <c r="J378" s="479">
        <f t="shared" si="189"/>
        <v>50675.895320197051</v>
      </c>
    </row>
    <row r="379" spans="1:10" x14ac:dyDescent="0.25">
      <c r="A379" s="77" t="s">
        <v>29</v>
      </c>
      <c r="B379" s="255">
        <f t="shared" ref="B379:H379" si="193">B380*B372</f>
        <v>0</v>
      </c>
      <c r="C379" s="255">
        <f t="shared" si="193"/>
        <v>0</v>
      </c>
      <c r="D379" s="255">
        <f t="shared" si="193"/>
        <v>0</v>
      </c>
      <c r="E379" s="255">
        <f t="shared" si="193"/>
        <v>0</v>
      </c>
      <c r="F379" s="255">
        <f t="shared" si="193"/>
        <v>0</v>
      </c>
      <c r="G379" s="92">
        <f t="shared" si="193"/>
        <v>0</v>
      </c>
      <c r="H379" s="92">
        <f t="shared" si="193"/>
        <v>0</v>
      </c>
      <c r="I379" s="108">
        <f>SUM(B379:H379)</f>
        <v>0</v>
      </c>
      <c r="J379" s="479">
        <f t="shared" si="189"/>
        <v>0</v>
      </c>
    </row>
    <row r="380" spans="1:10" x14ac:dyDescent="0.25">
      <c r="A380" s="82" t="s">
        <v>30</v>
      </c>
      <c r="B380" s="222">
        <f>(2558800/1.16)-B381</f>
        <v>2136902.0689655175</v>
      </c>
      <c r="C380" s="222">
        <f>(3627100/1.16)-C381</f>
        <v>3027680.3448275863</v>
      </c>
      <c r="D380" s="222">
        <f>(3092500/1.16)-D381</f>
        <v>2584058.2758620693</v>
      </c>
      <c r="E380" s="222">
        <f>(4814600/1.16)-E381</f>
        <v>3973807.2413793108</v>
      </c>
      <c r="F380" s="222">
        <f>(7804400/1.16)-F381</f>
        <v>6462866.0344827594</v>
      </c>
      <c r="G380" s="222">
        <f>(8126100/1.16)-G381</f>
        <v>6720798.6206896557</v>
      </c>
      <c r="H380" s="222">
        <f>(6124000/1.16)-H381</f>
        <v>5005625.3448275868</v>
      </c>
      <c r="I380" s="111">
        <f>SUM(I375:I379)</f>
        <v>29911737.931034483</v>
      </c>
      <c r="J380" s="481">
        <f t="shared" si="189"/>
        <v>4273105.4187192116</v>
      </c>
    </row>
    <row r="381" spans="1:10" x14ac:dyDescent="0.25">
      <c r="A381" s="77" t="s">
        <v>31</v>
      </c>
      <c r="B381" s="263">
        <f t="shared" ref="B381:H381" si="194">2155*B362</f>
        <v>68960</v>
      </c>
      <c r="C381" s="263">
        <f t="shared" si="194"/>
        <v>99130</v>
      </c>
      <c r="D381" s="263">
        <f t="shared" si="194"/>
        <v>81890</v>
      </c>
      <c r="E381" s="263">
        <f t="shared" si="194"/>
        <v>176710</v>
      </c>
      <c r="F381" s="263">
        <f t="shared" si="194"/>
        <v>265065</v>
      </c>
      <c r="G381" s="94">
        <f t="shared" si="194"/>
        <v>284460</v>
      </c>
      <c r="H381" s="94">
        <f t="shared" si="194"/>
        <v>273685</v>
      </c>
      <c r="I381" s="109">
        <f>I362*2155</f>
        <v>1249900</v>
      </c>
      <c r="J381" s="482">
        <f>2155*J362</f>
        <v>178557.14285714287</v>
      </c>
    </row>
    <row r="382" spans="1:10" x14ac:dyDescent="0.25">
      <c r="A382" s="83" t="s">
        <v>32</v>
      </c>
      <c r="B382" s="411">
        <f t="shared" ref="B382:J382" si="195">B380+B381</f>
        <v>2205862.0689655175</v>
      </c>
      <c r="C382" s="411">
        <f t="shared" si="195"/>
        <v>3126810.3448275863</v>
      </c>
      <c r="D382" s="411">
        <f t="shared" si="195"/>
        <v>2665948.2758620693</v>
      </c>
      <c r="E382" s="411">
        <f t="shared" si="195"/>
        <v>4150517.2413793108</v>
      </c>
      <c r="F382" s="411">
        <f t="shared" si="195"/>
        <v>6727931.0344827594</v>
      </c>
      <c r="G382" s="39">
        <f t="shared" si="195"/>
        <v>7005258.6206896557</v>
      </c>
      <c r="H382" s="39">
        <f t="shared" si="195"/>
        <v>5279310.3448275868</v>
      </c>
      <c r="I382" s="412">
        <f t="shared" si="195"/>
        <v>31161637.931034483</v>
      </c>
      <c r="J382" s="484">
        <f t="shared" si="195"/>
        <v>4451662.5615763543</v>
      </c>
    </row>
    <row r="383" spans="1:10" x14ac:dyDescent="0.25">
      <c r="A383" s="77" t="s">
        <v>33</v>
      </c>
      <c r="B383" s="413">
        <f t="shared" ref="B383:J383" si="196">B382*16%</f>
        <v>352937.93103448278</v>
      </c>
      <c r="C383" s="413">
        <f t="shared" si="196"/>
        <v>500289.6551724138</v>
      </c>
      <c r="D383" s="413">
        <f t="shared" si="196"/>
        <v>426551.72413793113</v>
      </c>
      <c r="E383" s="413">
        <f t="shared" si="196"/>
        <v>664082.75862068974</v>
      </c>
      <c r="F383" s="413">
        <f t="shared" si="196"/>
        <v>1076468.9655172415</v>
      </c>
      <c r="G383" s="41">
        <f t="shared" si="196"/>
        <v>1120841.3793103448</v>
      </c>
      <c r="H383" s="41">
        <f t="shared" si="196"/>
        <v>844689.65517241391</v>
      </c>
      <c r="I383" s="414">
        <f t="shared" si="196"/>
        <v>4985862.068965517</v>
      </c>
      <c r="J383" s="486">
        <f t="shared" si="196"/>
        <v>712266.0098522167</v>
      </c>
    </row>
    <row r="384" spans="1:10" x14ac:dyDescent="0.25">
      <c r="A384" s="142" t="s">
        <v>34</v>
      </c>
      <c r="B384" s="438">
        <f t="shared" ref="B384:I384" si="197">B382+B383</f>
        <v>2558800</v>
      </c>
      <c r="C384" s="438">
        <f t="shared" si="197"/>
        <v>3627100</v>
      </c>
      <c r="D384" s="438">
        <f t="shared" si="197"/>
        <v>3092500.0000000005</v>
      </c>
      <c r="E384" s="438">
        <f t="shared" si="197"/>
        <v>4814600.0000000009</v>
      </c>
      <c r="F384" s="438">
        <f t="shared" si="197"/>
        <v>7804400.0000000009</v>
      </c>
      <c r="G384" s="144">
        <f t="shared" si="197"/>
        <v>8126100</v>
      </c>
      <c r="H384" s="144">
        <f t="shared" si="197"/>
        <v>6124000.0000000009</v>
      </c>
      <c r="I384" s="440">
        <f t="shared" si="197"/>
        <v>36147500</v>
      </c>
      <c r="J384" s="488">
        <f>+$I384/7</f>
        <v>5163928.5714285718</v>
      </c>
    </row>
    <row r="386" spans="1:10" ht="26.25" x14ac:dyDescent="0.25">
      <c r="A386" s="85"/>
      <c r="B386" s="1002" t="s">
        <v>146</v>
      </c>
      <c r="C386" s="1002"/>
      <c r="D386" s="1002"/>
      <c r="E386" s="1002"/>
      <c r="F386" s="1002"/>
      <c r="G386" s="1002"/>
      <c r="H386" s="1002"/>
      <c r="I386" s="1002"/>
    </row>
    <row r="387" spans="1:10" ht="15.75" x14ac:dyDescent="0.25">
      <c r="A387" s="72" t="s">
        <v>2</v>
      </c>
      <c r="B387" s="121" t="s">
        <v>285</v>
      </c>
      <c r="C387" s="121" t="s">
        <v>37</v>
      </c>
      <c r="D387" s="121" t="s">
        <v>286</v>
      </c>
      <c r="E387" s="121" t="s">
        <v>39</v>
      </c>
      <c r="F387" s="121" t="s">
        <v>40</v>
      </c>
      <c r="G387" s="121" t="s">
        <v>287</v>
      </c>
      <c r="H387" s="121" t="s">
        <v>42</v>
      </c>
      <c r="I387" s="153" t="s">
        <v>10</v>
      </c>
      <c r="J387" s="490" t="s">
        <v>77</v>
      </c>
    </row>
    <row r="388" spans="1:10" x14ac:dyDescent="0.25">
      <c r="A388" s="430" t="s">
        <v>11</v>
      </c>
      <c r="B388" s="433">
        <f>69+38+13</f>
        <v>120</v>
      </c>
      <c r="C388" s="75">
        <f>56+34+8</f>
        <v>98</v>
      </c>
      <c r="D388" s="75">
        <f>78+36+15</f>
        <v>129</v>
      </c>
      <c r="E388" s="75">
        <f>96+54+10</f>
        <v>160</v>
      </c>
      <c r="F388" s="75">
        <f>154+108+30</f>
        <v>292</v>
      </c>
      <c r="G388" s="75">
        <f>132+93+23</f>
        <v>248</v>
      </c>
      <c r="H388" s="75">
        <f>108+74+31</f>
        <v>213</v>
      </c>
      <c r="I388" s="467">
        <f t="shared" ref="I388:I393" si="198">SUM(B388:H388)</f>
        <v>1260</v>
      </c>
      <c r="J388" s="468">
        <f>+$I388/7</f>
        <v>180</v>
      </c>
    </row>
    <row r="389" spans="1:10" x14ac:dyDescent="0.25">
      <c r="A389" s="77" t="s">
        <v>12</v>
      </c>
      <c r="B389" s="233">
        <v>44</v>
      </c>
      <c r="C389" s="13">
        <v>34</v>
      </c>
      <c r="D389" s="13">
        <v>53</v>
      </c>
      <c r="E389" s="13">
        <v>70</v>
      </c>
      <c r="F389" s="13">
        <v>107</v>
      </c>
      <c r="G389" s="13">
        <v>110</v>
      </c>
      <c r="H389" s="13">
        <v>112</v>
      </c>
      <c r="I389" s="11">
        <f t="shared" si="198"/>
        <v>530</v>
      </c>
      <c r="J389" s="470">
        <f t="shared" ref="J389:J394" si="199">+$I389/7</f>
        <v>75.714285714285708</v>
      </c>
    </row>
    <row r="390" spans="1:10" x14ac:dyDescent="0.25">
      <c r="A390" s="77" t="s">
        <v>13</v>
      </c>
      <c r="B390" s="233">
        <v>1</v>
      </c>
      <c r="C390" s="13">
        <v>1</v>
      </c>
      <c r="D390" s="13">
        <v>0</v>
      </c>
      <c r="E390" s="13">
        <v>1</v>
      </c>
      <c r="F390" s="13">
        <v>2</v>
      </c>
      <c r="G390" s="13">
        <v>5</v>
      </c>
      <c r="H390" s="13">
        <v>1</v>
      </c>
      <c r="I390" s="11">
        <f t="shared" si="198"/>
        <v>11</v>
      </c>
      <c r="J390" s="470">
        <f t="shared" si="199"/>
        <v>1.5714285714285714</v>
      </c>
    </row>
    <row r="391" spans="1:10" x14ac:dyDescent="0.25">
      <c r="A391" s="77" t="s">
        <v>14</v>
      </c>
      <c r="B391" s="233">
        <v>52</v>
      </c>
      <c r="C391" s="13">
        <v>47</v>
      </c>
      <c r="D391" s="13">
        <v>62</v>
      </c>
      <c r="E391" s="13">
        <v>56</v>
      </c>
      <c r="F391" s="13">
        <v>130</v>
      </c>
      <c r="G391" s="13">
        <v>89</v>
      </c>
      <c r="H391" s="13">
        <v>49</v>
      </c>
      <c r="I391" s="11">
        <f t="shared" si="198"/>
        <v>485</v>
      </c>
      <c r="J391" s="470">
        <f t="shared" si="199"/>
        <v>69.285714285714292</v>
      </c>
    </row>
    <row r="392" spans="1:10" x14ac:dyDescent="0.25">
      <c r="A392" s="77" t="s">
        <v>15</v>
      </c>
      <c r="B392" s="233">
        <v>0</v>
      </c>
      <c r="C392" s="13">
        <v>1</v>
      </c>
      <c r="D392" s="13">
        <v>0</v>
      </c>
      <c r="E392" s="13">
        <v>4</v>
      </c>
      <c r="F392" s="13">
        <v>1</v>
      </c>
      <c r="G392" s="13">
        <v>7</v>
      </c>
      <c r="H392" s="13">
        <v>4</v>
      </c>
      <c r="I392" s="11">
        <f t="shared" si="198"/>
        <v>17</v>
      </c>
      <c r="J392" s="470">
        <f t="shared" si="199"/>
        <v>2.4285714285714284</v>
      </c>
    </row>
    <row r="393" spans="1:10" x14ac:dyDescent="0.25">
      <c r="A393" s="77" t="s">
        <v>16</v>
      </c>
      <c r="B393" s="233">
        <v>0</v>
      </c>
      <c r="C393" s="13">
        <v>0</v>
      </c>
      <c r="D393" s="13">
        <v>0</v>
      </c>
      <c r="E393" s="13">
        <v>0</v>
      </c>
      <c r="F393" s="13">
        <v>0</v>
      </c>
      <c r="G393" s="13">
        <v>0</v>
      </c>
      <c r="H393" s="13">
        <v>0</v>
      </c>
      <c r="I393" s="11">
        <f t="shared" si="198"/>
        <v>0</v>
      </c>
      <c r="J393" s="470">
        <f t="shared" si="199"/>
        <v>0</v>
      </c>
    </row>
    <row r="394" spans="1:10" x14ac:dyDescent="0.25">
      <c r="A394" s="79" t="s">
        <v>17</v>
      </c>
      <c r="B394" s="102">
        <f t="shared" ref="B394:I394" si="200">SUM(B389:B393)</f>
        <v>97</v>
      </c>
      <c r="C394" s="102">
        <f t="shared" si="200"/>
        <v>83</v>
      </c>
      <c r="D394" s="102">
        <f t="shared" si="200"/>
        <v>115</v>
      </c>
      <c r="E394" s="102">
        <f t="shared" si="200"/>
        <v>131</v>
      </c>
      <c r="F394" s="102">
        <f t="shared" si="200"/>
        <v>240</v>
      </c>
      <c r="G394" s="79">
        <f t="shared" si="200"/>
        <v>211</v>
      </c>
      <c r="H394" s="79">
        <f t="shared" si="200"/>
        <v>166</v>
      </c>
      <c r="I394" s="472">
        <f t="shared" si="200"/>
        <v>1043</v>
      </c>
      <c r="J394" s="473">
        <f t="shared" si="199"/>
        <v>149</v>
      </c>
    </row>
    <row r="395" spans="1:10" x14ac:dyDescent="0.25">
      <c r="A395" s="77" t="s">
        <v>18</v>
      </c>
      <c r="B395" s="234">
        <v>0.53</v>
      </c>
      <c r="C395" s="235">
        <v>0.48</v>
      </c>
      <c r="D395" s="235">
        <v>0.56000000000000005</v>
      </c>
      <c r="E395" s="236">
        <v>0.63</v>
      </c>
      <c r="F395" s="236">
        <v>0.47</v>
      </c>
      <c r="G395" s="236">
        <v>0.56000000000000005</v>
      </c>
      <c r="H395" s="236">
        <v>0.69</v>
      </c>
      <c r="I395" s="18">
        <f>I402/I407</f>
        <v>0.55910459792053457</v>
      </c>
      <c r="J395" s="475">
        <f>J402/J407</f>
        <v>0.55910459792053457</v>
      </c>
    </row>
    <row r="396" spans="1:10" x14ac:dyDescent="0.25">
      <c r="A396" s="77" t="s">
        <v>19</v>
      </c>
      <c r="B396" s="234">
        <v>0.01</v>
      </c>
      <c r="C396" s="235">
        <v>0.01</v>
      </c>
      <c r="D396" s="235">
        <v>0</v>
      </c>
      <c r="E396" s="236">
        <v>0.01</v>
      </c>
      <c r="F396" s="236">
        <v>0.01</v>
      </c>
      <c r="G396" s="236">
        <v>0.03</v>
      </c>
      <c r="H396" s="236">
        <v>0.01</v>
      </c>
      <c r="I396" s="18">
        <f>I403/I407</f>
        <v>1.3206917027671582E-2</v>
      </c>
      <c r="J396" s="475">
        <f>J403/J407</f>
        <v>1.3206917027671584E-2</v>
      </c>
    </row>
    <row r="397" spans="1:10" x14ac:dyDescent="0.25">
      <c r="A397" s="77" t="s">
        <v>20</v>
      </c>
      <c r="B397" s="234">
        <v>0.46</v>
      </c>
      <c r="C397" s="235">
        <v>0.49</v>
      </c>
      <c r="D397" s="235">
        <v>0.44</v>
      </c>
      <c r="E397" s="236">
        <v>0.34</v>
      </c>
      <c r="F397" s="236">
        <v>0.51</v>
      </c>
      <c r="G397" s="236">
        <v>0.37</v>
      </c>
      <c r="H397" s="236">
        <v>0.28000000000000003</v>
      </c>
      <c r="I397" s="18">
        <f>I404/I407</f>
        <v>0.4097025049011781</v>
      </c>
      <c r="J397" s="475">
        <f>J404/J407</f>
        <v>0.40970250490117816</v>
      </c>
    </row>
    <row r="398" spans="1:10" x14ac:dyDescent="0.25">
      <c r="A398" s="77" t="s">
        <v>21</v>
      </c>
      <c r="B398" s="234">
        <v>0</v>
      </c>
      <c r="C398" s="235">
        <v>0.02</v>
      </c>
      <c r="D398" s="235">
        <v>0</v>
      </c>
      <c r="E398" s="236">
        <v>0.02</v>
      </c>
      <c r="F398" s="236">
        <v>0.01</v>
      </c>
      <c r="G398" s="236">
        <v>0.04</v>
      </c>
      <c r="H398" s="236">
        <v>0.02</v>
      </c>
      <c r="I398" s="18">
        <f>I405/I407</f>
        <v>1.7985980150615748E-2</v>
      </c>
      <c r="J398" s="475">
        <f>J405/J407</f>
        <v>1.7985980150615751E-2</v>
      </c>
    </row>
    <row r="399" spans="1:10" x14ac:dyDescent="0.25">
      <c r="A399" s="77" t="s">
        <v>22</v>
      </c>
      <c r="B399" s="234">
        <v>0</v>
      </c>
      <c r="C399" s="235">
        <v>0</v>
      </c>
      <c r="D399" s="235">
        <v>0</v>
      </c>
      <c r="E399" s="236">
        <v>0</v>
      </c>
      <c r="F399" s="236">
        <v>0</v>
      </c>
      <c r="G399" s="236">
        <v>0</v>
      </c>
      <c r="H399" s="236">
        <v>0</v>
      </c>
      <c r="I399" s="18">
        <f>I406/I407</f>
        <v>0</v>
      </c>
      <c r="J399" s="475">
        <f>J406/J407</f>
        <v>0</v>
      </c>
    </row>
    <row r="400" spans="1:10" x14ac:dyDescent="0.25">
      <c r="A400" s="81" t="s">
        <v>23</v>
      </c>
      <c r="B400" s="409">
        <f t="shared" ref="B400:J400" si="201">B411/B394</f>
        <v>34913.402061855675</v>
      </c>
      <c r="C400" s="409">
        <f t="shared" si="201"/>
        <v>34667.469879518074</v>
      </c>
      <c r="D400" s="409">
        <f t="shared" si="201"/>
        <v>30538.260869565216</v>
      </c>
      <c r="E400" s="409">
        <f t="shared" si="201"/>
        <v>33251.908396946565</v>
      </c>
      <c r="F400" s="409">
        <f t="shared" si="201"/>
        <v>34200.000000000007</v>
      </c>
      <c r="G400" s="130">
        <f t="shared" si="201"/>
        <v>35326.540284360191</v>
      </c>
      <c r="H400" s="130">
        <f t="shared" si="201"/>
        <v>34727.108433734938</v>
      </c>
      <c r="I400" s="359">
        <f t="shared" si="201"/>
        <v>34092.521572387341</v>
      </c>
      <c r="J400" s="477">
        <f t="shared" si="201"/>
        <v>34092.521572387348</v>
      </c>
    </row>
    <row r="401" spans="1:10" x14ac:dyDescent="0.25">
      <c r="A401" s="81" t="s">
        <v>24</v>
      </c>
      <c r="B401" s="409">
        <f t="shared" ref="B401:J401" si="202">B411/B388</f>
        <v>28221.666666666672</v>
      </c>
      <c r="C401" s="409">
        <f t="shared" si="202"/>
        <v>29361.224489795917</v>
      </c>
      <c r="D401" s="409">
        <f t="shared" si="202"/>
        <v>27224.031007751939</v>
      </c>
      <c r="E401" s="409">
        <f t="shared" si="202"/>
        <v>27225</v>
      </c>
      <c r="F401" s="409">
        <f t="shared" si="202"/>
        <v>28109.589041095893</v>
      </c>
      <c r="G401" s="130">
        <f t="shared" si="202"/>
        <v>30056.048387096776</v>
      </c>
      <c r="H401" s="130">
        <f t="shared" si="202"/>
        <v>27064.31924882629</v>
      </c>
      <c r="I401" s="359">
        <f t="shared" si="202"/>
        <v>28221.031746031746</v>
      </c>
      <c r="J401" s="477">
        <f t="shared" si="202"/>
        <v>28221.031746031749</v>
      </c>
    </row>
    <row r="402" spans="1:10" x14ac:dyDescent="0.25">
      <c r="A402" s="77" t="s">
        <v>25</v>
      </c>
      <c r="B402" s="255">
        <f t="shared" ref="B402:H402" si="203">B407*B395</f>
        <v>1497071.2620689659</v>
      </c>
      <c r="C402" s="255">
        <f t="shared" si="203"/>
        <v>1155478.675862069</v>
      </c>
      <c r="D402" s="255">
        <f t="shared" si="203"/>
        <v>1631439.6</v>
      </c>
      <c r="E402" s="255">
        <f t="shared" si="203"/>
        <v>2270723.1206896552</v>
      </c>
      <c r="F402" s="255">
        <f t="shared" si="203"/>
        <v>3217280.2224137932</v>
      </c>
      <c r="G402" s="92">
        <f t="shared" si="203"/>
        <v>3465686.4827586212</v>
      </c>
      <c r="H402" s="92">
        <f t="shared" si="203"/>
        <v>3262464.1862068963</v>
      </c>
      <c r="I402" s="108">
        <f>SUM(B402:H402)</f>
        <v>16500143.549999999</v>
      </c>
      <c r="J402" s="479">
        <f t="shared" ref="J402:J407" si="204">+$I402/7</f>
        <v>2357163.364285714</v>
      </c>
    </row>
    <row r="403" spans="1:10" x14ac:dyDescent="0.25">
      <c r="A403" s="77" t="s">
        <v>26</v>
      </c>
      <c r="B403" s="255">
        <f t="shared" ref="B403:H403" si="205">B407*B396</f>
        <v>28246.627586206901</v>
      </c>
      <c r="C403" s="255">
        <f t="shared" si="205"/>
        <v>24072.472413793104</v>
      </c>
      <c r="D403" s="255">
        <f t="shared" si="205"/>
        <v>0</v>
      </c>
      <c r="E403" s="255">
        <f t="shared" si="205"/>
        <v>36043.224137931036</v>
      </c>
      <c r="F403" s="255">
        <f t="shared" si="205"/>
        <v>68452.770689655183</v>
      </c>
      <c r="G403" s="92">
        <f t="shared" si="205"/>
        <v>185661.77586206899</v>
      </c>
      <c r="H403" s="92">
        <f t="shared" si="205"/>
        <v>47282.089655172414</v>
      </c>
      <c r="I403" s="108">
        <f>SUM(B403:H403)</f>
        <v>389758.96034482762</v>
      </c>
      <c r="J403" s="479">
        <f t="shared" si="204"/>
        <v>55679.851477832519</v>
      </c>
    </row>
    <row r="404" spans="1:10" x14ac:dyDescent="0.25">
      <c r="A404" s="77" t="s">
        <v>27</v>
      </c>
      <c r="B404" s="255">
        <f t="shared" ref="B404:H404" si="206">B407*B397</f>
        <v>1299344.8689655175</v>
      </c>
      <c r="C404" s="255">
        <f t="shared" si="206"/>
        <v>1179551.148275862</v>
      </c>
      <c r="D404" s="255">
        <f t="shared" si="206"/>
        <v>1281845.3999999999</v>
      </c>
      <c r="E404" s="255">
        <f t="shared" si="206"/>
        <v>1225469.6206896554</v>
      </c>
      <c r="F404" s="255">
        <f t="shared" si="206"/>
        <v>3491091.3051724141</v>
      </c>
      <c r="G404" s="92">
        <f t="shared" si="206"/>
        <v>2289828.5689655175</v>
      </c>
      <c r="H404" s="92">
        <f t="shared" si="206"/>
        <v>1323898.5103448278</v>
      </c>
      <c r="I404" s="108">
        <f>SUM(B404:H404)</f>
        <v>12091029.422413792</v>
      </c>
      <c r="J404" s="479">
        <f t="shared" si="204"/>
        <v>1727289.9174876846</v>
      </c>
    </row>
    <row r="405" spans="1:10" x14ac:dyDescent="0.25">
      <c r="A405" s="77" t="s">
        <v>28</v>
      </c>
      <c r="B405" s="255">
        <f t="shared" ref="B405:H405" si="207">B407*B398</f>
        <v>0</v>
      </c>
      <c r="C405" s="255">
        <f t="shared" si="207"/>
        <v>48144.944827586209</v>
      </c>
      <c r="D405" s="255">
        <f t="shared" si="207"/>
        <v>0</v>
      </c>
      <c r="E405" s="255">
        <f t="shared" si="207"/>
        <v>72086.448275862072</v>
      </c>
      <c r="F405" s="255">
        <f t="shared" si="207"/>
        <v>68452.770689655183</v>
      </c>
      <c r="G405" s="92">
        <f t="shared" si="207"/>
        <v>247549.03448275864</v>
      </c>
      <c r="H405" s="92">
        <f t="shared" si="207"/>
        <v>94564.179310344829</v>
      </c>
      <c r="I405" s="108">
        <f>SUM(B405:H405)</f>
        <v>530797.377586207</v>
      </c>
      <c r="J405" s="479">
        <f t="shared" si="204"/>
        <v>75828.196798029574</v>
      </c>
    </row>
    <row r="406" spans="1:10" x14ac:dyDescent="0.25">
      <c r="A406" s="77" t="s">
        <v>29</v>
      </c>
      <c r="B406" s="255">
        <f t="shared" ref="B406:H406" si="208">B407*B399</f>
        <v>0</v>
      </c>
      <c r="C406" s="255">
        <f t="shared" si="208"/>
        <v>0</v>
      </c>
      <c r="D406" s="255">
        <f t="shared" si="208"/>
        <v>0</v>
      </c>
      <c r="E406" s="255">
        <f t="shared" si="208"/>
        <v>0</v>
      </c>
      <c r="F406" s="255">
        <f t="shared" si="208"/>
        <v>0</v>
      </c>
      <c r="G406" s="92">
        <f t="shared" si="208"/>
        <v>0</v>
      </c>
      <c r="H406" s="92">
        <f t="shared" si="208"/>
        <v>0</v>
      </c>
      <c r="I406" s="108">
        <f>SUM(B406:H406)</f>
        <v>0</v>
      </c>
      <c r="J406" s="479">
        <f t="shared" si="204"/>
        <v>0</v>
      </c>
    </row>
    <row r="407" spans="1:10" x14ac:dyDescent="0.25">
      <c r="A407" s="82" t="s">
        <v>30</v>
      </c>
      <c r="B407" s="222">
        <f>(3386600/1.16)-B408</f>
        <v>2824662.7586206901</v>
      </c>
      <c r="C407" s="222">
        <f>(2877400/1.16)-C408</f>
        <v>2407247.2413793104</v>
      </c>
      <c r="D407" s="222">
        <f>(3511900/1.16)-D408</f>
        <v>2913285</v>
      </c>
      <c r="E407" s="222">
        <f>(4356000/1.16)-E408</f>
        <v>3604322.4137931038</v>
      </c>
      <c r="F407" s="222">
        <f>(8208000/1.16)-F408</f>
        <v>6845277.0689655179</v>
      </c>
      <c r="G407" s="222">
        <f>(7453900/1.16)-G408</f>
        <v>6188725.862068966</v>
      </c>
      <c r="H407" s="222">
        <f>(5764700/1.16)-H408</f>
        <v>4728208.9655172415</v>
      </c>
      <c r="I407" s="111">
        <f>SUM(I402:I406)</f>
        <v>29511729.310344826</v>
      </c>
      <c r="J407" s="481">
        <f t="shared" si="204"/>
        <v>4215961.3300492605</v>
      </c>
    </row>
    <row r="408" spans="1:10" x14ac:dyDescent="0.25">
      <c r="A408" s="77" t="s">
        <v>31</v>
      </c>
      <c r="B408" s="263">
        <f t="shared" ref="B408:H408" si="209">2155*B389</f>
        <v>94820</v>
      </c>
      <c r="C408" s="263">
        <f t="shared" si="209"/>
        <v>73270</v>
      </c>
      <c r="D408" s="263">
        <f t="shared" si="209"/>
        <v>114215</v>
      </c>
      <c r="E408" s="263">
        <f t="shared" si="209"/>
        <v>150850</v>
      </c>
      <c r="F408" s="263">
        <f t="shared" si="209"/>
        <v>230585</v>
      </c>
      <c r="G408" s="94">
        <f t="shared" si="209"/>
        <v>237050</v>
      </c>
      <c r="H408" s="94">
        <f t="shared" si="209"/>
        <v>241360</v>
      </c>
      <c r="I408" s="109">
        <f>I389*2155</f>
        <v>1142150</v>
      </c>
      <c r="J408" s="482">
        <f>2155*J389</f>
        <v>163164.28571428571</v>
      </c>
    </row>
    <row r="409" spans="1:10" x14ac:dyDescent="0.25">
      <c r="A409" s="83" t="s">
        <v>32</v>
      </c>
      <c r="B409" s="411">
        <f t="shared" ref="B409:J409" si="210">B407+B408</f>
        <v>2919482.7586206901</v>
      </c>
      <c r="C409" s="411">
        <f t="shared" si="210"/>
        <v>2480517.2413793104</v>
      </c>
      <c r="D409" s="411">
        <f t="shared" si="210"/>
        <v>3027500</v>
      </c>
      <c r="E409" s="411">
        <f t="shared" si="210"/>
        <v>3755172.4137931038</v>
      </c>
      <c r="F409" s="411">
        <f t="shared" si="210"/>
        <v>7075862.0689655179</v>
      </c>
      <c r="G409" s="39">
        <f t="shared" si="210"/>
        <v>6425775.862068966</v>
      </c>
      <c r="H409" s="39">
        <f t="shared" si="210"/>
        <v>4969568.9655172415</v>
      </c>
      <c r="I409" s="412">
        <f t="shared" si="210"/>
        <v>30653879.310344826</v>
      </c>
      <c r="J409" s="484">
        <f t="shared" si="210"/>
        <v>4379125.615763546</v>
      </c>
    </row>
    <row r="410" spans="1:10" x14ac:dyDescent="0.25">
      <c r="A410" s="77" t="s">
        <v>33</v>
      </c>
      <c r="B410" s="413">
        <f t="shared" ref="B410:J410" si="211">B409*16%</f>
        <v>467117.24137931044</v>
      </c>
      <c r="C410" s="413">
        <f t="shared" si="211"/>
        <v>396882.75862068968</v>
      </c>
      <c r="D410" s="413">
        <f t="shared" si="211"/>
        <v>484400</v>
      </c>
      <c r="E410" s="413">
        <f t="shared" si="211"/>
        <v>600827.58620689658</v>
      </c>
      <c r="F410" s="413">
        <f t="shared" si="211"/>
        <v>1132137.9310344828</v>
      </c>
      <c r="G410" s="41">
        <f t="shared" si="211"/>
        <v>1028124.1379310346</v>
      </c>
      <c r="H410" s="41">
        <f t="shared" si="211"/>
        <v>795131.03448275861</v>
      </c>
      <c r="I410" s="414">
        <f t="shared" si="211"/>
        <v>4904620.6896551726</v>
      </c>
      <c r="J410" s="486">
        <f t="shared" si="211"/>
        <v>700660.09852216742</v>
      </c>
    </row>
    <row r="411" spans="1:10" x14ac:dyDescent="0.25">
      <c r="A411" s="142" t="s">
        <v>34</v>
      </c>
      <c r="B411" s="438">
        <f t="shared" ref="B411:I411" si="212">B409+B410</f>
        <v>3386600.0000000005</v>
      </c>
      <c r="C411" s="438">
        <f t="shared" si="212"/>
        <v>2877400</v>
      </c>
      <c r="D411" s="438">
        <f t="shared" si="212"/>
        <v>3511900</v>
      </c>
      <c r="E411" s="438">
        <f t="shared" si="212"/>
        <v>4356000</v>
      </c>
      <c r="F411" s="438">
        <f t="shared" si="212"/>
        <v>8208000.0000000009</v>
      </c>
      <c r="G411" s="144">
        <f t="shared" si="212"/>
        <v>7453900.0000000009</v>
      </c>
      <c r="H411" s="144">
        <f t="shared" si="212"/>
        <v>5764700</v>
      </c>
      <c r="I411" s="440">
        <f t="shared" si="212"/>
        <v>35558500</v>
      </c>
      <c r="J411" s="488">
        <f>+$I411/7</f>
        <v>5079785.7142857146</v>
      </c>
    </row>
    <row r="412" spans="1:10" x14ac:dyDescent="0.25">
      <c r="I412" s="89"/>
    </row>
    <row r="413" spans="1:10" ht="26.25" x14ac:dyDescent="0.25">
      <c r="A413" s="85"/>
      <c r="B413" s="1002" t="s">
        <v>154</v>
      </c>
      <c r="C413" s="1002"/>
      <c r="D413" s="1002"/>
      <c r="E413" s="1002"/>
      <c r="F413" s="1002"/>
      <c r="G413" s="1002"/>
      <c r="H413" s="1002"/>
      <c r="I413" s="1002"/>
    </row>
    <row r="414" spans="1:10" ht="15.75" x14ac:dyDescent="0.25">
      <c r="A414" s="72" t="s">
        <v>2</v>
      </c>
      <c r="B414" s="121" t="s">
        <v>45</v>
      </c>
      <c r="C414" s="121" t="s">
        <v>289</v>
      </c>
      <c r="D414" s="121" t="s">
        <v>47</v>
      </c>
      <c r="E414" s="121" t="s">
        <v>48</v>
      </c>
      <c r="F414" s="121" t="s">
        <v>49</v>
      </c>
      <c r="G414" s="121" t="s">
        <v>50</v>
      </c>
      <c r="H414" s="121" t="s">
        <v>290</v>
      </c>
      <c r="I414" s="153" t="s">
        <v>10</v>
      </c>
      <c r="J414" s="490" t="s">
        <v>77</v>
      </c>
    </row>
    <row r="415" spans="1:10" x14ac:dyDescent="0.25">
      <c r="A415" s="430" t="s">
        <v>11</v>
      </c>
      <c r="B415" s="433">
        <f>56+21+8</f>
        <v>85</v>
      </c>
      <c r="C415" s="75">
        <f>71+42+25</f>
        <v>138</v>
      </c>
      <c r="D415" s="75">
        <f>99+56+18</f>
        <v>173</v>
      </c>
      <c r="E415" s="75">
        <f>84+67+9</f>
        <v>160</v>
      </c>
      <c r="F415" s="75">
        <f>136+100+24</f>
        <v>260</v>
      </c>
      <c r="G415" s="75">
        <f>151+101+30</f>
        <v>282</v>
      </c>
      <c r="H415" s="75">
        <f>106+76+29</f>
        <v>211</v>
      </c>
      <c r="I415" s="467">
        <f t="shared" ref="I415:I420" si="213">SUM(B415:H415)</f>
        <v>1309</v>
      </c>
      <c r="J415" s="468">
        <f>+$I415/7</f>
        <v>187</v>
      </c>
    </row>
    <row r="416" spans="1:10" x14ac:dyDescent="0.25">
      <c r="A416" s="77" t="s">
        <v>12</v>
      </c>
      <c r="B416" s="233">
        <v>44</v>
      </c>
      <c r="C416" s="13">
        <v>56</v>
      </c>
      <c r="D416" s="13">
        <v>69</v>
      </c>
      <c r="E416" s="13">
        <v>60</v>
      </c>
      <c r="F416" s="13">
        <v>85</v>
      </c>
      <c r="G416" s="13">
        <v>144</v>
      </c>
      <c r="H416" s="13">
        <v>120</v>
      </c>
      <c r="I416" s="11">
        <f t="shared" si="213"/>
        <v>578</v>
      </c>
      <c r="J416" s="470">
        <f t="shared" ref="J416:J421" si="214">+$I416/7</f>
        <v>82.571428571428569</v>
      </c>
    </row>
    <row r="417" spans="1:10" x14ac:dyDescent="0.25">
      <c r="A417" s="77" t="s">
        <v>13</v>
      </c>
      <c r="B417" s="233">
        <v>0</v>
      </c>
      <c r="C417" s="13">
        <v>1</v>
      </c>
      <c r="D417" s="13">
        <v>2</v>
      </c>
      <c r="E417" s="13">
        <v>4</v>
      </c>
      <c r="F417" s="13">
        <v>4</v>
      </c>
      <c r="G417" s="13">
        <v>4</v>
      </c>
      <c r="H417" s="13">
        <v>2</v>
      </c>
      <c r="I417" s="11">
        <f t="shared" si="213"/>
        <v>17</v>
      </c>
      <c r="J417" s="470">
        <f t="shared" si="214"/>
        <v>2.4285714285714284</v>
      </c>
    </row>
    <row r="418" spans="1:10" x14ac:dyDescent="0.25">
      <c r="A418" s="77" t="s">
        <v>14</v>
      </c>
      <c r="B418" s="233">
        <v>24</v>
      </c>
      <c r="C418" s="13">
        <v>54</v>
      </c>
      <c r="D418" s="13">
        <v>79</v>
      </c>
      <c r="E418" s="13">
        <v>70</v>
      </c>
      <c r="F418" s="13">
        <v>129</v>
      </c>
      <c r="G418" s="13">
        <v>82</v>
      </c>
      <c r="H418" s="13">
        <v>48</v>
      </c>
      <c r="I418" s="11">
        <f t="shared" si="213"/>
        <v>486</v>
      </c>
      <c r="J418" s="470">
        <f t="shared" si="214"/>
        <v>69.428571428571431</v>
      </c>
    </row>
    <row r="419" spans="1:10" x14ac:dyDescent="0.25">
      <c r="A419" s="77" t="s">
        <v>15</v>
      </c>
      <c r="B419" s="233">
        <v>2</v>
      </c>
      <c r="C419" s="13">
        <v>0</v>
      </c>
      <c r="D419" s="13">
        <v>0</v>
      </c>
      <c r="E419" s="13">
        <v>3</v>
      </c>
      <c r="F419" s="13">
        <v>2</v>
      </c>
      <c r="G419" s="13">
        <v>0</v>
      </c>
      <c r="H419" s="13">
        <v>0</v>
      </c>
      <c r="I419" s="11">
        <f t="shared" si="213"/>
        <v>7</v>
      </c>
      <c r="J419" s="470">
        <f t="shared" si="214"/>
        <v>1</v>
      </c>
    </row>
    <row r="420" spans="1:10" x14ac:dyDescent="0.25">
      <c r="A420" s="77" t="s">
        <v>16</v>
      </c>
      <c r="B420" s="233">
        <v>0</v>
      </c>
      <c r="C420" s="13">
        <v>0</v>
      </c>
      <c r="D420" s="13">
        <v>0</v>
      </c>
      <c r="E420" s="13">
        <v>0</v>
      </c>
      <c r="F420" s="13">
        <v>0</v>
      </c>
      <c r="G420" s="13">
        <v>0</v>
      </c>
      <c r="H420" s="13">
        <v>0</v>
      </c>
      <c r="I420" s="11">
        <f t="shared" si="213"/>
        <v>0</v>
      </c>
      <c r="J420" s="470">
        <f t="shared" si="214"/>
        <v>0</v>
      </c>
    </row>
    <row r="421" spans="1:10" x14ac:dyDescent="0.25">
      <c r="A421" s="79" t="s">
        <v>17</v>
      </c>
      <c r="B421" s="102">
        <f t="shared" ref="B421:I421" si="215">SUM(B416:B420)</f>
        <v>70</v>
      </c>
      <c r="C421" s="102">
        <f t="shared" si="215"/>
        <v>111</v>
      </c>
      <c r="D421" s="102">
        <f t="shared" si="215"/>
        <v>150</v>
      </c>
      <c r="E421" s="102">
        <f t="shared" si="215"/>
        <v>137</v>
      </c>
      <c r="F421" s="102">
        <f t="shared" si="215"/>
        <v>220</v>
      </c>
      <c r="G421" s="79">
        <f t="shared" si="215"/>
        <v>230</v>
      </c>
      <c r="H421" s="79">
        <f t="shared" si="215"/>
        <v>170</v>
      </c>
      <c r="I421" s="472">
        <f t="shared" si="215"/>
        <v>1088</v>
      </c>
      <c r="J421" s="473">
        <f t="shared" si="214"/>
        <v>155.42857142857142</v>
      </c>
    </row>
    <row r="422" spans="1:10" x14ac:dyDescent="0.25">
      <c r="A422" s="77" t="s">
        <v>18</v>
      </c>
      <c r="B422" s="234">
        <v>0.7</v>
      </c>
      <c r="C422" s="235">
        <v>0.57999999999999996</v>
      </c>
      <c r="D422" s="235">
        <v>0.53</v>
      </c>
      <c r="E422" s="236">
        <v>0.48</v>
      </c>
      <c r="F422" s="236">
        <v>0.43</v>
      </c>
      <c r="G422" s="236">
        <v>0.69</v>
      </c>
      <c r="H422" s="236">
        <v>0.75</v>
      </c>
      <c r="I422" s="18">
        <f>I429/I434</f>
        <v>0.58943050263834518</v>
      </c>
      <c r="J422" s="475">
        <f>J429/J434</f>
        <v>0.58943050263834518</v>
      </c>
    </row>
    <row r="423" spans="1:10" x14ac:dyDescent="0.25">
      <c r="A423" s="77" t="s">
        <v>19</v>
      </c>
      <c r="B423" s="234">
        <v>0</v>
      </c>
      <c r="C423" s="235">
        <v>0</v>
      </c>
      <c r="D423" s="235">
        <v>0.02</v>
      </c>
      <c r="E423" s="236">
        <v>0.03</v>
      </c>
      <c r="F423" s="236">
        <v>0.02</v>
      </c>
      <c r="G423" s="236">
        <v>0.01</v>
      </c>
      <c r="H423" s="236">
        <v>0.01</v>
      </c>
      <c r="I423" s="18">
        <f>I430/I434</f>
        <v>1.43448755446695E-2</v>
      </c>
      <c r="J423" s="475">
        <f>J430/J434</f>
        <v>1.4344875544669499E-2</v>
      </c>
    </row>
    <row r="424" spans="1:10" x14ac:dyDescent="0.25">
      <c r="A424" s="77" t="s">
        <v>20</v>
      </c>
      <c r="B424" s="234">
        <v>0.28000000000000003</v>
      </c>
      <c r="C424" s="235">
        <v>0.42</v>
      </c>
      <c r="D424" s="235">
        <v>0.45</v>
      </c>
      <c r="E424" s="236">
        <v>0.46</v>
      </c>
      <c r="F424" s="236">
        <v>0.54</v>
      </c>
      <c r="G424" s="236">
        <v>0.3</v>
      </c>
      <c r="H424" s="236">
        <v>0.24</v>
      </c>
      <c r="I424" s="18">
        <f>I431/I434</f>
        <v>0.38916179030270021</v>
      </c>
      <c r="J424" s="475">
        <f>J431/J434</f>
        <v>0.38916179030270015</v>
      </c>
    </row>
    <row r="425" spans="1:10" x14ac:dyDescent="0.25">
      <c r="A425" s="77" t="s">
        <v>21</v>
      </c>
      <c r="B425" s="234">
        <v>0.02</v>
      </c>
      <c r="C425" s="235">
        <v>0</v>
      </c>
      <c r="D425" s="235">
        <v>0</v>
      </c>
      <c r="E425" s="236">
        <v>0.03</v>
      </c>
      <c r="F425" s="236">
        <v>0.01</v>
      </c>
      <c r="G425" s="236">
        <v>0</v>
      </c>
      <c r="H425" s="236">
        <v>0</v>
      </c>
      <c r="I425" s="18">
        <f>I432/I434</f>
        <v>7.0628315142851374E-3</v>
      </c>
      <c r="J425" s="475">
        <f>J432/J434</f>
        <v>7.0628315142851365E-3</v>
      </c>
    </row>
    <row r="426" spans="1:10" x14ac:dyDescent="0.25">
      <c r="A426" s="77" t="s">
        <v>22</v>
      </c>
      <c r="B426" s="234">
        <v>0</v>
      </c>
      <c r="C426" s="235">
        <v>0</v>
      </c>
      <c r="D426" s="235">
        <v>0</v>
      </c>
      <c r="E426" s="236">
        <v>0</v>
      </c>
      <c r="F426" s="236">
        <v>0</v>
      </c>
      <c r="G426" s="236">
        <v>0</v>
      </c>
      <c r="H426" s="236">
        <v>0</v>
      </c>
      <c r="I426" s="18">
        <f>I433/I434</f>
        <v>0</v>
      </c>
      <c r="J426" s="475">
        <f>J433/J434</f>
        <v>0</v>
      </c>
    </row>
    <row r="427" spans="1:10" x14ac:dyDescent="0.25">
      <c r="A427" s="81" t="s">
        <v>23</v>
      </c>
      <c r="B427" s="409">
        <f t="shared" ref="B427:J427" si="216">B438/B421</f>
        <v>31294.285714285714</v>
      </c>
      <c r="C427" s="409">
        <f t="shared" si="216"/>
        <v>30900.900900900906</v>
      </c>
      <c r="D427" s="409">
        <f t="shared" si="216"/>
        <v>31176.666666666668</v>
      </c>
      <c r="E427" s="409">
        <f t="shared" si="216"/>
        <v>33901.459854014596</v>
      </c>
      <c r="F427" s="409">
        <f t="shared" si="216"/>
        <v>33237.727272727272</v>
      </c>
      <c r="G427" s="130">
        <f t="shared" si="216"/>
        <v>36772.608695652176</v>
      </c>
      <c r="H427" s="130">
        <f t="shared" si="216"/>
        <v>33930.588235294119</v>
      </c>
      <c r="I427" s="359">
        <f t="shared" si="216"/>
        <v>33529.227941176468</v>
      </c>
      <c r="J427" s="477">
        <f t="shared" si="216"/>
        <v>33529.227941176476</v>
      </c>
    </row>
    <row r="428" spans="1:10" x14ac:dyDescent="0.25">
      <c r="A428" s="81" t="s">
        <v>24</v>
      </c>
      <c r="B428" s="409">
        <f t="shared" ref="B428:J428" si="217">B438/B415</f>
        <v>25771.764705882353</v>
      </c>
      <c r="C428" s="409">
        <f t="shared" si="217"/>
        <v>24855.07246376812</v>
      </c>
      <c r="D428" s="409">
        <f t="shared" si="217"/>
        <v>27031.791907514449</v>
      </c>
      <c r="E428" s="409">
        <f t="shared" si="217"/>
        <v>29028.125</v>
      </c>
      <c r="F428" s="409">
        <f t="shared" si="217"/>
        <v>28124.23076923077</v>
      </c>
      <c r="G428" s="130">
        <f t="shared" si="217"/>
        <v>29991.843971631206</v>
      </c>
      <c r="H428" s="130">
        <f t="shared" si="217"/>
        <v>27337.44075829384</v>
      </c>
      <c r="I428" s="359">
        <f t="shared" si="217"/>
        <v>27868.449197860962</v>
      </c>
      <c r="J428" s="477">
        <f t="shared" si="217"/>
        <v>27868.449197860962</v>
      </c>
    </row>
    <row r="429" spans="1:10" x14ac:dyDescent="0.25">
      <c r="A429" s="77" t="s">
        <v>25</v>
      </c>
      <c r="B429" s="255">
        <f t="shared" ref="B429:H429" si="218">B434*B422</f>
        <v>1255539.7931034483</v>
      </c>
      <c r="C429" s="255">
        <f t="shared" si="218"/>
        <v>1645005.6</v>
      </c>
      <c r="D429" s="255">
        <f t="shared" si="218"/>
        <v>2057868.3741379313</v>
      </c>
      <c r="E429" s="255">
        <f t="shared" si="218"/>
        <v>1859798.0689655172</v>
      </c>
      <c r="F429" s="255">
        <f t="shared" si="218"/>
        <v>2631828.7155172415</v>
      </c>
      <c r="G429" s="92">
        <f t="shared" si="218"/>
        <v>4816752.4758620691</v>
      </c>
      <c r="H429" s="92">
        <f t="shared" si="218"/>
        <v>3535489.6551724141</v>
      </c>
      <c r="I429" s="108">
        <f>SUM(B429:H429)</f>
        <v>17802282.682758622</v>
      </c>
      <c r="J429" s="479">
        <f t="shared" ref="J429:J434" si="219">+$I429/7</f>
        <v>2543183.2403940889</v>
      </c>
    </row>
    <row r="430" spans="1:10" x14ac:dyDescent="0.25">
      <c r="A430" s="77" t="s">
        <v>26</v>
      </c>
      <c r="B430" s="255">
        <f t="shared" ref="B430:H430" si="220">B434*B423</f>
        <v>0</v>
      </c>
      <c r="C430" s="255">
        <f t="shared" si="220"/>
        <v>0</v>
      </c>
      <c r="D430" s="255">
        <f t="shared" si="220"/>
        <v>77655.4103448276</v>
      </c>
      <c r="E430" s="255">
        <f t="shared" si="220"/>
        <v>116237.37931034483</v>
      </c>
      <c r="F430" s="255">
        <f t="shared" si="220"/>
        <v>122410.63793103449</v>
      </c>
      <c r="G430" s="92">
        <f t="shared" si="220"/>
        <v>69808.006896551728</v>
      </c>
      <c r="H430" s="92">
        <f t="shared" si="220"/>
        <v>47139.862068965522</v>
      </c>
      <c r="I430" s="108">
        <f>SUM(B430:H430)</f>
        <v>433251.29655172414</v>
      </c>
      <c r="J430" s="479">
        <f t="shared" si="219"/>
        <v>61893.042364532019</v>
      </c>
    </row>
    <row r="431" spans="1:10" x14ac:dyDescent="0.25">
      <c r="A431" s="77" t="s">
        <v>27</v>
      </c>
      <c r="B431" s="255">
        <f t="shared" ref="B431:H431" si="221">B434*B424</f>
        <v>502215.91724137939</v>
      </c>
      <c r="C431" s="255">
        <f t="shared" si="221"/>
        <v>1191210.9517241381</v>
      </c>
      <c r="D431" s="255">
        <f t="shared" si="221"/>
        <v>1747246.732758621</v>
      </c>
      <c r="E431" s="255">
        <f t="shared" si="221"/>
        <v>1782306.482758621</v>
      </c>
      <c r="F431" s="255">
        <f t="shared" si="221"/>
        <v>3305087.2241379316</v>
      </c>
      <c r="G431" s="92">
        <f t="shared" si="221"/>
        <v>2094240.2068965517</v>
      </c>
      <c r="H431" s="92">
        <f t="shared" si="221"/>
        <v>1131356.6896551724</v>
      </c>
      <c r="I431" s="108">
        <f>SUM(B431:H431)</f>
        <v>11753664.205172414</v>
      </c>
      <c r="J431" s="479">
        <f t="shared" si="219"/>
        <v>1679094.886453202</v>
      </c>
    </row>
    <row r="432" spans="1:10" x14ac:dyDescent="0.25">
      <c r="A432" s="77" t="s">
        <v>28</v>
      </c>
      <c r="B432" s="255">
        <f t="shared" ref="B432:H432" si="222">B434*B425</f>
        <v>35872.565517241383</v>
      </c>
      <c r="C432" s="255">
        <f t="shared" si="222"/>
        <v>0</v>
      </c>
      <c r="D432" s="255">
        <f t="shared" si="222"/>
        <v>0</v>
      </c>
      <c r="E432" s="255">
        <f t="shared" si="222"/>
        <v>116237.37931034483</v>
      </c>
      <c r="F432" s="255">
        <f t="shared" si="222"/>
        <v>61205.318965517246</v>
      </c>
      <c r="G432" s="92">
        <f t="shared" si="222"/>
        <v>0</v>
      </c>
      <c r="H432" s="92">
        <f t="shared" si="222"/>
        <v>0</v>
      </c>
      <c r="I432" s="108">
        <f>SUM(B432:H432)</f>
        <v>213315.26379310346</v>
      </c>
      <c r="J432" s="479">
        <f t="shared" si="219"/>
        <v>30473.609113300492</v>
      </c>
    </row>
    <row r="433" spans="1:10" x14ac:dyDescent="0.25">
      <c r="A433" s="77" t="s">
        <v>29</v>
      </c>
      <c r="B433" s="255">
        <f t="shared" ref="B433:H433" si="223">B434*B426</f>
        <v>0</v>
      </c>
      <c r="C433" s="255">
        <f t="shared" si="223"/>
        <v>0</v>
      </c>
      <c r="D433" s="255">
        <f t="shared" si="223"/>
        <v>0</v>
      </c>
      <c r="E433" s="255">
        <f t="shared" si="223"/>
        <v>0</v>
      </c>
      <c r="F433" s="255">
        <f t="shared" si="223"/>
        <v>0</v>
      </c>
      <c r="G433" s="92">
        <f t="shared" si="223"/>
        <v>0</v>
      </c>
      <c r="H433" s="92">
        <f t="shared" si="223"/>
        <v>0</v>
      </c>
      <c r="I433" s="108">
        <f>SUM(B433:H433)</f>
        <v>0</v>
      </c>
      <c r="J433" s="479">
        <f t="shared" si="219"/>
        <v>0</v>
      </c>
    </row>
    <row r="434" spans="1:10" x14ac:dyDescent="0.25">
      <c r="A434" s="82" t="s">
        <v>30</v>
      </c>
      <c r="B434" s="222">
        <f>(2190600/1.16)-B435</f>
        <v>1793628.2758620691</v>
      </c>
      <c r="C434" s="222">
        <f>(3430000/1.16)-C435</f>
        <v>2836216.5517241382</v>
      </c>
      <c r="D434" s="222">
        <f>(4676500/1.16)-D435</f>
        <v>3882770.5172413797</v>
      </c>
      <c r="E434" s="222">
        <f>(4644500/1.16)-E435</f>
        <v>3874579.3103448278</v>
      </c>
      <c r="F434" s="222">
        <f>(7312300/1.16)-F435</f>
        <v>6120531.8965517245</v>
      </c>
      <c r="G434" s="222">
        <f>(8457700/1.16)-G435</f>
        <v>6980800.6896551726</v>
      </c>
      <c r="H434" s="222">
        <f>(5768200/1.16)-H435</f>
        <v>4713986.2068965519</v>
      </c>
      <c r="I434" s="111">
        <f>SUM(I429:I433)</f>
        <v>30202513.448275864</v>
      </c>
      <c r="J434" s="481">
        <f t="shared" si="219"/>
        <v>4314644.7783251237</v>
      </c>
    </row>
    <row r="435" spans="1:10" x14ac:dyDescent="0.25">
      <c r="A435" s="77" t="s">
        <v>31</v>
      </c>
      <c r="B435" s="263">
        <f t="shared" ref="B435:H435" si="224">2155*B416</f>
        <v>94820</v>
      </c>
      <c r="C435" s="263">
        <f t="shared" si="224"/>
        <v>120680</v>
      </c>
      <c r="D435" s="263">
        <f t="shared" si="224"/>
        <v>148695</v>
      </c>
      <c r="E435" s="263">
        <f t="shared" si="224"/>
        <v>129300</v>
      </c>
      <c r="F435" s="263">
        <f t="shared" si="224"/>
        <v>183175</v>
      </c>
      <c r="G435" s="94">
        <f t="shared" si="224"/>
        <v>310320</v>
      </c>
      <c r="H435" s="94">
        <f t="shared" si="224"/>
        <v>258600</v>
      </c>
      <c r="I435" s="109">
        <f>I416*2155</f>
        <v>1245590</v>
      </c>
      <c r="J435" s="482">
        <f>2155*J416</f>
        <v>177941.42857142858</v>
      </c>
    </row>
    <row r="436" spans="1:10" x14ac:dyDescent="0.25">
      <c r="A436" s="83" t="s">
        <v>32</v>
      </c>
      <c r="B436" s="411">
        <f t="shared" ref="B436:J436" si="225">B434+B435</f>
        <v>1888448.2758620691</v>
      </c>
      <c r="C436" s="411">
        <f t="shared" si="225"/>
        <v>2956896.5517241382</v>
      </c>
      <c r="D436" s="411">
        <f t="shared" si="225"/>
        <v>4031465.5172413797</v>
      </c>
      <c r="E436" s="411">
        <f t="shared" si="225"/>
        <v>4003879.3103448278</v>
      </c>
      <c r="F436" s="411">
        <f t="shared" si="225"/>
        <v>6303706.8965517245</v>
      </c>
      <c r="G436" s="39">
        <f t="shared" si="225"/>
        <v>7291120.6896551726</v>
      </c>
      <c r="H436" s="39">
        <f t="shared" si="225"/>
        <v>4972586.2068965519</v>
      </c>
      <c r="I436" s="412">
        <f t="shared" si="225"/>
        <v>31448103.448275864</v>
      </c>
      <c r="J436" s="484">
        <f t="shared" si="225"/>
        <v>4492586.2068965519</v>
      </c>
    </row>
    <row r="437" spans="1:10" x14ac:dyDescent="0.25">
      <c r="A437" s="77" t="s">
        <v>33</v>
      </c>
      <c r="B437" s="413">
        <f t="shared" ref="B437:J437" si="226">B436*16%</f>
        <v>302151.72413793107</v>
      </c>
      <c r="C437" s="413">
        <f t="shared" si="226"/>
        <v>473103.44827586215</v>
      </c>
      <c r="D437" s="413">
        <f t="shared" si="226"/>
        <v>645034.48275862075</v>
      </c>
      <c r="E437" s="413">
        <f t="shared" si="226"/>
        <v>640620.68965517252</v>
      </c>
      <c r="F437" s="413">
        <f t="shared" si="226"/>
        <v>1008593.1034482759</v>
      </c>
      <c r="G437" s="41">
        <f t="shared" si="226"/>
        <v>1166579.3103448276</v>
      </c>
      <c r="H437" s="41">
        <f t="shared" si="226"/>
        <v>795613.79310344835</v>
      </c>
      <c r="I437" s="414">
        <f t="shared" si="226"/>
        <v>5031696.5517241387</v>
      </c>
      <c r="J437" s="486">
        <f t="shared" si="226"/>
        <v>718813.79310344835</v>
      </c>
    </row>
    <row r="438" spans="1:10" x14ac:dyDescent="0.25">
      <c r="A438" s="142" t="s">
        <v>34</v>
      </c>
      <c r="B438" s="438">
        <f t="shared" ref="B438:I438" si="227">B436+B437</f>
        <v>2190600</v>
      </c>
      <c r="C438" s="438">
        <f t="shared" si="227"/>
        <v>3430000.0000000005</v>
      </c>
      <c r="D438" s="438">
        <f t="shared" si="227"/>
        <v>4676500</v>
      </c>
      <c r="E438" s="438">
        <f t="shared" si="227"/>
        <v>4644500</v>
      </c>
      <c r="F438" s="438">
        <f t="shared" si="227"/>
        <v>7312300</v>
      </c>
      <c r="G438" s="144">
        <f t="shared" si="227"/>
        <v>8457700</v>
      </c>
      <c r="H438" s="144">
        <f t="shared" si="227"/>
        <v>5768200</v>
      </c>
      <c r="I438" s="440">
        <f t="shared" si="227"/>
        <v>36479800</v>
      </c>
      <c r="J438" s="488">
        <f>+$I438/7</f>
        <v>5211400</v>
      </c>
    </row>
    <row r="439" spans="1:10" x14ac:dyDescent="0.25">
      <c r="I439" s="89"/>
    </row>
    <row r="440" spans="1:10" ht="26.25" x14ac:dyDescent="0.25">
      <c r="A440" s="85"/>
      <c r="B440" s="1002" t="s">
        <v>162</v>
      </c>
      <c r="C440" s="1002"/>
      <c r="D440" s="1002"/>
      <c r="E440" s="1002"/>
      <c r="F440" s="1002"/>
      <c r="G440" s="1002"/>
      <c r="H440" s="1002"/>
      <c r="I440" s="1002"/>
    </row>
    <row r="441" spans="1:10" ht="15.75" x14ac:dyDescent="0.25">
      <c r="A441" s="72" t="s">
        <v>2</v>
      </c>
      <c r="B441" s="121" t="s">
        <v>53</v>
      </c>
      <c r="C441" s="121" t="s">
        <v>54</v>
      </c>
      <c r="D441" s="121" t="s">
        <v>292</v>
      </c>
      <c r="E441" s="121" t="s">
        <v>293</v>
      </c>
      <c r="F441" s="121" t="s">
        <v>294</v>
      </c>
      <c r="G441" s="121" t="s">
        <v>295</v>
      </c>
      <c r="H441" s="121" t="s">
        <v>296</v>
      </c>
      <c r="I441" s="153" t="s">
        <v>10</v>
      </c>
      <c r="J441" s="490" t="s">
        <v>77</v>
      </c>
    </row>
    <row r="442" spans="1:10" x14ac:dyDescent="0.25">
      <c r="A442" s="430" t="s">
        <v>11</v>
      </c>
      <c r="B442" s="433">
        <f>50+36+7</f>
        <v>93</v>
      </c>
      <c r="C442" s="75">
        <f>78+68+17</f>
        <v>163</v>
      </c>
      <c r="D442" s="75">
        <f>89+52+19</f>
        <v>160</v>
      </c>
      <c r="E442" s="75">
        <f>83+52+25</f>
        <v>160</v>
      </c>
      <c r="F442" s="75">
        <f>155+99+23</f>
        <v>277</v>
      </c>
      <c r="G442" s="75">
        <f>111+86+40</f>
        <v>237</v>
      </c>
      <c r="H442" s="75">
        <f>79+54+20</f>
        <v>153</v>
      </c>
      <c r="I442" s="467">
        <f t="shared" ref="I442:I447" si="228">SUM(B442:H442)</f>
        <v>1243</v>
      </c>
      <c r="J442" s="468">
        <f>+$I442/7</f>
        <v>177.57142857142858</v>
      </c>
    </row>
    <row r="443" spans="1:10" x14ac:dyDescent="0.25">
      <c r="A443" s="77" t="s">
        <v>12</v>
      </c>
      <c r="B443" s="233">
        <v>42</v>
      </c>
      <c r="C443" s="13">
        <v>65</v>
      </c>
      <c r="D443" s="13">
        <v>64</v>
      </c>
      <c r="E443" s="13">
        <v>69</v>
      </c>
      <c r="F443" s="13">
        <v>95</v>
      </c>
      <c r="G443" s="13">
        <v>113</v>
      </c>
      <c r="H443" s="13">
        <v>69</v>
      </c>
      <c r="I443" s="11">
        <f t="shared" si="228"/>
        <v>517</v>
      </c>
      <c r="J443" s="470">
        <f t="shared" ref="J443:J448" si="229">+$I443/7</f>
        <v>73.857142857142861</v>
      </c>
    </row>
    <row r="444" spans="1:10" x14ac:dyDescent="0.25">
      <c r="A444" s="77" t="s">
        <v>13</v>
      </c>
      <c r="B444" s="233">
        <v>2</v>
      </c>
      <c r="C444" s="13">
        <v>2</v>
      </c>
      <c r="D444" s="13">
        <v>2</v>
      </c>
      <c r="E444" s="13">
        <v>0</v>
      </c>
      <c r="F444" s="13">
        <v>6</v>
      </c>
      <c r="G444" s="13">
        <v>3</v>
      </c>
      <c r="H444" s="13">
        <v>0</v>
      </c>
      <c r="I444" s="11">
        <f t="shared" si="228"/>
        <v>15</v>
      </c>
      <c r="J444" s="470">
        <f t="shared" si="229"/>
        <v>2.1428571428571428</v>
      </c>
    </row>
    <row r="445" spans="1:10" x14ac:dyDescent="0.25">
      <c r="A445" s="77" t="s">
        <v>14</v>
      </c>
      <c r="B445" s="233">
        <v>37</v>
      </c>
      <c r="C445" s="13">
        <v>67</v>
      </c>
      <c r="D445" s="13">
        <v>66</v>
      </c>
      <c r="E445" s="13">
        <v>55</v>
      </c>
      <c r="F445" s="13">
        <v>137</v>
      </c>
      <c r="G445" s="13">
        <v>64</v>
      </c>
      <c r="H445" s="13">
        <v>53</v>
      </c>
      <c r="I445" s="11">
        <f t="shared" si="228"/>
        <v>479</v>
      </c>
      <c r="J445" s="470">
        <f t="shared" si="229"/>
        <v>68.428571428571431</v>
      </c>
    </row>
    <row r="446" spans="1:10" x14ac:dyDescent="0.25">
      <c r="A446" s="77" t="s">
        <v>15</v>
      </c>
      <c r="B446" s="233">
        <v>2</v>
      </c>
      <c r="C446" s="13">
        <v>0</v>
      </c>
      <c r="D446" s="13">
        <v>2</v>
      </c>
      <c r="E446" s="13">
        <v>5</v>
      </c>
      <c r="F446" s="13">
        <v>0</v>
      </c>
      <c r="G446" s="13">
        <v>7</v>
      </c>
      <c r="H446" s="13">
        <v>0</v>
      </c>
      <c r="I446" s="11">
        <f t="shared" si="228"/>
        <v>16</v>
      </c>
      <c r="J446" s="470">
        <f t="shared" si="229"/>
        <v>2.2857142857142856</v>
      </c>
    </row>
    <row r="447" spans="1:10" x14ac:dyDescent="0.25">
      <c r="A447" s="77" t="s">
        <v>16</v>
      </c>
      <c r="B447" s="233">
        <v>0</v>
      </c>
      <c r="C447" s="13">
        <v>0</v>
      </c>
      <c r="D447" s="13">
        <v>0</v>
      </c>
      <c r="E447" s="13">
        <v>0</v>
      </c>
      <c r="F447" s="13">
        <v>0</v>
      </c>
      <c r="G447" s="13">
        <v>0</v>
      </c>
      <c r="H447" s="13">
        <v>0</v>
      </c>
      <c r="I447" s="11">
        <f t="shared" si="228"/>
        <v>0</v>
      </c>
      <c r="J447" s="470">
        <f t="shared" si="229"/>
        <v>0</v>
      </c>
    </row>
    <row r="448" spans="1:10" x14ac:dyDescent="0.25">
      <c r="A448" s="79" t="s">
        <v>17</v>
      </c>
      <c r="B448" s="102">
        <f t="shared" ref="B448:I448" si="230">SUM(B443:B447)</f>
        <v>83</v>
      </c>
      <c r="C448" s="102">
        <f t="shared" si="230"/>
        <v>134</v>
      </c>
      <c r="D448" s="102">
        <f t="shared" si="230"/>
        <v>134</v>
      </c>
      <c r="E448" s="102">
        <f t="shared" si="230"/>
        <v>129</v>
      </c>
      <c r="F448" s="102">
        <f t="shared" si="230"/>
        <v>238</v>
      </c>
      <c r="G448" s="79">
        <f t="shared" si="230"/>
        <v>187</v>
      </c>
      <c r="H448" s="79">
        <f t="shared" si="230"/>
        <v>122</v>
      </c>
      <c r="I448" s="472">
        <f t="shared" si="230"/>
        <v>1027</v>
      </c>
      <c r="J448" s="473">
        <f t="shared" si="229"/>
        <v>146.71428571428572</v>
      </c>
    </row>
    <row r="449" spans="1:10" x14ac:dyDescent="0.25">
      <c r="A449" s="77" t="s">
        <v>18</v>
      </c>
      <c r="B449" s="234">
        <v>0.56000000000000005</v>
      </c>
      <c r="C449" s="235">
        <v>0.51</v>
      </c>
      <c r="D449" s="235">
        <v>0.53</v>
      </c>
      <c r="E449" s="236">
        <v>0.59</v>
      </c>
      <c r="F449" s="236">
        <v>0.45</v>
      </c>
      <c r="G449" s="236">
        <v>0.65</v>
      </c>
      <c r="H449" s="236">
        <v>0.57999999999999996</v>
      </c>
      <c r="I449" s="18">
        <f>I456/I461</f>
        <v>0.54914509367756514</v>
      </c>
      <c r="J449" s="475">
        <f>J456/J461</f>
        <v>0.54914509367756503</v>
      </c>
    </row>
    <row r="450" spans="1:10" x14ac:dyDescent="0.25">
      <c r="A450" s="77" t="s">
        <v>19</v>
      </c>
      <c r="B450" s="234">
        <v>0.02</v>
      </c>
      <c r="C450" s="235">
        <v>0.01</v>
      </c>
      <c r="D450" s="235">
        <v>0.02</v>
      </c>
      <c r="E450" s="236">
        <v>0</v>
      </c>
      <c r="F450" s="236">
        <v>0.04</v>
      </c>
      <c r="G450" s="236">
        <v>0.02</v>
      </c>
      <c r="H450" s="236">
        <v>0</v>
      </c>
      <c r="I450" s="18">
        <f>I457/I461</f>
        <v>1.7839163397055165E-2</v>
      </c>
      <c r="J450" s="475">
        <f>J457/J461</f>
        <v>1.7839163397055168E-2</v>
      </c>
    </row>
    <row r="451" spans="1:10" x14ac:dyDescent="0.25">
      <c r="A451" s="77" t="s">
        <v>20</v>
      </c>
      <c r="B451" s="234">
        <v>0.41</v>
      </c>
      <c r="C451" s="235">
        <v>0.48</v>
      </c>
      <c r="D451" s="235">
        <v>0.44</v>
      </c>
      <c r="E451" s="236">
        <v>0.37</v>
      </c>
      <c r="F451" s="236">
        <v>0.51</v>
      </c>
      <c r="G451" s="236">
        <v>0.31</v>
      </c>
      <c r="H451" s="236">
        <v>0.42</v>
      </c>
      <c r="I451" s="18">
        <f>I458/I461</f>
        <v>0.42210972462171342</v>
      </c>
      <c r="J451" s="475">
        <f>J458/J461</f>
        <v>0.42210972462171342</v>
      </c>
    </row>
    <row r="452" spans="1:10" x14ac:dyDescent="0.25">
      <c r="A452" s="77" t="s">
        <v>21</v>
      </c>
      <c r="B452" s="234">
        <v>0.01</v>
      </c>
      <c r="C452" s="235">
        <v>0</v>
      </c>
      <c r="D452" s="235">
        <v>0.01</v>
      </c>
      <c r="E452" s="236">
        <v>0.04</v>
      </c>
      <c r="F452" s="236">
        <v>0</v>
      </c>
      <c r="G452" s="236">
        <v>0.02</v>
      </c>
      <c r="H452" s="236">
        <v>0</v>
      </c>
      <c r="I452" s="18">
        <f>I459/I461</f>
        <v>1.0906018303666262E-2</v>
      </c>
      <c r="J452" s="475">
        <f>J459/J461</f>
        <v>1.0906018303666262E-2</v>
      </c>
    </row>
    <row r="453" spans="1:10" x14ac:dyDescent="0.25">
      <c r="A453" s="77" t="s">
        <v>22</v>
      </c>
      <c r="B453" s="234">
        <v>0</v>
      </c>
      <c r="C453" s="235">
        <v>0</v>
      </c>
      <c r="D453" s="235">
        <v>0</v>
      </c>
      <c r="E453" s="236">
        <v>0</v>
      </c>
      <c r="F453" s="236">
        <v>0</v>
      </c>
      <c r="G453" s="236">
        <v>0</v>
      </c>
      <c r="H453" s="236">
        <v>0</v>
      </c>
      <c r="I453" s="18">
        <f>I460/I461</f>
        <v>0</v>
      </c>
      <c r="J453" s="475">
        <f>J460/J461</f>
        <v>0</v>
      </c>
    </row>
    <row r="454" spans="1:10" x14ac:dyDescent="0.25">
      <c r="A454" s="81" t="s">
        <v>23</v>
      </c>
      <c r="B454" s="409">
        <f t="shared" ref="B454:J454" si="231">B465/B448</f>
        <v>32591.566265060243</v>
      </c>
      <c r="C454" s="409">
        <f t="shared" si="231"/>
        <v>34629.104477611945</v>
      </c>
      <c r="D454" s="409">
        <f t="shared" si="231"/>
        <v>31252.238805970152</v>
      </c>
      <c r="E454" s="409">
        <f t="shared" si="231"/>
        <v>34382.170542635657</v>
      </c>
      <c r="F454" s="409">
        <f t="shared" si="231"/>
        <v>31463.025210084037</v>
      </c>
      <c r="G454" s="130">
        <f t="shared" si="231"/>
        <v>35175.401069518717</v>
      </c>
      <c r="H454" s="130">
        <f t="shared" si="231"/>
        <v>37004.918032786882</v>
      </c>
      <c r="I454" s="359">
        <f t="shared" si="231"/>
        <v>33640.798442064268</v>
      </c>
      <c r="J454" s="477">
        <f t="shared" si="231"/>
        <v>33640.798442064268</v>
      </c>
    </row>
    <row r="455" spans="1:10" x14ac:dyDescent="0.25">
      <c r="A455" s="81" t="s">
        <v>24</v>
      </c>
      <c r="B455" s="409">
        <f t="shared" ref="B455:J455" si="232">B465/B442</f>
        <v>29087.096774193549</v>
      </c>
      <c r="C455" s="409">
        <f t="shared" si="232"/>
        <v>28468.098159509209</v>
      </c>
      <c r="D455" s="409">
        <f t="shared" si="232"/>
        <v>26173.750000000004</v>
      </c>
      <c r="E455" s="409">
        <f t="shared" si="232"/>
        <v>27720.625</v>
      </c>
      <c r="F455" s="409">
        <f t="shared" si="232"/>
        <v>27033.212996389895</v>
      </c>
      <c r="G455" s="130">
        <f t="shared" si="232"/>
        <v>27754.430379746835</v>
      </c>
      <c r="H455" s="130">
        <f t="shared" si="232"/>
        <v>29507.189542483658</v>
      </c>
      <c r="I455" s="359">
        <f t="shared" si="232"/>
        <v>27794.93161705551</v>
      </c>
      <c r="J455" s="477">
        <f t="shared" si="232"/>
        <v>27794.93161705551</v>
      </c>
    </row>
    <row r="456" spans="1:10" x14ac:dyDescent="0.25">
      <c r="A456" s="77" t="s">
        <v>25</v>
      </c>
      <c r="B456" s="255">
        <f t="shared" ref="B456:H456" si="233">B461*B449</f>
        <v>1255224.7448275862</v>
      </c>
      <c r="C456" s="255">
        <f t="shared" si="233"/>
        <v>1968693.6465517245</v>
      </c>
      <c r="D456" s="255">
        <f t="shared" si="233"/>
        <v>1840293.7793103452</v>
      </c>
      <c r="E456" s="255">
        <f t="shared" si="233"/>
        <v>2168155.294827586</v>
      </c>
      <c r="F456" s="255">
        <f t="shared" si="233"/>
        <v>2812778.9224137934</v>
      </c>
      <c r="G456" s="92">
        <f t="shared" si="233"/>
        <v>3527551.4568965519</v>
      </c>
      <c r="H456" s="92">
        <f t="shared" si="233"/>
        <v>2171056.9</v>
      </c>
      <c r="I456" s="108">
        <f>SUM(B456:H456)</f>
        <v>15743754.744827585</v>
      </c>
      <c r="J456" s="479">
        <f t="shared" ref="J456:J461" si="234">+$I456/7</f>
        <v>2249107.8206896549</v>
      </c>
    </row>
    <row r="457" spans="1:10" x14ac:dyDescent="0.25">
      <c r="A457" s="77" t="s">
        <v>26</v>
      </c>
      <c r="B457" s="255">
        <f t="shared" ref="B457:H457" si="235">B461*B450</f>
        <v>44829.455172413793</v>
      </c>
      <c r="C457" s="255">
        <f t="shared" si="235"/>
        <v>38601.836206896558</v>
      </c>
      <c r="D457" s="255">
        <f t="shared" si="235"/>
        <v>69445.048275862078</v>
      </c>
      <c r="E457" s="255">
        <f t="shared" si="235"/>
        <v>0</v>
      </c>
      <c r="F457" s="255">
        <f t="shared" si="235"/>
        <v>250024.79310344832</v>
      </c>
      <c r="G457" s="92">
        <f t="shared" si="235"/>
        <v>108540.04482758621</v>
      </c>
      <c r="H457" s="92">
        <f t="shared" si="235"/>
        <v>0</v>
      </c>
      <c r="I457" s="108">
        <f>SUM(B457:H457)</f>
        <v>511441.17758620699</v>
      </c>
      <c r="J457" s="479">
        <f t="shared" si="234"/>
        <v>73063.025369458148</v>
      </c>
    </row>
    <row r="458" spans="1:10" x14ac:dyDescent="0.25">
      <c r="A458" s="77" t="s">
        <v>27</v>
      </c>
      <c r="B458" s="255">
        <f t="shared" ref="B458:H458" si="236">B461*B451</f>
        <v>919003.83103448269</v>
      </c>
      <c r="C458" s="255">
        <f t="shared" si="236"/>
        <v>1852888.1379310347</v>
      </c>
      <c r="D458" s="255">
        <f t="shared" si="236"/>
        <v>1527791.0620689658</v>
      </c>
      <c r="E458" s="255">
        <f t="shared" si="236"/>
        <v>1359690.6086206897</v>
      </c>
      <c r="F458" s="255">
        <f t="shared" si="236"/>
        <v>3187816.112068966</v>
      </c>
      <c r="G458" s="92">
        <f t="shared" si="236"/>
        <v>1682370.6948275862</v>
      </c>
      <c r="H458" s="92">
        <f t="shared" si="236"/>
        <v>1572144.6517241381</v>
      </c>
      <c r="I458" s="108">
        <f>SUM(B458:H458)</f>
        <v>12101705.098275863</v>
      </c>
      <c r="J458" s="479">
        <f t="shared" si="234"/>
        <v>1728815.0140394089</v>
      </c>
    </row>
    <row r="459" spans="1:10" x14ac:dyDescent="0.25">
      <c r="A459" s="77" t="s">
        <v>28</v>
      </c>
      <c r="B459" s="255">
        <f t="shared" ref="B459:H459" si="237">B461*B452</f>
        <v>22414.727586206896</v>
      </c>
      <c r="C459" s="255">
        <f t="shared" si="237"/>
        <v>0</v>
      </c>
      <c r="D459" s="255">
        <f t="shared" si="237"/>
        <v>34722.524137931039</v>
      </c>
      <c r="E459" s="255">
        <f t="shared" si="237"/>
        <v>146993.57931034482</v>
      </c>
      <c r="F459" s="255">
        <f t="shared" si="237"/>
        <v>0</v>
      </c>
      <c r="G459" s="92">
        <f t="shared" si="237"/>
        <v>108540.04482758621</v>
      </c>
      <c r="H459" s="92">
        <f t="shared" si="237"/>
        <v>0</v>
      </c>
      <c r="I459" s="108">
        <f>SUM(B459:H459)</f>
        <v>312670.87586206896</v>
      </c>
      <c r="J459" s="479">
        <f t="shared" si="234"/>
        <v>44667.267980295568</v>
      </c>
    </row>
    <row r="460" spans="1:10" x14ac:dyDescent="0.25">
      <c r="A460" s="77" t="s">
        <v>29</v>
      </c>
      <c r="B460" s="255">
        <f t="shared" ref="B460:H460" si="238">B461*B453</f>
        <v>0</v>
      </c>
      <c r="C460" s="255">
        <f t="shared" si="238"/>
        <v>0</v>
      </c>
      <c r="D460" s="255">
        <f t="shared" si="238"/>
        <v>0</v>
      </c>
      <c r="E460" s="255">
        <f t="shared" si="238"/>
        <v>0</v>
      </c>
      <c r="F460" s="255">
        <f t="shared" si="238"/>
        <v>0</v>
      </c>
      <c r="G460" s="92">
        <f t="shared" si="238"/>
        <v>0</v>
      </c>
      <c r="H460" s="92">
        <f t="shared" si="238"/>
        <v>0</v>
      </c>
      <c r="I460" s="108">
        <f>SUM(B460:H460)</f>
        <v>0</v>
      </c>
      <c r="J460" s="479">
        <f t="shared" si="234"/>
        <v>0</v>
      </c>
    </row>
    <row r="461" spans="1:10" x14ac:dyDescent="0.25">
      <c r="A461" s="82" t="s">
        <v>30</v>
      </c>
      <c r="B461" s="222">
        <f>(2705100/1.16)-B462</f>
        <v>2241472.7586206896</v>
      </c>
      <c r="C461" s="222">
        <f>(4640300/1.16)-C462</f>
        <v>3860183.6206896557</v>
      </c>
      <c r="D461" s="222">
        <f>(4187800/1.16)-D462</f>
        <v>3472252.4137931038</v>
      </c>
      <c r="E461" s="222">
        <f>(4435300/1.16)-E462</f>
        <v>3674839.4827586208</v>
      </c>
      <c r="F461" s="222">
        <f>(7488200/1.16)-F462</f>
        <v>6250619.8275862075</v>
      </c>
      <c r="G461" s="222">
        <f>(6577800/1.16)-G462</f>
        <v>5427002.2413793104</v>
      </c>
      <c r="H461" s="222">
        <f>(4514600/1.16)-H462</f>
        <v>3743201.5517241382</v>
      </c>
      <c r="I461" s="111">
        <f>SUM(I456:I460)</f>
        <v>28669571.896551725</v>
      </c>
      <c r="J461" s="481">
        <f t="shared" si="234"/>
        <v>4095653.1280788179</v>
      </c>
    </row>
    <row r="462" spans="1:10" x14ac:dyDescent="0.25">
      <c r="A462" s="77" t="s">
        <v>31</v>
      </c>
      <c r="B462" s="263">
        <f t="shared" ref="B462:H462" si="239">2155*B443</f>
        <v>90510</v>
      </c>
      <c r="C462" s="263">
        <f t="shared" si="239"/>
        <v>140075</v>
      </c>
      <c r="D462" s="263">
        <f t="shared" si="239"/>
        <v>137920</v>
      </c>
      <c r="E462" s="263">
        <f t="shared" si="239"/>
        <v>148695</v>
      </c>
      <c r="F462" s="263">
        <f t="shared" si="239"/>
        <v>204725</v>
      </c>
      <c r="G462" s="94">
        <f t="shared" si="239"/>
        <v>243515</v>
      </c>
      <c r="H462" s="94">
        <f t="shared" si="239"/>
        <v>148695</v>
      </c>
      <c r="I462" s="109">
        <f>I443*2155</f>
        <v>1114135</v>
      </c>
      <c r="J462" s="482">
        <f>2155*J443</f>
        <v>159162.14285714287</v>
      </c>
    </row>
    <row r="463" spans="1:10" x14ac:dyDescent="0.25">
      <c r="A463" s="83" t="s">
        <v>32</v>
      </c>
      <c r="B463" s="411">
        <f t="shared" ref="B463:J463" si="240">B461+B462</f>
        <v>2331982.7586206896</v>
      </c>
      <c r="C463" s="411">
        <f t="shared" si="240"/>
        <v>4000258.6206896557</v>
      </c>
      <c r="D463" s="411">
        <f t="shared" si="240"/>
        <v>3610172.4137931038</v>
      </c>
      <c r="E463" s="411">
        <f t="shared" si="240"/>
        <v>3823534.4827586208</v>
      </c>
      <c r="F463" s="411">
        <f t="shared" si="240"/>
        <v>6455344.8275862075</v>
      </c>
      <c r="G463" s="39">
        <f t="shared" si="240"/>
        <v>5670517.2413793104</v>
      </c>
      <c r="H463" s="39">
        <f t="shared" si="240"/>
        <v>3891896.5517241382</v>
      </c>
      <c r="I463" s="412">
        <f t="shared" si="240"/>
        <v>29783706.896551725</v>
      </c>
      <c r="J463" s="484">
        <f t="shared" si="240"/>
        <v>4254815.270935961</v>
      </c>
    </row>
    <row r="464" spans="1:10" x14ac:dyDescent="0.25">
      <c r="A464" s="77" t="s">
        <v>33</v>
      </c>
      <c r="B464" s="413">
        <f t="shared" ref="B464:J464" si="241">B463*16%</f>
        <v>373117.24137931032</v>
      </c>
      <c r="C464" s="413">
        <f t="shared" si="241"/>
        <v>640041.37931034493</v>
      </c>
      <c r="D464" s="413">
        <f t="shared" si="241"/>
        <v>577627.58620689658</v>
      </c>
      <c r="E464" s="413">
        <f t="shared" si="241"/>
        <v>611765.51724137936</v>
      </c>
      <c r="F464" s="413">
        <f t="shared" si="241"/>
        <v>1032855.1724137933</v>
      </c>
      <c r="G464" s="41">
        <f t="shared" si="241"/>
        <v>907282.75862068962</v>
      </c>
      <c r="H464" s="41">
        <f t="shared" si="241"/>
        <v>622703.44827586215</v>
      </c>
      <c r="I464" s="414">
        <f t="shared" si="241"/>
        <v>4765393.1034482764</v>
      </c>
      <c r="J464" s="486">
        <f t="shared" si="241"/>
        <v>680770.44334975374</v>
      </c>
    </row>
    <row r="465" spans="1:10" x14ac:dyDescent="0.25">
      <c r="A465" s="142" t="s">
        <v>34</v>
      </c>
      <c r="B465" s="438">
        <f t="shared" ref="B465:I465" si="242">B463+B464</f>
        <v>2705100</v>
      </c>
      <c r="C465" s="438">
        <f t="shared" si="242"/>
        <v>4640300.0000000009</v>
      </c>
      <c r="D465" s="438">
        <f t="shared" si="242"/>
        <v>4187800.0000000005</v>
      </c>
      <c r="E465" s="438">
        <f t="shared" si="242"/>
        <v>4435300</v>
      </c>
      <c r="F465" s="438">
        <f t="shared" si="242"/>
        <v>7488200.0000000009</v>
      </c>
      <c r="G465" s="144">
        <f t="shared" si="242"/>
        <v>6577800</v>
      </c>
      <c r="H465" s="144">
        <f t="shared" si="242"/>
        <v>4514600</v>
      </c>
      <c r="I465" s="440">
        <f t="shared" si="242"/>
        <v>34549100</v>
      </c>
      <c r="J465" s="488">
        <f>+$I465/7</f>
        <v>4935585.7142857146</v>
      </c>
    </row>
    <row r="466" spans="1:10" x14ac:dyDescent="0.25">
      <c r="I466" s="89"/>
    </row>
    <row r="467" spans="1:10" ht="26.25" x14ac:dyDescent="0.25">
      <c r="A467" s="85"/>
      <c r="B467" s="1002" t="s">
        <v>166</v>
      </c>
      <c r="C467" s="1002"/>
      <c r="D467" s="1002"/>
      <c r="E467" s="1002"/>
      <c r="F467" s="1002"/>
      <c r="G467" s="1002"/>
      <c r="H467" s="1002"/>
      <c r="I467" s="1002"/>
    </row>
    <row r="468" spans="1:10" ht="15.75" x14ac:dyDescent="0.25">
      <c r="A468" s="72" t="s">
        <v>2</v>
      </c>
      <c r="B468" s="121" t="s">
        <v>298</v>
      </c>
      <c r="C468" s="121" t="s">
        <v>299</v>
      </c>
      <c r="D468" s="121" t="s">
        <v>300</v>
      </c>
      <c r="E468" s="121" t="s">
        <v>301</v>
      </c>
      <c r="F468" s="121" t="s">
        <v>65</v>
      </c>
      <c r="G468" s="121" t="s">
        <v>66</v>
      </c>
      <c r="H468" s="121" t="s">
        <v>67</v>
      </c>
      <c r="I468" s="153" t="s">
        <v>10</v>
      </c>
      <c r="J468" s="490" t="s">
        <v>77</v>
      </c>
    </row>
    <row r="469" spans="1:10" x14ac:dyDescent="0.25">
      <c r="A469" s="430" t="s">
        <v>11</v>
      </c>
      <c r="B469" s="433">
        <f>108+76+28</f>
        <v>212</v>
      </c>
      <c r="C469" s="75">
        <f>42+40+13</f>
        <v>95</v>
      </c>
      <c r="D469" s="75">
        <f>62+39+12</f>
        <v>113</v>
      </c>
      <c r="E469" s="75">
        <f>91+35+11</f>
        <v>137</v>
      </c>
      <c r="F469" s="75">
        <f>146+77+29</f>
        <v>252</v>
      </c>
      <c r="G469" s="75">
        <f>95+71+12</f>
        <v>178</v>
      </c>
      <c r="H469" s="75">
        <f>118+68+19</f>
        <v>205</v>
      </c>
      <c r="I469" s="467">
        <f t="shared" ref="I469:I474" si="243">SUM(B469:H469)</f>
        <v>1192</v>
      </c>
      <c r="J469" s="468">
        <f>+$I469/7</f>
        <v>170.28571428571428</v>
      </c>
    </row>
    <row r="470" spans="1:10" x14ac:dyDescent="0.25">
      <c r="A470" s="77" t="s">
        <v>12</v>
      </c>
      <c r="B470" s="233">
        <v>109</v>
      </c>
      <c r="C470" s="13">
        <v>38</v>
      </c>
      <c r="D470" s="13">
        <v>44</v>
      </c>
      <c r="E470" s="13">
        <v>42</v>
      </c>
      <c r="F470" s="13">
        <v>84</v>
      </c>
      <c r="G470" s="13">
        <v>75</v>
      </c>
      <c r="H470" s="13">
        <v>102</v>
      </c>
      <c r="I470" s="11">
        <f t="shared" si="243"/>
        <v>494</v>
      </c>
      <c r="J470" s="470">
        <f t="shared" ref="J470:J475" si="244">+$I470/7</f>
        <v>70.571428571428569</v>
      </c>
    </row>
    <row r="471" spans="1:10" x14ac:dyDescent="0.25">
      <c r="A471" s="77" t="s">
        <v>13</v>
      </c>
      <c r="B471" s="233">
        <v>1</v>
      </c>
      <c r="C471" s="13">
        <v>1</v>
      </c>
      <c r="D471" s="13">
        <v>1</v>
      </c>
      <c r="E471" s="13">
        <v>1</v>
      </c>
      <c r="F471" s="13">
        <v>4</v>
      </c>
      <c r="G471" s="13">
        <v>2</v>
      </c>
      <c r="H471" s="13">
        <v>1</v>
      </c>
      <c r="I471" s="11">
        <f t="shared" si="243"/>
        <v>11</v>
      </c>
      <c r="J471" s="470">
        <f t="shared" si="244"/>
        <v>1.5714285714285714</v>
      </c>
    </row>
    <row r="472" spans="1:10" x14ac:dyDescent="0.25">
      <c r="A472" s="77" t="s">
        <v>14</v>
      </c>
      <c r="B472" s="233">
        <v>63</v>
      </c>
      <c r="C472" s="13">
        <v>47</v>
      </c>
      <c r="D472" s="13">
        <v>44</v>
      </c>
      <c r="E472" s="13">
        <v>79</v>
      </c>
      <c r="F472" s="13">
        <v>111</v>
      </c>
      <c r="G472" s="13">
        <v>77</v>
      </c>
      <c r="H472" s="13">
        <v>62</v>
      </c>
      <c r="I472" s="11">
        <f t="shared" si="243"/>
        <v>483</v>
      </c>
      <c r="J472" s="470">
        <f t="shared" si="244"/>
        <v>69</v>
      </c>
    </row>
    <row r="473" spans="1:10" x14ac:dyDescent="0.25">
      <c r="A473" s="77" t="s">
        <v>15</v>
      </c>
      <c r="B473" s="233">
        <v>0</v>
      </c>
      <c r="C473" s="13">
        <v>0</v>
      </c>
      <c r="D473" s="13">
        <v>7</v>
      </c>
      <c r="E473" s="13">
        <v>0</v>
      </c>
      <c r="F473" s="13">
        <v>1</v>
      </c>
      <c r="G473" s="13">
        <v>2</v>
      </c>
      <c r="H473" s="13">
        <v>1</v>
      </c>
      <c r="I473" s="11">
        <f t="shared" si="243"/>
        <v>11</v>
      </c>
      <c r="J473" s="470">
        <f t="shared" si="244"/>
        <v>1.5714285714285714</v>
      </c>
    </row>
    <row r="474" spans="1:10" x14ac:dyDescent="0.25">
      <c r="A474" s="77" t="s">
        <v>16</v>
      </c>
      <c r="B474" s="233">
        <v>0</v>
      </c>
      <c r="C474" s="13">
        <v>0</v>
      </c>
      <c r="D474" s="13">
        <v>0</v>
      </c>
      <c r="E474" s="13">
        <v>0</v>
      </c>
      <c r="F474" s="13">
        <v>0</v>
      </c>
      <c r="G474" s="13">
        <v>0</v>
      </c>
      <c r="H474" s="13">
        <v>0</v>
      </c>
      <c r="I474" s="11">
        <f t="shared" si="243"/>
        <v>0</v>
      </c>
      <c r="J474" s="470">
        <f t="shared" si="244"/>
        <v>0</v>
      </c>
    </row>
    <row r="475" spans="1:10" x14ac:dyDescent="0.25">
      <c r="A475" s="79" t="s">
        <v>17</v>
      </c>
      <c r="B475" s="102">
        <f t="shared" ref="B475:I475" si="245">SUM(B470:B474)</f>
        <v>173</v>
      </c>
      <c r="C475" s="102">
        <f t="shared" si="245"/>
        <v>86</v>
      </c>
      <c r="D475" s="102">
        <f t="shared" si="245"/>
        <v>96</v>
      </c>
      <c r="E475" s="102">
        <f t="shared" si="245"/>
        <v>122</v>
      </c>
      <c r="F475" s="102">
        <f t="shared" si="245"/>
        <v>200</v>
      </c>
      <c r="G475" s="79">
        <f t="shared" si="245"/>
        <v>156</v>
      </c>
      <c r="H475" s="79">
        <f t="shared" si="245"/>
        <v>166</v>
      </c>
      <c r="I475" s="472">
        <f t="shared" si="245"/>
        <v>999</v>
      </c>
      <c r="J475" s="473">
        <f t="shared" si="244"/>
        <v>142.71428571428572</v>
      </c>
    </row>
    <row r="476" spans="1:10" x14ac:dyDescent="0.25">
      <c r="A476" s="77" t="s">
        <v>18</v>
      </c>
      <c r="B476" s="234">
        <v>0.67</v>
      </c>
      <c r="C476" s="235">
        <v>0.47</v>
      </c>
      <c r="D476" s="235">
        <v>0.47</v>
      </c>
      <c r="E476" s="236">
        <v>0.39</v>
      </c>
      <c r="F476" s="236">
        <v>0.48</v>
      </c>
      <c r="G476" s="236">
        <v>0.52</v>
      </c>
      <c r="H476" s="236">
        <v>0.67</v>
      </c>
      <c r="I476" s="18">
        <f>I483/I488</f>
        <v>0.54172616357314507</v>
      </c>
      <c r="J476" s="475">
        <f>J483/J488</f>
        <v>0.54172616357314518</v>
      </c>
    </row>
    <row r="477" spans="1:10" x14ac:dyDescent="0.25">
      <c r="A477" s="77" t="s">
        <v>19</v>
      </c>
      <c r="B477" s="234">
        <v>0.01</v>
      </c>
      <c r="C477" s="235">
        <v>0.01</v>
      </c>
      <c r="D477" s="235">
        <v>0</v>
      </c>
      <c r="E477" s="236">
        <v>0.01</v>
      </c>
      <c r="F477" s="236">
        <v>0.01</v>
      </c>
      <c r="G477" s="236">
        <v>0.02</v>
      </c>
      <c r="H477" s="236">
        <v>0</v>
      </c>
      <c r="I477" s="18">
        <f>I484/I488</f>
        <v>8.8239659490752954E-3</v>
      </c>
      <c r="J477" s="475">
        <f>J484/J488</f>
        <v>8.8239659490752936E-3</v>
      </c>
    </row>
    <row r="478" spans="1:10" x14ac:dyDescent="0.25">
      <c r="A478" s="77" t="s">
        <v>20</v>
      </c>
      <c r="B478" s="234">
        <v>0.32</v>
      </c>
      <c r="C478" s="235">
        <v>0.52</v>
      </c>
      <c r="D478" s="235">
        <v>0.48</v>
      </c>
      <c r="E478" s="236">
        <v>0.6</v>
      </c>
      <c r="F478" s="236">
        <v>0.51</v>
      </c>
      <c r="G478" s="236">
        <v>0.45</v>
      </c>
      <c r="H478" s="236">
        <v>0.32</v>
      </c>
      <c r="I478" s="18">
        <f>I485/I488</f>
        <v>0.4414232607705369</v>
      </c>
      <c r="J478" s="475">
        <f>J485/J488</f>
        <v>0.4414232607705369</v>
      </c>
    </row>
    <row r="479" spans="1:10" x14ac:dyDescent="0.25">
      <c r="A479" s="77" t="s">
        <v>21</v>
      </c>
      <c r="B479" s="234">
        <v>0</v>
      </c>
      <c r="C479" s="235">
        <v>0</v>
      </c>
      <c r="D479" s="235">
        <v>0.05</v>
      </c>
      <c r="E479" s="236">
        <v>0</v>
      </c>
      <c r="F479" s="236">
        <v>0</v>
      </c>
      <c r="G479" s="236">
        <v>0.01</v>
      </c>
      <c r="H479" s="236">
        <v>0.01</v>
      </c>
      <c r="I479" s="18">
        <f>I486/I488</f>
        <v>8.0266097072425636E-3</v>
      </c>
      <c r="J479" s="475">
        <f>J486/J488</f>
        <v>8.0266097072425636E-3</v>
      </c>
    </row>
    <row r="480" spans="1:10" x14ac:dyDescent="0.25">
      <c r="A480" s="77" t="s">
        <v>22</v>
      </c>
      <c r="B480" s="234">
        <v>0</v>
      </c>
      <c r="C480" s="235">
        <v>0</v>
      </c>
      <c r="D480" s="235">
        <v>0</v>
      </c>
      <c r="E480" s="236">
        <v>0</v>
      </c>
      <c r="F480" s="236">
        <v>0</v>
      </c>
      <c r="G480" s="236">
        <v>0</v>
      </c>
      <c r="H480" s="236">
        <v>0</v>
      </c>
      <c r="I480" s="18">
        <f>I487/I488</f>
        <v>0</v>
      </c>
      <c r="J480" s="475">
        <f>J487/J488</f>
        <v>0</v>
      </c>
    </row>
    <row r="481" spans="1:10" x14ac:dyDescent="0.25">
      <c r="A481" s="81" t="s">
        <v>23</v>
      </c>
      <c r="B481" s="409">
        <f t="shared" ref="B481:J481" si="246">B492/B475</f>
        <v>33802.890173410407</v>
      </c>
      <c r="C481" s="409">
        <f t="shared" si="246"/>
        <v>30965.116279069774</v>
      </c>
      <c r="D481" s="409">
        <f t="shared" si="246"/>
        <v>32317.708333333332</v>
      </c>
      <c r="E481" s="409">
        <f t="shared" si="246"/>
        <v>30474.590163934427</v>
      </c>
      <c r="F481" s="409">
        <f t="shared" si="246"/>
        <v>33837.000000000007</v>
      </c>
      <c r="G481" s="130">
        <f t="shared" si="246"/>
        <v>33419.871794871804</v>
      </c>
      <c r="H481" s="130">
        <f t="shared" si="246"/>
        <v>36560.240963855431</v>
      </c>
      <c r="I481" s="359">
        <f t="shared" si="246"/>
        <v>33414.61461461462</v>
      </c>
      <c r="J481" s="477">
        <f t="shared" si="246"/>
        <v>33414.61461461462</v>
      </c>
    </row>
    <row r="482" spans="1:10" x14ac:dyDescent="0.25">
      <c r="A482" s="81" t="s">
        <v>24</v>
      </c>
      <c r="B482" s="409">
        <f t="shared" ref="B482:J482" si="247">B492/B469</f>
        <v>27584.433962264156</v>
      </c>
      <c r="C482" s="409">
        <f t="shared" si="247"/>
        <v>28031.578947368427</v>
      </c>
      <c r="D482" s="409">
        <f t="shared" si="247"/>
        <v>27455.75221238938</v>
      </c>
      <c r="E482" s="409">
        <f t="shared" si="247"/>
        <v>27137.956204379563</v>
      </c>
      <c r="F482" s="409">
        <f t="shared" si="247"/>
        <v>26854.761904761908</v>
      </c>
      <c r="G482" s="130">
        <f t="shared" si="247"/>
        <v>29289.325842696635</v>
      </c>
      <c r="H482" s="130">
        <f t="shared" si="247"/>
        <v>29604.878048780491</v>
      </c>
      <c r="I482" s="359">
        <f t="shared" si="247"/>
        <v>28004.362416107389</v>
      </c>
      <c r="J482" s="477">
        <f t="shared" si="247"/>
        <v>28004.362416107389</v>
      </c>
    </row>
    <row r="483" spans="1:10" x14ac:dyDescent="0.25">
      <c r="A483" s="77" t="s">
        <v>25</v>
      </c>
      <c r="B483" s="255">
        <f t="shared" ref="B483:H483" si="248">B488*B476</f>
        <v>3220286.7293103454</v>
      </c>
      <c r="C483" s="255">
        <f t="shared" si="248"/>
        <v>1040485.8379310346</v>
      </c>
      <c r="D483" s="255">
        <f t="shared" si="248"/>
        <v>1212482.0137931034</v>
      </c>
      <c r="E483" s="255">
        <f t="shared" si="248"/>
        <v>1214684.7206896553</v>
      </c>
      <c r="F483" s="255">
        <f t="shared" si="248"/>
        <v>2713413.8482758622</v>
      </c>
      <c r="G483" s="92">
        <f t="shared" si="248"/>
        <v>2253041.2068965524</v>
      </c>
      <c r="H483" s="92">
        <f t="shared" si="248"/>
        <v>3358097.9896551729</v>
      </c>
      <c r="I483" s="108">
        <f>SUM(B483:H483)</f>
        <v>15012492.346551726</v>
      </c>
      <c r="J483" s="479">
        <f t="shared" ref="J483:J488" si="249">+$I483/7</f>
        <v>2144641.7637931039</v>
      </c>
    </row>
    <row r="484" spans="1:10" x14ac:dyDescent="0.25">
      <c r="A484" s="77" t="s">
        <v>26</v>
      </c>
      <c r="B484" s="255">
        <f t="shared" ref="B484:H484" si="250">B488*B477</f>
        <v>48063.981034482764</v>
      </c>
      <c r="C484" s="255">
        <f t="shared" si="250"/>
        <v>22137.996551724144</v>
      </c>
      <c r="D484" s="255">
        <f t="shared" si="250"/>
        <v>0</v>
      </c>
      <c r="E484" s="255">
        <f t="shared" si="250"/>
        <v>31145.76206896552</v>
      </c>
      <c r="F484" s="255">
        <f t="shared" si="250"/>
        <v>56529.4551724138</v>
      </c>
      <c r="G484" s="92">
        <f t="shared" si="250"/>
        <v>86655.431034482768</v>
      </c>
      <c r="H484" s="92">
        <f t="shared" si="250"/>
        <v>0</v>
      </c>
      <c r="I484" s="108">
        <f>SUM(B484:H484)</f>
        <v>244532.62586206902</v>
      </c>
      <c r="J484" s="479">
        <f t="shared" si="249"/>
        <v>34933.232266009858</v>
      </c>
    </row>
    <row r="485" spans="1:10" x14ac:dyDescent="0.25">
      <c r="A485" s="77" t="s">
        <v>27</v>
      </c>
      <c r="B485" s="255">
        <f t="shared" ref="B485:H485" si="251">B488*B478</f>
        <v>1538047.3931034484</v>
      </c>
      <c r="C485" s="255">
        <f t="shared" si="251"/>
        <v>1151175.8206896554</v>
      </c>
      <c r="D485" s="255">
        <f t="shared" si="251"/>
        <v>1238279.5034482758</v>
      </c>
      <c r="E485" s="255">
        <f t="shared" si="251"/>
        <v>1868745.7241379311</v>
      </c>
      <c r="F485" s="255">
        <f t="shared" si="251"/>
        <v>2883002.213793104</v>
      </c>
      <c r="G485" s="92">
        <f t="shared" si="251"/>
        <v>1949747.1982758625</v>
      </c>
      <c r="H485" s="92">
        <f t="shared" si="251"/>
        <v>1603867.6965517243</v>
      </c>
      <c r="I485" s="108">
        <f>SUM(B485:H485)</f>
        <v>12232865.550000001</v>
      </c>
      <c r="J485" s="479">
        <f t="shared" si="249"/>
        <v>1747552.2214285715</v>
      </c>
    </row>
    <row r="486" spans="1:10" x14ac:dyDescent="0.25">
      <c r="A486" s="77" t="s">
        <v>28</v>
      </c>
      <c r="B486" s="255">
        <f t="shared" ref="B486:H486" si="252">B488*B479</f>
        <v>0</v>
      </c>
      <c r="C486" s="255">
        <f t="shared" si="252"/>
        <v>0</v>
      </c>
      <c r="D486" s="255">
        <f t="shared" si="252"/>
        <v>128987.44827586209</v>
      </c>
      <c r="E486" s="255">
        <f t="shared" si="252"/>
        <v>0</v>
      </c>
      <c r="F486" s="255">
        <f t="shared" si="252"/>
        <v>0</v>
      </c>
      <c r="G486" s="92">
        <f t="shared" si="252"/>
        <v>43327.715517241384</v>
      </c>
      <c r="H486" s="92">
        <f t="shared" si="252"/>
        <v>50120.865517241386</v>
      </c>
      <c r="I486" s="108">
        <f>SUM(B486:H486)</f>
        <v>222436.02931034486</v>
      </c>
      <c r="J486" s="479">
        <f t="shared" si="249"/>
        <v>31776.575615763551</v>
      </c>
    </row>
    <row r="487" spans="1:10" x14ac:dyDescent="0.25">
      <c r="A487" s="77" t="s">
        <v>29</v>
      </c>
      <c r="B487" s="255">
        <f t="shared" ref="B487:H487" si="253">B488*B480</f>
        <v>0</v>
      </c>
      <c r="C487" s="255">
        <f t="shared" si="253"/>
        <v>0</v>
      </c>
      <c r="D487" s="255">
        <f t="shared" si="253"/>
        <v>0</v>
      </c>
      <c r="E487" s="255">
        <f t="shared" si="253"/>
        <v>0</v>
      </c>
      <c r="F487" s="255">
        <f t="shared" si="253"/>
        <v>0</v>
      </c>
      <c r="G487" s="92">
        <f t="shared" si="253"/>
        <v>0</v>
      </c>
      <c r="H487" s="92">
        <f t="shared" si="253"/>
        <v>0</v>
      </c>
      <c r="I487" s="108">
        <f>SUM(B487:H487)</f>
        <v>0</v>
      </c>
      <c r="J487" s="479">
        <f t="shared" si="249"/>
        <v>0</v>
      </c>
    </row>
    <row r="488" spans="1:10" x14ac:dyDescent="0.25">
      <c r="A488" s="82" t="s">
        <v>30</v>
      </c>
      <c r="B488" s="222">
        <f>(5847900/1.16)-B489</f>
        <v>4806398.1034482764</v>
      </c>
      <c r="C488" s="222">
        <f>(2663000/1.16)-C489</f>
        <v>2213799.6551724141</v>
      </c>
      <c r="D488" s="222">
        <f>(3102500/1.16)-D489</f>
        <v>2579748.9655172415</v>
      </c>
      <c r="E488" s="222">
        <f>(3717900/1.16)-E489</f>
        <v>3114576.2068965519</v>
      </c>
      <c r="F488" s="222">
        <f>(6767400/1.16)-F489</f>
        <v>5652945.5172413802</v>
      </c>
      <c r="G488" s="222">
        <f>(5213500/1.16)-G489</f>
        <v>4332771.5517241387</v>
      </c>
      <c r="H488" s="222">
        <f>(6069000/1.16)-H489</f>
        <v>5012086.5517241387</v>
      </c>
      <c r="I488" s="111">
        <f>SUM(I483:I487)</f>
        <v>27712326.551724143</v>
      </c>
      <c r="J488" s="481">
        <f t="shared" si="249"/>
        <v>3958903.793103449</v>
      </c>
    </row>
    <row r="489" spans="1:10" x14ac:dyDescent="0.25">
      <c r="A489" s="77" t="s">
        <v>31</v>
      </c>
      <c r="B489" s="263">
        <f t="shared" ref="B489:H489" si="254">2155*B470</f>
        <v>234895</v>
      </c>
      <c r="C489" s="263">
        <f t="shared" si="254"/>
        <v>81890</v>
      </c>
      <c r="D489" s="263">
        <f t="shared" si="254"/>
        <v>94820</v>
      </c>
      <c r="E489" s="263">
        <f t="shared" si="254"/>
        <v>90510</v>
      </c>
      <c r="F489" s="263">
        <f t="shared" si="254"/>
        <v>181020</v>
      </c>
      <c r="G489" s="94">
        <f t="shared" si="254"/>
        <v>161625</v>
      </c>
      <c r="H489" s="94">
        <f t="shared" si="254"/>
        <v>219810</v>
      </c>
      <c r="I489" s="109">
        <f>I470*2155</f>
        <v>1064570</v>
      </c>
      <c r="J489" s="482">
        <f>2155*J470</f>
        <v>152081.42857142858</v>
      </c>
    </row>
    <row r="490" spans="1:10" x14ac:dyDescent="0.25">
      <c r="A490" s="83" t="s">
        <v>32</v>
      </c>
      <c r="B490" s="411">
        <f t="shared" ref="B490:J490" si="255">B488+B489</f>
        <v>5041293.1034482764</v>
      </c>
      <c r="C490" s="411">
        <f t="shared" si="255"/>
        <v>2295689.6551724141</v>
      </c>
      <c r="D490" s="411">
        <f t="shared" si="255"/>
        <v>2674568.9655172415</v>
      </c>
      <c r="E490" s="411">
        <f t="shared" si="255"/>
        <v>3205086.2068965519</v>
      </c>
      <c r="F490" s="411">
        <f t="shared" si="255"/>
        <v>5833965.5172413802</v>
      </c>
      <c r="G490" s="39">
        <f t="shared" si="255"/>
        <v>4494396.5517241387</v>
      </c>
      <c r="H490" s="39">
        <f t="shared" si="255"/>
        <v>5231896.5517241387</v>
      </c>
      <c r="I490" s="412">
        <f t="shared" si="255"/>
        <v>28776896.551724143</v>
      </c>
      <c r="J490" s="484">
        <f t="shared" si="255"/>
        <v>4110985.2216748777</v>
      </c>
    </row>
    <row r="491" spans="1:10" x14ac:dyDescent="0.25">
      <c r="A491" s="77" t="s">
        <v>33</v>
      </c>
      <c r="B491" s="413">
        <f t="shared" ref="B491:J491" si="256">B490*16%</f>
        <v>806606.89655172429</v>
      </c>
      <c r="C491" s="413">
        <f t="shared" si="256"/>
        <v>367310.34482758626</v>
      </c>
      <c r="D491" s="413">
        <f t="shared" si="256"/>
        <v>427931.03448275867</v>
      </c>
      <c r="E491" s="413">
        <f t="shared" si="256"/>
        <v>512813.79310344829</v>
      </c>
      <c r="F491" s="413">
        <f t="shared" si="256"/>
        <v>933434.48275862087</v>
      </c>
      <c r="G491" s="41">
        <f t="shared" si="256"/>
        <v>719103.44827586215</v>
      </c>
      <c r="H491" s="41">
        <f t="shared" si="256"/>
        <v>837103.44827586226</v>
      </c>
      <c r="I491" s="414">
        <f t="shared" si="256"/>
        <v>4604303.4482758632</v>
      </c>
      <c r="J491" s="486">
        <f t="shared" si="256"/>
        <v>657757.63546798041</v>
      </c>
    </row>
    <row r="492" spans="1:10" x14ac:dyDescent="0.25">
      <c r="A492" s="142" t="s">
        <v>34</v>
      </c>
      <c r="B492" s="438">
        <f t="shared" ref="B492:I492" si="257">B490+B491</f>
        <v>5847900.0000000009</v>
      </c>
      <c r="C492" s="438">
        <f t="shared" si="257"/>
        <v>2663000.0000000005</v>
      </c>
      <c r="D492" s="438">
        <f t="shared" si="257"/>
        <v>3102500</v>
      </c>
      <c r="E492" s="438">
        <f t="shared" si="257"/>
        <v>3717900</v>
      </c>
      <c r="F492" s="438">
        <f t="shared" si="257"/>
        <v>6767400.0000000009</v>
      </c>
      <c r="G492" s="144">
        <f t="shared" si="257"/>
        <v>5213500.0000000009</v>
      </c>
      <c r="H492" s="144">
        <f t="shared" si="257"/>
        <v>6069000.0000000009</v>
      </c>
      <c r="I492" s="440">
        <f t="shared" si="257"/>
        <v>33381200.000000007</v>
      </c>
      <c r="J492" s="488">
        <f>+$I492/7</f>
        <v>4768742.8571428582</v>
      </c>
    </row>
    <row r="493" spans="1:10" x14ac:dyDescent="0.25">
      <c r="I493" s="89"/>
    </row>
    <row r="494" spans="1:10" ht="26.25" x14ac:dyDescent="0.25">
      <c r="A494" s="85"/>
      <c r="B494" s="1002" t="s">
        <v>169</v>
      </c>
      <c r="C494" s="1002"/>
      <c r="D494" s="1002"/>
      <c r="E494" s="1002"/>
      <c r="F494" s="1002"/>
      <c r="G494" s="1002"/>
      <c r="H494" s="1002"/>
      <c r="I494" s="1002"/>
    </row>
    <row r="495" spans="1:10" ht="15.75" x14ac:dyDescent="0.25">
      <c r="A495" s="72" t="s">
        <v>2</v>
      </c>
      <c r="B495" s="228" t="s">
        <v>70</v>
      </c>
      <c r="C495" s="228" t="s">
        <v>71</v>
      </c>
      <c r="D495" s="228" t="s">
        <v>72</v>
      </c>
      <c r="E495" s="228" t="s">
        <v>73</v>
      </c>
      <c r="F495" s="228" t="s">
        <v>74</v>
      </c>
      <c r="G495" s="228" t="s">
        <v>75</v>
      </c>
      <c r="H495" s="228" t="s">
        <v>76</v>
      </c>
      <c r="I495" s="153" t="s">
        <v>10</v>
      </c>
      <c r="J495" s="490" t="s">
        <v>77</v>
      </c>
    </row>
    <row r="496" spans="1:10" x14ac:dyDescent="0.25">
      <c r="A496" s="430" t="s">
        <v>11</v>
      </c>
      <c r="B496" s="433">
        <f>66+28+7</f>
        <v>101</v>
      </c>
      <c r="C496" s="75">
        <f>78+35+16</f>
        <v>129</v>
      </c>
      <c r="D496" s="75">
        <f>96+42+15</f>
        <v>153</v>
      </c>
      <c r="E496" s="75">
        <f>89+42+10</f>
        <v>141</v>
      </c>
      <c r="F496" s="75">
        <f>154+82+28</f>
        <v>264</v>
      </c>
      <c r="G496" s="75">
        <f>104+82+30</f>
        <v>216</v>
      </c>
      <c r="H496" s="75">
        <f>76+51+23</f>
        <v>150</v>
      </c>
      <c r="I496" s="467">
        <f t="shared" ref="I496:I501" si="258">SUM(B496:H496)</f>
        <v>1154</v>
      </c>
      <c r="J496" s="468">
        <f>+$I496/7</f>
        <v>164.85714285714286</v>
      </c>
    </row>
    <row r="497" spans="1:10" x14ac:dyDescent="0.25">
      <c r="A497" s="77" t="s">
        <v>12</v>
      </c>
      <c r="B497" s="233">
        <v>44</v>
      </c>
      <c r="C497" s="13">
        <v>51</v>
      </c>
      <c r="D497" s="13">
        <v>61</v>
      </c>
      <c r="E497" s="13">
        <v>43</v>
      </c>
      <c r="F497" s="13">
        <v>107</v>
      </c>
      <c r="G497" s="13">
        <v>102</v>
      </c>
      <c r="H497" s="13">
        <v>77</v>
      </c>
      <c r="I497" s="11">
        <f t="shared" si="258"/>
        <v>485</v>
      </c>
      <c r="J497" s="470">
        <f t="shared" ref="J497:J502" si="259">+$I497/7</f>
        <v>69.285714285714292</v>
      </c>
    </row>
    <row r="498" spans="1:10" x14ac:dyDescent="0.25">
      <c r="A498" s="77" t="s">
        <v>13</v>
      </c>
      <c r="B498" s="233">
        <v>0</v>
      </c>
      <c r="C498" s="13">
        <v>1</v>
      </c>
      <c r="D498" s="13">
        <v>1</v>
      </c>
      <c r="E498" s="13">
        <v>1</v>
      </c>
      <c r="F498" s="13">
        <v>4</v>
      </c>
      <c r="G498" s="13">
        <v>3</v>
      </c>
      <c r="H498" s="13">
        <v>0</v>
      </c>
      <c r="I498" s="11">
        <f t="shared" si="258"/>
        <v>10</v>
      </c>
      <c r="J498" s="470">
        <f t="shared" si="259"/>
        <v>1.4285714285714286</v>
      </c>
    </row>
    <row r="499" spans="1:10" x14ac:dyDescent="0.25">
      <c r="A499" s="77" t="s">
        <v>14</v>
      </c>
      <c r="B499" s="233">
        <v>45</v>
      </c>
      <c r="C499" s="13">
        <v>59</v>
      </c>
      <c r="D499" s="13">
        <v>71</v>
      </c>
      <c r="E499" s="13">
        <v>84</v>
      </c>
      <c r="F499" s="13">
        <v>105</v>
      </c>
      <c r="G499" s="13">
        <v>71</v>
      </c>
      <c r="H499" s="13">
        <v>39</v>
      </c>
      <c r="I499" s="11">
        <f t="shared" si="258"/>
        <v>474</v>
      </c>
      <c r="J499" s="470">
        <f t="shared" si="259"/>
        <v>67.714285714285708</v>
      </c>
    </row>
    <row r="500" spans="1:10" x14ac:dyDescent="0.25">
      <c r="A500" s="77" t="s">
        <v>15</v>
      </c>
      <c r="B500" s="233">
        <v>0</v>
      </c>
      <c r="C500" s="13">
        <v>2</v>
      </c>
      <c r="D500" s="13">
        <v>1</v>
      </c>
      <c r="E500" s="13">
        <v>0</v>
      </c>
      <c r="F500" s="13">
        <v>0</v>
      </c>
      <c r="G500" s="13">
        <v>0</v>
      </c>
      <c r="H500" s="13">
        <v>0</v>
      </c>
      <c r="I500" s="11">
        <f t="shared" si="258"/>
        <v>3</v>
      </c>
      <c r="J500" s="470">
        <f t="shared" si="259"/>
        <v>0.42857142857142855</v>
      </c>
    </row>
    <row r="501" spans="1:10" x14ac:dyDescent="0.25">
      <c r="A501" s="77" t="s">
        <v>16</v>
      </c>
      <c r="B501" s="233">
        <v>0</v>
      </c>
      <c r="C501" s="13">
        <v>0</v>
      </c>
      <c r="D501" s="13">
        <v>0</v>
      </c>
      <c r="E501" s="13">
        <v>0</v>
      </c>
      <c r="F501" s="13">
        <v>0</v>
      </c>
      <c r="G501" s="13">
        <v>0</v>
      </c>
      <c r="H501" s="13">
        <v>0</v>
      </c>
      <c r="I501" s="11">
        <f t="shared" si="258"/>
        <v>0</v>
      </c>
      <c r="J501" s="470">
        <f t="shared" si="259"/>
        <v>0</v>
      </c>
    </row>
    <row r="502" spans="1:10" x14ac:dyDescent="0.25">
      <c r="A502" s="79" t="s">
        <v>17</v>
      </c>
      <c r="B502" s="102">
        <f t="shared" ref="B502:I502" si="260">SUM(B497:B501)</f>
        <v>89</v>
      </c>
      <c r="C502" s="102">
        <f t="shared" si="260"/>
        <v>113</v>
      </c>
      <c r="D502" s="102">
        <f t="shared" si="260"/>
        <v>134</v>
      </c>
      <c r="E502" s="102">
        <f t="shared" si="260"/>
        <v>128</v>
      </c>
      <c r="F502" s="102">
        <f t="shared" si="260"/>
        <v>216</v>
      </c>
      <c r="G502" s="79">
        <f t="shared" si="260"/>
        <v>176</v>
      </c>
      <c r="H502" s="79">
        <f t="shared" si="260"/>
        <v>116</v>
      </c>
      <c r="I502" s="472">
        <f t="shared" si="260"/>
        <v>972</v>
      </c>
      <c r="J502" s="473">
        <f t="shared" si="259"/>
        <v>138.85714285714286</v>
      </c>
    </row>
    <row r="503" spans="1:10" x14ac:dyDescent="0.25">
      <c r="A503" s="77" t="s">
        <v>18</v>
      </c>
      <c r="B503" s="234">
        <v>0.57999999999999996</v>
      </c>
      <c r="C503" s="235">
        <v>0.47</v>
      </c>
      <c r="D503" s="235">
        <v>0.55000000000000004</v>
      </c>
      <c r="E503" s="236">
        <v>0.36</v>
      </c>
      <c r="F503" s="236">
        <v>0.55000000000000004</v>
      </c>
      <c r="G503" s="236">
        <v>0.64</v>
      </c>
      <c r="H503" s="236">
        <v>0.68</v>
      </c>
      <c r="I503" s="18">
        <f>I510/I515</f>
        <v>0.55498126264512526</v>
      </c>
      <c r="J503" s="475">
        <f>J510/J515</f>
        <v>0.55498126264512537</v>
      </c>
    </row>
    <row r="504" spans="1:10" x14ac:dyDescent="0.25">
      <c r="A504" s="77" t="s">
        <v>19</v>
      </c>
      <c r="B504" s="234">
        <v>0</v>
      </c>
      <c r="C504" s="235">
        <v>0.01</v>
      </c>
      <c r="D504" s="235">
        <v>0</v>
      </c>
      <c r="E504" s="236">
        <v>0.01</v>
      </c>
      <c r="F504" s="236">
        <v>0.02</v>
      </c>
      <c r="G504" s="236">
        <v>0.02</v>
      </c>
      <c r="H504" s="236">
        <v>0</v>
      </c>
      <c r="I504" s="18">
        <f>I511/I515</f>
        <v>1.0810491318330893E-2</v>
      </c>
      <c r="J504" s="475">
        <f>J511/J515</f>
        <v>1.0810491318330895E-2</v>
      </c>
    </row>
    <row r="505" spans="1:10" x14ac:dyDescent="0.25">
      <c r="A505" s="77" t="s">
        <v>20</v>
      </c>
      <c r="B505" s="234">
        <v>0.42</v>
      </c>
      <c r="C505" s="235">
        <v>0.51</v>
      </c>
      <c r="D505" s="235">
        <v>0.45</v>
      </c>
      <c r="E505" s="236">
        <v>0.63</v>
      </c>
      <c r="F505" s="236">
        <v>0.43</v>
      </c>
      <c r="G505" s="236">
        <v>0.34</v>
      </c>
      <c r="H505" s="236">
        <v>0.32</v>
      </c>
      <c r="I505" s="18">
        <f>I512/I515</f>
        <v>0.43316421253515691</v>
      </c>
      <c r="J505" s="475">
        <f>J512/J515</f>
        <v>0.43316421253515697</v>
      </c>
    </row>
    <row r="506" spans="1:10" x14ac:dyDescent="0.25">
      <c r="A506" s="77" t="s">
        <v>21</v>
      </c>
      <c r="B506" s="234">
        <v>0</v>
      </c>
      <c r="C506" s="235">
        <v>0.01</v>
      </c>
      <c r="D506" s="235">
        <v>0</v>
      </c>
      <c r="E506" s="236">
        <v>0</v>
      </c>
      <c r="F506" s="236">
        <v>0</v>
      </c>
      <c r="G506" s="236">
        <v>0</v>
      </c>
      <c r="H506" s="236">
        <v>0</v>
      </c>
      <c r="I506" s="18">
        <f>I513/I515</f>
        <v>1.0440335013869432E-3</v>
      </c>
      <c r="J506" s="475">
        <f>J513/J515</f>
        <v>1.0440335013869432E-3</v>
      </c>
    </row>
    <row r="507" spans="1:10" x14ac:dyDescent="0.25">
      <c r="A507" s="77" t="s">
        <v>22</v>
      </c>
      <c r="B507" s="234">
        <v>0</v>
      </c>
      <c r="C507" s="235">
        <v>0</v>
      </c>
      <c r="D507" s="235">
        <v>0</v>
      </c>
      <c r="E507" s="236">
        <v>0</v>
      </c>
      <c r="F507" s="236">
        <v>0</v>
      </c>
      <c r="G507" s="236">
        <v>0</v>
      </c>
      <c r="H507" s="236">
        <v>0</v>
      </c>
      <c r="I507" s="18">
        <f>I514/I515</f>
        <v>0</v>
      </c>
      <c r="J507" s="475">
        <f>J514/J515</f>
        <v>0</v>
      </c>
    </row>
    <row r="508" spans="1:10" x14ac:dyDescent="0.25">
      <c r="A508" s="81" t="s">
        <v>23</v>
      </c>
      <c r="B508" s="409">
        <f t="shared" ref="B508:J508" si="261">B519/B502</f>
        <v>33997.752808988771</v>
      </c>
      <c r="C508" s="409">
        <f t="shared" si="261"/>
        <v>30039.823008849558</v>
      </c>
      <c r="D508" s="409">
        <f t="shared" si="261"/>
        <v>30542.53731343284</v>
      </c>
      <c r="E508" s="409">
        <f t="shared" si="261"/>
        <v>30162.5</v>
      </c>
      <c r="F508" s="409">
        <f t="shared" si="261"/>
        <v>36475.462962962971</v>
      </c>
      <c r="G508" s="130">
        <f t="shared" si="261"/>
        <v>34362.5</v>
      </c>
      <c r="H508" s="130">
        <f t="shared" si="261"/>
        <v>36243.965517241377</v>
      </c>
      <c r="I508" s="359">
        <f t="shared" si="261"/>
        <v>33440.946502057617</v>
      </c>
      <c r="J508" s="477">
        <f t="shared" si="261"/>
        <v>33440.946502057617</v>
      </c>
    </row>
    <row r="509" spans="1:10" x14ac:dyDescent="0.25">
      <c r="A509" s="81" t="s">
        <v>24</v>
      </c>
      <c r="B509" s="409">
        <f t="shared" ref="B509:J509" si="262">B519/B496</f>
        <v>29958.415841584163</v>
      </c>
      <c r="C509" s="409">
        <f t="shared" si="262"/>
        <v>26313.953488372092</v>
      </c>
      <c r="D509" s="409">
        <f t="shared" si="262"/>
        <v>26749.673202614384</v>
      </c>
      <c r="E509" s="409">
        <f t="shared" si="262"/>
        <v>27381.560283687944</v>
      </c>
      <c r="F509" s="409">
        <f t="shared" si="262"/>
        <v>29843.560606060608</v>
      </c>
      <c r="G509" s="130">
        <f t="shared" si="262"/>
        <v>27999.074074074073</v>
      </c>
      <c r="H509" s="130">
        <f t="shared" si="262"/>
        <v>28028.666666666668</v>
      </c>
      <c r="I509" s="359">
        <f t="shared" si="262"/>
        <v>28166.897746967075</v>
      </c>
      <c r="J509" s="477">
        <f t="shared" si="262"/>
        <v>28166.897746967075</v>
      </c>
    </row>
    <row r="510" spans="1:10" x14ac:dyDescent="0.25">
      <c r="A510" s="77" t="s">
        <v>25</v>
      </c>
      <c r="B510" s="255">
        <f t="shared" ref="B510:H510" si="263">B515*B503</f>
        <v>1457904.4000000001</v>
      </c>
      <c r="C510" s="255">
        <f t="shared" si="263"/>
        <v>1323702.4086206895</v>
      </c>
      <c r="D510" s="255">
        <f t="shared" si="263"/>
        <v>1868204.0603448278</v>
      </c>
      <c r="E510" s="255">
        <f t="shared" si="263"/>
        <v>1164819.9103448275</v>
      </c>
      <c r="F510" s="255">
        <f t="shared" si="263"/>
        <v>3608768.7672413802</v>
      </c>
      <c r="G510" s="92">
        <f t="shared" si="263"/>
        <v>3196038.8413793105</v>
      </c>
      <c r="H510" s="92">
        <f t="shared" si="263"/>
        <v>2351753.8551724143</v>
      </c>
      <c r="I510" s="108">
        <f>SUM(B510:H510)</f>
        <v>14971192.243103452</v>
      </c>
      <c r="J510" s="479">
        <f t="shared" ref="J510:J515" si="264">+$I510/7</f>
        <v>2138741.749014779</v>
      </c>
    </row>
    <row r="511" spans="1:10" x14ac:dyDescent="0.25">
      <c r="A511" s="77" t="s">
        <v>26</v>
      </c>
      <c r="B511" s="255">
        <f t="shared" ref="B511:H511" si="265">B515*B504</f>
        <v>0</v>
      </c>
      <c r="C511" s="255">
        <f t="shared" si="265"/>
        <v>28163.881034482762</v>
      </c>
      <c r="D511" s="255">
        <f t="shared" si="265"/>
        <v>0</v>
      </c>
      <c r="E511" s="255">
        <f t="shared" si="265"/>
        <v>32356.108620689658</v>
      </c>
      <c r="F511" s="255">
        <f t="shared" si="265"/>
        <v>131227.95517241381</v>
      </c>
      <c r="G511" s="92">
        <f t="shared" si="265"/>
        <v>99876.213793103452</v>
      </c>
      <c r="H511" s="92">
        <f t="shared" si="265"/>
        <v>0</v>
      </c>
      <c r="I511" s="108">
        <f>SUM(B511:H511)</f>
        <v>291624.1586206897</v>
      </c>
      <c r="J511" s="479">
        <f t="shared" si="264"/>
        <v>41660.594088669961</v>
      </c>
    </row>
    <row r="512" spans="1:10" x14ac:dyDescent="0.25">
      <c r="A512" s="77" t="s">
        <v>27</v>
      </c>
      <c r="B512" s="255">
        <f t="shared" ref="B512:H512" si="266">B515*B505</f>
        <v>1055723.8758620692</v>
      </c>
      <c r="C512" s="255">
        <f t="shared" si="266"/>
        <v>1436357.9327586207</v>
      </c>
      <c r="D512" s="255">
        <f t="shared" si="266"/>
        <v>1528530.5948275863</v>
      </c>
      <c r="E512" s="255">
        <f t="shared" si="266"/>
        <v>2038434.8431034484</v>
      </c>
      <c r="F512" s="255">
        <f t="shared" si="266"/>
        <v>2821401.0362068969</v>
      </c>
      <c r="G512" s="92">
        <f t="shared" si="266"/>
        <v>1697895.6344827588</v>
      </c>
      <c r="H512" s="92">
        <f t="shared" si="266"/>
        <v>1106707.6965517243</v>
      </c>
      <c r="I512" s="108">
        <f>SUM(B512:H512)</f>
        <v>11685051.613793105</v>
      </c>
      <c r="J512" s="479">
        <f t="shared" si="264"/>
        <v>1669293.0876847294</v>
      </c>
    </row>
    <row r="513" spans="1:10" x14ac:dyDescent="0.25">
      <c r="A513" s="77" t="s">
        <v>28</v>
      </c>
      <c r="B513" s="255">
        <f t="shared" ref="B513:H513" si="267">B515*B506</f>
        <v>0</v>
      </c>
      <c r="C513" s="255">
        <f t="shared" si="267"/>
        <v>28163.881034482762</v>
      </c>
      <c r="D513" s="255">
        <f t="shared" si="267"/>
        <v>0</v>
      </c>
      <c r="E513" s="255">
        <f t="shared" si="267"/>
        <v>0</v>
      </c>
      <c r="F513" s="255">
        <f t="shared" si="267"/>
        <v>0</v>
      </c>
      <c r="G513" s="92">
        <f t="shared" si="267"/>
        <v>0</v>
      </c>
      <c r="H513" s="92">
        <f t="shared" si="267"/>
        <v>0</v>
      </c>
      <c r="I513" s="108">
        <f>SUM(B513:H513)</f>
        <v>28163.881034482762</v>
      </c>
      <c r="J513" s="479">
        <f t="shared" si="264"/>
        <v>4023.4115763546802</v>
      </c>
    </row>
    <row r="514" spans="1:10" x14ac:dyDescent="0.25">
      <c r="A514" s="77" t="s">
        <v>29</v>
      </c>
      <c r="B514" s="255">
        <f t="shared" ref="B514:H514" si="268">B515*B507</f>
        <v>0</v>
      </c>
      <c r="C514" s="255">
        <f t="shared" si="268"/>
        <v>0</v>
      </c>
      <c r="D514" s="255">
        <f t="shared" si="268"/>
        <v>0</v>
      </c>
      <c r="E514" s="255">
        <f t="shared" si="268"/>
        <v>0</v>
      </c>
      <c r="F514" s="255">
        <f t="shared" si="268"/>
        <v>0</v>
      </c>
      <c r="G514" s="92">
        <f t="shared" si="268"/>
        <v>0</v>
      </c>
      <c r="H514" s="92">
        <f t="shared" si="268"/>
        <v>0</v>
      </c>
      <c r="I514" s="108">
        <f>SUM(B514:H514)</f>
        <v>0</v>
      </c>
      <c r="J514" s="479">
        <f t="shared" si="264"/>
        <v>0</v>
      </c>
    </row>
    <row r="515" spans="1:10" x14ac:dyDescent="0.25">
      <c r="A515" s="82" t="s">
        <v>30</v>
      </c>
      <c r="B515" s="222">
        <f>(3025800/1.16)-B516</f>
        <v>2513628.2758620693</v>
      </c>
      <c r="C515" s="222">
        <f>(3394500/1.16)-C516</f>
        <v>2816388.1034482759</v>
      </c>
      <c r="D515" s="222">
        <f>(4092700/1.16)-D516</f>
        <v>3396734.6551724141</v>
      </c>
      <c r="E515" s="222">
        <f>(3860800/1.16)-E516</f>
        <v>3235610.8620689656</v>
      </c>
      <c r="F515" s="222">
        <f>(7878700/1.16)-F516</f>
        <v>6561397.7586206906</v>
      </c>
      <c r="G515" s="222">
        <f>(6047800/1.16)-G516</f>
        <v>4993810.6896551726</v>
      </c>
      <c r="H515" s="222">
        <f>(4204300/1.16)-H516</f>
        <v>3458461.5517241382</v>
      </c>
      <c r="I515" s="111">
        <f>SUM(I510:I514)</f>
        <v>26976031.896551728</v>
      </c>
      <c r="J515" s="481">
        <f t="shared" si="264"/>
        <v>3853718.8423645324</v>
      </c>
    </row>
    <row r="516" spans="1:10" x14ac:dyDescent="0.25">
      <c r="A516" s="77" t="s">
        <v>31</v>
      </c>
      <c r="B516" s="263">
        <f t="shared" ref="B516:H516" si="269">2155*B497</f>
        <v>94820</v>
      </c>
      <c r="C516" s="263">
        <f t="shared" si="269"/>
        <v>109905</v>
      </c>
      <c r="D516" s="263">
        <f t="shared" si="269"/>
        <v>131455</v>
      </c>
      <c r="E516" s="263">
        <f t="shared" si="269"/>
        <v>92665</v>
      </c>
      <c r="F516" s="263">
        <f t="shared" si="269"/>
        <v>230585</v>
      </c>
      <c r="G516" s="94">
        <f t="shared" si="269"/>
        <v>219810</v>
      </c>
      <c r="H516" s="94">
        <f t="shared" si="269"/>
        <v>165935</v>
      </c>
      <c r="I516" s="109">
        <f>I497*2155</f>
        <v>1045175</v>
      </c>
      <c r="J516" s="482">
        <f>2155*J497</f>
        <v>149310.71428571429</v>
      </c>
    </row>
    <row r="517" spans="1:10" x14ac:dyDescent="0.25">
      <c r="A517" s="83" t="s">
        <v>32</v>
      </c>
      <c r="B517" s="411">
        <f t="shared" ref="B517:J517" si="270">B515+B516</f>
        <v>2608448.2758620693</v>
      </c>
      <c r="C517" s="411">
        <f t="shared" si="270"/>
        <v>2926293.1034482759</v>
      </c>
      <c r="D517" s="411">
        <f t="shared" si="270"/>
        <v>3528189.6551724141</v>
      </c>
      <c r="E517" s="411">
        <f t="shared" si="270"/>
        <v>3328275.8620689656</v>
      </c>
      <c r="F517" s="411">
        <f t="shared" si="270"/>
        <v>6791982.7586206906</v>
      </c>
      <c r="G517" s="39">
        <f t="shared" si="270"/>
        <v>5213620.6896551726</v>
      </c>
      <c r="H517" s="39">
        <f t="shared" si="270"/>
        <v>3624396.5517241382</v>
      </c>
      <c r="I517" s="412">
        <f t="shared" si="270"/>
        <v>28021206.896551728</v>
      </c>
      <c r="J517" s="484">
        <f t="shared" si="270"/>
        <v>4003029.5566502465</v>
      </c>
    </row>
    <row r="518" spans="1:10" x14ac:dyDescent="0.25">
      <c r="A518" s="77" t="s">
        <v>33</v>
      </c>
      <c r="B518" s="413">
        <f t="shared" ref="B518:J518" si="271">B517*16%</f>
        <v>417351.72413793113</v>
      </c>
      <c r="C518" s="413">
        <f t="shared" si="271"/>
        <v>468206.89655172417</v>
      </c>
      <c r="D518" s="413">
        <f t="shared" si="271"/>
        <v>564510.34482758632</v>
      </c>
      <c r="E518" s="413">
        <f t="shared" si="271"/>
        <v>532524.13793103455</v>
      </c>
      <c r="F518" s="413">
        <f t="shared" si="271"/>
        <v>1086717.2413793106</v>
      </c>
      <c r="G518" s="41">
        <f t="shared" si="271"/>
        <v>834179.31034482759</v>
      </c>
      <c r="H518" s="41">
        <f t="shared" si="271"/>
        <v>579903.44827586215</v>
      </c>
      <c r="I518" s="414">
        <f t="shared" si="271"/>
        <v>4483393.1034482764</v>
      </c>
      <c r="J518" s="486">
        <f t="shared" si="271"/>
        <v>640484.72906403942</v>
      </c>
    </row>
    <row r="519" spans="1:10" x14ac:dyDescent="0.25">
      <c r="A519" s="142" t="s">
        <v>34</v>
      </c>
      <c r="B519" s="438">
        <f t="shared" ref="B519:I519" si="272">B517+B518</f>
        <v>3025800.0000000005</v>
      </c>
      <c r="C519" s="438">
        <f t="shared" si="272"/>
        <v>3394500</v>
      </c>
      <c r="D519" s="438">
        <f t="shared" si="272"/>
        <v>4092700.0000000005</v>
      </c>
      <c r="E519" s="438">
        <f t="shared" si="272"/>
        <v>3860800</v>
      </c>
      <c r="F519" s="438">
        <f t="shared" si="272"/>
        <v>7878700.0000000009</v>
      </c>
      <c r="G519" s="144">
        <f t="shared" si="272"/>
        <v>6047800</v>
      </c>
      <c r="H519" s="144">
        <f t="shared" si="272"/>
        <v>4204300</v>
      </c>
      <c r="I519" s="440">
        <f t="shared" si="272"/>
        <v>32504600.000000004</v>
      </c>
      <c r="J519" s="488">
        <f>+$I519/7</f>
        <v>4643514.2857142864</v>
      </c>
    </row>
    <row r="520" spans="1:10" x14ac:dyDescent="0.25">
      <c r="I520" s="89"/>
    </row>
    <row r="521" spans="1:10" ht="26.25" x14ac:dyDescent="0.25">
      <c r="A521" s="85"/>
      <c r="B521" s="1002" t="s">
        <v>360</v>
      </c>
      <c r="C521" s="1002"/>
      <c r="D521" s="1002"/>
      <c r="E521" s="1002"/>
      <c r="F521" s="1002"/>
      <c r="G521" s="1002"/>
      <c r="H521" s="1002"/>
      <c r="I521" s="1002"/>
    </row>
    <row r="522" spans="1:10" ht="15.75" x14ac:dyDescent="0.25">
      <c r="A522" s="72" t="s">
        <v>2</v>
      </c>
      <c r="B522" s="228" t="s">
        <v>81</v>
      </c>
      <c r="C522" s="228" t="s">
        <v>82</v>
      </c>
      <c r="D522" s="228" t="s">
        <v>83</v>
      </c>
      <c r="E522" s="228" t="s">
        <v>84</v>
      </c>
      <c r="F522" s="228" t="s">
        <v>85</v>
      </c>
      <c r="G522" s="228" t="s">
        <v>86</v>
      </c>
      <c r="H522" s="228" t="s">
        <v>87</v>
      </c>
      <c r="I522" s="153" t="s">
        <v>10</v>
      </c>
      <c r="J522" s="490" t="s">
        <v>77</v>
      </c>
    </row>
    <row r="523" spans="1:10" x14ac:dyDescent="0.25">
      <c r="A523" s="430" t="s">
        <v>11</v>
      </c>
      <c r="B523" s="433">
        <f>54+22+10</f>
        <v>86</v>
      </c>
      <c r="C523" s="75">
        <f>92+49+20</f>
        <v>161</v>
      </c>
      <c r="D523" s="75">
        <f>70+39+8</f>
        <v>117</v>
      </c>
      <c r="E523" s="75">
        <f>84+37+10</f>
        <v>131</v>
      </c>
      <c r="F523" s="75">
        <f>162+84+22</f>
        <v>268</v>
      </c>
      <c r="G523" s="75">
        <f>104+43+18</f>
        <v>165</v>
      </c>
      <c r="H523" s="75">
        <f>86+40+19</f>
        <v>145</v>
      </c>
      <c r="I523" s="467">
        <f t="shared" ref="I523:I528" si="273">SUM(B523:H523)</f>
        <v>1073</v>
      </c>
      <c r="J523" s="468">
        <f>+$I523/7</f>
        <v>153.28571428571428</v>
      </c>
    </row>
    <row r="524" spans="1:10" x14ac:dyDescent="0.25">
      <c r="A524" s="77" t="s">
        <v>12</v>
      </c>
      <c r="B524" s="233">
        <v>29</v>
      </c>
      <c r="C524" s="13">
        <v>48</v>
      </c>
      <c r="D524" s="13">
        <v>49</v>
      </c>
      <c r="E524" s="13">
        <v>49</v>
      </c>
      <c r="F524" s="13">
        <v>95</v>
      </c>
      <c r="G524" s="13">
        <v>77</v>
      </c>
      <c r="H524" s="13">
        <v>68</v>
      </c>
      <c r="I524" s="11">
        <f t="shared" si="273"/>
        <v>415</v>
      </c>
      <c r="J524" s="470">
        <f t="shared" ref="J524:J529" si="274">+$I524/7</f>
        <v>59.285714285714285</v>
      </c>
    </row>
    <row r="525" spans="1:10" x14ac:dyDescent="0.25">
      <c r="A525" s="77" t="s">
        <v>13</v>
      </c>
      <c r="B525" s="233">
        <v>2</v>
      </c>
      <c r="C525" s="13">
        <v>1</v>
      </c>
      <c r="D525" s="13">
        <v>1</v>
      </c>
      <c r="E525" s="13">
        <v>2</v>
      </c>
      <c r="F525" s="13">
        <v>3</v>
      </c>
      <c r="G525" s="13">
        <v>3</v>
      </c>
      <c r="H525" s="13">
        <v>1</v>
      </c>
      <c r="I525" s="11">
        <f t="shared" si="273"/>
        <v>13</v>
      </c>
      <c r="J525" s="470">
        <f t="shared" si="274"/>
        <v>1.8571428571428572</v>
      </c>
    </row>
    <row r="526" spans="1:10" x14ac:dyDescent="0.25">
      <c r="A526" s="77" t="s">
        <v>14</v>
      </c>
      <c r="B526" s="233">
        <v>44</v>
      </c>
      <c r="C526" s="13">
        <v>86</v>
      </c>
      <c r="D526" s="13">
        <v>56</v>
      </c>
      <c r="E526" s="13">
        <v>59</v>
      </c>
      <c r="F526" s="13">
        <v>113</v>
      </c>
      <c r="G526" s="13">
        <v>49</v>
      </c>
      <c r="H526" s="13">
        <v>50</v>
      </c>
      <c r="I526" s="11">
        <f t="shared" si="273"/>
        <v>457</v>
      </c>
      <c r="J526" s="470">
        <f t="shared" si="274"/>
        <v>65.285714285714292</v>
      </c>
    </row>
    <row r="527" spans="1:10" x14ac:dyDescent="0.25">
      <c r="A527" s="77" t="s">
        <v>15</v>
      </c>
      <c r="B527" s="233">
        <v>0</v>
      </c>
      <c r="C527" s="13">
        <v>0</v>
      </c>
      <c r="D527" s="13">
        <v>0</v>
      </c>
      <c r="E527" s="13">
        <v>0</v>
      </c>
      <c r="F527" s="13">
        <v>0</v>
      </c>
      <c r="G527" s="13">
        <v>0</v>
      </c>
      <c r="H527" s="13">
        <v>0</v>
      </c>
      <c r="I527" s="11">
        <f t="shared" si="273"/>
        <v>0</v>
      </c>
      <c r="J527" s="470">
        <f t="shared" si="274"/>
        <v>0</v>
      </c>
    </row>
    <row r="528" spans="1:10" x14ac:dyDescent="0.25">
      <c r="A528" s="77" t="s">
        <v>16</v>
      </c>
      <c r="B528" s="233">
        <v>0</v>
      </c>
      <c r="C528" s="13">
        <v>0</v>
      </c>
      <c r="D528" s="13">
        <v>0</v>
      </c>
      <c r="E528" s="13">
        <v>0</v>
      </c>
      <c r="F528" s="13">
        <v>0</v>
      </c>
      <c r="G528" s="13">
        <v>0</v>
      </c>
      <c r="H528" s="13">
        <v>0</v>
      </c>
      <c r="I528" s="11">
        <f t="shared" si="273"/>
        <v>0</v>
      </c>
      <c r="J528" s="470">
        <f t="shared" si="274"/>
        <v>0</v>
      </c>
    </row>
    <row r="529" spans="1:10" x14ac:dyDescent="0.25">
      <c r="A529" s="79" t="s">
        <v>17</v>
      </c>
      <c r="B529" s="102">
        <f t="shared" ref="B529:I529" si="275">SUM(B524:B528)</f>
        <v>75</v>
      </c>
      <c r="C529" s="102">
        <f t="shared" si="275"/>
        <v>135</v>
      </c>
      <c r="D529" s="102">
        <f t="shared" si="275"/>
        <v>106</v>
      </c>
      <c r="E529" s="102">
        <f t="shared" si="275"/>
        <v>110</v>
      </c>
      <c r="F529" s="102">
        <f t="shared" si="275"/>
        <v>211</v>
      </c>
      <c r="G529" s="79">
        <f t="shared" si="275"/>
        <v>129</v>
      </c>
      <c r="H529" s="79">
        <f t="shared" si="275"/>
        <v>119</v>
      </c>
      <c r="I529" s="472">
        <f t="shared" si="275"/>
        <v>885</v>
      </c>
      <c r="J529" s="473">
        <f t="shared" si="274"/>
        <v>126.42857142857143</v>
      </c>
    </row>
    <row r="530" spans="1:10" x14ac:dyDescent="0.25">
      <c r="A530" s="77" t="s">
        <v>18</v>
      </c>
      <c r="B530" s="234">
        <v>0.45</v>
      </c>
      <c r="C530" s="235">
        <v>0.41</v>
      </c>
      <c r="D530" s="235">
        <v>0.56000000000000005</v>
      </c>
      <c r="E530" s="236">
        <v>0.5</v>
      </c>
      <c r="F530" s="236">
        <v>0.49</v>
      </c>
      <c r="G530" s="236">
        <v>0.63</v>
      </c>
      <c r="H530" s="236">
        <v>0.63</v>
      </c>
      <c r="I530" s="18">
        <f>I537/I542</f>
        <v>0.52580627589190865</v>
      </c>
      <c r="J530" s="475">
        <f>J537/J542</f>
        <v>0.52580627589190865</v>
      </c>
    </row>
    <row r="531" spans="1:10" x14ac:dyDescent="0.25">
      <c r="A531" s="77" t="s">
        <v>19</v>
      </c>
      <c r="B531" s="234">
        <v>0.02</v>
      </c>
      <c r="C531" s="235">
        <v>0</v>
      </c>
      <c r="D531" s="235">
        <v>0.01</v>
      </c>
      <c r="E531" s="236">
        <v>0.04</v>
      </c>
      <c r="F531" s="236">
        <v>0.01</v>
      </c>
      <c r="G531" s="236">
        <v>0.04</v>
      </c>
      <c r="H531" s="236">
        <v>0</v>
      </c>
      <c r="I531" s="18">
        <f>I538/I542</f>
        <v>1.6223854441941379E-2</v>
      </c>
      <c r="J531" s="475">
        <f>J538/J542</f>
        <v>1.6223854441941382E-2</v>
      </c>
    </row>
    <row r="532" spans="1:10" x14ac:dyDescent="0.25">
      <c r="A532" s="77" t="s">
        <v>20</v>
      </c>
      <c r="B532" s="234">
        <v>0.53</v>
      </c>
      <c r="C532" s="235">
        <v>0.59</v>
      </c>
      <c r="D532" s="235">
        <v>0.43</v>
      </c>
      <c r="E532" s="236">
        <v>0.46</v>
      </c>
      <c r="F532" s="236">
        <v>0.5</v>
      </c>
      <c r="G532" s="236">
        <v>0.33</v>
      </c>
      <c r="H532" s="236">
        <v>0.37</v>
      </c>
      <c r="I532" s="18">
        <f>I539/I542</f>
        <v>0.45796986966615005</v>
      </c>
      <c r="J532" s="475">
        <f>J539/J542</f>
        <v>0.45796986966615005</v>
      </c>
    </row>
    <row r="533" spans="1:10" x14ac:dyDescent="0.25">
      <c r="A533" s="77" t="s">
        <v>21</v>
      </c>
      <c r="B533" s="234">
        <v>0</v>
      </c>
      <c r="C533" s="235">
        <v>0</v>
      </c>
      <c r="D533" s="235">
        <v>0</v>
      </c>
      <c r="E533" s="236">
        <v>0</v>
      </c>
      <c r="F533" s="236">
        <v>0</v>
      </c>
      <c r="G533" s="236">
        <v>0</v>
      </c>
      <c r="H533" s="236">
        <v>0</v>
      </c>
      <c r="I533" s="18">
        <f>I540/I542</f>
        <v>0</v>
      </c>
      <c r="J533" s="475">
        <f>J540/J542</f>
        <v>0</v>
      </c>
    </row>
    <row r="534" spans="1:10" x14ac:dyDescent="0.25">
      <c r="A534" s="77" t="s">
        <v>22</v>
      </c>
      <c r="B534" s="234">
        <v>0</v>
      </c>
      <c r="C534" s="235">
        <v>0</v>
      </c>
      <c r="D534" s="235">
        <v>0</v>
      </c>
      <c r="E534" s="236">
        <v>0</v>
      </c>
      <c r="F534" s="236">
        <v>0</v>
      </c>
      <c r="G534" s="236">
        <v>0</v>
      </c>
      <c r="H534" s="236">
        <v>0</v>
      </c>
      <c r="I534" s="18">
        <f>I541/I542</f>
        <v>0</v>
      </c>
      <c r="J534" s="475">
        <f>J541/J542</f>
        <v>0</v>
      </c>
    </row>
    <row r="535" spans="1:10" x14ac:dyDescent="0.25">
      <c r="A535" s="81" t="s">
        <v>23</v>
      </c>
      <c r="B535" s="409">
        <f t="shared" ref="B535:J535" si="276">B546/B529</f>
        <v>31166.666666666668</v>
      </c>
      <c r="C535" s="409">
        <f t="shared" si="276"/>
        <v>31524.444444444445</v>
      </c>
      <c r="D535" s="409">
        <f t="shared" si="276"/>
        <v>31534.905660377364</v>
      </c>
      <c r="E535" s="409">
        <f t="shared" si="276"/>
        <v>31583.636363636364</v>
      </c>
      <c r="F535" s="409">
        <f t="shared" si="276"/>
        <v>36425.592417061613</v>
      </c>
      <c r="G535" s="130">
        <f t="shared" si="276"/>
        <v>37231.782945736435</v>
      </c>
      <c r="H535" s="130">
        <f t="shared" si="276"/>
        <v>34766.386554621851</v>
      </c>
      <c r="I535" s="359">
        <f t="shared" si="276"/>
        <v>33939.096045197737</v>
      </c>
      <c r="J535" s="477">
        <f t="shared" si="276"/>
        <v>33939.096045197737</v>
      </c>
    </row>
    <row r="536" spans="1:10" x14ac:dyDescent="0.25">
      <c r="A536" s="81" t="s">
        <v>24</v>
      </c>
      <c r="B536" s="409">
        <f t="shared" ref="B536:J536" si="277">B546/B523</f>
        <v>27180.232558139534</v>
      </c>
      <c r="C536" s="409">
        <f t="shared" si="277"/>
        <v>26433.540372670806</v>
      </c>
      <c r="D536" s="409">
        <f t="shared" si="277"/>
        <v>28570.085470085472</v>
      </c>
      <c r="E536" s="409">
        <f t="shared" si="277"/>
        <v>26520.610687022901</v>
      </c>
      <c r="F536" s="409">
        <f t="shared" si="277"/>
        <v>28678.358208955226</v>
      </c>
      <c r="G536" s="130">
        <f t="shared" si="277"/>
        <v>29108.484848484848</v>
      </c>
      <c r="H536" s="130">
        <f t="shared" si="277"/>
        <v>28532.413793103449</v>
      </c>
      <c r="I536" s="359">
        <f t="shared" si="277"/>
        <v>27992.637465051259</v>
      </c>
      <c r="J536" s="477">
        <f t="shared" si="277"/>
        <v>27992.637465051255</v>
      </c>
    </row>
    <row r="537" spans="1:10" x14ac:dyDescent="0.25">
      <c r="A537" s="77" t="s">
        <v>25</v>
      </c>
      <c r="B537" s="255">
        <f t="shared" ref="B537:H537" si="278">B542*B530</f>
        <v>878666.04310344835</v>
      </c>
      <c r="C537" s="255">
        <f t="shared" si="278"/>
        <v>1461794.772413793</v>
      </c>
      <c r="D537" s="255">
        <f t="shared" si="278"/>
        <v>1554584.0413793107</v>
      </c>
      <c r="E537" s="255">
        <f t="shared" si="278"/>
        <v>1444702.5</v>
      </c>
      <c r="F537" s="255">
        <f t="shared" si="278"/>
        <v>3146272.681034483</v>
      </c>
      <c r="G537" s="92">
        <f t="shared" si="278"/>
        <v>2503932.5017241384</v>
      </c>
      <c r="H537" s="92">
        <f t="shared" si="278"/>
        <v>2154607.3862068965</v>
      </c>
      <c r="I537" s="108">
        <f>SUM(B537:H537)</f>
        <v>13144559.92586207</v>
      </c>
      <c r="J537" s="479">
        <f t="shared" ref="J537:J542" si="279">+$I537/7</f>
        <v>1877794.2751231529</v>
      </c>
    </row>
    <row r="538" spans="1:10" x14ac:dyDescent="0.25">
      <c r="A538" s="77" t="s">
        <v>26</v>
      </c>
      <c r="B538" s="255">
        <f t="shared" ref="B538:H538" si="280">B542*B531</f>
        <v>39051.824137931042</v>
      </c>
      <c r="C538" s="255">
        <f t="shared" si="280"/>
        <v>0</v>
      </c>
      <c r="D538" s="255">
        <f t="shared" si="280"/>
        <v>27760.429310344829</v>
      </c>
      <c r="E538" s="255">
        <f t="shared" si="280"/>
        <v>115576.2</v>
      </c>
      <c r="F538" s="255">
        <f t="shared" si="280"/>
        <v>64209.646551724145</v>
      </c>
      <c r="G538" s="92">
        <f t="shared" si="280"/>
        <v>158979.84137931035</v>
      </c>
      <c r="H538" s="92">
        <f t="shared" si="280"/>
        <v>0</v>
      </c>
      <c r="I538" s="108">
        <f>SUM(B538:H538)</f>
        <v>405577.94137931033</v>
      </c>
      <c r="J538" s="479">
        <f t="shared" si="279"/>
        <v>57939.705911330049</v>
      </c>
    </row>
    <row r="539" spans="1:10" x14ac:dyDescent="0.25">
      <c r="A539" s="77" t="s">
        <v>27</v>
      </c>
      <c r="B539" s="255">
        <f t="shared" ref="B539:H539" si="281">B542*B532</f>
        <v>1034873.3396551725</v>
      </c>
      <c r="C539" s="255">
        <f t="shared" si="281"/>
        <v>2103558.3310344829</v>
      </c>
      <c r="D539" s="255">
        <f t="shared" si="281"/>
        <v>1193698.4603448277</v>
      </c>
      <c r="E539" s="255">
        <f t="shared" si="281"/>
        <v>1329126.3</v>
      </c>
      <c r="F539" s="255">
        <f t="shared" si="281"/>
        <v>3210482.3275862071</v>
      </c>
      <c r="G539" s="92">
        <f t="shared" si="281"/>
        <v>1311583.6913793106</v>
      </c>
      <c r="H539" s="92">
        <f t="shared" si="281"/>
        <v>1265404.3379310344</v>
      </c>
      <c r="I539" s="108">
        <f>SUM(B539:H539)</f>
        <v>11448726.787931036</v>
      </c>
      <c r="J539" s="479">
        <f t="shared" si="279"/>
        <v>1635532.3982758622</v>
      </c>
    </row>
    <row r="540" spans="1:10" x14ac:dyDescent="0.25">
      <c r="A540" s="77" t="s">
        <v>28</v>
      </c>
      <c r="B540" s="255">
        <f t="shared" ref="B540:H540" si="282">B542*B533</f>
        <v>0</v>
      </c>
      <c r="C540" s="255">
        <f t="shared" si="282"/>
        <v>0</v>
      </c>
      <c r="D540" s="255">
        <f t="shared" si="282"/>
        <v>0</v>
      </c>
      <c r="E540" s="255">
        <f t="shared" si="282"/>
        <v>0</v>
      </c>
      <c r="F540" s="255">
        <f t="shared" si="282"/>
        <v>0</v>
      </c>
      <c r="G540" s="92">
        <f t="shared" si="282"/>
        <v>0</v>
      </c>
      <c r="H540" s="92">
        <f t="shared" si="282"/>
        <v>0</v>
      </c>
      <c r="I540" s="108">
        <f>SUM(B540:H540)</f>
        <v>0</v>
      </c>
      <c r="J540" s="479">
        <f t="shared" si="279"/>
        <v>0</v>
      </c>
    </row>
    <row r="541" spans="1:10" x14ac:dyDescent="0.25">
      <c r="A541" s="77" t="s">
        <v>29</v>
      </c>
      <c r="B541" s="255">
        <f t="shared" ref="B541:H541" si="283">B542*B534</f>
        <v>0</v>
      </c>
      <c r="C541" s="255">
        <f t="shared" si="283"/>
        <v>0</v>
      </c>
      <c r="D541" s="255">
        <f t="shared" si="283"/>
        <v>0</v>
      </c>
      <c r="E541" s="255">
        <f t="shared" si="283"/>
        <v>0</v>
      </c>
      <c r="F541" s="255">
        <f t="shared" si="283"/>
        <v>0</v>
      </c>
      <c r="G541" s="92">
        <f t="shared" si="283"/>
        <v>0</v>
      </c>
      <c r="H541" s="92">
        <f t="shared" si="283"/>
        <v>0</v>
      </c>
      <c r="I541" s="108">
        <f>SUM(B541:H541)</f>
        <v>0</v>
      </c>
      <c r="J541" s="479">
        <f t="shared" si="279"/>
        <v>0</v>
      </c>
    </row>
    <row r="542" spans="1:10" x14ac:dyDescent="0.25">
      <c r="A542" s="82" t="s">
        <v>30</v>
      </c>
      <c r="B542" s="222">
        <f>(2337500/1.16)-B543</f>
        <v>1952591.2068965519</v>
      </c>
      <c r="C542" s="222">
        <f>(4255800/1.16)-C543</f>
        <v>3565353.1034482759</v>
      </c>
      <c r="D542" s="222">
        <f>(3342700/1.16)-D543</f>
        <v>2776042.931034483</v>
      </c>
      <c r="E542" s="222">
        <f>(3474200/1.16)-E543</f>
        <v>2889405</v>
      </c>
      <c r="F542" s="222">
        <f>(7685800/1.16)-F543</f>
        <v>6420964.6551724141</v>
      </c>
      <c r="G542" s="222">
        <f>(4802900/1.16)-G543</f>
        <v>3974496.034482759</v>
      </c>
      <c r="H542" s="222">
        <f>(4137200/1.16)-H543</f>
        <v>3420011.7241379311</v>
      </c>
      <c r="I542" s="111">
        <f>SUM(I537:I541)</f>
        <v>24998864.655172415</v>
      </c>
      <c r="J542" s="481">
        <f t="shared" si="279"/>
        <v>3571266.3793103448</v>
      </c>
    </row>
    <row r="543" spans="1:10" x14ac:dyDescent="0.25">
      <c r="A543" s="77" t="s">
        <v>31</v>
      </c>
      <c r="B543" s="263">
        <f t="shared" ref="B543:H543" si="284">2155*B524</f>
        <v>62495</v>
      </c>
      <c r="C543" s="263">
        <f t="shared" si="284"/>
        <v>103440</v>
      </c>
      <c r="D543" s="263">
        <f t="shared" si="284"/>
        <v>105595</v>
      </c>
      <c r="E543" s="263">
        <f t="shared" si="284"/>
        <v>105595</v>
      </c>
      <c r="F543" s="263">
        <f t="shared" si="284"/>
        <v>204725</v>
      </c>
      <c r="G543" s="94">
        <f t="shared" si="284"/>
        <v>165935</v>
      </c>
      <c r="H543" s="94">
        <f t="shared" si="284"/>
        <v>146540</v>
      </c>
      <c r="I543" s="109">
        <f>I524*2155</f>
        <v>894325</v>
      </c>
      <c r="J543" s="482">
        <f>2155*J524</f>
        <v>127760.71428571429</v>
      </c>
    </row>
    <row r="544" spans="1:10" x14ac:dyDescent="0.25">
      <c r="A544" s="83" t="s">
        <v>32</v>
      </c>
      <c r="B544" s="411">
        <f t="shared" ref="B544:J544" si="285">B542+B543</f>
        <v>2015086.2068965519</v>
      </c>
      <c r="C544" s="411">
        <f t="shared" si="285"/>
        <v>3668793.1034482759</v>
      </c>
      <c r="D544" s="411">
        <f t="shared" si="285"/>
        <v>2881637.931034483</v>
      </c>
      <c r="E544" s="411">
        <f t="shared" si="285"/>
        <v>2995000</v>
      </c>
      <c r="F544" s="411">
        <f t="shared" si="285"/>
        <v>6625689.6551724141</v>
      </c>
      <c r="G544" s="39">
        <f t="shared" si="285"/>
        <v>4140431.034482759</v>
      </c>
      <c r="H544" s="39">
        <f t="shared" si="285"/>
        <v>3566551.7241379311</v>
      </c>
      <c r="I544" s="412">
        <f t="shared" si="285"/>
        <v>25893189.655172415</v>
      </c>
      <c r="J544" s="484">
        <f t="shared" si="285"/>
        <v>3699027.0935960589</v>
      </c>
    </row>
    <row r="545" spans="1:12" x14ac:dyDescent="0.25">
      <c r="A545" s="77" t="s">
        <v>33</v>
      </c>
      <c r="B545" s="413">
        <f t="shared" ref="B545:J545" si="286">B544*16%</f>
        <v>322413.79310344829</v>
      </c>
      <c r="C545" s="413">
        <f t="shared" si="286"/>
        <v>587006.89655172417</v>
      </c>
      <c r="D545" s="413">
        <f t="shared" si="286"/>
        <v>461062.06896551728</v>
      </c>
      <c r="E545" s="413">
        <f t="shared" si="286"/>
        <v>479200</v>
      </c>
      <c r="F545" s="413">
        <f t="shared" si="286"/>
        <v>1060110.3448275863</v>
      </c>
      <c r="G545" s="41">
        <f t="shared" si="286"/>
        <v>662468.96551724139</v>
      </c>
      <c r="H545" s="41">
        <f t="shared" si="286"/>
        <v>570648.27586206899</v>
      </c>
      <c r="I545" s="414">
        <f t="shared" si="286"/>
        <v>4142910.3448275863</v>
      </c>
      <c r="J545" s="486">
        <f t="shared" si="286"/>
        <v>591844.33497536939</v>
      </c>
    </row>
    <row r="546" spans="1:12" x14ac:dyDescent="0.25">
      <c r="A546" s="142" t="s">
        <v>34</v>
      </c>
      <c r="B546" s="438">
        <f t="shared" ref="B546:I546" si="287">B544+B545</f>
        <v>2337500</v>
      </c>
      <c r="C546" s="438">
        <f t="shared" si="287"/>
        <v>4255800</v>
      </c>
      <c r="D546" s="438">
        <f t="shared" si="287"/>
        <v>3342700.0000000005</v>
      </c>
      <c r="E546" s="438">
        <f t="shared" si="287"/>
        <v>3474200</v>
      </c>
      <c r="F546" s="438">
        <f t="shared" si="287"/>
        <v>7685800</v>
      </c>
      <c r="G546" s="144">
        <f t="shared" si="287"/>
        <v>4802900</v>
      </c>
      <c r="H546" s="144">
        <f t="shared" si="287"/>
        <v>4137200</v>
      </c>
      <c r="I546" s="440">
        <f t="shared" si="287"/>
        <v>30036100</v>
      </c>
      <c r="J546" s="488">
        <f>+$I546/7</f>
        <v>4290871.4285714282</v>
      </c>
    </row>
    <row r="547" spans="1:12" x14ac:dyDescent="0.25">
      <c r="I547" s="89"/>
    </row>
    <row r="548" spans="1:12" ht="26.25" x14ac:dyDescent="0.25">
      <c r="A548" s="85"/>
      <c r="B548" s="1002" t="s">
        <v>361</v>
      </c>
      <c r="C548" s="1002"/>
      <c r="D548" s="1002"/>
      <c r="E548" s="1002"/>
      <c r="F548" s="1002"/>
      <c r="G548" s="1002"/>
      <c r="H548" s="1002"/>
      <c r="I548" s="1002"/>
    </row>
    <row r="549" spans="1:12" ht="15.75" x14ac:dyDescent="0.25">
      <c r="A549" s="72" t="s">
        <v>2</v>
      </c>
      <c r="B549" s="228" t="s">
        <v>89</v>
      </c>
      <c r="C549" s="228" t="s">
        <v>90</v>
      </c>
      <c r="D549" s="228" t="s">
        <v>172</v>
      </c>
      <c r="E549" s="228" t="s">
        <v>92</v>
      </c>
      <c r="F549" s="228" t="s">
        <v>258</v>
      </c>
      <c r="G549" s="228" t="s">
        <v>259</v>
      </c>
      <c r="H549" s="228" t="s">
        <v>260</v>
      </c>
      <c r="I549" s="153" t="s">
        <v>10</v>
      </c>
      <c r="J549" s="490" t="s">
        <v>77</v>
      </c>
    </row>
    <row r="550" spans="1:12" x14ac:dyDescent="0.25">
      <c r="A550" s="430" t="s">
        <v>11</v>
      </c>
      <c r="B550" s="433">
        <f>108+64+17</f>
        <v>189</v>
      </c>
      <c r="C550" s="75">
        <f>70+28+8</f>
        <v>106</v>
      </c>
      <c r="D550" s="75">
        <f>90+48+12</f>
        <v>150</v>
      </c>
      <c r="E550" s="75">
        <f>102+54+14</f>
        <v>170</v>
      </c>
      <c r="F550" s="75">
        <f>173+85+32</f>
        <v>290</v>
      </c>
      <c r="G550" s="75">
        <f>100+67+46</f>
        <v>213</v>
      </c>
      <c r="H550" s="75">
        <f>94+59+15</f>
        <v>168</v>
      </c>
      <c r="I550" s="467">
        <f t="shared" ref="I550:I555" si="288">SUM(B550:H550)</f>
        <v>1286</v>
      </c>
      <c r="J550" s="468">
        <f>+$I550/7</f>
        <v>183.71428571428572</v>
      </c>
    </row>
    <row r="551" spans="1:12" x14ac:dyDescent="0.25">
      <c r="A551" s="77" t="s">
        <v>12</v>
      </c>
      <c r="B551" s="233">
        <v>99</v>
      </c>
      <c r="C551" s="13">
        <v>44</v>
      </c>
      <c r="D551" s="13">
        <v>60</v>
      </c>
      <c r="E551" s="13">
        <v>62</v>
      </c>
      <c r="F551" s="13">
        <v>99</v>
      </c>
      <c r="G551" s="13">
        <v>102</v>
      </c>
      <c r="H551" s="13">
        <v>73</v>
      </c>
      <c r="I551" s="11">
        <f t="shared" si="288"/>
        <v>539</v>
      </c>
      <c r="J551" s="470">
        <f t="shared" ref="J551:J556" si="289">+$I551/7</f>
        <v>77</v>
      </c>
      <c r="L551" s="223"/>
    </row>
    <row r="552" spans="1:12" x14ac:dyDescent="0.25">
      <c r="A552" s="77" t="s">
        <v>13</v>
      </c>
      <c r="B552" s="233">
        <v>6</v>
      </c>
      <c r="C552" s="13">
        <v>1</v>
      </c>
      <c r="D552" s="13">
        <v>1</v>
      </c>
      <c r="E552" s="13">
        <v>1</v>
      </c>
      <c r="F552" s="13">
        <v>3</v>
      </c>
      <c r="G552" s="13">
        <v>0</v>
      </c>
      <c r="H552" s="13">
        <v>2</v>
      </c>
      <c r="I552" s="11">
        <f t="shared" si="288"/>
        <v>14</v>
      </c>
      <c r="J552" s="470">
        <f t="shared" si="289"/>
        <v>2</v>
      </c>
      <c r="L552" s="223"/>
    </row>
    <row r="553" spans="1:12" x14ac:dyDescent="0.25">
      <c r="A553" s="77" t="s">
        <v>14</v>
      </c>
      <c r="B553" s="233">
        <v>45</v>
      </c>
      <c r="C553" s="13">
        <v>43</v>
      </c>
      <c r="D553" s="13">
        <v>67</v>
      </c>
      <c r="E553" s="13">
        <v>75</v>
      </c>
      <c r="F553" s="13">
        <v>119</v>
      </c>
      <c r="G553" s="13">
        <v>56</v>
      </c>
      <c r="H553" s="13">
        <v>70</v>
      </c>
      <c r="I553" s="11">
        <f t="shared" si="288"/>
        <v>475</v>
      </c>
      <c r="J553" s="470">
        <f t="shared" si="289"/>
        <v>67.857142857142861</v>
      </c>
      <c r="L553" s="223"/>
    </row>
    <row r="554" spans="1:12" x14ac:dyDescent="0.25">
      <c r="A554" s="77" t="s">
        <v>15</v>
      </c>
      <c r="B554" s="233">
        <v>2</v>
      </c>
      <c r="C554" s="13">
        <v>0</v>
      </c>
      <c r="D554" s="13">
        <v>0</v>
      </c>
      <c r="E554" s="13">
        <v>0</v>
      </c>
      <c r="F554" s="13">
        <v>0</v>
      </c>
      <c r="G554" s="13">
        <v>0</v>
      </c>
      <c r="H554" s="13">
        <v>0</v>
      </c>
      <c r="I554" s="11">
        <f t="shared" si="288"/>
        <v>2</v>
      </c>
      <c r="J554" s="470">
        <f t="shared" si="289"/>
        <v>0.2857142857142857</v>
      </c>
      <c r="L554" s="223"/>
    </row>
    <row r="555" spans="1:12" x14ac:dyDescent="0.25">
      <c r="A555" s="77" t="s">
        <v>16</v>
      </c>
      <c r="B555" s="233">
        <v>0</v>
      </c>
      <c r="C555" s="13">
        <v>0</v>
      </c>
      <c r="D555" s="13">
        <v>0</v>
      </c>
      <c r="E555" s="13">
        <v>0</v>
      </c>
      <c r="F555" s="13">
        <v>0</v>
      </c>
      <c r="G555" s="13">
        <v>0</v>
      </c>
      <c r="H555" s="13">
        <v>0</v>
      </c>
      <c r="I555" s="11">
        <f t="shared" si="288"/>
        <v>0</v>
      </c>
      <c r="J555" s="470">
        <f t="shared" si="289"/>
        <v>0</v>
      </c>
      <c r="L555" s="223"/>
    </row>
    <row r="556" spans="1:12" x14ac:dyDescent="0.25">
      <c r="A556" s="79" t="s">
        <v>17</v>
      </c>
      <c r="B556" s="102">
        <f t="shared" ref="B556:I556" si="290">SUM(B551:B555)</f>
        <v>152</v>
      </c>
      <c r="C556" s="102">
        <f t="shared" si="290"/>
        <v>88</v>
      </c>
      <c r="D556" s="102">
        <f t="shared" si="290"/>
        <v>128</v>
      </c>
      <c r="E556" s="102">
        <f t="shared" si="290"/>
        <v>138</v>
      </c>
      <c r="F556" s="102">
        <f t="shared" si="290"/>
        <v>221</v>
      </c>
      <c r="G556" s="79">
        <f t="shared" si="290"/>
        <v>158</v>
      </c>
      <c r="H556" s="79">
        <f t="shared" si="290"/>
        <v>145</v>
      </c>
      <c r="I556" s="472">
        <f t="shared" si="290"/>
        <v>1030</v>
      </c>
      <c r="J556" s="473">
        <f t="shared" si="289"/>
        <v>147.14285714285714</v>
      </c>
    </row>
    <row r="557" spans="1:12" x14ac:dyDescent="0.25">
      <c r="A557" s="77" t="s">
        <v>18</v>
      </c>
      <c r="B557" s="234">
        <v>0.68</v>
      </c>
      <c r="C557" s="235">
        <v>0.59</v>
      </c>
      <c r="D557" s="235">
        <v>0.53</v>
      </c>
      <c r="E557" s="236">
        <v>0.55000000000000004</v>
      </c>
      <c r="F557" s="236">
        <v>0.48</v>
      </c>
      <c r="G557" s="236">
        <v>0.71</v>
      </c>
      <c r="H557" s="236">
        <v>0.53</v>
      </c>
      <c r="I557" s="18">
        <f>I564/I569</f>
        <v>0.57783007152404831</v>
      </c>
      <c r="J557" s="475">
        <f>J564/J569</f>
        <v>0.57783007152404842</v>
      </c>
    </row>
    <row r="558" spans="1:12" x14ac:dyDescent="0.25">
      <c r="A558" s="77" t="s">
        <v>19</v>
      </c>
      <c r="B558" s="234">
        <v>0.05</v>
      </c>
      <c r="C558" s="235">
        <v>0.01</v>
      </c>
      <c r="D558" s="235">
        <v>0</v>
      </c>
      <c r="E558" s="236">
        <v>0.01</v>
      </c>
      <c r="F558" s="236">
        <v>0.01</v>
      </c>
      <c r="G558" s="236">
        <v>0</v>
      </c>
      <c r="H558" s="236">
        <v>0.01</v>
      </c>
      <c r="I558" s="18">
        <f>I565/I569</f>
        <v>1.3346545180986982E-2</v>
      </c>
      <c r="J558" s="475">
        <f>J565/J569</f>
        <v>1.3346545180986984E-2</v>
      </c>
    </row>
    <row r="559" spans="1:12" x14ac:dyDescent="0.25">
      <c r="A559" s="77" t="s">
        <v>20</v>
      </c>
      <c r="B559" s="234">
        <v>0.26</v>
      </c>
      <c r="C559" s="235">
        <v>0.4</v>
      </c>
      <c r="D559" s="235">
        <v>0.47</v>
      </c>
      <c r="E559" s="236">
        <v>0.44</v>
      </c>
      <c r="F559" s="236">
        <v>0.51</v>
      </c>
      <c r="G559" s="236">
        <v>0.28999999999999998</v>
      </c>
      <c r="H559" s="236">
        <v>0.46</v>
      </c>
      <c r="I559" s="18">
        <f>I566/I569</f>
        <v>0.40730022290309492</v>
      </c>
      <c r="J559" s="475">
        <f>J566/J569</f>
        <v>0.40730022290309498</v>
      </c>
    </row>
    <row r="560" spans="1:12" x14ac:dyDescent="0.25">
      <c r="A560" s="77" t="s">
        <v>21</v>
      </c>
      <c r="B560" s="234">
        <v>0.01</v>
      </c>
      <c r="C560" s="235">
        <v>0</v>
      </c>
      <c r="D560" s="235">
        <v>0</v>
      </c>
      <c r="E560" s="236">
        <v>0</v>
      </c>
      <c r="F560" s="236">
        <v>0</v>
      </c>
      <c r="G560" s="236">
        <v>0</v>
      </c>
      <c r="H560" s="236">
        <v>0</v>
      </c>
      <c r="I560" s="18">
        <f>I567/I569</f>
        <v>1.523160391869905E-3</v>
      </c>
      <c r="J560" s="475">
        <f>J567/J569</f>
        <v>1.5231603918699052E-3</v>
      </c>
    </row>
    <row r="561" spans="1:10" x14ac:dyDescent="0.25">
      <c r="A561" s="77" t="s">
        <v>22</v>
      </c>
      <c r="B561" s="234">
        <v>0</v>
      </c>
      <c r="C561" s="235">
        <v>0</v>
      </c>
      <c r="D561" s="235">
        <v>0</v>
      </c>
      <c r="E561" s="236">
        <v>0</v>
      </c>
      <c r="F561" s="236">
        <v>0</v>
      </c>
      <c r="G561" s="236">
        <v>0</v>
      </c>
      <c r="H561" s="236">
        <v>0</v>
      </c>
      <c r="I561" s="18">
        <f>I568/I569</f>
        <v>0</v>
      </c>
      <c r="J561" s="475">
        <f>J568/J569</f>
        <v>0</v>
      </c>
    </row>
    <row r="562" spans="1:10" x14ac:dyDescent="0.25">
      <c r="A562" s="81" t="s">
        <v>23</v>
      </c>
      <c r="B562" s="409">
        <f t="shared" ref="B562:J562" si="291">B573/B556</f>
        <v>36905.26315789474</v>
      </c>
      <c r="C562" s="409">
        <f t="shared" si="291"/>
        <v>34936.36363636364</v>
      </c>
      <c r="D562" s="409">
        <f t="shared" si="291"/>
        <v>32550.000000000004</v>
      </c>
      <c r="E562" s="409">
        <f t="shared" si="291"/>
        <v>33245.65217391304</v>
      </c>
      <c r="F562" s="409">
        <f t="shared" si="291"/>
        <v>37699.095022624439</v>
      </c>
      <c r="G562" s="130">
        <f t="shared" si="291"/>
        <v>37379.113924050638</v>
      </c>
      <c r="H562" s="130">
        <f t="shared" si="291"/>
        <v>33624.827586206899</v>
      </c>
      <c r="I562" s="359">
        <f t="shared" si="291"/>
        <v>35486.699029126212</v>
      </c>
      <c r="J562" s="477">
        <f t="shared" si="291"/>
        <v>35486.699029126212</v>
      </c>
    </row>
    <row r="563" spans="1:10" x14ac:dyDescent="0.25">
      <c r="A563" s="81" t="s">
        <v>24</v>
      </c>
      <c r="B563" s="409">
        <f t="shared" ref="B563:J563" si="292">B573/B550</f>
        <v>29680.423280423285</v>
      </c>
      <c r="C563" s="409">
        <f t="shared" si="292"/>
        <v>29003.773584905659</v>
      </c>
      <c r="D563" s="409">
        <f t="shared" si="292"/>
        <v>27776.000000000004</v>
      </c>
      <c r="E563" s="409">
        <f t="shared" si="292"/>
        <v>26987.647058823528</v>
      </c>
      <c r="F563" s="409">
        <f t="shared" si="292"/>
        <v>28729.310344827591</v>
      </c>
      <c r="G563" s="130">
        <f t="shared" si="292"/>
        <v>27727.23004694836</v>
      </c>
      <c r="H563" s="130">
        <f t="shared" si="292"/>
        <v>29021.428571428572</v>
      </c>
      <c r="I563" s="359">
        <f t="shared" si="292"/>
        <v>28422.472783825815</v>
      </c>
      <c r="J563" s="477">
        <f t="shared" si="292"/>
        <v>28422.472783825815</v>
      </c>
    </row>
    <row r="564" spans="1:10" x14ac:dyDescent="0.25">
      <c r="A564" s="77" t="s">
        <v>25</v>
      </c>
      <c r="B564" s="255">
        <f t="shared" ref="B564:H564" si="293">B569*B557</f>
        <v>3143311.6068965523</v>
      </c>
      <c r="C564" s="255">
        <f t="shared" si="293"/>
        <v>1507759.648275862</v>
      </c>
      <c r="D564" s="255">
        <f t="shared" si="293"/>
        <v>1835084.7931034486</v>
      </c>
      <c r="E564" s="255">
        <f t="shared" si="293"/>
        <v>2101811.9137931038</v>
      </c>
      <c r="F564" s="255">
        <f t="shared" si="293"/>
        <v>3345111.6413793103</v>
      </c>
      <c r="G564" s="92">
        <f t="shared" si="293"/>
        <v>3458753.0034482758</v>
      </c>
      <c r="H564" s="92">
        <f t="shared" si="293"/>
        <v>2144267.8775862069</v>
      </c>
      <c r="I564" s="108">
        <f>SUM(B564:H564)</f>
        <v>17536100.484482761</v>
      </c>
      <c r="J564" s="479">
        <f t="shared" ref="J564:J569" si="294">+$I564/7</f>
        <v>2505157.2120689661</v>
      </c>
    </row>
    <row r="565" spans="1:10" x14ac:dyDescent="0.25">
      <c r="A565" s="77" t="s">
        <v>26</v>
      </c>
      <c r="B565" s="255">
        <f t="shared" ref="B565:H565" si="295">B569*B558</f>
        <v>231125.85344827591</v>
      </c>
      <c r="C565" s="255">
        <f t="shared" si="295"/>
        <v>25555.248275862072</v>
      </c>
      <c r="D565" s="255">
        <f t="shared" si="295"/>
        <v>0</v>
      </c>
      <c r="E565" s="255">
        <f t="shared" si="295"/>
        <v>38214.762068965523</v>
      </c>
      <c r="F565" s="255">
        <f t="shared" si="295"/>
        <v>69689.825862068974</v>
      </c>
      <c r="G565" s="92">
        <f t="shared" si="295"/>
        <v>0</v>
      </c>
      <c r="H565" s="92">
        <f t="shared" si="295"/>
        <v>40457.884482758622</v>
      </c>
      <c r="I565" s="108">
        <f>SUM(B565:H565)</f>
        <v>405043.57413793111</v>
      </c>
      <c r="J565" s="479">
        <f t="shared" si="294"/>
        <v>57863.367733990155</v>
      </c>
    </row>
    <row r="566" spans="1:10" x14ac:dyDescent="0.25">
      <c r="A566" s="77" t="s">
        <v>27</v>
      </c>
      <c r="B566" s="255">
        <f t="shared" ref="B566:H566" si="296">B569*B559</f>
        <v>1201854.4379310347</v>
      </c>
      <c r="C566" s="255">
        <f t="shared" si="296"/>
        <v>1022209.9310344829</v>
      </c>
      <c r="D566" s="255">
        <f t="shared" si="296"/>
        <v>1627339.3448275863</v>
      </c>
      <c r="E566" s="255">
        <f t="shared" si="296"/>
        <v>1681449.5310344829</v>
      </c>
      <c r="F566" s="255">
        <f t="shared" si="296"/>
        <v>3554181.1189655177</v>
      </c>
      <c r="G566" s="92">
        <f t="shared" si="296"/>
        <v>1412730.1</v>
      </c>
      <c r="H566" s="92">
        <f t="shared" si="296"/>
        <v>1861062.6862068968</v>
      </c>
      <c r="I566" s="108">
        <f>SUM(B566:H566)</f>
        <v>12360827.150000002</v>
      </c>
      <c r="J566" s="479">
        <f t="shared" si="294"/>
        <v>1765832.4500000004</v>
      </c>
    </row>
    <row r="567" spans="1:10" x14ac:dyDescent="0.25">
      <c r="A567" s="77" t="s">
        <v>28</v>
      </c>
      <c r="B567" s="255">
        <f t="shared" ref="B567:H567" si="297">B569*B560</f>
        <v>46225.170689655177</v>
      </c>
      <c r="C567" s="255">
        <f t="shared" si="297"/>
        <v>0</v>
      </c>
      <c r="D567" s="255">
        <f t="shared" si="297"/>
        <v>0</v>
      </c>
      <c r="E567" s="255">
        <f t="shared" si="297"/>
        <v>0</v>
      </c>
      <c r="F567" s="255">
        <f t="shared" si="297"/>
        <v>0</v>
      </c>
      <c r="G567" s="92">
        <f t="shared" si="297"/>
        <v>0</v>
      </c>
      <c r="H567" s="92">
        <f t="shared" si="297"/>
        <v>0</v>
      </c>
      <c r="I567" s="108">
        <f>SUM(B567:H567)</f>
        <v>46225.170689655177</v>
      </c>
      <c r="J567" s="479">
        <f t="shared" si="294"/>
        <v>6603.5958128078828</v>
      </c>
    </row>
    <row r="568" spans="1:10" x14ac:dyDescent="0.25">
      <c r="A568" s="77" t="s">
        <v>29</v>
      </c>
      <c r="B568" s="255">
        <f t="shared" ref="B568:H568" si="298">B569*B561</f>
        <v>0</v>
      </c>
      <c r="C568" s="255">
        <f t="shared" si="298"/>
        <v>0</v>
      </c>
      <c r="D568" s="255">
        <f t="shared" si="298"/>
        <v>0</v>
      </c>
      <c r="E568" s="255">
        <f t="shared" si="298"/>
        <v>0</v>
      </c>
      <c r="F568" s="255">
        <f t="shared" si="298"/>
        <v>0</v>
      </c>
      <c r="G568" s="92">
        <f t="shared" si="298"/>
        <v>0</v>
      </c>
      <c r="H568" s="92">
        <f t="shared" si="298"/>
        <v>0</v>
      </c>
      <c r="I568" s="108">
        <f>SUM(B568:H568)</f>
        <v>0</v>
      </c>
      <c r="J568" s="479">
        <f t="shared" si="294"/>
        <v>0</v>
      </c>
    </row>
    <row r="569" spans="1:10" x14ac:dyDescent="0.25">
      <c r="A569" s="82" t="s">
        <v>30</v>
      </c>
      <c r="B569" s="222">
        <f>(5609600/1.16)-B570</f>
        <v>4622517.0689655179</v>
      </c>
      <c r="C569" s="222">
        <f>(3074400/1.16)-C570</f>
        <v>2555524.8275862071</v>
      </c>
      <c r="D569" s="222">
        <f>(4166400/1.16)-D570</f>
        <v>3462424.1379310349</v>
      </c>
      <c r="E569" s="222">
        <f>(4587900/1.16)-E570</f>
        <v>3821476.2068965519</v>
      </c>
      <c r="F569" s="222">
        <f>(8331500/1.16)-F570</f>
        <v>6968982.5862068972</v>
      </c>
      <c r="G569" s="222">
        <f>(5905900/1.16)-G570</f>
        <v>4871483.1034482764</v>
      </c>
      <c r="H569" s="222">
        <f>(4875600/1.16)-H570</f>
        <v>4045788.4482758623</v>
      </c>
      <c r="I569" s="111">
        <f>SUM(I564:I568)</f>
        <v>30348196.379310347</v>
      </c>
      <c r="J569" s="481">
        <f t="shared" si="294"/>
        <v>4335456.6256157635</v>
      </c>
    </row>
    <row r="570" spans="1:10" x14ac:dyDescent="0.25">
      <c r="A570" s="77" t="s">
        <v>31</v>
      </c>
      <c r="B570" s="263">
        <f t="shared" ref="B570:H570" si="299">2155*B551</f>
        <v>213345</v>
      </c>
      <c r="C570" s="263">
        <f t="shared" si="299"/>
        <v>94820</v>
      </c>
      <c r="D570" s="263">
        <f t="shared" si="299"/>
        <v>129300</v>
      </c>
      <c r="E570" s="263">
        <f t="shared" si="299"/>
        <v>133610</v>
      </c>
      <c r="F570" s="263">
        <f t="shared" si="299"/>
        <v>213345</v>
      </c>
      <c r="G570" s="94">
        <f t="shared" si="299"/>
        <v>219810</v>
      </c>
      <c r="H570" s="94">
        <f t="shared" si="299"/>
        <v>157315</v>
      </c>
      <c r="I570" s="109">
        <f>I551*2155</f>
        <v>1161545</v>
      </c>
      <c r="J570" s="482">
        <f>2155*J551</f>
        <v>165935</v>
      </c>
    </row>
    <row r="571" spans="1:10" x14ac:dyDescent="0.25">
      <c r="A571" s="83" t="s">
        <v>32</v>
      </c>
      <c r="B571" s="411">
        <f t="shared" ref="B571:J571" si="300">B569+B570</f>
        <v>4835862.0689655179</v>
      </c>
      <c r="C571" s="411">
        <f t="shared" si="300"/>
        <v>2650344.8275862071</v>
      </c>
      <c r="D571" s="411">
        <f t="shared" si="300"/>
        <v>3591724.1379310349</v>
      </c>
      <c r="E571" s="411">
        <f t="shared" si="300"/>
        <v>3955086.2068965519</v>
      </c>
      <c r="F571" s="411">
        <f t="shared" si="300"/>
        <v>7182327.5862068972</v>
      </c>
      <c r="G571" s="39">
        <f t="shared" si="300"/>
        <v>5091293.1034482764</v>
      </c>
      <c r="H571" s="39">
        <f t="shared" si="300"/>
        <v>4203103.4482758623</v>
      </c>
      <c r="I571" s="412">
        <f t="shared" si="300"/>
        <v>31509741.379310347</v>
      </c>
      <c r="J571" s="484">
        <f t="shared" si="300"/>
        <v>4501391.6256157635</v>
      </c>
    </row>
    <row r="572" spans="1:10" x14ac:dyDescent="0.25">
      <c r="A572" s="77" t="s">
        <v>33</v>
      </c>
      <c r="B572" s="413">
        <f t="shared" ref="B572:J572" si="301">B571*16%</f>
        <v>773737.9310344829</v>
      </c>
      <c r="C572" s="413">
        <f t="shared" si="301"/>
        <v>424055.17241379316</v>
      </c>
      <c r="D572" s="413">
        <f t="shared" si="301"/>
        <v>574675.86206896557</v>
      </c>
      <c r="E572" s="413">
        <f t="shared" si="301"/>
        <v>632813.79310344835</v>
      </c>
      <c r="F572" s="413">
        <f t="shared" si="301"/>
        <v>1149172.4137931035</v>
      </c>
      <c r="G572" s="41">
        <f t="shared" si="301"/>
        <v>814606.89655172429</v>
      </c>
      <c r="H572" s="41">
        <f t="shared" si="301"/>
        <v>672496.55172413797</v>
      </c>
      <c r="I572" s="414">
        <f t="shared" si="301"/>
        <v>5041558.6206896557</v>
      </c>
      <c r="J572" s="486">
        <f t="shared" si="301"/>
        <v>720222.6600985222</v>
      </c>
    </row>
    <row r="573" spans="1:10" x14ac:dyDescent="0.25">
      <c r="A573" s="142" t="s">
        <v>34</v>
      </c>
      <c r="B573" s="438">
        <f t="shared" ref="B573:I573" si="302">B571+B572</f>
        <v>5609600.0000000009</v>
      </c>
      <c r="C573" s="438">
        <f t="shared" si="302"/>
        <v>3074400</v>
      </c>
      <c r="D573" s="438">
        <f t="shared" si="302"/>
        <v>4166400.0000000005</v>
      </c>
      <c r="E573" s="438">
        <f t="shared" si="302"/>
        <v>4587900</v>
      </c>
      <c r="F573" s="438">
        <f t="shared" si="302"/>
        <v>8331500.0000000009</v>
      </c>
      <c r="G573" s="144">
        <f t="shared" si="302"/>
        <v>5905900.0000000009</v>
      </c>
      <c r="H573" s="144">
        <f t="shared" si="302"/>
        <v>4875600</v>
      </c>
      <c r="I573" s="440">
        <f t="shared" si="302"/>
        <v>36551300</v>
      </c>
      <c r="J573" s="488">
        <f>+$I573/7</f>
        <v>5221614.2857142854</v>
      </c>
    </row>
    <row r="574" spans="1:10" x14ac:dyDescent="0.25">
      <c r="I574" s="89"/>
    </row>
    <row r="575" spans="1:10" ht="26.25" x14ac:dyDescent="0.25">
      <c r="A575" s="85"/>
      <c r="B575" s="1002" t="s">
        <v>362</v>
      </c>
      <c r="C575" s="1002"/>
      <c r="D575" s="1002"/>
      <c r="E575" s="1002"/>
      <c r="F575" s="1002"/>
      <c r="G575" s="1002"/>
      <c r="H575" s="1002"/>
      <c r="I575" s="1002"/>
    </row>
    <row r="576" spans="1:10" ht="15.75" x14ac:dyDescent="0.25">
      <c r="A576" s="72" t="s">
        <v>2</v>
      </c>
      <c r="B576" s="491" t="s">
        <v>262</v>
      </c>
      <c r="C576" s="232" t="s">
        <v>263</v>
      </c>
      <c r="D576" s="232" t="s">
        <v>264</v>
      </c>
      <c r="E576" s="232" t="s">
        <v>265</v>
      </c>
      <c r="F576" s="232" t="s">
        <v>266</v>
      </c>
      <c r="G576" s="232" t="s">
        <v>267</v>
      </c>
      <c r="H576" s="232" t="s">
        <v>105</v>
      </c>
      <c r="I576" s="153" t="s">
        <v>10</v>
      </c>
      <c r="J576" s="490" t="s">
        <v>77</v>
      </c>
    </row>
    <row r="577" spans="1:10" x14ac:dyDescent="0.25">
      <c r="A577" s="430" t="s">
        <v>11</v>
      </c>
      <c r="B577" s="433">
        <f>86+48+21</f>
        <v>155</v>
      </c>
      <c r="C577" s="75">
        <f>63+23+8</f>
        <v>94</v>
      </c>
      <c r="D577" s="75">
        <f>84+53+11</f>
        <v>148</v>
      </c>
      <c r="E577" s="75">
        <f>65+47+10</f>
        <v>122</v>
      </c>
      <c r="F577" s="75">
        <f>124+77+26</f>
        <v>227</v>
      </c>
      <c r="G577" s="75">
        <f>113+59+32</f>
        <v>204</v>
      </c>
      <c r="H577" s="75">
        <f>107+71+24</f>
        <v>202</v>
      </c>
      <c r="I577" s="467">
        <f t="shared" ref="I577:I582" si="303">SUM(B577:H577)</f>
        <v>1152</v>
      </c>
      <c r="J577" s="468">
        <f>+$I577/7</f>
        <v>164.57142857142858</v>
      </c>
    </row>
    <row r="578" spans="1:10" x14ac:dyDescent="0.25">
      <c r="A578" s="77" t="s">
        <v>12</v>
      </c>
      <c r="B578" s="233">
        <v>84</v>
      </c>
      <c r="C578" s="13">
        <v>27</v>
      </c>
      <c r="D578" s="13">
        <v>68</v>
      </c>
      <c r="E578" s="13">
        <v>51</v>
      </c>
      <c r="F578" s="13">
        <v>74</v>
      </c>
      <c r="G578" s="13">
        <v>88</v>
      </c>
      <c r="H578" s="13">
        <v>111</v>
      </c>
      <c r="I578" s="11">
        <f t="shared" si="303"/>
        <v>503</v>
      </c>
      <c r="J578" s="470">
        <f t="shared" ref="J578:J583" si="304">+$I578/7</f>
        <v>71.857142857142861</v>
      </c>
    </row>
    <row r="579" spans="1:10" x14ac:dyDescent="0.25">
      <c r="A579" s="77" t="s">
        <v>13</v>
      </c>
      <c r="B579" s="233">
        <v>5</v>
      </c>
      <c r="C579" s="13">
        <v>1</v>
      </c>
      <c r="D579" s="13">
        <v>4</v>
      </c>
      <c r="E579" s="13">
        <v>2</v>
      </c>
      <c r="F579" s="13">
        <v>1</v>
      </c>
      <c r="G579" s="13">
        <v>2</v>
      </c>
      <c r="H579" s="13">
        <v>2</v>
      </c>
      <c r="I579" s="11">
        <f t="shared" si="303"/>
        <v>17</v>
      </c>
      <c r="J579" s="470">
        <f t="shared" si="304"/>
        <v>2.4285714285714284</v>
      </c>
    </row>
    <row r="580" spans="1:10" x14ac:dyDescent="0.25">
      <c r="A580" s="77" t="s">
        <v>14</v>
      </c>
      <c r="B580" s="233">
        <v>40</v>
      </c>
      <c r="C580" s="13">
        <v>53</v>
      </c>
      <c r="D580" s="13">
        <v>51</v>
      </c>
      <c r="E580" s="13">
        <v>53</v>
      </c>
      <c r="F580" s="13">
        <v>115</v>
      </c>
      <c r="G580" s="13">
        <v>79</v>
      </c>
      <c r="H580" s="13">
        <v>41</v>
      </c>
      <c r="I580" s="11">
        <f t="shared" si="303"/>
        <v>432</v>
      </c>
      <c r="J580" s="470">
        <f t="shared" si="304"/>
        <v>61.714285714285715</v>
      </c>
    </row>
    <row r="581" spans="1:10" x14ac:dyDescent="0.25">
      <c r="A581" s="77" t="s">
        <v>15</v>
      </c>
      <c r="B581" s="233">
        <v>1</v>
      </c>
      <c r="C581" s="13">
        <v>0</v>
      </c>
      <c r="D581" s="13">
        <v>0</v>
      </c>
      <c r="E581" s="13">
        <v>0</v>
      </c>
      <c r="F581" s="13">
        <v>0</v>
      </c>
      <c r="G581" s="13">
        <v>1</v>
      </c>
      <c r="H581" s="13">
        <v>0</v>
      </c>
      <c r="I581" s="11">
        <f t="shared" si="303"/>
        <v>2</v>
      </c>
      <c r="J581" s="470">
        <f t="shared" si="304"/>
        <v>0.2857142857142857</v>
      </c>
    </row>
    <row r="582" spans="1:10" x14ac:dyDescent="0.25">
      <c r="A582" s="77" t="s">
        <v>16</v>
      </c>
      <c r="B582" s="233">
        <v>0</v>
      </c>
      <c r="C582" s="13">
        <v>0</v>
      </c>
      <c r="D582" s="13">
        <v>0</v>
      </c>
      <c r="E582" s="13">
        <v>0</v>
      </c>
      <c r="F582" s="13">
        <v>0</v>
      </c>
      <c r="G582" s="13">
        <v>0</v>
      </c>
      <c r="H582" s="13">
        <v>0</v>
      </c>
      <c r="I582" s="11">
        <f t="shared" si="303"/>
        <v>0</v>
      </c>
      <c r="J582" s="470">
        <f t="shared" si="304"/>
        <v>0</v>
      </c>
    </row>
    <row r="583" spans="1:10" x14ac:dyDescent="0.25">
      <c r="A583" s="79" t="s">
        <v>17</v>
      </c>
      <c r="B583" s="102">
        <f t="shared" ref="B583:I583" si="305">SUM(B578:B582)</f>
        <v>130</v>
      </c>
      <c r="C583" s="102">
        <f t="shared" si="305"/>
        <v>81</v>
      </c>
      <c r="D583" s="102">
        <f t="shared" si="305"/>
        <v>123</v>
      </c>
      <c r="E583" s="102">
        <f t="shared" si="305"/>
        <v>106</v>
      </c>
      <c r="F583" s="102">
        <f t="shared" si="305"/>
        <v>190</v>
      </c>
      <c r="G583" s="79">
        <f t="shared" si="305"/>
        <v>170</v>
      </c>
      <c r="H583" s="79">
        <f t="shared" si="305"/>
        <v>154</v>
      </c>
      <c r="I583" s="472">
        <f t="shared" si="305"/>
        <v>954</v>
      </c>
      <c r="J583" s="473">
        <f t="shared" si="304"/>
        <v>136.28571428571428</v>
      </c>
    </row>
    <row r="584" spans="1:10" x14ac:dyDescent="0.25">
      <c r="A584" s="77" t="s">
        <v>18</v>
      </c>
      <c r="B584" s="234">
        <v>0.66</v>
      </c>
      <c r="C584" s="235">
        <v>0.45</v>
      </c>
      <c r="D584" s="235">
        <v>0.63</v>
      </c>
      <c r="E584" s="236">
        <v>0.52</v>
      </c>
      <c r="F584" s="236">
        <v>0.43</v>
      </c>
      <c r="G584" s="236">
        <v>0.62</v>
      </c>
      <c r="H584" s="236">
        <v>0.73</v>
      </c>
      <c r="I584" s="18">
        <f>I591/I596</f>
        <v>0.58651288665498913</v>
      </c>
      <c r="J584" s="475">
        <f>J591/J596</f>
        <v>0.58651288665498924</v>
      </c>
    </row>
    <row r="585" spans="1:10" x14ac:dyDescent="0.25">
      <c r="A585" s="77" t="s">
        <v>19</v>
      </c>
      <c r="B585" s="234">
        <v>0.04</v>
      </c>
      <c r="C585" s="235">
        <v>0.01</v>
      </c>
      <c r="D585" s="235">
        <v>0.02</v>
      </c>
      <c r="E585" s="236">
        <v>0.03</v>
      </c>
      <c r="F585" s="236">
        <v>0.01</v>
      </c>
      <c r="G585" s="236">
        <v>0.01</v>
      </c>
      <c r="H585" s="236">
        <v>0.03</v>
      </c>
      <c r="I585" s="18">
        <f>I592/I596</f>
        <v>2.1330381512656038E-2</v>
      </c>
      <c r="J585" s="475">
        <f>J592/J596</f>
        <v>2.1330381512656035E-2</v>
      </c>
    </row>
    <row r="586" spans="1:10" x14ac:dyDescent="0.25">
      <c r="A586" s="77" t="s">
        <v>20</v>
      </c>
      <c r="B586" s="234">
        <v>0.28999999999999998</v>
      </c>
      <c r="C586" s="235">
        <v>0.54</v>
      </c>
      <c r="D586" s="235">
        <v>0.35</v>
      </c>
      <c r="E586" s="236">
        <v>0.45</v>
      </c>
      <c r="F586" s="236">
        <v>0.56000000000000005</v>
      </c>
      <c r="G586" s="236">
        <v>0.37</v>
      </c>
      <c r="H586" s="236">
        <v>0.24</v>
      </c>
      <c r="I586" s="18">
        <f>I593/I596</f>
        <v>0.39071869741862236</v>
      </c>
      <c r="J586" s="475">
        <f>J593/J596</f>
        <v>0.39071869741862236</v>
      </c>
    </row>
    <row r="587" spans="1:10" x14ac:dyDescent="0.25">
      <c r="A587" s="77" t="s">
        <v>21</v>
      </c>
      <c r="B587" s="234">
        <v>0.01</v>
      </c>
      <c r="C587" s="235">
        <v>0</v>
      </c>
      <c r="D587" s="235">
        <v>0</v>
      </c>
      <c r="E587" s="236">
        <v>0</v>
      </c>
      <c r="F587" s="236">
        <v>0</v>
      </c>
      <c r="G587" s="236">
        <v>0</v>
      </c>
      <c r="H587" s="236">
        <v>0</v>
      </c>
      <c r="I587" s="18">
        <f>I594/I596</f>
        <v>1.4380344137325499E-3</v>
      </c>
      <c r="J587" s="475">
        <f>J594/J596</f>
        <v>1.4380344137325499E-3</v>
      </c>
    </row>
    <row r="588" spans="1:10" x14ac:dyDescent="0.25">
      <c r="A588" s="77" t="s">
        <v>22</v>
      </c>
      <c r="B588" s="234">
        <v>0</v>
      </c>
      <c r="C588" s="235">
        <v>0</v>
      </c>
      <c r="D588" s="235">
        <v>0</v>
      </c>
      <c r="E588" s="236">
        <v>0</v>
      </c>
      <c r="F588" s="236">
        <v>0</v>
      </c>
      <c r="G588" s="236">
        <v>0</v>
      </c>
      <c r="H588" s="236">
        <v>0</v>
      </c>
      <c r="I588" s="18">
        <f>I595/I596</f>
        <v>0</v>
      </c>
      <c r="J588" s="475">
        <f>J595/J596</f>
        <v>0</v>
      </c>
    </row>
    <row r="589" spans="1:10" x14ac:dyDescent="0.25">
      <c r="A589" s="81" t="s">
        <v>23</v>
      </c>
      <c r="B589" s="409">
        <f t="shared" ref="B589:J589" si="306">B600/B583</f>
        <v>36386.153846153851</v>
      </c>
      <c r="C589" s="409">
        <f t="shared" si="306"/>
        <v>28465.432098765432</v>
      </c>
      <c r="D589" s="409">
        <f t="shared" si="306"/>
        <v>35152.845528455284</v>
      </c>
      <c r="E589" s="409">
        <f t="shared" si="306"/>
        <v>33094.339622641513</v>
      </c>
      <c r="F589" s="409">
        <f t="shared" si="306"/>
        <v>33358.421052631587</v>
      </c>
      <c r="G589" s="130">
        <f t="shared" si="306"/>
        <v>33162.352941176468</v>
      </c>
      <c r="H589" s="130">
        <f t="shared" si="306"/>
        <v>37969.480519480523</v>
      </c>
      <c r="I589" s="359">
        <f t="shared" si="306"/>
        <v>34266.981132075474</v>
      </c>
      <c r="J589" s="477">
        <f t="shared" si="306"/>
        <v>34266.981132075474</v>
      </c>
    </row>
    <row r="590" spans="1:10" x14ac:dyDescent="0.25">
      <c r="A590" s="81" t="s">
        <v>24</v>
      </c>
      <c r="B590" s="409">
        <f t="shared" ref="B590:J590" si="307">B600/B577</f>
        <v>30517.419354838716</v>
      </c>
      <c r="C590" s="409">
        <f t="shared" si="307"/>
        <v>24528.723404255321</v>
      </c>
      <c r="D590" s="409">
        <f t="shared" si="307"/>
        <v>29214.864864864863</v>
      </c>
      <c r="E590" s="409">
        <f t="shared" si="307"/>
        <v>28754.098360655742</v>
      </c>
      <c r="F590" s="409">
        <f t="shared" si="307"/>
        <v>27921.145374449345</v>
      </c>
      <c r="G590" s="130">
        <f t="shared" si="307"/>
        <v>27635.294117647059</v>
      </c>
      <c r="H590" s="130">
        <f t="shared" si="307"/>
        <v>28947.029702970303</v>
      </c>
      <c r="I590" s="359">
        <f t="shared" si="307"/>
        <v>28377.34375</v>
      </c>
      <c r="J590" s="477">
        <f t="shared" si="307"/>
        <v>28377.343749999996</v>
      </c>
    </row>
    <row r="591" spans="1:10" x14ac:dyDescent="0.25">
      <c r="A591" s="77" t="s">
        <v>25</v>
      </c>
      <c r="B591" s="255">
        <f t="shared" ref="B591:H591" si="308">B596*B584</f>
        <v>2571847.4896551729</v>
      </c>
      <c r="C591" s="255">
        <f t="shared" si="308"/>
        <v>868269.33620689658</v>
      </c>
      <c r="D591" s="255">
        <f t="shared" si="308"/>
        <v>2255950.4896551725</v>
      </c>
      <c r="E591" s="255">
        <f t="shared" si="308"/>
        <v>1515401.1241379313</v>
      </c>
      <c r="F591" s="255">
        <f t="shared" si="308"/>
        <v>2280896.0034482763</v>
      </c>
      <c r="G591" s="92">
        <f t="shared" si="308"/>
        <v>2895623.2</v>
      </c>
      <c r="H591" s="92">
        <f t="shared" si="308"/>
        <v>3505146.7293103449</v>
      </c>
      <c r="I591" s="108">
        <f>SUM(B591:H591)</f>
        <v>15893134.372413795</v>
      </c>
      <c r="J591" s="479">
        <f t="shared" ref="J591:J596" si="309">+$I591/7</f>
        <v>2270447.7674876852</v>
      </c>
    </row>
    <row r="592" spans="1:10" x14ac:dyDescent="0.25">
      <c r="A592" s="77" t="s">
        <v>26</v>
      </c>
      <c r="B592" s="255">
        <f t="shared" ref="B592:H592" si="310">B596*B585</f>
        <v>155869.54482758624</v>
      </c>
      <c r="C592" s="255">
        <f t="shared" si="310"/>
        <v>19294.874137931034</v>
      </c>
      <c r="D592" s="255">
        <f t="shared" si="310"/>
        <v>71617.475862068968</v>
      </c>
      <c r="E592" s="255">
        <f t="shared" si="310"/>
        <v>87426.987931034484</v>
      </c>
      <c r="F592" s="255">
        <f t="shared" si="310"/>
        <v>53044.093103448286</v>
      </c>
      <c r="G592" s="92">
        <f t="shared" si="310"/>
        <v>46703.6</v>
      </c>
      <c r="H592" s="92">
        <f t="shared" si="310"/>
        <v>144047.12586206896</v>
      </c>
      <c r="I592" s="108">
        <f>SUM(B592:H592)</f>
        <v>578003.70172413788</v>
      </c>
      <c r="J592" s="479">
        <f t="shared" si="309"/>
        <v>82571.957389162548</v>
      </c>
    </row>
    <row r="593" spans="1:10" x14ac:dyDescent="0.25">
      <c r="A593" s="77" t="s">
        <v>27</v>
      </c>
      <c r="B593" s="255">
        <f t="shared" ref="B593:H593" si="311">B596*B586</f>
        <v>1130054.2</v>
      </c>
      <c r="C593" s="255">
        <f t="shared" si="311"/>
        <v>1041923.203448276</v>
      </c>
      <c r="D593" s="255">
        <f t="shared" si="311"/>
        <v>1253305.8275862068</v>
      </c>
      <c r="E593" s="255">
        <f t="shared" si="311"/>
        <v>1311404.8189655175</v>
      </c>
      <c r="F593" s="255">
        <f t="shared" si="311"/>
        <v>2970469.213793104</v>
      </c>
      <c r="G593" s="92">
        <f t="shared" si="311"/>
        <v>1728033.2</v>
      </c>
      <c r="H593" s="92">
        <f t="shared" si="311"/>
        <v>1152377.0068965517</v>
      </c>
      <c r="I593" s="108">
        <f>SUM(B593:H593)</f>
        <v>10587567.470689656</v>
      </c>
      <c r="J593" s="479">
        <f t="shared" si="309"/>
        <v>1512509.6386699509</v>
      </c>
    </row>
    <row r="594" spans="1:10" x14ac:dyDescent="0.25">
      <c r="A594" s="77" t="s">
        <v>28</v>
      </c>
      <c r="B594" s="255">
        <f t="shared" ref="B594:H594" si="312">B596*B587</f>
        <v>38967.386206896561</v>
      </c>
      <c r="C594" s="255">
        <f t="shared" si="312"/>
        <v>0</v>
      </c>
      <c r="D594" s="255">
        <f t="shared" si="312"/>
        <v>0</v>
      </c>
      <c r="E594" s="255">
        <f t="shared" si="312"/>
        <v>0</v>
      </c>
      <c r="F594" s="255">
        <f t="shared" si="312"/>
        <v>0</v>
      </c>
      <c r="G594" s="92">
        <f t="shared" si="312"/>
        <v>0</v>
      </c>
      <c r="H594" s="92">
        <f t="shared" si="312"/>
        <v>0</v>
      </c>
      <c r="I594" s="108">
        <f>SUM(B594:H594)</f>
        <v>38967.386206896561</v>
      </c>
      <c r="J594" s="479">
        <f t="shared" si="309"/>
        <v>5566.7694581280803</v>
      </c>
    </row>
    <row r="595" spans="1:10" x14ac:dyDescent="0.25">
      <c r="A595" s="77" t="s">
        <v>29</v>
      </c>
      <c r="B595" s="255">
        <f t="shared" ref="B595:H595" si="313">B596*B588</f>
        <v>0</v>
      </c>
      <c r="C595" s="255">
        <f t="shared" si="313"/>
        <v>0</v>
      </c>
      <c r="D595" s="255">
        <f t="shared" si="313"/>
        <v>0</v>
      </c>
      <c r="E595" s="255">
        <f t="shared" si="313"/>
        <v>0</v>
      </c>
      <c r="F595" s="255">
        <f t="shared" si="313"/>
        <v>0</v>
      </c>
      <c r="G595" s="92">
        <f t="shared" si="313"/>
        <v>0</v>
      </c>
      <c r="H595" s="92">
        <f t="shared" si="313"/>
        <v>0</v>
      </c>
      <c r="I595" s="108">
        <f>SUM(B595:H595)</f>
        <v>0</v>
      </c>
      <c r="J595" s="479">
        <f t="shared" si="309"/>
        <v>0</v>
      </c>
    </row>
    <row r="596" spans="1:10" x14ac:dyDescent="0.25">
      <c r="A596" s="82" t="s">
        <v>30</v>
      </c>
      <c r="B596" s="222">
        <f>(4730200/1.16)-B597</f>
        <v>3896738.6206896557</v>
      </c>
      <c r="C596" s="222">
        <f>(2305700/1.16)-C597</f>
        <v>1929487.4137931035</v>
      </c>
      <c r="D596" s="222">
        <f>(4323800/1.16)-D597</f>
        <v>3580873.7931034486</v>
      </c>
      <c r="E596" s="222">
        <f>(3508000/1.16)-E597</f>
        <v>2914232.931034483</v>
      </c>
      <c r="F596" s="222">
        <f>(6338100/1.16)-F597</f>
        <v>5304409.3103448283</v>
      </c>
      <c r="G596" s="222">
        <f>(5637600/1.16)-G597</f>
        <v>4670360</v>
      </c>
      <c r="H596" s="222">
        <f>(5847300/1.16)-H597</f>
        <v>4801570.862068966</v>
      </c>
      <c r="I596" s="111">
        <f>SUM(I591:I595)</f>
        <v>27097672.931034483</v>
      </c>
      <c r="J596" s="481">
        <f t="shared" si="309"/>
        <v>3871096.1330049261</v>
      </c>
    </row>
    <row r="597" spans="1:10" x14ac:dyDescent="0.25">
      <c r="A597" s="77" t="s">
        <v>31</v>
      </c>
      <c r="B597" s="263">
        <f t="shared" ref="B597:H597" si="314">2155*B578</f>
        <v>181020</v>
      </c>
      <c r="C597" s="263">
        <f t="shared" si="314"/>
        <v>58185</v>
      </c>
      <c r="D597" s="263">
        <f t="shared" si="314"/>
        <v>146540</v>
      </c>
      <c r="E597" s="263">
        <f t="shared" si="314"/>
        <v>109905</v>
      </c>
      <c r="F597" s="263">
        <f t="shared" si="314"/>
        <v>159470</v>
      </c>
      <c r="G597" s="94">
        <f t="shared" si="314"/>
        <v>189640</v>
      </c>
      <c r="H597" s="94">
        <f t="shared" si="314"/>
        <v>239205</v>
      </c>
      <c r="I597" s="109">
        <f>I578*2155</f>
        <v>1083965</v>
      </c>
      <c r="J597" s="482">
        <f>2155*J578</f>
        <v>154852.14285714287</v>
      </c>
    </row>
    <row r="598" spans="1:10" x14ac:dyDescent="0.25">
      <c r="A598" s="83" t="s">
        <v>32</v>
      </c>
      <c r="B598" s="411">
        <f t="shared" ref="B598:J598" si="315">B596+B597</f>
        <v>4077758.6206896557</v>
      </c>
      <c r="C598" s="411">
        <f t="shared" si="315"/>
        <v>1987672.4137931035</v>
      </c>
      <c r="D598" s="411">
        <f t="shared" si="315"/>
        <v>3727413.7931034486</v>
      </c>
      <c r="E598" s="411">
        <f t="shared" si="315"/>
        <v>3024137.931034483</v>
      </c>
      <c r="F598" s="411">
        <f t="shared" si="315"/>
        <v>5463879.3103448283</v>
      </c>
      <c r="G598" s="39">
        <f t="shared" si="315"/>
        <v>4860000</v>
      </c>
      <c r="H598" s="39">
        <f t="shared" si="315"/>
        <v>5040775.862068966</v>
      </c>
      <c r="I598" s="412">
        <f t="shared" si="315"/>
        <v>28181637.931034483</v>
      </c>
      <c r="J598" s="484">
        <f t="shared" si="315"/>
        <v>4025948.2758620689</v>
      </c>
    </row>
    <row r="599" spans="1:10" x14ac:dyDescent="0.25">
      <c r="A599" s="77" t="s">
        <v>33</v>
      </c>
      <c r="B599" s="413">
        <f t="shared" ref="B599:J599" si="316">B598*16%</f>
        <v>652441.37931034493</v>
      </c>
      <c r="C599" s="413">
        <f t="shared" si="316"/>
        <v>318027.58620689658</v>
      </c>
      <c r="D599" s="413">
        <f t="shared" si="316"/>
        <v>596386.20689655177</v>
      </c>
      <c r="E599" s="413">
        <f t="shared" si="316"/>
        <v>483862.06896551728</v>
      </c>
      <c r="F599" s="413">
        <f t="shared" si="316"/>
        <v>874220.68965517252</v>
      </c>
      <c r="G599" s="41">
        <f t="shared" si="316"/>
        <v>777600</v>
      </c>
      <c r="H599" s="41">
        <f t="shared" si="316"/>
        <v>806524.13793103455</v>
      </c>
      <c r="I599" s="414">
        <f t="shared" si="316"/>
        <v>4509062.068965517</v>
      </c>
      <c r="J599" s="486">
        <f t="shared" si="316"/>
        <v>644151.72413793101</v>
      </c>
    </row>
    <row r="600" spans="1:10" x14ac:dyDescent="0.25">
      <c r="A600" s="142" t="s">
        <v>34</v>
      </c>
      <c r="B600" s="438">
        <f t="shared" ref="B600:I600" si="317">B598+B599</f>
        <v>4730200.0000000009</v>
      </c>
      <c r="C600" s="438">
        <f t="shared" si="317"/>
        <v>2305700</v>
      </c>
      <c r="D600" s="438">
        <f t="shared" si="317"/>
        <v>4323800</v>
      </c>
      <c r="E600" s="438">
        <f t="shared" si="317"/>
        <v>3508000.0000000005</v>
      </c>
      <c r="F600" s="438">
        <f t="shared" si="317"/>
        <v>6338100.0000000009</v>
      </c>
      <c r="G600" s="144">
        <f t="shared" si="317"/>
        <v>5637600</v>
      </c>
      <c r="H600" s="144">
        <f t="shared" si="317"/>
        <v>5847300.0000000009</v>
      </c>
      <c r="I600" s="440">
        <f t="shared" si="317"/>
        <v>32690700</v>
      </c>
      <c r="J600" s="488">
        <f>+$I600/7</f>
        <v>4670100</v>
      </c>
    </row>
    <row r="601" spans="1:10" x14ac:dyDescent="0.25">
      <c r="I601" s="89"/>
    </row>
    <row r="602" spans="1:10" ht="26.25" x14ac:dyDescent="0.25">
      <c r="A602" s="85"/>
      <c r="B602" s="1002" t="s">
        <v>363</v>
      </c>
      <c r="C602" s="1002"/>
      <c r="D602" s="1002"/>
      <c r="E602" s="1002"/>
      <c r="F602" s="1002"/>
      <c r="G602" s="1002"/>
      <c r="H602" s="1002"/>
      <c r="I602" s="1002"/>
    </row>
    <row r="603" spans="1:10" ht="15.75" x14ac:dyDescent="0.25">
      <c r="A603" s="72" t="s">
        <v>2</v>
      </c>
      <c r="B603" s="491" t="s">
        <v>107</v>
      </c>
      <c r="C603" s="232" t="s">
        <v>108</v>
      </c>
      <c r="D603" s="232" t="s">
        <v>109</v>
      </c>
      <c r="E603" s="232" t="s">
        <v>110</v>
      </c>
      <c r="F603" s="232" t="s">
        <v>111</v>
      </c>
      <c r="G603" s="232" t="s">
        <v>112</v>
      </c>
      <c r="H603" s="232" t="s">
        <v>113</v>
      </c>
      <c r="I603" s="153" t="s">
        <v>10</v>
      </c>
      <c r="J603" s="490" t="s">
        <v>77</v>
      </c>
    </row>
    <row r="604" spans="1:10" x14ac:dyDescent="0.25">
      <c r="A604" s="430" t="s">
        <v>11</v>
      </c>
      <c r="B604" s="433">
        <f>49+35+12</f>
        <v>96</v>
      </c>
      <c r="C604" s="75">
        <f>54+38+13</f>
        <v>105</v>
      </c>
      <c r="D604" s="75">
        <f>72+39+11</f>
        <v>122</v>
      </c>
      <c r="E604" s="75">
        <f>90+57+15</f>
        <v>162</v>
      </c>
      <c r="F604" s="75">
        <f>138+89+36</f>
        <v>263</v>
      </c>
      <c r="G604" s="75">
        <f>118+50+21</f>
        <v>189</v>
      </c>
      <c r="H604" s="75">
        <f>75+53+16</f>
        <v>144</v>
      </c>
      <c r="I604" s="467">
        <f t="shared" ref="I604:I609" si="318">SUM(B604:H604)</f>
        <v>1081</v>
      </c>
      <c r="J604" s="468">
        <f>+$I604/7</f>
        <v>154.42857142857142</v>
      </c>
    </row>
    <row r="605" spans="1:10" x14ac:dyDescent="0.25">
      <c r="A605" s="77" t="s">
        <v>12</v>
      </c>
      <c r="B605" s="233">
        <v>45</v>
      </c>
      <c r="C605" s="13">
        <v>38</v>
      </c>
      <c r="D605" s="13">
        <v>51</v>
      </c>
      <c r="E605" s="13">
        <v>71</v>
      </c>
      <c r="F605" s="13">
        <v>83</v>
      </c>
      <c r="G605" s="13">
        <v>87</v>
      </c>
      <c r="H605" s="13">
        <v>82</v>
      </c>
      <c r="I605" s="11">
        <f t="shared" si="318"/>
        <v>457</v>
      </c>
      <c r="J605" s="470">
        <f t="shared" ref="J605:J610" si="319">+$I605/7</f>
        <v>65.285714285714292</v>
      </c>
    </row>
    <row r="606" spans="1:10" x14ac:dyDescent="0.25">
      <c r="A606" s="77" t="s">
        <v>13</v>
      </c>
      <c r="B606" s="233">
        <v>0</v>
      </c>
      <c r="C606" s="13">
        <v>1</v>
      </c>
      <c r="D606" s="13">
        <v>2</v>
      </c>
      <c r="E606" s="13">
        <v>0</v>
      </c>
      <c r="F606" s="13">
        <v>2</v>
      </c>
      <c r="G606" s="13">
        <v>4</v>
      </c>
      <c r="H606" s="13">
        <v>2</v>
      </c>
      <c r="I606" s="11">
        <f t="shared" si="318"/>
        <v>11</v>
      </c>
      <c r="J606" s="470">
        <f t="shared" si="319"/>
        <v>1.5714285714285714</v>
      </c>
    </row>
    <row r="607" spans="1:10" x14ac:dyDescent="0.25">
      <c r="A607" s="77" t="s">
        <v>14</v>
      </c>
      <c r="B607" s="233">
        <v>35</v>
      </c>
      <c r="C607" s="13">
        <v>56</v>
      </c>
      <c r="D607" s="13">
        <v>46</v>
      </c>
      <c r="E607" s="13">
        <v>62</v>
      </c>
      <c r="F607" s="13">
        <v>110</v>
      </c>
      <c r="G607" s="13">
        <v>47</v>
      </c>
      <c r="H607" s="13">
        <v>34</v>
      </c>
      <c r="I607" s="11">
        <f t="shared" si="318"/>
        <v>390</v>
      </c>
      <c r="J607" s="470">
        <f t="shared" si="319"/>
        <v>55.714285714285715</v>
      </c>
    </row>
    <row r="608" spans="1:10" x14ac:dyDescent="0.25">
      <c r="A608" s="77" t="s">
        <v>15</v>
      </c>
      <c r="B608" s="233">
        <v>0</v>
      </c>
      <c r="C608" s="13">
        <v>0</v>
      </c>
      <c r="D608" s="13">
        <v>0</v>
      </c>
      <c r="E608" s="13">
        <v>0</v>
      </c>
      <c r="F608" s="13">
        <v>0</v>
      </c>
      <c r="G608" s="13">
        <v>0</v>
      </c>
      <c r="H608" s="13">
        <v>0</v>
      </c>
      <c r="I608" s="11">
        <f t="shared" si="318"/>
        <v>0</v>
      </c>
      <c r="J608" s="470">
        <f t="shared" si="319"/>
        <v>0</v>
      </c>
    </row>
    <row r="609" spans="1:10" x14ac:dyDescent="0.25">
      <c r="A609" s="77" t="s">
        <v>16</v>
      </c>
      <c r="B609" s="233">
        <v>0</v>
      </c>
      <c r="C609" s="13">
        <v>0</v>
      </c>
      <c r="D609" s="13">
        <v>0</v>
      </c>
      <c r="E609" s="13">
        <v>0</v>
      </c>
      <c r="F609" s="13">
        <v>0</v>
      </c>
      <c r="G609" s="13">
        <v>0</v>
      </c>
      <c r="H609" s="13">
        <v>0</v>
      </c>
      <c r="I609" s="11">
        <f t="shared" si="318"/>
        <v>0</v>
      </c>
      <c r="J609" s="470">
        <f t="shared" si="319"/>
        <v>0</v>
      </c>
    </row>
    <row r="610" spans="1:10" x14ac:dyDescent="0.25">
      <c r="A610" s="79" t="s">
        <v>17</v>
      </c>
      <c r="B610" s="102">
        <f t="shared" ref="B610:I610" si="320">SUM(B605:B609)</f>
        <v>80</v>
      </c>
      <c r="C610" s="102">
        <f t="shared" si="320"/>
        <v>95</v>
      </c>
      <c r="D610" s="102">
        <f t="shared" si="320"/>
        <v>99</v>
      </c>
      <c r="E610" s="102">
        <f t="shared" si="320"/>
        <v>133</v>
      </c>
      <c r="F610" s="102">
        <f t="shared" si="320"/>
        <v>195</v>
      </c>
      <c r="G610" s="79">
        <f t="shared" si="320"/>
        <v>138</v>
      </c>
      <c r="H610" s="79">
        <f t="shared" si="320"/>
        <v>118</v>
      </c>
      <c r="I610" s="472">
        <f t="shared" si="320"/>
        <v>858</v>
      </c>
      <c r="J610" s="473">
        <f t="shared" si="319"/>
        <v>122.57142857142857</v>
      </c>
    </row>
    <row r="611" spans="1:10" x14ac:dyDescent="0.25">
      <c r="A611" s="77" t="s">
        <v>18</v>
      </c>
      <c r="B611" s="234">
        <v>0.57999999999999996</v>
      </c>
      <c r="C611" s="235">
        <v>0.47</v>
      </c>
      <c r="D611" s="235">
        <v>0.62</v>
      </c>
      <c r="E611" s="236">
        <v>0.56999999999999995</v>
      </c>
      <c r="F611" s="236">
        <v>0.44</v>
      </c>
      <c r="G611" s="236">
        <v>0.72</v>
      </c>
      <c r="H611" s="236">
        <v>0.73</v>
      </c>
      <c r="I611" s="18">
        <f>I618/I623</f>
        <v>0.58532722988131125</v>
      </c>
      <c r="J611" s="475">
        <f>J618/J623</f>
        <v>0.58532722988131125</v>
      </c>
    </row>
    <row r="612" spans="1:10" x14ac:dyDescent="0.25">
      <c r="A612" s="77" t="s">
        <v>19</v>
      </c>
      <c r="B612" s="234">
        <v>0</v>
      </c>
      <c r="C612" s="235">
        <v>0.01</v>
      </c>
      <c r="D612" s="235">
        <v>0.04</v>
      </c>
      <c r="E612" s="236">
        <v>0</v>
      </c>
      <c r="F612" s="236">
        <v>0.01</v>
      </c>
      <c r="G612" s="236">
        <v>0.02</v>
      </c>
      <c r="H612" s="236">
        <v>0.03</v>
      </c>
      <c r="I612" s="18">
        <f>I619/I623</f>
        <v>1.5699925220231153E-2</v>
      </c>
      <c r="J612" s="475">
        <f>J619/J623</f>
        <v>1.5699925220231153E-2</v>
      </c>
    </row>
    <row r="613" spans="1:10" x14ac:dyDescent="0.25">
      <c r="A613" s="77" t="s">
        <v>20</v>
      </c>
      <c r="B613" s="234">
        <v>0.42</v>
      </c>
      <c r="C613" s="235">
        <v>0.52</v>
      </c>
      <c r="D613" s="235">
        <v>0.34</v>
      </c>
      <c r="E613" s="236">
        <v>0.43</v>
      </c>
      <c r="F613" s="236">
        <v>0.55000000000000004</v>
      </c>
      <c r="G613" s="236">
        <v>0.26</v>
      </c>
      <c r="H613" s="236">
        <v>0.24</v>
      </c>
      <c r="I613" s="18">
        <f>I620/I623</f>
        <v>0.39897284489845763</v>
      </c>
      <c r="J613" s="475">
        <f>J620/J623</f>
        <v>0.39897284489845763</v>
      </c>
    </row>
    <row r="614" spans="1:10" x14ac:dyDescent="0.25">
      <c r="A614" s="77" t="s">
        <v>21</v>
      </c>
      <c r="B614" s="234">
        <v>0</v>
      </c>
      <c r="C614" s="235">
        <v>0</v>
      </c>
      <c r="D614" s="235">
        <v>0</v>
      </c>
      <c r="E614" s="236">
        <v>0</v>
      </c>
      <c r="F614" s="236">
        <v>0</v>
      </c>
      <c r="G614" s="236">
        <v>0</v>
      </c>
      <c r="H614" s="236">
        <v>0</v>
      </c>
      <c r="I614" s="18">
        <f>I621/I623</f>
        <v>0</v>
      </c>
      <c r="J614" s="475">
        <f>J621/J623</f>
        <v>0</v>
      </c>
    </row>
    <row r="615" spans="1:10" x14ac:dyDescent="0.25">
      <c r="A615" s="77" t="s">
        <v>22</v>
      </c>
      <c r="B615" s="234">
        <v>0</v>
      </c>
      <c r="C615" s="235">
        <v>0</v>
      </c>
      <c r="D615" s="235">
        <v>0</v>
      </c>
      <c r="E615" s="236">
        <v>0</v>
      </c>
      <c r="F615" s="236">
        <v>0</v>
      </c>
      <c r="G615" s="236">
        <v>0</v>
      </c>
      <c r="H615" s="236">
        <v>0</v>
      </c>
      <c r="I615" s="18">
        <f>I622/I623</f>
        <v>0</v>
      </c>
      <c r="J615" s="475">
        <f>J622/J623</f>
        <v>0</v>
      </c>
    </row>
    <row r="616" spans="1:10" x14ac:dyDescent="0.25">
      <c r="A616" s="81" t="s">
        <v>23</v>
      </c>
      <c r="B616" s="409">
        <f t="shared" ref="B616:J616" si="321">B627/B610</f>
        <v>32432.5</v>
      </c>
      <c r="C616" s="409">
        <f t="shared" si="321"/>
        <v>29832.631578947374</v>
      </c>
      <c r="D616" s="409">
        <f t="shared" si="321"/>
        <v>36664.646464646466</v>
      </c>
      <c r="E616" s="409">
        <f t="shared" si="321"/>
        <v>34620.300751879702</v>
      </c>
      <c r="F616" s="409">
        <f t="shared" si="321"/>
        <v>36690.769230769234</v>
      </c>
      <c r="G616" s="130">
        <f t="shared" si="321"/>
        <v>40537.681159420288</v>
      </c>
      <c r="H616" s="130">
        <f t="shared" si="321"/>
        <v>34602.542372881362</v>
      </c>
      <c r="I616" s="359">
        <f t="shared" si="321"/>
        <v>35541.958041958045</v>
      </c>
      <c r="J616" s="477">
        <f t="shared" si="321"/>
        <v>35541.958041958045</v>
      </c>
    </row>
    <row r="617" spans="1:10" x14ac:dyDescent="0.25">
      <c r="A617" s="81" t="s">
        <v>24</v>
      </c>
      <c r="B617" s="409">
        <f t="shared" ref="B617:J617" si="322">B627/B604</f>
        <v>27027.083333333332</v>
      </c>
      <c r="C617" s="409">
        <f t="shared" si="322"/>
        <v>26991.428571428576</v>
      </c>
      <c r="D617" s="409">
        <f t="shared" si="322"/>
        <v>29752.459016393448</v>
      </c>
      <c r="E617" s="409">
        <f t="shared" si="322"/>
        <v>28422.839506172841</v>
      </c>
      <c r="F617" s="409">
        <f t="shared" si="322"/>
        <v>27204.182509505707</v>
      </c>
      <c r="G617" s="130">
        <f t="shared" si="322"/>
        <v>29598.9417989418</v>
      </c>
      <c r="H617" s="130">
        <f t="shared" si="322"/>
        <v>28354.861111111113</v>
      </c>
      <c r="I617" s="359">
        <f t="shared" si="322"/>
        <v>28209.990749306202</v>
      </c>
      <c r="J617" s="477">
        <f t="shared" si="322"/>
        <v>28209.990749306202</v>
      </c>
    </row>
    <row r="618" spans="1:10" x14ac:dyDescent="0.25">
      <c r="A618" s="77" t="s">
        <v>25</v>
      </c>
      <c r="B618" s="255">
        <f t="shared" ref="B618:H618" si="323">B623*B611</f>
        <v>1241054.5</v>
      </c>
      <c r="C618" s="255">
        <f t="shared" si="323"/>
        <v>1109810.8379310346</v>
      </c>
      <c r="D618" s="255">
        <f t="shared" si="323"/>
        <v>1871924.4172413794</v>
      </c>
      <c r="E618" s="255">
        <f t="shared" si="323"/>
        <v>2175343.1844827584</v>
      </c>
      <c r="F618" s="255">
        <f t="shared" si="323"/>
        <v>2635151.1241379315</v>
      </c>
      <c r="G618" s="92">
        <f t="shared" si="323"/>
        <v>3337272.8689655173</v>
      </c>
      <c r="H618" s="92">
        <f t="shared" si="323"/>
        <v>2440538.7689655176</v>
      </c>
      <c r="I618" s="108">
        <f>SUM(B618:H618)</f>
        <v>14811095.70172414</v>
      </c>
      <c r="J618" s="479">
        <f t="shared" ref="J618:J623" si="324">+$I618/7</f>
        <v>2115870.8145320201</v>
      </c>
    </row>
    <row r="619" spans="1:10" x14ac:dyDescent="0.25">
      <c r="A619" s="77" t="s">
        <v>26</v>
      </c>
      <c r="B619" s="255">
        <f t="shared" ref="B619:H619" si="325">B623*B612</f>
        <v>0</v>
      </c>
      <c r="C619" s="255">
        <f t="shared" si="325"/>
        <v>23612.996551724144</v>
      </c>
      <c r="D619" s="255">
        <f t="shared" si="325"/>
        <v>120769.31724137932</v>
      </c>
      <c r="E619" s="255">
        <f t="shared" si="325"/>
        <v>0</v>
      </c>
      <c r="F619" s="255">
        <f t="shared" si="325"/>
        <v>59889.798275862078</v>
      </c>
      <c r="G619" s="92">
        <f t="shared" si="325"/>
        <v>92702.024137931046</v>
      </c>
      <c r="H619" s="92">
        <f t="shared" si="325"/>
        <v>100296.11379310346</v>
      </c>
      <c r="I619" s="108">
        <f>SUM(B619:H619)</f>
        <v>397270.25000000012</v>
      </c>
      <c r="J619" s="479">
        <f t="shared" si="324"/>
        <v>56752.892857142877</v>
      </c>
    </row>
    <row r="620" spans="1:10" x14ac:dyDescent="0.25">
      <c r="A620" s="77" t="s">
        <v>27</v>
      </c>
      <c r="B620" s="255">
        <f t="shared" ref="B620:H620" si="326">B623*B613</f>
        <v>898694.63793103443</v>
      </c>
      <c r="C620" s="255">
        <f t="shared" si="326"/>
        <v>1227875.8206896554</v>
      </c>
      <c r="D620" s="255">
        <f t="shared" si="326"/>
        <v>1026539.1965517243</v>
      </c>
      <c r="E620" s="255">
        <f t="shared" si="326"/>
        <v>1641048.3672413793</v>
      </c>
      <c r="F620" s="255">
        <f t="shared" si="326"/>
        <v>3293938.9051724146</v>
      </c>
      <c r="G620" s="92">
        <f t="shared" si="326"/>
        <v>1205126.3137931034</v>
      </c>
      <c r="H620" s="92">
        <f t="shared" si="326"/>
        <v>802368.91034482769</v>
      </c>
      <c r="I620" s="108">
        <f>SUM(B620:H620)</f>
        <v>10095592.151724141</v>
      </c>
      <c r="J620" s="479">
        <f t="shared" si="324"/>
        <v>1442227.4502463059</v>
      </c>
    </row>
    <row r="621" spans="1:10" x14ac:dyDescent="0.25">
      <c r="A621" s="77" t="s">
        <v>28</v>
      </c>
      <c r="B621" s="255">
        <f t="shared" ref="B621:H621" si="327">B623*B614</f>
        <v>0</v>
      </c>
      <c r="C621" s="255">
        <f t="shared" si="327"/>
        <v>0</v>
      </c>
      <c r="D621" s="255">
        <f t="shared" si="327"/>
        <v>0</v>
      </c>
      <c r="E621" s="255">
        <f t="shared" si="327"/>
        <v>0</v>
      </c>
      <c r="F621" s="255">
        <f t="shared" si="327"/>
        <v>0</v>
      </c>
      <c r="G621" s="92">
        <f t="shared" si="327"/>
        <v>0</v>
      </c>
      <c r="H621" s="92">
        <f t="shared" si="327"/>
        <v>0</v>
      </c>
      <c r="I621" s="108">
        <f>SUM(B621:H621)</f>
        <v>0</v>
      </c>
      <c r="J621" s="479">
        <f t="shared" si="324"/>
        <v>0</v>
      </c>
    </row>
    <row r="622" spans="1:10" x14ac:dyDescent="0.25">
      <c r="A622" s="77" t="s">
        <v>29</v>
      </c>
      <c r="B622" s="255">
        <f t="shared" ref="B622:H622" si="328">B623*B615</f>
        <v>0</v>
      </c>
      <c r="C622" s="255">
        <f t="shared" si="328"/>
        <v>0</v>
      </c>
      <c r="D622" s="255">
        <f t="shared" si="328"/>
        <v>0</v>
      </c>
      <c r="E622" s="255">
        <f t="shared" si="328"/>
        <v>0</v>
      </c>
      <c r="F622" s="255">
        <f t="shared" si="328"/>
        <v>0</v>
      </c>
      <c r="G622" s="92">
        <f t="shared" si="328"/>
        <v>0</v>
      </c>
      <c r="H622" s="92">
        <f t="shared" si="328"/>
        <v>0</v>
      </c>
      <c r="I622" s="108">
        <f>SUM(B622:H622)</f>
        <v>0</v>
      </c>
      <c r="J622" s="479">
        <f t="shared" si="324"/>
        <v>0</v>
      </c>
    </row>
    <row r="623" spans="1:10" x14ac:dyDescent="0.25">
      <c r="A623" s="82" t="s">
        <v>30</v>
      </c>
      <c r="B623" s="222">
        <f>(2594600/1.16)-B624</f>
        <v>2139749.1379310344</v>
      </c>
      <c r="C623" s="222">
        <f>(2834100/1.16)-C624</f>
        <v>2361299.6551724141</v>
      </c>
      <c r="D623" s="222">
        <f>(3629800/1.16)-D624</f>
        <v>3019232.931034483</v>
      </c>
      <c r="E623" s="222">
        <f>(4604500/1.16)-E624</f>
        <v>3816391.5517241382</v>
      </c>
      <c r="F623" s="222">
        <f>(7154700/1.16)-F624</f>
        <v>5988979.8275862075</v>
      </c>
      <c r="G623" s="222">
        <f>(5594200/1.16)-G624</f>
        <v>4635101.2068965519</v>
      </c>
      <c r="H623" s="222">
        <f>(4083100/1.16)-H624</f>
        <v>3343203.7931034486</v>
      </c>
      <c r="I623" s="111">
        <f>SUM(I618:I622)</f>
        <v>25303958.103448279</v>
      </c>
      <c r="J623" s="481">
        <f t="shared" si="324"/>
        <v>3614851.1576354685</v>
      </c>
    </row>
    <row r="624" spans="1:10" x14ac:dyDescent="0.25">
      <c r="A624" s="77" t="s">
        <v>31</v>
      </c>
      <c r="B624" s="263">
        <f t="shared" ref="B624:H624" si="329">2155*B605</f>
        <v>96975</v>
      </c>
      <c r="C624" s="263">
        <f t="shared" si="329"/>
        <v>81890</v>
      </c>
      <c r="D624" s="263">
        <f t="shared" si="329"/>
        <v>109905</v>
      </c>
      <c r="E624" s="263">
        <f t="shared" si="329"/>
        <v>153005</v>
      </c>
      <c r="F624" s="263">
        <f t="shared" si="329"/>
        <v>178865</v>
      </c>
      <c r="G624" s="94">
        <f t="shared" si="329"/>
        <v>187485</v>
      </c>
      <c r="H624" s="94">
        <f t="shared" si="329"/>
        <v>176710</v>
      </c>
      <c r="I624" s="109">
        <f>I605*2155</f>
        <v>984835</v>
      </c>
      <c r="J624" s="482">
        <f>2155*J605</f>
        <v>140690.71428571429</v>
      </c>
    </row>
    <row r="625" spans="1:10" x14ac:dyDescent="0.25">
      <c r="A625" s="83" t="s">
        <v>32</v>
      </c>
      <c r="B625" s="411">
        <f t="shared" ref="B625:J625" si="330">B623+B624</f>
        <v>2236724.1379310344</v>
      </c>
      <c r="C625" s="411">
        <f t="shared" si="330"/>
        <v>2443189.6551724141</v>
      </c>
      <c r="D625" s="411">
        <f t="shared" si="330"/>
        <v>3129137.931034483</v>
      </c>
      <c r="E625" s="411">
        <f t="shared" si="330"/>
        <v>3969396.5517241382</v>
      </c>
      <c r="F625" s="411">
        <f t="shared" si="330"/>
        <v>6167844.8275862075</v>
      </c>
      <c r="G625" s="39">
        <f t="shared" si="330"/>
        <v>4822586.2068965519</v>
      </c>
      <c r="H625" s="39">
        <f t="shared" si="330"/>
        <v>3519913.7931034486</v>
      </c>
      <c r="I625" s="412">
        <f t="shared" si="330"/>
        <v>26288793.103448279</v>
      </c>
      <c r="J625" s="484">
        <f t="shared" si="330"/>
        <v>3755541.8719211826</v>
      </c>
    </row>
    <row r="626" spans="1:10" x14ac:dyDescent="0.25">
      <c r="A626" s="77" t="s">
        <v>33</v>
      </c>
      <c r="B626" s="413">
        <f t="shared" ref="B626:J626" si="331">B625*16%</f>
        <v>357875.86206896551</v>
      </c>
      <c r="C626" s="413">
        <f t="shared" si="331"/>
        <v>390910.34482758626</v>
      </c>
      <c r="D626" s="413">
        <f t="shared" si="331"/>
        <v>500662.06896551728</v>
      </c>
      <c r="E626" s="413">
        <f t="shared" si="331"/>
        <v>635103.44827586215</v>
      </c>
      <c r="F626" s="413">
        <f t="shared" si="331"/>
        <v>986855.17241379328</v>
      </c>
      <c r="G626" s="41">
        <f t="shared" si="331"/>
        <v>771613.79310344835</v>
      </c>
      <c r="H626" s="41">
        <f t="shared" si="331"/>
        <v>563186.20689655177</v>
      </c>
      <c r="I626" s="414">
        <f t="shared" si="331"/>
        <v>4206206.8965517245</v>
      </c>
      <c r="J626" s="486">
        <f t="shared" si="331"/>
        <v>600886.69950738922</v>
      </c>
    </row>
    <row r="627" spans="1:10" x14ac:dyDescent="0.25">
      <c r="A627" s="142" t="s">
        <v>34</v>
      </c>
      <c r="B627" s="438">
        <f t="shared" ref="B627:I627" si="332">B625+B626</f>
        <v>2594600</v>
      </c>
      <c r="C627" s="438">
        <f t="shared" si="332"/>
        <v>2834100.0000000005</v>
      </c>
      <c r="D627" s="438">
        <f t="shared" si="332"/>
        <v>3629800.0000000005</v>
      </c>
      <c r="E627" s="438">
        <f t="shared" si="332"/>
        <v>4604500</v>
      </c>
      <c r="F627" s="438">
        <f t="shared" si="332"/>
        <v>7154700.0000000009</v>
      </c>
      <c r="G627" s="144">
        <f t="shared" si="332"/>
        <v>5594200</v>
      </c>
      <c r="H627" s="144">
        <f t="shared" si="332"/>
        <v>4083100.0000000005</v>
      </c>
      <c r="I627" s="440">
        <f t="shared" si="332"/>
        <v>30495000.000000004</v>
      </c>
      <c r="J627" s="488">
        <f>+$I627/7</f>
        <v>4356428.5714285718</v>
      </c>
    </row>
    <row r="628" spans="1:10" x14ac:dyDescent="0.25">
      <c r="I628" s="89"/>
    </row>
    <row r="629" spans="1:10" ht="26.25" x14ac:dyDescent="0.25">
      <c r="A629" s="85"/>
      <c r="B629" s="1002" t="s">
        <v>364</v>
      </c>
      <c r="C629" s="1002"/>
      <c r="D629" s="1002"/>
      <c r="E629" s="1002"/>
      <c r="F629" s="1002"/>
      <c r="G629" s="1002"/>
      <c r="H629" s="1002"/>
      <c r="I629" s="1002"/>
    </row>
    <row r="630" spans="1:10" ht="15.75" x14ac:dyDescent="0.25">
      <c r="A630" s="72" t="s">
        <v>2</v>
      </c>
      <c r="B630" s="491" t="s">
        <v>270</v>
      </c>
      <c r="C630" s="232" t="s">
        <v>116</v>
      </c>
      <c r="D630" s="232" t="s">
        <v>117</v>
      </c>
      <c r="E630" s="232" t="s">
        <v>118</v>
      </c>
      <c r="F630" s="232" t="s">
        <v>119</v>
      </c>
      <c r="G630" s="232" t="s">
        <v>120</v>
      </c>
      <c r="H630" s="232" t="s">
        <v>121</v>
      </c>
      <c r="I630" s="153" t="s">
        <v>10</v>
      </c>
      <c r="J630" s="490" t="s">
        <v>77</v>
      </c>
    </row>
    <row r="631" spans="1:10" x14ac:dyDescent="0.25">
      <c r="A631" s="430" t="s">
        <v>11</v>
      </c>
      <c r="B631" s="433">
        <f>74+30+13</f>
        <v>117</v>
      </c>
      <c r="C631" s="75">
        <f>121+62+15</f>
        <v>198</v>
      </c>
      <c r="D631" s="75">
        <f>100+58+23</f>
        <v>181</v>
      </c>
      <c r="E631" s="75">
        <f>63+26+8</f>
        <v>97</v>
      </c>
      <c r="F631" s="75">
        <f>104+83+35</f>
        <v>222</v>
      </c>
      <c r="G631" s="75">
        <f>99+55+25</f>
        <v>179</v>
      </c>
      <c r="H631" s="75">
        <f>103+57+26</f>
        <v>186</v>
      </c>
      <c r="I631" s="467">
        <f t="shared" ref="I631:I636" si="333">SUM(B631:H631)</f>
        <v>1180</v>
      </c>
      <c r="J631" s="468">
        <f>+$I631/7</f>
        <v>168.57142857142858</v>
      </c>
    </row>
    <row r="632" spans="1:10" x14ac:dyDescent="0.25">
      <c r="A632" s="77" t="s">
        <v>12</v>
      </c>
      <c r="B632" s="233">
        <v>42</v>
      </c>
      <c r="C632" s="13">
        <v>74</v>
      </c>
      <c r="D632" s="13">
        <v>109</v>
      </c>
      <c r="E632" s="13">
        <v>33</v>
      </c>
      <c r="F632" s="13">
        <v>69</v>
      </c>
      <c r="G632" s="13">
        <v>76</v>
      </c>
      <c r="H632" s="13">
        <v>102</v>
      </c>
      <c r="I632" s="11">
        <f t="shared" si="333"/>
        <v>505</v>
      </c>
      <c r="J632" s="470">
        <f t="shared" ref="J632:J637" si="334">+$I632/7</f>
        <v>72.142857142857139</v>
      </c>
    </row>
    <row r="633" spans="1:10" x14ac:dyDescent="0.25">
      <c r="A633" s="77" t="s">
        <v>13</v>
      </c>
      <c r="B633" s="233">
        <v>1</v>
      </c>
      <c r="C633" s="13">
        <v>4</v>
      </c>
      <c r="D633" s="13">
        <v>1</v>
      </c>
      <c r="E633" s="13">
        <v>1</v>
      </c>
      <c r="F633" s="13">
        <v>2</v>
      </c>
      <c r="G633" s="13">
        <v>4</v>
      </c>
      <c r="H633" s="13">
        <v>2</v>
      </c>
      <c r="I633" s="11">
        <f t="shared" si="333"/>
        <v>15</v>
      </c>
      <c r="J633" s="470">
        <f t="shared" si="334"/>
        <v>2.1428571428571428</v>
      </c>
    </row>
    <row r="634" spans="1:10" x14ac:dyDescent="0.25">
      <c r="A634" s="77" t="s">
        <v>14</v>
      </c>
      <c r="B634" s="233">
        <v>55</v>
      </c>
      <c r="C634" s="13">
        <v>91</v>
      </c>
      <c r="D634" s="13">
        <v>37</v>
      </c>
      <c r="E634" s="13">
        <v>46</v>
      </c>
      <c r="F634" s="13">
        <v>123</v>
      </c>
      <c r="G634" s="13">
        <v>56</v>
      </c>
      <c r="H634" s="13">
        <v>44</v>
      </c>
      <c r="I634" s="11">
        <f t="shared" si="333"/>
        <v>452</v>
      </c>
      <c r="J634" s="470">
        <f t="shared" si="334"/>
        <v>64.571428571428569</v>
      </c>
    </row>
    <row r="635" spans="1:10" x14ac:dyDescent="0.25">
      <c r="A635" s="77" t="s">
        <v>15</v>
      </c>
      <c r="B635" s="233">
        <v>0</v>
      </c>
      <c r="C635" s="13">
        <v>0</v>
      </c>
      <c r="D635" s="13">
        <v>0</v>
      </c>
      <c r="E635" s="13">
        <v>2</v>
      </c>
      <c r="F635" s="13">
        <v>0</v>
      </c>
      <c r="G635" s="13">
        <v>0</v>
      </c>
      <c r="H635" s="13">
        <v>0</v>
      </c>
      <c r="I635" s="11">
        <f t="shared" si="333"/>
        <v>2</v>
      </c>
      <c r="J635" s="470">
        <f t="shared" si="334"/>
        <v>0.2857142857142857</v>
      </c>
    </row>
    <row r="636" spans="1:10" x14ac:dyDescent="0.25">
      <c r="A636" s="77" t="s">
        <v>16</v>
      </c>
      <c r="B636" s="233">
        <v>0</v>
      </c>
      <c r="C636" s="13">
        <v>0</v>
      </c>
      <c r="D636" s="13">
        <v>0</v>
      </c>
      <c r="E636" s="13">
        <v>0</v>
      </c>
      <c r="F636" s="13">
        <v>0</v>
      </c>
      <c r="G636" s="13">
        <v>0</v>
      </c>
      <c r="H636" s="13">
        <v>0</v>
      </c>
      <c r="I636" s="11">
        <f t="shared" si="333"/>
        <v>0</v>
      </c>
      <c r="J636" s="470">
        <f t="shared" si="334"/>
        <v>0</v>
      </c>
    </row>
    <row r="637" spans="1:10" x14ac:dyDescent="0.25">
      <c r="A637" s="79" t="s">
        <v>17</v>
      </c>
      <c r="B637" s="102">
        <f t="shared" ref="B637:I637" si="335">SUM(B632:B636)</f>
        <v>98</v>
      </c>
      <c r="C637" s="102">
        <f t="shared" si="335"/>
        <v>169</v>
      </c>
      <c r="D637" s="102">
        <f t="shared" si="335"/>
        <v>147</v>
      </c>
      <c r="E637" s="102">
        <f t="shared" si="335"/>
        <v>82</v>
      </c>
      <c r="F637" s="102">
        <f t="shared" si="335"/>
        <v>194</v>
      </c>
      <c r="G637" s="79">
        <f t="shared" si="335"/>
        <v>136</v>
      </c>
      <c r="H637" s="79">
        <f t="shared" si="335"/>
        <v>148</v>
      </c>
      <c r="I637" s="472">
        <f t="shared" si="335"/>
        <v>974</v>
      </c>
      <c r="J637" s="473">
        <f t="shared" si="334"/>
        <v>139.14285714285714</v>
      </c>
    </row>
    <row r="638" spans="1:10" x14ac:dyDescent="0.25">
      <c r="A638" s="77" t="s">
        <v>18</v>
      </c>
      <c r="B638" s="234">
        <v>0.52</v>
      </c>
      <c r="C638" s="235">
        <v>0.53</v>
      </c>
      <c r="D638" s="235">
        <v>0.76</v>
      </c>
      <c r="E638" s="236">
        <v>0.49</v>
      </c>
      <c r="F638" s="236">
        <v>0.41</v>
      </c>
      <c r="G638" s="236">
        <v>0.56999999999999995</v>
      </c>
      <c r="H638" s="236">
        <v>0.74</v>
      </c>
      <c r="I638" s="18">
        <f>I645/I650</f>
        <v>0.57708269609580698</v>
      </c>
      <c r="J638" s="475">
        <f>J645/J650</f>
        <v>0.57708269609580698</v>
      </c>
    </row>
    <row r="639" spans="1:10" x14ac:dyDescent="0.25">
      <c r="A639" s="77" t="s">
        <v>19</v>
      </c>
      <c r="B639" s="234">
        <v>0.01</v>
      </c>
      <c r="C639" s="235">
        <v>0.02</v>
      </c>
      <c r="D639" s="235">
        <v>0.01</v>
      </c>
      <c r="E639" s="236">
        <v>0.02</v>
      </c>
      <c r="F639" s="236">
        <v>0.01</v>
      </c>
      <c r="G639" s="236">
        <v>0.03</v>
      </c>
      <c r="H639" s="236">
        <v>0.01</v>
      </c>
      <c r="I639" s="18">
        <f>I646/I650</f>
        <v>1.5576446255487876E-2</v>
      </c>
      <c r="J639" s="475">
        <f>J646/J650</f>
        <v>1.5576446255487878E-2</v>
      </c>
    </row>
    <row r="640" spans="1:10" x14ac:dyDescent="0.25">
      <c r="A640" s="77" t="s">
        <v>20</v>
      </c>
      <c r="B640" s="234">
        <v>0.47</v>
      </c>
      <c r="C640" s="235">
        <v>0.45</v>
      </c>
      <c r="D640" s="235">
        <v>0.23</v>
      </c>
      <c r="E640" s="236">
        <v>0.47</v>
      </c>
      <c r="F640" s="236">
        <v>0.57999999999999996</v>
      </c>
      <c r="G640" s="236">
        <v>0.4</v>
      </c>
      <c r="H640" s="236">
        <v>0.25</v>
      </c>
      <c r="I640" s="18">
        <f>I647/I650</f>
        <v>0.40575579881869517</v>
      </c>
      <c r="J640" s="475">
        <f>J647/J650</f>
        <v>0.40575579881869517</v>
      </c>
    </row>
    <row r="641" spans="1:10" x14ac:dyDescent="0.25">
      <c r="A641" s="77" t="s">
        <v>21</v>
      </c>
      <c r="B641" s="234">
        <v>0</v>
      </c>
      <c r="C641" s="235">
        <v>0</v>
      </c>
      <c r="D641" s="235">
        <v>0</v>
      </c>
      <c r="E641" s="236">
        <v>0.02</v>
      </c>
      <c r="F641" s="236">
        <v>0</v>
      </c>
      <c r="G641" s="236">
        <v>0</v>
      </c>
      <c r="H641" s="236">
        <v>0</v>
      </c>
      <c r="I641" s="18">
        <f>I648/I650</f>
        <v>1.5850588300099888E-3</v>
      </c>
      <c r="J641" s="475">
        <f>J648/J650</f>
        <v>1.5850588300099888E-3</v>
      </c>
    </row>
    <row r="642" spans="1:10" x14ac:dyDescent="0.25">
      <c r="A642" s="77" t="s">
        <v>22</v>
      </c>
      <c r="B642" s="234">
        <v>0</v>
      </c>
      <c r="C642" s="235">
        <v>0</v>
      </c>
      <c r="D642" s="235">
        <v>0</v>
      </c>
      <c r="E642" s="236">
        <v>0</v>
      </c>
      <c r="F642" s="236">
        <v>0</v>
      </c>
      <c r="G642" s="236">
        <v>0</v>
      </c>
      <c r="H642" s="236">
        <v>0</v>
      </c>
      <c r="I642" s="18">
        <f>I649/I650</f>
        <v>0</v>
      </c>
      <c r="J642" s="475">
        <f>J649/J650</f>
        <v>0</v>
      </c>
    </row>
    <row r="643" spans="1:10" x14ac:dyDescent="0.25">
      <c r="A643" s="81" t="s">
        <v>23</v>
      </c>
      <c r="B643" s="409">
        <f t="shared" ref="B643:J643" si="336">B654/B637</f>
        <v>30315.306122448983</v>
      </c>
      <c r="C643" s="409">
        <f t="shared" si="336"/>
        <v>32082.248520710058</v>
      </c>
      <c r="D643" s="409">
        <f t="shared" si="336"/>
        <v>35631.292517006812</v>
      </c>
      <c r="E643" s="409">
        <f t="shared" si="336"/>
        <v>31307.317073170732</v>
      </c>
      <c r="F643" s="409">
        <f t="shared" si="336"/>
        <v>32533.505154639181</v>
      </c>
      <c r="G643" s="130">
        <f t="shared" si="336"/>
        <v>37284.55882352942</v>
      </c>
      <c r="H643" s="130">
        <f t="shared" si="336"/>
        <v>34013.513513513513</v>
      </c>
      <c r="I643" s="359">
        <f t="shared" si="336"/>
        <v>33484.599589322388</v>
      </c>
      <c r="J643" s="477">
        <f t="shared" si="336"/>
        <v>33484.599589322381</v>
      </c>
    </row>
    <row r="644" spans="1:10" x14ac:dyDescent="0.25">
      <c r="A644" s="81" t="s">
        <v>24</v>
      </c>
      <c r="B644" s="409">
        <f t="shared" ref="B644:J644" si="337">B654/B631</f>
        <v>25392.307692307695</v>
      </c>
      <c r="C644" s="409">
        <f t="shared" si="337"/>
        <v>27383.333333333332</v>
      </c>
      <c r="D644" s="409">
        <f t="shared" si="337"/>
        <v>28938.121546961331</v>
      </c>
      <c r="E644" s="409">
        <f t="shared" si="337"/>
        <v>26465.9793814433</v>
      </c>
      <c r="F644" s="409">
        <f t="shared" si="337"/>
        <v>28430.180180180185</v>
      </c>
      <c r="G644" s="130">
        <f t="shared" si="337"/>
        <v>28327.932960893861</v>
      </c>
      <c r="H644" s="130">
        <f t="shared" si="337"/>
        <v>27064.516129032258</v>
      </c>
      <c r="I644" s="359">
        <f t="shared" si="337"/>
        <v>27638.983050847462</v>
      </c>
      <c r="J644" s="477">
        <f t="shared" si="337"/>
        <v>27638.983050847455</v>
      </c>
    </row>
    <row r="645" spans="1:10" x14ac:dyDescent="0.25">
      <c r="A645" s="77" t="s">
        <v>25</v>
      </c>
      <c r="B645" s="255">
        <f t="shared" ref="B645:H645" si="338">B650*B638</f>
        <v>1284717.5586206899</v>
      </c>
      <c r="C645" s="255">
        <f t="shared" si="338"/>
        <v>2392728.3137931037</v>
      </c>
      <c r="D645" s="255">
        <f t="shared" si="338"/>
        <v>3253141.8689655177</v>
      </c>
      <c r="E645" s="255">
        <f t="shared" si="338"/>
        <v>1049574.3396551725</v>
      </c>
      <c r="F645" s="255">
        <f t="shared" si="338"/>
        <v>2169823.8431034484</v>
      </c>
      <c r="G645" s="92">
        <f t="shared" si="338"/>
        <v>2398282.4689655174</v>
      </c>
      <c r="H645" s="92">
        <f t="shared" si="338"/>
        <v>3048685.4275862072</v>
      </c>
      <c r="I645" s="108">
        <f>SUM(B645:H645)</f>
        <v>15596953.820689656</v>
      </c>
      <c r="J645" s="479">
        <f t="shared" ref="J645:J650" si="339">+$I645/7</f>
        <v>2228136.2600985221</v>
      </c>
    </row>
    <row r="646" spans="1:10" x14ac:dyDescent="0.25">
      <c r="A646" s="77" t="s">
        <v>26</v>
      </c>
      <c r="B646" s="255">
        <f t="shared" ref="B646:H646" si="340">B650*B639</f>
        <v>24706.106896551726</v>
      </c>
      <c r="C646" s="255">
        <f t="shared" si="340"/>
        <v>90291.634482758629</v>
      </c>
      <c r="D646" s="255">
        <f t="shared" si="340"/>
        <v>42804.498275862075</v>
      </c>
      <c r="E646" s="255">
        <f t="shared" si="340"/>
        <v>42839.768965517243</v>
      </c>
      <c r="F646" s="255">
        <f t="shared" si="340"/>
        <v>52922.532758620699</v>
      </c>
      <c r="G646" s="92">
        <f t="shared" si="340"/>
        <v>126225.39310344828</v>
      </c>
      <c r="H646" s="92">
        <f t="shared" si="340"/>
        <v>41198.451724137936</v>
      </c>
      <c r="I646" s="108">
        <f>SUM(B646:H646)</f>
        <v>420988.38620689657</v>
      </c>
      <c r="J646" s="479">
        <f t="shared" si="339"/>
        <v>60141.198029556654</v>
      </c>
    </row>
    <row r="647" spans="1:10" x14ac:dyDescent="0.25">
      <c r="A647" s="77" t="s">
        <v>27</v>
      </c>
      <c r="B647" s="255">
        <f t="shared" ref="B647:H647" si="341">B650*B640</f>
        <v>1161187.0241379312</v>
      </c>
      <c r="C647" s="255">
        <f t="shared" si="341"/>
        <v>2031561.7758620691</v>
      </c>
      <c r="D647" s="255">
        <f t="shared" si="341"/>
        <v>984503.46034482773</v>
      </c>
      <c r="E647" s="255">
        <f t="shared" si="341"/>
        <v>1006734.5706896553</v>
      </c>
      <c r="F647" s="255">
        <f t="shared" si="341"/>
        <v>3069506.9000000004</v>
      </c>
      <c r="G647" s="92">
        <f t="shared" si="341"/>
        <v>1683005.2413793106</v>
      </c>
      <c r="H647" s="92">
        <f t="shared" si="341"/>
        <v>1029961.2931034483</v>
      </c>
      <c r="I647" s="108">
        <f>SUM(B647:H647)</f>
        <v>10966460.265517244</v>
      </c>
      <c r="J647" s="479">
        <f t="shared" si="339"/>
        <v>1566637.1807881778</v>
      </c>
    </row>
    <row r="648" spans="1:10" x14ac:dyDescent="0.25">
      <c r="A648" s="77" t="s">
        <v>28</v>
      </c>
      <c r="B648" s="255">
        <f t="shared" ref="B648:H648" si="342">B650*B641</f>
        <v>0</v>
      </c>
      <c r="C648" s="255">
        <f t="shared" si="342"/>
        <v>0</v>
      </c>
      <c r="D648" s="255">
        <f t="shared" si="342"/>
        <v>0</v>
      </c>
      <c r="E648" s="255">
        <f t="shared" si="342"/>
        <v>42839.768965517243</v>
      </c>
      <c r="F648" s="255">
        <f t="shared" si="342"/>
        <v>0</v>
      </c>
      <c r="G648" s="92">
        <f t="shared" si="342"/>
        <v>0</v>
      </c>
      <c r="H648" s="92">
        <f t="shared" si="342"/>
        <v>0</v>
      </c>
      <c r="I648" s="108">
        <f>SUM(B648:H648)</f>
        <v>42839.768965517243</v>
      </c>
      <c r="J648" s="479">
        <f t="shared" si="339"/>
        <v>6119.9669950738917</v>
      </c>
    </row>
    <row r="649" spans="1:10" x14ac:dyDescent="0.25">
      <c r="A649" s="77" t="s">
        <v>29</v>
      </c>
      <c r="B649" s="255">
        <f t="shared" ref="B649:H649" si="343">B650*B642</f>
        <v>0</v>
      </c>
      <c r="C649" s="255">
        <f t="shared" si="343"/>
        <v>0</v>
      </c>
      <c r="D649" s="255">
        <f t="shared" si="343"/>
        <v>0</v>
      </c>
      <c r="E649" s="255">
        <f t="shared" si="343"/>
        <v>0</v>
      </c>
      <c r="F649" s="255">
        <f t="shared" si="343"/>
        <v>0</v>
      </c>
      <c r="G649" s="92">
        <f t="shared" si="343"/>
        <v>0</v>
      </c>
      <c r="H649" s="92">
        <f t="shared" si="343"/>
        <v>0</v>
      </c>
      <c r="I649" s="108">
        <f>SUM(B649:H649)</f>
        <v>0</v>
      </c>
      <c r="J649" s="479">
        <f t="shared" si="339"/>
        <v>0</v>
      </c>
    </row>
    <row r="650" spans="1:10" x14ac:dyDescent="0.25">
      <c r="A650" s="82" t="s">
        <v>30</v>
      </c>
      <c r="B650" s="222">
        <f>(2970900/1.16)-B651</f>
        <v>2470610.6896551726</v>
      </c>
      <c r="C650" s="222">
        <f>(5421900/1.16)-C651</f>
        <v>4514581.7241379311</v>
      </c>
      <c r="D650" s="222">
        <f>(5237800/1.16)-D651</f>
        <v>4280449.8275862075</v>
      </c>
      <c r="E650" s="222">
        <f>(2567200/1.16)-E651</f>
        <v>2141988.4482758623</v>
      </c>
      <c r="F650" s="222">
        <f>(6311500/1.16)-F651</f>
        <v>5292253.2758620698</v>
      </c>
      <c r="G650" s="222">
        <f>(5070700/1.16)-G651</f>
        <v>4207513.1034482764</v>
      </c>
      <c r="H650" s="222">
        <f>(5034000/1.16)-H651</f>
        <v>4119845.1724137934</v>
      </c>
      <c r="I650" s="111">
        <f>SUM(I645:I649)</f>
        <v>27027242.241379313</v>
      </c>
      <c r="J650" s="481">
        <f t="shared" si="339"/>
        <v>3861034.6059113303</v>
      </c>
    </row>
    <row r="651" spans="1:10" x14ac:dyDescent="0.25">
      <c r="A651" s="77" t="s">
        <v>31</v>
      </c>
      <c r="B651" s="263">
        <f t="shared" ref="B651:H651" si="344">2155*B632</f>
        <v>90510</v>
      </c>
      <c r="C651" s="263">
        <f t="shared" si="344"/>
        <v>159470</v>
      </c>
      <c r="D651" s="263">
        <f t="shared" si="344"/>
        <v>234895</v>
      </c>
      <c r="E651" s="263">
        <f t="shared" si="344"/>
        <v>71115</v>
      </c>
      <c r="F651" s="263">
        <f t="shared" si="344"/>
        <v>148695</v>
      </c>
      <c r="G651" s="94">
        <f t="shared" si="344"/>
        <v>163780</v>
      </c>
      <c r="H651" s="94">
        <f t="shared" si="344"/>
        <v>219810</v>
      </c>
      <c r="I651" s="109">
        <f>I632*2155</f>
        <v>1088275</v>
      </c>
      <c r="J651" s="482">
        <f>2155*J632</f>
        <v>155467.85714285713</v>
      </c>
    </row>
    <row r="652" spans="1:10" x14ac:dyDescent="0.25">
      <c r="A652" s="83" t="s">
        <v>32</v>
      </c>
      <c r="B652" s="411">
        <f t="shared" ref="B652:J652" si="345">B650+B651</f>
        <v>2561120.6896551726</v>
      </c>
      <c r="C652" s="411">
        <f t="shared" si="345"/>
        <v>4674051.7241379311</v>
      </c>
      <c r="D652" s="411">
        <f t="shared" si="345"/>
        <v>4515344.8275862075</v>
      </c>
      <c r="E652" s="411">
        <f t="shared" si="345"/>
        <v>2213103.4482758623</v>
      </c>
      <c r="F652" s="411">
        <f t="shared" si="345"/>
        <v>5440948.2758620698</v>
      </c>
      <c r="G652" s="39">
        <f t="shared" si="345"/>
        <v>4371293.1034482764</v>
      </c>
      <c r="H652" s="39">
        <f t="shared" si="345"/>
        <v>4339655.1724137934</v>
      </c>
      <c r="I652" s="412">
        <f t="shared" si="345"/>
        <v>28115517.241379313</v>
      </c>
      <c r="J652" s="484">
        <f t="shared" si="345"/>
        <v>4016502.4630541876</v>
      </c>
    </row>
    <row r="653" spans="1:10" x14ac:dyDescent="0.25">
      <c r="A653" s="77" t="s">
        <v>33</v>
      </c>
      <c r="B653" s="413">
        <f t="shared" ref="B653:J653" si="346">B652*16%</f>
        <v>409779.31034482765</v>
      </c>
      <c r="C653" s="413">
        <f t="shared" si="346"/>
        <v>747848.27586206899</v>
      </c>
      <c r="D653" s="413">
        <f t="shared" si="346"/>
        <v>722455.17241379328</v>
      </c>
      <c r="E653" s="413">
        <f t="shared" si="346"/>
        <v>354096.55172413797</v>
      </c>
      <c r="F653" s="413">
        <f t="shared" si="346"/>
        <v>870551.72413793113</v>
      </c>
      <c r="G653" s="41">
        <f t="shared" si="346"/>
        <v>699406.89655172429</v>
      </c>
      <c r="H653" s="41">
        <f t="shared" si="346"/>
        <v>694344.82758620696</v>
      </c>
      <c r="I653" s="414">
        <f t="shared" si="346"/>
        <v>4498482.7586206906</v>
      </c>
      <c r="J653" s="486">
        <f t="shared" si="346"/>
        <v>642640.39408867003</v>
      </c>
    </row>
    <row r="654" spans="1:10" x14ac:dyDescent="0.25">
      <c r="A654" s="142" t="s">
        <v>34</v>
      </c>
      <c r="B654" s="438">
        <f t="shared" ref="B654:I654" si="347">B652+B653</f>
        <v>2970900.0000000005</v>
      </c>
      <c r="C654" s="438">
        <f t="shared" si="347"/>
        <v>5421900</v>
      </c>
      <c r="D654" s="438">
        <f t="shared" si="347"/>
        <v>5237800.0000000009</v>
      </c>
      <c r="E654" s="438">
        <f t="shared" si="347"/>
        <v>2567200</v>
      </c>
      <c r="F654" s="438">
        <f t="shared" si="347"/>
        <v>6311500.0000000009</v>
      </c>
      <c r="G654" s="144">
        <f t="shared" si="347"/>
        <v>5070700.0000000009</v>
      </c>
      <c r="H654" s="144">
        <f t="shared" si="347"/>
        <v>5034000</v>
      </c>
      <c r="I654" s="440">
        <f t="shared" si="347"/>
        <v>32614000.000000004</v>
      </c>
      <c r="J654" s="488">
        <f>+$I654/7</f>
        <v>4659142.8571428573</v>
      </c>
    </row>
    <row r="655" spans="1:10" x14ac:dyDescent="0.25">
      <c r="I655" s="89"/>
    </row>
    <row r="656" spans="1:10" ht="26.25" x14ac:dyDescent="0.25">
      <c r="A656" s="85"/>
      <c r="B656" s="1002" t="s">
        <v>365</v>
      </c>
      <c r="C656" s="1002"/>
      <c r="D656" s="1002"/>
      <c r="E656" s="1002"/>
      <c r="F656" s="1002"/>
      <c r="G656" s="1002"/>
      <c r="H656" s="1002"/>
      <c r="I656" s="1002"/>
    </row>
    <row r="657" spans="1:10" ht="15.75" x14ac:dyDescent="0.25">
      <c r="A657" s="72" t="s">
        <v>2</v>
      </c>
      <c r="B657" s="491" t="s">
        <v>123</v>
      </c>
      <c r="C657" s="232" t="s">
        <v>124</v>
      </c>
      <c r="D657" s="232" t="s">
        <v>125</v>
      </c>
      <c r="E657" s="232" t="s">
        <v>126</v>
      </c>
      <c r="F657" s="232" t="s">
        <v>127</v>
      </c>
      <c r="G657" s="232" t="s">
        <v>128</v>
      </c>
      <c r="H657" s="232" t="s">
        <v>129</v>
      </c>
      <c r="I657" s="153" t="s">
        <v>10</v>
      </c>
      <c r="J657" s="490" t="s">
        <v>77</v>
      </c>
    </row>
    <row r="658" spans="1:10" x14ac:dyDescent="0.25">
      <c r="A658" s="430" t="s">
        <v>11</v>
      </c>
      <c r="B658" s="433">
        <f>57+26+5</f>
        <v>88</v>
      </c>
      <c r="C658" s="75">
        <f>78+39+18</f>
        <v>135</v>
      </c>
      <c r="D658" s="75">
        <f>90+42+16</f>
        <v>148</v>
      </c>
      <c r="E658" s="75">
        <f>89+45+14</f>
        <v>148</v>
      </c>
      <c r="F658" s="75">
        <f>145+85+27</f>
        <v>257</v>
      </c>
      <c r="G658" s="75">
        <f>100+87+26</f>
        <v>213</v>
      </c>
      <c r="H658" s="75">
        <f>92+52+24</f>
        <v>168</v>
      </c>
      <c r="I658" s="467">
        <f t="shared" ref="I658:I663" si="348">SUM(B658:H658)</f>
        <v>1157</v>
      </c>
      <c r="J658" s="468">
        <f>+$I658/7</f>
        <v>165.28571428571428</v>
      </c>
    </row>
    <row r="659" spans="1:10" x14ac:dyDescent="0.25">
      <c r="A659" s="77" t="s">
        <v>12</v>
      </c>
      <c r="B659" s="233">
        <v>34</v>
      </c>
      <c r="C659" s="13">
        <v>36</v>
      </c>
      <c r="D659" s="13">
        <v>47</v>
      </c>
      <c r="E659" s="13">
        <v>55</v>
      </c>
      <c r="F659" s="13">
        <v>90</v>
      </c>
      <c r="G659" s="13">
        <v>124</v>
      </c>
      <c r="H659" s="13">
        <v>102</v>
      </c>
      <c r="I659" s="11">
        <f t="shared" si="348"/>
        <v>488</v>
      </c>
      <c r="J659" s="470">
        <f t="shared" ref="J659:J664" si="349">+$I659/7</f>
        <v>69.714285714285708</v>
      </c>
    </row>
    <row r="660" spans="1:10" x14ac:dyDescent="0.25">
      <c r="A660" s="77" t="s">
        <v>13</v>
      </c>
      <c r="B660" s="233">
        <v>2</v>
      </c>
      <c r="C660" s="13">
        <v>3</v>
      </c>
      <c r="D660" s="13">
        <v>2</v>
      </c>
      <c r="E660" s="13">
        <v>1</v>
      </c>
      <c r="F660" s="13">
        <v>7</v>
      </c>
      <c r="G660" s="13">
        <v>0</v>
      </c>
      <c r="H660" s="13">
        <v>2</v>
      </c>
      <c r="I660" s="11">
        <f t="shared" si="348"/>
        <v>17</v>
      </c>
      <c r="J660" s="470">
        <f t="shared" si="349"/>
        <v>2.4285714285714284</v>
      </c>
    </row>
    <row r="661" spans="1:10" x14ac:dyDescent="0.25">
      <c r="A661" s="77" t="s">
        <v>14</v>
      </c>
      <c r="B661" s="233">
        <v>37</v>
      </c>
      <c r="C661" s="13">
        <v>68</v>
      </c>
      <c r="D661" s="13">
        <v>69</v>
      </c>
      <c r="E661" s="13">
        <v>75</v>
      </c>
      <c r="F661" s="13">
        <v>115</v>
      </c>
      <c r="G661" s="13">
        <v>50</v>
      </c>
      <c r="H661" s="13">
        <v>31</v>
      </c>
      <c r="I661" s="11">
        <f t="shared" si="348"/>
        <v>445</v>
      </c>
      <c r="J661" s="470">
        <f t="shared" si="349"/>
        <v>63.571428571428569</v>
      </c>
    </row>
    <row r="662" spans="1:10" x14ac:dyDescent="0.25">
      <c r="A662" s="77" t="s">
        <v>15</v>
      </c>
      <c r="B662" s="233">
        <v>0</v>
      </c>
      <c r="C662" s="13">
        <v>0</v>
      </c>
      <c r="D662" s="13">
        <v>0</v>
      </c>
      <c r="E662" s="13">
        <v>0</v>
      </c>
      <c r="F662" s="13">
        <v>0</v>
      </c>
      <c r="G662" s="13">
        <v>0</v>
      </c>
      <c r="H662" s="13">
        <v>0</v>
      </c>
      <c r="I662" s="11">
        <f t="shared" si="348"/>
        <v>0</v>
      </c>
      <c r="J662" s="470">
        <f t="shared" si="349"/>
        <v>0</v>
      </c>
    </row>
    <row r="663" spans="1:10" x14ac:dyDescent="0.25">
      <c r="A663" s="77" t="s">
        <v>16</v>
      </c>
      <c r="B663" s="233">
        <v>0</v>
      </c>
      <c r="C663" s="13">
        <v>0</v>
      </c>
      <c r="D663" s="13">
        <v>0</v>
      </c>
      <c r="E663" s="13">
        <v>0</v>
      </c>
      <c r="F663" s="13">
        <v>0</v>
      </c>
      <c r="G663" s="13">
        <v>0</v>
      </c>
      <c r="H663" s="13">
        <v>0</v>
      </c>
      <c r="I663" s="11">
        <f t="shared" si="348"/>
        <v>0</v>
      </c>
      <c r="J663" s="470">
        <f t="shared" si="349"/>
        <v>0</v>
      </c>
    </row>
    <row r="664" spans="1:10" x14ac:dyDescent="0.25">
      <c r="A664" s="79" t="s">
        <v>17</v>
      </c>
      <c r="B664" s="102">
        <f t="shared" ref="B664:I664" si="350">SUM(B659:B663)</f>
        <v>73</v>
      </c>
      <c r="C664" s="102">
        <f t="shared" si="350"/>
        <v>107</v>
      </c>
      <c r="D664" s="102">
        <f t="shared" si="350"/>
        <v>118</v>
      </c>
      <c r="E664" s="102">
        <f t="shared" si="350"/>
        <v>131</v>
      </c>
      <c r="F664" s="102">
        <f t="shared" si="350"/>
        <v>212</v>
      </c>
      <c r="G664" s="79">
        <f t="shared" si="350"/>
        <v>174</v>
      </c>
      <c r="H664" s="79">
        <f t="shared" si="350"/>
        <v>135</v>
      </c>
      <c r="I664" s="472">
        <f t="shared" si="350"/>
        <v>950</v>
      </c>
      <c r="J664" s="473">
        <f t="shared" si="349"/>
        <v>135.71428571428572</v>
      </c>
    </row>
    <row r="665" spans="1:10" x14ac:dyDescent="0.25">
      <c r="A665" s="77" t="s">
        <v>18</v>
      </c>
      <c r="B665" s="234">
        <v>0.55000000000000004</v>
      </c>
      <c r="C665" s="235">
        <v>0.37</v>
      </c>
      <c r="D665" s="235">
        <v>0.48</v>
      </c>
      <c r="E665" s="236">
        <v>0.48</v>
      </c>
      <c r="F665" s="236">
        <v>0.46</v>
      </c>
      <c r="G665" s="236">
        <v>0.74</v>
      </c>
      <c r="H665" s="236">
        <v>0.8</v>
      </c>
      <c r="I665" s="18">
        <f>I672/I677</f>
        <v>0.56416854069162803</v>
      </c>
      <c r="J665" s="475">
        <f>J672/J677</f>
        <v>0.56416854069162814</v>
      </c>
    </row>
    <row r="666" spans="1:10" x14ac:dyDescent="0.25">
      <c r="A666" s="77" t="s">
        <v>19</v>
      </c>
      <c r="B666" s="234">
        <v>0.03</v>
      </c>
      <c r="C666" s="235">
        <v>7.0000000000000007E-2</v>
      </c>
      <c r="D666" s="235">
        <v>0.01</v>
      </c>
      <c r="E666" s="236">
        <v>0.01</v>
      </c>
      <c r="F666" s="236">
        <v>0.04</v>
      </c>
      <c r="G666" s="236">
        <v>0</v>
      </c>
      <c r="H666" s="236">
        <v>0.01</v>
      </c>
      <c r="I666" s="18">
        <f>I673/I677</f>
        <v>2.2951492286475684E-2</v>
      </c>
      <c r="J666" s="475">
        <f>J673/J677</f>
        <v>2.2951492286475684E-2</v>
      </c>
    </row>
    <row r="667" spans="1:10" x14ac:dyDescent="0.25">
      <c r="A667" s="77" t="s">
        <v>20</v>
      </c>
      <c r="B667" s="234">
        <v>0.42</v>
      </c>
      <c r="C667" s="235">
        <v>0.56000000000000005</v>
      </c>
      <c r="D667" s="235">
        <v>0.51</v>
      </c>
      <c r="E667" s="236">
        <v>0.51</v>
      </c>
      <c r="F667" s="236">
        <v>0.5</v>
      </c>
      <c r="G667" s="236">
        <v>0.26</v>
      </c>
      <c r="H667" s="236">
        <v>0.19</v>
      </c>
      <c r="I667" s="18">
        <f>I674/I677</f>
        <v>0.41287996702189622</v>
      </c>
      <c r="J667" s="475">
        <f>J674/J677</f>
        <v>0.41287996702189628</v>
      </c>
    </row>
    <row r="668" spans="1:10" x14ac:dyDescent="0.25">
      <c r="A668" s="77" t="s">
        <v>21</v>
      </c>
      <c r="B668" s="234">
        <v>0</v>
      </c>
      <c r="C668" s="235">
        <v>0</v>
      </c>
      <c r="D668" s="235">
        <v>0</v>
      </c>
      <c r="E668" s="236">
        <v>0</v>
      </c>
      <c r="F668" s="236">
        <v>0</v>
      </c>
      <c r="G668" s="236">
        <v>0</v>
      </c>
      <c r="H668" s="236">
        <v>0</v>
      </c>
      <c r="I668" s="18">
        <f>I675/I677</f>
        <v>0</v>
      </c>
      <c r="J668" s="475">
        <f>J675/J677</f>
        <v>0</v>
      </c>
    </row>
    <row r="669" spans="1:10" x14ac:dyDescent="0.25">
      <c r="A669" s="77" t="s">
        <v>22</v>
      </c>
      <c r="B669" s="234">
        <v>0</v>
      </c>
      <c r="C669" s="235">
        <v>0</v>
      </c>
      <c r="D669" s="235">
        <v>0</v>
      </c>
      <c r="E669" s="236">
        <v>0</v>
      </c>
      <c r="F669" s="236">
        <v>0</v>
      </c>
      <c r="G669" s="236">
        <v>0</v>
      </c>
      <c r="H669" s="236">
        <v>0</v>
      </c>
      <c r="I669" s="18">
        <f>I676/I677</f>
        <v>0</v>
      </c>
      <c r="J669" s="475">
        <f>J676/J677</f>
        <v>0</v>
      </c>
    </row>
    <row r="670" spans="1:10" x14ac:dyDescent="0.25">
      <c r="A670" s="81" t="s">
        <v>23</v>
      </c>
      <c r="B670" s="409">
        <f t="shared" ref="B670:J670" si="351">B681/B664</f>
        <v>32039.726027397261</v>
      </c>
      <c r="C670" s="409">
        <f t="shared" si="351"/>
        <v>32909.345794392524</v>
      </c>
      <c r="D670" s="409">
        <f t="shared" si="351"/>
        <v>34519.491525423735</v>
      </c>
      <c r="E670" s="409">
        <f t="shared" si="351"/>
        <v>31367.175572519085</v>
      </c>
      <c r="F670" s="409">
        <f t="shared" si="351"/>
        <v>34303.301886792455</v>
      </c>
      <c r="G670" s="130">
        <f t="shared" si="351"/>
        <v>36145.402298850582</v>
      </c>
      <c r="H670" s="130">
        <f t="shared" si="351"/>
        <v>34811.851851851854</v>
      </c>
      <c r="I670" s="359">
        <f t="shared" si="351"/>
        <v>34004.000000000007</v>
      </c>
      <c r="J670" s="477">
        <f t="shared" si="351"/>
        <v>34004</v>
      </c>
    </row>
    <row r="671" spans="1:10" x14ac:dyDescent="0.25">
      <c r="A671" s="81" t="s">
        <v>24</v>
      </c>
      <c r="B671" s="409">
        <f t="shared" ref="B671:J671" si="352">B681/B658</f>
        <v>26578.409090909092</v>
      </c>
      <c r="C671" s="409">
        <f t="shared" si="352"/>
        <v>26083.703703703704</v>
      </c>
      <c r="D671" s="409">
        <f t="shared" si="352"/>
        <v>27522.2972972973</v>
      </c>
      <c r="E671" s="409">
        <f t="shared" si="352"/>
        <v>27764.18918918919</v>
      </c>
      <c r="F671" s="409">
        <f t="shared" si="352"/>
        <v>28296.887159533075</v>
      </c>
      <c r="G671" s="130">
        <f t="shared" si="352"/>
        <v>29527.23004694836</v>
      </c>
      <c r="H671" s="130">
        <f t="shared" si="352"/>
        <v>27973.809523809523</v>
      </c>
      <c r="I671" s="359">
        <f t="shared" si="352"/>
        <v>27920.311149524638</v>
      </c>
      <c r="J671" s="477">
        <f t="shared" si="352"/>
        <v>27920.311149524638</v>
      </c>
    </row>
    <row r="672" spans="1:10" x14ac:dyDescent="0.25">
      <c r="A672" s="77" t="s">
        <v>25</v>
      </c>
      <c r="B672" s="255">
        <f t="shared" ref="B672:H672" si="353">B677*B665</f>
        <v>1068662.7068965519</v>
      </c>
      <c r="C672" s="255">
        <f t="shared" si="353"/>
        <v>1094468.675862069</v>
      </c>
      <c r="D672" s="255">
        <f t="shared" si="353"/>
        <v>1636886.6482758622</v>
      </c>
      <c r="E672" s="255">
        <f t="shared" si="353"/>
        <v>1643425.2413793104</v>
      </c>
      <c r="F672" s="255">
        <f t="shared" si="353"/>
        <v>2794626.1034482764</v>
      </c>
      <c r="G672" s="92">
        <f t="shared" si="353"/>
        <v>3814396.8551724143</v>
      </c>
      <c r="H672" s="92">
        <f t="shared" si="353"/>
        <v>3065255.4482758623</v>
      </c>
      <c r="I672" s="108">
        <f>SUM(B672:H672)</f>
        <v>15117721.679310346</v>
      </c>
      <c r="J672" s="479">
        <f t="shared" ref="J672:J677" si="354">+$I672/7</f>
        <v>2159674.5256157639</v>
      </c>
    </row>
    <row r="673" spans="1:10" x14ac:dyDescent="0.25">
      <c r="A673" s="77" t="s">
        <v>26</v>
      </c>
      <c r="B673" s="255">
        <f t="shared" ref="B673:H673" si="355">B677*B666</f>
        <v>58290.693103448277</v>
      </c>
      <c r="C673" s="255">
        <f t="shared" si="355"/>
        <v>207061.64137931037</v>
      </c>
      <c r="D673" s="255">
        <f t="shared" si="355"/>
        <v>34101.805172413799</v>
      </c>
      <c r="E673" s="255">
        <f t="shared" si="355"/>
        <v>34238.025862068971</v>
      </c>
      <c r="F673" s="255">
        <f t="shared" si="355"/>
        <v>243010.96551724139</v>
      </c>
      <c r="G673" s="92">
        <f t="shared" si="355"/>
        <v>0</v>
      </c>
      <c r="H673" s="92">
        <f t="shared" si="355"/>
        <v>38315.693103448277</v>
      </c>
      <c r="I673" s="108">
        <f>SUM(B673:H673)</f>
        <v>615018.82413793111</v>
      </c>
      <c r="J673" s="479">
        <f t="shared" si="354"/>
        <v>87859.832019704438</v>
      </c>
    </row>
    <row r="674" spans="1:10" x14ac:dyDescent="0.25">
      <c r="A674" s="77" t="s">
        <v>27</v>
      </c>
      <c r="B674" s="255">
        <f t="shared" ref="B674:H674" si="356">B677*B667</f>
        <v>816069.70344827592</v>
      </c>
      <c r="C674" s="255">
        <f t="shared" si="356"/>
        <v>1656493.131034483</v>
      </c>
      <c r="D674" s="255">
        <f t="shared" si="356"/>
        <v>1739192.0637931037</v>
      </c>
      <c r="E674" s="255">
        <f t="shared" si="356"/>
        <v>1746139.3189655175</v>
      </c>
      <c r="F674" s="255">
        <f t="shared" si="356"/>
        <v>3037637.0689655175</v>
      </c>
      <c r="G674" s="92">
        <f t="shared" si="356"/>
        <v>1340193.4896551727</v>
      </c>
      <c r="H674" s="92">
        <f t="shared" si="356"/>
        <v>727998.16896551731</v>
      </c>
      <c r="I674" s="108">
        <f>SUM(B674:H674)</f>
        <v>11063722.944827586</v>
      </c>
      <c r="J674" s="479">
        <f t="shared" si="354"/>
        <v>1580531.8492610839</v>
      </c>
    </row>
    <row r="675" spans="1:10" x14ac:dyDescent="0.25">
      <c r="A675" s="77" t="s">
        <v>28</v>
      </c>
      <c r="B675" s="255">
        <f t="shared" ref="B675:H675" si="357">B677*B668</f>
        <v>0</v>
      </c>
      <c r="C675" s="255">
        <f t="shared" si="357"/>
        <v>0</v>
      </c>
      <c r="D675" s="255">
        <f t="shared" si="357"/>
        <v>0</v>
      </c>
      <c r="E675" s="255">
        <f t="shared" si="357"/>
        <v>0</v>
      </c>
      <c r="F675" s="255">
        <f t="shared" si="357"/>
        <v>0</v>
      </c>
      <c r="G675" s="92">
        <f t="shared" si="357"/>
        <v>0</v>
      </c>
      <c r="H675" s="92">
        <f t="shared" si="357"/>
        <v>0</v>
      </c>
      <c r="I675" s="108">
        <f>SUM(B675:H675)</f>
        <v>0</v>
      </c>
      <c r="J675" s="479">
        <f t="shared" si="354"/>
        <v>0</v>
      </c>
    </row>
    <row r="676" spans="1:10" x14ac:dyDescent="0.25">
      <c r="A676" s="77" t="s">
        <v>29</v>
      </c>
      <c r="B676" s="255">
        <f t="shared" ref="B676:H676" si="358">B677*B669</f>
        <v>0</v>
      </c>
      <c r="C676" s="255">
        <f t="shared" si="358"/>
        <v>0</v>
      </c>
      <c r="D676" s="255">
        <f t="shared" si="358"/>
        <v>0</v>
      </c>
      <c r="E676" s="255">
        <f t="shared" si="358"/>
        <v>0</v>
      </c>
      <c r="F676" s="255">
        <f t="shared" si="358"/>
        <v>0</v>
      </c>
      <c r="G676" s="92">
        <f t="shared" si="358"/>
        <v>0</v>
      </c>
      <c r="H676" s="92">
        <f t="shared" si="358"/>
        <v>0</v>
      </c>
      <c r="I676" s="108">
        <f>SUM(B676:H676)</f>
        <v>0</v>
      </c>
      <c r="J676" s="479">
        <f t="shared" si="354"/>
        <v>0</v>
      </c>
    </row>
    <row r="677" spans="1:10" x14ac:dyDescent="0.25">
      <c r="A677" s="82" t="s">
        <v>30</v>
      </c>
      <c r="B677" s="222">
        <f>(2338900/1.16)-B678</f>
        <v>1943023.1034482759</v>
      </c>
      <c r="C677" s="222">
        <f>(3521300/1.16)-C678</f>
        <v>2958023.4482758623</v>
      </c>
      <c r="D677" s="222">
        <f>(4073300/1.16)-D678</f>
        <v>3410180.5172413797</v>
      </c>
      <c r="E677" s="222">
        <f>(4109100/1.16)-E678</f>
        <v>3423802.5862068967</v>
      </c>
      <c r="F677" s="222">
        <f>(7272300/1.16)-F678</f>
        <v>6075274.1379310349</v>
      </c>
      <c r="G677" s="222">
        <f>(6289300/1.16)-G678</f>
        <v>5154590.3448275868</v>
      </c>
      <c r="H677" s="222">
        <f>(4699600/1.16)-H678</f>
        <v>3831569.3103448278</v>
      </c>
      <c r="I677" s="111">
        <f>SUM(I672:I676)</f>
        <v>26796463.448275864</v>
      </c>
      <c r="J677" s="481">
        <f t="shared" si="354"/>
        <v>3828066.2068965519</v>
      </c>
    </row>
    <row r="678" spans="1:10" x14ac:dyDescent="0.25">
      <c r="A678" s="77" t="s">
        <v>31</v>
      </c>
      <c r="B678" s="263">
        <f t="shared" ref="B678:H678" si="359">2155*B659</f>
        <v>73270</v>
      </c>
      <c r="C678" s="263">
        <f t="shared" si="359"/>
        <v>77580</v>
      </c>
      <c r="D678" s="263">
        <f t="shared" si="359"/>
        <v>101285</v>
      </c>
      <c r="E678" s="263">
        <f t="shared" si="359"/>
        <v>118525</v>
      </c>
      <c r="F678" s="263">
        <f t="shared" si="359"/>
        <v>193950</v>
      </c>
      <c r="G678" s="94">
        <f t="shared" si="359"/>
        <v>267220</v>
      </c>
      <c r="H678" s="94">
        <f t="shared" si="359"/>
        <v>219810</v>
      </c>
      <c r="I678" s="109">
        <f>I659*2155</f>
        <v>1051640</v>
      </c>
      <c r="J678" s="482">
        <f>2155*J659</f>
        <v>150234.28571428571</v>
      </c>
    </row>
    <row r="679" spans="1:10" x14ac:dyDescent="0.25">
      <c r="A679" s="83" t="s">
        <v>32</v>
      </c>
      <c r="B679" s="411">
        <f t="shared" ref="B679:J679" si="360">B677+B678</f>
        <v>2016293.1034482759</v>
      </c>
      <c r="C679" s="411">
        <f t="shared" si="360"/>
        <v>3035603.4482758623</v>
      </c>
      <c r="D679" s="411">
        <f t="shared" si="360"/>
        <v>3511465.5172413797</v>
      </c>
      <c r="E679" s="411">
        <f t="shared" si="360"/>
        <v>3542327.5862068967</v>
      </c>
      <c r="F679" s="411">
        <f t="shared" si="360"/>
        <v>6269224.1379310349</v>
      </c>
      <c r="G679" s="39">
        <f t="shared" si="360"/>
        <v>5421810.3448275868</v>
      </c>
      <c r="H679" s="39">
        <f t="shared" si="360"/>
        <v>4051379.3103448278</v>
      </c>
      <c r="I679" s="412">
        <f t="shared" si="360"/>
        <v>27848103.448275864</v>
      </c>
      <c r="J679" s="484">
        <f t="shared" si="360"/>
        <v>3978300.4926108378</v>
      </c>
    </row>
    <row r="680" spans="1:10" x14ac:dyDescent="0.25">
      <c r="A680" s="77" t="s">
        <v>33</v>
      </c>
      <c r="B680" s="413">
        <f t="shared" ref="B680:J680" si="361">B679*16%</f>
        <v>322606.89655172417</v>
      </c>
      <c r="C680" s="413">
        <f t="shared" si="361"/>
        <v>485696.55172413797</v>
      </c>
      <c r="D680" s="413">
        <f t="shared" si="361"/>
        <v>561834.48275862075</v>
      </c>
      <c r="E680" s="413">
        <f t="shared" si="361"/>
        <v>566772.41379310354</v>
      </c>
      <c r="F680" s="413">
        <f t="shared" si="361"/>
        <v>1003075.8620689656</v>
      </c>
      <c r="G680" s="41">
        <f t="shared" si="361"/>
        <v>867489.65517241391</v>
      </c>
      <c r="H680" s="41">
        <f t="shared" si="361"/>
        <v>648220.68965517252</v>
      </c>
      <c r="I680" s="414">
        <f t="shared" si="361"/>
        <v>4455696.5517241387</v>
      </c>
      <c r="J680" s="486">
        <f t="shared" si="361"/>
        <v>636528.07881773403</v>
      </c>
    </row>
    <row r="681" spans="1:10" x14ac:dyDescent="0.25">
      <c r="A681" s="142" t="s">
        <v>34</v>
      </c>
      <c r="B681" s="438">
        <f t="shared" ref="B681:I681" si="362">B679+B680</f>
        <v>2338900</v>
      </c>
      <c r="C681" s="438">
        <f t="shared" si="362"/>
        <v>3521300</v>
      </c>
      <c r="D681" s="438">
        <f t="shared" si="362"/>
        <v>4073300.0000000005</v>
      </c>
      <c r="E681" s="438">
        <f t="shared" si="362"/>
        <v>4109100</v>
      </c>
      <c r="F681" s="438">
        <f t="shared" si="362"/>
        <v>7272300</v>
      </c>
      <c r="G681" s="144">
        <f t="shared" si="362"/>
        <v>6289300.0000000009</v>
      </c>
      <c r="H681" s="144">
        <f t="shared" si="362"/>
        <v>4699600</v>
      </c>
      <c r="I681" s="440">
        <f t="shared" si="362"/>
        <v>32303800.000000004</v>
      </c>
      <c r="J681" s="488">
        <f>+$I681/7</f>
        <v>4614828.5714285718</v>
      </c>
    </row>
    <row r="682" spans="1:10" x14ac:dyDescent="0.25">
      <c r="I682" s="89"/>
    </row>
    <row r="683" spans="1:10" ht="26.25" x14ac:dyDescent="0.25">
      <c r="A683" s="85"/>
      <c r="B683" s="1002" t="s">
        <v>366</v>
      </c>
      <c r="C683" s="1002"/>
      <c r="D683" s="1002"/>
      <c r="E683" s="1002"/>
      <c r="F683" s="1002"/>
      <c r="G683" s="1002"/>
      <c r="H683" s="1002"/>
      <c r="I683" s="1002"/>
    </row>
    <row r="684" spans="1:10" ht="15.75" x14ac:dyDescent="0.25">
      <c r="A684" s="72" t="s">
        <v>2</v>
      </c>
      <c r="B684" s="491" t="s">
        <v>310</v>
      </c>
      <c r="C684" s="232" t="s">
        <v>311</v>
      </c>
      <c r="D684" s="232" t="s">
        <v>312</v>
      </c>
      <c r="E684" s="232" t="s">
        <v>313</v>
      </c>
      <c r="F684" s="232" t="s">
        <v>314</v>
      </c>
      <c r="G684" s="232" t="s">
        <v>315</v>
      </c>
      <c r="H684" s="232" t="s">
        <v>316</v>
      </c>
      <c r="I684" s="153" t="s">
        <v>10</v>
      </c>
      <c r="J684" s="490" t="s">
        <v>77</v>
      </c>
    </row>
    <row r="685" spans="1:10" x14ac:dyDescent="0.25">
      <c r="A685" s="430" t="s">
        <v>11</v>
      </c>
      <c r="B685" s="433">
        <f>74+34+13</f>
        <v>121</v>
      </c>
      <c r="C685" s="75">
        <f>81+42+12</f>
        <v>135</v>
      </c>
      <c r="D685" s="75">
        <f>66+39+11</f>
        <v>116</v>
      </c>
      <c r="E685" s="75">
        <f>123+51+12</f>
        <v>186</v>
      </c>
      <c r="F685" s="75">
        <f>163+86+23</f>
        <v>272</v>
      </c>
      <c r="G685" s="75">
        <f>95+63+18</f>
        <v>176</v>
      </c>
      <c r="H685" s="75">
        <f>106+53+19</f>
        <v>178</v>
      </c>
      <c r="I685" s="467">
        <f t="shared" ref="I685:I690" si="363">SUM(B685:H685)</f>
        <v>1184</v>
      </c>
      <c r="J685" s="468">
        <f>+$I685/7</f>
        <v>169.14285714285714</v>
      </c>
    </row>
    <row r="686" spans="1:10" x14ac:dyDescent="0.25">
      <c r="A686" s="77" t="s">
        <v>12</v>
      </c>
      <c r="B686" s="233">
        <v>43</v>
      </c>
      <c r="C686" s="13">
        <v>54</v>
      </c>
      <c r="D686" s="13">
        <v>38</v>
      </c>
      <c r="E686" s="13">
        <v>65</v>
      </c>
      <c r="F686" s="13">
        <v>123</v>
      </c>
      <c r="G686" s="13">
        <v>81</v>
      </c>
      <c r="H686" s="13">
        <v>97</v>
      </c>
      <c r="I686" s="11">
        <f t="shared" si="363"/>
        <v>501</v>
      </c>
      <c r="J686" s="470">
        <f t="shared" ref="J686:J691" si="364">+$I686/7</f>
        <v>71.571428571428569</v>
      </c>
    </row>
    <row r="687" spans="1:10" x14ac:dyDescent="0.25">
      <c r="A687" s="77" t="s">
        <v>13</v>
      </c>
      <c r="B687" s="233">
        <v>0</v>
      </c>
      <c r="C687" s="13">
        <v>3</v>
      </c>
      <c r="D687" s="13">
        <v>1</v>
      </c>
      <c r="E687" s="13">
        <v>4</v>
      </c>
      <c r="F687" s="13">
        <v>8</v>
      </c>
      <c r="G687" s="13">
        <v>4</v>
      </c>
      <c r="H687" s="13">
        <v>2</v>
      </c>
      <c r="I687" s="11">
        <f t="shared" si="363"/>
        <v>22</v>
      </c>
      <c r="J687" s="470">
        <f t="shared" si="364"/>
        <v>3.1428571428571428</v>
      </c>
    </row>
    <row r="688" spans="1:10" x14ac:dyDescent="0.25">
      <c r="A688" s="77" t="s">
        <v>14</v>
      </c>
      <c r="B688" s="233">
        <v>53</v>
      </c>
      <c r="C688" s="13">
        <v>55</v>
      </c>
      <c r="D688" s="13">
        <v>67</v>
      </c>
      <c r="E688" s="13">
        <v>83</v>
      </c>
      <c r="F688" s="13">
        <v>90</v>
      </c>
      <c r="G688" s="13">
        <v>60</v>
      </c>
      <c r="H688" s="13">
        <v>51</v>
      </c>
      <c r="I688" s="11">
        <f t="shared" si="363"/>
        <v>459</v>
      </c>
      <c r="J688" s="470">
        <f t="shared" si="364"/>
        <v>65.571428571428569</v>
      </c>
    </row>
    <row r="689" spans="1:10" x14ac:dyDescent="0.25">
      <c r="A689" s="77" t="s">
        <v>15</v>
      </c>
      <c r="B689" s="233">
        <v>0</v>
      </c>
      <c r="C689" s="13">
        <v>0</v>
      </c>
      <c r="D689" s="13">
        <v>0</v>
      </c>
      <c r="E689" s="13">
        <v>0</v>
      </c>
      <c r="F689" s="13">
        <v>0</v>
      </c>
      <c r="G689" s="13">
        <v>0</v>
      </c>
      <c r="H689" s="13">
        <v>0</v>
      </c>
      <c r="I689" s="11">
        <f t="shared" si="363"/>
        <v>0</v>
      </c>
      <c r="J689" s="470">
        <f t="shared" si="364"/>
        <v>0</v>
      </c>
    </row>
    <row r="690" spans="1:10" x14ac:dyDescent="0.25">
      <c r="A690" s="77" t="s">
        <v>16</v>
      </c>
      <c r="B690" s="233">
        <v>0</v>
      </c>
      <c r="C690" s="13">
        <v>0</v>
      </c>
      <c r="D690" s="13">
        <v>0</v>
      </c>
      <c r="E690" s="13">
        <v>0</v>
      </c>
      <c r="F690" s="13">
        <v>0</v>
      </c>
      <c r="G690" s="13">
        <v>0</v>
      </c>
      <c r="H690" s="13">
        <v>0</v>
      </c>
      <c r="I690" s="11">
        <f t="shared" si="363"/>
        <v>0</v>
      </c>
      <c r="J690" s="470">
        <f t="shared" si="364"/>
        <v>0</v>
      </c>
    </row>
    <row r="691" spans="1:10" x14ac:dyDescent="0.25">
      <c r="A691" s="79" t="s">
        <v>17</v>
      </c>
      <c r="B691" s="102">
        <f t="shared" ref="B691:I691" si="365">SUM(B686:B690)</f>
        <v>96</v>
      </c>
      <c r="C691" s="102">
        <f t="shared" si="365"/>
        <v>112</v>
      </c>
      <c r="D691" s="102">
        <f t="shared" si="365"/>
        <v>106</v>
      </c>
      <c r="E691" s="102">
        <f t="shared" si="365"/>
        <v>152</v>
      </c>
      <c r="F691" s="102">
        <f t="shared" si="365"/>
        <v>221</v>
      </c>
      <c r="G691" s="79">
        <f t="shared" si="365"/>
        <v>145</v>
      </c>
      <c r="H691" s="79">
        <f t="shared" si="365"/>
        <v>150</v>
      </c>
      <c r="I691" s="472">
        <f t="shared" si="365"/>
        <v>982</v>
      </c>
      <c r="J691" s="473">
        <f t="shared" si="364"/>
        <v>140.28571428571428</v>
      </c>
    </row>
    <row r="692" spans="1:10" x14ac:dyDescent="0.25">
      <c r="A692" s="77" t="s">
        <v>18</v>
      </c>
      <c r="B692" s="234">
        <v>0.56000000000000005</v>
      </c>
      <c r="C692" s="235">
        <v>0.56999999999999995</v>
      </c>
      <c r="D692" s="235">
        <v>0.41</v>
      </c>
      <c r="E692" s="236">
        <v>0.49</v>
      </c>
      <c r="F692" s="236">
        <v>0.64</v>
      </c>
      <c r="G692" s="236">
        <v>0.56999999999999995</v>
      </c>
      <c r="H692" s="236">
        <v>0.67</v>
      </c>
      <c r="I692" s="18">
        <f>I699/I704</f>
        <v>0.57202242726752217</v>
      </c>
      <c r="J692" s="475">
        <f>J699/J704</f>
        <v>0.57202242726752217</v>
      </c>
    </row>
    <row r="693" spans="1:10" x14ac:dyDescent="0.25">
      <c r="A693" s="77" t="s">
        <v>19</v>
      </c>
      <c r="B693" s="234">
        <v>0</v>
      </c>
      <c r="C693" s="235">
        <v>0.01</v>
      </c>
      <c r="D693" s="235">
        <v>0.01</v>
      </c>
      <c r="E693" s="236">
        <v>0.02</v>
      </c>
      <c r="F693" s="236">
        <v>0.03</v>
      </c>
      <c r="G693" s="236">
        <v>0.02</v>
      </c>
      <c r="H693" s="236">
        <v>0.01</v>
      </c>
      <c r="I693" s="18">
        <f>I700/I704</f>
        <v>1.6753015640407733E-2</v>
      </c>
      <c r="J693" s="475">
        <f>J700/J704</f>
        <v>1.6753015640407733E-2</v>
      </c>
    </row>
    <row r="694" spans="1:10" x14ac:dyDescent="0.25">
      <c r="A694" s="77" t="s">
        <v>20</v>
      </c>
      <c r="B694" s="234">
        <v>0.44</v>
      </c>
      <c r="C694" s="235">
        <v>0.42</v>
      </c>
      <c r="D694" s="235">
        <v>0.57999999999999996</v>
      </c>
      <c r="E694" s="236">
        <v>0.49</v>
      </c>
      <c r="F694" s="236">
        <v>0.33</v>
      </c>
      <c r="G694" s="236">
        <v>0.41</v>
      </c>
      <c r="H694" s="236">
        <v>0.32</v>
      </c>
      <c r="I694" s="18">
        <f>I701/I704</f>
        <v>0.41122455709207006</v>
      </c>
      <c r="J694" s="475">
        <f>J701/J704</f>
        <v>0.41122455709207001</v>
      </c>
    </row>
    <row r="695" spans="1:10" x14ac:dyDescent="0.25">
      <c r="A695" s="77" t="s">
        <v>21</v>
      </c>
      <c r="B695" s="234">
        <v>0</v>
      </c>
      <c r="C695" s="235">
        <v>0</v>
      </c>
      <c r="D695" s="235">
        <v>0</v>
      </c>
      <c r="E695" s="236">
        <v>0</v>
      </c>
      <c r="F695" s="236">
        <v>0</v>
      </c>
      <c r="G695" s="236">
        <v>0</v>
      </c>
      <c r="H695" s="236">
        <v>0</v>
      </c>
      <c r="I695" s="18">
        <f>I702/I704</f>
        <v>0</v>
      </c>
      <c r="J695" s="475">
        <f>J702/J704</f>
        <v>0</v>
      </c>
    </row>
    <row r="696" spans="1:10" x14ac:dyDescent="0.25">
      <c r="A696" s="77" t="s">
        <v>22</v>
      </c>
      <c r="B696" s="234">
        <v>0</v>
      </c>
      <c r="C696" s="235">
        <v>0</v>
      </c>
      <c r="D696" s="235">
        <v>0</v>
      </c>
      <c r="E696" s="236">
        <v>0</v>
      </c>
      <c r="F696" s="236">
        <v>0</v>
      </c>
      <c r="G696" s="236">
        <v>0</v>
      </c>
      <c r="H696" s="236">
        <v>0</v>
      </c>
      <c r="I696" s="18">
        <f>I703/I704</f>
        <v>0</v>
      </c>
      <c r="J696" s="475">
        <f>J703/J704</f>
        <v>0</v>
      </c>
    </row>
    <row r="697" spans="1:10" x14ac:dyDescent="0.25">
      <c r="A697" s="81" t="s">
        <v>23</v>
      </c>
      <c r="B697" s="450">
        <f t="shared" ref="B697:J697" si="366">B708/B691</f>
        <v>33687.500000000007</v>
      </c>
      <c r="C697" s="130">
        <f t="shared" si="366"/>
        <v>34783.928571428572</v>
      </c>
      <c r="D697" s="130">
        <f t="shared" si="366"/>
        <v>29759.433962264156</v>
      </c>
      <c r="E697" s="130">
        <f t="shared" si="366"/>
        <v>33435.526315789473</v>
      </c>
      <c r="F697" s="130">
        <f t="shared" si="366"/>
        <v>34916.289592760178</v>
      </c>
      <c r="G697" s="130">
        <f t="shared" si="366"/>
        <v>34008.965517241377</v>
      </c>
      <c r="H697" s="130">
        <f t="shared" si="366"/>
        <v>32259.333333333332</v>
      </c>
      <c r="I697" s="130">
        <f t="shared" si="366"/>
        <v>33455.39714867618</v>
      </c>
      <c r="J697" s="314">
        <f t="shared" si="366"/>
        <v>33455.39714867618</v>
      </c>
    </row>
    <row r="698" spans="1:10" x14ac:dyDescent="0.25">
      <c r="A698" s="81" t="s">
        <v>24</v>
      </c>
      <c r="B698" s="450">
        <f t="shared" ref="B698:J698" si="367">B708/B685</f>
        <v>26727.272727272732</v>
      </c>
      <c r="C698" s="130">
        <f t="shared" si="367"/>
        <v>28857.777777777781</v>
      </c>
      <c r="D698" s="130">
        <f t="shared" si="367"/>
        <v>27193.965517241384</v>
      </c>
      <c r="E698" s="130">
        <f t="shared" si="367"/>
        <v>27323.655913978495</v>
      </c>
      <c r="F698" s="130">
        <f t="shared" si="367"/>
        <v>28369.485294117647</v>
      </c>
      <c r="G698" s="130">
        <f t="shared" si="367"/>
        <v>28018.75</v>
      </c>
      <c r="H698" s="130">
        <f t="shared" si="367"/>
        <v>27184.831460674159</v>
      </c>
      <c r="I698" s="130">
        <f t="shared" si="367"/>
        <v>27747.63513513514</v>
      </c>
      <c r="J698" s="314">
        <f t="shared" si="367"/>
        <v>27747.63513513514</v>
      </c>
    </row>
    <row r="699" spans="1:10" x14ac:dyDescent="0.25">
      <c r="A699" s="77" t="s">
        <v>25</v>
      </c>
      <c r="B699" s="451">
        <f t="shared" ref="B699:H699" si="368">B704*B692</f>
        <v>1509348.9793103451</v>
      </c>
      <c r="C699" s="92">
        <f t="shared" si="368"/>
        <v>1847984.6172413793</v>
      </c>
      <c r="D699" s="92">
        <f t="shared" si="368"/>
        <v>1081377.6862068966</v>
      </c>
      <c r="E699" s="92">
        <f t="shared" si="368"/>
        <v>2078154.629310345</v>
      </c>
      <c r="F699" s="92">
        <f t="shared" si="368"/>
        <v>4087737.7103448277</v>
      </c>
      <c r="G699" s="92">
        <f t="shared" si="368"/>
        <v>2323642.443103448</v>
      </c>
      <c r="H699" s="92">
        <f t="shared" si="368"/>
        <v>2654828.4465517243</v>
      </c>
      <c r="I699" s="92">
        <f>SUM(B699:H699)</f>
        <v>15583074.512068968</v>
      </c>
      <c r="J699" s="300">
        <f t="shared" ref="J699:J704" si="369">+$I699/7</f>
        <v>2226153.5017241384</v>
      </c>
    </row>
    <row r="700" spans="1:10" x14ac:dyDescent="0.25">
      <c r="A700" s="77" t="s">
        <v>26</v>
      </c>
      <c r="B700" s="451">
        <f t="shared" ref="B700:H700" si="370">B704*B693</f>
        <v>0</v>
      </c>
      <c r="C700" s="92">
        <f t="shared" si="370"/>
        <v>32420.782758620695</v>
      </c>
      <c r="D700" s="92">
        <f t="shared" si="370"/>
        <v>26375.065517241383</v>
      </c>
      <c r="E700" s="92">
        <f t="shared" si="370"/>
        <v>84822.637931034493</v>
      </c>
      <c r="F700" s="92">
        <f t="shared" si="370"/>
        <v>191612.70517241379</v>
      </c>
      <c r="G700" s="92">
        <f t="shared" si="370"/>
        <v>81531.313793103458</v>
      </c>
      <c r="H700" s="92">
        <f t="shared" si="370"/>
        <v>39624.305172413799</v>
      </c>
      <c r="I700" s="92">
        <f>SUM(B700:H700)</f>
        <v>456386.81034482759</v>
      </c>
      <c r="J700" s="300">
        <f t="shared" si="369"/>
        <v>65198.115763546797</v>
      </c>
    </row>
    <row r="701" spans="1:10" x14ac:dyDescent="0.25">
      <c r="A701" s="77" t="s">
        <v>27</v>
      </c>
      <c r="B701" s="451">
        <f t="shared" ref="B701:H701" si="371">B704*B694</f>
        <v>1185917.0551724141</v>
      </c>
      <c r="C701" s="92">
        <f t="shared" si="371"/>
        <v>1361672.875862069</v>
      </c>
      <c r="D701" s="92">
        <f t="shared" si="371"/>
        <v>1529753.8</v>
      </c>
      <c r="E701" s="92">
        <f t="shared" si="371"/>
        <v>2078154.629310345</v>
      </c>
      <c r="F701" s="92">
        <f t="shared" si="371"/>
        <v>2107739.7568965517</v>
      </c>
      <c r="G701" s="92">
        <f t="shared" si="371"/>
        <v>1671391.9327586207</v>
      </c>
      <c r="H701" s="92">
        <f t="shared" si="371"/>
        <v>1267977.7655172416</v>
      </c>
      <c r="I701" s="92">
        <f>SUM(B701:H701)</f>
        <v>11202607.815517243</v>
      </c>
      <c r="J701" s="300">
        <f t="shared" si="369"/>
        <v>1600372.5450738918</v>
      </c>
    </row>
    <row r="702" spans="1:10" x14ac:dyDescent="0.25">
      <c r="A702" s="77" t="s">
        <v>28</v>
      </c>
      <c r="B702" s="451">
        <f t="shared" ref="B702:H702" si="372">B704*B695</f>
        <v>0</v>
      </c>
      <c r="C702" s="92">
        <f t="shared" si="372"/>
        <v>0</v>
      </c>
      <c r="D702" s="92">
        <f t="shared" si="372"/>
        <v>0</v>
      </c>
      <c r="E702" s="92">
        <f t="shared" si="372"/>
        <v>0</v>
      </c>
      <c r="F702" s="92">
        <f t="shared" si="372"/>
        <v>0</v>
      </c>
      <c r="G702" s="92">
        <f t="shared" si="372"/>
        <v>0</v>
      </c>
      <c r="H702" s="92">
        <f t="shared" si="372"/>
        <v>0</v>
      </c>
      <c r="I702" s="92">
        <f>SUM(B702:H702)</f>
        <v>0</v>
      </c>
      <c r="J702" s="300">
        <f t="shared" si="369"/>
        <v>0</v>
      </c>
    </row>
    <row r="703" spans="1:10" x14ac:dyDescent="0.25">
      <c r="A703" s="77" t="s">
        <v>29</v>
      </c>
      <c r="B703" s="451">
        <f t="shared" ref="B703:H703" si="373">B704*B696</f>
        <v>0</v>
      </c>
      <c r="C703" s="92">
        <f t="shared" si="373"/>
        <v>0</v>
      </c>
      <c r="D703" s="92">
        <f t="shared" si="373"/>
        <v>0</v>
      </c>
      <c r="E703" s="92">
        <f t="shared" si="373"/>
        <v>0</v>
      </c>
      <c r="F703" s="92">
        <f t="shared" si="373"/>
        <v>0</v>
      </c>
      <c r="G703" s="92">
        <f t="shared" si="373"/>
        <v>0</v>
      </c>
      <c r="H703" s="92">
        <f t="shared" si="373"/>
        <v>0</v>
      </c>
      <c r="I703" s="92">
        <f>SUM(B703:H703)</f>
        <v>0</v>
      </c>
      <c r="J703" s="300">
        <f t="shared" si="369"/>
        <v>0</v>
      </c>
    </row>
    <row r="704" spans="1:10" x14ac:dyDescent="0.25">
      <c r="A704" s="82" t="s">
        <v>30</v>
      </c>
      <c r="B704" s="237">
        <f>(3234000/1.16)-B705</f>
        <v>2695266.034482759</v>
      </c>
      <c r="C704" s="222">
        <f>(3895800/1.16)-C705</f>
        <v>3242078.2758620693</v>
      </c>
      <c r="D704" s="222">
        <f>(3154500/1.16)-D705</f>
        <v>2637506.5517241382</v>
      </c>
      <c r="E704" s="222">
        <f>(5082200/1.16)-E705</f>
        <v>4241131.8965517245</v>
      </c>
      <c r="F704" s="222">
        <f>(7716500/1.16)-F705</f>
        <v>6387090.1724137934</v>
      </c>
      <c r="G704" s="222">
        <f>(4931300/1.16)-G705</f>
        <v>4076565.6896551726</v>
      </c>
      <c r="H704" s="222">
        <f>(4838900/1.16)-H705</f>
        <v>3962430.5172413797</v>
      </c>
      <c r="I704" s="91">
        <f>SUM(I699:I703)</f>
        <v>27242069.137931041</v>
      </c>
      <c r="J704" s="361">
        <f t="shared" si="369"/>
        <v>3891724.1625615773</v>
      </c>
    </row>
    <row r="705" spans="1:10" x14ac:dyDescent="0.25">
      <c r="A705" s="77" t="s">
        <v>31</v>
      </c>
      <c r="B705" s="452">
        <f t="shared" ref="B705:H705" si="374">2155*B686</f>
        <v>92665</v>
      </c>
      <c r="C705" s="94">
        <f t="shared" si="374"/>
        <v>116370</v>
      </c>
      <c r="D705" s="94">
        <f t="shared" si="374"/>
        <v>81890</v>
      </c>
      <c r="E705" s="94">
        <f t="shared" si="374"/>
        <v>140075</v>
      </c>
      <c r="F705" s="94">
        <f t="shared" si="374"/>
        <v>265065</v>
      </c>
      <c r="G705" s="94">
        <f t="shared" si="374"/>
        <v>174555</v>
      </c>
      <c r="H705" s="94">
        <f t="shared" si="374"/>
        <v>209035</v>
      </c>
      <c r="I705" s="94">
        <f>I686*2155</f>
        <v>1079655</v>
      </c>
      <c r="J705" s="302">
        <f>2155*J686</f>
        <v>154236.42857142858</v>
      </c>
    </row>
    <row r="706" spans="1:10" x14ac:dyDescent="0.25">
      <c r="A706" s="83" t="s">
        <v>32</v>
      </c>
      <c r="B706" s="453">
        <f t="shared" ref="B706:J706" si="375">B704+B705</f>
        <v>2787931.034482759</v>
      </c>
      <c r="C706" s="39">
        <f t="shared" si="375"/>
        <v>3358448.2758620693</v>
      </c>
      <c r="D706" s="39">
        <f t="shared" si="375"/>
        <v>2719396.5517241382</v>
      </c>
      <c r="E706" s="39">
        <f t="shared" si="375"/>
        <v>4381206.8965517245</v>
      </c>
      <c r="F706" s="39">
        <f t="shared" si="375"/>
        <v>6652155.1724137934</v>
      </c>
      <c r="G706" s="39">
        <f t="shared" si="375"/>
        <v>4251120.6896551726</v>
      </c>
      <c r="H706" s="39">
        <f t="shared" si="375"/>
        <v>4171465.5172413797</v>
      </c>
      <c r="I706" s="39">
        <f t="shared" si="375"/>
        <v>28321724.137931041</v>
      </c>
      <c r="J706" s="364">
        <f t="shared" si="375"/>
        <v>4045960.5911330059</v>
      </c>
    </row>
    <row r="707" spans="1:10" x14ac:dyDescent="0.25">
      <c r="A707" s="77" t="s">
        <v>33</v>
      </c>
      <c r="B707" s="454">
        <f t="shared" ref="B707:J707" si="376">B706*16%</f>
        <v>446068.96551724145</v>
      </c>
      <c r="C707" s="41">
        <f t="shared" si="376"/>
        <v>537351.72413793113</v>
      </c>
      <c r="D707" s="41">
        <f t="shared" si="376"/>
        <v>435103.44827586215</v>
      </c>
      <c r="E707" s="41">
        <f t="shared" si="376"/>
        <v>700993.10344827594</v>
      </c>
      <c r="F707" s="41">
        <f t="shared" si="376"/>
        <v>1064344.8275862071</v>
      </c>
      <c r="G707" s="41">
        <f t="shared" si="376"/>
        <v>680179.31034482759</v>
      </c>
      <c r="H707" s="41">
        <f t="shared" si="376"/>
        <v>667434.48275862075</v>
      </c>
      <c r="I707" s="41">
        <f t="shared" si="376"/>
        <v>4531475.862068967</v>
      </c>
      <c r="J707" s="492">
        <f t="shared" si="376"/>
        <v>647353.69458128093</v>
      </c>
    </row>
    <row r="708" spans="1:10" x14ac:dyDescent="0.25">
      <c r="A708" s="142" t="s">
        <v>34</v>
      </c>
      <c r="B708" s="438">
        <f t="shared" ref="B708:I708" si="377">B706+B707</f>
        <v>3234000.0000000005</v>
      </c>
      <c r="C708" s="144">
        <f t="shared" si="377"/>
        <v>3895800.0000000005</v>
      </c>
      <c r="D708" s="144">
        <f t="shared" si="377"/>
        <v>3154500.0000000005</v>
      </c>
      <c r="E708" s="144">
        <f t="shared" si="377"/>
        <v>5082200</v>
      </c>
      <c r="F708" s="144">
        <f t="shared" si="377"/>
        <v>7716500</v>
      </c>
      <c r="G708" s="144">
        <f t="shared" si="377"/>
        <v>4931300</v>
      </c>
      <c r="H708" s="144">
        <f t="shared" si="377"/>
        <v>4838900</v>
      </c>
      <c r="I708" s="144">
        <f t="shared" si="377"/>
        <v>32853200.000000007</v>
      </c>
      <c r="J708" s="441">
        <f>+$I708/7</f>
        <v>4693314.2857142864</v>
      </c>
    </row>
    <row r="709" spans="1:10" x14ac:dyDescent="0.25">
      <c r="I709" s="89"/>
    </row>
    <row r="710" spans="1:10" ht="26.25" x14ac:dyDescent="0.25">
      <c r="A710" s="85"/>
      <c r="B710" s="1002" t="s">
        <v>367</v>
      </c>
      <c r="C710" s="1002"/>
      <c r="D710" s="1002"/>
      <c r="E710" s="1002"/>
      <c r="F710" s="1002"/>
      <c r="G710" s="1002"/>
      <c r="H710" s="1002"/>
      <c r="I710" s="1002"/>
    </row>
    <row r="711" spans="1:10" ht="15.75" x14ac:dyDescent="0.25">
      <c r="A711" s="72" t="s">
        <v>2</v>
      </c>
      <c r="B711" s="491" t="s">
        <v>318</v>
      </c>
      <c r="C711" s="232" t="s">
        <v>319</v>
      </c>
      <c r="D711" s="232" t="s">
        <v>141</v>
      </c>
      <c r="E711" s="232" t="s">
        <v>142</v>
      </c>
      <c r="F711" s="232" t="s">
        <v>143</v>
      </c>
      <c r="G711" s="232" t="s">
        <v>144</v>
      </c>
      <c r="H711" s="232" t="s">
        <v>145</v>
      </c>
      <c r="I711" s="153" t="s">
        <v>10</v>
      </c>
      <c r="J711" s="490" t="s">
        <v>77</v>
      </c>
    </row>
    <row r="712" spans="1:10" x14ac:dyDescent="0.25">
      <c r="A712" s="430" t="s">
        <v>11</v>
      </c>
      <c r="B712" s="433">
        <f>62+31+9</f>
        <v>102</v>
      </c>
      <c r="C712" s="75">
        <f>84+50+14</f>
        <v>148</v>
      </c>
      <c r="D712" s="75">
        <f>86+40+14</f>
        <v>140</v>
      </c>
      <c r="E712" s="75">
        <f>67+38+9</f>
        <v>114</v>
      </c>
      <c r="F712" s="75">
        <f>144+83+20</f>
        <v>247</v>
      </c>
      <c r="G712" s="75">
        <f>106+74+22</f>
        <v>202</v>
      </c>
      <c r="H712" s="75">
        <f>82+62+18</f>
        <v>162</v>
      </c>
      <c r="I712" s="467">
        <f t="shared" ref="I712:I717" si="378">SUM(B712:H712)</f>
        <v>1115</v>
      </c>
      <c r="J712" s="468">
        <f>+$I712/7</f>
        <v>159.28571428571428</v>
      </c>
    </row>
    <row r="713" spans="1:10" x14ac:dyDescent="0.25">
      <c r="A713" s="77" t="s">
        <v>12</v>
      </c>
      <c r="B713" s="233">
        <v>29</v>
      </c>
      <c r="C713" s="13">
        <v>71</v>
      </c>
      <c r="D713" s="13">
        <v>42</v>
      </c>
      <c r="E713" s="13">
        <v>35</v>
      </c>
      <c r="F713" s="13">
        <v>81</v>
      </c>
      <c r="G713" s="13">
        <v>109</v>
      </c>
      <c r="H713" s="13">
        <v>77</v>
      </c>
      <c r="I713" s="11">
        <f t="shared" si="378"/>
        <v>444</v>
      </c>
      <c r="J713" s="470">
        <f t="shared" ref="J713:J718" si="379">+$I713/7</f>
        <v>63.428571428571431</v>
      </c>
    </row>
    <row r="714" spans="1:10" x14ac:dyDescent="0.25">
      <c r="A714" s="77" t="s">
        <v>13</v>
      </c>
      <c r="B714" s="233">
        <v>1</v>
      </c>
      <c r="C714" s="13">
        <v>1</v>
      </c>
      <c r="D714" s="13">
        <v>3</v>
      </c>
      <c r="E714" s="13">
        <v>1</v>
      </c>
      <c r="F714" s="13">
        <v>0</v>
      </c>
      <c r="G714" s="13">
        <v>5</v>
      </c>
      <c r="H714" s="13">
        <v>4</v>
      </c>
      <c r="I714" s="11">
        <f t="shared" si="378"/>
        <v>15</v>
      </c>
      <c r="J714" s="470">
        <f t="shared" si="379"/>
        <v>2.1428571428571428</v>
      </c>
    </row>
    <row r="715" spans="1:10" x14ac:dyDescent="0.25">
      <c r="A715" s="77" t="s">
        <v>14</v>
      </c>
      <c r="B715" s="233">
        <v>60</v>
      </c>
      <c r="C715" s="13">
        <v>48</v>
      </c>
      <c r="D715" s="13">
        <v>75</v>
      </c>
      <c r="E715" s="13">
        <v>59</v>
      </c>
      <c r="F715" s="13">
        <v>112</v>
      </c>
      <c r="G715" s="13">
        <v>47</v>
      </c>
      <c r="H715" s="13">
        <v>48</v>
      </c>
      <c r="I715" s="11">
        <f t="shared" si="378"/>
        <v>449</v>
      </c>
      <c r="J715" s="470">
        <f t="shared" si="379"/>
        <v>64.142857142857139</v>
      </c>
    </row>
    <row r="716" spans="1:10" x14ac:dyDescent="0.25">
      <c r="A716" s="77" t="s">
        <v>15</v>
      </c>
      <c r="B716" s="233">
        <v>0</v>
      </c>
      <c r="C716" s="13">
        <v>0</v>
      </c>
      <c r="D716" s="13">
        <v>0</v>
      </c>
      <c r="E716" s="13">
        <v>0</v>
      </c>
      <c r="F716" s="13">
        <v>0</v>
      </c>
      <c r="G716" s="13">
        <v>0</v>
      </c>
      <c r="H716" s="13">
        <v>0</v>
      </c>
      <c r="I716" s="11">
        <f t="shared" si="378"/>
        <v>0</v>
      </c>
      <c r="J716" s="470">
        <f t="shared" si="379"/>
        <v>0</v>
      </c>
    </row>
    <row r="717" spans="1:10" x14ac:dyDescent="0.25">
      <c r="A717" s="77" t="s">
        <v>16</v>
      </c>
      <c r="B717" s="233">
        <v>0</v>
      </c>
      <c r="C717" s="13">
        <v>0</v>
      </c>
      <c r="D717" s="13">
        <v>0</v>
      </c>
      <c r="E717" s="13">
        <v>0</v>
      </c>
      <c r="F717" s="13">
        <v>0</v>
      </c>
      <c r="G717" s="13">
        <v>0</v>
      </c>
      <c r="H717" s="13">
        <v>0</v>
      </c>
      <c r="I717" s="11">
        <f t="shared" si="378"/>
        <v>0</v>
      </c>
      <c r="J717" s="470">
        <f t="shared" si="379"/>
        <v>0</v>
      </c>
    </row>
    <row r="718" spans="1:10" x14ac:dyDescent="0.25">
      <c r="A718" s="79" t="s">
        <v>17</v>
      </c>
      <c r="B718" s="102">
        <f t="shared" ref="B718:I718" si="380">SUM(B713:B717)</f>
        <v>90</v>
      </c>
      <c r="C718" s="102">
        <f t="shared" si="380"/>
        <v>120</v>
      </c>
      <c r="D718" s="102">
        <f t="shared" si="380"/>
        <v>120</v>
      </c>
      <c r="E718" s="102">
        <f t="shared" si="380"/>
        <v>95</v>
      </c>
      <c r="F718" s="102">
        <f t="shared" si="380"/>
        <v>193</v>
      </c>
      <c r="G718" s="79">
        <f t="shared" si="380"/>
        <v>161</v>
      </c>
      <c r="H718" s="79">
        <f t="shared" si="380"/>
        <v>129</v>
      </c>
      <c r="I718" s="472">
        <f t="shared" si="380"/>
        <v>908</v>
      </c>
      <c r="J718" s="473">
        <f t="shared" si="379"/>
        <v>129.71428571428572</v>
      </c>
    </row>
    <row r="719" spans="1:10" x14ac:dyDescent="0.25">
      <c r="A719" s="77" t="s">
        <v>18</v>
      </c>
      <c r="B719" s="234">
        <v>0.4</v>
      </c>
      <c r="C719" s="235">
        <v>0.66</v>
      </c>
      <c r="D719" s="235">
        <v>0.38</v>
      </c>
      <c r="E719" s="236">
        <v>0.42</v>
      </c>
      <c r="F719" s="236">
        <v>0.49</v>
      </c>
      <c r="G719" s="236">
        <v>0.75</v>
      </c>
      <c r="H719" s="236">
        <v>0.61</v>
      </c>
      <c r="I719" s="18">
        <f>I726/I731</f>
        <v>0.55125611675018149</v>
      </c>
      <c r="J719" s="475">
        <f>J726/J731</f>
        <v>0.55125611675018149</v>
      </c>
    </row>
    <row r="720" spans="1:10" x14ac:dyDescent="0.25">
      <c r="A720" s="77" t="s">
        <v>19</v>
      </c>
      <c r="B720" s="234">
        <v>0.03</v>
      </c>
      <c r="C720" s="235">
        <v>0.01</v>
      </c>
      <c r="D720" s="235">
        <v>0.02</v>
      </c>
      <c r="E720" s="236">
        <v>0</v>
      </c>
      <c r="F720" s="236">
        <v>0</v>
      </c>
      <c r="G720" s="236">
        <v>0.03</v>
      </c>
      <c r="H720" s="236">
        <v>0.05</v>
      </c>
      <c r="I720" s="18">
        <f>I727/I731</f>
        <v>1.9123966339057288E-2</v>
      </c>
      <c r="J720" s="475">
        <f>J727/J731</f>
        <v>1.9123966339057288E-2</v>
      </c>
    </row>
    <row r="721" spans="1:10" x14ac:dyDescent="0.25">
      <c r="A721" s="77" t="s">
        <v>20</v>
      </c>
      <c r="B721" s="234">
        <v>0.56999999999999995</v>
      </c>
      <c r="C721" s="235">
        <v>0.33</v>
      </c>
      <c r="D721" s="235">
        <v>0.6</v>
      </c>
      <c r="E721" s="236">
        <v>0.57999999999999996</v>
      </c>
      <c r="F721" s="236">
        <v>0.51</v>
      </c>
      <c r="G721" s="236">
        <v>0.22</v>
      </c>
      <c r="H721" s="236">
        <v>0.34</v>
      </c>
      <c r="I721" s="18">
        <f>I728/I731</f>
        <v>0.42961991691076129</v>
      </c>
      <c r="J721" s="475">
        <f>J728/J731</f>
        <v>0.42961991691076123</v>
      </c>
    </row>
    <row r="722" spans="1:10" x14ac:dyDescent="0.25">
      <c r="A722" s="77" t="s">
        <v>21</v>
      </c>
      <c r="B722" s="234">
        <v>0</v>
      </c>
      <c r="C722" s="235">
        <v>0</v>
      </c>
      <c r="D722" s="235">
        <v>0</v>
      </c>
      <c r="E722" s="236">
        <v>0</v>
      </c>
      <c r="F722" s="236">
        <v>0</v>
      </c>
      <c r="G722" s="236">
        <v>0</v>
      </c>
      <c r="H722" s="236">
        <v>0</v>
      </c>
      <c r="I722" s="18">
        <f>I729/I731</f>
        <v>0</v>
      </c>
      <c r="J722" s="475">
        <f>J729/J731</f>
        <v>0</v>
      </c>
    </row>
    <row r="723" spans="1:10" x14ac:dyDescent="0.25">
      <c r="A723" s="77" t="s">
        <v>22</v>
      </c>
      <c r="B723" s="234">
        <v>0</v>
      </c>
      <c r="C723" s="235">
        <v>0</v>
      </c>
      <c r="D723" s="235">
        <v>0</v>
      </c>
      <c r="E723" s="236">
        <v>0</v>
      </c>
      <c r="F723" s="236">
        <v>0</v>
      </c>
      <c r="G723" s="236">
        <v>0</v>
      </c>
      <c r="H723" s="236">
        <v>0</v>
      </c>
      <c r="I723" s="18">
        <f>I730/I731</f>
        <v>0</v>
      </c>
      <c r="J723" s="475">
        <f>J730/J731</f>
        <v>0</v>
      </c>
    </row>
    <row r="724" spans="1:10" x14ac:dyDescent="0.25">
      <c r="A724" s="81" t="s">
        <v>23</v>
      </c>
      <c r="B724" s="450">
        <f t="shared" ref="B724:J724" si="381">B735/B718</f>
        <v>28326.666666666668</v>
      </c>
      <c r="C724" s="130">
        <f t="shared" si="381"/>
        <v>36902.500000000007</v>
      </c>
      <c r="D724" s="130">
        <f t="shared" si="381"/>
        <v>32230.000000000004</v>
      </c>
      <c r="E724" s="130">
        <f t="shared" si="381"/>
        <v>31985.263157894737</v>
      </c>
      <c r="F724" s="130">
        <f t="shared" si="381"/>
        <v>36881.865284974097</v>
      </c>
      <c r="G724" s="130">
        <f t="shared" si="381"/>
        <v>36314.285714285717</v>
      </c>
      <c r="H724" s="130">
        <f t="shared" si="381"/>
        <v>35792.248062015504</v>
      </c>
      <c r="I724" s="130">
        <f t="shared" si="381"/>
        <v>34654.074889867843</v>
      </c>
      <c r="J724" s="314">
        <f t="shared" si="381"/>
        <v>34654.074889867843</v>
      </c>
    </row>
    <row r="725" spans="1:10" x14ac:dyDescent="0.25">
      <c r="A725" s="81" t="s">
        <v>24</v>
      </c>
      <c r="B725" s="450">
        <f t="shared" ref="B725:J725" si="382">B735/B712</f>
        <v>24994.117647058825</v>
      </c>
      <c r="C725" s="130">
        <f t="shared" si="382"/>
        <v>29920.945945945954</v>
      </c>
      <c r="D725" s="130">
        <f t="shared" si="382"/>
        <v>27625.71428571429</v>
      </c>
      <c r="E725" s="130">
        <f t="shared" si="382"/>
        <v>26654.385964912282</v>
      </c>
      <c r="F725" s="130">
        <f t="shared" si="382"/>
        <v>28818.623481781382</v>
      </c>
      <c r="G725" s="130">
        <f t="shared" si="382"/>
        <v>28943.564356435643</v>
      </c>
      <c r="H725" s="130">
        <f t="shared" si="382"/>
        <v>28501.234567901236</v>
      </c>
      <c r="I725" s="130">
        <f t="shared" si="382"/>
        <v>28220.538116591928</v>
      </c>
      <c r="J725" s="314">
        <f t="shared" si="382"/>
        <v>28220.538116591932</v>
      </c>
    </row>
    <row r="726" spans="1:10" x14ac:dyDescent="0.25">
      <c r="A726" s="77" t="s">
        <v>25</v>
      </c>
      <c r="B726" s="451">
        <f t="shared" ref="B726:H726" si="383">B731*B719</f>
        <v>854105.44827586215</v>
      </c>
      <c r="C726" s="92">
        <f t="shared" si="383"/>
        <v>2418566.7000000007</v>
      </c>
      <c r="D726" s="92">
        <f t="shared" si="383"/>
        <v>1232578.6137931035</v>
      </c>
      <c r="E726" s="92">
        <f t="shared" si="383"/>
        <v>1068504.2586206896</v>
      </c>
      <c r="F726" s="92">
        <f t="shared" si="383"/>
        <v>2921293.9120689658</v>
      </c>
      <c r="G726" s="92">
        <f t="shared" si="383"/>
        <v>3603958.0603448278</v>
      </c>
      <c r="H726" s="92">
        <f t="shared" si="383"/>
        <v>2326789.9948275862</v>
      </c>
      <c r="I726" s="92">
        <f>SUM(B726:H726)</f>
        <v>14425796.987931035</v>
      </c>
      <c r="J726" s="300">
        <f t="shared" ref="J726:J731" si="384">+$I726/7</f>
        <v>2060828.141133005</v>
      </c>
    </row>
    <row r="727" spans="1:10" x14ac:dyDescent="0.25">
      <c r="A727" s="77" t="s">
        <v>26</v>
      </c>
      <c r="B727" s="451">
        <f t="shared" ref="B727:H727" si="385">B731*B720</f>
        <v>64057.908620689654</v>
      </c>
      <c r="C727" s="92">
        <f t="shared" si="385"/>
        <v>36644.950000000004</v>
      </c>
      <c r="D727" s="92">
        <f t="shared" si="385"/>
        <v>64872.558620689662</v>
      </c>
      <c r="E727" s="92">
        <f t="shared" si="385"/>
        <v>0</v>
      </c>
      <c r="F727" s="92">
        <f t="shared" si="385"/>
        <v>0</v>
      </c>
      <c r="G727" s="92">
        <f t="shared" si="385"/>
        <v>144158.3224137931</v>
      </c>
      <c r="H727" s="92">
        <f t="shared" si="385"/>
        <v>190720.49137931038</v>
      </c>
      <c r="I727" s="92">
        <f>SUM(B727:H727)</f>
        <v>500454.23103448283</v>
      </c>
      <c r="J727" s="300">
        <f t="shared" si="384"/>
        <v>71493.46157635469</v>
      </c>
    </row>
    <row r="728" spans="1:10" x14ac:dyDescent="0.25">
      <c r="A728" s="77" t="s">
        <v>27</v>
      </c>
      <c r="B728" s="451">
        <f t="shared" ref="B728:H728" si="386">B731*B721</f>
        <v>1217100.2637931034</v>
      </c>
      <c r="C728" s="92">
        <f t="shared" si="386"/>
        <v>1209283.3500000003</v>
      </c>
      <c r="D728" s="92">
        <f t="shared" si="386"/>
        <v>1946176.7586206896</v>
      </c>
      <c r="E728" s="92">
        <f t="shared" si="386"/>
        <v>1475553.4999999998</v>
      </c>
      <c r="F728" s="92">
        <f t="shared" si="386"/>
        <v>3040530.3982758624</v>
      </c>
      <c r="G728" s="92">
        <f t="shared" si="386"/>
        <v>1057161.0310344829</v>
      </c>
      <c r="H728" s="92">
        <f t="shared" si="386"/>
        <v>1296899.3413793105</v>
      </c>
      <c r="I728" s="92">
        <f>SUM(B728:H728)</f>
        <v>11242704.643103449</v>
      </c>
      <c r="J728" s="300">
        <f t="shared" si="384"/>
        <v>1606100.6633004926</v>
      </c>
    </row>
    <row r="729" spans="1:10" x14ac:dyDescent="0.25">
      <c r="A729" s="77" t="s">
        <v>28</v>
      </c>
      <c r="B729" s="451">
        <f t="shared" ref="B729:H729" si="387">B731*B722</f>
        <v>0</v>
      </c>
      <c r="C729" s="92">
        <f t="shared" si="387"/>
        <v>0</v>
      </c>
      <c r="D729" s="92">
        <f t="shared" si="387"/>
        <v>0</v>
      </c>
      <c r="E729" s="92">
        <f t="shared" si="387"/>
        <v>0</v>
      </c>
      <c r="F729" s="92">
        <f t="shared" si="387"/>
        <v>0</v>
      </c>
      <c r="G729" s="92">
        <f t="shared" si="387"/>
        <v>0</v>
      </c>
      <c r="H729" s="92">
        <f t="shared" si="387"/>
        <v>0</v>
      </c>
      <c r="I729" s="92">
        <f>SUM(B729:H729)</f>
        <v>0</v>
      </c>
      <c r="J729" s="300">
        <f t="shared" si="384"/>
        <v>0</v>
      </c>
    </row>
    <row r="730" spans="1:10" x14ac:dyDescent="0.25">
      <c r="A730" s="77" t="s">
        <v>29</v>
      </c>
      <c r="B730" s="451">
        <f t="shared" ref="B730:H730" si="388">B731*B723</f>
        <v>0</v>
      </c>
      <c r="C730" s="92">
        <f t="shared" si="388"/>
        <v>0</v>
      </c>
      <c r="D730" s="92">
        <f t="shared" si="388"/>
        <v>0</v>
      </c>
      <c r="E730" s="92">
        <f t="shared" si="388"/>
        <v>0</v>
      </c>
      <c r="F730" s="92">
        <f t="shared" si="388"/>
        <v>0</v>
      </c>
      <c r="G730" s="92">
        <f t="shared" si="388"/>
        <v>0</v>
      </c>
      <c r="H730" s="92">
        <f t="shared" si="388"/>
        <v>0</v>
      </c>
      <c r="I730" s="92">
        <f>SUM(B730:H730)</f>
        <v>0</v>
      </c>
      <c r="J730" s="300">
        <f t="shared" si="384"/>
        <v>0</v>
      </c>
    </row>
    <row r="731" spans="1:10" x14ac:dyDescent="0.25">
      <c r="A731" s="82" t="s">
        <v>30</v>
      </c>
      <c r="B731" s="237">
        <f>(2549400/1.16)-B732</f>
        <v>2135263.6206896552</v>
      </c>
      <c r="C731" s="237">
        <f>(4428300/1.16)-C732</f>
        <v>3664495.0000000005</v>
      </c>
      <c r="D731" s="237">
        <f>(3867600/1.16)-D732</f>
        <v>3243627.931034483</v>
      </c>
      <c r="E731" s="237">
        <f>(3038600/1.16)-E732</f>
        <v>2544057.7586206896</v>
      </c>
      <c r="F731" s="237">
        <f>(7118200/1.16)-F732</f>
        <v>5961824.3103448283</v>
      </c>
      <c r="G731" s="237">
        <f>(5846600/1.16)-G732</f>
        <v>4805277.4137931038</v>
      </c>
      <c r="H731" s="237">
        <f>(4617200/1.16)-H732</f>
        <v>3814409.8275862071</v>
      </c>
      <c r="I731" s="91">
        <f>SUM(I726:I730)</f>
        <v>26168955.862068966</v>
      </c>
      <c r="J731" s="361">
        <f t="shared" si="384"/>
        <v>3738422.2660098523</v>
      </c>
    </row>
    <row r="732" spans="1:10" x14ac:dyDescent="0.25">
      <c r="A732" s="77" t="s">
        <v>31</v>
      </c>
      <c r="B732" s="452">
        <f t="shared" ref="B732:H732" si="389">2155*B713</f>
        <v>62495</v>
      </c>
      <c r="C732" s="94">
        <f t="shared" si="389"/>
        <v>153005</v>
      </c>
      <c r="D732" s="94">
        <f t="shared" si="389"/>
        <v>90510</v>
      </c>
      <c r="E732" s="94">
        <f t="shared" si="389"/>
        <v>75425</v>
      </c>
      <c r="F732" s="94">
        <f t="shared" si="389"/>
        <v>174555</v>
      </c>
      <c r="G732" s="94">
        <f t="shared" si="389"/>
        <v>234895</v>
      </c>
      <c r="H732" s="94">
        <f t="shared" si="389"/>
        <v>165935</v>
      </c>
      <c r="I732" s="94">
        <f>I713*2155</f>
        <v>956820</v>
      </c>
      <c r="J732" s="302">
        <f>2155*J713</f>
        <v>136688.57142857142</v>
      </c>
    </row>
    <row r="733" spans="1:10" x14ac:dyDescent="0.25">
      <c r="A733" s="83" t="s">
        <v>32</v>
      </c>
      <c r="B733" s="453">
        <f t="shared" ref="B733:J733" si="390">B731+B732</f>
        <v>2197758.6206896552</v>
      </c>
      <c r="C733" s="39">
        <f t="shared" si="390"/>
        <v>3817500.0000000005</v>
      </c>
      <c r="D733" s="39">
        <f t="shared" si="390"/>
        <v>3334137.931034483</v>
      </c>
      <c r="E733" s="39">
        <f t="shared" si="390"/>
        <v>2619482.7586206896</v>
      </c>
      <c r="F733" s="39">
        <f t="shared" si="390"/>
        <v>6136379.3103448283</v>
      </c>
      <c r="G733" s="39">
        <f t="shared" si="390"/>
        <v>5040172.4137931038</v>
      </c>
      <c r="H733" s="39">
        <f t="shared" si="390"/>
        <v>3980344.8275862071</v>
      </c>
      <c r="I733" s="39">
        <f t="shared" si="390"/>
        <v>27125775.862068966</v>
      </c>
      <c r="J733" s="364">
        <f t="shared" si="390"/>
        <v>3875110.8374384237</v>
      </c>
    </row>
    <row r="734" spans="1:10" x14ac:dyDescent="0.25">
      <c r="A734" s="77" t="s">
        <v>33</v>
      </c>
      <c r="B734" s="454">
        <f t="shared" ref="B734:J734" si="391">B733*16%</f>
        <v>351641.37931034481</v>
      </c>
      <c r="C734" s="41">
        <f t="shared" si="391"/>
        <v>610800.00000000012</v>
      </c>
      <c r="D734" s="41">
        <f t="shared" si="391"/>
        <v>533462.06896551733</v>
      </c>
      <c r="E734" s="41">
        <f t="shared" si="391"/>
        <v>419117.24137931038</v>
      </c>
      <c r="F734" s="41">
        <f t="shared" si="391"/>
        <v>981820.68965517252</v>
      </c>
      <c r="G734" s="41">
        <f t="shared" si="391"/>
        <v>806427.58620689658</v>
      </c>
      <c r="H734" s="41">
        <f t="shared" si="391"/>
        <v>636855.17241379316</v>
      </c>
      <c r="I734" s="41">
        <f t="shared" si="391"/>
        <v>4340124.1379310349</v>
      </c>
      <c r="J734" s="492">
        <f t="shared" si="391"/>
        <v>620017.73399014783</v>
      </c>
    </row>
    <row r="735" spans="1:10" x14ac:dyDescent="0.25">
      <c r="A735" s="142" t="s">
        <v>34</v>
      </c>
      <c r="B735" s="438">
        <f t="shared" ref="B735:I735" si="392">B733+B734</f>
        <v>2549400</v>
      </c>
      <c r="C735" s="144">
        <f t="shared" si="392"/>
        <v>4428300.0000000009</v>
      </c>
      <c r="D735" s="144">
        <f t="shared" si="392"/>
        <v>3867600.0000000005</v>
      </c>
      <c r="E735" s="144">
        <f t="shared" si="392"/>
        <v>3038600</v>
      </c>
      <c r="F735" s="144">
        <f t="shared" si="392"/>
        <v>7118200.0000000009</v>
      </c>
      <c r="G735" s="144">
        <f t="shared" si="392"/>
        <v>5846600</v>
      </c>
      <c r="H735" s="144">
        <f t="shared" si="392"/>
        <v>4617200</v>
      </c>
      <c r="I735" s="144">
        <f t="shared" si="392"/>
        <v>31465900</v>
      </c>
      <c r="J735" s="441">
        <f>+$I735/7</f>
        <v>4495128.5714285718</v>
      </c>
    </row>
    <row r="736" spans="1:10" x14ac:dyDescent="0.25">
      <c r="I736" s="89"/>
    </row>
    <row r="737" spans="1:10" ht="26.25" x14ac:dyDescent="0.25">
      <c r="A737" s="85"/>
      <c r="B737" s="1002" t="s">
        <v>368</v>
      </c>
      <c r="C737" s="1002"/>
      <c r="D737" s="1002"/>
      <c r="E737" s="1002"/>
      <c r="F737" s="1002"/>
      <c r="G737" s="1002"/>
      <c r="H737" s="1002"/>
      <c r="I737" s="1002"/>
    </row>
    <row r="738" spans="1:10" ht="15.75" x14ac:dyDescent="0.25">
      <c r="A738" s="72" t="s">
        <v>2</v>
      </c>
      <c r="B738" s="491" t="s">
        <v>147</v>
      </c>
      <c r="C738" s="232" t="s">
        <v>148</v>
      </c>
      <c r="D738" s="232" t="s">
        <v>149</v>
      </c>
      <c r="E738" s="232" t="s">
        <v>150</v>
      </c>
      <c r="F738" s="232" t="s">
        <v>151</v>
      </c>
      <c r="G738" s="232" t="s">
        <v>152</v>
      </c>
      <c r="H738" s="232" t="s">
        <v>153</v>
      </c>
      <c r="I738" s="153" t="s">
        <v>10</v>
      </c>
      <c r="J738" s="490" t="s">
        <v>77</v>
      </c>
    </row>
    <row r="739" spans="1:10" x14ac:dyDescent="0.25">
      <c r="A739" s="430" t="s">
        <v>11</v>
      </c>
      <c r="B739" s="433">
        <f>71+46+14</f>
        <v>131</v>
      </c>
      <c r="C739" s="75">
        <f>77+24+12</f>
        <v>113</v>
      </c>
      <c r="D739" s="75">
        <f>81+41+8</f>
        <v>130</v>
      </c>
      <c r="E739" s="75">
        <f>73+34+13</f>
        <v>120</v>
      </c>
      <c r="F739" s="75">
        <f>157+73+21</f>
        <v>251</v>
      </c>
      <c r="G739" s="75">
        <f>103+79+28</f>
        <v>210</v>
      </c>
      <c r="H739" s="75">
        <f>125+54+23</f>
        <v>202</v>
      </c>
      <c r="I739" s="467">
        <f t="shared" ref="I739:I744" si="393">SUM(B739:H739)</f>
        <v>1157</v>
      </c>
      <c r="J739" s="468">
        <f>+$I739/7</f>
        <v>165.28571428571428</v>
      </c>
    </row>
    <row r="740" spans="1:10" x14ac:dyDescent="0.25">
      <c r="A740" s="77" t="s">
        <v>12</v>
      </c>
      <c r="B740" s="233">
        <v>79</v>
      </c>
      <c r="C740" s="13">
        <v>42</v>
      </c>
      <c r="D740" s="13">
        <v>56</v>
      </c>
      <c r="E740" s="13">
        <v>50</v>
      </c>
      <c r="F740" s="13">
        <v>90</v>
      </c>
      <c r="G740" s="13">
        <v>115</v>
      </c>
      <c r="H740" s="13">
        <v>112</v>
      </c>
      <c r="I740" s="11">
        <f t="shared" si="393"/>
        <v>544</v>
      </c>
      <c r="J740" s="470">
        <f t="shared" ref="J740:J745" si="394">+$I740/7</f>
        <v>77.714285714285708</v>
      </c>
    </row>
    <row r="741" spans="1:10" x14ac:dyDescent="0.25">
      <c r="A741" s="77" t="s">
        <v>13</v>
      </c>
      <c r="B741" s="233">
        <v>2</v>
      </c>
      <c r="C741" s="13">
        <v>3</v>
      </c>
      <c r="D741" s="13">
        <v>3</v>
      </c>
      <c r="E741" s="13">
        <v>3</v>
      </c>
      <c r="F741" s="13">
        <v>3</v>
      </c>
      <c r="G741" s="13">
        <v>5</v>
      </c>
      <c r="H741" s="13">
        <v>9</v>
      </c>
      <c r="I741" s="11">
        <f t="shared" si="393"/>
        <v>28</v>
      </c>
      <c r="J741" s="470">
        <f t="shared" si="394"/>
        <v>4</v>
      </c>
    </row>
    <row r="742" spans="1:10" x14ac:dyDescent="0.25">
      <c r="A742" s="77" t="s">
        <v>14</v>
      </c>
      <c r="B742" s="233">
        <v>25</v>
      </c>
      <c r="C742" s="13">
        <v>44</v>
      </c>
      <c r="D742" s="13">
        <v>55</v>
      </c>
      <c r="E742" s="13">
        <v>54</v>
      </c>
      <c r="F742" s="13">
        <v>114</v>
      </c>
      <c r="G742" s="13">
        <v>44</v>
      </c>
      <c r="H742" s="13">
        <v>41</v>
      </c>
      <c r="I742" s="11">
        <f t="shared" si="393"/>
        <v>377</v>
      </c>
      <c r="J742" s="470">
        <f t="shared" si="394"/>
        <v>53.857142857142854</v>
      </c>
    </row>
    <row r="743" spans="1:10" x14ac:dyDescent="0.25">
      <c r="A743" s="77" t="s">
        <v>15</v>
      </c>
      <c r="B743" s="233">
        <v>0</v>
      </c>
      <c r="C743" s="13">
        <v>0</v>
      </c>
      <c r="D743" s="13">
        <v>0</v>
      </c>
      <c r="E743" s="13">
        <v>0</v>
      </c>
      <c r="F743" s="13">
        <v>0</v>
      </c>
      <c r="G743" s="13">
        <v>0</v>
      </c>
      <c r="H743" s="13">
        <v>0</v>
      </c>
      <c r="I743" s="11">
        <f t="shared" si="393"/>
        <v>0</v>
      </c>
      <c r="J743" s="470">
        <f t="shared" si="394"/>
        <v>0</v>
      </c>
    </row>
    <row r="744" spans="1:10" x14ac:dyDescent="0.25">
      <c r="A744" s="77" t="s">
        <v>16</v>
      </c>
      <c r="B744" s="233">
        <v>0</v>
      </c>
      <c r="C744" s="13">
        <v>0</v>
      </c>
      <c r="D744" s="13">
        <v>0</v>
      </c>
      <c r="E744" s="13">
        <v>0</v>
      </c>
      <c r="F744" s="13">
        <v>0</v>
      </c>
      <c r="G744" s="13">
        <v>0</v>
      </c>
      <c r="H744" s="13">
        <v>0</v>
      </c>
      <c r="I744" s="11">
        <f t="shared" si="393"/>
        <v>0</v>
      </c>
      <c r="J744" s="470">
        <f t="shared" si="394"/>
        <v>0</v>
      </c>
    </row>
    <row r="745" spans="1:10" x14ac:dyDescent="0.25">
      <c r="A745" s="79" t="s">
        <v>17</v>
      </c>
      <c r="B745" s="102">
        <f t="shared" ref="B745:I745" si="395">SUM(B740:B744)</f>
        <v>106</v>
      </c>
      <c r="C745" s="102">
        <f t="shared" si="395"/>
        <v>89</v>
      </c>
      <c r="D745" s="102">
        <f t="shared" si="395"/>
        <v>114</v>
      </c>
      <c r="E745" s="102">
        <f t="shared" si="395"/>
        <v>107</v>
      </c>
      <c r="F745" s="102">
        <f t="shared" si="395"/>
        <v>207</v>
      </c>
      <c r="G745" s="79">
        <f t="shared" si="395"/>
        <v>164</v>
      </c>
      <c r="H745" s="79">
        <f t="shared" si="395"/>
        <v>162</v>
      </c>
      <c r="I745" s="472">
        <f t="shared" si="395"/>
        <v>949</v>
      </c>
      <c r="J745" s="473">
        <f t="shared" si="394"/>
        <v>135.57142857142858</v>
      </c>
    </row>
    <row r="746" spans="1:10" x14ac:dyDescent="0.25">
      <c r="A746" s="77" t="s">
        <v>18</v>
      </c>
      <c r="B746" s="234">
        <v>0.77</v>
      </c>
      <c r="C746" s="235">
        <v>0.56000000000000005</v>
      </c>
      <c r="D746" s="235">
        <v>0.57999999999999996</v>
      </c>
      <c r="E746" s="236">
        <v>0.54</v>
      </c>
      <c r="F746" s="236">
        <v>0.47</v>
      </c>
      <c r="G746" s="236">
        <v>0.74</v>
      </c>
      <c r="H746" s="236">
        <v>0.7</v>
      </c>
      <c r="I746" s="18">
        <f>I753/I758</f>
        <v>0.62469393853462307</v>
      </c>
      <c r="J746" s="475">
        <f>J753/J758</f>
        <v>0.62469393853462318</v>
      </c>
    </row>
    <row r="747" spans="1:10" x14ac:dyDescent="0.25">
      <c r="A747" s="77" t="s">
        <v>19</v>
      </c>
      <c r="B747" s="234">
        <v>0</v>
      </c>
      <c r="C747" s="235">
        <v>0.03</v>
      </c>
      <c r="D747" s="235">
        <v>0.04</v>
      </c>
      <c r="E747" s="236">
        <v>0.02</v>
      </c>
      <c r="F747" s="236">
        <v>0.01</v>
      </c>
      <c r="G747" s="236">
        <v>0.03</v>
      </c>
      <c r="H747" s="236">
        <v>0.09</v>
      </c>
      <c r="I747" s="18">
        <f>I754/I758</f>
        <v>3.3290748658367758E-2</v>
      </c>
      <c r="J747" s="475">
        <f>J754/J758</f>
        <v>3.3290748658367765E-2</v>
      </c>
    </row>
    <row r="748" spans="1:10" x14ac:dyDescent="0.25">
      <c r="A748" s="77" t="s">
        <v>20</v>
      </c>
      <c r="B748" s="234">
        <v>0.23</v>
      </c>
      <c r="C748" s="235">
        <v>0.41</v>
      </c>
      <c r="D748" s="235">
        <v>0.38</v>
      </c>
      <c r="E748" s="236">
        <v>0.44</v>
      </c>
      <c r="F748" s="236">
        <v>0.52</v>
      </c>
      <c r="G748" s="236">
        <v>0.23</v>
      </c>
      <c r="H748" s="236">
        <v>0.21</v>
      </c>
      <c r="I748" s="18">
        <f>I755/I758</f>
        <v>0.34201531280700898</v>
      </c>
      <c r="J748" s="475">
        <f>J755/J758</f>
        <v>0.34201531280700898</v>
      </c>
    </row>
    <row r="749" spans="1:10" x14ac:dyDescent="0.25">
      <c r="A749" s="77" t="s">
        <v>21</v>
      </c>
      <c r="B749" s="234">
        <v>0</v>
      </c>
      <c r="C749" s="235">
        <v>0</v>
      </c>
      <c r="D749" s="235">
        <v>0</v>
      </c>
      <c r="E749" s="236">
        <v>0</v>
      </c>
      <c r="F749" s="236">
        <v>0</v>
      </c>
      <c r="G749" s="236">
        <v>0</v>
      </c>
      <c r="H749" s="236">
        <v>0</v>
      </c>
      <c r="I749" s="18">
        <f>I756/I758</f>
        <v>0</v>
      </c>
      <c r="J749" s="475">
        <f>J756/J758</f>
        <v>0</v>
      </c>
    </row>
    <row r="750" spans="1:10" x14ac:dyDescent="0.25">
      <c r="A750" s="77" t="s">
        <v>22</v>
      </c>
      <c r="B750" s="234">
        <v>0</v>
      </c>
      <c r="C750" s="235">
        <v>0</v>
      </c>
      <c r="D750" s="235">
        <v>0</v>
      </c>
      <c r="E750" s="236">
        <v>0</v>
      </c>
      <c r="F750" s="236">
        <v>0</v>
      </c>
      <c r="G750" s="236">
        <v>0</v>
      </c>
      <c r="H750" s="236">
        <v>0</v>
      </c>
      <c r="I750" s="18">
        <f>I757/I758</f>
        <v>0</v>
      </c>
      <c r="J750" s="475">
        <f>J757/J758</f>
        <v>0</v>
      </c>
    </row>
    <row r="751" spans="1:10" x14ac:dyDescent="0.25">
      <c r="A751" s="81" t="s">
        <v>23</v>
      </c>
      <c r="B751" s="450">
        <f t="shared" ref="B751:J751" si="396">B762/B745</f>
        <v>34943.396226415098</v>
      </c>
      <c r="C751" s="130">
        <f t="shared" si="396"/>
        <v>33524.719101123599</v>
      </c>
      <c r="D751" s="130">
        <f t="shared" si="396"/>
        <v>32355.26315789474</v>
      </c>
      <c r="E751" s="130">
        <f t="shared" si="396"/>
        <v>29513.084112149532</v>
      </c>
      <c r="F751" s="130">
        <f t="shared" si="396"/>
        <v>32266.666666666672</v>
      </c>
      <c r="G751" s="130">
        <f t="shared" si="396"/>
        <v>37493.902439024394</v>
      </c>
      <c r="H751" s="130">
        <f t="shared" si="396"/>
        <v>35724.691358024691</v>
      </c>
      <c r="I751" s="130">
        <f t="shared" si="396"/>
        <v>33877.449947312969</v>
      </c>
      <c r="J751" s="314">
        <f t="shared" si="396"/>
        <v>33877.449947312962</v>
      </c>
    </row>
    <row r="752" spans="1:10" x14ac:dyDescent="0.25">
      <c r="A752" s="81" t="s">
        <v>24</v>
      </c>
      <c r="B752" s="450">
        <f t="shared" ref="B752:J752" si="397">B762/B739</f>
        <v>28274.809160305344</v>
      </c>
      <c r="C752" s="130">
        <f t="shared" si="397"/>
        <v>26404.424778761066</v>
      </c>
      <c r="D752" s="130">
        <f t="shared" si="397"/>
        <v>28373.076923076926</v>
      </c>
      <c r="E752" s="130">
        <f t="shared" si="397"/>
        <v>26315.833333333332</v>
      </c>
      <c r="F752" s="130">
        <f t="shared" si="397"/>
        <v>26610.358565737057</v>
      </c>
      <c r="G752" s="130">
        <f t="shared" si="397"/>
        <v>29280.952380952385</v>
      </c>
      <c r="H752" s="130">
        <f t="shared" si="397"/>
        <v>28650.495049504949</v>
      </c>
      <c r="I752" s="130">
        <f t="shared" si="397"/>
        <v>27787.121866897156</v>
      </c>
      <c r="J752" s="314">
        <f t="shared" si="397"/>
        <v>27787.121866897152</v>
      </c>
    </row>
    <row r="753" spans="1:10" x14ac:dyDescent="0.25">
      <c r="A753" s="77" t="s">
        <v>25</v>
      </c>
      <c r="B753" s="451">
        <f t="shared" ref="B753:H753" si="398">B758*B746</f>
        <v>2327601.0051724138</v>
      </c>
      <c r="C753" s="92">
        <f t="shared" si="398"/>
        <v>1389721.2965517244</v>
      </c>
      <c r="D753" s="92">
        <f t="shared" si="398"/>
        <v>1774255.6</v>
      </c>
      <c r="E753" s="92">
        <f t="shared" si="398"/>
        <v>1411871.8965517243</v>
      </c>
      <c r="F753" s="92">
        <f t="shared" si="398"/>
        <v>2615071.0862068967</v>
      </c>
      <c r="G753" s="92">
        <f t="shared" si="398"/>
        <v>3739247.431034483</v>
      </c>
      <c r="H753" s="92">
        <f t="shared" si="398"/>
        <v>3323444.5517241377</v>
      </c>
      <c r="I753" s="92">
        <f>SUM(B753:H753)</f>
        <v>16581212.867241381</v>
      </c>
      <c r="J753" s="300">
        <f t="shared" ref="J753:J758" si="399">+$I753/7</f>
        <v>2368744.6953201974</v>
      </c>
    </row>
    <row r="754" spans="1:10" x14ac:dyDescent="0.25">
      <c r="A754" s="77" t="s">
        <v>26</v>
      </c>
      <c r="B754" s="451">
        <f t="shared" ref="B754:H754" si="400">B758*B747</f>
        <v>0</v>
      </c>
      <c r="C754" s="92">
        <f t="shared" si="400"/>
        <v>74449.355172413794</v>
      </c>
      <c r="D754" s="92">
        <f t="shared" si="400"/>
        <v>122362.45517241381</v>
      </c>
      <c r="E754" s="92">
        <f t="shared" si="400"/>
        <v>52291.551724137935</v>
      </c>
      <c r="F754" s="92">
        <f t="shared" si="400"/>
        <v>55639.810344827594</v>
      </c>
      <c r="G754" s="92">
        <f t="shared" si="400"/>
        <v>151591.11206896554</v>
      </c>
      <c r="H754" s="92">
        <f t="shared" si="400"/>
        <v>427300.01379310346</v>
      </c>
      <c r="I754" s="92">
        <f>SUM(B754:H754)</f>
        <v>883634.29827586212</v>
      </c>
      <c r="J754" s="300">
        <f t="shared" si="399"/>
        <v>126233.47118226602</v>
      </c>
    </row>
    <row r="755" spans="1:10" x14ac:dyDescent="0.25">
      <c r="A755" s="77" t="s">
        <v>27</v>
      </c>
      <c r="B755" s="451">
        <f t="shared" ref="B755:H755" si="401">B758*B748</f>
        <v>695257.44310344837</v>
      </c>
      <c r="C755" s="92">
        <f t="shared" si="401"/>
        <v>1017474.5206896552</v>
      </c>
      <c r="D755" s="92">
        <f t="shared" si="401"/>
        <v>1162443.3241379312</v>
      </c>
      <c r="E755" s="92">
        <f t="shared" si="401"/>
        <v>1150414.1379310347</v>
      </c>
      <c r="F755" s="92">
        <f t="shared" si="401"/>
        <v>2893270.1379310349</v>
      </c>
      <c r="G755" s="92">
        <f t="shared" si="401"/>
        <v>1162198.5258620691</v>
      </c>
      <c r="H755" s="92">
        <f t="shared" si="401"/>
        <v>997033.36551724141</v>
      </c>
      <c r="I755" s="92">
        <f>SUM(B755:H755)</f>
        <v>9078091.455172414</v>
      </c>
      <c r="J755" s="300">
        <f t="shared" si="399"/>
        <v>1296870.2078817734</v>
      </c>
    </row>
    <row r="756" spans="1:10" x14ac:dyDescent="0.25">
      <c r="A756" s="77" t="s">
        <v>28</v>
      </c>
      <c r="B756" s="451">
        <f t="shared" ref="B756:H756" si="402">B758*B749</f>
        <v>0</v>
      </c>
      <c r="C756" s="92">
        <f t="shared" si="402"/>
        <v>0</v>
      </c>
      <c r="D756" s="92">
        <f t="shared" si="402"/>
        <v>0</v>
      </c>
      <c r="E756" s="92">
        <f t="shared" si="402"/>
        <v>0</v>
      </c>
      <c r="F756" s="92">
        <f t="shared" si="402"/>
        <v>0</v>
      </c>
      <c r="G756" s="92">
        <f t="shared" si="402"/>
        <v>0</v>
      </c>
      <c r="H756" s="92">
        <f t="shared" si="402"/>
        <v>0</v>
      </c>
      <c r="I756" s="92">
        <f>SUM(B756:H756)</f>
        <v>0</v>
      </c>
      <c r="J756" s="300">
        <f t="shared" si="399"/>
        <v>0</v>
      </c>
    </row>
    <row r="757" spans="1:10" x14ac:dyDescent="0.25">
      <c r="A757" s="77" t="s">
        <v>29</v>
      </c>
      <c r="B757" s="451">
        <f t="shared" ref="B757:H757" si="403">B758*B750</f>
        <v>0</v>
      </c>
      <c r="C757" s="92">
        <f t="shared" si="403"/>
        <v>0</v>
      </c>
      <c r="D757" s="92">
        <f t="shared" si="403"/>
        <v>0</v>
      </c>
      <c r="E757" s="92">
        <f t="shared" si="403"/>
        <v>0</v>
      </c>
      <c r="F757" s="92">
        <f t="shared" si="403"/>
        <v>0</v>
      </c>
      <c r="G757" s="92">
        <f t="shared" si="403"/>
        <v>0</v>
      </c>
      <c r="H757" s="92">
        <f t="shared" si="403"/>
        <v>0</v>
      </c>
      <c r="I757" s="92">
        <f>SUM(B757:H757)</f>
        <v>0</v>
      </c>
      <c r="J757" s="300">
        <f t="shared" si="399"/>
        <v>0</v>
      </c>
    </row>
    <row r="758" spans="1:10" x14ac:dyDescent="0.25">
      <c r="A758" s="82" t="s">
        <v>30</v>
      </c>
      <c r="B758" s="237">
        <f>(3704000/1.16)-B759</f>
        <v>3022858.4482758623</v>
      </c>
      <c r="C758" s="237">
        <f>(2983700/1.16)-C759</f>
        <v>2481645.1724137934</v>
      </c>
      <c r="D758" s="237">
        <f>(3688500/1.16)-D759</f>
        <v>3059061.3793103453</v>
      </c>
      <c r="E758" s="237">
        <f>(3157900/1.16)-E759</f>
        <v>2614577.5862068967</v>
      </c>
      <c r="F758" s="237">
        <f>(6679200/1.16)-F759</f>
        <v>5563981.0344827594</v>
      </c>
      <c r="G758" s="237">
        <f>(6149000/1.16)-G759</f>
        <v>5053037.0689655179</v>
      </c>
      <c r="H758" s="237">
        <f>(5787400/1.16)-H759</f>
        <v>4747777.931034483</v>
      </c>
      <c r="I758" s="91">
        <f>SUM(I753:I757)</f>
        <v>26542938.62068966</v>
      </c>
      <c r="J758" s="361">
        <f t="shared" si="399"/>
        <v>3791848.374384237</v>
      </c>
    </row>
    <row r="759" spans="1:10" x14ac:dyDescent="0.25">
      <c r="A759" s="77" t="s">
        <v>31</v>
      </c>
      <c r="B759" s="452">
        <f t="shared" ref="B759:H759" si="404">2155*B740</f>
        <v>170245</v>
      </c>
      <c r="C759" s="94">
        <f t="shared" si="404"/>
        <v>90510</v>
      </c>
      <c r="D759" s="94">
        <f t="shared" si="404"/>
        <v>120680</v>
      </c>
      <c r="E759" s="94">
        <f t="shared" si="404"/>
        <v>107750</v>
      </c>
      <c r="F759" s="94">
        <f t="shared" si="404"/>
        <v>193950</v>
      </c>
      <c r="G759" s="94">
        <f t="shared" si="404"/>
        <v>247825</v>
      </c>
      <c r="H759" s="94">
        <f t="shared" si="404"/>
        <v>241360</v>
      </c>
      <c r="I759" s="94">
        <f>I740*2155</f>
        <v>1172320</v>
      </c>
      <c r="J759" s="302">
        <f>2155*J740</f>
        <v>167474.28571428571</v>
      </c>
    </row>
    <row r="760" spans="1:10" x14ac:dyDescent="0.25">
      <c r="A760" s="83" t="s">
        <v>32</v>
      </c>
      <c r="B760" s="453">
        <f t="shared" ref="B760:J760" si="405">B758+B759</f>
        <v>3193103.4482758623</v>
      </c>
      <c r="C760" s="39">
        <f t="shared" si="405"/>
        <v>2572155.1724137934</v>
      </c>
      <c r="D760" s="39">
        <f t="shared" si="405"/>
        <v>3179741.3793103453</v>
      </c>
      <c r="E760" s="39">
        <f t="shared" si="405"/>
        <v>2722327.5862068967</v>
      </c>
      <c r="F760" s="39">
        <f t="shared" si="405"/>
        <v>5757931.0344827594</v>
      </c>
      <c r="G760" s="39">
        <f t="shared" si="405"/>
        <v>5300862.0689655179</v>
      </c>
      <c r="H760" s="39">
        <f t="shared" si="405"/>
        <v>4989137.931034483</v>
      </c>
      <c r="I760" s="39">
        <f t="shared" si="405"/>
        <v>27715258.62068966</v>
      </c>
      <c r="J760" s="364">
        <f t="shared" si="405"/>
        <v>3959322.6600985229</v>
      </c>
    </row>
    <row r="761" spans="1:10" x14ac:dyDescent="0.25">
      <c r="A761" s="77" t="s">
        <v>33</v>
      </c>
      <c r="B761" s="454">
        <f t="shared" ref="B761:J761" si="406">B760*16%</f>
        <v>510896.55172413797</v>
      </c>
      <c r="C761" s="41">
        <f t="shared" si="406"/>
        <v>411544.82758620696</v>
      </c>
      <c r="D761" s="41">
        <f t="shared" si="406"/>
        <v>508758.62068965525</v>
      </c>
      <c r="E761" s="41">
        <f t="shared" si="406"/>
        <v>435572.41379310348</v>
      </c>
      <c r="F761" s="41">
        <f t="shared" si="406"/>
        <v>921268.96551724151</v>
      </c>
      <c r="G761" s="41">
        <f t="shared" si="406"/>
        <v>848137.9310344829</v>
      </c>
      <c r="H761" s="41">
        <f t="shared" si="406"/>
        <v>798262.06896551733</v>
      </c>
      <c r="I761" s="41">
        <f t="shared" si="406"/>
        <v>4434441.3793103453</v>
      </c>
      <c r="J761" s="492">
        <f t="shared" si="406"/>
        <v>633491.62561576371</v>
      </c>
    </row>
    <row r="762" spans="1:10" x14ac:dyDescent="0.25">
      <c r="A762" s="142" t="s">
        <v>34</v>
      </c>
      <c r="B762" s="438">
        <f t="shared" ref="B762:I762" si="407">B760+B761</f>
        <v>3704000</v>
      </c>
      <c r="C762" s="144">
        <f t="shared" si="407"/>
        <v>2983700.0000000005</v>
      </c>
      <c r="D762" s="144">
        <f t="shared" si="407"/>
        <v>3688500.0000000005</v>
      </c>
      <c r="E762" s="144">
        <f t="shared" si="407"/>
        <v>3157900</v>
      </c>
      <c r="F762" s="144">
        <f t="shared" si="407"/>
        <v>6679200.0000000009</v>
      </c>
      <c r="G762" s="144">
        <f t="shared" si="407"/>
        <v>6149000.0000000009</v>
      </c>
      <c r="H762" s="144">
        <f t="shared" si="407"/>
        <v>5787400</v>
      </c>
      <c r="I762" s="144">
        <f t="shared" si="407"/>
        <v>32149700.000000007</v>
      </c>
      <c r="J762" s="441">
        <f>+$I762/7</f>
        <v>4592814.2857142864</v>
      </c>
    </row>
    <row r="763" spans="1:10" x14ac:dyDescent="0.25">
      <c r="I763" s="89"/>
    </row>
    <row r="764" spans="1:10" ht="26.25" x14ac:dyDescent="0.25">
      <c r="A764" s="85"/>
      <c r="B764" s="1002" t="s">
        <v>369</v>
      </c>
      <c r="C764" s="1002"/>
      <c r="D764" s="1002"/>
      <c r="E764" s="1002"/>
      <c r="F764" s="1002"/>
      <c r="G764" s="1002"/>
      <c r="H764" s="1002"/>
      <c r="I764" s="1002"/>
    </row>
    <row r="765" spans="1:10" ht="15.75" x14ac:dyDescent="0.25">
      <c r="A765" s="72" t="s">
        <v>2</v>
      </c>
      <c r="B765" s="491" t="s">
        <v>155</v>
      </c>
      <c r="C765" s="232" t="s">
        <v>156</v>
      </c>
      <c r="D765" s="232" t="s">
        <v>157</v>
      </c>
      <c r="E765" s="232" t="s">
        <v>158</v>
      </c>
      <c r="F765" s="232" t="s">
        <v>159</v>
      </c>
      <c r="G765" s="232" t="s">
        <v>160</v>
      </c>
      <c r="H765" s="232" t="s">
        <v>161</v>
      </c>
      <c r="I765" s="153" t="s">
        <v>10</v>
      </c>
      <c r="J765" s="490" t="s">
        <v>77</v>
      </c>
    </row>
    <row r="766" spans="1:10" x14ac:dyDescent="0.25">
      <c r="A766" s="430" t="s">
        <v>11</v>
      </c>
      <c r="B766" s="433">
        <f>57+28+5</f>
        <v>90</v>
      </c>
      <c r="C766" s="75">
        <f>84+36+14</f>
        <v>134</v>
      </c>
      <c r="D766" s="75">
        <f>78+39+14</f>
        <v>131</v>
      </c>
      <c r="E766" s="75">
        <f>77+44+16</f>
        <v>137</v>
      </c>
      <c r="F766" s="75">
        <f>142+100+31</f>
        <v>273</v>
      </c>
      <c r="G766" s="75">
        <f>138+61+22</f>
        <v>221</v>
      </c>
      <c r="H766" s="75">
        <f>97+58+12</f>
        <v>167</v>
      </c>
      <c r="I766" s="467">
        <f t="shared" ref="I766:I771" si="408">SUM(B766:H766)</f>
        <v>1153</v>
      </c>
      <c r="J766" s="468">
        <f>+$I766/7</f>
        <v>164.71428571428572</v>
      </c>
    </row>
    <row r="767" spans="1:10" x14ac:dyDescent="0.25">
      <c r="A767" s="77" t="s">
        <v>12</v>
      </c>
      <c r="B767" s="233">
        <v>33</v>
      </c>
      <c r="C767" s="13">
        <v>56</v>
      </c>
      <c r="D767" s="13">
        <v>54</v>
      </c>
      <c r="E767" s="13">
        <v>47</v>
      </c>
      <c r="F767" s="13">
        <v>96</v>
      </c>
      <c r="G767" s="13">
        <v>100</v>
      </c>
      <c r="H767" s="13">
        <v>108</v>
      </c>
      <c r="I767" s="11">
        <f t="shared" si="408"/>
        <v>494</v>
      </c>
      <c r="J767" s="470">
        <f t="shared" ref="J767:J772" si="409">+$I767/7</f>
        <v>70.571428571428569</v>
      </c>
    </row>
    <row r="768" spans="1:10" x14ac:dyDescent="0.25">
      <c r="A768" s="77" t="s">
        <v>13</v>
      </c>
      <c r="B768" s="233">
        <v>2</v>
      </c>
      <c r="C768" s="13">
        <v>1</v>
      </c>
      <c r="D768" s="13">
        <v>2</v>
      </c>
      <c r="E768" s="13">
        <v>0</v>
      </c>
      <c r="F768" s="13">
        <v>4</v>
      </c>
      <c r="G768" s="13">
        <v>2</v>
      </c>
      <c r="H768" s="13">
        <v>1</v>
      </c>
      <c r="I768" s="11">
        <f t="shared" si="408"/>
        <v>12</v>
      </c>
      <c r="J768" s="470">
        <f t="shared" si="409"/>
        <v>1.7142857142857142</v>
      </c>
    </row>
    <row r="769" spans="1:10" x14ac:dyDescent="0.25">
      <c r="A769" s="77" t="s">
        <v>14</v>
      </c>
      <c r="B769" s="233">
        <v>38</v>
      </c>
      <c r="C769" s="13">
        <v>52</v>
      </c>
      <c r="D769" s="13">
        <v>50</v>
      </c>
      <c r="E769" s="13">
        <v>71</v>
      </c>
      <c r="F769" s="13">
        <v>121</v>
      </c>
      <c r="G769" s="13">
        <v>83</v>
      </c>
      <c r="H769" s="13">
        <v>31</v>
      </c>
      <c r="I769" s="11">
        <f t="shared" si="408"/>
        <v>446</v>
      </c>
      <c r="J769" s="470">
        <f t="shared" si="409"/>
        <v>63.714285714285715</v>
      </c>
    </row>
    <row r="770" spans="1:10" x14ac:dyDescent="0.25">
      <c r="A770" s="77" t="s">
        <v>15</v>
      </c>
      <c r="B770" s="233">
        <v>0</v>
      </c>
      <c r="C770" s="13">
        <v>0</v>
      </c>
      <c r="D770" s="13">
        <v>0</v>
      </c>
      <c r="E770" s="13">
        <v>1</v>
      </c>
      <c r="F770" s="13">
        <v>0</v>
      </c>
      <c r="G770" s="13">
        <v>0</v>
      </c>
      <c r="H770" s="13">
        <v>0</v>
      </c>
      <c r="I770" s="11">
        <f t="shared" si="408"/>
        <v>1</v>
      </c>
      <c r="J770" s="470">
        <f t="shared" si="409"/>
        <v>0.14285714285714285</v>
      </c>
    </row>
    <row r="771" spans="1:10" x14ac:dyDescent="0.25">
      <c r="A771" s="77" t="s">
        <v>16</v>
      </c>
      <c r="B771" s="233">
        <v>0</v>
      </c>
      <c r="C771" s="13">
        <v>0</v>
      </c>
      <c r="D771" s="13">
        <v>0</v>
      </c>
      <c r="E771" s="13">
        <v>0</v>
      </c>
      <c r="F771" s="13">
        <v>0</v>
      </c>
      <c r="G771" s="13">
        <v>0</v>
      </c>
      <c r="H771" s="13">
        <v>0</v>
      </c>
      <c r="I771" s="11">
        <f t="shared" si="408"/>
        <v>0</v>
      </c>
      <c r="J771" s="470">
        <f t="shared" si="409"/>
        <v>0</v>
      </c>
    </row>
    <row r="772" spans="1:10" x14ac:dyDescent="0.25">
      <c r="A772" s="79" t="s">
        <v>17</v>
      </c>
      <c r="B772" s="102">
        <f t="shared" ref="B772:I772" si="410">SUM(B767:B771)</f>
        <v>73</v>
      </c>
      <c r="C772" s="102">
        <f t="shared" si="410"/>
        <v>109</v>
      </c>
      <c r="D772" s="102">
        <f t="shared" si="410"/>
        <v>106</v>
      </c>
      <c r="E772" s="102">
        <f t="shared" si="410"/>
        <v>119</v>
      </c>
      <c r="F772" s="102">
        <f t="shared" si="410"/>
        <v>221</v>
      </c>
      <c r="G772" s="79">
        <f t="shared" si="410"/>
        <v>185</v>
      </c>
      <c r="H772" s="79">
        <f t="shared" si="410"/>
        <v>140</v>
      </c>
      <c r="I772" s="472">
        <f t="shared" si="410"/>
        <v>953</v>
      </c>
      <c r="J772" s="473">
        <f t="shared" si="409"/>
        <v>136.14285714285714</v>
      </c>
    </row>
    <row r="773" spans="1:10" x14ac:dyDescent="0.25">
      <c r="A773" s="77" t="s">
        <v>18</v>
      </c>
      <c r="B773" s="234">
        <v>0.51</v>
      </c>
      <c r="C773" s="235">
        <v>0.62</v>
      </c>
      <c r="D773" s="235">
        <v>0.65</v>
      </c>
      <c r="E773" s="236">
        <v>0.53</v>
      </c>
      <c r="F773" s="236">
        <v>0.5</v>
      </c>
      <c r="G773" s="236">
        <v>0.57999999999999996</v>
      </c>
      <c r="H773" s="236">
        <v>0.76</v>
      </c>
      <c r="I773" s="18">
        <f>I780/I785</f>
        <v>0.5871311558563671</v>
      </c>
      <c r="J773" s="475">
        <f>J780/J785</f>
        <v>0.5871311558563671</v>
      </c>
    </row>
    <row r="774" spans="1:10" x14ac:dyDescent="0.25">
      <c r="A774" s="77" t="s">
        <v>19</v>
      </c>
      <c r="B774" s="234">
        <v>0.03</v>
      </c>
      <c r="C774" s="235">
        <v>0.02</v>
      </c>
      <c r="D774" s="235">
        <v>0.02</v>
      </c>
      <c r="E774" s="236">
        <v>0</v>
      </c>
      <c r="F774" s="236">
        <v>0.01</v>
      </c>
      <c r="G774" s="236">
        <v>0.01</v>
      </c>
      <c r="H774" s="236">
        <v>0.01</v>
      </c>
      <c r="I774" s="18">
        <f>I781/I785</f>
        <v>1.2672106972447438E-2</v>
      </c>
      <c r="J774" s="475">
        <f>J781/J785</f>
        <v>1.2672106972447438E-2</v>
      </c>
    </row>
    <row r="775" spans="1:10" x14ac:dyDescent="0.25">
      <c r="A775" s="77" t="s">
        <v>20</v>
      </c>
      <c r="B775" s="234">
        <v>0.46</v>
      </c>
      <c r="C775" s="235">
        <v>0.36</v>
      </c>
      <c r="D775" s="235">
        <v>0.33</v>
      </c>
      <c r="E775" s="236">
        <v>0.46</v>
      </c>
      <c r="F775" s="236">
        <v>0.49</v>
      </c>
      <c r="G775" s="236">
        <v>0.41</v>
      </c>
      <c r="H775" s="236">
        <v>0.23</v>
      </c>
      <c r="I775" s="18">
        <f>I782/I785</f>
        <v>0.39907208142069939</v>
      </c>
      <c r="J775" s="475">
        <f>J782/J785</f>
        <v>0.39907208142069939</v>
      </c>
    </row>
    <row r="776" spans="1:10" x14ac:dyDescent="0.25">
      <c r="A776" s="77" t="s">
        <v>21</v>
      </c>
      <c r="B776" s="234">
        <v>0</v>
      </c>
      <c r="C776" s="235">
        <v>0</v>
      </c>
      <c r="D776" s="235">
        <v>0</v>
      </c>
      <c r="E776" s="236">
        <v>0.01</v>
      </c>
      <c r="F776" s="236">
        <v>0</v>
      </c>
      <c r="G776" s="236">
        <v>0</v>
      </c>
      <c r="H776" s="236">
        <v>0</v>
      </c>
      <c r="I776" s="18">
        <f>I783/I785</f>
        <v>1.124655750485982E-3</v>
      </c>
      <c r="J776" s="475">
        <f>J783/J785</f>
        <v>1.1246557504859822E-3</v>
      </c>
    </row>
    <row r="777" spans="1:10" x14ac:dyDescent="0.25">
      <c r="A777" s="77" t="s">
        <v>22</v>
      </c>
      <c r="B777" s="234">
        <v>0</v>
      </c>
      <c r="C777" s="235">
        <v>0</v>
      </c>
      <c r="D777" s="235">
        <v>0</v>
      </c>
      <c r="E777" s="236">
        <v>0</v>
      </c>
      <c r="F777" s="236">
        <v>0</v>
      </c>
      <c r="G777" s="236">
        <v>0</v>
      </c>
      <c r="H777" s="236">
        <v>0</v>
      </c>
      <c r="I777" s="18">
        <f>I784/I785</f>
        <v>0</v>
      </c>
      <c r="J777" s="475">
        <f>J784/J785</f>
        <v>0</v>
      </c>
    </row>
    <row r="778" spans="1:10" x14ac:dyDescent="0.25">
      <c r="A778" s="81" t="s">
        <v>23</v>
      </c>
      <c r="B778" s="450">
        <f t="shared" ref="B778:J778" si="411">B789/B772</f>
        <v>34301.369863013708</v>
      </c>
      <c r="C778" s="130">
        <f t="shared" si="411"/>
        <v>33866.055045871566</v>
      </c>
      <c r="D778" s="130">
        <f t="shared" si="411"/>
        <v>35671.698113207553</v>
      </c>
      <c r="E778" s="130">
        <f t="shared" si="411"/>
        <v>30958.823529411769</v>
      </c>
      <c r="F778" s="130">
        <f t="shared" si="411"/>
        <v>37299.547511312216</v>
      </c>
      <c r="G778" s="130">
        <f t="shared" si="411"/>
        <v>33704.324324324327</v>
      </c>
      <c r="H778" s="130">
        <f t="shared" si="411"/>
        <v>34347.142857142855</v>
      </c>
      <c r="I778" s="130">
        <f t="shared" si="411"/>
        <v>34572.717733473248</v>
      </c>
      <c r="J778" s="314">
        <f t="shared" si="411"/>
        <v>34572.717733473248</v>
      </c>
    </row>
    <row r="779" spans="1:10" x14ac:dyDescent="0.25">
      <c r="A779" s="81" t="s">
        <v>24</v>
      </c>
      <c r="B779" s="450">
        <f t="shared" ref="B779:J779" si="412">B789/B766</f>
        <v>27822.222222222226</v>
      </c>
      <c r="C779" s="130">
        <f t="shared" si="412"/>
        <v>27547.761194029856</v>
      </c>
      <c r="D779" s="130">
        <f t="shared" si="412"/>
        <v>28864.122137404585</v>
      </c>
      <c r="E779" s="130">
        <f t="shared" si="412"/>
        <v>26891.240875912412</v>
      </c>
      <c r="F779" s="130">
        <f t="shared" si="412"/>
        <v>30194.871794871793</v>
      </c>
      <c r="G779" s="130">
        <f t="shared" si="412"/>
        <v>28214.027149321271</v>
      </c>
      <c r="H779" s="130">
        <f t="shared" si="412"/>
        <v>28794.011976047903</v>
      </c>
      <c r="I779" s="130">
        <f t="shared" si="412"/>
        <v>28575.715524718129</v>
      </c>
      <c r="J779" s="314">
        <f t="shared" si="412"/>
        <v>28575.715524718129</v>
      </c>
    </row>
    <row r="780" spans="1:10" x14ac:dyDescent="0.25">
      <c r="A780" s="77" t="s">
        <v>25</v>
      </c>
      <c r="B780" s="451">
        <f t="shared" ref="B780:H780" si="413">B785*B773</f>
        <v>1064627.9017241381</v>
      </c>
      <c r="C780" s="92">
        <f t="shared" si="413"/>
        <v>1898168.0551724141</v>
      </c>
      <c r="D780" s="92">
        <f t="shared" si="413"/>
        <v>2043135.3620689658</v>
      </c>
      <c r="E780" s="92">
        <f t="shared" si="413"/>
        <v>1629571.5362068969</v>
      </c>
      <c r="F780" s="92">
        <f t="shared" si="413"/>
        <v>3449663.4482758623</v>
      </c>
      <c r="G780" s="92">
        <f t="shared" si="413"/>
        <v>2992660</v>
      </c>
      <c r="H780" s="92">
        <f t="shared" si="413"/>
        <v>2973579.6689655175</v>
      </c>
      <c r="I780" s="92">
        <f>SUM(B780:H780)</f>
        <v>16051405.972413793</v>
      </c>
      <c r="J780" s="300">
        <f t="shared" ref="J780:J785" si="414">+$I780/7</f>
        <v>2293057.9960591132</v>
      </c>
    </row>
    <row r="781" spans="1:10" x14ac:dyDescent="0.25">
      <c r="A781" s="77" t="s">
        <v>26</v>
      </c>
      <c r="B781" s="451">
        <f t="shared" ref="B781:H781" si="415">B785*B774</f>
        <v>62625.170689655177</v>
      </c>
      <c r="C781" s="92">
        <f t="shared" si="415"/>
        <v>61231.227586206907</v>
      </c>
      <c r="D781" s="92">
        <f t="shared" si="415"/>
        <v>62865.703448275868</v>
      </c>
      <c r="E781" s="92">
        <f t="shared" si="415"/>
        <v>0</v>
      </c>
      <c r="F781" s="92">
        <f t="shared" si="415"/>
        <v>68993.268965517243</v>
      </c>
      <c r="G781" s="92">
        <f t="shared" si="415"/>
        <v>51597.586206896558</v>
      </c>
      <c r="H781" s="92">
        <f t="shared" si="415"/>
        <v>39126.048275862071</v>
      </c>
      <c r="I781" s="92">
        <f>SUM(B781:H781)</f>
        <v>346439.00517241383</v>
      </c>
      <c r="J781" s="300">
        <f t="shared" si="414"/>
        <v>49491.286453201974</v>
      </c>
    </row>
    <row r="782" spans="1:10" x14ac:dyDescent="0.25">
      <c r="A782" s="77" t="s">
        <v>27</v>
      </c>
      <c r="B782" s="451">
        <f t="shared" ref="B782:H782" si="416">B785*B775</f>
        <v>960252.61724137946</v>
      </c>
      <c r="C782" s="92">
        <f t="shared" si="416"/>
        <v>1102162.0965517242</v>
      </c>
      <c r="D782" s="92">
        <f t="shared" si="416"/>
        <v>1037284.1068965519</v>
      </c>
      <c r="E782" s="92">
        <f t="shared" si="416"/>
        <v>1414345.106896552</v>
      </c>
      <c r="F782" s="92">
        <f t="shared" si="416"/>
        <v>3380670.1793103451</v>
      </c>
      <c r="G782" s="92">
        <f t="shared" si="416"/>
        <v>2115501.0344827585</v>
      </c>
      <c r="H782" s="92">
        <f t="shared" si="416"/>
        <v>899899.11034482764</v>
      </c>
      <c r="I782" s="92">
        <f>SUM(B782:H782)</f>
        <v>10910114.251724139</v>
      </c>
      <c r="J782" s="300">
        <f t="shared" si="414"/>
        <v>1558587.7502463055</v>
      </c>
    </row>
    <row r="783" spans="1:10" x14ac:dyDescent="0.25">
      <c r="A783" s="77" t="s">
        <v>28</v>
      </c>
      <c r="B783" s="451">
        <f t="shared" ref="B783:H783" si="417">B785*B776</f>
        <v>0</v>
      </c>
      <c r="C783" s="92">
        <f t="shared" si="417"/>
        <v>0</v>
      </c>
      <c r="D783" s="92">
        <f t="shared" si="417"/>
        <v>0</v>
      </c>
      <c r="E783" s="92">
        <f t="shared" si="417"/>
        <v>30746.632758620693</v>
      </c>
      <c r="F783" s="92">
        <f t="shared" si="417"/>
        <v>0</v>
      </c>
      <c r="G783" s="92">
        <f t="shared" si="417"/>
        <v>0</v>
      </c>
      <c r="H783" s="92">
        <f t="shared" si="417"/>
        <v>0</v>
      </c>
      <c r="I783" s="92">
        <f>SUM(B783:H783)</f>
        <v>30746.632758620693</v>
      </c>
      <c r="J783" s="300">
        <f t="shared" si="414"/>
        <v>4392.3761083743848</v>
      </c>
    </row>
    <row r="784" spans="1:10" x14ac:dyDescent="0.25">
      <c r="A784" s="77" t="s">
        <v>29</v>
      </c>
      <c r="B784" s="451">
        <f t="shared" ref="B784:H784" si="418">B785*B777</f>
        <v>0</v>
      </c>
      <c r="C784" s="92">
        <f t="shared" si="418"/>
        <v>0</v>
      </c>
      <c r="D784" s="92">
        <f t="shared" si="418"/>
        <v>0</v>
      </c>
      <c r="E784" s="92">
        <f t="shared" si="418"/>
        <v>0</v>
      </c>
      <c r="F784" s="92">
        <f t="shared" si="418"/>
        <v>0</v>
      </c>
      <c r="G784" s="92">
        <f t="shared" si="418"/>
        <v>0</v>
      </c>
      <c r="H784" s="92">
        <f t="shared" si="418"/>
        <v>0</v>
      </c>
      <c r="I784" s="92">
        <f>SUM(B784:H784)</f>
        <v>0</v>
      </c>
      <c r="J784" s="300">
        <f t="shared" si="414"/>
        <v>0</v>
      </c>
    </row>
    <row r="785" spans="1:10" x14ac:dyDescent="0.25">
      <c r="A785" s="82" t="s">
        <v>30</v>
      </c>
      <c r="B785" s="237">
        <f>(2504000/1.16)-B786</f>
        <v>2087505.6896551726</v>
      </c>
      <c r="C785" s="237">
        <f>(3691400/1.16)-C786</f>
        <v>3061561.3793103453</v>
      </c>
      <c r="D785" s="237">
        <f>(3781200/1.16)-D786</f>
        <v>3143285.1724137934</v>
      </c>
      <c r="E785" s="237">
        <f>(3684100/1.16)-E786</f>
        <v>3074663.2758620693</v>
      </c>
      <c r="F785" s="237">
        <f>(8243200/1.16)-F786</f>
        <v>6899326.8965517245</v>
      </c>
      <c r="G785" s="237">
        <f>(6235300/1.16)-G786</f>
        <v>5159758.6206896557</v>
      </c>
      <c r="H785" s="237">
        <f>(4808600/1.16)-H786</f>
        <v>3912604.8275862071</v>
      </c>
      <c r="I785" s="91">
        <f>SUM(I780:I784)</f>
        <v>27338705.86206897</v>
      </c>
      <c r="J785" s="361">
        <f t="shared" si="414"/>
        <v>3905529.4088669955</v>
      </c>
    </row>
    <row r="786" spans="1:10" x14ac:dyDescent="0.25">
      <c r="A786" s="77" t="s">
        <v>31</v>
      </c>
      <c r="B786" s="452">
        <f t="shared" ref="B786:H786" si="419">2155*B767</f>
        <v>71115</v>
      </c>
      <c r="C786" s="94">
        <f t="shared" si="419"/>
        <v>120680</v>
      </c>
      <c r="D786" s="94">
        <f t="shared" si="419"/>
        <v>116370</v>
      </c>
      <c r="E786" s="94">
        <f t="shared" si="419"/>
        <v>101285</v>
      </c>
      <c r="F786" s="94">
        <f t="shared" si="419"/>
        <v>206880</v>
      </c>
      <c r="G786" s="94">
        <f t="shared" si="419"/>
        <v>215500</v>
      </c>
      <c r="H786" s="94">
        <f t="shared" si="419"/>
        <v>232740</v>
      </c>
      <c r="I786" s="94">
        <f>I767*2155</f>
        <v>1064570</v>
      </c>
      <c r="J786" s="302">
        <f>2155*J767</f>
        <v>152081.42857142858</v>
      </c>
    </row>
    <row r="787" spans="1:10" x14ac:dyDescent="0.25">
      <c r="A787" s="83" t="s">
        <v>32</v>
      </c>
      <c r="B787" s="453">
        <f t="shared" ref="B787:J787" si="420">B785+B786</f>
        <v>2158620.6896551726</v>
      </c>
      <c r="C787" s="39">
        <f t="shared" si="420"/>
        <v>3182241.3793103453</v>
      </c>
      <c r="D787" s="39">
        <f t="shared" si="420"/>
        <v>3259655.1724137934</v>
      </c>
      <c r="E787" s="39">
        <f t="shared" si="420"/>
        <v>3175948.2758620693</v>
      </c>
      <c r="F787" s="39">
        <f t="shared" si="420"/>
        <v>7106206.8965517245</v>
      </c>
      <c r="G787" s="39">
        <f t="shared" si="420"/>
        <v>5375258.6206896557</v>
      </c>
      <c r="H787" s="39">
        <f t="shared" si="420"/>
        <v>4145344.8275862071</v>
      </c>
      <c r="I787" s="39">
        <f t="shared" si="420"/>
        <v>28403275.86206897</v>
      </c>
      <c r="J787" s="364">
        <f t="shared" si="420"/>
        <v>4057610.8374384241</v>
      </c>
    </row>
    <row r="788" spans="1:10" x14ac:dyDescent="0.25">
      <c r="A788" s="77" t="s">
        <v>33</v>
      </c>
      <c r="B788" s="454">
        <f t="shared" ref="B788:J788" si="421">B787*16%</f>
        <v>345379.31034482765</v>
      </c>
      <c r="C788" s="41">
        <f t="shared" si="421"/>
        <v>509158.62068965525</v>
      </c>
      <c r="D788" s="41">
        <f t="shared" si="421"/>
        <v>521544.82758620696</v>
      </c>
      <c r="E788" s="41">
        <f t="shared" si="421"/>
        <v>508151.72413793113</v>
      </c>
      <c r="F788" s="41">
        <f t="shared" si="421"/>
        <v>1136993.1034482759</v>
      </c>
      <c r="G788" s="41">
        <f t="shared" si="421"/>
        <v>860041.37931034493</v>
      </c>
      <c r="H788" s="41">
        <f t="shared" si="421"/>
        <v>663255.17241379316</v>
      </c>
      <c r="I788" s="41">
        <f t="shared" si="421"/>
        <v>4544524.1379310349</v>
      </c>
      <c r="J788" s="492">
        <f t="shared" si="421"/>
        <v>649217.73399014783</v>
      </c>
    </row>
    <row r="789" spans="1:10" x14ac:dyDescent="0.25">
      <c r="A789" s="142" t="s">
        <v>34</v>
      </c>
      <c r="B789" s="438">
        <f t="shared" ref="B789:I789" si="422">B787+B788</f>
        <v>2504000.0000000005</v>
      </c>
      <c r="C789" s="144">
        <f t="shared" si="422"/>
        <v>3691400.0000000005</v>
      </c>
      <c r="D789" s="144">
        <f t="shared" si="422"/>
        <v>3781200.0000000005</v>
      </c>
      <c r="E789" s="144">
        <f t="shared" si="422"/>
        <v>3684100.0000000005</v>
      </c>
      <c r="F789" s="144">
        <f t="shared" si="422"/>
        <v>8243200</v>
      </c>
      <c r="G789" s="144">
        <f t="shared" si="422"/>
        <v>6235300.0000000009</v>
      </c>
      <c r="H789" s="144">
        <f t="shared" si="422"/>
        <v>4808600</v>
      </c>
      <c r="I789" s="144">
        <f t="shared" si="422"/>
        <v>32947800.000000004</v>
      </c>
      <c r="J789" s="441">
        <f>+$I789/7</f>
        <v>4706828.5714285718</v>
      </c>
    </row>
    <row r="790" spans="1:10" x14ac:dyDescent="0.25">
      <c r="I790" s="89"/>
    </row>
    <row r="791" spans="1:10" ht="26.25" x14ac:dyDescent="0.25">
      <c r="A791" s="85"/>
      <c r="B791" s="1002" t="s">
        <v>370</v>
      </c>
      <c r="C791" s="1002"/>
      <c r="D791" s="1002"/>
      <c r="E791" s="1002"/>
      <c r="F791" s="1002"/>
      <c r="G791" s="1002"/>
      <c r="H791" s="1002"/>
      <c r="I791" s="1002"/>
    </row>
    <row r="792" spans="1:10" ht="15.75" x14ac:dyDescent="0.25">
      <c r="A792" s="72" t="s">
        <v>2</v>
      </c>
      <c r="B792" s="491" t="s">
        <v>163</v>
      </c>
      <c r="C792" s="232" t="s">
        <v>164</v>
      </c>
      <c r="D792" s="232" t="s">
        <v>323</v>
      </c>
      <c r="E792" s="232" t="s">
        <v>324</v>
      </c>
      <c r="F792" s="232" t="s">
        <v>325</v>
      </c>
      <c r="G792" s="232" t="s">
        <v>326</v>
      </c>
      <c r="H792" s="232" t="s">
        <v>327</v>
      </c>
      <c r="I792" s="153" t="s">
        <v>10</v>
      </c>
      <c r="J792" s="490" t="s">
        <v>77</v>
      </c>
    </row>
    <row r="793" spans="1:10" x14ac:dyDescent="0.25">
      <c r="A793" s="430" t="s">
        <v>11</v>
      </c>
      <c r="B793" s="433">
        <f>48+30+7</f>
        <v>85</v>
      </c>
      <c r="C793" s="75">
        <f>64+34+12</f>
        <v>110</v>
      </c>
      <c r="D793" s="75">
        <v>138</v>
      </c>
      <c r="E793" s="75">
        <f>93+35+14</f>
        <v>142</v>
      </c>
      <c r="F793" s="75">
        <f>170+85+26</f>
        <v>281</v>
      </c>
      <c r="G793" s="75">
        <f>117+74+23</f>
        <v>214</v>
      </c>
      <c r="H793" s="75">
        <f>91+56+19</f>
        <v>166</v>
      </c>
      <c r="I793" s="467">
        <f t="shared" ref="I793:I798" si="423">SUM(B793:H793)</f>
        <v>1136</v>
      </c>
      <c r="J793" s="468">
        <f>+$I793/7</f>
        <v>162.28571428571428</v>
      </c>
    </row>
    <row r="794" spans="1:10" x14ac:dyDescent="0.25">
      <c r="A794" s="77" t="s">
        <v>12</v>
      </c>
      <c r="B794" s="233">
        <v>28</v>
      </c>
      <c r="C794" s="13">
        <v>39</v>
      </c>
      <c r="D794" s="13">
        <v>43</v>
      </c>
      <c r="E794" s="13">
        <v>44</v>
      </c>
      <c r="F794" s="13">
        <v>97</v>
      </c>
      <c r="G794" s="320">
        <v>103</v>
      </c>
      <c r="H794" s="13">
        <v>99</v>
      </c>
      <c r="I794" s="11">
        <f t="shared" si="423"/>
        <v>453</v>
      </c>
      <c r="J794" s="470">
        <f t="shared" ref="J794:J799" si="424">+$I794/7</f>
        <v>64.714285714285708</v>
      </c>
    </row>
    <row r="795" spans="1:10" x14ac:dyDescent="0.25">
      <c r="A795" s="77" t="s">
        <v>13</v>
      </c>
      <c r="B795" s="233">
        <v>1</v>
      </c>
      <c r="C795" s="13">
        <v>1</v>
      </c>
      <c r="D795" s="13">
        <v>3</v>
      </c>
      <c r="E795" s="13">
        <v>1</v>
      </c>
      <c r="F795" s="13">
        <v>2</v>
      </c>
      <c r="G795" s="13">
        <v>4</v>
      </c>
      <c r="H795" s="13">
        <v>3</v>
      </c>
      <c r="I795" s="11">
        <f t="shared" si="423"/>
        <v>15</v>
      </c>
      <c r="J795" s="470">
        <f t="shared" si="424"/>
        <v>2.1428571428571428</v>
      </c>
    </row>
    <row r="796" spans="1:10" x14ac:dyDescent="0.25">
      <c r="A796" s="77" t="s">
        <v>14</v>
      </c>
      <c r="B796" s="233">
        <v>43</v>
      </c>
      <c r="C796" s="13">
        <v>60</v>
      </c>
      <c r="D796" s="13">
        <v>73</v>
      </c>
      <c r="E796" s="13">
        <v>72</v>
      </c>
      <c r="F796" s="13">
        <v>129</v>
      </c>
      <c r="G796" s="13">
        <v>64</v>
      </c>
      <c r="H796" s="13">
        <v>37</v>
      </c>
      <c r="I796" s="11">
        <f t="shared" si="423"/>
        <v>478</v>
      </c>
      <c r="J796" s="470">
        <f t="shared" si="424"/>
        <v>68.285714285714292</v>
      </c>
    </row>
    <row r="797" spans="1:10" x14ac:dyDescent="0.25">
      <c r="A797" s="77" t="s">
        <v>15</v>
      </c>
      <c r="B797" s="233">
        <v>0</v>
      </c>
      <c r="C797" s="13">
        <v>0</v>
      </c>
      <c r="D797" s="13">
        <v>0</v>
      </c>
      <c r="E797" s="13">
        <v>0</v>
      </c>
      <c r="F797" s="13">
        <v>0</v>
      </c>
      <c r="G797" s="13">
        <v>0</v>
      </c>
      <c r="H797" s="13">
        <v>0</v>
      </c>
      <c r="I797" s="11">
        <f t="shared" si="423"/>
        <v>0</v>
      </c>
      <c r="J797" s="470">
        <f t="shared" si="424"/>
        <v>0</v>
      </c>
    </row>
    <row r="798" spans="1:10" x14ac:dyDescent="0.25">
      <c r="A798" s="77" t="s">
        <v>16</v>
      </c>
      <c r="B798" s="233">
        <v>0</v>
      </c>
      <c r="C798" s="13">
        <v>0</v>
      </c>
      <c r="D798" s="13">
        <v>0</v>
      </c>
      <c r="E798" s="13">
        <v>0</v>
      </c>
      <c r="F798" s="13">
        <v>0</v>
      </c>
      <c r="G798" s="13">
        <v>0</v>
      </c>
      <c r="H798" s="13">
        <v>0</v>
      </c>
      <c r="I798" s="11">
        <f t="shared" si="423"/>
        <v>0</v>
      </c>
      <c r="J798" s="470">
        <f t="shared" si="424"/>
        <v>0</v>
      </c>
    </row>
    <row r="799" spans="1:10" x14ac:dyDescent="0.25">
      <c r="A799" s="79" t="s">
        <v>17</v>
      </c>
      <c r="B799" s="102">
        <f t="shared" ref="B799:I799" si="425">SUM(B794:B798)</f>
        <v>72</v>
      </c>
      <c r="C799" s="102">
        <f t="shared" si="425"/>
        <v>100</v>
      </c>
      <c r="D799" s="102">
        <f t="shared" si="425"/>
        <v>119</v>
      </c>
      <c r="E799" s="102">
        <f t="shared" si="425"/>
        <v>117</v>
      </c>
      <c r="F799" s="102">
        <f t="shared" si="425"/>
        <v>228</v>
      </c>
      <c r="G799" s="79">
        <f t="shared" si="425"/>
        <v>171</v>
      </c>
      <c r="H799" s="79">
        <f t="shared" si="425"/>
        <v>139</v>
      </c>
      <c r="I799" s="472">
        <f t="shared" si="425"/>
        <v>946</v>
      </c>
      <c r="J799" s="473">
        <f t="shared" si="424"/>
        <v>135.14285714285714</v>
      </c>
    </row>
    <row r="800" spans="1:10" x14ac:dyDescent="0.25">
      <c r="A800" s="77" t="s">
        <v>18</v>
      </c>
      <c r="B800" s="234">
        <v>0.45</v>
      </c>
      <c r="C800" s="235">
        <v>0.47</v>
      </c>
      <c r="D800" s="235">
        <v>0.41</v>
      </c>
      <c r="E800" s="236">
        <v>0.42</v>
      </c>
      <c r="F800" s="236">
        <v>0.51</v>
      </c>
      <c r="G800" s="236">
        <v>0.64</v>
      </c>
      <c r="H800" s="236">
        <v>0.74</v>
      </c>
      <c r="I800" s="18">
        <f>I807/I812</f>
        <v>0.53786439708537337</v>
      </c>
      <c r="J800" s="475">
        <f>J807/J812</f>
        <v>0.53786439708537326</v>
      </c>
    </row>
    <row r="801" spans="1:10" x14ac:dyDescent="0.25">
      <c r="A801" s="77" t="s">
        <v>19</v>
      </c>
      <c r="B801" s="234">
        <v>0.03</v>
      </c>
      <c r="C801" s="235">
        <v>0</v>
      </c>
      <c r="D801" s="235">
        <v>0.06</v>
      </c>
      <c r="E801" s="236">
        <v>0.01</v>
      </c>
      <c r="F801" s="236">
        <v>0.02</v>
      </c>
      <c r="G801" s="236">
        <v>0.03</v>
      </c>
      <c r="H801" s="236">
        <v>0.02</v>
      </c>
      <c r="I801" s="18">
        <f>I808/I812</f>
        <v>2.4121680236617243E-2</v>
      </c>
      <c r="J801" s="475">
        <f>J808/J812</f>
        <v>2.4121680236617243E-2</v>
      </c>
    </row>
    <row r="802" spans="1:10" x14ac:dyDescent="0.25">
      <c r="A802" s="77" t="s">
        <v>20</v>
      </c>
      <c r="B802" s="234">
        <v>0.52</v>
      </c>
      <c r="C802" s="235">
        <v>0.53</v>
      </c>
      <c r="D802" s="235">
        <v>0.53</v>
      </c>
      <c r="E802" s="236">
        <v>0.56999999999999995</v>
      </c>
      <c r="F802" s="236">
        <v>0.47</v>
      </c>
      <c r="G802" s="236">
        <v>0.33</v>
      </c>
      <c r="H802" s="236">
        <v>0.24</v>
      </c>
      <c r="I802" s="18">
        <f>I809/I812</f>
        <v>0.43801392267800948</v>
      </c>
      <c r="J802" s="475">
        <f>J809/J812</f>
        <v>0.43801392267800948</v>
      </c>
    </row>
    <row r="803" spans="1:10" x14ac:dyDescent="0.25">
      <c r="A803" s="77" t="s">
        <v>21</v>
      </c>
      <c r="B803" s="234">
        <v>0</v>
      </c>
      <c r="C803" s="235">
        <v>0</v>
      </c>
      <c r="D803" s="235">
        <v>0</v>
      </c>
      <c r="E803" s="236">
        <v>0</v>
      </c>
      <c r="F803" s="236">
        <v>0</v>
      </c>
      <c r="G803" s="236">
        <v>0</v>
      </c>
      <c r="H803" s="236">
        <v>0</v>
      </c>
      <c r="I803" s="18">
        <f>I810/I812</f>
        <v>0</v>
      </c>
      <c r="J803" s="475">
        <f>J810/J812</f>
        <v>0</v>
      </c>
    </row>
    <row r="804" spans="1:10" x14ac:dyDescent="0.25">
      <c r="A804" s="77" t="s">
        <v>22</v>
      </c>
      <c r="B804" s="234">
        <v>0</v>
      </c>
      <c r="C804" s="235">
        <v>0</v>
      </c>
      <c r="D804" s="235">
        <v>0</v>
      </c>
      <c r="E804" s="236">
        <v>0</v>
      </c>
      <c r="F804" s="236">
        <v>0</v>
      </c>
      <c r="G804" s="236">
        <v>0</v>
      </c>
      <c r="H804" s="236">
        <v>0</v>
      </c>
      <c r="I804" s="18">
        <f>I811/I812</f>
        <v>0</v>
      </c>
      <c r="J804" s="475">
        <f>J811/J812</f>
        <v>0</v>
      </c>
    </row>
    <row r="805" spans="1:10" x14ac:dyDescent="0.25">
      <c r="A805" s="81" t="s">
        <v>23</v>
      </c>
      <c r="B805" s="450">
        <f t="shared" ref="B805:J805" si="426">B816/B799</f>
        <v>30798.611111111109</v>
      </c>
      <c r="C805" s="130">
        <f t="shared" si="426"/>
        <v>31126</v>
      </c>
      <c r="D805" s="130">
        <f t="shared" si="426"/>
        <v>30642.857142857141</v>
      </c>
      <c r="E805" s="130">
        <f t="shared" si="426"/>
        <v>31379.48717948718</v>
      </c>
      <c r="F805" s="130">
        <f t="shared" si="426"/>
        <v>36661.84210526316</v>
      </c>
      <c r="G805" s="130">
        <f t="shared" si="426"/>
        <v>36248.538011695906</v>
      </c>
      <c r="H805" s="130">
        <f t="shared" si="426"/>
        <v>33276.978417266197</v>
      </c>
      <c r="I805" s="130">
        <f t="shared" si="426"/>
        <v>33647.885835095134</v>
      </c>
      <c r="J805" s="314">
        <f t="shared" si="426"/>
        <v>33647.885835095134</v>
      </c>
    </row>
    <row r="806" spans="1:10" x14ac:dyDescent="0.25">
      <c r="A806" s="81" t="s">
        <v>24</v>
      </c>
      <c r="B806" s="450">
        <f t="shared" ref="B806:J806" si="427">B816/B793</f>
        <v>26088.235294117647</v>
      </c>
      <c r="C806" s="130">
        <f t="shared" si="427"/>
        <v>28296.363636363636</v>
      </c>
      <c r="D806" s="130">
        <f t="shared" si="427"/>
        <v>26423.91304347826</v>
      </c>
      <c r="E806" s="130">
        <f t="shared" si="427"/>
        <v>25854.929577464787</v>
      </c>
      <c r="F806" s="130">
        <f t="shared" si="427"/>
        <v>29746.975088967974</v>
      </c>
      <c r="G806" s="130">
        <f t="shared" si="427"/>
        <v>28964.953271028036</v>
      </c>
      <c r="H806" s="130">
        <f t="shared" si="427"/>
        <v>27864.457831325308</v>
      </c>
      <c r="I806" s="130">
        <f t="shared" si="427"/>
        <v>28020.158450704221</v>
      </c>
      <c r="J806" s="314">
        <f t="shared" si="427"/>
        <v>28020.158450704224</v>
      </c>
    </row>
    <row r="807" spans="1:10" x14ac:dyDescent="0.25">
      <c r="A807" s="77" t="s">
        <v>25</v>
      </c>
      <c r="B807" s="451">
        <f t="shared" ref="B807:H807" si="428">B812*B800</f>
        <v>833084.06896551722</v>
      </c>
      <c r="C807" s="92">
        <f t="shared" si="428"/>
        <v>1221638.5051724138</v>
      </c>
      <c r="D807" s="92">
        <f t="shared" si="428"/>
        <v>1250856.4879310345</v>
      </c>
      <c r="E807" s="92">
        <f t="shared" si="428"/>
        <v>1289475.5999999999</v>
      </c>
      <c r="F807" s="92">
        <f t="shared" si="428"/>
        <v>3568425.7706896556</v>
      </c>
      <c r="G807" s="92">
        <f t="shared" si="428"/>
        <v>3277804.4689655174</v>
      </c>
      <c r="H807" s="92">
        <f t="shared" si="428"/>
        <v>2792874.7</v>
      </c>
      <c r="I807" s="92">
        <f>SUM(B807:H807)</f>
        <v>14234159.601724137</v>
      </c>
      <c r="J807" s="300">
        <f t="shared" ref="J807:J812" si="429">+$I807/7</f>
        <v>2033451.3716748767</v>
      </c>
    </row>
    <row r="808" spans="1:10" x14ac:dyDescent="0.25">
      <c r="A808" s="77" t="s">
        <v>26</v>
      </c>
      <c r="B808" s="451">
        <f t="shared" ref="B808:H808" si="430">B812*B801</f>
        <v>55538.937931034481</v>
      </c>
      <c r="C808" s="92">
        <f t="shared" si="430"/>
        <v>0</v>
      </c>
      <c r="D808" s="92">
        <f t="shared" si="430"/>
        <v>183052.16896551725</v>
      </c>
      <c r="E808" s="92">
        <f t="shared" si="430"/>
        <v>30701.8</v>
      </c>
      <c r="F808" s="92">
        <f t="shared" si="430"/>
        <v>139938.26551724141</v>
      </c>
      <c r="G808" s="92">
        <f t="shared" si="430"/>
        <v>153647.08448275863</v>
      </c>
      <c r="H808" s="92">
        <f t="shared" si="430"/>
        <v>75483.100000000006</v>
      </c>
      <c r="I808" s="92">
        <f>SUM(B808:H808)</f>
        <v>638361.35689655179</v>
      </c>
      <c r="J808" s="300">
        <f t="shared" si="429"/>
        <v>91194.479556650258</v>
      </c>
    </row>
    <row r="809" spans="1:10" x14ac:dyDescent="0.25">
      <c r="A809" s="77" t="s">
        <v>27</v>
      </c>
      <c r="B809" s="451">
        <f t="shared" ref="B809:H809" si="431">B812*B802</f>
        <v>962674.92413793108</v>
      </c>
      <c r="C809" s="92">
        <f t="shared" si="431"/>
        <v>1377592.3568965518</v>
      </c>
      <c r="D809" s="92">
        <f t="shared" si="431"/>
        <v>1616960.8258620691</v>
      </c>
      <c r="E809" s="92">
        <f t="shared" si="431"/>
        <v>1750002.5999999999</v>
      </c>
      <c r="F809" s="92">
        <f t="shared" si="431"/>
        <v>3288549.2396551725</v>
      </c>
      <c r="G809" s="92">
        <f t="shared" si="431"/>
        <v>1690117.9293103449</v>
      </c>
      <c r="H809" s="92">
        <f t="shared" si="431"/>
        <v>905797.20000000007</v>
      </c>
      <c r="I809" s="92">
        <f>SUM(B809:H809)</f>
        <v>11591695.075862069</v>
      </c>
      <c r="J809" s="300">
        <f t="shared" si="429"/>
        <v>1655956.4394088669</v>
      </c>
    </row>
    <row r="810" spans="1:10" x14ac:dyDescent="0.25">
      <c r="A810" s="77" t="s">
        <v>28</v>
      </c>
      <c r="B810" s="451">
        <f t="shared" ref="B810:H810" si="432">B812*B803</f>
        <v>0</v>
      </c>
      <c r="C810" s="92">
        <f t="shared" si="432"/>
        <v>0</v>
      </c>
      <c r="D810" s="92">
        <f t="shared" si="432"/>
        <v>0</v>
      </c>
      <c r="E810" s="92">
        <f t="shared" si="432"/>
        <v>0</v>
      </c>
      <c r="F810" s="92">
        <f t="shared" si="432"/>
        <v>0</v>
      </c>
      <c r="G810" s="92">
        <f t="shared" si="432"/>
        <v>0</v>
      </c>
      <c r="H810" s="92">
        <f t="shared" si="432"/>
        <v>0</v>
      </c>
      <c r="I810" s="92">
        <f>SUM(B810:H810)</f>
        <v>0</v>
      </c>
      <c r="J810" s="300">
        <f t="shared" si="429"/>
        <v>0</v>
      </c>
    </row>
    <row r="811" spans="1:10" x14ac:dyDescent="0.25">
      <c r="A811" s="77" t="s">
        <v>29</v>
      </c>
      <c r="B811" s="451">
        <f t="shared" ref="B811:H811" si="433">B812*B804</f>
        <v>0</v>
      </c>
      <c r="C811" s="92">
        <f t="shared" si="433"/>
        <v>0</v>
      </c>
      <c r="D811" s="92">
        <f t="shared" si="433"/>
        <v>0</v>
      </c>
      <c r="E811" s="92">
        <f t="shared" si="433"/>
        <v>0</v>
      </c>
      <c r="F811" s="92">
        <f t="shared" si="433"/>
        <v>0</v>
      </c>
      <c r="G811" s="92">
        <f t="shared" si="433"/>
        <v>0</v>
      </c>
      <c r="H811" s="92">
        <f t="shared" si="433"/>
        <v>0</v>
      </c>
      <c r="I811" s="92">
        <f>SUM(B811:H811)</f>
        <v>0</v>
      </c>
      <c r="J811" s="300">
        <f t="shared" si="429"/>
        <v>0</v>
      </c>
    </row>
    <row r="812" spans="1:10" x14ac:dyDescent="0.25">
      <c r="A812" s="82" t="s">
        <v>30</v>
      </c>
      <c r="B812" s="237">
        <f>(2217500/1.16)-B813</f>
        <v>1851297.9310344828</v>
      </c>
      <c r="C812" s="237">
        <f>(3112600/1.16)-C813</f>
        <v>2599230.8620689656</v>
      </c>
      <c r="D812" s="237">
        <f>(3646500/1.16)-D813</f>
        <v>3050869.4827586208</v>
      </c>
      <c r="E812" s="237">
        <f>(3671400/1.16)-E813</f>
        <v>3070180</v>
      </c>
      <c r="F812" s="237">
        <f>(8358900/1.16)-F813</f>
        <v>6996913.2758620698</v>
      </c>
      <c r="G812" s="237">
        <f>(6198500/1.16)-G813</f>
        <v>5121569.4827586208</v>
      </c>
      <c r="H812" s="237">
        <f>(4625500/1.16)-H813</f>
        <v>3774155.0000000005</v>
      </c>
      <c r="I812" s="91">
        <f>SUM(I807:I811)</f>
        <v>26464216.034482755</v>
      </c>
      <c r="J812" s="361">
        <f t="shared" si="429"/>
        <v>3780602.2906403937</v>
      </c>
    </row>
    <row r="813" spans="1:10" x14ac:dyDescent="0.25">
      <c r="A813" s="77" t="s">
        <v>31</v>
      </c>
      <c r="B813" s="452">
        <f t="shared" ref="B813:H813" si="434">2155*B794</f>
        <v>60340</v>
      </c>
      <c r="C813" s="94">
        <f t="shared" si="434"/>
        <v>84045</v>
      </c>
      <c r="D813" s="94">
        <f t="shared" si="434"/>
        <v>92665</v>
      </c>
      <c r="E813" s="94">
        <f t="shared" si="434"/>
        <v>94820</v>
      </c>
      <c r="F813" s="94">
        <f t="shared" si="434"/>
        <v>209035</v>
      </c>
      <c r="G813" s="94">
        <f t="shared" si="434"/>
        <v>221965</v>
      </c>
      <c r="H813" s="94">
        <f t="shared" si="434"/>
        <v>213345</v>
      </c>
      <c r="I813" s="94">
        <f>I794*2155</f>
        <v>976215</v>
      </c>
      <c r="J813" s="302">
        <f>2155*J794</f>
        <v>139459.28571428571</v>
      </c>
    </row>
    <row r="814" spans="1:10" x14ac:dyDescent="0.25">
      <c r="A814" s="83" t="s">
        <v>32</v>
      </c>
      <c r="B814" s="453">
        <f t="shared" ref="B814:J814" si="435">B812+B813</f>
        <v>1911637.9310344828</v>
      </c>
      <c r="C814" s="39">
        <f t="shared" si="435"/>
        <v>2683275.8620689656</v>
      </c>
      <c r="D814" s="39">
        <f t="shared" si="435"/>
        <v>3143534.4827586208</v>
      </c>
      <c r="E814" s="39">
        <f t="shared" si="435"/>
        <v>3165000</v>
      </c>
      <c r="F814" s="39">
        <f t="shared" si="435"/>
        <v>7205948.2758620698</v>
      </c>
      <c r="G814" s="39">
        <f t="shared" si="435"/>
        <v>5343534.4827586208</v>
      </c>
      <c r="H814" s="39">
        <f t="shared" si="435"/>
        <v>3987500.0000000005</v>
      </c>
      <c r="I814" s="39">
        <f t="shared" si="435"/>
        <v>27440431.034482755</v>
      </c>
      <c r="J814" s="364">
        <f t="shared" si="435"/>
        <v>3920061.5763546797</v>
      </c>
    </row>
    <row r="815" spans="1:10" x14ac:dyDescent="0.25">
      <c r="A815" s="77" t="s">
        <v>33</v>
      </c>
      <c r="B815" s="454">
        <f t="shared" ref="B815:J815" si="436">B814*16%</f>
        <v>305862.06896551728</v>
      </c>
      <c r="C815" s="41">
        <f t="shared" si="436"/>
        <v>429324.13793103449</v>
      </c>
      <c r="D815" s="41">
        <f t="shared" si="436"/>
        <v>502965.5172413793</v>
      </c>
      <c r="E815" s="41">
        <f t="shared" si="436"/>
        <v>506400</v>
      </c>
      <c r="F815" s="41">
        <f t="shared" si="436"/>
        <v>1152951.7241379311</v>
      </c>
      <c r="G815" s="41">
        <f t="shared" si="436"/>
        <v>854965.51724137936</v>
      </c>
      <c r="H815" s="41">
        <f t="shared" si="436"/>
        <v>638000.00000000012</v>
      </c>
      <c r="I815" s="41">
        <f t="shared" si="436"/>
        <v>4390468.9655172406</v>
      </c>
      <c r="J815" s="492">
        <f t="shared" si="436"/>
        <v>627209.85221674875</v>
      </c>
    </row>
    <row r="816" spans="1:10" x14ac:dyDescent="0.25">
      <c r="A816" s="142" t="s">
        <v>34</v>
      </c>
      <c r="B816" s="438">
        <f t="shared" ref="B816:I816" si="437">B814+B815</f>
        <v>2217500</v>
      </c>
      <c r="C816" s="144">
        <f t="shared" si="437"/>
        <v>3112600</v>
      </c>
      <c r="D816" s="144">
        <f t="shared" si="437"/>
        <v>3646500</v>
      </c>
      <c r="E816" s="144">
        <f t="shared" si="437"/>
        <v>3671400</v>
      </c>
      <c r="F816" s="144">
        <f t="shared" si="437"/>
        <v>8358900.0000000009</v>
      </c>
      <c r="G816" s="144">
        <f t="shared" si="437"/>
        <v>6198500</v>
      </c>
      <c r="H816" s="144">
        <f t="shared" si="437"/>
        <v>4625500.0000000009</v>
      </c>
      <c r="I816" s="144">
        <f t="shared" si="437"/>
        <v>31830899.999999996</v>
      </c>
      <c r="J816" s="441">
        <f>+$I816/7</f>
        <v>4547271.4285714282</v>
      </c>
    </row>
    <row r="817" spans="1:10" x14ac:dyDescent="0.25">
      <c r="I817" s="89"/>
    </row>
    <row r="818" spans="1:10" ht="26.25" x14ac:dyDescent="0.25">
      <c r="A818" s="85"/>
      <c r="B818" s="1002" t="s">
        <v>371</v>
      </c>
      <c r="C818" s="1002"/>
      <c r="D818" s="1002"/>
      <c r="E818" s="1002"/>
      <c r="F818" s="1002"/>
      <c r="G818" s="1002"/>
      <c r="H818" s="1002"/>
      <c r="I818" s="1002"/>
    </row>
    <row r="819" spans="1:10" ht="15.75" x14ac:dyDescent="0.25">
      <c r="A819" s="72" t="s">
        <v>2</v>
      </c>
      <c r="B819" s="491" t="s">
        <v>329</v>
      </c>
      <c r="C819" s="232" t="s">
        <v>330</v>
      </c>
      <c r="D819" s="232" t="s">
        <v>331</v>
      </c>
      <c r="E819" s="232" t="s">
        <v>332</v>
      </c>
      <c r="F819" s="232" t="s">
        <v>333</v>
      </c>
      <c r="G819" s="232" t="s">
        <v>334</v>
      </c>
      <c r="H819" s="232" t="s">
        <v>335</v>
      </c>
      <c r="I819" s="153" t="s">
        <v>10</v>
      </c>
      <c r="J819" s="490" t="s">
        <v>77</v>
      </c>
    </row>
    <row r="820" spans="1:10" x14ac:dyDescent="0.25">
      <c r="A820" s="430" t="s">
        <v>11</v>
      </c>
      <c r="B820" s="433">
        <f>55+24+10</f>
        <v>89</v>
      </c>
      <c r="C820" s="75">
        <f>92+26+13</f>
        <v>131</v>
      </c>
      <c r="D820" s="75">
        <f>88+37+10</f>
        <v>135</v>
      </c>
      <c r="E820" s="75">
        <f>73+52+11</f>
        <v>136</v>
      </c>
      <c r="F820" s="75">
        <f>117+81+18</f>
        <v>216</v>
      </c>
      <c r="G820" s="75">
        <f>114+71+13</f>
        <v>198</v>
      </c>
      <c r="H820" s="75">
        <f>81+54+17</f>
        <v>152</v>
      </c>
      <c r="I820" s="467">
        <f t="shared" ref="I820:I825" si="438">SUM(B820:H820)</f>
        <v>1057</v>
      </c>
      <c r="J820" s="468">
        <f>+$I820/7</f>
        <v>151</v>
      </c>
    </row>
    <row r="821" spans="1:10" x14ac:dyDescent="0.25">
      <c r="A821" s="77" t="s">
        <v>12</v>
      </c>
      <c r="B821" s="233">
        <v>27</v>
      </c>
      <c r="C821" s="13">
        <v>50</v>
      </c>
      <c r="D821" s="13">
        <v>58</v>
      </c>
      <c r="E821" s="13">
        <v>61</v>
      </c>
      <c r="F821" s="13">
        <v>89</v>
      </c>
      <c r="G821" s="320">
        <v>96</v>
      </c>
      <c r="H821" s="13">
        <v>85</v>
      </c>
      <c r="I821" s="11">
        <f t="shared" si="438"/>
        <v>466</v>
      </c>
      <c r="J821" s="470">
        <f t="shared" ref="J821:J826" si="439">+$I821/7</f>
        <v>66.571428571428569</v>
      </c>
    </row>
    <row r="822" spans="1:10" x14ac:dyDescent="0.25">
      <c r="A822" s="77" t="s">
        <v>13</v>
      </c>
      <c r="B822" s="233">
        <v>0</v>
      </c>
      <c r="C822" s="13">
        <v>0</v>
      </c>
      <c r="D822" s="13">
        <v>1</v>
      </c>
      <c r="E822" s="13">
        <v>1</v>
      </c>
      <c r="F822" s="13">
        <v>4</v>
      </c>
      <c r="G822" s="13">
        <v>5</v>
      </c>
      <c r="H822" s="13">
        <v>4</v>
      </c>
      <c r="I822" s="11">
        <f t="shared" si="438"/>
        <v>15</v>
      </c>
      <c r="J822" s="470">
        <f t="shared" si="439"/>
        <v>2.1428571428571428</v>
      </c>
    </row>
    <row r="823" spans="1:10" x14ac:dyDescent="0.25">
      <c r="A823" s="77" t="s">
        <v>14</v>
      </c>
      <c r="B823" s="233">
        <v>44</v>
      </c>
      <c r="C823" s="13">
        <v>53</v>
      </c>
      <c r="D823" s="13">
        <v>52</v>
      </c>
      <c r="E823" s="13">
        <v>54</v>
      </c>
      <c r="F823" s="13">
        <v>90</v>
      </c>
      <c r="G823" s="13">
        <v>74</v>
      </c>
      <c r="H823" s="13">
        <v>47</v>
      </c>
      <c r="I823" s="11">
        <f t="shared" si="438"/>
        <v>414</v>
      </c>
      <c r="J823" s="470">
        <f t="shared" si="439"/>
        <v>59.142857142857146</v>
      </c>
    </row>
    <row r="824" spans="1:10" x14ac:dyDescent="0.25">
      <c r="A824" s="77" t="s">
        <v>15</v>
      </c>
      <c r="B824" s="233">
        <v>0</v>
      </c>
      <c r="C824" s="13">
        <v>2</v>
      </c>
      <c r="D824" s="13">
        <v>0</v>
      </c>
      <c r="E824" s="13">
        <v>0</v>
      </c>
      <c r="F824" s="13">
        <v>0</v>
      </c>
      <c r="G824" s="13">
        <v>0</v>
      </c>
      <c r="H824" s="13">
        <v>0</v>
      </c>
      <c r="I824" s="11">
        <f t="shared" si="438"/>
        <v>2</v>
      </c>
      <c r="J824" s="470">
        <f t="shared" si="439"/>
        <v>0.2857142857142857</v>
      </c>
    </row>
    <row r="825" spans="1:10" x14ac:dyDescent="0.25">
      <c r="A825" s="77" t="s">
        <v>16</v>
      </c>
      <c r="B825" s="233">
        <v>0</v>
      </c>
      <c r="C825" s="13">
        <v>0</v>
      </c>
      <c r="D825" s="13">
        <v>0</v>
      </c>
      <c r="E825" s="13">
        <v>0</v>
      </c>
      <c r="F825" s="13">
        <v>0</v>
      </c>
      <c r="G825" s="13">
        <v>0</v>
      </c>
      <c r="H825" s="13">
        <v>0</v>
      </c>
      <c r="I825" s="11">
        <f t="shared" si="438"/>
        <v>0</v>
      </c>
      <c r="J825" s="470">
        <f t="shared" si="439"/>
        <v>0</v>
      </c>
    </row>
    <row r="826" spans="1:10" x14ac:dyDescent="0.25">
      <c r="A826" s="79" t="s">
        <v>17</v>
      </c>
      <c r="B826" s="102">
        <f t="shared" ref="B826:I826" si="440">SUM(B821:B825)</f>
        <v>71</v>
      </c>
      <c r="C826" s="102">
        <f t="shared" si="440"/>
        <v>105</v>
      </c>
      <c r="D826" s="102">
        <f t="shared" si="440"/>
        <v>111</v>
      </c>
      <c r="E826" s="102">
        <f t="shared" si="440"/>
        <v>116</v>
      </c>
      <c r="F826" s="102">
        <f t="shared" si="440"/>
        <v>183</v>
      </c>
      <c r="G826" s="79">
        <f t="shared" si="440"/>
        <v>175</v>
      </c>
      <c r="H826" s="79">
        <f t="shared" si="440"/>
        <v>136</v>
      </c>
      <c r="I826" s="472">
        <f t="shared" si="440"/>
        <v>897</v>
      </c>
      <c r="J826" s="473">
        <f t="shared" si="439"/>
        <v>128.14285714285714</v>
      </c>
    </row>
    <row r="827" spans="1:10" x14ac:dyDescent="0.25">
      <c r="A827" s="77" t="s">
        <v>18</v>
      </c>
      <c r="B827" s="234">
        <v>0.43</v>
      </c>
      <c r="C827" s="235">
        <v>0.56999999999999995</v>
      </c>
      <c r="D827" s="235">
        <v>0.63</v>
      </c>
      <c r="E827" s="236">
        <v>0.57999999999999996</v>
      </c>
      <c r="F827" s="236">
        <v>0.53</v>
      </c>
      <c r="G827" s="236">
        <v>0.59</v>
      </c>
      <c r="H827" s="236">
        <v>0.64</v>
      </c>
      <c r="I827" s="18">
        <f>I834/I839</f>
        <v>0.57317142264477938</v>
      </c>
      <c r="J827" s="475">
        <f>J834/J839</f>
        <v>0.57317142264477949</v>
      </c>
    </row>
    <row r="828" spans="1:10" x14ac:dyDescent="0.25">
      <c r="A828" s="77" t="s">
        <v>19</v>
      </c>
      <c r="B828" s="234">
        <v>0</v>
      </c>
      <c r="C828" s="235">
        <v>0</v>
      </c>
      <c r="D828" s="235">
        <v>0</v>
      </c>
      <c r="E828" s="236">
        <v>0.01</v>
      </c>
      <c r="F828" s="236">
        <v>0.02</v>
      </c>
      <c r="G828" s="236">
        <v>0.03</v>
      </c>
      <c r="H828" s="236">
        <v>0.02</v>
      </c>
      <c r="I828" s="18">
        <f>I835/I839</f>
        <v>1.4265379108750892E-2</v>
      </c>
      <c r="J828" s="475">
        <f>J835/J839</f>
        <v>1.4265379108750892E-2</v>
      </c>
    </row>
    <row r="829" spans="1:10" x14ac:dyDescent="0.25">
      <c r="A829" s="77" t="s">
        <v>20</v>
      </c>
      <c r="B829" s="234">
        <v>0.56999999999999995</v>
      </c>
      <c r="C829" s="235">
        <v>0.42</v>
      </c>
      <c r="D829" s="235">
        <v>0.37</v>
      </c>
      <c r="E829" s="236">
        <v>0.41</v>
      </c>
      <c r="F829" s="236">
        <v>0.45</v>
      </c>
      <c r="G829" s="236">
        <v>0.38</v>
      </c>
      <c r="H829" s="236">
        <v>0.34</v>
      </c>
      <c r="I829" s="18">
        <f>I836/I839</f>
        <v>0.4114021532720844</v>
      </c>
      <c r="J829" s="475">
        <f>J836/J839</f>
        <v>0.41140215327208446</v>
      </c>
    </row>
    <row r="830" spans="1:10" x14ac:dyDescent="0.25">
      <c r="A830" s="77" t="s">
        <v>21</v>
      </c>
      <c r="B830" s="234">
        <v>0</v>
      </c>
      <c r="C830" s="235">
        <v>0.01</v>
      </c>
      <c r="D830" s="235">
        <v>0</v>
      </c>
      <c r="E830" s="236">
        <v>0</v>
      </c>
      <c r="F830" s="236">
        <v>0</v>
      </c>
      <c r="G830" s="236">
        <v>0</v>
      </c>
      <c r="H830" s="236">
        <v>0</v>
      </c>
      <c r="I830" s="18">
        <f>I837/I839</f>
        <v>1.1610449743853953E-3</v>
      </c>
      <c r="J830" s="475">
        <f>J837/J839</f>
        <v>1.1610449743853953E-3</v>
      </c>
    </row>
    <row r="831" spans="1:10" x14ac:dyDescent="0.25">
      <c r="A831" s="77" t="s">
        <v>22</v>
      </c>
      <c r="B831" s="234">
        <v>0</v>
      </c>
      <c r="C831" s="235">
        <v>0</v>
      </c>
      <c r="D831" s="235">
        <v>0</v>
      </c>
      <c r="E831" s="236">
        <v>0</v>
      </c>
      <c r="F831" s="236">
        <v>0</v>
      </c>
      <c r="G831" s="236">
        <v>0</v>
      </c>
      <c r="H831" s="236">
        <v>0</v>
      </c>
      <c r="I831" s="18">
        <f>I838/I839</f>
        <v>0</v>
      </c>
      <c r="J831" s="475">
        <f>J838/J839</f>
        <v>0</v>
      </c>
    </row>
    <row r="832" spans="1:10" x14ac:dyDescent="0.25">
      <c r="A832" s="81" t="s">
        <v>23</v>
      </c>
      <c r="B832" s="450">
        <f t="shared" ref="B832:J832" si="441">B843/B826</f>
        <v>33598.591549295772</v>
      </c>
      <c r="C832" s="130">
        <f t="shared" si="441"/>
        <v>33735.238095238099</v>
      </c>
      <c r="D832" s="130">
        <f t="shared" si="441"/>
        <v>34000.900900900902</v>
      </c>
      <c r="E832" s="130">
        <f t="shared" si="441"/>
        <v>35650.000000000007</v>
      </c>
      <c r="F832" s="130">
        <f t="shared" si="441"/>
        <v>34697.814207650277</v>
      </c>
      <c r="G832" s="130">
        <f t="shared" si="441"/>
        <v>34704.571428571428</v>
      </c>
      <c r="H832" s="130">
        <f t="shared" si="441"/>
        <v>31888.970588235294</v>
      </c>
      <c r="I832" s="130">
        <f t="shared" si="441"/>
        <v>34110.47937569677</v>
      </c>
      <c r="J832" s="314">
        <f t="shared" si="441"/>
        <v>34110.479375696763</v>
      </c>
    </row>
    <row r="833" spans="1:10" x14ac:dyDescent="0.25">
      <c r="A833" s="81" t="s">
        <v>24</v>
      </c>
      <c r="B833" s="450">
        <f t="shared" ref="B833:J833" si="442">B843/B820</f>
        <v>26803.370786516854</v>
      </c>
      <c r="C833" s="130">
        <f t="shared" si="442"/>
        <v>27039.694656488555</v>
      </c>
      <c r="D833" s="130">
        <f t="shared" si="442"/>
        <v>27956.296296296296</v>
      </c>
      <c r="E833" s="130">
        <f t="shared" si="442"/>
        <v>30407.352941176476</v>
      </c>
      <c r="F833" s="130">
        <f t="shared" si="442"/>
        <v>29396.759259259263</v>
      </c>
      <c r="G833" s="130">
        <f t="shared" si="442"/>
        <v>30673.232323232322</v>
      </c>
      <c r="H833" s="130">
        <f t="shared" si="442"/>
        <v>28532.236842105263</v>
      </c>
      <c r="I833" s="130">
        <f t="shared" si="442"/>
        <v>28947.114474929043</v>
      </c>
      <c r="J833" s="314">
        <f t="shared" si="442"/>
        <v>28947.114474929043</v>
      </c>
    </row>
    <row r="834" spans="1:10" x14ac:dyDescent="0.25">
      <c r="A834" s="77" t="s">
        <v>25</v>
      </c>
      <c r="B834" s="451">
        <f t="shared" ref="B834:H834" si="443">B839*B827</f>
        <v>859260.62241379311</v>
      </c>
      <c r="C834" s="92">
        <f t="shared" si="443"/>
        <v>1679146.2931034483</v>
      </c>
      <c r="D834" s="92">
        <f t="shared" si="443"/>
        <v>1970983.0241379312</v>
      </c>
      <c r="E834" s="92">
        <f t="shared" si="443"/>
        <v>1991456.1</v>
      </c>
      <c r="F834" s="92">
        <f t="shared" si="443"/>
        <v>2799504.6844827593</v>
      </c>
      <c r="G834" s="92">
        <f t="shared" si="443"/>
        <v>2966946.8344827588</v>
      </c>
      <c r="H834" s="92">
        <f t="shared" si="443"/>
        <v>2275540.4137931038</v>
      </c>
      <c r="I834" s="92">
        <f>SUM(B834:H834)</f>
        <v>14542837.972413795</v>
      </c>
      <c r="J834" s="300">
        <f t="shared" ref="J834:J839" si="444">+$I834/7</f>
        <v>2077548.2817733993</v>
      </c>
    </row>
    <row r="835" spans="1:10" x14ac:dyDescent="0.25">
      <c r="A835" s="77" t="s">
        <v>26</v>
      </c>
      <c r="B835" s="451">
        <f t="shared" ref="B835:H835" si="445">B839*B828</f>
        <v>0</v>
      </c>
      <c r="C835" s="92">
        <f t="shared" si="445"/>
        <v>0</v>
      </c>
      <c r="D835" s="92">
        <f t="shared" si="445"/>
        <v>0</v>
      </c>
      <c r="E835" s="92">
        <f t="shared" si="445"/>
        <v>34335.450000000004</v>
      </c>
      <c r="F835" s="92">
        <f t="shared" si="445"/>
        <v>105641.68620689657</v>
      </c>
      <c r="G835" s="92">
        <f t="shared" si="445"/>
        <v>150861.70344827586</v>
      </c>
      <c r="H835" s="92">
        <f t="shared" si="445"/>
        <v>71110.637931034493</v>
      </c>
      <c r="I835" s="92">
        <f>SUM(B835:H835)</f>
        <v>361949.47758620692</v>
      </c>
      <c r="J835" s="300">
        <f t="shared" si="444"/>
        <v>51707.06822660099</v>
      </c>
    </row>
    <row r="836" spans="1:10" x14ac:dyDescent="0.25">
      <c r="A836" s="77" t="s">
        <v>27</v>
      </c>
      <c r="B836" s="451">
        <f t="shared" ref="B836:H836" si="446">B839*B829</f>
        <v>1139019.8948275861</v>
      </c>
      <c r="C836" s="92">
        <f t="shared" si="446"/>
        <v>1237265.6896551724</v>
      </c>
      <c r="D836" s="92">
        <f t="shared" si="446"/>
        <v>1157561.4586206896</v>
      </c>
      <c r="E836" s="92">
        <f t="shared" si="446"/>
        <v>1407753.4500000002</v>
      </c>
      <c r="F836" s="92">
        <f t="shared" si="446"/>
        <v>2376937.9396551726</v>
      </c>
      <c r="G836" s="92">
        <f t="shared" si="446"/>
        <v>1910914.9103448277</v>
      </c>
      <c r="H836" s="92">
        <f t="shared" si="446"/>
        <v>1208880.8448275863</v>
      </c>
      <c r="I836" s="92">
        <f>SUM(B836:H836)</f>
        <v>10438334.187931035</v>
      </c>
      <c r="J836" s="300">
        <f t="shared" si="444"/>
        <v>1491190.5982758622</v>
      </c>
    </row>
    <row r="837" spans="1:10" x14ac:dyDescent="0.25">
      <c r="A837" s="77" t="s">
        <v>28</v>
      </c>
      <c r="B837" s="451">
        <f t="shared" ref="B837:H837" si="447">B839*B830</f>
        <v>0</v>
      </c>
      <c r="C837" s="92">
        <f t="shared" si="447"/>
        <v>29458.706896551728</v>
      </c>
      <c r="D837" s="92">
        <f t="shared" si="447"/>
        <v>0</v>
      </c>
      <c r="E837" s="92">
        <f t="shared" si="447"/>
        <v>0</v>
      </c>
      <c r="F837" s="92">
        <f t="shared" si="447"/>
        <v>0</v>
      </c>
      <c r="G837" s="92">
        <f t="shared" si="447"/>
        <v>0</v>
      </c>
      <c r="H837" s="92">
        <f t="shared" si="447"/>
        <v>0</v>
      </c>
      <c r="I837" s="92">
        <f>SUM(B837:H837)</f>
        <v>29458.706896551728</v>
      </c>
      <c r="J837" s="300">
        <f t="shared" si="444"/>
        <v>4208.3866995073895</v>
      </c>
    </row>
    <row r="838" spans="1:10" x14ac:dyDescent="0.25">
      <c r="A838" s="77" t="s">
        <v>29</v>
      </c>
      <c r="B838" s="451">
        <f t="shared" ref="B838:H838" si="448">B839*B831</f>
        <v>0</v>
      </c>
      <c r="C838" s="92">
        <f t="shared" si="448"/>
        <v>0</v>
      </c>
      <c r="D838" s="92">
        <f t="shared" si="448"/>
        <v>0</v>
      </c>
      <c r="E838" s="92">
        <f t="shared" si="448"/>
        <v>0</v>
      </c>
      <c r="F838" s="92">
        <f t="shared" si="448"/>
        <v>0</v>
      </c>
      <c r="G838" s="92">
        <f t="shared" si="448"/>
        <v>0</v>
      </c>
      <c r="H838" s="92">
        <f t="shared" si="448"/>
        <v>0</v>
      </c>
      <c r="I838" s="92">
        <f>SUM(B838:H838)</f>
        <v>0</v>
      </c>
      <c r="J838" s="300">
        <f t="shared" si="444"/>
        <v>0</v>
      </c>
    </row>
    <row r="839" spans="1:10" x14ac:dyDescent="0.25">
      <c r="A839" s="82" t="s">
        <v>30</v>
      </c>
      <c r="B839" s="237">
        <f>(2385500/1.16)-B840</f>
        <v>1998280.5172413795</v>
      </c>
      <c r="C839" s="237">
        <f>(3542200/1.16)-C840</f>
        <v>2945870.6896551726</v>
      </c>
      <c r="D839" s="237">
        <f>(3774100/1.16)-D840</f>
        <v>3128544.4827586208</v>
      </c>
      <c r="E839" s="237">
        <f>(4135400/1.16)-E840</f>
        <v>3433545.0000000005</v>
      </c>
      <c r="F839" s="237">
        <f>(6349700/1.16)-F840</f>
        <v>5282084.3103448283</v>
      </c>
      <c r="G839" s="237">
        <f>(6073300/1.16)-G840</f>
        <v>5028723.4482758623</v>
      </c>
      <c r="H839" s="237">
        <f>(4336900/1.16)-H840</f>
        <v>3555531.8965517245</v>
      </c>
      <c r="I839" s="91">
        <f>SUM(I834:I838)</f>
        <v>25372580.344827585</v>
      </c>
      <c r="J839" s="361">
        <f t="shared" si="444"/>
        <v>3624654.3349753693</v>
      </c>
    </row>
    <row r="840" spans="1:10" x14ac:dyDescent="0.25">
      <c r="A840" s="77" t="s">
        <v>31</v>
      </c>
      <c r="B840" s="452">
        <f t="shared" ref="B840:H840" si="449">2155*B821</f>
        <v>58185</v>
      </c>
      <c r="C840" s="94">
        <f t="shared" si="449"/>
        <v>107750</v>
      </c>
      <c r="D840" s="94">
        <f t="shared" si="449"/>
        <v>124990</v>
      </c>
      <c r="E840" s="94">
        <f t="shared" si="449"/>
        <v>131455</v>
      </c>
      <c r="F840" s="94">
        <f t="shared" si="449"/>
        <v>191795</v>
      </c>
      <c r="G840" s="94">
        <f t="shared" si="449"/>
        <v>206880</v>
      </c>
      <c r="H840" s="94">
        <f t="shared" si="449"/>
        <v>183175</v>
      </c>
      <c r="I840" s="94">
        <f>I821*2155</f>
        <v>1004230</v>
      </c>
      <c r="J840" s="302">
        <f>2155*J821</f>
        <v>143461.42857142858</v>
      </c>
    </row>
    <row r="841" spans="1:10" x14ac:dyDescent="0.25">
      <c r="A841" s="83" t="s">
        <v>32</v>
      </c>
      <c r="B841" s="453">
        <f t="shared" ref="B841:J841" si="450">B839+B840</f>
        <v>2056465.5172413795</v>
      </c>
      <c r="C841" s="39">
        <f t="shared" si="450"/>
        <v>3053620.6896551726</v>
      </c>
      <c r="D841" s="39">
        <f t="shared" si="450"/>
        <v>3253534.4827586208</v>
      </c>
      <c r="E841" s="39">
        <f t="shared" si="450"/>
        <v>3565000.0000000005</v>
      </c>
      <c r="F841" s="39">
        <f t="shared" si="450"/>
        <v>5473879.3103448283</v>
      </c>
      <c r="G841" s="39">
        <f t="shared" si="450"/>
        <v>5235603.4482758623</v>
      </c>
      <c r="H841" s="39">
        <f t="shared" si="450"/>
        <v>3738706.8965517245</v>
      </c>
      <c r="I841" s="39">
        <f t="shared" si="450"/>
        <v>26376810.344827585</v>
      </c>
      <c r="J841" s="364">
        <f t="shared" si="450"/>
        <v>3768115.7635467979</v>
      </c>
    </row>
    <row r="842" spans="1:10" x14ac:dyDescent="0.25">
      <c r="A842" s="77" t="s">
        <v>33</v>
      </c>
      <c r="B842" s="454">
        <f t="shared" ref="B842:J842" si="451">B841*16%</f>
        <v>329034.4827586207</v>
      </c>
      <c r="C842" s="41">
        <f t="shared" si="451"/>
        <v>488579.31034482765</v>
      </c>
      <c r="D842" s="41">
        <f t="shared" si="451"/>
        <v>520565.5172413793</v>
      </c>
      <c r="E842" s="41">
        <f t="shared" si="451"/>
        <v>570400.00000000012</v>
      </c>
      <c r="F842" s="41">
        <f t="shared" si="451"/>
        <v>875820.68965517252</v>
      </c>
      <c r="G842" s="41">
        <f t="shared" si="451"/>
        <v>837696.55172413797</v>
      </c>
      <c r="H842" s="41">
        <f t="shared" si="451"/>
        <v>598193.10344827594</v>
      </c>
      <c r="I842" s="41">
        <f t="shared" si="451"/>
        <v>4220289.6551724132</v>
      </c>
      <c r="J842" s="492">
        <f t="shared" si="451"/>
        <v>602898.52216748765</v>
      </c>
    </row>
    <row r="843" spans="1:10" x14ac:dyDescent="0.25">
      <c r="A843" s="142" t="s">
        <v>34</v>
      </c>
      <c r="B843" s="438">
        <f t="shared" ref="B843:I843" si="452">B841+B842</f>
        <v>2385500</v>
      </c>
      <c r="C843" s="144">
        <f t="shared" si="452"/>
        <v>3542200.0000000005</v>
      </c>
      <c r="D843" s="144">
        <f t="shared" si="452"/>
        <v>3774100</v>
      </c>
      <c r="E843" s="144">
        <f t="shared" si="452"/>
        <v>4135400.0000000005</v>
      </c>
      <c r="F843" s="144">
        <f t="shared" si="452"/>
        <v>6349700.0000000009</v>
      </c>
      <c r="G843" s="144">
        <f t="shared" si="452"/>
        <v>6073300</v>
      </c>
      <c r="H843" s="144">
        <f t="shared" si="452"/>
        <v>4336900</v>
      </c>
      <c r="I843" s="144">
        <f t="shared" si="452"/>
        <v>30597100</v>
      </c>
      <c r="J843" s="441">
        <f>+$I843/7</f>
        <v>4371014.2857142854</v>
      </c>
    </row>
    <row r="844" spans="1:10" x14ac:dyDescent="0.25">
      <c r="I844" s="89"/>
    </row>
    <row r="845" spans="1:10" ht="26.25" x14ac:dyDescent="0.25">
      <c r="A845" s="85"/>
      <c r="B845" s="1002" t="s">
        <v>372</v>
      </c>
      <c r="C845" s="1002"/>
      <c r="D845" s="1002"/>
      <c r="E845" s="1002"/>
      <c r="F845" s="1002"/>
      <c r="G845" s="1002"/>
      <c r="H845" s="1002"/>
      <c r="I845" s="1002"/>
    </row>
    <row r="846" spans="1:10" ht="15.75" x14ac:dyDescent="0.25">
      <c r="A846" s="72" t="s">
        <v>2</v>
      </c>
      <c r="B846" s="491" t="s">
        <v>337</v>
      </c>
      <c r="C846" s="232" t="s">
        <v>338</v>
      </c>
      <c r="D846" s="232" t="s">
        <v>339</v>
      </c>
      <c r="E846" s="232" t="s">
        <v>340</v>
      </c>
      <c r="F846" s="232" t="s">
        <v>341</v>
      </c>
      <c r="G846" s="232" t="s">
        <v>342</v>
      </c>
      <c r="H846" s="232" t="s">
        <v>343</v>
      </c>
      <c r="I846" s="153" t="s">
        <v>10</v>
      </c>
      <c r="J846" s="490" t="s">
        <v>77</v>
      </c>
    </row>
    <row r="847" spans="1:10" x14ac:dyDescent="0.25">
      <c r="A847" s="430" t="s">
        <v>11</v>
      </c>
      <c r="B847" s="433">
        <f>55+30+8</f>
        <v>93</v>
      </c>
      <c r="C847" s="75">
        <f>69+33+18</f>
        <v>120</v>
      </c>
      <c r="D847" s="75">
        <f>87+34+13</f>
        <v>134</v>
      </c>
      <c r="E847" s="75">
        <f>84+36+9</f>
        <v>129</v>
      </c>
      <c r="F847" s="75">
        <f>173+89+23</f>
        <v>285</v>
      </c>
      <c r="G847" s="75">
        <f>128+71+26</f>
        <v>225</v>
      </c>
      <c r="H847" s="75">
        <f>140+57+21</f>
        <v>218</v>
      </c>
      <c r="I847" s="467">
        <f t="shared" ref="I847:I852" si="453">SUM(B847:H847)</f>
        <v>1204</v>
      </c>
      <c r="J847" s="468">
        <f>+$I847/7</f>
        <v>172</v>
      </c>
    </row>
    <row r="848" spans="1:10" x14ac:dyDescent="0.25">
      <c r="A848" s="77" t="s">
        <v>12</v>
      </c>
      <c r="B848" s="233">
        <v>46</v>
      </c>
      <c r="C848" s="13">
        <v>48</v>
      </c>
      <c r="D848" s="13">
        <v>52</v>
      </c>
      <c r="E848" s="13">
        <v>41</v>
      </c>
      <c r="F848" s="13">
        <v>103</v>
      </c>
      <c r="G848" s="320">
        <v>86</v>
      </c>
      <c r="H848" s="13">
        <v>124</v>
      </c>
      <c r="I848" s="11">
        <f t="shared" si="453"/>
        <v>500</v>
      </c>
      <c r="J848" s="470">
        <f t="shared" ref="J848:J853" si="454">+$I848/7</f>
        <v>71.428571428571431</v>
      </c>
    </row>
    <row r="849" spans="1:10" x14ac:dyDescent="0.25">
      <c r="A849" s="77" t="s">
        <v>13</v>
      </c>
      <c r="B849" s="233">
        <v>0</v>
      </c>
      <c r="C849" s="13">
        <v>1</v>
      </c>
      <c r="D849" s="13">
        <v>4</v>
      </c>
      <c r="E849" s="13">
        <v>3</v>
      </c>
      <c r="F849" s="13">
        <v>5</v>
      </c>
      <c r="G849" s="13">
        <v>2</v>
      </c>
      <c r="H849" s="13">
        <v>4</v>
      </c>
      <c r="I849" s="11">
        <f t="shared" si="453"/>
        <v>19</v>
      </c>
      <c r="J849" s="470">
        <f t="shared" si="454"/>
        <v>2.7142857142857144</v>
      </c>
    </row>
    <row r="850" spans="1:10" x14ac:dyDescent="0.25">
      <c r="A850" s="77" t="s">
        <v>14</v>
      </c>
      <c r="B850" s="233">
        <v>33</v>
      </c>
      <c r="C850" s="13">
        <v>41</v>
      </c>
      <c r="D850" s="13">
        <v>62</v>
      </c>
      <c r="E850" s="13">
        <v>60</v>
      </c>
      <c r="F850" s="13">
        <v>131</v>
      </c>
      <c r="G850" s="13">
        <v>66</v>
      </c>
      <c r="H850" s="13">
        <v>46</v>
      </c>
      <c r="I850" s="11">
        <f t="shared" si="453"/>
        <v>439</v>
      </c>
      <c r="J850" s="470">
        <f t="shared" si="454"/>
        <v>62.714285714285715</v>
      </c>
    </row>
    <row r="851" spans="1:10" x14ac:dyDescent="0.25">
      <c r="A851" s="77" t="s">
        <v>15</v>
      </c>
      <c r="B851" s="233">
        <v>0</v>
      </c>
      <c r="C851" s="13">
        <v>0</v>
      </c>
      <c r="D851" s="13">
        <v>0</v>
      </c>
      <c r="E851" s="13">
        <v>0</v>
      </c>
      <c r="F851" s="13">
        <v>0</v>
      </c>
      <c r="G851" s="13">
        <v>0</v>
      </c>
      <c r="H851" s="13">
        <v>0</v>
      </c>
      <c r="I851" s="11">
        <f t="shared" si="453"/>
        <v>0</v>
      </c>
      <c r="J851" s="470">
        <f t="shared" si="454"/>
        <v>0</v>
      </c>
    </row>
    <row r="852" spans="1:10" x14ac:dyDescent="0.25">
      <c r="A852" s="77" t="s">
        <v>16</v>
      </c>
      <c r="B852" s="233">
        <v>0</v>
      </c>
      <c r="C852" s="13">
        <v>0</v>
      </c>
      <c r="D852" s="13">
        <v>0</v>
      </c>
      <c r="E852" s="13">
        <v>0</v>
      </c>
      <c r="F852" s="13">
        <v>1</v>
      </c>
      <c r="G852" s="13">
        <v>1</v>
      </c>
      <c r="H852" s="13">
        <v>0</v>
      </c>
      <c r="I852" s="11">
        <f t="shared" si="453"/>
        <v>2</v>
      </c>
      <c r="J852" s="470">
        <f t="shared" si="454"/>
        <v>0.2857142857142857</v>
      </c>
    </row>
    <row r="853" spans="1:10" x14ac:dyDescent="0.25">
      <c r="A853" s="79" t="s">
        <v>17</v>
      </c>
      <c r="B853" s="102">
        <f t="shared" ref="B853:I853" si="455">SUM(B848:B852)</f>
        <v>79</v>
      </c>
      <c r="C853" s="102">
        <f t="shared" si="455"/>
        <v>90</v>
      </c>
      <c r="D853" s="102">
        <f t="shared" si="455"/>
        <v>118</v>
      </c>
      <c r="E853" s="102">
        <f t="shared" si="455"/>
        <v>104</v>
      </c>
      <c r="F853" s="102">
        <f t="shared" si="455"/>
        <v>240</v>
      </c>
      <c r="G853" s="79">
        <f t="shared" si="455"/>
        <v>155</v>
      </c>
      <c r="H853" s="79">
        <f t="shared" si="455"/>
        <v>174</v>
      </c>
      <c r="I853" s="472">
        <f t="shared" si="455"/>
        <v>960</v>
      </c>
      <c r="J853" s="473">
        <f t="shared" si="454"/>
        <v>137.14285714285714</v>
      </c>
    </row>
    <row r="854" spans="1:10" x14ac:dyDescent="0.25">
      <c r="A854" s="77" t="s">
        <v>18</v>
      </c>
      <c r="B854" s="234">
        <v>0.66</v>
      </c>
      <c r="C854" s="235">
        <v>0.6</v>
      </c>
      <c r="D854" s="235">
        <v>0.49</v>
      </c>
      <c r="E854" s="236">
        <v>0.44</v>
      </c>
      <c r="F854" s="236">
        <v>0.46</v>
      </c>
      <c r="G854" s="236">
        <v>0.47</v>
      </c>
      <c r="H854" s="236">
        <v>0.74</v>
      </c>
      <c r="I854" s="18">
        <f>I861/I866</f>
        <v>0.54159651092333694</v>
      </c>
      <c r="J854" s="475">
        <f>J861/J866</f>
        <v>0.54159651092333694</v>
      </c>
    </row>
    <row r="855" spans="1:10" x14ac:dyDescent="0.25">
      <c r="A855" s="77" t="s">
        <v>19</v>
      </c>
      <c r="B855" s="234">
        <v>0</v>
      </c>
      <c r="C855" s="235">
        <v>0.01</v>
      </c>
      <c r="D855" s="235">
        <v>0.02</v>
      </c>
      <c r="E855" s="236">
        <v>0.02</v>
      </c>
      <c r="F855" s="236">
        <v>0.01</v>
      </c>
      <c r="G855" s="236">
        <v>0.01</v>
      </c>
      <c r="H855" s="236">
        <v>0.02</v>
      </c>
      <c r="I855" s="18">
        <f>I862/I866</f>
        <v>1.3225698018128744E-2</v>
      </c>
      <c r="J855" s="475">
        <f>J862/J866</f>
        <v>1.3225698018128744E-2</v>
      </c>
    </row>
    <row r="856" spans="1:10" x14ac:dyDescent="0.25">
      <c r="A856" s="77" t="s">
        <v>20</v>
      </c>
      <c r="B856" s="234">
        <v>0.34</v>
      </c>
      <c r="C856" s="235">
        <v>0.39</v>
      </c>
      <c r="D856" s="235">
        <v>0.49</v>
      </c>
      <c r="E856" s="236">
        <v>0.54</v>
      </c>
      <c r="F856" s="236">
        <v>0.52</v>
      </c>
      <c r="G856" s="236">
        <v>0.51</v>
      </c>
      <c r="H856" s="236">
        <v>0.24</v>
      </c>
      <c r="I856" s="18">
        <f>I863/I866</f>
        <v>0.4407939416807497</v>
      </c>
      <c r="J856" s="475">
        <f>J863/J866</f>
        <v>0.4407939416807497</v>
      </c>
    </row>
    <row r="857" spans="1:10" x14ac:dyDescent="0.25">
      <c r="A857" s="77" t="s">
        <v>21</v>
      </c>
      <c r="B857" s="234">
        <v>0</v>
      </c>
      <c r="C857" s="235">
        <v>0</v>
      </c>
      <c r="D857" s="235">
        <v>0</v>
      </c>
      <c r="E857" s="236">
        <v>0</v>
      </c>
      <c r="F857" s="236">
        <v>0</v>
      </c>
      <c r="G857" s="236">
        <v>0</v>
      </c>
      <c r="H857" s="236">
        <v>0</v>
      </c>
      <c r="I857" s="18">
        <f>I864/I866</f>
        <v>0</v>
      </c>
      <c r="J857" s="475">
        <f>J864/J866</f>
        <v>0</v>
      </c>
    </row>
    <row r="858" spans="1:10" x14ac:dyDescent="0.25">
      <c r="A858" s="77" t="s">
        <v>22</v>
      </c>
      <c r="B858" s="234">
        <v>0</v>
      </c>
      <c r="C858" s="235">
        <v>0</v>
      </c>
      <c r="D858" s="235">
        <v>0</v>
      </c>
      <c r="E858" s="236">
        <v>0</v>
      </c>
      <c r="F858" s="236">
        <v>0.01</v>
      </c>
      <c r="G858" s="236">
        <v>0.01</v>
      </c>
      <c r="H858" s="236">
        <v>0</v>
      </c>
      <c r="I858" s="18">
        <f>I865/I866</f>
        <v>4.3838493777846061E-3</v>
      </c>
      <c r="J858" s="475">
        <f>J865/J866</f>
        <v>4.3838493777846052E-3</v>
      </c>
    </row>
    <row r="859" spans="1:10" x14ac:dyDescent="0.25">
      <c r="A859" s="81" t="s">
        <v>23</v>
      </c>
      <c r="B859" s="450">
        <f t="shared" ref="B859:J859" si="456">B870/B853</f>
        <v>31463.291139240508</v>
      </c>
      <c r="C859" s="130">
        <f t="shared" si="456"/>
        <v>35094.444444444445</v>
      </c>
      <c r="D859" s="130">
        <f t="shared" si="456"/>
        <v>30886.440677966104</v>
      </c>
      <c r="E859" s="130">
        <f t="shared" si="456"/>
        <v>34066.346153846156</v>
      </c>
      <c r="F859" s="130">
        <f t="shared" si="456"/>
        <v>34019.583333333336</v>
      </c>
      <c r="G859" s="130">
        <f t="shared" si="456"/>
        <v>42419.354838709674</v>
      </c>
      <c r="H859" s="130">
        <f t="shared" si="456"/>
        <v>35767.816091954024</v>
      </c>
      <c r="I859" s="130">
        <f t="shared" si="456"/>
        <v>35203.020833333336</v>
      </c>
      <c r="J859" s="314">
        <f t="shared" si="456"/>
        <v>35203.020833333336</v>
      </c>
    </row>
    <row r="860" spans="1:10" x14ac:dyDescent="0.25">
      <c r="A860" s="81" t="s">
        <v>24</v>
      </c>
      <c r="B860" s="450">
        <f t="shared" ref="B860:J860" si="457">B870/B847</f>
        <v>26726.881720430109</v>
      </c>
      <c r="C860" s="130">
        <f t="shared" si="457"/>
        <v>26320.833333333332</v>
      </c>
      <c r="D860" s="130">
        <f t="shared" si="457"/>
        <v>27198.507462686572</v>
      </c>
      <c r="E860" s="130">
        <f t="shared" si="457"/>
        <v>27464.34108527132</v>
      </c>
      <c r="F860" s="130">
        <f t="shared" si="457"/>
        <v>28648.070175438595</v>
      </c>
      <c r="G860" s="130">
        <f t="shared" si="457"/>
        <v>29222.222222222223</v>
      </c>
      <c r="H860" s="130">
        <f t="shared" si="457"/>
        <v>28548.623853211007</v>
      </c>
      <c r="I860" s="130">
        <f t="shared" si="457"/>
        <v>28068.853820598008</v>
      </c>
      <c r="J860" s="314">
        <f t="shared" si="457"/>
        <v>28068.853820598008</v>
      </c>
    </row>
    <row r="861" spans="1:10" x14ac:dyDescent="0.25">
      <c r="A861" s="77" t="s">
        <v>25</v>
      </c>
      <c r="B861" s="451">
        <f t="shared" ref="B861:H861" si="458">B866*B854</f>
        <v>1348794.8896551726</v>
      </c>
      <c r="C861" s="92">
        <f t="shared" si="458"/>
        <v>1571642.8965517243</v>
      </c>
      <c r="D861" s="92">
        <f t="shared" si="458"/>
        <v>1484619.9103448277</v>
      </c>
      <c r="E861" s="92">
        <f t="shared" si="458"/>
        <v>1304982.4206896555</v>
      </c>
      <c r="F861" s="92">
        <f t="shared" si="458"/>
        <v>3135621.9620689657</v>
      </c>
      <c r="G861" s="92">
        <f t="shared" si="458"/>
        <v>2576903.5206896551</v>
      </c>
      <c r="H861" s="92">
        <f t="shared" si="458"/>
        <v>3772484.7862068969</v>
      </c>
      <c r="I861" s="92">
        <f>SUM(B861:H861)</f>
        <v>15195050.386206899</v>
      </c>
      <c r="J861" s="300">
        <f t="shared" ref="J861:J866" si="459">+$I861/7</f>
        <v>2170721.4837438427</v>
      </c>
    </row>
    <row r="862" spans="1:10" x14ac:dyDescent="0.25">
      <c r="A862" s="77" t="s">
        <v>26</v>
      </c>
      <c r="B862" s="451">
        <f t="shared" ref="B862:H862" si="460">B866*B855</f>
        <v>0</v>
      </c>
      <c r="C862" s="92">
        <f t="shared" si="460"/>
        <v>26194.048275862071</v>
      </c>
      <c r="D862" s="92">
        <f t="shared" si="460"/>
        <v>60596.731034482764</v>
      </c>
      <c r="E862" s="92">
        <f t="shared" si="460"/>
        <v>59317.382758620697</v>
      </c>
      <c r="F862" s="92">
        <f t="shared" si="460"/>
        <v>68165.694827586209</v>
      </c>
      <c r="G862" s="92">
        <f t="shared" si="460"/>
        <v>54827.73448275862</v>
      </c>
      <c r="H862" s="92">
        <f t="shared" si="460"/>
        <v>101959.04827586208</v>
      </c>
      <c r="I862" s="92">
        <f>SUM(B862:H862)</f>
        <v>371060.63965517242</v>
      </c>
      <c r="J862" s="300">
        <f t="shared" si="459"/>
        <v>53008.662807881774</v>
      </c>
    </row>
    <row r="863" spans="1:10" x14ac:dyDescent="0.25">
      <c r="A863" s="77" t="s">
        <v>27</v>
      </c>
      <c r="B863" s="451">
        <f t="shared" ref="B863:H863" si="461">B866*B856</f>
        <v>694833.73103448283</v>
      </c>
      <c r="C863" s="92">
        <f t="shared" si="461"/>
        <v>1021567.8827586208</v>
      </c>
      <c r="D863" s="92">
        <f t="shared" si="461"/>
        <v>1484619.9103448277</v>
      </c>
      <c r="E863" s="92">
        <f t="shared" si="461"/>
        <v>1601569.334482759</v>
      </c>
      <c r="F863" s="92">
        <f t="shared" si="461"/>
        <v>3544616.1310344827</v>
      </c>
      <c r="G863" s="92">
        <f t="shared" si="461"/>
        <v>2796214.4586206898</v>
      </c>
      <c r="H863" s="92">
        <f t="shared" si="461"/>
        <v>1223508.5793103448</v>
      </c>
      <c r="I863" s="92">
        <f>SUM(B863:H863)</f>
        <v>12366930.027586207</v>
      </c>
      <c r="J863" s="300">
        <f t="shared" si="459"/>
        <v>1766704.2896551725</v>
      </c>
    </row>
    <row r="864" spans="1:10" x14ac:dyDescent="0.25">
      <c r="A864" s="77" t="s">
        <v>28</v>
      </c>
      <c r="B864" s="451">
        <f t="shared" ref="B864:H864" si="462">B866*B857</f>
        <v>0</v>
      </c>
      <c r="C864" s="92">
        <f t="shared" si="462"/>
        <v>0</v>
      </c>
      <c r="D864" s="92">
        <f t="shared" si="462"/>
        <v>0</v>
      </c>
      <c r="E864" s="92">
        <f t="shared" si="462"/>
        <v>0</v>
      </c>
      <c r="F864" s="92">
        <f t="shared" si="462"/>
        <v>0</v>
      </c>
      <c r="G864" s="92">
        <f t="shared" si="462"/>
        <v>0</v>
      </c>
      <c r="H864" s="92">
        <f t="shared" si="462"/>
        <v>0</v>
      </c>
      <c r="I864" s="92">
        <f>SUM(B864:H864)</f>
        <v>0</v>
      </c>
      <c r="J864" s="300">
        <f t="shared" si="459"/>
        <v>0</v>
      </c>
    </row>
    <row r="865" spans="1:10" x14ac:dyDescent="0.25">
      <c r="A865" s="77" t="s">
        <v>29</v>
      </c>
      <c r="B865" s="451">
        <f t="shared" ref="B865:H865" si="463">B866*B858</f>
        <v>0</v>
      </c>
      <c r="C865" s="92">
        <f t="shared" si="463"/>
        <v>0</v>
      </c>
      <c r="D865" s="92">
        <f t="shared" si="463"/>
        <v>0</v>
      </c>
      <c r="E865" s="92">
        <f t="shared" si="463"/>
        <v>0</v>
      </c>
      <c r="F865" s="92">
        <f t="shared" si="463"/>
        <v>68165.694827586209</v>
      </c>
      <c r="G865" s="92">
        <f t="shared" si="463"/>
        <v>54827.73448275862</v>
      </c>
      <c r="H865" s="92">
        <f t="shared" si="463"/>
        <v>0</v>
      </c>
      <c r="I865" s="92">
        <f>SUM(B865:H865)</f>
        <v>122993.42931034483</v>
      </c>
      <c r="J865" s="300">
        <f t="shared" si="459"/>
        <v>17570.489901477831</v>
      </c>
    </row>
    <row r="866" spans="1:10" x14ac:dyDescent="0.25">
      <c r="A866" s="82" t="s">
        <v>30</v>
      </c>
      <c r="B866" s="237">
        <f>(2485600/1.16)-B867</f>
        <v>2043628.6206896552</v>
      </c>
      <c r="C866" s="237">
        <f>(3158500/1.16)-C867</f>
        <v>2619404.8275862071</v>
      </c>
      <c r="D866" s="237">
        <f>(3644600/1.16)-D867</f>
        <v>3029836.5517241382</v>
      </c>
      <c r="E866" s="237">
        <f>(3542900/1.16)-E867</f>
        <v>2965869.1379310349</v>
      </c>
      <c r="F866" s="237">
        <f>(8164700/1.16)-F867</f>
        <v>6816569.4827586208</v>
      </c>
      <c r="G866" s="237">
        <f>(6575000/1.16)-G867</f>
        <v>5482773.4482758623</v>
      </c>
      <c r="H866" s="237">
        <f>(6223600/1.16)-H867</f>
        <v>5097952.4137931038</v>
      </c>
      <c r="I866" s="91">
        <f>SUM(I861:I865)</f>
        <v>28056034.482758623</v>
      </c>
      <c r="J866" s="361">
        <f t="shared" si="459"/>
        <v>4008004.9261083747</v>
      </c>
    </row>
    <row r="867" spans="1:10" x14ac:dyDescent="0.25">
      <c r="A867" s="77" t="s">
        <v>31</v>
      </c>
      <c r="B867" s="452">
        <f t="shared" ref="B867:H867" si="464">2155*B848</f>
        <v>99130</v>
      </c>
      <c r="C867" s="94">
        <f t="shared" si="464"/>
        <v>103440</v>
      </c>
      <c r="D867" s="94">
        <f t="shared" si="464"/>
        <v>112060</v>
      </c>
      <c r="E867" s="94">
        <f t="shared" si="464"/>
        <v>88355</v>
      </c>
      <c r="F867" s="94">
        <f t="shared" si="464"/>
        <v>221965</v>
      </c>
      <c r="G867" s="94">
        <f t="shared" si="464"/>
        <v>185330</v>
      </c>
      <c r="H867" s="94">
        <f t="shared" si="464"/>
        <v>267220</v>
      </c>
      <c r="I867" s="94">
        <f>I848*2155</f>
        <v>1077500</v>
      </c>
      <c r="J867" s="302">
        <f>2155*J848</f>
        <v>153928.57142857142</v>
      </c>
    </row>
    <row r="868" spans="1:10" x14ac:dyDescent="0.25">
      <c r="A868" s="83" t="s">
        <v>32</v>
      </c>
      <c r="B868" s="453">
        <f t="shared" ref="B868:J868" si="465">B866+B867</f>
        <v>2142758.6206896552</v>
      </c>
      <c r="C868" s="39">
        <f t="shared" si="465"/>
        <v>2722844.8275862071</v>
      </c>
      <c r="D868" s="39">
        <f t="shared" si="465"/>
        <v>3141896.5517241382</v>
      </c>
      <c r="E868" s="39">
        <f t="shared" si="465"/>
        <v>3054224.1379310349</v>
      </c>
      <c r="F868" s="39">
        <f t="shared" si="465"/>
        <v>7038534.4827586208</v>
      </c>
      <c r="G868" s="39">
        <f t="shared" si="465"/>
        <v>5668103.4482758623</v>
      </c>
      <c r="H868" s="39">
        <f t="shared" si="465"/>
        <v>5365172.4137931038</v>
      </c>
      <c r="I868" s="39">
        <f t="shared" si="465"/>
        <v>29133534.482758623</v>
      </c>
      <c r="J868" s="364">
        <f t="shared" si="465"/>
        <v>4161933.4975369461</v>
      </c>
    </row>
    <row r="869" spans="1:10" x14ac:dyDescent="0.25">
      <c r="A869" s="77" t="s">
        <v>33</v>
      </c>
      <c r="B869" s="454">
        <f t="shared" ref="B869:J869" si="466">B868*16%</f>
        <v>342841.37931034481</v>
      </c>
      <c r="C869" s="41">
        <f t="shared" si="466"/>
        <v>435655.17241379316</v>
      </c>
      <c r="D869" s="41">
        <f t="shared" si="466"/>
        <v>502703.44827586215</v>
      </c>
      <c r="E869" s="41">
        <f t="shared" si="466"/>
        <v>488675.86206896557</v>
      </c>
      <c r="F869" s="41">
        <f t="shared" si="466"/>
        <v>1126165.5172413792</v>
      </c>
      <c r="G869" s="41">
        <f t="shared" si="466"/>
        <v>906896.55172413797</v>
      </c>
      <c r="H869" s="41">
        <f t="shared" si="466"/>
        <v>858427.58620689658</v>
      </c>
      <c r="I869" s="41">
        <f t="shared" si="466"/>
        <v>4661365.5172413802</v>
      </c>
      <c r="J869" s="492">
        <f t="shared" si="466"/>
        <v>665909.35960591142</v>
      </c>
    </row>
    <row r="870" spans="1:10" x14ac:dyDescent="0.25">
      <c r="A870" s="142" t="s">
        <v>34</v>
      </c>
      <c r="B870" s="438">
        <f t="shared" ref="B870:I870" si="467">B868+B869</f>
        <v>2485600</v>
      </c>
      <c r="C870" s="144">
        <f t="shared" si="467"/>
        <v>3158500</v>
      </c>
      <c r="D870" s="144">
        <f t="shared" si="467"/>
        <v>3644600.0000000005</v>
      </c>
      <c r="E870" s="144">
        <f t="shared" si="467"/>
        <v>3542900.0000000005</v>
      </c>
      <c r="F870" s="144">
        <f t="shared" si="467"/>
        <v>8164700</v>
      </c>
      <c r="G870" s="144">
        <f t="shared" si="467"/>
        <v>6575000</v>
      </c>
      <c r="H870" s="144">
        <f t="shared" si="467"/>
        <v>6223600</v>
      </c>
      <c r="I870" s="144">
        <f t="shared" si="467"/>
        <v>33794900</v>
      </c>
      <c r="J870" s="441">
        <f>+$I870/7</f>
        <v>4827842.8571428573</v>
      </c>
    </row>
    <row r="871" spans="1:10" x14ac:dyDescent="0.25">
      <c r="I871" s="89"/>
    </row>
    <row r="872" spans="1:10" ht="26.25" x14ac:dyDescent="0.25">
      <c r="A872" s="85"/>
      <c r="B872" s="1002" t="s">
        <v>373</v>
      </c>
      <c r="C872" s="1002"/>
      <c r="D872" s="1002"/>
      <c r="E872" s="1002"/>
      <c r="F872" s="1002"/>
      <c r="G872" s="1002"/>
      <c r="H872" s="1002"/>
      <c r="I872" s="1002"/>
    </row>
    <row r="873" spans="1:10" ht="15.75" x14ac:dyDescent="0.25">
      <c r="A873" s="72" t="s">
        <v>2</v>
      </c>
      <c r="B873" s="153" t="s">
        <v>345</v>
      </c>
      <c r="C873" s="153" t="s">
        <v>346</v>
      </c>
      <c r="D873" s="153" t="s">
        <v>347</v>
      </c>
      <c r="E873" s="153" t="s">
        <v>348</v>
      </c>
      <c r="F873" s="153" t="s">
        <v>349</v>
      </c>
      <c r="G873" s="153" t="s">
        <v>350</v>
      </c>
      <c r="H873" s="153" t="s">
        <v>351</v>
      </c>
      <c r="I873" s="153" t="s">
        <v>10</v>
      </c>
      <c r="J873" s="490" t="s">
        <v>77</v>
      </c>
    </row>
    <row r="874" spans="1:10" x14ac:dyDescent="0.25">
      <c r="A874" s="430" t="s">
        <v>11</v>
      </c>
      <c r="B874" s="433">
        <f>60+22+10</f>
        <v>92</v>
      </c>
      <c r="C874" s="75">
        <f>62+35+12</f>
        <v>109</v>
      </c>
      <c r="D874" s="75">
        <f>60+31+11</f>
        <v>102</v>
      </c>
      <c r="E874" s="75">
        <f>94+37+12</f>
        <v>143</v>
      </c>
      <c r="F874" s="75">
        <f>151+70+24</f>
        <v>245</v>
      </c>
      <c r="G874" s="75">
        <f>99+57+27</f>
        <v>183</v>
      </c>
      <c r="H874" s="75">
        <f>122+64+18</f>
        <v>204</v>
      </c>
      <c r="I874" s="467">
        <f t="shared" ref="I874:I879" si="468">SUM(B874:H874)</f>
        <v>1078</v>
      </c>
      <c r="J874" s="468">
        <f>+$I874/7</f>
        <v>154</v>
      </c>
    </row>
    <row r="875" spans="1:10" x14ac:dyDescent="0.25">
      <c r="A875" s="77" t="s">
        <v>12</v>
      </c>
      <c r="B875" s="233">
        <v>28</v>
      </c>
      <c r="C875" s="13">
        <v>39</v>
      </c>
      <c r="D875" s="13">
        <v>39</v>
      </c>
      <c r="E875" s="13">
        <v>53</v>
      </c>
      <c r="F875" s="13">
        <v>77</v>
      </c>
      <c r="G875" s="320">
        <v>84</v>
      </c>
      <c r="H875" s="13">
        <v>102</v>
      </c>
      <c r="I875" s="11">
        <f t="shared" si="468"/>
        <v>422</v>
      </c>
      <c r="J875" s="470">
        <f t="shared" ref="J875:J880" si="469">+$I875/7</f>
        <v>60.285714285714285</v>
      </c>
    </row>
    <row r="876" spans="1:10" x14ac:dyDescent="0.25">
      <c r="A876" s="77" t="s">
        <v>13</v>
      </c>
      <c r="B876" s="233">
        <v>4</v>
      </c>
      <c r="C876" s="13">
        <v>3</v>
      </c>
      <c r="D876" s="13">
        <v>0</v>
      </c>
      <c r="E876" s="13">
        <v>1</v>
      </c>
      <c r="F876" s="13">
        <v>3</v>
      </c>
      <c r="G876" s="13">
        <v>4</v>
      </c>
      <c r="H876" s="13">
        <v>2</v>
      </c>
      <c r="I876" s="11">
        <f t="shared" si="468"/>
        <v>17</v>
      </c>
      <c r="J876" s="470">
        <f t="shared" si="469"/>
        <v>2.4285714285714284</v>
      </c>
    </row>
    <row r="877" spans="1:10" x14ac:dyDescent="0.25">
      <c r="A877" s="77" t="s">
        <v>14</v>
      </c>
      <c r="B877" s="233">
        <v>45</v>
      </c>
      <c r="C877" s="13">
        <v>49</v>
      </c>
      <c r="D877" s="13">
        <v>49</v>
      </c>
      <c r="E877" s="13">
        <v>64</v>
      </c>
      <c r="F877" s="13">
        <v>117</v>
      </c>
      <c r="G877" s="13">
        <v>63</v>
      </c>
      <c r="H877" s="13">
        <v>57</v>
      </c>
      <c r="I877" s="11">
        <f t="shared" si="468"/>
        <v>444</v>
      </c>
      <c r="J877" s="470">
        <f t="shared" si="469"/>
        <v>63.428571428571431</v>
      </c>
    </row>
    <row r="878" spans="1:10" x14ac:dyDescent="0.25">
      <c r="A878" s="77" t="s">
        <v>15</v>
      </c>
      <c r="B878" s="233">
        <v>0</v>
      </c>
      <c r="C878" s="13">
        <v>0</v>
      </c>
      <c r="D878" s="13">
        <v>0</v>
      </c>
      <c r="E878" s="13">
        <v>1</v>
      </c>
      <c r="F878" s="13">
        <v>1</v>
      </c>
      <c r="G878" s="13">
        <v>0</v>
      </c>
      <c r="H878" s="13">
        <v>0</v>
      </c>
      <c r="I878" s="11">
        <f t="shared" si="468"/>
        <v>2</v>
      </c>
      <c r="J878" s="470">
        <f t="shared" si="469"/>
        <v>0.2857142857142857</v>
      </c>
    </row>
    <row r="879" spans="1:10" x14ac:dyDescent="0.25">
      <c r="A879" s="77" t="s">
        <v>16</v>
      </c>
      <c r="B879" s="233">
        <v>0</v>
      </c>
      <c r="C879" s="13">
        <v>0</v>
      </c>
      <c r="D879" s="13">
        <v>0</v>
      </c>
      <c r="E879" s="13">
        <v>0</v>
      </c>
      <c r="F879" s="13">
        <v>0</v>
      </c>
      <c r="G879" s="13">
        <v>0</v>
      </c>
      <c r="H879" s="13">
        <v>0</v>
      </c>
      <c r="I879" s="11">
        <f t="shared" si="468"/>
        <v>0</v>
      </c>
      <c r="J879" s="470">
        <f t="shared" si="469"/>
        <v>0</v>
      </c>
    </row>
    <row r="880" spans="1:10" x14ac:dyDescent="0.25">
      <c r="A880" s="79" t="s">
        <v>17</v>
      </c>
      <c r="B880" s="102">
        <f t="shared" ref="B880:I880" si="470">SUM(B875:B879)</f>
        <v>77</v>
      </c>
      <c r="C880" s="102">
        <f t="shared" si="470"/>
        <v>91</v>
      </c>
      <c r="D880" s="102">
        <f t="shared" si="470"/>
        <v>88</v>
      </c>
      <c r="E880" s="102">
        <f t="shared" si="470"/>
        <v>119</v>
      </c>
      <c r="F880" s="102">
        <f t="shared" si="470"/>
        <v>198</v>
      </c>
      <c r="G880" s="79">
        <f t="shared" si="470"/>
        <v>151</v>
      </c>
      <c r="H880" s="79">
        <f t="shared" si="470"/>
        <v>161</v>
      </c>
      <c r="I880" s="472">
        <f t="shared" si="470"/>
        <v>885</v>
      </c>
      <c r="J880" s="473">
        <f t="shared" si="469"/>
        <v>126.42857142857143</v>
      </c>
    </row>
    <row r="881" spans="1:10" x14ac:dyDescent="0.25">
      <c r="A881" s="77" t="s">
        <v>18</v>
      </c>
      <c r="B881" s="234">
        <v>0.43</v>
      </c>
      <c r="C881" s="235">
        <v>0.57999999999999996</v>
      </c>
      <c r="D881" s="235">
        <v>0.53</v>
      </c>
      <c r="E881" s="236">
        <v>0.48</v>
      </c>
      <c r="F881" s="236">
        <v>0.44</v>
      </c>
      <c r="G881" s="236">
        <v>0.59</v>
      </c>
      <c r="H881" s="236">
        <v>0.65</v>
      </c>
      <c r="I881" s="18">
        <f>I888/I893</f>
        <v>0.53187396516792118</v>
      </c>
      <c r="J881" s="475">
        <f>J888/J893</f>
        <v>0.53187396516792118</v>
      </c>
    </row>
    <row r="882" spans="1:10" x14ac:dyDescent="0.25">
      <c r="A882" s="77" t="s">
        <v>19</v>
      </c>
      <c r="B882" s="234">
        <v>0.03</v>
      </c>
      <c r="C882" s="235">
        <v>0.02</v>
      </c>
      <c r="D882" s="235">
        <v>0</v>
      </c>
      <c r="E882" s="236">
        <v>0.01</v>
      </c>
      <c r="F882" s="236">
        <v>0.01</v>
      </c>
      <c r="G882" s="236">
        <v>0.04</v>
      </c>
      <c r="H882" s="236">
        <v>0.01</v>
      </c>
      <c r="I882" s="18">
        <f>I889/I893</f>
        <v>1.6777498499929853E-2</v>
      </c>
      <c r="J882" s="475">
        <f>J889/J893</f>
        <v>1.6777498499929853E-2</v>
      </c>
    </row>
    <row r="883" spans="1:10" x14ac:dyDescent="0.25">
      <c r="A883" s="77" t="s">
        <v>20</v>
      </c>
      <c r="B883" s="234">
        <v>0.54</v>
      </c>
      <c r="C883" s="235">
        <v>0.4</v>
      </c>
      <c r="D883" s="235">
        <v>0.47</v>
      </c>
      <c r="E883" s="236">
        <v>0.47</v>
      </c>
      <c r="F883" s="236">
        <v>0.54</v>
      </c>
      <c r="G883" s="236">
        <v>0.37</v>
      </c>
      <c r="H883" s="236">
        <v>0.34</v>
      </c>
      <c r="I883" s="18">
        <f>I890/I893</f>
        <v>0.44385717895625015</v>
      </c>
      <c r="J883" s="475">
        <f>J890/J893</f>
        <v>0.44385717895625015</v>
      </c>
    </row>
    <row r="884" spans="1:10" x14ac:dyDescent="0.25">
      <c r="A884" s="77" t="s">
        <v>21</v>
      </c>
      <c r="B884" s="234">
        <v>0</v>
      </c>
      <c r="C884" s="235">
        <v>0</v>
      </c>
      <c r="D884" s="235">
        <v>0</v>
      </c>
      <c r="E884" s="236">
        <v>0.04</v>
      </c>
      <c r="F884" s="236">
        <v>0.01</v>
      </c>
      <c r="G884" s="236">
        <v>0</v>
      </c>
      <c r="H884" s="236">
        <v>0</v>
      </c>
      <c r="I884" s="18">
        <f>I891/I893</f>
        <v>7.4913573758987389E-3</v>
      </c>
      <c r="J884" s="475">
        <f>J891/J893</f>
        <v>7.4913573758987389E-3</v>
      </c>
    </row>
    <row r="885" spans="1:10" x14ac:dyDescent="0.25">
      <c r="A885" s="77" t="s">
        <v>22</v>
      </c>
      <c r="B885" s="234">
        <v>0</v>
      </c>
      <c r="C885" s="235">
        <v>0</v>
      </c>
      <c r="D885" s="235">
        <v>0</v>
      </c>
      <c r="E885" s="236">
        <v>0</v>
      </c>
      <c r="F885" s="236">
        <v>0</v>
      </c>
      <c r="G885" s="236">
        <v>0</v>
      </c>
      <c r="H885" s="236">
        <v>0</v>
      </c>
      <c r="I885" s="18">
        <f>I892/I893</f>
        <v>0</v>
      </c>
      <c r="J885" s="475">
        <f>J892/J893</f>
        <v>0</v>
      </c>
    </row>
    <row r="886" spans="1:10" x14ac:dyDescent="0.25">
      <c r="A886" s="81" t="s">
        <v>23</v>
      </c>
      <c r="B886" s="450">
        <f t="shared" ref="B886:J886" si="471">B897/B880</f>
        <v>32494.805194805194</v>
      </c>
      <c r="C886" s="130">
        <f t="shared" si="471"/>
        <v>33236.26373626374</v>
      </c>
      <c r="D886" s="130">
        <f t="shared" si="471"/>
        <v>31714.772727272732</v>
      </c>
      <c r="E886" s="130">
        <f t="shared" si="471"/>
        <v>32252.941176470591</v>
      </c>
      <c r="F886" s="130">
        <f t="shared" si="471"/>
        <v>35250.505050505053</v>
      </c>
      <c r="G886" s="130">
        <f t="shared" si="471"/>
        <v>33294.701986754968</v>
      </c>
      <c r="H886" s="130">
        <f t="shared" si="471"/>
        <v>35640.993788819876</v>
      </c>
      <c r="I886" s="130">
        <f t="shared" si="471"/>
        <v>33786.327683615826</v>
      </c>
      <c r="J886" s="314">
        <f t="shared" si="471"/>
        <v>33786.327683615826</v>
      </c>
    </row>
    <row r="887" spans="1:10" x14ac:dyDescent="0.25">
      <c r="A887" s="81" t="s">
        <v>24</v>
      </c>
      <c r="B887" s="450">
        <f t="shared" ref="B887:J887" si="472">B897/B874</f>
        <v>27196.739130434784</v>
      </c>
      <c r="C887" s="130">
        <f t="shared" si="472"/>
        <v>27747.706422018349</v>
      </c>
      <c r="D887" s="130">
        <f t="shared" si="472"/>
        <v>27361.764705882357</v>
      </c>
      <c r="E887" s="130">
        <f t="shared" si="472"/>
        <v>26839.860139860142</v>
      </c>
      <c r="F887" s="130">
        <f t="shared" si="472"/>
        <v>28488.163265306128</v>
      </c>
      <c r="G887" s="130">
        <f t="shared" si="472"/>
        <v>27472.677595628415</v>
      </c>
      <c r="H887" s="130">
        <f t="shared" si="472"/>
        <v>28128.431372549021</v>
      </c>
      <c r="I887" s="130">
        <f t="shared" si="472"/>
        <v>27737.384044526909</v>
      </c>
      <c r="J887" s="314">
        <f t="shared" si="472"/>
        <v>27737.384044526905</v>
      </c>
    </row>
    <row r="888" spans="1:10" x14ac:dyDescent="0.25">
      <c r="A888" s="77" t="s">
        <v>25</v>
      </c>
      <c r="B888" s="451">
        <f t="shared" ref="B888:H888" si="473">B893*B881</f>
        <v>901556.38620689651</v>
      </c>
      <c r="C888" s="92">
        <f t="shared" si="473"/>
        <v>1463503.9</v>
      </c>
      <c r="D888" s="92">
        <f t="shared" si="473"/>
        <v>1230608.7362068968</v>
      </c>
      <c r="E888" s="92">
        <f t="shared" si="473"/>
        <v>1533356.1103448276</v>
      </c>
      <c r="F888" s="92">
        <f t="shared" si="473"/>
        <v>2574423.0827586208</v>
      </c>
      <c r="G888" s="92">
        <f t="shared" si="473"/>
        <v>2450288.7172413794</v>
      </c>
      <c r="H888" s="92">
        <f t="shared" si="473"/>
        <v>3072494.1896551726</v>
      </c>
      <c r="I888" s="92">
        <f>SUM(B888:H888)</f>
        <v>13226231.122413795</v>
      </c>
      <c r="J888" s="300">
        <f t="shared" ref="J888:J893" si="474">+$I888/7</f>
        <v>1889461.5889162566</v>
      </c>
    </row>
    <row r="889" spans="1:10" x14ac:dyDescent="0.25">
      <c r="A889" s="77" t="s">
        <v>26</v>
      </c>
      <c r="B889" s="451">
        <f t="shared" ref="B889:H889" si="475">B893*B882</f>
        <v>62899.282758620684</v>
      </c>
      <c r="C889" s="92">
        <f t="shared" si="475"/>
        <v>50465.651724137933</v>
      </c>
      <c r="D889" s="92">
        <f t="shared" si="475"/>
        <v>0</v>
      </c>
      <c r="E889" s="92">
        <f t="shared" si="475"/>
        <v>31944.918965517245</v>
      </c>
      <c r="F889" s="92">
        <f t="shared" si="475"/>
        <v>58509.615517241386</v>
      </c>
      <c r="G889" s="92">
        <f t="shared" si="475"/>
        <v>166121.26896551726</v>
      </c>
      <c r="H889" s="92">
        <f t="shared" si="475"/>
        <v>47269.141379310349</v>
      </c>
      <c r="I889" s="92">
        <f>SUM(B889:H889)</f>
        <v>417209.87931034487</v>
      </c>
      <c r="J889" s="300">
        <f t="shared" si="474"/>
        <v>59601.411330049268</v>
      </c>
    </row>
    <row r="890" spans="1:10" x14ac:dyDescent="0.25">
      <c r="A890" s="77" t="s">
        <v>27</v>
      </c>
      <c r="B890" s="451">
        <f t="shared" ref="B890:H890" si="476">B893*B883</f>
        <v>1132187.0896551725</v>
      </c>
      <c r="C890" s="92">
        <f t="shared" si="476"/>
        <v>1009313.0344827587</v>
      </c>
      <c r="D890" s="92">
        <f t="shared" si="476"/>
        <v>1091294.5396551725</v>
      </c>
      <c r="E890" s="92">
        <f t="shared" si="476"/>
        <v>1501411.1913793103</v>
      </c>
      <c r="F890" s="92">
        <f t="shared" si="476"/>
        <v>3159519.237931035</v>
      </c>
      <c r="G890" s="92">
        <f t="shared" si="476"/>
        <v>1536621.7379310345</v>
      </c>
      <c r="H890" s="92">
        <f t="shared" si="476"/>
        <v>1607150.806896552</v>
      </c>
      <c r="I890" s="92">
        <f>SUM(B890:H890)</f>
        <v>11037497.637931038</v>
      </c>
      <c r="J890" s="300">
        <f t="shared" si="474"/>
        <v>1576785.3768472911</v>
      </c>
    </row>
    <row r="891" spans="1:10" x14ac:dyDescent="0.25">
      <c r="A891" s="77" t="s">
        <v>28</v>
      </c>
      <c r="B891" s="451">
        <f t="shared" ref="B891:H891" si="477">B893*B884</f>
        <v>0</v>
      </c>
      <c r="C891" s="92">
        <f t="shared" si="477"/>
        <v>0</v>
      </c>
      <c r="D891" s="92">
        <f t="shared" si="477"/>
        <v>0</v>
      </c>
      <c r="E891" s="92">
        <f t="shared" si="477"/>
        <v>127779.67586206898</v>
      </c>
      <c r="F891" s="92">
        <f t="shared" si="477"/>
        <v>58509.615517241386</v>
      </c>
      <c r="G891" s="92">
        <f t="shared" si="477"/>
        <v>0</v>
      </c>
      <c r="H891" s="92">
        <f t="shared" si="477"/>
        <v>0</v>
      </c>
      <c r="I891" s="92">
        <f>SUM(B891:H891)</f>
        <v>186289.29137931037</v>
      </c>
      <c r="J891" s="300">
        <f t="shared" si="474"/>
        <v>26612.755911330052</v>
      </c>
    </row>
    <row r="892" spans="1:10" x14ac:dyDescent="0.25">
      <c r="A892" s="77" t="s">
        <v>29</v>
      </c>
      <c r="B892" s="451">
        <f t="shared" ref="B892:H892" si="478">B893*B885</f>
        <v>0</v>
      </c>
      <c r="C892" s="92">
        <f t="shared" si="478"/>
        <v>0</v>
      </c>
      <c r="D892" s="92">
        <f t="shared" si="478"/>
        <v>0</v>
      </c>
      <c r="E892" s="92">
        <f t="shared" si="478"/>
        <v>0</v>
      </c>
      <c r="F892" s="92">
        <f t="shared" si="478"/>
        <v>0</v>
      </c>
      <c r="G892" s="92">
        <f t="shared" si="478"/>
        <v>0</v>
      </c>
      <c r="H892" s="92">
        <f t="shared" si="478"/>
        <v>0</v>
      </c>
      <c r="I892" s="92">
        <f>SUM(B892:H892)</f>
        <v>0</v>
      </c>
      <c r="J892" s="300">
        <f t="shared" si="474"/>
        <v>0</v>
      </c>
    </row>
    <row r="893" spans="1:10" x14ac:dyDescent="0.25">
      <c r="A893" s="82" t="s">
        <v>30</v>
      </c>
      <c r="B893" s="237">
        <f>(2502100/1.16)-B894</f>
        <v>2096642.7586206896</v>
      </c>
      <c r="C893" s="237">
        <f>(3024500/1.16)-C894</f>
        <v>2523282.5862068967</v>
      </c>
      <c r="D893" s="237">
        <f>(2790900/1.16)-D894</f>
        <v>2321903.2758620693</v>
      </c>
      <c r="E893" s="237">
        <f>(3838100/1.16)-E894</f>
        <v>3194491.8965517245</v>
      </c>
      <c r="F893" s="237">
        <f>(6979600/1.16)-F894</f>
        <v>5850961.5517241387</v>
      </c>
      <c r="G893" s="237">
        <f>(5027500/1.16)-G894</f>
        <v>4153031.7241379311</v>
      </c>
      <c r="H893" s="237">
        <f>(5738200/1.16)-H894</f>
        <v>4726914.1379310349</v>
      </c>
      <c r="I893" s="91">
        <f>SUM(I888:I892)</f>
        <v>24867227.93103449</v>
      </c>
      <c r="J893" s="361">
        <f t="shared" si="474"/>
        <v>3552461.1330049271</v>
      </c>
    </row>
    <row r="894" spans="1:10" x14ac:dyDescent="0.25">
      <c r="A894" s="77" t="s">
        <v>31</v>
      </c>
      <c r="B894" s="452">
        <f t="shared" ref="B894:H894" si="479">2155*B875</f>
        <v>60340</v>
      </c>
      <c r="C894" s="94">
        <f t="shared" si="479"/>
        <v>84045</v>
      </c>
      <c r="D894" s="94">
        <f t="shared" si="479"/>
        <v>84045</v>
      </c>
      <c r="E894" s="94">
        <f t="shared" si="479"/>
        <v>114215</v>
      </c>
      <c r="F894" s="94">
        <f t="shared" si="479"/>
        <v>165935</v>
      </c>
      <c r="G894" s="94">
        <f t="shared" si="479"/>
        <v>181020</v>
      </c>
      <c r="H894" s="94">
        <f t="shared" si="479"/>
        <v>219810</v>
      </c>
      <c r="I894" s="94">
        <f>I875*2155</f>
        <v>909410</v>
      </c>
      <c r="J894" s="302">
        <f>2155*J875</f>
        <v>129915.71428571429</v>
      </c>
    </row>
    <row r="895" spans="1:10" x14ac:dyDescent="0.25">
      <c r="A895" s="83" t="s">
        <v>32</v>
      </c>
      <c r="B895" s="453">
        <f t="shared" ref="B895:J895" si="480">B893+B894</f>
        <v>2156982.7586206896</v>
      </c>
      <c r="C895" s="39">
        <f t="shared" si="480"/>
        <v>2607327.5862068967</v>
      </c>
      <c r="D895" s="39">
        <f t="shared" si="480"/>
        <v>2405948.2758620693</v>
      </c>
      <c r="E895" s="39">
        <f t="shared" si="480"/>
        <v>3308706.8965517245</v>
      </c>
      <c r="F895" s="39">
        <f t="shared" si="480"/>
        <v>6016896.5517241387</v>
      </c>
      <c r="G895" s="39">
        <f t="shared" si="480"/>
        <v>4334051.7241379311</v>
      </c>
      <c r="H895" s="39">
        <f t="shared" si="480"/>
        <v>4946724.1379310349</v>
      </c>
      <c r="I895" s="39">
        <f t="shared" si="480"/>
        <v>25776637.93103449</v>
      </c>
      <c r="J895" s="364">
        <f t="shared" si="480"/>
        <v>3682376.8472906412</v>
      </c>
    </row>
    <row r="896" spans="1:10" x14ac:dyDescent="0.25">
      <c r="A896" s="77" t="s">
        <v>33</v>
      </c>
      <c r="B896" s="454">
        <f t="shared" ref="B896:J896" si="481">B895*16%</f>
        <v>345117.24137931032</v>
      </c>
      <c r="C896" s="41">
        <f t="shared" si="481"/>
        <v>417172.41379310348</v>
      </c>
      <c r="D896" s="41">
        <f t="shared" si="481"/>
        <v>384951.72413793107</v>
      </c>
      <c r="E896" s="41">
        <f t="shared" si="481"/>
        <v>529393.10344827594</v>
      </c>
      <c r="F896" s="41">
        <f t="shared" si="481"/>
        <v>962703.44827586226</v>
      </c>
      <c r="G896" s="41">
        <f t="shared" si="481"/>
        <v>693448.27586206899</v>
      </c>
      <c r="H896" s="41">
        <f t="shared" si="481"/>
        <v>791475.86206896557</v>
      </c>
      <c r="I896" s="41">
        <f t="shared" si="481"/>
        <v>4124262.0689655184</v>
      </c>
      <c r="J896" s="492">
        <f t="shared" si="481"/>
        <v>589180.29556650261</v>
      </c>
    </row>
    <row r="897" spans="1:10" x14ac:dyDescent="0.25">
      <c r="A897" s="142" t="s">
        <v>34</v>
      </c>
      <c r="B897" s="438">
        <f t="shared" ref="B897:I897" si="482">B895+B896</f>
        <v>2502100</v>
      </c>
      <c r="C897" s="144">
        <f t="shared" si="482"/>
        <v>3024500</v>
      </c>
      <c r="D897" s="144">
        <f t="shared" si="482"/>
        <v>2790900.0000000005</v>
      </c>
      <c r="E897" s="144">
        <f t="shared" si="482"/>
        <v>3838100.0000000005</v>
      </c>
      <c r="F897" s="144">
        <f t="shared" si="482"/>
        <v>6979600.0000000009</v>
      </c>
      <c r="G897" s="144">
        <f t="shared" si="482"/>
        <v>5027500</v>
      </c>
      <c r="H897" s="144">
        <f t="shared" si="482"/>
        <v>5738200</v>
      </c>
      <c r="I897" s="144">
        <f t="shared" si="482"/>
        <v>29900900.000000007</v>
      </c>
      <c r="J897" s="441">
        <f>+$I897/7</f>
        <v>4271557.1428571437</v>
      </c>
    </row>
    <row r="898" spans="1:10" ht="15.75" thickBot="1" x14ac:dyDescent="0.3">
      <c r="I898" s="89"/>
    </row>
    <row r="899" spans="1:10" ht="26.25" x14ac:dyDescent="0.25">
      <c r="A899" s="85"/>
      <c r="B899" s="1002" t="s">
        <v>374</v>
      </c>
      <c r="C899" s="1002"/>
      <c r="D899" s="1002"/>
      <c r="E899" s="1002"/>
      <c r="F899" s="1002"/>
      <c r="G899" s="1002"/>
      <c r="H899" s="1002"/>
      <c r="I899" s="1002"/>
    </row>
    <row r="900" spans="1:10" ht="15.75" x14ac:dyDescent="0.25">
      <c r="A900" s="72" t="s">
        <v>2</v>
      </c>
      <c r="B900" s="153" t="s">
        <v>600</v>
      </c>
      <c r="C900" s="153" t="s">
        <v>601</v>
      </c>
      <c r="D900" s="153" t="s">
        <v>602</v>
      </c>
      <c r="E900" s="153" t="s">
        <v>603</v>
      </c>
      <c r="F900" s="153" t="s">
        <v>604</v>
      </c>
      <c r="G900" s="153" t="s">
        <v>605</v>
      </c>
      <c r="H900" s="153" t="s">
        <v>606</v>
      </c>
      <c r="I900" s="153" t="s">
        <v>10</v>
      </c>
      <c r="J900" s="490" t="s">
        <v>77</v>
      </c>
    </row>
    <row r="901" spans="1:10" x14ac:dyDescent="0.25">
      <c r="A901" s="430" t="s">
        <v>11</v>
      </c>
      <c r="B901" s="433">
        <f>44+25+5</f>
        <v>74</v>
      </c>
      <c r="C901" s="75">
        <f>69+30+9</f>
        <v>108</v>
      </c>
      <c r="D901" s="75">
        <f>47+39+9</f>
        <v>95</v>
      </c>
      <c r="E901" s="75">
        <f>74+30+16</f>
        <v>120</v>
      </c>
      <c r="F901" s="75">
        <f>152+81+24</f>
        <v>257</v>
      </c>
      <c r="G901" s="75">
        <f>106+61+31</f>
        <v>198</v>
      </c>
      <c r="H901" s="75">
        <f>102+56+26</f>
        <v>184</v>
      </c>
      <c r="I901" s="467">
        <f t="shared" ref="I901:I906" si="483">SUM(B901:H901)</f>
        <v>1036</v>
      </c>
      <c r="J901" s="468">
        <f>+$I901/7</f>
        <v>148</v>
      </c>
    </row>
    <row r="902" spans="1:10" x14ac:dyDescent="0.25">
      <c r="A902" s="77" t="s">
        <v>12</v>
      </c>
      <c r="B902" s="233">
        <v>22</v>
      </c>
      <c r="C902" s="13">
        <v>34</v>
      </c>
      <c r="D902" s="13">
        <v>39</v>
      </c>
      <c r="E902" s="13">
        <v>37</v>
      </c>
      <c r="F902" s="13">
        <v>82</v>
      </c>
      <c r="G902" s="320">
        <v>81</v>
      </c>
      <c r="H902" s="13">
        <v>93</v>
      </c>
      <c r="I902" s="11">
        <f t="shared" si="483"/>
        <v>388</v>
      </c>
      <c r="J902" s="470">
        <f t="shared" ref="J902:J907" si="484">+$I902/7</f>
        <v>55.428571428571431</v>
      </c>
    </row>
    <row r="903" spans="1:10" x14ac:dyDescent="0.25">
      <c r="A903" s="77" t="s">
        <v>13</v>
      </c>
      <c r="B903" s="233">
        <v>1</v>
      </c>
      <c r="C903" s="13">
        <v>0</v>
      </c>
      <c r="D903" s="13">
        <v>1</v>
      </c>
      <c r="E903" s="13">
        <v>3</v>
      </c>
      <c r="F903" s="13">
        <v>3</v>
      </c>
      <c r="G903" s="13">
        <v>2</v>
      </c>
      <c r="H903" s="13">
        <v>2</v>
      </c>
      <c r="I903" s="11">
        <f t="shared" si="483"/>
        <v>12</v>
      </c>
      <c r="J903" s="470">
        <f t="shared" si="484"/>
        <v>1.7142857142857142</v>
      </c>
    </row>
    <row r="904" spans="1:10" x14ac:dyDescent="0.25">
      <c r="A904" s="77" t="s">
        <v>14</v>
      </c>
      <c r="B904" s="233">
        <v>42</v>
      </c>
      <c r="C904" s="13">
        <v>62</v>
      </c>
      <c r="D904" s="13">
        <v>43</v>
      </c>
      <c r="E904" s="13">
        <v>52</v>
      </c>
      <c r="F904" s="13">
        <v>125</v>
      </c>
      <c r="G904" s="13">
        <v>69</v>
      </c>
      <c r="H904" s="13">
        <v>48</v>
      </c>
      <c r="I904" s="11">
        <f t="shared" si="483"/>
        <v>441</v>
      </c>
      <c r="J904" s="470">
        <f t="shared" si="484"/>
        <v>63</v>
      </c>
    </row>
    <row r="905" spans="1:10" x14ac:dyDescent="0.25">
      <c r="A905" s="77" t="s">
        <v>15</v>
      </c>
      <c r="B905" s="233">
        <v>0</v>
      </c>
      <c r="C905" s="13">
        <v>0</v>
      </c>
      <c r="D905" s="13">
        <v>0</v>
      </c>
      <c r="E905" s="13">
        <v>0</v>
      </c>
      <c r="F905" s="13">
        <v>0</v>
      </c>
      <c r="G905" s="13">
        <v>0</v>
      </c>
      <c r="H905" s="13">
        <v>0</v>
      </c>
      <c r="I905" s="11">
        <f t="shared" si="483"/>
        <v>0</v>
      </c>
      <c r="J905" s="470">
        <f t="shared" si="484"/>
        <v>0</v>
      </c>
    </row>
    <row r="906" spans="1:10" x14ac:dyDescent="0.25">
      <c r="A906" s="77" t="s">
        <v>16</v>
      </c>
      <c r="B906" s="233">
        <v>0</v>
      </c>
      <c r="C906" s="13">
        <v>0</v>
      </c>
      <c r="D906" s="13">
        <v>0</v>
      </c>
      <c r="E906" s="13">
        <v>0</v>
      </c>
      <c r="F906" s="13">
        <v>0</v>
      </c>
      <c r="G906" s="13">
        <v>0</v>
      </c>
      <c r="H906" s="13">
        <v>0</v>
      </c>
      <c r="I906" s="11">
        <f t="shared" si="483"/>
        <v>0</v>
      </c>
      <c r="J906" s="470">
        <f t="shared" si="484"/>
        <v>0</v>
      </c>
    </row>
    <row r="907" spans="1:10" x14ac:dyDescent="0.25">
      <c r="A907" s="79" t="s">
        <v>17</v>
      </c>
      <c r="B907" s="102">
        <f t="shared" ref="B907:I907" si="485">SUM(B902:B906)</f>
        <v>65</v>
      </c>
      <c r="C907" s="102">
        <f t="shared" si="485"/>
        <v>96</v>
      </c>
      <c r="D907" s="102">
        <f t="shared" si="485"/>
        <v>83</v>
      </c>
      <c r="E907" s="102">
        <f t="shared" si="485"/>
        <v>92</v>
      </c>
      <c r="F907" s="102">
        <f t="shared" si="485"/>
        <v>210</v>
      </c>
      <c r="G907" s="79">
        <f t="shared" si="485"/>
        <v>152</v>
      </c>
      <c r="H907" s="79">
        <f t="shared" si="485"/>
        <v>143</v>
      </c>
      <c r="I907" s="472">
        <f t="shared" si="485"/>
        <v>841</v>
      </c>
      <c r="J907" s="473">
        <f t="shared" si="484"/>
        <v>120.14285714285714</v>
      </c>
    </row>
    <row r="908" spans="1:10" x14ac:dyDescent="0.25">
      <c r="A908" s="77" t="s">
        <v>18</v>
      </c>
      <c r="B908" s="234">
        <v>0.37</v>
      </c>
      <c r="C908" s="235">
        <v>0.43</v>
      </c>
      <c r="D908" s="235">
        <v>0.53</v>
      </c>
      <c r="E908" s="236">
        <v>0.41</v>
      </c>
      <c r="F908" s="236">
        <v>0.43</v>
      </c>
      <c r="G908" s="236">
        <v>0.59</v>
      </c>
      <c r="H908" s="236">
        <v>0.69</v>
      </c>
      <c r="I908" s="18">
        <f>I915/I920</f>
        <v>0.50792336054791365</v>
      </c>
      <c r="J908" s="475">
        <f>J915/J920</f>
        <v>0.50792336054791365</v>
      </c>
    </row>
    <row r="909" spans="1:10" x14ac:dyDescent="0.25">
      <c r="A909" s="77" t="s">
        <v>19</v>
      </c>
      <c r="B909" s="234">
        <v>0.02</v>
      </c>
      <c r="C909" s="235">
        <v>0</v>
      </c>
      <c r="D909" s="235">
        <v>0.01</v>
      </c>
      <c r="E909" s="236">
        <v>7.0000000000000007E-2</v>
      </c>
      <c r="F909" s="236">
        <v>0.01</v>
      </c>
      <c r="G909" s="236">
        <v>0.01</v>
      </c>
      <c r="H909" s="236">
        <v>0.02</v>
      </c>
      <c r="I909" s="18">
        <f>I916/I920</f>
        <v>1.8073435950587271E-2</v>
      </c>
      <c r="J909" s="475">
        <f>J916/J920</f>
        <v>1.8073435950587271E-2</v>
      </c>
    </row>
    <row r="910" spans="1:10" x14ac:dyDescent="0.25">
      <c r="A910" s="77" t="s">
        <v>20</v>
      </c>
      <c r="B910" s="234">
        <v>0.61</v>
      </c>
      <c r="C910" s="235">
        <v>0.56999999999999995</v>
      </c>
      <c r="D910" s="235">
        <v>0.46</v>
      </c>
      <c r="E910" s="236">
        <v>0.52</v>
      </c>
      <c r="F910" s="236">
        <v>0.56000000000000005</v>
      </c>
      <c r="G910" s="236">
        <v>0.4</v>
      </c>
      <c r="H910" s="236">
        <v>0.28999999999999998</v>
      </c>
      <c r="I910" s="18">
        <f>I917/I920</f>
        <v>0.47400320350149922</v>
      </c>
      <c r="J910" s="475">
        <f>J917/J920</f>
        <v>0.47400320350149927</v>
      </c>
    </row>
    <row r="911" spans="1:10" x14ac:dyDescent="0.25">
      <c r="A911" s="77" t="s">
        <v>21</v>
      </c>
      <c r="B911" s="234">
        <v>0</v>
      </c>
      <c r="C911" s="235">
        <v>0</v>
      </c>
      <c r="D911" s="235">
        <v>0</v>
      </c>
      <c r="E911" s="236">
        <v>0</v>
      </c>
      <c r="F911" s="236">
        <v>0</v>
      </c>
      <c r="G911" s="236">
        <v>0</v>
      </c>
      <c r="H911" s="236">
        <v>0</v>
      </c>
      <c r="I911" s="18">
        <f>I918/I920</f>
        <v>0</v>
      </c>
      <c r="J911" s="475">
        <f>J918/J920</f>
        <v>0</v>
      </c>
    </row>
    <row r="912" spans="1:10" x14ac:dyDescent="0.25">
      <c r="A912" s="77" t="s">
        <v>22</v>
      </c>
      <c r="B912" s="234">
        <v>0</v>
      </c>
      <c r="C912" s="235">
        <v>0</v>
      </c>
      <c r="D912" s="235">
        <v>0</v>
      </c>
      <c r="E912" s="236">
        <v>0</v>
      </c>
      <c r="F912" s="236">
        <v>0</v>
      </c>
      <c r="G912" s="236">
        <v>0</v>
      </c>
      <c r="H912" s="236">
        <v>0</v>
      </c>
      <c r="I912" s="18">
        <f>I919/I920</f>
        <v>0</v>
      </c>
      <c r="J912" s="475">
        <f>J919/J920</f>
        <v>0</v>
      </c>
    </row>
    <row r="913" spans="1:10" x14ac:dyDescent="0.25">
      <c r="A913" s="81" t="s">
        <v>23</v>
      </c>
      <c r="B913" s="450">
        <f t="shared" ref="B913:J913" si="486">B924/B907</f>
        <v>32646.153846153848</v>
      </c>
      <c r="C913" s="130">
        <f t="shared" si="486"/>
        <v>30441.666666666668</v>
      </c>
      <c r="D913" s="130">
        <f t="shared" si="486"/>
        <v>32371.084337349403</v>
      </c>
      <c r="E913" s="130">
        <f t="shared" si="486"/>
        <v>34555.434782608696</v>
      </c>
      <c r="F913" s="130">
        <f t="shared" si="486"/>
        <v>35884.761904761908</v>
      </c>
      <c r="G913" s="130">
        <f t="shared" si="486"/>
        <v>35825.000000000007</v>
      </c>
      <c r="H913" s="130">
        <f t="shared" si="486"/>
        <v>35892.307692307695</v>
      </c>
      <c r="I913" s="130">
        <f t="shared" si="486"/>
        <v>34511.414982164089</v>
      </c>
      <c r="J913" s="314">
        <f t="shared" si="486"/>
        <v>34511.414982164089</v>
      </c>
    </row>
    <row r="914" spans="1:10" x14ac:dyDescent="0.25">
      <c r="A914" s="81" t="s">
        <v>24</v>
      </c>
      <c r="B914" s="450">
        <f t="shared" ref="B914:J914" si="487">B924/B901</f>
        <v>28675.675675675677</v>
      </c>
      <c r="C914" s="130">
        <f t="shared" si="487"/>
        <v>27059.259259259259</v>
      </c>
      <c r="D914" s="130">
        <f t="shared" si="487"/>
        <v>28282.1052631579</v>
      </c>
      <c r="E914" s="130">
        <f t="shared" si="487"/>
        <v>26492.5</v>
      </c>
      <c r="F914" s="130">
        <f t="shared" si="487"/>
        <v>29322.17898832685</v>
      </c>
      <c r="G914" s="130">
        <f t="shared" si="487"/>
        <v>27502.020202020205</v>
      </c>
      <c r="H914" s="130">
        <f t="shared" si="487"/>
        <v>27894.565217391304</v>
      </c>
      <c r="I914" s="130">
        <f t="shared" si="487"/>
        <v>28015.54054054054</v>
      </c>
      <c r="J914" s="314">
        <f t="shared" si="487"/>
        <v>28015.54054054054</v>
      </c>
    </row>
    <row r="915" spans="1:10" x14ac:dyDescent="0.25">
      <c r="A915" s="77" t="s">
        <v>25</v>
      </c>
      <c r="B915" s="451">
        <f t="shared" ref="B915:H915" si="488">B920*B908</f>
        <v>659303.12758620689</v>
      </c>
      <c r="C915" s="92">
        <f t="shared" si="488"/>
        <v>1051797.3482758622</v>
      </c>
      <c r="D915" s="92">
        <f t="shared" si="488"/>
        <v>1183045.8051724141</v>
      </c>
      <c r="E915" s="92">
        <f t="shared" si="488"/>
        <v>1090956.0637931034</v>
      </c>
      <c r="F915" s="92">
        <f t="shared" si="488"/>
        <v>2717457.8034482761</v>
      </c>
      <c r="G915" s="92">
        <f t="shared" si="488"/>
        <v>2666655.6534482762</v>
      </c>
      <c r="H915" s="92">
        <f t="shared" si="488"/>
        <v>2914725.7189655174</v>
      </c>
      <c r="I915" s="92">
        <f>SUM(B915:H915)</f>
        <v>12283941.520689657</v>
      </c>
      <c r="J915" s="300">
        <f t="shared" ref="J915:J920" si="489">+$I915/7</f>
        <v>1754848.788669951</v>
      </c>
    </row>
    <row r="916" spans="1:10" x14ac:dyDescent="0.25">
      <c r="A916" s="77" t="s">
        <v>26</v>
      </c>
      <c r="B916" s="451">
        <f t="shared" ref="B916:H916" si="490">B920*B909</f>
        <v>35638.006896551728</v>
      </c>
      <c r="C916" s="92">
        <f t="shared" si="490"/>
        <v>0</v>
      </c>
      <c r="D916" s="92">
        <f t="shared" si="490"/>
        <v>22321.618965517246</v>
      </c>
      <c r="E916" s="92">
        <f t="shared" si="490"/>
        <v>186260.79137931037</v>
      </c>
      <c r="F916" s="92">
        <f t="shared" si="490"/>
        <v>63196.693103448284</v>
      </c>
      <c r="G916" s="92">
        <f t="shared" si="490"/>
        <v>45197.553448275867</v>
      </c>
      <c r="H916" s="92">
        <f t="shared" si="490"/>
        <v>84484.803448275867</v>
      </c>
      <c r="I916" s="92">
        <f>SUM(B916:H916)</f>
        <v>437099.46724137943</v>
      </c>
      <c r="J916" s="300">
        <f t="shared" si="489"/>
        <v>62442.781034482774</v>
      </c>
    </row>
    <row r="917" spans="1:10" x14ac:dyDescent="0.25">
      <c r="A917" s="77" t="s">
        <v>27</v>
      </c>
      <c r="B917" s="451">
        <f t="shared" ref="B917:H917" si="491">B920*B910</f>
        <v>1086959.2103448277</v>
      </c>
      <c r="C917" s="92">
        <f t="shared" si="491"/>
        <v>1394242.9965517242</v>
      </c>
      <c r="D917" s="92">
        <f t="shared" si="491"/>
        <v>1026794.4724137933</v>
      </c>
      <c r="E917" s="92">
        <f t="shared" si="491"/>
        <v>1383651.5931034484</v>
      </c>
      <c r="F917" s="92">
        <f t="shared" si="491"/>
        <v>3539014.8137931041</v>
      </c>
      <c r="G917" s="92">
        <f t="shared" si="491"/>
        <v>1807902.1379310349</v>
      </c>
      <c r="H917" s="92">
        <f t="shared" si="491"/>
        <v>1225029.6499999999</v>
      </c>
      <c r="I917" s="92">
        <f>SUM(B917:H917)</f>
        <v>11463594.874137932</v>
      </c>
      <c r="J917" s="300">
        <f t="shared" si="489"/>
        <v>1637656.4105911332</v>
      </c>
    </row>
    <row r="918" spans="1:10" x14ac:dyDescent="0.25">
      <c r="A918" s="77" t="s">
        <v>28</v>
      </c>
      <c r="B918" s="451">
        <f t="shared" ref="B918:H918" si="492">B920*B911</f>
        <v>0</v>
      </c>
      <c r="C918" s="92">
        <f t="shared" si="492"/>
        <v>0</v>
      </c>
      <c r="D918" s="92">
        <f t="shared" si="492"/>
        <v>0</v>
      </c>
      <c r="E918" s="92">
        <f t="shared" si="492"/>
        <v>0</v>
      </c>
      <c r="F918" s="92">
        <f t="shared" si="492"/>
        <v>0</v>
      </c>
      <c r="G918" s="92">
        <f t="shared" si="492"/>
        <v>0</v>
      </c>
      <c r="H918" s="92">
        <f t="shared" si="492"/>
        <v>0</v>
      </c>
      <c r="I918" s="92">
        <f>SUM(B918:H918)</f>
        <v>0</v>
      </c>
      <c r="J918" s="300">
        <f t="shared" si="489"/>
        <v>0</v>
      </c>
    </row>
    <row r="919" spans="1:10" x14ac:dyDescent="0.25">
      <c r="A919" s="77" t="s">
        <v>29</v>
      </c>
      <c r="B919" s="451">
        <f t="shared" ref="B919:H919" si="493">B920*B912</f>
        <v>0</v>
      </c>
      <c r="C919" s="92">
        <f t="shared" si="493"/>
        <v>0</v>
      </c>
      <c r="D919" s="92">
        <f t="shared" si="493"/>
        <v>0</v>
      </c>
      <c r="E919" s="92">
        <f t="shared" si="493"/>
        <v>0</v>
      </c>
      <c r="F919" s="92">
        <f t="shared" si="493"/>
        <v>0</v>
      </c>
      <c r="G919" s="92">
        <f t="shared" si="493"/>
        <v>0</v>
      </c>
      <c r="H919" s="92">
        <f t="shared" si="493"/>
        <v>0</v>
      </c>
      <c r="I919" s="92">
        <f>SUM(B919:H919)</f>
        <v>0</v>
      </c>
      <c r="J919" s="300">
        <f t="shared" si="489"/>
        <v>0</v>
      </c>
    </row>
    <row r="920" spans="1:10" x14ac:dyDescent="0.25">
      <c r="A920" s="82" t="s">
        <v>30</v>
      </c>
      <c r="B920" s="237">
        <f>(2122000/1.16)-B921</f>
        <v>1781900.3448275863</v>
      </c>
      <c r="C920" s="237">
        <f>(2922400/1.16)-C921</f>
        <v>2446040.3448275863</v>
      </c>
      <c r="D920" s="237">
        <f>(2686800/1.16)-D921</f>
        <v>2232161.8965517245</v>
      </c>
      <c r="E920" s="237">
        <f>(3179100/1.16)-E921</f>
        <v>2660868.4482758623</v>
      </c>
      <c r="F920" s="237">
        <f>(7535800/1.16)-F921</f>
        <v>6319669.3103448283</v>
      </c>
      <c r="G920" s="237">
        <f>(5445400/1.16)-G921</f>
        <v>4519755.3448275868</v>
      </c>
      <c r="H920" s="237">
        <f>(5132600/1.16)-H921</f>
        <v>4224240.1724137934</v>
      </c>
      <c r="I920" s="91">
        <f>SUM(I915:I919)</f>
        <v>24184635.862068966</v>
      </c>
      <c r="J920" s="361">
        <f t="shared" si="489"/>
        <v>3454947.9802955664</v>
      </c>
    </row>
    <row r="921" spans="1:10" x14ac:dyDescent="0.25">
      <c r="A921" s="77" t="s">
        <v>31</v>
      </c>
      <c r="B921" s="452">
        <f t="shared" ref="B921:H921" si="494">2155*B902</f>
        <v>47410</v>
      </c>
      <c r="C921" s="94">
        <f t="shared" si="494"/>
        <v>73270</v>
      </c>
      <c r="D921" s="94">
        <f t="shared" si="494"/>
        <v>84045</v>
      </c>
      <c r="E921" s="94">
        <f t="shared" si="494"/>
        <v>79735</v>
      </c>
      <c r="F921" s="94">
        <f t="shared" si="494"/>
        <v>176710</v>
      </c>
      <c r="G921" s="94">
        <f t="shared" si="494"/>
        <v>174555</v>
      </c>
      <c r="H921" s="94">
        <f t="shared" si="494"/>
        <v>200415</v>
      </c>
      <c r="I921" s="94">
        <f>I902*2155</f>
        <v>836140</v>
      </c>
      <c r="J921" s="302">
        <f>2155*J902</f>
        <v>119448.57142857143</v>
      </c>
    </row>
    <row r="922" spans="1:10" x14ac:dyDescent="0.25">
      <c r="A922" s="83" t="s">
        <v>32</v>
      </c>
      <c r="B922" s="453">
        <f t="shared" ref="B922:J922" si="495">B920+B921</f>
        <v>1829310.3448275863</v>
      </c>
      <c r="C922" s="39">
        <f t="shared" si="495"/>
        <v>2519310.3448275863</v>
      </c>
      <c r="D922" s="39">
        <f t="shared" si="495"/>
        <v>2316206.8965517245</v>
      </c>
      <c r="E922" s="39">
        <f t="shared" si="495"/>
        <v>2740603.4482758623</v>
      </c>
      <c r="F922" s="39">
        <f t="shared" si="495"/>
        <v>6496379.3103448283</v>
      </c>
      <c r="G922" s="39">
        <f t="shared" si="495"/>
        <v>4694310.3448275868</v>
      </c>
      <c r="H922" s="39">
        <f t="shared" si="495"/>
        <v>4424655.1724137934</v>
      </c>
      <c r="I922" s="39">
        <f t="shared" si="495"/>
        <v>25020775.862068966</v>
      </c>
      <c r="J922" s="364">
        <f t="shared" si="495"/>
        <v>3574396.5517241377</v>
      </c>
    </row>
    <row r="923" spans="1:10" x14ac:dyDescent="0.25">
      <c r="A923" s="77" t="s">
        <v>33</v>
      </c>
      <c r="B923" s="454">
        <f t="shared" ref="B923:J923" si="496">B922*16%</f>
        <v>292689.6551724138</v>
      </c>
      <c r="C923" s="41">
        <f t="shared" si="496"/>
        <v>403089.6551724138</v>
      </c>
      <c r="D923" s="41">
        <f t="shared" si="496"/>
        <v>370593.10344827594</v>
      </c>
      <c r="E923" s="41">
        <f t="shared" si="496"/>
        <v>438496.55172413797</v>
      </c>
      <c r="F923" s="41">
        <f t="shared" si="496"/>
        <v>1039420.6896551725</v>
      </c>
      <c r="G923" s="41">
        <f t="shared" si="496"/>
        <v>751089.65517241391</v>
      </c>
      <c r="H923" s="41">
        <f t="shared" si="496"/>
        <v>707944.82758620696</v>
      </c>
      <c r="I923" s="41">
        <f t="shared" si="496"/>
        <v>4003324.1379310344</v>
      </c>
      <c r="J923" s="492">
        <f t="shared" si="496"/>
        <v>571903.44827586203</v>
      </c>
    </row>
    <row r="924" spans="1:10" x14ac:dyDescent="0.25">
      <c r="A924" s="142" t="s">
        <v>34</v>
      </c>
      <c r="B924" s="438">
        <f t="shared" ref="B924:I924" si="497">B922+B923</f>
        <v>2122000</v>
      </c>
      <c r="C924" s="144">
        <f t="shared" si="497"/>
        <v>2922400</v>
      </c>
      <c r="D924" s="144">
        <f t="shared" si="497"/>
        <v>2686800.0000000005</v>
      </c>
      <c r="E924" s="144">
        <f t="shared" si="497"/>
        <v>3179100</v>
      </c>
      <c r="F924" s="144">
        <f t="shared" si="497"/>
        <v>7535800.0000000009</v>
      </c>
      <c r="G924" s="144">
        <f t="shared" si="497"/>
        <v>5445400.0000000009</v>
      </c>
      <c r="H924" s="144">
        <f t="shared" si="497"/>
        <v>5132600</v>
      </c>
      <c r="I924" s="144">
        <f t="shared" si="497"/>
        <v>29024100</v>
      </c>
      <c r="J924" s="441">
        <f>+$I924/7</f>
        <v>4146300</v>
      </c>
    </row>
    <row r="925" spans="1:10" ht="15.75" thickBot="1" x14ac:dyDescent="0.3">
      <c r="I925" s="89"/>
    </row>
    <row r="926" spans="1:10" ht="26.25" x14ac:dyDescent="0.25">
      <c r="A926" s="85"/>
      <c r="B926" s="1002" t="s">
        <v>375</v>
      </c>
      <c r="C926" s="1002"/>
      <c r="D926" s="1002"/>
      <c r="E926" s="1002"/>
      <c r="F926" s="1002"/>
      <c r="G926" s="1002"/>
      <c r="H926" s="1002"/>
      <c r="I926" s="1002"/>
    </row>
    <row r="927" spans="1:10" ht="15.75" x14ac:dyDescent="0.25">
      <c r="A927" s="72" t="s">
        <v>2</v>
      </c>
      <c r="B927" s="121" t="s">
        <v>608</v>
      </c>
      <c r="C927" s="121" t="s">
        <v>609</v>
      </c>
      <c r="D927" s="121" t="s">
        <v>610</v>
      </c>
      <c r="E927" s="121" t="s">
        <v>611</v>
      </c>
      <c r="F927" s="121" t="s">
        <v>612</v>
      </c>
      <c r="G927" s="121" t="s">
        <v>613</v>
      </c>
      <c r="H927" s="121" t="s">
        <v>614</v>
      </c>
      <c r="I927" s="153" t="s">
        <v>10</v>
      </c>
      <c r="J927" s="490" t="s">
        <v>77</v>
      </c>
    </row>
    <row r="928" spans="1:10" x14ac:dyDescent="0.25">
      <c r="A928" s="430" t="s">
        <v>11</v>
      </c>
      <c r="B928" s="433">
        <f>45+28+6</f>
        <v>79</v>
      </c>
      <c r="C928" s="75">
        <f>81+30+9</f>
        <v>120</v>
      </c>
      <c r="D928" s="75">
        <f>57+28+8</f>
        <v>93</v>
      </c>
      <c r="E928" s="75">
        <f>88+34+11</f>
        <v>133</v>
      </c>
      <c r="F928" s="75">
        <f>128+81+24</f>
        <v>233</v>
      </c>
      <c r="G928" s="75">
        <f>112+67+25</f>
        <v>204</v>
      </c>
      <c r="H928" s="75">
        <f>115+56+18</f>
        <v>189</v>
      </c>
      <c r="I928" s="467">
        <f t="shared" ref="I928:I933" si="498">SUM(B928:H928)</f>
        <v>1051</v>
      </c>
      <c r="J928" s="468">
        <f>+$I928/7</f>
        <v>150.14285714285714</v>
      </c>
    </row>
    <row r="929" spans="1:10" x14ac:dyDescent="0.25">
      <c r="A929" s="77" t="s">
        <v>12</v>
      </c>
      <c r="B929" s="233">
        <v>31</v>
      </c>
      <c r="C929" s="13">
        <v>56</v>
      </c>
      <c r="D929" s="13">
        <v>40</v>
      </c>
      <c r="E929" s="13">
        <v>60</v>
      </c>
      <c r="F929" s="13">
        <v>105</v>
      </c>
      <c r="G929" s="320">
        <v>86</v>
      </c>
      <c r="H929" s="13">
        <v>105</v>
      </c>
      <c r="I929" s="11">
        <f t="shared" si="498"/>
        <v>483</v>
      </c>
      <c r="J929" s="470">
        <f t="shared" ref="J929:J934" si="499">+$I929/7</f>
        <v>69</v>
      </c>
    </row>
    <row r="930" spans="1:10" x14ac:dyDescent="0.25">
      <c r="A930" s="77" t="s">
        <v>13</v>
      </c>
      <c r="B930" s="233">
        <v>1</v>
      </c>
      <c r="C930" s="13">
        <v>1</v>
      </c>
      <c r="D930" s="13">
        <v>0</v>
      </c>
      <c r="E930" s="13">
        <v>2</v>
      </c>
      <c r="F930" s="13">
        <v>4</v>
      </c>
      <c r="G930" s="13">
        <v>2</v>
      </c>
      <c r="H930" s="13">
        <v>4</v>
      </c>
      <c r="I930" s="11">
        <f t="shared" si="498"/>
        <v>14</v>
      </c>
      <c r="J930" s="470">
        <f t="shared" si="499"/>
        <v>2</v>
      </c>
    </row>
    <row r="931" spans="1:10" x14ac:dyDescent="0.25">
      <c r="A931" s="77" t="s">
        <v>14</v>
      </c>
      <c r="B931" s="233">
        <v>38</v>
      </c>
      <c r="C931" s="13">
        <v>38</v>
      </c>
      <c r="D931" s="13">
        <v>43</v>
      </c>
      <c r="E931" s="13">
        <v>51</v>
      </c>
      <c r="F931" s="13">
        <v>87</v>
      </c>
      <c r="G931" s="13">
        <v>76</v>
      </c>
      <c r="H931" s="13">
        <v>43</v>
      </c>
      <c r="I931" s="11">
        <f t="shared" si="498"/>
        <v>376</v>
      </c>
      <c r="J931" s="470">
        <f t="shared" si="499"/>
        <v>53.714285714285715</v>
      </c>
    </row>
    <row r="932" spans="1:10" x14ac:dyDescent="0.25">
      <c r="A932" s="77" t="s">
        <v>15</v>
      </c>
      <c r="B932" s="233">
        <v>0</v>
      </c>
      <c r="C932" s="13">
        <v>0</v>
      </c>
      <c r="D932" s="13">
        <v>0</v>
      </c>
      <c r="E932" s="13">
        <v>0</v>
      </c>
      <c r="F932" s="13">
        <v>0</v>
      </c>
      <c r="G932" s="13">
        <v>0</v>
      </c>
      <c r="H932" s="13">
        <v>0</v>
      </c>
      <c r="I932" s="11">
        <f t="shared" si="498"/>
        <v>0</v>
      </c>
      <c r="J932" s="470">
        <f t="shared" si="499"/>
        <v>0</v>
      </c>
    </row>
    <row r="933" spans="1:10" x14ac:dyDescent="0.25">
      <c r="A933" s="77" t="s">
        <v>16</v>
      </c>
      <c r="B933" s="233">
        <v>0</v>
      </c>
      <c r="C933" s="13">
        <v>0</v>
      </c>
      <c r="D933" s="13">
        <v>0</v>
      </c>
      <c r="E933" s="13">
        <v>0</v>
      </c>
      <c r="F933" s="13">
        <v>0</v>
      </c>
      <c r="G933" s="13">
        <v>0</v>
      </c>
      <c r="H933" s="13">
        <v>0</v>
      </c>
      <c r="I933" s="11">
        <f t="shared" si="498"/>
        <v>0</v>
      </c>
      <c r="J933" s="470">
        <f t="shared" si="499"/>
        <v>0</v>
      </c>
    </row>
    <row r="934" spans="1:10" x14ac:dyDescent="0.25">
      <c r="A934" s="79" t="s">
        <v>17</v>
      </c>
      <c r="B934" s="102">
        <f t="shared" ref="B934:I934" si="500">SUM(B929:B933)</f>
        <v>70</v>
      </c>
      <c r="C934" s="102">
        <f t="shared" si="500"/>
        <v>95</v>
      </c>
      <c r="D934" s="102">
        <f t="shared" si="500"/>
        <v>83</v>
      </c>
      <c r="E934" s="102">
        <f t="shared" si="500"/>
        <v>113</v>
      </c>
      <c r="F934" s="102">
        <f t="shared" si="500"/>
        <v>196</v>
      </c>
      <c r="G934" s="79">
        <f t="shared" si="500"/>
        <v>164</v>
      </c>
      <c r="H934" s="79">
        <f t="shared" si="500"/>
        <v>152</v>
      </c>
      <c r="I934" s="472">
        <f t="shared" si="500"/>
        <v>873</v>
      </c>
      <c r="J934" s="473">
        <f t="shared" si="499"/>
        <v>124.71428571428571</v>
      </c>
    </row>
    <row r="935" spans="1:10" x14ac:dyDescent="0.25">
      <c r="A935" s="77" t="s">
        <v>18</v>
      </c>
      <c r="B935" s="234">
        <v>0.53</v>
      </c>
      <c r="C935" s="235">
        <v>0.67</v>
      </c>
      <c r="D935" s="235">
        <v>0.55000000000000004</v>
      </c>
      <c r="E935" s="236">
        <v>0.65</v>
      </c>
      <c r="F935" s="236">
        <v>0.59</v>
      </c>
      <c r="G935" s="236">
        <v>0.54</v>
      </c>
      <c r="H935" s="236">
        <v>0.71</v>
      </c>
      <c r="I935" s="18">
        <f>I942/I947</f>
        <v>0.61116189030446866</v>
      </c>
      <c r="J935" s="475">
        <f>J942/J947</f>
        <v>0.61116189030446855</v>
      </c>
    </row>
    <row r="936" spans="1:10" x14ac:dyDescent="0.25">
      <c r="A936" s="77" t="s">
        <v>19</v>
      </c>
      <c r="B936" s="234">
        <v>0.01</v>
      </c>
      <c r="C936" s="235">
        <v>0.01</v>
      </c>
      <c r="D936" s="235">
        <v>0</v>
      </c>
      <c r="E936" s="236">
        <v>0.01</v>
      </c>
      <c r="F936" s="236">
        <v>0.02</v>
      </c>
      <c r="G936" s="236">
        <v>0.01</v>
      </c>
      <c r="H936" s="236">
        <v>0.02</v>
      </c>
      <c r="I936" s="18">
        <f>I943/I947</f>
        <v>1.3183458965578283E-2</v>
      </c>
      <c r="J936" s="475">
        <f>J943/J947</f>
        <v>1.3183458965578281E-2</v>
      </c>
    </row>
    <row r="937" spans="1:10" x14ac:dyDescent="0.25">
      <c r="A937" s="77" t="s">
        <v>20</v>
      </c>
      <c r="B937" s="234">
        <v>0.46</v>
      </c>
      <c r="C937" s="235">
        <v>0.32</v>
      </c>
      <c r="D937" s="235">
        <v>0.45</v>
      </c>
      <c r="E937" s="236">
        <v>0.34</v>
      </c>
      <c r="F937" s="236">
        <v>0.39</v>
      </c>
      <c r="G937" s="236">
        <v>0.45</v>
      </c>
      <c r="H937" s="236">
        <v>0.27</v>
      </c>
      <c r="I937" s="18">
        <f>I944/I947</f>
        <v>0.37565465072995319</v>
      </c>
      <c r="J937" s="475">
        <f>J944/J947</f>
        <v>0.37565465072995319</v>
      </c>
    </row>
    <row r="938" spans="1:10" x14ac:dyDescent="0.25">
      <c r="A938" s="77" t="s">
        <v>21</v>
      </c>
      <c r="B938" s="234">
        <v>0</v>
      </c>
      <c r="C938" s="235">
        <v>0</v>
      </c>
      <c r="D938" s="235">
        <v>0</v>
      </c>
      <c r="E938" s="236">
        <v>0</v>
      </c>
      <c r="F938" s="236">
        <v>0</v>
      </c>
      <c r="G938" s="236">
        <v>0</v>
      </c>
      <c r="H938" s="236">
        <v>0</v>
      </c>
      <c r="I938" s="18">
        <f>I945/I947</f>
        <v>0</v>
      </c>
      <c r="J938" s="475">
        <f>J945/J947</f>
        <v>0</v>
      </c>
    </row>
    <row r="939" spans="1:10" x14ac:dyDescent="0.25">
      <c r="A939" s="77" t="s">
        <v>22</v>
      </c>
      <c r="B939" s="234">
        <v>0</v>
      </c>
      <c r="C939" s="235">
        <v>0</v>
      </c>
      <c r="D939" s="235">
        <v>0</v>
      </c>
      <c r="E939" s="236">
        <v>0</v>
      </c>
      <c r="F939" s="236">
        <v>0</v>
      </c>
      <c r="G939" s="236">
        <v>0</v>
      </c>
      <c r="H939" s="236">
        <v>0</v>
      </c>
      <c r="I939" s="18">
        <f>I946/I947</f>
        <v>0</v>
      </c>
      <c r="J939" s="475">
        <f>J946/J947</f>
        <v>0</v>
      </c>
    </row>
    <row r="940" spans="1:10" x14ac:dyDescent="0.25">
      <c r="A940" s="81" t="s">
        <v>23</v>
      </c>
      <c r="B940" s="450">
        <f t="shared" ref="B940:J940" si="501">B951/B934</f>
        <v>30744.285714285714</v>
      </c>
      <c r="C940" s="130">
        <f t="shared" si="501"/>
        <v>35438.947368421053</v>
      </c>
      <c r="D940" s="130">
        <f t="shared" si="501"/>
        <v>30990.361445783139</v>
      </c>
      <c r="E940" s="130">
        <f t="shared" si="501"/>
        <v>31505.309734513274</v>
      </c>
      <c r="F940" s="130">
        <f t="shared" si="501"/>
        <v>32670.408163265307</v>
      </c>
      <c r="G940" s="130">
        <f t="shared" si="501"/>
        <v>35574.390243902439</v>
      </c>
      <c r="H940" s="130">
        <f t="shared" si="501"/>
        <v>36813.157894736847</v>
      </c>
      <c r="I940" s="130">
        <f t="shared" si="501"/>
        <v>33773.539518900347</v>
      </c>
      <c r="J940" s="314">
        <f t="shared" si="501"/>
        <v>33773.539518900347</v>
      </c>
    </row>
    <row r="941" spans="1:10" x14ac:dyDescent="0.25">
      <c r="A941" s="81" t="s">
        <v>24</v>
      </c>
      <c r="B941" s="450">
        <f t="shared" ref="B941:J941" si="502">B951/B928</f>
        <v>27241.772151898735</v>
      </c>
      <c r="C941" s="130">
        <f t="shared" si="502"/>
        <v>28055.833333333332</v>
      </c>
      <c r="D941" s="130">
        <f t="shared" si="502"/>
        <v>27658.064516129038</v>
      </c>
      <c r="E941" s="130">
        <f t="shared" si="502"/>
        <v>26767.669172932332</v>
      </c>
      <c r="F941" s="130">
        <f t="shared" si="502"/>
        <v>27482.403433476396</v>
      </c>
      <c r="G941" s="130">
        <f t="shared" si="502"/>
        <v>28599.019607843136</v>
      </c>
      <c r="H941" s="130">
        <f t="shared" si="502"/>
        <v>29606.349206349212</v>
      </c>
      <c r="I941" s="130">
        <f t="shared" si="502"/>
        <v>28053.568030447193</v>
      </c>
      <c r="J941" s="314">
        <f t="shared" si="502"/>
        <v>28053.568030447193</v>
      </c>
    </row>
    <row r="942" spans="1:10" x14ac:dyDescent="0.25">
      <c r="A942" s="77" t="s">
        <v>25</v>
      </c>
      <c r="B942" s="451">
        <f t="shared" ref="B942:H942" si="503">B947*B935</f>
        <v>947880.41896551731</v>
      </c>
      <c r="C942" s="92">
        <f t="shared" si="503"/>
        <v>1863703.8827586209</v>
      </c>
      <c r="D942" s="92">
        <f t="shared" si="503"/>
        <v>1172167.5862068969</v>
      </c>
      <c r="E942" s="92">
        <f t="shared" si="503"/>
        <v>1910838.6206896552</v>
      </c>
      <c r="F942" s="92">
        <f t="shared" si="503"/>
        <v>3123399.4741379311</v>
      </c>
      <c r="G942" s="92">
        <f t="shared" si="503"/>
        <v>2615842.4896551725</v>
      </c>
      <c r="H942" s="92">
        <f t="shared" si="503"/>
        <v>3264237.8534482759</v>
      </c>
      <c r="I942" s="92">
        <f>SUM(B942:H942)</f>
        <v>14898070.325862071</v>
      </c>
      <c r="J942" s="300">
        <f t="shared" ref="J942:J947" si="504">+$I942/7</f>
        <v>2128295.7608374385</v>
      </c>
    </row>
    <row r="943" spans="1:10" x14ac:dyDescent="0.25">
      <c r="A943" s="77" t="s">
        <v>26</v>
      </c>
      <c r="B943" s="451">
        <f t="shared" ref="B943:H943" si="505">B947*B936</f>
        <v>17884.536206896551</v>
      </c>
      <c r="C943" s="92">
        <f t="shared" si="505"/>
        <v>27816.475862068968</v>
      </c>
      <c r="D943" s="92">
        <f t="shared" si="505"/>
        <v>0</v>
      </c>
      <c r="E943" s="92">
        <f t="shared" si="505"/>
        <v>29397.517241379312</v>
      </c>
      <c r="F943" s="92">
        <f t="shared" si="505"/>
        <v>105877.94827586207</v>
      </c>
      <c r="G943" s="92">
        <f t="shared" si="505"/>
        <v>48441.527586206896</v>
      </c>
      <c r="H943" s="92">
        <f t="shared" si="505"/>
        <v>91950.362068965536</v>
      </c>
      <c r="I943" s="92">
        <f>SUM(B943:H943)</f>
        <v>321368.36724137934</v>
      </c>
      <c r="J943" s="300">
        <f t="shared" si="504"/>
        <v>45909.766748768474</v>
      </c>
    </row>
    <row r="944" spans="1:10" x14ac:dyDescent="0.25">
      <c r="A944" s="77" t="s">
        <v>27</v>
      </c>
      <c r="B944" s="451">
        <f t="shared" ref="B944:H944" si="506">B947*B937</f>
        <v>822688.66551724146</v>
      </c>
      <c r="C944" s="92">
        <f t="shared" si="506"/>
        <v>890127.22758620698</v>
      </c>
      <c r="D944" s="92">
        <f t="shared" si="506"/>
        <v>959046.20689655188</v>
      </c>
      <c r="E944" s="92">
        <f t="shared" si="506"/>
        <v>999515.5862068967</v>
      </c>
      <c r="F944" s="92">
        <f t="shared" si="506"/>
        <v>2064619.9913793106</v>
      </c>
      <c r="G944" s="92">
        <f t="shared" si="506"/>
        <v>2179868.7413793104</v>
      </c>
      <c r="H944" s="92">
        <f t="shared" si="506"/>
        <v>1241329.8879310347</v>
      </c>
      <c r="I944" s="92">
        <f>SUM(B944:H944)</f>
        <v>9157196.3068965524</v>
      </c>
      <c r="J944" s="300">
        <f t="shared" si="504"/>
        <v>1308170.9009852218</v>
      </c>
    </row>
    <row r="945" spans="1:10" x14ac:dyDescent="0.25">
      <c r="A945" s="77" t="s">
        <v>28</v>
      </c>
      <c r="B945" s="451">
        <f t="shared" ref="B945:H945" si="507">B947*B938</f>
        <v>0</v>
      </c>
      <c r="C945" s="92">
        <f t="shared" si="507"/>
        <v>0</v>
      </c>
      <c r="D945" s="92">
        <f t="shared" si="507"/>
        <v>0</v>
      </c>
      <c r="E945" s="92">
        <f t="shared" si="507"/>
        <v>0</v>
      </c>
      <c r="F945" s="92">
        <f t="shared" si="507"/>
        <v>0</v>
      </c>
      <c r="G945" s="92">
        <f t="shared" si="507"/>
        <v>0</v>
      </c>
      <c r="H945" s="92">
        <f t="shared" si="507"/>
        <v>0</v>
      </c>
      <c r="I945" s="92">
        <f>SUM(B945:H945)</f>
        <v>0</v>
      </c>
      <c r="J945" s="300">
        <f t="shared" si="504"/>
        <v>0</v>
      </c>
    </row>
    <row r="946" spans="1:10" x14ac:dyDescent="0.25">
      <c r="A946" s="77" t="s">
        <v>29</v>
      </c>
      <c r="B946" s="451">
        <f t="shared" ref="B946:H946" si="508">B947*B939</f>
        <v>0</v>
      </c>
      <c r="C946" s="92">
        <f t="shared" si="508"/>
        <v>0</v>
      </c>
      <c r="D946" s="92">
        <f t="shared" si="508"/>
        <v>0</v>
      </c>
      <c r="E946" s="92">
        <f t="shared" si="508"/>
        <v>0</v>
      </c>
      <c r="F946" s="92">
        <f t="shared" si="508"/>
        <v>0</v>
      </c>
      <c r="G946" s="92">
        <f t="shared" si="508"/>
        <v>0</v>
      </c>
      <c r="H946" s="92">
        <f t="shared" si="508"/>
        <v>0</v>
      </c>
      <c r="I946" s="92">
        <f>SUM(B946:H946)</f>
        <v>0</v>
      </c>
      <c r="J946" s="300">
        <f t="shared" si="504"/>
        <v>0</v>
      </c>
    </row>
    <row r="947" spans="1:10" x14ac:dyDescent="0.25">
      <c r="A947" s="82" t="s">
        <v>30</v>
      </c>
      <c r="B947" s="237">
        <f>(2152100/1.16)-B948</f>
        <v>1788453.6206896552</v>
      </c>
      <c r="C947" s="237">
        <f>(3366700/1.16)-C948</f>
        <v>2781647.5862068967</v>
      </c>
      <c r="D947" s="237">
        <f>(2572200/1.16)-D948</f>
        <v>2131213.7931034486</v>
      </c>
      <c r="E947" s="237">
        <f>(3560100/1.16)-E948</f>
        <v>2939751.7241379311</v>
      </c>
      <c r="F947" s="237">
        <f>(6403400/1.16)-F948</f>
        <v>5293897.4137931038</v>
      </c>
      <c r="G947" s="237">
        <f>(5834200/1.16)-G948</f>
        <v>4844152.7586206896</v>
      </c>
      <c r="H947" s="237">
        <f>(5595600/1.16)-H948</f>
        <v>4597518.1034482764</v>
      </c>
      <c r="I947" s="91">
        <f>SUM(I942:I946)</f>
        <v>24376635</v>
      </c>
      <c r="J947" s="361">
        <f t="shared" si="504"/>
        <v>3482376.4285714286</v>
      </c>
    </row>
    <row r="948" spans="1:10" x14ac:dyDescent="0.25">
      <c r="A948" s="77" t="s">
        <v>31</v>
      </c>
      <c r="B948" s="452">
        <f t="shared" ref="B948:H948" si="509">2155*B929</f>
        <v>66805</v>
      </c>
      <c r="C948" s="94">
        <f t="shared" si="509"/>
        <v>120680</v>
      </c>
      <c r="D948" s="94">
        <f t="shared" si="509"/>
        <v>86200</v>
      </c>
      <c r="E948" s="94">
        <f t="shared" si="509"/>
        <v>129300</v>
      </c>
      <c r="F948" s="94">
        <f t="shared" si="509"/>
        <v>226275</v>
      </c>
      <c r="G948" s="94">
        <f t="shared" si="509"/>
        <v>185330</v>
      </c>
      <c r="H948" s="94">
        <f t="shared" si="509"/>
        <v>226275</v>
      </c>
      <c r="I948" s="94">
        <f>I929*2155</f>
        <v>1040865</v>
      </c>
      <c r="J948" s="302">
        <f>2155*J929</f>
        <v>148695</v>
      </c>
    </row>
    <row r="949" spans="1:10" x14ac:dyDescent="0.25">
      <c r="A949" s="83" t="s">
        <v>32</v>
      </c>
      <c r="B949" s="453">
        <f t="shared" ref="B949:J949" si="510">B947+B948</f>
        <v>1855258.6206896552</v>
      </c>
      <c r="C949" s="39">
        <f t="shared" si="510"/>
        <v>2902327.5862068967</v>
      </c>
      <c r="D949" s="39">
        <f t="shared" si="510"/>
        <v>2217413.7931034486</v>
      </c>
      <c r="E949" s="39">
        <f t="shared" si="510"/>
        <v>3069051.7241379311</v>
      </c>
      <c r="F949" s="39">
        <f t="shared" si="510"/>
        <v>5520172.4137931038</v>
      </c>
      <c r="G949" s="39">
        <f t="shared" si="510"/>
        <v>5029482.7586206896</v>
      </c>
      <c r="H949" s="39">
        <f t="shared" si="510"/>
        <v>4823793.1034482764</v>
      </c>
      <c r="I949" s="39">
        <f t="shared" si="510"/>
        <v>25417500</v>
      </c>
      <c r="J949" s="364">
        <f t="shared" si="510"/>
        <v>3631071.4285714286</v>
      </c>
    </row>
    <row r="950" spans="1:10" x14ac:dyDescent="0.25">
      <c r="A950" s="77" t="s">
        <v>33</v>
      </c>
      <c r="B950" s="454">
        <f t="shared" ref="B950:J950" si="511">B949*16%</f>
        <v>296841.37931034481</v>
      </c>
      <c r="C950" s="41">
        <f t="shared" si="511"/>
        <v>464372.41379310348</v>
      </c>
      <c r="D950" s="41">
        <f t="shared" si="511"/>
        <v>354786.20689655177</v>
      </c>
      <c r="E950" s="41">
        <f t="shared" si="511"/>
        <v>491048.27586206899</v>
      </c>
      <c r="F950" s="41">
        <f t="shared" si="511"/>
        <v>883227.58620689658</v>
      </c>
      <c r="G950" s="41">
        <f t="shared" si="511"/>
        <v>804717.24137931038</v>
      </c>
      <c r="H950" s="41">
        <f t="shared" si="511"/>
        <v>771806.89655172429</v>
      </c>
      <c r="I950" s="41">
        <f t="shared" si="511"/>
        <v>4066800</v>
      </c>
      <c r="J950" s="492">
        <f t="shared" si="511"/>
        <v>580971.42857142864</v>
      </c>
    </row>
    <row r="951" spans="1:10" x14ac:dyDescent="0.25">
      <c r="A951" s="142" t="s">
        <v>34</v>
      </c>
      <c r="B951" s="438">
        <f t="shared" ref="B951:I951" si="512">B949+B950</f>
        <v>2152100</v>
      </c>
      <c r="C951" s="144">
        <f t="shared" si="512"/>
        <v>3366700</v>
      </c>
      <c r="D951" s="144">
        <f t="shared" si="512"/>
        <v>2572200.0000000005</v>
      </c>
      <c r="E951" s="144">
        <f t="shared" si="512"/>
        <v>3560100</v>
      </c>
      <c r="F951" s="144">
        <f t="shared" si="512"/>
        <v>6403400</v>
      </c>
      <c r="G951" s="144">
        <f t="shared" si="512"/>
        <v>5834200</v>
      </c>
      <c r="H951" s="144">
        <f t="shared" si="512"/>
        <v>5595600.0000000009</v>
      </c>
      <c r="I951" s="144">
        <f t="shared" si="512"/>
        <v>29484300</v>
      </c>
      <c r="J951" s="441">
        <f>+$I951/7</f>
        <v>4212042.8571428573</v>
      </c>
    </row>
    <row r="952" spans="1:10" ht="15.75" thickBot="1" x14ac:dyDescent="0.3">
      <c r="I952" s="89"/>
    </row>
    <row r="953" spans="1:10" ht="26.25" x14ac:dyDescent="0.25">
      <c r="A953" s="85"/>
      <c r="B953" s="1002" t="s">
        <v>376</v>
      </c>
      <c r="C953" s="1002"/>
      <c r="D953" s="1002"/>
      <c r="E953" s="1002"/>
      <c r="F953" s="1002"/>
      <c r="G953" s="1002"/>
      <c r="H953" s="1002"/>
      <c r="I953" s="1002"/>
    </row>
    <row r="954" spans="1:10" ht="15.75" x14ac:dyDescent="0.25">
      <c r="A954" s="72" t="s">
        <v>2</v>
      </c>
      <c r="B954" s="121" t="s">
        <v>185</v>
      </c>
      <c r="C954" s="121" t="s">
        <v>186</v>
      </c>
      <c r="D954" s="121" t="s">
        <v>187</v>
      </c>
      <c r="E954" s="121" t="s">
        <v>188</v>
      </c>
      <c r="F954" s="121" t="s">
        <v>189</v>
      </c>
      <c r="G954" s="121" t="s">
        <v>190</v>
      </c>
      <c r="H954" s="121" t="s">
        <v>191</v>
      </c>
      <c r="I954" s="153" t="s">
        <v>10</v>
      </c>
      <c r="J954" s="490" t="s">
        <v>77</v>
      </c>
    </row>
    <row r="955" spans="1:10" x14ac:dyDescent="0.25">
      <c r="A955" s="430" t="s">
        <v>11</v>
      </c>
      <c r="B955" s="433">
        <f>70+28+4</f>
        <v>102</v>
      </c>
      <c r="C955" s="75">
        <f>69+40+15</f>
        <v>124</v>
      </c>
      <c r="D955" s="75">
        <f>63+30+14</f>
        <v>107</v>
      </c>
      <c r="E955" s="75">
        <f>80+56+14</f>
        <v>150</v>
      </c>
      <c r="F955" s="75">
        <f>121+83+22</f>
        <v>226</v>
      </c>
      <c r="G955" s="75">
        <f>106+62+21</f>
        <v>189</v>
      </c>
      <c r="H955" s="75">
        <f>106+72+26</f>
        <v>204</v>
      </c>
      <c r="I955" s="467">
        <f t="shared" ref="I955:I960" si="513">SUM(B955:H955)</f>
        <v>1102</v>
      </c>
      <c r="J955" s="468">
        <f>+$I955/7</f>
        <v>157.42857142857142</v>
      </c>
    </row>
    <row r="956" spans="1:10" x14ac:dyDescent="0.25">
      <c r="A956" s="77" t="s">
        <v>12</v>
      </c>
      <c r="B956" s="233">
        <v>43</v>
      </c>
      <c r="C956" s="13">
        <v>56</v>
      </c>
      <c r="D956" s="13">
        <v>45</v>
      </c>
      <c r="E956" s="13">
        <v>62</v>
      </c>
      <c r="F956" s="13">
        <v>75</v>
      </c>
      <c r="G956" s="320">
        <v>97</v>
      </c>
      <c r="H956" s="13">
        <v>103</v>
      </c>
      <c r="I956" s="11">
        <f t="shared" si="513"/>
        <v>481</v>
      </c>
      <c r="J956" s="470">
        <f t="shared" ref="J956:J961" si="514">+$I956/7</f>
        <v>68.714285714285708</v>
      </c>
    </row>
    <row r="957" spans="1:10" x14ac:dyDescent="0.25">
      <c r="A957" s="77" t="s">
        <v>13</v>
      </c>
      <c r="B957" s="233">
        <v>0</v>
      </c>
      <c r="C957" s="13">
        <v>0</v>
      </c>
      <c r="D957" s="13">
        <v>0</v>
      </c>
      <c r="E957" s="13">
        <v>1</v>
      </c>
      <c r="F957" s="13">
        <v>1</v>
      </c>
      <c r="G957" s="13">
        <v>6</v>
      </c>
      <c r="H957" s="13">
        <v>3</v>
      </c>
      <c r="I957" s="11">
        <f t="shared" si="513"/>
        <v>11</v>
      </c>
      <c r="J957" s="470">
        <f t="shared" si="514"/>
        <v>1.5714285714285714</v>
      </c>
    </row>
    <row r="958" spans="1:10" x14ac:dyDescent="0.25">
      <c r="A958" s="77" t="s">
        <v>14</v>
      </c>
      <c r="B958" s="233">
        <v>49</v>
      </c>
      <c r="C958" s="13">
        <v>46</v>
      </c>
      <c r="D958" s="13">
        <v>44</v>
      </c>
      <c r="E958" s="13">
        <v>66</v>
      </c>
      <c r="F958" s="13">
        <v>114</v>
      </c>
      <c r="G958" s="13">
        <v>48</v>
      </c>
      <c r="H958" s="13">
        <v>49</v>
      </c>
      <c r="I958" s="11">
        <f t="shared" si="513"/>
        <v>416</v>
      </c>
      <c r="J958" s="470">
        <f t="shared" si="514"/>
        <v>59.428571428571431</v>
      </c>
    </row>
    <row r="959" spans="1:10" x14ac:dyDescent="0.25">
      <c r="A959" s="77" t="s">
        <v>15</v>
      </c>
      <c r="B959" s="233">
        <v>0</v>
      </c>
      <c r="C959" s="13">
        <v>0</v>
      </c>
      <c r="D959" s="13">
        <v>0</v>
      </c>
      <c r="E959" s="13">
        <v>0</v>
      </c>
      <c r="F959" s="13">
        <v>0</v>
      </c>
      <c r="G959" s="13">
        <v>0</v>
      </c>
      <c r="H959" s="13">
        <v>0</v>
      </c>
      <c r="I959" s="11">
        <f t="shared" si="513"/>
        <v>0</v>
      </c>
      <c r="J959" s="470">
        <f t="shared" si="514"/>
        <v>0</v>
      </c>
    </row>
    <row r="960" spans="1:10" x14ac:dyDescent="0.25">
      <c r="A960" s="77" t="s">
        <v>16</v>
      </c>
      <c r="B960" s="233">
        <v>0</v>
      </c>
      <c r="C960" s="13">
        <v>0</v>
      </c>
      <c r="D960" s="13">
        <v>0</v>
      </c>
      <c r="E960" s="13">
        <v>0</v>
      </c>
      <c r="F960" s="13">
        <v>0</v>
      </c>
      <c r="G960" s="13">
        <v>0</v>
      </c>
      <c r="H960" s="13">
        <v>0</v>
      </c>
      <c r="I960" s="11">
        <f t="shared" si="513"/>
        <v>0</v>
      </c>
      <c r="J960" s="470">
        <f t="shared" si="514"/>
        <v>0</v>
      </c>
    </row>
    <row r="961" spans="1:10" x14ac:dyDescent="0.25">
      <c r="A961" s="79" t="s">
        <v>17</v>
      </c>
      <c r="B961" s="102">
        <f t="shared" ref="B961:I961" si="515">SUM(B956:B960)</f>
        <v>92</v>
      </c>
      <c r="C961" s="102">
        <f t="shared" si="515"/>
        <v>102</v>
      </c>
      <c r="D961" s="102">
        <f t="shared" si="515"/>
        <v>89</v>
      </c>
      <c r="E961" s="102">
        <f t="shared" si="515"/>
        <v>129</v>
      </c>
      <c r="F961" s="102">
        <f t="shared" si="515"/>
        <v>190</v>
      </c>
      <c r="G961" s="79">
        <f t="shared" si="515"/>
        <v>151</v>
      </c>
      <c r="H961" s="79">
        <f t="shared" si="515"/>
        <v>155</v>
      </c>
      <c r="I961" s="472">
        <f t="shared" si="515"/>
        <v>908</v>
      </c>
      <c r="J961" s="473">
        <f t="shared" si="514"/>
        <v>129.71428571428572</v>
      </c>
    </row>
    <row r="962" spans="1:10" x14ac:dyDescent="0.25">
      <c r="A962" s="77" t="s">
        <v>18</v>
      </c>
      <c r="B962" s="234">
        <v>0.54</v>
      </c>
      <c r="C962" s="235">
        <v>0.56999999999999995</v>
      </c>
      <c r="D962" s="235">
        <v>0.62</v>
      </c>
      <c r="E962" s="236">
        <v>0.54</v>
      </c>
      <c r="F962" s="236">
        <v>0.43</v>
      </c>
      <c r="G962" s="236">
        <v>0.67</v>
      </c>
      <c r="H962" s="236">
        <v>0.66</v>
      </c>
      <c r="I962" s="18">
        <f>I969/I974</f>
        <v>0.57299188342268059</v>
      </c>
      <c r="J962" s="475">
        <f>J969/J974</f>
        <v>0.57299188342268048</v>
      </c>
    </row>
    <row r="963" spans="1:10" x14ac:dyDescent="0.25">
      <c r="A963" s="77" t="s">
        <v>19</v>
      </c>
      <c r="B963" s="234">
        <v>0</v>
      </c>
      <c r="C963" s="235">
        <v>0</v>
      </c>
      <c r="D963" s="235">
        <v>0</v>
      </c>
      <c r="E963" s="236">
        <v>0.01</v>
      </c>
      <c r="F963" s="236">
        <v>0</v>
      </c>
      <c r="G963" s="236">
        <v>0.03</v>
      </c>
      <c r="H963" s="236">
        <v>0.03</v>
      </c>
      <c r="I963" s="18">
        <f>I970/I974</f>
        <v>1.2173273423660676E-2</v>
      </c>
      <c r="J963" s="475">
        <f>J970/J974</f>
        <v>1.2173273423660678E-2</v>
      </c>
    </row>
    <row r="964" spans="1:10" x14ac:dyDescent="0.25">
      <c r="A964" s="77" t="s">
        <v>20</v>
      </c>
      <c r="B964" s="234">
        <v>0.46</v>
      </c>
      <c r="C964" s="235">
        <v>0.43</v>
      </c>
      <c r="D964" s="235">
        <v>0.38</v>
      </c>
      <c r="E964" s="236">
        <v>0.45</v>
      </c>
      <c r="F964" s="236">
        <v>0.56999999999999995</v>
      </c>
      <c r="G964" s="236">
        <v>0.3</v>
      </c>
      <c r="H964" s="236">
        <v>0.31</v>
      </c>
      <c r="I964" s="18">
        <f>I971/I974</f>
        <v>0.41483484315365887</v>
      </c>
      <c r="J964" s="475">
        <f>J971/J974</f>
        <v>0.41483484315365882</v>
      </c>
    </row>
    <row r="965" spans="1:10" x14ac:dyDescent="0.25">
      <c r="A965" s="77" t="s">
        <v>21</v>
      </c>
      <c r="B965" s="234">
        <v>0</v>
      </c>
      <c r="C965" s="235">
        <v>0</v>
      </c>
      <c r="D965" s="235">
        <v>0</v>
      </c>
      <c r="E965" s="236">
        <v>0</v>
      </c>
      <c r="F965" s="236">
        <v>0</v>
      </c>
      <c r="G965" s="236">
        <v>0</v>
      </c>
      <c r="H965" s="236">
        <v>0</v>
      </c>
      <c r="I965" s="18">
        <f>I972/I974</f>
        <v>0</v>
      </c>
      <c r="J965" s="475">
        <f>J972/J974</f>
        <v>0</v>
      </c>
    </row>
    <row r="966" spans="1:10" x14ac:dyDescent="0.25">
      <c r="A966" s="77" t="s">
        <v>22</v>
      </c>
      <c r="B966" s="234">
        <v>0</v>
      </c>
      <c r="C966" s="235">
        <v>0</v>
      </c>
      <c r="D966" s="235">
        <v>0</v>
      </c>
      <c r="E966" s="236">
        <v>0</v>
      </c>
      <c r="F966" s="236">
        <v>0</v>
      </c>
      <c r="G966" s="236">
        <v>0</v>
      </c>
      <c r="H966" s="236">
        <v>0</v>
      </c>
      <c r="I966" s="18">
        <f>I973/I974</f>
        <v>0</v>
      </c>
      <c r="J966" s="475">
        <f>J973/J974</f>
        <v>0</v>
      </c>
    </row>
    <row r="967" spans="1:10" x14ac:dyDescent="0.25">
      <c r="A967" s="81" t="s">
        <v>23</v>
      </c>
      <c r="B967" s="450">
        <f t="shared" ref="B967:J967" si="516">B978/B961</f>
        <v>31425</v>
      </c>
      <c r="C967" s="130">
        <f t="shared" si="516"/>
        <v>33243.137254901958</v>
      </c>
      <c r="D967" s="130">
        <f t="shared" si="516"/>
        <v>32614.606741573032</v>
      </c>
      <c r="E967" s="130">
        <f t="shared" si="516"/>
        <v>34006.201550387595</v>
      </c>
      <c r="F967" s="130">
        <f t="shared" si="516"/>
        <v>33123.68421052632</v>
      </c>
      <c r="G967" s="130">
        <f t="shared" si="516"/>
        <v>35470.198675496693</v>
      </c>
      <c r="H967" s="130">
        <f t="shared" si="516"/>
        <v>37777.419354838719</v>
      </c>
      <c r="I967" s="130">
        <f t="shared" si="516"/>
        <v>34225.110132158588</v>
      </c>
      <c r="J967" s="314">
        <f t="shared" si="516"/>
        <v>34225.110132158588</v>
      </c>
    </row>
    <row r="968" spans="1:10" x14ac:dyDescent="0.25">
      <c r="A968" s="81" t="s">
        <v>24</v>
      </c>
      <c r="B968" s="450">
        <f t="shared" ref="B968:J968" si="517">B978/B955</f>
        <v>28344.117647058825</v>
      </c>
      <c r="C968" s="130">
        <f t="shared" si="517"/>
        <v>27345.16129032258</v>
      </c>
      <c r="D968" s="130">
        <f t="shared" si="517"/>
        <v>27128.037383177569</v>
      </c>
      <c r="E968" s="130">
        <f t="shared" si="517"/>
        <v>29245.333333333332</v>
      </c>
      <c r="F968" s="130">
        <f t="shared" si="517"/>
        <v>27847.345132743369</v>
      </c>
      <c r="G968" s="130">
        <f t="shared" si="517"/>
        <v>28338.624338624344</v>
      </c>
      <c r="H968" s="130">
        <f t="shared" si="517"/>
        <v>28703.431372549025</v>
      </c>
      <c r="I968" s="130">
        <f t="shared" si="517"/>
        <v>28200</v>
      </c>
      <c r="J968" s="314">
        <f t="shared" si="517"/>
        <v>28200.000000000004</v>
      </c>
    </row>
    <row r="969" spans="1:10" x14ac:dyDescent="0.25">
      <c r="A969" s="77" t="s">
        <v>25</v>
      </c>
      <c r="B969" s="451">
        <f t="shared" ref="B969:H969" si="518">B974*B962</f>
        <v>1295817.7965517242</v>
      </c>
      <c r="C969" s="92">
        <f t="shared" si="518"/>
        <v>1597381.3655172414</v>
      </c>
      <c r="D969" s="92">
        <f t="shared" si="518"/>
        <v>1491318.6034482759</v>
      </c>
      <c r="E969" s="92">
        <f t="shared" si="518"/>
        <v>1969981.6344827591</v>
      </c>
      <c r="F969" s="92">
        <f t="shared" si="518"/>
        <v>2263436.5948275863</v>
      </c>
      <c r="G969" s="92">
        <f t="shared" si="518"/>
        <v>2953498.2741379314</v>
      </c>
      <c r="H969" s="92">
        <f t="shared" si="518"/>
        <v>3185080.6862068973</v>
      </c>
      <c r="I969" s="92">
        <f>SUM(B969:H969)</f>
        <v>14756514.955172416</v>
      </c>
      <c r="J969" s="300">
        <f t="shared" ref="J969:J974" si="519">+$I969/7</f>
        <v>2108073.5650246306</v>
      </c>
    </row>
    <row r="970" spans="1:10" x14ac:dyDescent="0.25">
      <c r="A970" s="77" t="s">
        <v>26</v>
      </c>
      <c r="B970" s="451">
        <f t="shared" ref="B970:H970" si="520">B974*B963</f>
        <v>0</v>
      </c>
      <c r="C970" s="92">
        <f t="shared" si="520"/>
        <v>0</v>
      </c>
      <c r="D970" s="92">
        <f t="shared" si="520"/>
        <v>0</v>
      </c>
      <c r="E970" s="92">
        <f t="shared" si="520"/>
        <v>36481.141379310349</v>
      </c>
      <c r="F970" s="92">
        <f t="shared" si="520"/>
        <v>0</v>
      </c>
      <c r="G970" s="92">
        <f t="shared" si="520"/>
        <v>132246.19137931036</v>
      </c>
      <c r="H970" s="92">
        <f t="shared" si="520"/>
        <v>144776.39482758622</v>
      </c>
      <c r="I970" s="92">
        <f>SUM(B970:H970)</f>
        <v>313503.72758620692</v>
      </c>
      <c r="J970" s="300">
        <f t="shared" si="519"/>
        <v>44786.246798029562</v>
      </c>
    </row>
    <row r="971" spans="1:10" x14ac:dyDescent="0.25">
      <c r="A971" s="77" t="s">
        <v>27</v>
      </c>
      <c r="B971" s="451">
        <f t="shared" ref="B971:H971" si="521">B974*B964</f>
        <v>1103844.7896551725</v>
      </c>
      <c r="C971" s="92">
        <f t="shared" si="521"/>
        <v>1205042.0827586208</v>
      </c>
      <c r="D971" s="92">
        <f t="shared" si="521"/>
        <v>914033.98275862075</v>
      </c>
      <c r="E971" s="92">
        <f t="shared" si="521"/>
        <v>1641651.3620689658</v>
      </c>
      <c r="F971" s="92">
        <f t="shared" si="521"/>
        <v>3000369.4396551726</v>
      </c>
      <c r="G971" s="92">
        <f t="shared" si="521"/>
        <v>1322461.9137931035</v>
      </c>
      <c r="H971" s="92">
        <f t="shared" si="521"/>
        <v>1496022.7465517244</v>
      </c>
      <c r="I971" s="92">
        <f>SUM(B971:H971)</f>
        <v>10683426.31724138</v>
      </c>
      <c r="J971" s="300">
        <f t="shared" si="519"/>
        <v>1526203.7596059113</v>
      </c>
    </row>
    <row r="972" spans="1:10" x14ac:dyDescent="0.25">
      <c r="A972" s="77" t="s">
        <v>28</v>
      </c>
      <c r="B972" s="451">
        <f t="shared" ref="B972:H972" si="522">B974*B965</f>
        <v>0</v>
      </c>
      <c r="C972" s="92">
        <f t="shared" si="522"/>
        <v>0</v>
      </c>
      <c r="D972" s="92">
        <f t="shared" si="522"/>
        <v>0</v>
      </c>
      <c r="E972" s="92">
        <f t="shared" si="522"/>
        <v>0</v>
      </c>
      <c r="F972" s="92">
        <f t="shared" si="522"/>
        <v>0</v>
      </c>
      <c r="G972" s="92">
        <f t="shared" si="522"/>
        <v>0</v>
      </c>
      <c r="H972" s="92">
        <f t="shared" si="522"/>
        <v>0</v>
      </c>
      <c r="I972" s="92">
        <f>SUM(B972:H972)</f>
        <v>0</v>
      </c>
      <c r="J972" s="300">
        <f t="shared" si="519"/>
        <v>0</v>
      </c>
    </row>
    <row r="973" spans="1:10" x14ac:dyDescent="0.25">
      <c r="A973" s="77" t="s">
        <v>29</v>
      </c>
      <c r="B973" s="451">
        <f t="shared" ref="B973:H973" si="523">B974*B966</f>
        <v>0</v>
      </c>
      <c r="C973" s="92">
        <f t="shared" si="523"/>
        <v>0</v>
      </c>
      <c r="D973" s="92">
        <f t="shared" si="523"/>
        <v>0</v>
      </c>
      <c r="E973" s="92">
        <f t="shared" si="523"/>
        <v>0</v>
      </c>
      <c r="F973" s="92">
        <f t="shared" si="523"/>
        <v>0</v>
      </c>
      <c r="G973" s="92">
        <f t="shared" si="523"/>
        <v>0</v>
      </c>
      <c r="H973" s="92">
        <f t="shared" si="523"/>
        <v>0</v>
      </c>
      <c r="I973" s="92">
        <f>SUM(B973:H973)</f>
        <v>0</v>
      </c>
      <c r="J973" s="300">
        <f t="shared" si="519"/>
        <v>0</v>
      </c>
    </row>
    <row r="974" spans="1:10" x14ac:dyDescent="0.25">
      <c r="A974" s="82" t="s">
        <v>30</v>
      </c>
      <c r="B974" s="237">
        <f>(2891100/1.16)-B975</f>
        <v>2399662.5862068967</v>
      </c>
      <c r="C974" s="237">
        <f>(3390800/1.16)-C975</f>
        <v>2802423.4482758623</v>
      </c>
      <c r="D974" s="237">
        <f>(2902700/1.16)-D975</f>
        <v>2405352.5862068967</v>
      </c>
      <c r="E974" s="237">
        <f>(4386800/1.16)-E975</f>
        <v>3648114.1379310349</v>
      </c>
      <c r="F974" s="237">
        <f>(6293500/1.16)-F975</f>
        <v>5263806.0344827594</v>
      </c>
      <c r="G974" s="237">
        <f>(5356000/1.16)-G975</f>
        <v>4408206.3793103453</v>
      </c>
      <c r="H974" s="237">
        <f>(5855500/1.16)-H975</f>
        <v>4825879.8275862075</v>
      </c>
      <c r="I974" s="91">
        <f>SUM(I969:I973)</f>
        <v>25753445</v>
      </c>
      <c r="J974" s="361">
        <f t="shared" si="519"/>
        <v>3679063.5714285714</v>
      </c>
    </row>
    <row r="975" spans="1:10" x14ac:dyDescent="0.25">
      <c r="A975" s="77" t="s">
        <v>31</v>
      </c>
      <c r="B975" s="452">
        <f t="shared" ref="B975:H975" si="524">2155*B956</f>
        <v>92665</v>
      </c>
      <c r="C975" s="94">
        <f t="shared" si="524"/>
        <v>120680</v>
      </c>
      <c r="D975" s="94">
        <f t="shared" si="524"/>
        <v>96975</v>
      </c>
      <c r="E975" s="94">
        <f t="shared" si="524"/>
        <v>133610</v>
      </c>
      <c r="F975" s="94">
        <f t="shared" si="524"/>
        <v>161625</v>
      </c>
      <c r="G975" s="94">
        <f t="shared" si="524"/>
        <v>209035</v>
      </c>
      <c r="H975" s="94">
        <f t="shared" si="524"/>
        <v>221965</v>
      </c>
      <c r="I975" s="94">
        <f>I956*2155</f>
        <v>1036555</v>
      </c>
      <c r="J975" s="302">
        <f>2155*J956</f>
        <v>148079.28571428571</v>
      </c>
    </row>
    <row r="976" spans="1:10" x14ac:dyDescent="0.25">
      <c r="A976" s="83" t="s">
        <v>32</v>
      </c>
      <c r="B976" s="453">
        <f t="shared" ref="B976:J976" si="525">B974+B975</f>
        <v>2492327.5862068967</v>
      </c>
      <c r="C976" s="39">
        <f t="shared" si="525"/>
        <v>2923103.4482758623</v>
      </c>
      <c r="D976" s="39">
        <f t="shared" si="525"/>
        <v>2502327.5862068967</v>
      </c>
      <c r="E976" s="39">
        <f t="shared" si="525"/>
        <v>3781724.1379310349</v>
      </c>
      <c r="F976" s="39">
        <f t="shared" si="525"/>
        <v>5425431.0344827594</v>
      </c>
      <c r="G976" s="39">
        <f t="shared" si="525"/>
        <v>4617241.3793103453</v>
      </c>
      <c r="H976" s="39">
        <f t="shared" si="525"/>
        <v>5047844.8275862075</v>
      </c>
      <c r="I976" s="39">
        <f t="shared" si="525"/>
        <v>26790000</v>
      </c>
      <c r="J976" s="364">
        <f t="shared" si="525"/>
        <v>3827142.8571428573</v>
      </c>
    </row>
    <row r="977" spans="1:10" x14ac:dyDescent="0.25">
      <c r="A977" s="77" t="s">
        <v>33</v>
      </c>
      <c r="B977" s="454">
        <f t="shared" ref="B977:J977" si="526">B976*16%</f>
        <v>398772.41379310348</v>
      </c>
      <c r="C977" s="41">
        <f t="shared" si="526"/>
        <v>467696.55172413797</v>
      </c>
      <c r="D977" s="41">
        <f t="shared" si="526"/>
        <v>400372.41379310348</v>
      </c>
      <c r="E977" s="41">
        <f t="shared" si="526"/>
        <v>605075.86206896557</v>
      </c>
      <c r="F977" s="41">
        <f t="shared" si="526"/>
        <v>868068.96551724151</v>
      </c>
      <c r="G977" s="41">
        <f t="shared" si="526"/>
        <v>738758.6206896553</v>
      </c>
      <c r="H977" s="41">
        <f t="shared" si="526"/>
        <v>807655.17241379328</v>
      </c>
      <c r="I977" s="41">
        <f t="shared" si="526"/>
        <v>4286400</v>
      </c>
      <c r="J977" s="492">
        <f t="shared" si="526"/>
        <v>612342.85714285716</v>
      </c>
    </row>
    <row r="978" spans="1:10" x14ac:dyDescent="0.25">
      <c r="A978" s="142" t="s">
        <v>34</v>
      </c>
      <c r="B978" s="438">
        <f t="shared" ref="B978:I978" si="527">B976+B977</f>
        <v>2891100</v>
      </c>
      <c r="C978" s="144">
        <f t="shared" si="527"/>
        <v>3390800</v>
      </c>
      <c r="D978" s="144">
        <f t="shared" si="527"/>
        <v>2902700</v>
      </c>
      <c r="E978" s="144">
        <f t="shared" si="527"/>
        <v>4386800</v>
      </c>
      <c r="F978" s="144">
        <f t="shared" si="527"/>
        <v>6293500.0000000009</v>
      </c>
      <c r="G978" s="144">
        <f t="shared" si="527"/>
        <v>5356000.0000000009</v>
      </c>
      <c r="H978" s="144">
        <f t="shared" si="527"/>
        <v>5855500.0000000009</v>
      </c>
      <c r="I978" s="144">
        <f t="shared" si="527"/>
        <v>31076400</v>
      </c>
      <c r="J978" s="441">
        <f>+$I978/7</f>
        <v>4439485.7142857146</v>
      </c>
    </row>
    <row r="979" spans="1:10" ht="15.75" thickBot="1" x14ac:dyDescent="0.3">
      <c r="I979" s="89"/>
    </row>
    <row r="980" spans="1:10" ht="27" thickBot="1" x14ac:dyDescent="0.3">
      <c r="A980" s="85"/>
      <c r="B980" s="1002" t="s">
        <v>377</v>
      </c>
      <c r="C980" s="1002"/>
      <c r="D980" s="1002"/>
      <c r="E980" s="1002"/>
      <c r="F980" s="1002"/>
      <c r="G980" s="1002"/>
      <c r="H980" s="1002"/>
      <c r="I980" s="1002"/>
    </row>
    <row r="981" spans="1:10" ht="15.75" x14ac:dyDescent="0.25">
      <c r="A981" s="614" t="s">
        <v>2</v>
      </c>
      <c r="B981" s="641" t="s">
        <v>193</v>
      </c>
      <c r="C981" s="641" t="s">
        <v>194</v>
      </c>
      <c r="D981" s="641" t="s">
        <v>195</v>
      </c>
      <c r="E981" s="641" t="s">
        <v>196</v>
      </c>
      <c r="F981" s="641" t="s">
        <v>197</v>
      </c>
      <c r="G981" s="641" t="s">
        <v>198</v>
      </c>
      <c r="H981" s="641" t="s">
        <v>199</v>
      </c>
      <c r="I981" s="618" t="s">
        <v>10</v>
      </c>
      <c r="J981" s="711" t="s">
        <v>77</v>
      </c>
    </row>
    <row r="982" spans="1:10" x14ac:dyDescent="0.25">
      <c r="A982" s="620" t="s">
        <v>11</v>
      </c>
      <c r="B982" s="433">
        <f>95+41+15</f>
        <v>151</v>
      </c>
      <c r="C982" s="75">
        <f>60+14+9</f>
        <v>83</v>
      </c>
      <c r="D982" s="75">
        <f>67+30+10</f>
        <v>107</v>
      </c>
      <c r="E982" s="75">
        <f>61+34+8</f>
        <v>103</v>
      </c>
      <c r="F982" s="75">
        <f>147+99+29</f>
        <v>275</v>
      </c>
      <c r="G982" s="75">
        <f>131+72+17</f>
        <v>220</v>
      </c>
      <c r="H982" s="75">
        <f>115+70+31</f>
        <v>216</v>
      </c>
      <c r="I982" s="467">
        <f t="shared" ref="I982:I987" si="528">SUM(B982:H982)</f>
        <v>1155</v>
      </c>
      <c r="J982" s="721">
        <f>+$I982/7</f>
        <v>165</v>
      </c>
    </row>
    <row r="983" spans="1:10" x14ac:dyDescent="0.25">
      <c r="A983" s="622" t="s">
        <v>12</v>
      </c>
      <c r="B983" s="233">
        <v>96</v>
      </c>
      <c r="C983" s="13">
        <v>28</v>
      </c>
      <c r="D983" s="13">
        <v>41</v>
      </c>
      <c r="E983" s="13">
        <v>35</v>
      </c>
      <c r="F983" s="13">
        <v>95</v>
      </c>
      <c r="G983" s="320">
        <v>98</v>
      </c>
      <c r="H983" s="13">
        <v>131</v>
      </c>
      <c r="I983" s="11">
        <f t="shared" si="528"/>
        <v>524</v>
      </c>
      <c r="J983" s="722">
        <f t="shared" ref="J983:J988" si="529">+$I983/7</f>
        <v>74.857142857142861</v>
      </c>
    </row>
    <row r="984" spans="1:10" x14ac:dyDescent="0.25">
      <c r="A984" s="622" t="s">
        <v>13</v>
      </c>
      <c r="B984" s="233">
        <v>5</v>
      </c>
      <c r="C984" s="13">
        <v>2</v>
      </c>
      <c r="D984" s="13">
        <v>2</v>
      </c>
      <c r="E984" s="13">
        <v>0</v>
      </c>
      <c r="F984" s="13">
        <v>4</v>
      </c>
      <c r="G984" s="13">
        <v>2</v>
      </c>
      <c r="H984" s="13">
        <v>2</v>
      </c>
      <c r="I984" s="11">
        <f t="shared" si="528"/>
        <v>17</v>
      </c>
      <c r="J984" s="722">
        <f t="shared" si="529"/>
        <v>2.4285714285714284</v>
      </c>
    </row>
    <row r="985" spans="1:10" x14ac:dyDescent="0.25">
      <c r="A985" s="622" t="s">
        <v>14</v>
      </c>
      <c r="B985" s="233">
        <v>29</v>
      </c>
      <c r="C985" s="13">
        <v>35</v>
      </c>
      <c r="D985" s="13">
        <v>43</v>
      </c>
      <c r="E985" s="13">
        <v>51</v>
      </c>
      <c r="F985" s="13">
        <v>128</v>
      </c>
      <c r="G985" s="13">
        <v>81</v>
      </c>
      <c r="H985" s="13">
        <v>45</v>
      </c>
      <c r="I985" s="11">
        <f t="shared" si="528"/>
        <v>412</v>
      </c>
      <c r="J985" s="722">
        <f t="shared" si="529"/>
        <v>58.857142857142854</v>
      </c>
    </row>
    <row r="986" spans="1:10" x14ac:dyDescent="0.25">
      <c r="A986" s="622" t="s">
        <v>15</v>
      </c>
      <c r="B986" s="233">
        <v>0</v>
      </c>
      <c r="C986" s="13">
        <v>0</v>
      </c>
      <c r="D986" s="13">
        <v>0</v>
      </c>
      <c r="E986" s="13">
        <v>0</v>
      </c>
      <c r="F986" s="13">
        <v>0</v>
      </c>
      <c r="G986" s="13">
        <v>0</v>
      </c>
      <c r="H986" s="13">
        <v>0</v>
      </c>
      <c r="I986" s="11">
        <f t="shared" si="528"/>
        <v>0</v>
      </c>
      <c r="J986" s="722">
        <f t="shared" si="529"/>
        <v>0</v>
      </c>
    </row>
    <row r="987" spans="1:10" x14ac:dyDescent="0.25">
      <c r="A987" s="622" t="s">
        <v>16</v>
      </c>
      <c r="B987" s="233">
        <v>0</v>
      </c>
      <c r="C987" s="13">
        <v>0</v>
      </c>
      <c r="D987" s="13">
        <v>0</v>
      </c>
      <c r="E987" s="13">
        <v>0</v>
      </c>
      <c r="F987" s="13">
        <v>0</v>
      </c>
      <c r="G987" s="13">
        <v>0</v>
      </c>
      <c r="H987" s="13">
        <v>0</v>
      </c>
      <c r="I987" s="11">
        <f t="shared" si="528"/>
        <v>0</v>
      </c>
      <c r="J987" s="722">
        <f t="shared" si="529"/>
        <v>0</v>
      </c>
    </row>
    <row r="988" spans="1:10" x14ac:dyDescent="0.25">
      <c r="A988" s="624" t="s">
        <v>17</v>
      </c>
      <c r="B988" s="102">
        <f t="shared" ref="B988:I988" si="530">SUM(B983:B987)</f>
        <v>130</v>
      </c>
      <c r="C988" s="102">
        <f t="shared" si="530"/>
        <v>65</v>
      </c>
      <c r="D988" s="102">
        <f t="shared" si="530"/>
        <v>86</v>
      </c>
      <c r="E988" s="102">
        <f t="shared" si="530"/>
        <v>86</v>
      </c>
      <c r="F988" s="102">
        <f t="shared" si="530"/>
        <v>227</v>
      </c>
      <c r="G988" s="79">
        <f t="shared" si="530"/>
        <v>181</v>
      </c>
      <c r="H988" s="79">
        <f t="shared" si="530"/>
        <v>178</v>
      </c>
      <c r="I988" s="472">
        <f t="shared" si="530"/>
        <v>953</v>
      </c>
      <c r="J988" s="723">
        <f t="shared" si="529"/>
        <v>136.14285714285714</v>
      </c>
    </row>
    <row r="989" spans="1:10" x14ac:dyDescent="0.25">
      <c r="A989" s="622" t="s">
        <v>18</v>
      </c>
      <c r="B989" s="234">
        <v>0.77</v>
      </c>
      <c r="C989" s="235">
        <v>0.43</v>
      </c>
      <c r="D989" s="235">
        <v>0.5</v>
      </c>
      <c r="E989" s="236">
        <v>0.49</v>
      </c>
      <c r="F989" s="236">
        <v>0.46</v>
      </c>
      <c r="G989" s="236">
        <v>0.57999999999999996</v>
      </c>
      <c r="H989" s="236">
        <v>0.78</v>
      </c>
      <c r="I989" s="18">
        <f>I996/I1001</f>
        <v>0.58735402980575557</v>
      </c>
      <c r="J989" s="724">
        <f>J996/J1001</f>
        <v>0.58735402980575557</v>
      </c>
    </row>
    <row r="990" spans="1:10" x14ac:dyDescent="0.25">
      <c r="A990" s="622" t="s">
        <v>19</v>
      </c>
      <c r="B990" s="234">
        <v>0.04</v>
      </c>
      <c r="C990" s="235">
        <v>0.04</v>
      </c>
      <c r="D990" s="235">
        <v>0.01</v>
      </c>
      <c r="E990" s="236">
        <v>0</v>
      </c>
      <c r="F990" s="236">
        <v>0.01</v>
      </c>
      <c r="G990" s="236">
        <v>0.01</v>
      </c>
      <c r="H990" s="236">
        <v>0.01</v>
      </c>
      <c r="I990" s="18">
        <f>I997/I1001</f>
        <v>1.4841335780250911E-2</v>
      </c>
      <c r="J990" s="724">
        <f>J997/J1001</f>
        <v>1.4841335780250911E-2</v>
      </c>
    </row>
    <row r="991" spans="1:10" x14ac:dyDescent="0.25">
      <c r="A991" s="622" t="s">
        <v>20</v>
      </c>
      <c r="B991" s="234">
        <v>0.19</v>
      </c>
      <c r="C991" s="235">
        <v>0.53</v>
      </c>
      <c r="D991" s="235">
        <v>0.49</v>
      </c>
      <c r="E991" s="236">
        <v>0.51</v>
      </c>
      <c r="F991" s="236">
        <v>0.53</v>
      </c>
      <c r="G991" s="236">
        <v>0.41</v>
      </c>
      <c r="H991" s="236">
        <v>0.21</v>
      </c>
      <c r="I991" s="18">
        <f>I998/I1001</f>
        <v>0.39780463441399355</v>
      </c>
      <c r="J991" s="724">
        <f>J998/J1001</f>
        <v>0.39780463441399355</v>
      </c>
    </row>
    <row r="992" spans="1:10" x14ac:dyDescent="0.25">
      <c r="A992" s="622" t="s">
        <v>21</v>
      </c>
      <c r="B992" s="234">
        <v>0</v>
      </c>
      <c r="C992" s="235">
        <v>0</v>
      </c>
      <c r="D992" s="235">
        <v>0</v>
      </c>
      <c r="E992" s="236">
        <v>0</v>
      </c>
      <c r="F992" s="236">
        <v>0</v>
      </c>
      <c r="G992" s="236">
        <v>0</v>
      </c>
      <c r="H992" s="236">
        <v>0</v>
      </c>
      <c r="I992" s="18">
        <f>I999/I1001</f>
        <v>0</v>
      </c>
      <c r="J992" s="724">
        <f>J999/J1001</f>
        <v>0</v>
      </c>
    </row>
    <row r="993" spans="1:10" x14ac:dyDescent="0.25">
      <c r="A993" s="622" t="s">
        <v>22</v>
      </c>
      <c r="B993" s="234">
        <v>0</v>
      </c>
      <c r="C993" s="235">
        <v>0</v>
      </c>
      <c r="D993" s="235">
        <v>0</v>
      </c>
      <c r="E993" s="236">
        <v>0</v>
      </c>
      <c r="F993" s="236">
        <v>0</v>
      </c>
      <c r="G993" s="236">
        <v>0</v>
      </c>
      <c r="H993" s="236">
        <v>0</v>
      </c>
      <c r="I993" s="18">
        <f>I1000/I1001</f>
        <v>0</v>
      </c>
      <c r="J993" s="724">
        <f>J1000/J1001</f>
        <v>0</v>
      </c>
    </row>
    <row r="994" spans="1:10" x14ac:dyDescent="0.25">
      <c r="A994" s="627" t="s">
        <v>23</v>
      </c>
      <c r="B994" s="450">
        <f t="shared" ref="B994:J994" si="531">B1005/B988</f>
        <v>33241.538461538461</v>
      </c>
      <c r="C994" s="130">
        <f t="shared" si="531"/>
        <v>31630.76923076923</v>
      </c>
      <c r="D994" s="130">
        <f t="shared" si="531"/>
        <v>34513.953488372092</v>
      </c>
      <c r="E994" s="130">
        <f t="shared" si="531"/>
        <v>35151.162790697672</v>
      </c>
      <c r="F994" s="130">
        <f t="shared" si="531"/>
        <v>34025.550660792956</v>
      </c>
      <c r="G994" s="130">
        <f t="shared" si="531"/>
        <v>36980.66298342542</v>
      </c>
      <c r="H994" s="130">
        <f t="shared" si="531"/>
        <v>34034.831460674155</v>
      </c>
      <c r="I994" s="130">
        <f t="shared" si="531"/>
        <v>34463.903462749215</v>
      </c>
      <c r="J994" s="685">
        <f t="shared" si="531"/>
        <v>34463.903462749222</v>
      </c>
    </row>
    <row r="995" spans="1:10" x14ac:dyDescent="0.25">
      <c r="A995" s="627" t="s">
        <v>24</v>
      </c>
      <c r="B995" s="450">
        <f t="shared" ref="B995:J995" si="532">B1005/B982</f>
        <v>28618.543046357616</v>
      </c>
      <c r="C995" s="130">
        <f t="shared" si="532"/>
        <v>24771.084337349399</v>
      </c>
      <c r="D995" s="130">
        <f t="shared" si="532"/>
        <v>27740.186915887851</v>
      </c>
      <c r="E995" s="130">
        <f t="shared" si="532"/>
        <v>29349.514563106797</v>
      </c>
      <c r="F995" s="130">
        <f t="shared" si="532"/>
        <v>28086.54545454546</v>
      </c>
      <c r="G995" s="130">
        <f t="shared" si="532"/>
        <v>30425.000000000004</v>
      </c>
      <c r="H995" s="130">
        <f t="shared" si="532"/>
        <v>28047.222222222223</v>
      </c>
      <c r="I995" s="130">
        <f t="shared" si="532"/>
        <v>28436.450216450219</v>
      </c>
      <c r="J995" s="685">
        <f t="shared" si="532"/>
        <v>28436.450216450219</v>
      </c>
    </row>
    <row r="996" spans="1:10" x14ac:dyDescent="0.25">
      <c r="A996" s="622" t="s">
        <v>25</v>
      </c>
      <c r="B996" s="451">
        <f t="shared" ref="B996:H996" si="533">B1001*B989</f>
        <v>2709217.9172413796</v>
      </c>
      <c r="C996" s="92">
        <f t="shared" si="533"/>
        <v>736191.73103448283</v>
      </c>
      <c r="D996" s="92">
        <f t="shared" si="533"/>
        <v>1235219.051724138</v>
      </c>
      <c r="E996" s="92">
        <f t="shared" si="533"/>
        <v>1239998.6465517241</v>
      </c>
      <c r="F996" s="92">
        <f t="shared" si="533"/>
        <v>2968712.7068965524</v>
      </c>
      <c r="G996" s="92">
        <f t="shared" si="533"/>
        <v>3224259.8000000003</v>
      </c>
      <c r="H996" s="92">
        <f t="shared" si="533"/>
        <v>3853419.3413793105</v>
      </c>
      <c r="I996" s="92">
        <f>SUM(B996:H996)</f>
        <v>15967019.194827588</v>
      </c>
      <c r="J996" s="715">
        <f t="shared" ref="J996:J1001" si="534">+$I996/7</f>
        <v>2281002.7421182268</v>
      </c>
    </row>
    <row r="997" spans="1:10" x14ac:dyDescent="0.25">
      <c r="A997" s="622" t="s">
        <v>26</v>
      </c>
      <c r="B997" s="451">
        <f t="shared" ref="B997:H997" si="535">B1001*B990</f>
        <v>140738.59310344828</v>
      </c>
      <c r="C997" s="92">
        <f t="shared" si="535"/>
        <v>68482.951724137936</v>
      </c>
      <c r="D997" s="92">
        <f t="shared" si="535"/>
        <v>24704.381034482762</v>
      </c>
      <c r="E997" s="92">
        <f t="shared" si="535"/>
        <v>0</v>
      </c>
      <c r="F997" s="92">
        <f t="shared" si="535"/>
        <v>64537.232758620703</v>
      </c>
      <c r="G997" s="92">
        <f t="shared" si="535"/>
        <v>55590.686206896557</v>
      </c>
      <c r="H997" s="92">
        <f t="shared" si="535"/>
        <v>49402.812068965519</v>
      </c>
      <c r="I997" s="92">
        <f>SUM(B997:H997)</f>
        <v>403456.65689655178</v>
      </c>
      <c r="J997" s="715">
        <f t="shared" si="534"/>
        <v>57636.66527093597</v>
      </c>
    </row>
    <row r="998" spans="1:10" x14ac:dyDescent="0.25">
      <c r="A998" s="622" t="s">
        <v>27</v>
      </c>
      <c r="B998" s="451">
        <f t="shared" ref="B998:H998" si="536">B1001*B991</f>
        <v>668508.31724137941</v>
      </c>
      <c r="C998" s="92">
        <f t="shared" si="536"/>
        <v>907399.11034482764</v>
      </c>
      <c r="D998" s="92">
        <f t="shared" si="536"/>
        <v>1210514.6706896552</v>
      </c>
      <c r="E998" s="92">
        <f t="shared" si="536"/>
        <v>1290610.8362068967</v>
      </c>
      <c r="F998" s="92">
        <f t="shared" si="536"/>
        <v>3420473.3362068972</v>
      </c>
      <c r="G998" s="92">
        <f t="shared" si="536"/>
        <v>2279218.1344827586</v>
      </c>
      <c r="H998" s="92">
        <f t="shared" si="536"/>
        <v>1037459.0534482759</v>
      </c>
      <c r="I998" s="92">
        <f>SUM(B998:H998)</f>
        <v>10814183.458620692</v>
      </c>
      <c r="J998" s="715">
        <f t="shared" si="534"/>
        <v>1544883.3512315273</v>
      </c>
    </row>
    <row r="999" spans="1:10" x14ac:dyDescent="0.25">
      <c r="A999" s="622" t="s">
        <v>28</v>
      </c>
      <c r="B999" s="451">
        <f t="shared" ref="B999:H999" si="537">B1001*B992</f>
        <v>0</v>
      </c>
      <c r="C999" s="92">
        <f t="shared" si="537"/>
        <v>0</v>
      </c>
      <c r="D999" s="92">
        <f t="shared" si="537"/>
        <v>0</v>
      </c>
      <c r="E999" s="92">
        <f t="shared" si="537"/>
        <v>0</v>
      </c>
      <c r="F999" s="92">
        <f t="shared" si="537"/>
        <v>0</v>
      </c>
      <c r="G999" s="92">
        <f t="shared" si="537"/>
        <v>0</v>
      </c>
      <c r="H999" s="92">
        <f t="shared" si="537"/>
        <v>0</v>
      </c>
      <c r="I999" s="92">
        <f>SUM(B999:H999)</f>
        <v>0</v>
      </c>
      <c r="J999" s="715">
        <f t="shared" si="534"/>
        <v>0</v>
      </c>
    </row>
    <row r="1000" spans="1:10" x14ac:dyDescent="0.25">
      <c r="A1000" s="622" t="s">
        <v>29</v>
      </c>
      <c r="B1000" s="451">
        <f t="shared" ref="B1000:H1000" si="538">B1001*B993</f>
        <v>0</v>
      </c>
      <c r="C1000" s="92">
        <f t="shared" si="538"/>
        <v>0</v>
      </c>
      <c r="D1000" s="92">
        <f t="shared" si="538"/>
        <v>0</v>
      </c>
      <c r="E1000" s="92">
        <f t="shared" si="538"/>
        <v>0</v>
      </c>
      <c r="F1000" s="92">
        <f t="shared" si="538"/>
        <v>0</v>
      </c>
      <c r="G1000" s="92">
        <f t="shared" si="538"/>
        <v>0</v>
      </c>
      <c r="H1000" s="92">
        <f t="shared" si="538"/>
        <v>0</v>
      </c>
      <c r="I1000" s="92">
        <f>SUM(B1000:H1000)</f>
        <v>0</v>
      </c>
      <c r="J1000" s="715">
        <f t="shared" si="534"/>
        <v>0</v>
      </c>
    </row>
    <row r="1001" spans="1:10" x14ac:dyDescent="0.25">
      <c r="A1001" s="630" t="s">
        <v>30</v>
      </c>
      <c r="B1001" s="237">
        <f>(4321400/1.16)-B1002</f>
        <v>3518464.8275862071</v>
      </c>
      <c r="C1001" s="237">
        <f>(2056000/1.16)-C1002</f>
        <v>1712073.7931034483</v>
      </c>
      <c r="D1001" s="237">
        <f>(2968200/1.16)-D1002</f>
        <v>2470438.1034482759</v>
      </c>
      <c r="E1001" s="237">
        <f>(3023000/1.16)-E1002</f>
        <v>2530609.4827586208</v>
      </c>
      <c r="F1001" s="237">
        <f>(7723800/1.16)-F1002</f>
        <v>6453723.2758620698</v>
      </c>
      <c r="G1001" s="237">
        <f>(6693500/1.16)-G1002</f>
        <v>5559068.6206896557</v>
      </c>
      <c r="H1001" s="237">
        <f>(6058200/1.16)-H1002</f>
        <v>4940281.2068965519</v>
      </c>
      <c r="I1001" s="91">
        <f>SUM(I996:I1000)</f>
        <v>27184659.31034483</v>
      </c>
      <c r="J1001" s="716">
        <f t="shared" si="534"/>
        <v>3883522.7586206901</v>
      </c>
    </row>
    <row r="1002" spans="1:10" x14ac:dyDescent="0.25">
      <c r="A1002" s="622" t="s">
        <v>31</v>
      </c>
      <c r="B1002" s="452">
        <f t="shared" ref="B1002:H1002" si="539">2155*B983</f>
        <v>206880</v>
      </c>
      <c r="C1002" s="94">
        <f t="shared" si="539"/>
        <v>60340</v>
      </c>
      <c r="D1002" s="94">
        <f t="shared" si="539"/>
        <v>88355</v>
      </c>
      <c r="E1002" s="94">
        <f t="shared" si="539"/>
        <v>75425</v>
      </c>
      <c r="F1002" s="94">
        <f t="shared" si="539"/>
        <v>204725</v>
      </c>
      <c r="G1002" s="94">
        <f t="shared" si="539"/>
        <v>211190</v>
      </c>
      <c r="H1002" s="94">
        <f t="shared" si="539"/>
        <v>282305</v>
      </c>
      <c r="I1002" s="94">
        <f>I983*2155</f>
        <v>1129220</v>
      </c>
      <c r="J1002" s="717">
        <f>2155*J983</f>
        <v>161317.14285714287</v>
      </c>
    </row>
    <row r="1003" spans="1:10" x14ac:dyDescent="0.25">
      <c r="A1003" s="633" t="s">
        <v>32</v>
      </c>
      <c r="B1003" s="453">
        <f t="shared" ref="B1003:J1003" si="540">B1001+B1002</f>
        <v>3725344.8275862071</v>
      </c>
      <c r="C1003" s="39">
        <f t="shared" si="540"/>
        <v>1772413.7931034483</v>
      </c>
      <c r="D1003" s="39">
        <f t="shared" si="540"/>
        <v>2558793.1034482759</v>
      </c>
      <c r="E1003" s="39">
        <f t="shared" si="540"/>
        <v>2606034.4827586208</v>
      </c>
      <c r="F1003" s="39">
        <f t="shared" si="540"/>
        <v>6658448.2758620698</v>
      </c>
      <c r="G1003" s="39">
        <f t="shared" si="540"/>
        <v>5770258.6206896557</v>
      </c>
      <c r="H1003" s="39">
        <f t="shared" si="540"/>
        <v>5222586.2068965519</v>
      </c>
      <c r="I1003" s="39">
        <f t="shared" si="540"/>
        <v>28313879.31034483</v>
      </c>
      <c r="J1003" s="718">
        <f t="shared" si="540"/>
        <v>4044839.9014778328</v>
      </c>
    </row>
    <row r="1004" spans="1:10" x14ac:dyDescent="0.25">
      <c r="A1004" s="622" t="s">
        <v>33</v>
      </c>
      <c r="B1004" s="454">
        <f t="shared" ref="B1004:J1004" si="541">B1003*16%</f>
        <v>596055.17241379316</v>
      </c>
      <c r="C1004" s="41">
        <f t="shared" si="541"/>
        <v>283586.20689655177</v>
      </c>
      <c r="D1004" s="41">
        <f t="shared" si="541"/>
        <v>409406.89655172417</v>
      </c>
      <c r="E1004" s="41">
        <f t="shared" si="541"/>
        <v>416965.5172413793</v>
      </c>
      <c r="F1004" s="41">
        <f t="shared" si="541"/>
        <v>1065351.7241379311</v>
      </c>
      <c r="G1004" s="41">
        <f t="shared" si="541"/>
        <v>923241.37931034493</v>
      </c>
      <c r="H1004" s="41">
        <f t="shared" si="541"/>
        <v>835613.79310344835</v>
      </c>
      <c r="I1004" s="41">
        <f t="shared" si="541"/>
        <v>4530220.6896551726</v>
      </c>
      <c r="J1004" s="725">
        <f t="shared" si="541"/>
        <v>647174.38423645322</v>
      </c>
    </row>
    <row r="1005" spans="1:10" ht="15.75" thickBot="1" x14ac:dyDescent="0.3">
      <c r="A1005" s="636" t="s">
        <v>34</v>
      </c>
      <c r="B1005" s="637">
        <f t="shared" ref="B1005:I1005" si="542">B1003+B1004</f>
        <v>4321400</v>
      </c>
      <c r="C1005" s="686">
        <f t="shared" si="542"/>
        <v>2056000</v>
      </c>
      <c r="D1005" s="686">
        <f t="shared" si="542"/>
        <v>2968200</v>
      </c>
      <c r="E1005" s="686">
        <f t="shared" si="542"/>
        <v>3023000</v>
      </c>
      <c r="F1005" s="686">
        <f t="shared" si="542"/>
        <v>7723800.0000000009</v>
      </c>
      <c r="G1005" s="686">
        <f t="shared" si="542"/>
        <v>6693500.0000000009</v>
      </c>
      <c r="H1005" s="686">
        <f t="shared" si="542"/>
        <v>6058200</v>
      </c>
      <c r="I1005" s="686">
        <f t="shared" si="542"/>
        <v>32844100.000000004</v>
      </c>
      <c r="J1005" s="720">
        <f>+$I1005/7</f>
        <v>4692014.2857142864</v>
      </c>
    </row>
    <row r="1006" spans="1:10" ht="15.75" thickBot="1" x14ac:dyDescent="0.3">
      <c r="I1006" s="89"/>
    </row>
    <row r="1007" spans="1:10" ht="27" thickBot="1" x14ac:dyDescent="0.3">
      <c r="A1007" s="85"/>
      <c r="B1007" s="1002" t="s">
        <v>378</v>
      </c>
      <c r="C1007" s="1002"/>
      <c r="D1007" s="1002"/>
      <c r="E1007" s="1002"/>
      <c r="F1007" s="1002"/>
      <c r="G1007" s="1002"/>
      <c r="H1007" s="1002"/>
      <c r="I1007" s="1002"/>
    </row>
    <row r="1008" spans="1:10" ht="15.75" x14ac:dyDescent="0.25">
      <c r="A1008" s="614" t="s">
        <v>2</v>
      </c>
      <c r="B1008" s="641" t="s">
        <v>201</v>
      </c>
      <c r="C1008" s="641" t="s">
        <v>202</v>
      </c>
      <c r="D1008" s="641" t="s">
        <v>203</v>
      </c>
      <c r="E1008" s="641" t="s">
        <v>204</v>
      </c>
      <c r="F1008" s="641" t="s">
        <v>205</v>
      </c>
      <c r="G1008" s="641" t="s">
        <v>206</v>
      </c>
      <c r="H1008" s="641" t="s">
        <v>207</v>
      </c>
      <c r="I1008" s="618" t="s">
        <v>10</v>
      </c>
      <c r="J1008" s="711" t="s">
        <v>77</v>
      </c>
    </row>
    <row r="1009" spans="1:10" x14ac:dyDescent="0.25">
      <c r="A1009" s="620" t="s">
        <v>11</v>
      </c>
      <c r="B1009" s="433">
        <f>67+29+11</f>
        <v>107</v>
      </c>
      <c r="C1009" s="75">
        <f>75+27+13</f>
        <v>115</v>
      </c>
      <c r="D1009" s="75">
        <f>61+50+20</f>
        <v>131</v>
      </c>
      <c r="E1009" s="75">
        <f>80+40+18</f>
        <v>138</v>
      </c>
      <c r="F1009" s="75">
        <f>153+82+25</f>
        <v>260</v>
      </c>
      <c r="G1009" s="75">
        <f>123+83+27</f>
        <v>233</v>
      </c>
      <c r="H1009" s="75">
        <f>87+58+16</f>
        <v>161</v>
      </c>
      <c r="I1009" s="467">
        <f t="shared" ref="I1009:I1014" si="543">SUM(B1009:H1009)</f>
        <v>1145</v>
      </c>
      <c r="J1009" s="721">
        <f>+$I1009/7</f>
        <v>163.57142857142858</v>
      </c>
    </row>
    <row r="1010" spans="1:10" x14ac:dyDescent="0.25">
      <c r="A1010" s="622" t="s">
        <v>12</v>
      </c>
      <c r="B1010" s="233">
        <v>53</v>
      </c>
      <c r="C1010" s="13">
        <v>42</v>
      </c>
      <c r="D1010" s="13">
        <v>47</v>
      </c>
      <c r="E1010" s="13">
        <v>54</v>
      </c>
      <c r="F1010" s="13">
        <v>105</v>
      </c>
      <c r="G1010" s="320">
        <v>114</v>
      </c>
      <c r="H1010" s="13">
        <v>99</v>
      </c>
      <c r="I1010" s="11">
        <f t="shared" si="543"/>
        <v>514</v>
      </c>
      <c r="J1010" s="722">
        <f t="shared" ref="J1010:J1015" si="544">+$I1010/7</f>
        <v>73.428571428571431</v>
      </c>
    </row>
    <row r="1011" spans="1:10" x14ac:dyDescent="0.25">
      <c r="A1011" s="622" t="s">
        <v>13</v>
      </c>
      <c r="B1011" s="233">
        <v>0</v>
      </c>
      <c r="C1011" s="13">
        <v>1</v>
      </c>
      <c r="D1011" s="13">
        <v>4</v>
      </c>
      <c r="E1011" s="13">
        <v>1</v>
      </c>
      <c r="F1011" s="13">
        <v>2</v>
      </c>
      <c r="G1011" s="13">
        <v>1</v>
      </c>
      <c r="H1011" s="13">
        <v>1</v>
      </c>
      <c r="I1011" s="11">
        <f t="shared" si="543"/>
        <v>10</v>
      </c>
      <c r="J1011" s="722">
        <f t="shared" si="544"/>
        <v>1.4285714285714286</v>
      </c>
    </row>
    <row r="1012" spans="1:10" x14ac:dyDescent="0.25">
      <c r="A1012" s="622" t="s">
        <v>14</v>
      </c>
      <c r="B1012" s="233">
        <v>41</v>
      </c>
      <c r="C1012" s="13">
        <v>54</v>
      </c>
      <c r="D1012" s="13">
        <v>53</v>
      </c>
      <c r="E1012" s="13">
        <v>62</v>
      </c>
      <c r="F1012" s="13">
        <v>111</v>
      </c>
      <c r="G1012" s="13">
        <v>69</v>
      </c>
      <c r="H1012" s="13">
        <v>45</v>
      </c>
      <c r="I1012" s="11">
        <f t="shared" si="543"/>
        <v>435</v>
      </c>
      <c r="J1012" s="722">
        <f t="shared" si="544"/>
        <v>62.142857142857146</v>
      </c>
    </row>
    <row r="1013" spans="1:10" x14ac:dyDescent="0.25">
      <c r="A1013" s="622" t="s">
        <v>15</v>
      </c>
      <c r="B1013" s="233">
        <v>0</v>
      </c>
      <c r="C1013" s="13">
        <v>0</v>
      </c>
      <c r="D1013" s="13">
        <v>0</v>
      </c>
      <c r="E1013" s="13">
        <v>0</v>
      </c>
      <c r="F1013" s="13">
        <v>0</v>
      </c>
      <c r="G1013" s="13">
        <v>0</v>
      </c>
      <c r="H1013" s="13">
        <v>0</v>
      </c>
      <c r="I1013" s="11">
        <f t="shared" si="543"/>
        <v>0</v>
      </c>
      <c r="J1013" s="722">
        <f t="shared" si="544"/>
        <v>0</v>
      </c>
    </row>
    <row r="1014" spans="1:10" x14ac:dyDescent="0.25">
      <c r="A1014" s="622" t="s">
        <v>16</v>
      </c>
      <c r="B1014" s="233">
        <v>0</v>
      </c>
      <c r="C1014" s="13">
        <v>0</v>
      </c>
      <c r="D1014" s="13">
        <v>0</v>
      </c>
      <c r="E1014" s="13">
        <v>0</v>
      </c>
      <c r="F1014" s="13">
        <v>0</v>
      </c>
      <c r="G1014" s="13">
        <v>0</v>
      </c>
      <c r="H1014" s="13">
        <v>0</v>
      </c>
      <c r="I1014" s="11">
        <f t="shared" si="543"/>
        <v>0</v>
      </c>
      <c r="J1014" s="722">
        <f t="shared" si="544"/>
        <v>0</v>
      </c>
    </row>
    <row r="1015" spans="1:10" x14ac:dyDescent="0.25">
      <c r="A1015" s="624" t="s">
        <v>17</v>
      </c>
      <c r="B1015" s="102">
        <f t="shared" ref="B1015:I1015" si="545">SUM(B1010:B1014)</f>
        <v>94</v>
      </c>
      <c r="C1015" s="102">
        <f t="shared" si="545"/>
        <v>97</v>
      </c>
      <c r="D1015" s="102">
        <f t="shared" si="545"/>
        <v>104</v>
      </c>
      <c r="E1015" s="102">
        <f t="shared" si="545"/>
        <v>117</v>
      </c>
      <c r="F1015" s="102">
        <f t="shared" si="545"/>
        <v>218</v>
      </c>
      <c r="G1015" s="79">
        <f t="shared" si="545"/>
        <v>184</v>
      </c>
      <c r="H1015" s="79">
        <f t="shared" si="545"/>
        <v>145</v>
      </c>
      <c r="I1015" s="472">
        <f t="shared" si="545"/>
        <v>959</v>
      </c>
      <c r="J1015" s="723">
        <f t="shared" si="544"/>
        <v>137</v>
      </c>
    </row>
    <row r="1016" spans="1:10" x14ac:dyDescent="0.25">
      <c r="A1016" s="622" t="s">
        <v>18</v>
      </c>
      <c r="B1016" s="234">
        <v>0.61</v>
      </c>
      <c r="C1016" s="235">
        <v>0.51</v>
      </c>
      <c r="D1016" s="235">
        <v>0.52</v>
      </c>
      <c r="E1016" s="236">
        <v>0.56999999999999995</v>
      </c>
      <c r="F1016" s="236">
        <v>0.54</v>
      </c>
      <c r="G1016" s="236">
        <v>0.66</v>
      </c>
      <c r="H1016" s="236">
        <v>0.73</v>
      </c>
      <c r="I1016" s="18">
        <f>I1023/I1028</f>
        <v>0.59719586821624149</v>
      </c>
      <c r="J1016" s="724">
        <f>J1023/J1028</f>
        <v>0.59719586821624149</v>
      </c>
    </row>
    <row r="1017" spans="1:10" x14ac:dyDescent="0.25">
      <c r="A1017" s="622" t="s">
        <v>19</v>
      </c>
      <c r="B1017" s="234">
        <v>0</v>
      </c>
      <c r="C1017" s="235">
        <v>0.01</v>
      </c>
      <c r="D1017" s="235">
        <v>0.02</v>
      </c>
      <c r="E1017" s="236">
        <v>0.01</v>
      </c>
      <c r="F1017" s="236">
        <v>0.01</v>
      </c>
      <c r="G1017" s="236">
        <v>0.01</v>
      </c>
      <c r="H1017" s="236">
        <v>0.01</v>
      </c>
      <c r="I1017" s="18">
        <f>I1024/I1028</f>
        <v>1.0205662472489843E-2</v>
      </c>
      <c r="J1017" s="724">
        <f>J1024/J1028</f>
        <v>1.0205662472489843E-2</v>
      </c>
    </row>
    <row r="1018" spans="1:10" x14ac:dyDescent="0.25">
      <c r="A1018" s="622" t="s">
        <v>20</v>
      </c>
      <c r="B1018" s="234">
        <v>0.39</v>
      </c>
      <c r="C1018" s="235">
        <v>0.48</v>
      </c>
      <c r="D1018" s="235">
        <v>0.46</v>
      </c>
      <c r="E1018" s="236">
        <v>0.42</v>
      </c>
      <c r="F1018" s="236">
        <v>0.45</v>
      </c>
      <c r="G1018" s="236">
        <v>0.33</v>
      </c>
      <c r="H1018" s="236">
        <v>0.26</v>
      </c>
      <c r="I1018" s="18">
        <f>I1025/I1028</f>
        <v>0.39259846931126874</v>
      </c>
      <c r="J1018" s="724">
        <f>J1025/J1028</f>
        <v>0.39259846931126874</v>
      </c>
    </row>
    <row r="1019" spans="1:10" x14ac:dyDescent="0.25">
      <c r="A1019" s="622" t="s">
        <v>21</v>
      </c>
      <c r="B1019" s="234">
        <v>0</v>
      </c>
      <c r="C1019" s="235">
        <v>0</v>
      </c>
      <c r="D1019" s="235">
        <v>0</v>
      </c>
      <c r="E1019" s="236">
        <v>0</v>
      </c>
      <c r="F1019" s="236">
        <v>0</v>
      </c>
      <c r="G1019" s="236">
        <v>0</v>
      </c>
      <c r="H1019" s="236">
        <v>0</v>
      </c>
      <c r="I1019" s="18">
        <f>I1026/I1028</f>
        <v>0</v>
      </c>
      <c r="J1019" s="724">
        <f>J1026/J1028</f>
        <v>0</v>
      </c>
    </row>
    <row r="1020" spans="1:10" x14ac:dyDescent="0.25">
      <c r="A1020" s="622" t="s">
        <v>22</v>
      </c>
      <c r="B1020" s="234">
        <v>0</v>
      </c>
      <c r="C1020" s="235">
        <v>0</v>
      </c>
      <c r="D1020" s="235">
        <v>0</v>
      </c>
      <c r="E1020" s="236">
        <v>0</v>
      </c>
      <c r="F1020" s="236">
        <v>0</v>
      </c>
      <c r="G1020" s="236">
        <v>0</v>
      </c>
      <c r="H1020" s="236">
        <v>0</v>
      </c>
      <c r="I1020" s="18">
        <f>I1027/I1028</f>
        <v>0</v>
      </c>
      <c r="J1020" s="724">
        <f>J1027/J1028</f>
        <v>0</v>
      </c>
    </row>
    <row r="1021" spans="1:10" x14ac:dyDescent="0.25">
      <c r="A1021" s="627" t="s">
        <v>23</v>
      </c>
      <c r="B1021" s="450">
        <f t="shared" ref="B1021:J1021" si="546">B1032/B1015</f>
        <v>30235.106382978724</v>
      </c>
      <c r="C1021" s="130">
        <f t="shared" si="546"/>
        <v>30363.917525773195</v>
      </c>
      <c r="D1021" s="130">
        <f t="shared" si="546"/>
        <v>33120.192307692312</v>
      </c>
      <c r="E1021" s="130">
        <f t="shared" si="546"/>
        <v>31100.854700854707</v>
      </c>
      <c r="F1021" s="130">
        <f t="shared" si="546"/>
        <v>33685.779816513765</v>
      </c>
      <c r="G1021" s="130">
        <f t="shared" si="546"/>
        <v>35095.652173913048</v>
      </c>
      <c r="H1021" s="130">
        <f t="shared" si="546"/>
        <v>31952.413793103449</v>
      </c>
      <c r="I1021" s="130">
        <f t="shared" si="546"/>
        <v>32643.274244004166</v>
      </c>
      <c r="J1021" s="685">
        <f t="shared" si="546"/>
        <v>32643.274244004166</v>
      </c>
    </row>
    <row r="1022" spans="1:10" x14ac:dyDescent="0.25">
      <c r="A1022" s="627" t="s">
        <v>24</v>
      </c>
      <c r="B1022" s="450">
        <f t="shared" ref="B1022:J1022" si="547">B1032/B1009</f>
        <v>26561.682242990653</v>
      </c>
      <c r="C1022" s="130">
        <f t="shared" si="547"/>
        <v>25611.304347826088</v>
      </c>
      <c r="D1022" s="130">
        <f t="shared" si="547"/>
        <v>26293.893129770997</v>
      </c>
      <c r="E1022" s="130">
        <f t="shared" si="547"/>
        <v>26368.115942028988</v>
      </c>
      <c r="F1022" s="130">
        <f t="shared" si="547"/>
        <v>28244.23076923077</v>
      </c>
      <c r="G1022" s="130">
        <f t="shared" si="547"/>
        <v>27715.021459227471</v>
      </c>
      <c r="H1022" s="130">
        <f t="shared" si="547"/>
        <v>28777.018633540374</v>
      </c>
      <c r="I1022" s="130">
        <f t="shared" si="547"/>
        <v>27340.524017467247</v>
      </c>
      <c r="J1022" s="685">
        <f t="shared" si="547"/>
        <v>27340.524017467244</v>
      </c>
    </row>
    <row r="1023" spans="1:10" x14ac:dyDescent="0.25">
      <c r="A1023" s="622" t="s">
        <v>25</v>
      </c>
      <c r="B1023" s="451">
        <f t="shared" ref="B1023:H1023" si="548">B1028*B1016</f>
        <v>1424881.4362068966</v>
      </c>
      <c r="C1023" s="92">
        <f t="shared" si="548"/>
        <v>1248756.279310345</v>
      </c>
      <c r="D1023" s="92">
        <f t="shared" si="548"/>
        <v>1491418.0068965519</v>
      </c>
      <c r="E1023" s="92">
        <f t="shared" si="548"/>
        <v>1721700.1344827586</v>
      </c>
      <c r="F1023" s="92">
        <f t="shared" si="548"/>
        <v>3296337.362068966</v>
      </c>
      <c r="G1023" s="92">
        <f t="shared" si="548"/>
        <v>3512009.5241379319</v>
      </c>
      <c r="H1023" s="92">
        <f t="shared" si="548"/>
        <v>2759915.9086206895</v>
      </c>
      <c r="I1023" s="92">
        <f>SUM(B1023:H1023)</f>
        <v>15455018.651724137</v>
      </c>
      <c r="J1023" s="715">
        <f t="shared" ref="J1023:J1028" si="549">+$I1023/7</f>
        <v>2207859.8073891625</v>
      </c>
    </row>
    <row r="1024" spans="1:10" x14ac:dyDescent="0.25">
      <c r="A1024" s="622" t="s">
        <v>26</v>
      </c>
      <c r="B1024" s="451">
        <f t="shared" ref="B1024:H1024" si="550">B1028*B1017</f>
        <v>0</v>
      </c>
      <c r="C1024" s="92">
        <f t="shared" si="550"/>
        <v>24485.417241379313</v>
      </c>
      <c r="D1024" s="92">
        <f t="shared" si="550"/>
        <v>57362.231034482764</v>
      </c>
      <c r="E1024" s="92">
        <f t="shared" si="550"/>
        <v>30205.265517241383</v>
      </c>
      <c r="F1024" s="92">
        <f t="shared" si="550"/>
        <v>61043.284482758623</v>
      </c>
      <c r="G1024" s="92">
        <f t="shared" si="550"/>
        <v>53212.265517241387</v>
      </c>
      <c r="H1024" s="92">
        <f t="shared" si="550"/>
        <v>37807.067241379315</v>
      </c>
      <c r="I1024" s="92">
        <f>SUM(B1024:H1024)</f>
        <v>264115.53103448276</v>
      </c>
      <c r="J1024" s="715">
        <f t="shared" si="549"/>
        <v>37730.790147783249</v>
      </c>
    </row>
    <row r="1025" spans="1:10" x14ac:dyDescent="0.25">
      <c r="A1025" s="622" t="s">
        <v>27</v>
      </c>
      <c r="B1025" s="451">
        <f t="shared" ref="B1025:H1025" si="551">B1028*B1018</f>
        <v>910989.77068965521</v>
      </c>
      <c r="C1025" s="92">
        <f t="shared" si="551"/>
        <v>1175300.0275862068</v>
      </c>
      <c r="D1025" s="92">
        <f t="shared" si="551"/>
        <v>1319331.3137931037</v>
      </c>
      <c r="E1025" s="92">
        <f t="shared" si="551"/>
        <v>1268621.1517241381</v>
      </c>
      <c r="F1025" s="92">
        <f t="shared" si="551"/>
        <v>2746947.8017241382</v>
      </c>
      <c r="G1025" s="92">
        <f t="shared" si="551"/>
        <v>1756004.7620689659</v>
      </c>
      <c r="H1025" s="92">
        <f t="shared" si="551"/>
        <v>982983.74827586208</v>
      </c>
      <c r="I1025" s="92">
        <f>SUM(B1025:H1025)</f>
        <v>10160178.575862069</v>
      </c>
      <c r="J1025" s="715">
        <f t="shared" si="549"/>
        <v>1451454.0822660099</v>
      </c>
    </row>
    <row r="1026" spans="1:10" x14ac:dyDescent="0.25">
      <c r="A1026" s="622" t="s">
        <v>28</v>
      </c>
      <c r="B1026" s="451">
        <f t="shared" ref="B1026:H1026" si="552">B1028*B1019</f>
        <v>0</v>
      </c>
      <c r="C1026" s="92">
        <f t="shared" si="552"/>
        <v>0</v>
      </c>
      <c r="D1026" s="92">
        <f t="shared" si="552"/>
        <v>0</v>
      </c>
      <c r="E1026" s="92">
        <f t="shared" si="552"/>
        <v>0</v>
      </c>
      <c r="F1026" s="92">
        <f t="shared" si="552"/>
        <v>0</v>
      </c>
      <c r="G1026" s="92">
        <f t="shared" si="552"/>
        <v>0</v>
      </c>
      <c r="H1026" s="92">
        <f t="shared" si="552"/>
        <v>0</v>
      </c>
      <c r="I1026" s="92">
        <f>SUM(B1026:H1026)</f>
        <v>0</v>
      </c>
      <c r="J1026" s="715">
        <f t="shared" si="549"/>
        <v>0</v>
      </c>
    </row>
    <row r="1027" spans="1:10" x14ac:dyDescent="0.25">
      <c r="A1027" s="622" t="s">
        <v>29</v>
      </c>
      <c r="B1027" s="451">
        <f t="shared" ref="B1027:H1027" si="553">B1028*B1020</f>
        <v>0</v>
      </c>
      <c r="C1027" s="92">
        <f t="shared" si="553"/>
        <v>0</v>
      </c>
      <c r="D1027" s="92">
        <f t="shared" si="553"/>
        <v>0</v>
      </c>
      <c r="E1027" s="92">
        <f t="shared" si="553"/>
        <v>0</v>
      </c>
      <c r="F1027" s="92">
        <f t="shared" si="553"/>
        <v>0</v>
      </c>
      <c r="G1027" s="92">
        <f t="shared" si="553"/>
        <v>0</v>
      </c>
      <c r="H1027" s="92">
        <f t="shared" si="553"/>
        <v>0</v>
      </c>
      <c r="I1027" s="92">
        <f>SUM(B1027:H1027)</f>
        <v>0</v>
      </c>
      <c r="J1027" s="715">
        <f t="shared" si="549"/>
        <v>0</v>
      </c>
    </row>
    <row r="1028" spans="1:10" x14ac:dyDescent="0.25">
      <c r="A1028" s="630" t="s">
        <v>30</v>
      </c>
      <c r="B1028" s="237">
        <f>(2842100/1.16)-B1029</f>
        <v>2335871.2068965519</v>
      </c>
      <c r="C1028" s="237">
        <f>(2945300/1.16)-C1029</f>
        <v>2448541.7241379311</v>
      </c>
      <c r="D1028" s="237">
        <f>(3444500/1.16)-D1029</f>
        <v>2868111.5517241382</v>
      </c>
      <c r="E1028" s="237">
        <f>(3638800/1.16)-E1029</f>
        <v>3020526.5517241382</v>
      </c>
      <c r="F1028" s="237">
        <f>(7343500/1.16)-F1029</f>
        <v>6104328.4482758623</v>
      </c>
      <c r="G1028" s="237">
        <f>(6457600/1.16)-G1029</f>
        <v>5321226.5517241387</v>
      </c>
      <c r="H1028" s="237">
        <f>(4633100/1.16)-H1029</f>
        <v>3780706.7241379311</v>
      </c>
      <c r="I1028" s="91">
        <f>SUM(I1023:I1027)</f>
        <v>25879312.758620687</v>
      </c>
      <c r="J1028" s="716">
        <f t="shared" si="549"/>
        <v>3697044.6798029551</v>
      </c>
    </row>
    <row r="1029" spans="1:10" x14ac:dyDescent="0.25">
      <c r="A1029" s="622" t="s">
        <v>31</v>
      </c>
      <c r="B1029" s="452">
        <f t="shared" ref="B1029:H1029" si="554">2155*B1010</f>
        <v>114215</v>
      </c>
      <c r="C1029" s="94">
        <f t="shared" si="554"/>
        <v>90510</v>
      </c>
      <c r="D1029" s="94">
        <f t="shared" si="554"/>
        <v>101285</v>
      </c>
      <c r="E1029" s="94">
        <f t="shared" si="554"/>
        <v>116370</v>
      </c>
      <c r="F1029" s="94">
        <f t="shared" si="554"/>
        <v>226275</v>
      </c>
      <c r="G1029" s="94">
        <f t="shared" si="554"/>
        <v>245670</v>
      </c>
      <c r="H1029" s="94">
        <f t="shared" si="554"/>
        <v>213345</v>
      </c>
      <c r="I1029" s="94">
        <f>I1010*2155</f>
        <v>1107670</v>
      </c>
      <c r="J1029" s="717">
        <f>2155*J1010</f>
        <v>158238.57142857142</v>
      </c>
    </row>
    <row r="1030" spans="1:10" x14ac:dyDescent="0.25">
      <c r="A1030" s="633" t="s">
        <v>32</v>
      </c>
      <c r="B1030" s="453">
        <f t="shared" ref="B1030:J1030" si="555">B1028+B1029</f>
        <v>2450086.2068965519</v>
      </c>
      <c r="C1030" s="39">
        <f t="shared" si="555"/>
        <v>2539051.7241379311</v>
      </c>
      <c r="D1030" s="39">
        <f t="shared" si="555"/>
        <v>2969396.5517241382</v>
      </c>
      <c r="E1030" s="39">
        <f t="shared" si="555"/>
        <v>3136896.5517241382</v>
      </c>
      <c r="F1030" s="39">
        <f t="shared" si="555"/>
        <v>6330603.4482758623</v>
      </c>
      <c r="G1030" s="39">
        <f t="shared" si="555"/>
        <v>5566896.5517241387</v>
      </c>
      <c r="H1030" s="39">
        <f t="shared" si="555"/>
        <v>3994051.7241379311</v>
      </c>
      <c r="I1030" s="39">
        <f t="shared" si="555"/>
        <v>26986982.758620687</v>
      </c>
      <c r="J1030" s="718">
        <f t="shared" si="555"/>
        <v>3855283.2512315265</v>
      </c>
    </row>
    <row r="1031" spans="1:10" x14ac:dyDescent="0.25">
      <c r="A1031" s="622" t="s">
        <v>33</v>
      </c>
      <c r="B1031" s="454">
        <f t="shared" ref="B1031:J1031" si="556">B1030*16%</f>
        <v>392013.79310344829</v>
      </c>
      <c r="C1031" s="41">
        <f t="shared" si="556"/>
        <v>406248.27586206899</v>
      </c>
      <c r="D1031" s="41">
        <f t="shared" si="556"/>
        <v>475103.44827586215</v>
      </c>
      <c r="E1031" s="41">
        <f t="shared" si="556"/>
        <v>501903.44827586215</v>
      </c>
      <c r="F1031" s="41">
        <f t="shared" si="556"/>
        <v>1012896.551724138</v>
      </c>
      <c r="G1031" s="41">
        <f t="shared" si="556"/>
        <v>890703.44827586226</v>
      </c>
      <c r="H1031" s="41">
        <f t="shared" si="556"/>
        <v>639048.27586206899</v>
      </c>
      <c r="I1031" s="41">
        <f t="shared" si="556"/>
        <v>4317917.2413793104</v>
      </c>
      <c r="J1031" s="725">
        <f t="shared" si="556"/>
        <v>616845.32019704429</v>
      </c>
    </row>
    <row r="1032" spans="1:10" ht="15.75" thickBot="1" x14ac:dyDescent="0.3">
      <c r="A1032" s="636" t="s">
        <v>34</v>
      </c>
      <c r="B1032" s="637">
        <f t="shared" ref="B1032:I1032" si="557">B1030+B1031</f>
        <v>2842100</v>
      </c>
      <c r="C1032" s="686">
        <f t="shared" si="557"/>
        <v>2945300</v>
      </c>
      <c r="D1032" s="686">
        <f t="shared" si="557"/>
        <v>3444500.0000000005</v>
      </c>
      <c r="E1032" s="686">
        <f t="shared" si="557"/>
        <v>3638800.0000000005</v>
      </c>
      <c r="F1032" s="686">
        <f t="shared" si="557"/>
        <v>7343500</v>
      </c>
      <c r="G1032" s="686">
        <f t="shared" si="557"/>
        <v>6457600.0000000009</v>
      </c>
      <c r="H1032" s="686">
        <f t="shared" si="557"/>
        <v>4633100</v>
      </c>
      <c r="I1032" s="686">
        <f t="shared" si="557"/>
        <v>31304899.999999996</v>
      </c>
      <c r="J1032" s="720">
        <f>+$I1032/7</f>
        <v>4472128.5714285709</v>
      </c>
    </row>
    <row r="1033" spans="1:10" ht="15.75" thickBot="1" x14ac:dyDescent="0.3">
      <c r="I1033" s="89"/>
    </row>
    <row r="1034" spans="1:10" ht="27" thickBot="1" x14ac:dyDescent="0.3">
      <c r="A1034" s="85"/>
      <c r="B1034" s="1002" t="s">
        <v>379</v>
      </c>
      <c r="C1034" s="1002"/>
      <c r="D1034" s="1002"/>
      <c r="E1034" s="1002"/>
      <c r="F1034" s="1002"/>
      <c r="G1034" s="1002"/>
      <c r="H1034" s="1002"/>
      <c r="I1034" s="1002"/>
    </row>
    <row r="1035" spans="1:10" ht="15.75" x14ac:dyDescent="0.25">
      <c r="A1035" s="614" t="s">
        <v>2</v>
      </c>
      <c r="B1035" s="641" t="s">
        <v>209</v>
      </c>
      <c r="C1035" s="641" t="s">
        <v>242</v>
      </c>
      <c r="D1035" s="641" t="s">
        <v>243</v>
      </c>
      <c r="E1035" s="641" t="s">
        <v>244</v>
      </c>
      <c r="F1035" s="641" t="s">
        <v>245</v>
      </c>
      <c r="G1035" s="641" t="s">
        <v>246</v>
      </c>
      <c r="H1035" s="641" t="s">
        <v>247</v>
      </c>
      <c r="I1035" s="618" t="s">
        <v>10</v>
      </c>
      <c r="J1035" s="711" t="s">
        <v>77</v>
      </c>
    </row>
    <row r="1036" spans="1:10" x14ac:dyDescent="0.25">
      <c r="A1036" s="620" t="s">
        <v>11</v>
      </c>
      <c r="B1036" s="433">
        <f>78+40+10</f>
        <v>128</v>
      </c>
      <c r="C1036" s="75">
        <f>44+21+4</f>
        <v>69</v>
      </c>
      <c r="D1036" s="75">
        <f>89+36+10</f>
        <v>135</v>
      </c>
      <c r="E1036" s="75">
        <f>74+31+13</f>
        <v>118</v>
      </c>
      <c r="F1036" s="75">
        <f>189+83+30</f>
        <v>302</v>
      </c>
      <c r="G1036" s="75">
        <f>110+59+22</f>
        <v>191</v>
      </c>
      <c r="H1036" s="75">
        <f>111+73+20</f>
        <v>204</v>
      </c>
      <c r="I1036" s="467">
        <f t="shared" ref="I1036:I1041" si="558">SUM(B1036:H1036)</f>
        <v>1147</v>
      </c>
      <c r="J1036" s="721">
        <f>+$I1036/7</f>
        <v>163.85714285714286</v>
      </c>
    </row>
    <row r="1037" spans="1:10" x14ac:dyDescent="0.25">
      <c r="A1037" s="622" t="s">
        <v>12</v>
      </c>
      <c r="B1037" s="233">
        <v>42</v>
      </c>
      <c r="C1037" s="13">
        <v>34</v>
      </c>
      <c r="D1037" s="13">
        <v>48</v>
      </c>
      <c r="E1037" s="13">
        <v>43</v>
      </c>
      <c r="F1037" s="13">
        <v>110</v>
      </c>
      <c r="G1037" s="320">
        <v>80</v>
      </c>
      <c r="H1037" s="13">
        <v>125</v>
      </c>
      <c r="I1037" s="11">
        <f t="shared" si="558"/>
        <v>482</v>
      </c>
      <c r="J1037" s="722">
        <f t="shared" ref="J1037:J1042" si="559">+$I1037/7</f>
        <v>68.857142857142861</v>
      </c>
    </row>
    <row r="1038" spans="1:10" x14ac:dyDescent="0.25">
      <c r="A1038" s="622" t="s">
        <v>13</v>
      </c>
      <c r="B1038" s="233">
        <v>3</v>
      </c>
      <c r="C1038" s="13">
        <v>0</v>
      </c>
      <c r="D1038" s="13">
        <v>0</v>
      </c>
      <c r="E1038" s="13">
        <v>3</v>
      </c>
      <c r="F1038" s="13">
        <v>6</v>
      </c>
      <c r="G1038" s="13">
        <v>1</v>
      </c>
      <c r="H1038" s="13">
        <v>2</v>
      </c>
      <c r="I1038" s="11">
        <f t="shared" si="558"/>
        <v>15</v>
      </c>
      <c r="J1038" s="722">
        <f t="shared" si="559"/>
        <v>2.1428571428571428</v>
      </c>
    </row>
    <row r="1039" spans="1:10" x14ac:dyDescent="0.25">
      <c r="A1039" s="622" t="s">
        <v>14</v>
      </c>
      <c r="B1039" s="233">
        <v>62</v>
      </c>
      <c r="C1039" s="13">
        <v>30</v>
      </c>
      <c r="D1039" s="13">
        <v>59</v>
      </c>
      <c r="E1039" s="13">
        <v>51</v>
      </c>
      <c r="F1039" s="13">
        <v>121</v>
      </c>
      <c r="G1039" s="13">
        <v>70</v>
      </c>
      <c r="H1039" s="13">
        <v>42</v>
      </c>
      <c r="I1039" s="11">
        <f t="shared" si="558"/>
        <v>435</v>
      </c>
      <c r="J1039" s="722">
        <f t="shared" si="559"/>
        <v>62.142857142857146</v>
      </c>
    </row>
    <row r="1040" spans="1:10" x14ac:dyDescent="0.25">
      <c r="A1040" s="622" t="s">
        <v>15</v>
      </c>
      <c r="B1040" s="233">
        <v>0</v>
      </c>
      <c r="C1040" s="13">
        <v>0</v>
      </c>
      <c r="D1040" s="13">
        <v>0</v>
      </c>
      <c r="E1040" s="13">
        <v>0</v>
      </c>
      <c r="F1040" s="13">
        <v>0</v>
      </c>
      <c r="G1040" s="13">
        <v>0</v>
      </c>
      <c r="H1040" s="13">
        <v>0</v>
      </c>
      <c r="I1040" s="11">
        <f t="shared" si="558"/>
        <v>0</v>
      </c>
      <c r="J1040" s="722">
        <f t="shared" si="559"/>
        <v>0</v>
      </c>
    </row>
    <row r="1041" spans="1:10" x14ac:dyDescent="0.25">
      <c r="A1041" s="622" t="s">
        <v>16</v>
      </c>
      <c r="B1041" s="233">
        <v>0</v>
      </c>
      <c r="C1041" s="13">
        <v>0</v>
      </c>
      <c r="D1041" s="13">
        <v>0</v>
      </c>
      <c r="E1041" s="13">
        <v>0</v>
      </c>
      <c r="F1041" s="13">
        <v>0</v>
      </c>
      <c r="G1041" s="13">
        <v>0</v>
      </c>
      <c r="H1041" s="13">
        <v>0</v>
      </c>
      <c r="I1041" s="11">
        <f t="shared" si="558"/>
        <v>0</v>
      </c>
      <c r="J1041" s="722">
        <f t="shared" si="559"/>
        <v>0</v>
      </c>
    </row>
    <row r="1042" spans="1:10" x14ac:dyDescent="0.25">
      <c r="A1042" s="624" t="s">
        <v>17</v>
      </c>
      <c r="B1042" s="102">
        <f t="shared" ref="B1042:I1042" si="560">SUM(B1037:B1041)</f>
        <v>107</v>
      </c>
      <c r="C1042" s="102">
        <f t="shared" si="560"/>
        <v>64</v>
      </c>
      <c r="D1042" s="102">
        <f t="shared" si="560"/>
        <v>107</v>
      </c>
      <c r="E1042" s="102">
        <f t="shared" si="560"/>
        <v>97</v>
      </c>
      <c r="F1042" s="102">
        <f t="shared" si="560"/>
        <v>237</v>
      </c>
      <c r="G1042" s="79">
        <f t="shared" si="560"/>
        <v>151</v>
      </c>
      <c r="H1042" s="79">
        <f t="shared" si="560"/>
        <v>169</v>
      </c>
      <c r="I1042" s="472">
        <f t="shared" si="560"/>
        <v>932</v>
      </c>
      <c r="J1042" s="723">
        <f t="shared" si="559"/>
        <v>133.14285714285714</v>
      </c>
    </row>
    <row r="1043" spans="1:10" x14ac:dyDescent="0.25">
      <c r="A1043" s="622" t="s">
        <v>18</v>
      </c>
      <c r="B1043" s="234">
        <v>0.61</v>
      </c>
      <c r="C1043" s="235">
        <v>0.61</v>
      </c>
      <c r="D1043" s="235">
        <v>0.56000000000000005</v>
      </c>
      <c r="E1043" s="236">
        <v>0.54</v>
      </c>
      <c r="F1043" s="236">
        <v>0.48</v>
      </c>
      <c r="G1043" s="236">
        <v>0.61</v>
      </c>
      <c r="H1043" s="236">
        <v>0.76</v>
      </c>
      <c r="I1043" s="18">
        <f>I1050/I1055</f>
        <v>0.59145739993673152</v>
      </c>
      <c r="J1043" s="724">
        <f>J1050/J1055</f>
        <v>0.59145739993673163</v>
      </c>
    </row>
    <row r="1044" spans="1:10" x14ac:dyDescent="0.25">
      <c r="A1044" s="622" t="s">
        <v>19</v>
      </c>
      <c r="B1044" s="234">
        <v>0</v>
      </c>
      <c r="C1044" s="235">
        <v>0</v>
      </c>
      <c r="D1044" s="235">
        <v>0</v>
      </c>
      <c r="E1044" s="236">
        <v>0.03</v>
      </c>
      <c r="F1044" s="236">
        <v>0.02</v>
      </c>
      <c r="G1044" s="236">
        <v>0.01</v>
      </c>
      <c r="H1044" s="236">
        <v>0.01</v>
      </c>
      <c r="I1044" s="18">
        <f>I1051/I1055</f>
        <v>1.1751382651176086E-2</v>
      </c>
      <c r="J1044" s="724">
        <f>J1051/J1055</f>
        <v>1.1751382651176088E-2</v>
      </c>
    </row>
    <row r="1045" spans="1:10" x14ac:dyDescent="0.25">
      <c r="A1045" s="622" t="s">
        <v>20</v>
      </c>
      <c r="B1045" s="234">
        <v>0.39</v>
      </c>
      <c r="C1045" s="235">
        <v>0.39</v>
      </c>
      <c r="D1045" s="235">
        <v>0.44</v>
      </c>
      <c r="E1045" s="236">
        <v>0.43</v>
      </c>
      <c r="F1045" s="236">
        <v>0.5</v>
      </c>
      <c r="G1045" s="236">
        <v>0.38</v>
      </c>
      <c r="H1045" s="236">
        <v>0.23</v>
      </c>
      <c r="I1045" s="18">
        <f>I1052/I1055</f>
        <v>0.39679121741209228</v>
      </c>
      <c r="J1045" s="724">
        <f>J1052/J1055</f>
        <v>0.39679121741209228</v>
      </c>
    </row>
    <row r="1046" spans="1:10" x14ac:dyDescent="0.25">
      <c r="A1046" s="622" t="s">
        <v>21</v>
      </c>
      <c r="B1046" s="234">
        <v>0</v>
      </c>
      <c r="C1046" s="235">
        <v>0</v>
      </c>
      <c r="D1046" s="235">
        <v>0</v>
      </c>
      <c r="E1046" s="236">
        <v>0</v>
      </c>
      <c r="F1046" s="236">
        <v>0</v>
      </c>
      <c r="G1046" s="236">
        <v>0</v>
      </c>
      <c r="H1046" s="236">
        <v>0</v>
      </c>
      <c r="I1046" s="18">
        <f>I1053/I1055</f>
        <v>0</v>
      </c>
      <c r="J1046" s="724">
        <f>J1053/J1055</f>
        <v>0</v>
      </c>
    </row>
    <row r="1047" spans="1:10" x14ac:dyDescent="0.25">
      <c r="A1047" s="622" t="s">
        <v>22</v>
      </c>
      <c r="B1047" s="234">
        <v>0</v>
      </c>
      <c r="C1047" s="235">
        <v>0</v>
      </c>
      <c r="D1047" s="235">
        <v>0</v>
      </c>
      <c r="E1047" s="236">
        <v>0</v>
      </c>
      <c r="F1047" s="236">
        <v>0</v>
      </c>
      <c r="G1047" s="236">
        <v>0</v>
      </c>
      <c r="H1047" s="236">
        <v>0</v>
      </c>
      <c r="I1047" s="18">
        <f>I1054/I1055</f>
        <v>0</v>
      </c>
      <c r="J1047" s="724">
        <f>J1054/J1055</f>
        <v>0</v>
      </c>
    </row>
    <row r="1048" spans="1:10" x14ac:dyDescent="0.25">
      <c r="A1048" s="627" t="s">
        <v>23</v>
      </c>
      <c r="B1048" s="450">
        <f t="shared" ref="B1048:J1048" si="561">B1059/B1042</f>
        <v>33295.327102803742</v>
      </c>
      <c r="C1048" s="130">
        <f t="shared" si="561"/>
        <v>30620.3125</v>
      </c>
      <c r="D1048" s="130">
        <f t="shared" si="561"/>
        <v>35538.317757009347</v>
      </c>
      <c r="E1048" s="130">
        <f t="shared" si="561"/>
        <v>34241.237113402065</v>
      </c>
      <c r="F1048" s="130">
        <f t="shared" si="561"/>
        <v>35125.316455696207</v>
      </c>
      <c r="G1048" s="130">
        <f t="shared" si="561"/>
        <v>34858.278145695367</v>
      </c>
      <c r="H1048" s="130">
        <f t="shared" si="561"/>
        <v>36453.254437869829</v>
      </c>
      <c r="I1048" s="130">
        <f t="shared" si="561"/>
        <v>34758.798283261807</v>
      </c>
      <c r="J1048" s="685">
        <f t="shared" si="561"/>
        <v>34758.798283261815</v>
      </c>
    </row>
    <row r="1049" spans="1:10" x14ac:dyDescent="0.25">
      <c r="A1049" s="627" t="s">
        <v>24</v>
      </c>
      <c r="B1049" s="450">
        <f t="shared" ref="B1049:J1049" si="562">B1059/B1036</f>
        <v>27832.812500000004</v>
      </c>
      <c r="C1049" s="130">
        <f t="shared" si="562"/>
        <v>28401.44927536232</v>
      </c>
      <c r="D1049" s="130">
        <f t="shared" si="562"/>
        <v>28167.407407407409</v>
      </c>
      <c r="E1049" s="130">
        <f t="shared" si="562"/>
        <v>28147.457627118645</v>
      </c>
      <c r="F1049" s="130">
        <f t="shared" si="562"/>
        <v>27565.231788079473</v>
      </c>
      <c r="G1049" s="130">
        <f t="shared" si="562"/>
        <v>27558.115183246075</v>
      </c>
      <c r="H1049" s="130">
        <f t="shared" si="562"/>
        <v>30199.019607843144</v>
      </c>
      <c r="I1049" s="130">
        <f t="shared" si="562"/>
        <v>28243.417611159552</v>
      </c>
      <c r="J1049" s="685">
        <f t="shared" si="562"/>
        <v>28243.417611159552</v>
      </c>
    </row>
    <row r="1050" spans="1:10" x14ac:dyDescent="0.25">
      <c r="A1050" s="622" t="s">
        <v>25</v>
      </c>
      <c r="B1050" s="451">
        <f t="shared" ref="B1050:H1050" si="563">B1055*B1043</f>
        <v>1818225.106896552</v>
      </c>
      <c r="C1050" s="92">
        <f t="shared" si="563"/>
        <v>985837.1965517241</v>
      </c>
      <c r="D1050" s="92">
        <f t="shared" si="563"/>
        <v>1777811.5310344831</v>
      </c>
      <c r="E1050" s="92">
        <f t="shared" si="563"/>
        <v>1496129.8655172414</v>
      </c>
      <c r="F1050" s="92">
        <f t="shared" si="563"/>
        <v>3330919.4482758623</v>
      </c>
      <c r="G1050" s="92">
        <f t="shared" si="563"/>
        <v>2662763.5862068967</v>
      </c>
      <c r="H1050" s="92">
        <f t="shared" si="563"/>
        <v>3831530.1724137939</v>
      </c>
      <c r="I1050" s="92">
        <f>SUM(B1050:H1050)</f>
        <v>15903216.906896554</v>
      </c>
      <c r="J1050" s="715">
        <f t="shared" ref="J1050:J1055" si="564">+$I1050/7</f>
        <v>2271888.1295566508</v>
      </c>
    </row>
    <row r="1051" spans="1:10" x14ac:dyDescent="0.25">
      <c r="A1051" s="622" t="s">
        <v>26</v>
      </c>
      <c r="B1051" s="451">
        <f t="shared" ref="B1051:H1051" si="565">B1055*B1044</f>
        <v>0</v>
      </c>
      <c r="C1051" s="92">
        <f t="shared" si="565"/>
        <v>0</v>
      </c>
      <c r="D1051" s="92">
        <f t="shared" si="565"/>
        <v>0</v>
      </c>
      <c r="E1051" s="92">
        <f t="shared" si="565"/>
        <v>83118.325862068959</v>
      </c>
      <c r="F1051" s="92">
        <f t="shared" si="565"/>
        <v>138788.31034482759</v>
      </c>
      <c r="G1051" s="92">
        <f t="shared" si="565"/>
        <v>43651.862068965522</v>
      </c>
      <c r="H1051" s="92">
        <f t="shared" si="565"/>
        <v>50414.870689655181</v>
      </c>
      <c r="I1051" s="92">
        <f>SUM(B1051:H1051)</f>
        <v>315973.36896551726</v>
      </c>
      <c r="J1051" s="715">
        <f t="shared" si="564"/>
        <v>45139.05270935961</v>
      </c>
    </row>
    <row r="1052" spans="1:10" x14ac:dyDescent="0.25">
      <c r="A1052" s="622" t="s">
        <v>27</v>
      </c>
      <c r="B1052" s="451">
        <f t="shared" ref="B1052:H1052" si="566">B1055*B1045</f>
        <v>1162471.7896551725</v>
      </c>
      <c r="C1052" s="92">
        <f t="shared" si="566"/>
        <v>630289.35517241387</v>
      </c>
      <c r="D1052" s="92">
        <f t="shared" si="566"/>
        <v>1396851.9172413794</v>
      </c>
      <c r="E1052" s="92">
        <f t="shared" si="566"/>
        <v>1191362.6706896552</v>
      </c>
      <c r="F1052" s="92">
        <f t="shared" si="566"/>
        <v>3469707.7586206901</v>
      </c>
      <c r="G1052" s="92">
        <f t="shared" si="566"/>
        <v>1658770.7586206896</v>
      </c>
      <c r="H1052" s="92">
        <f t="shared" si="566"/>
        <v>1159542.0258620691</v>
      </c>
      <c r="I1052" s="92">
        <f>SUM(B1052:H1052)</f>
        <v>10668996.27586207</v>
      </c>
      <c r="J1052" s="715">
        <f t="shared" si="564"/>
        <v>1524142.3251231529</v>
      </c>
    </row>
    <row r="1053" spans="1:10" x14ac:dyDescent="0.25">
      <c r="A1053" s="622" t="s">
        <v>28</v>
      </c>
      <c r="B1053" s="451">
        <f t="shared" ref="B1053:H1053" si="567">B1055*B1046</f>
        <v>0</v>
      </c>
      <c r="C1053" s="92">
        <f t="shared" si="567"/>
        <v>0</v>
      </c>
      <c r="D1053" s="92">
        <f t="shared" si="567"/>
        <v>0</v>
      </c>
      <c r="E1053" s="92">
        <f t="shared" si="567"/>
        <v>0</v>
      </c>
      <c r="F1053" s="92">
        <f t="shared" si="567"/>
        <v>0</v>
      </c>
      <c r="G1053" s="92">
        <f t="shared" si="567"/>
        <v>0</v>
      </c>
      <c r="H1053" s="92">
        <f t="shared" si="567"/>
        <v>0</v>
      </c>
      <c r="I1053" s="92">
        <f>SUM(B1053:H1053)</f>
        <v>0</v>
      </c>
      <c r="J1053" s="715">
        <f t="shared" si="564"/>
        <v>0</v>
      </c>
    </row>
    <row r="1054" spans="1:10" x14ac:dyDescent="0.25">
      <c r="A1054" s="622" t="s">
        <v>29</v>
      </c>
      <c r="B1054" s="451">
        <f t="shared" ref="B1054:H1054" si="568">B1055*B1047</f>
        <v>0</v>
      </c>
      <c r="C1054" s="92">
        <f t="shared" si="568"/>
        <v>0</v>
      </c>
      <c r="D1054" s="92">
        <f t="shared" si="568"/>
        <v>0</v>
      </c>
      <c r="E1054" s="92">
        <f t="shared" si="568"/>
        <v>0</v>
      </c>
      <c r="F1054" s="92">
        <f t="shared" si="568"/>
        <v>0</v>
      </c>
      <c r="G1054" s="92">
        <f t="shared" si="568"/>
        <v>0</v>
      </c>
      <c r="H1054" s="92">
        <f t="shared" si="568"/>
        <v>0</v>
      </c>
      <c r="I1054" s="92">
        <f>SUM(B1054:H1054)</f>
        <v>0</v>
      </c>
      <c r="J1054" s="715">
        <f t="shared" si="564"/>
        <v>0</v>
      </c>
    </row>
    <row r="1055" spans="1:10" x14ac:dyDescent="0.25">
      <c r="A1055" s="630" t="s">
        <v>30</v>
      </c>
      <c r="B1055" s="237">
        <f>(3562600/1.16)-B1056</f>
        <v>2980696.8965517245</v>
      </c>
      <c r="C1055" s="237">
        <f>(1959700/1.16)-C1056</f>
        <v>1616126.551724138</v>
      </c>
      <c r="D1055" s="237">
        <f>(3802600/1.16)-D1056</f>
        <v>3174663.4482758623</v>
      </c>
      <c r="E1055" s="237">
        <f>(3321400/1.16)-E1056</f>
        <v>2770610.8620689656</v>
      </c>
      <c r="F1055" s="237">
        <f>(8324700/1.16)-F1056</f>
        <v>6939415.5172413802</v>
      </c>
      <c r="G1055" s="237">
        <f>(5263600/1.16)-G1056</f>
        <v>4365186.2068965519</v>
      </c>
      <c r="H1055" s="237">
        <f>(6160600/1.16)-H1056</f>
        <v>5041487.0689655179</v>
      </c>
      <c r="I1055" s="91">
        <f>SUM(I1050:I1054)</f>
        <v>26888186.551724143</v>
      </c>
      <c r="J1055" s="716">
        <f t="shared" si="564"/>
        <v>3841169.5073891631</v>
      </c>
    </row>
    <row r="1056" spans="1:10" x14ac:dyDescent="0.25">
      <c r="A1056" s="622" t="s">
        <v>31</v>
      </c>
      <c r="B1056" s="452">
        <f t="shared" ref="B1056:H1056" si="569">2155*B1037</f>
        <v>90510</v>
      </c>
      <c r="C1056" s="94">
        <f t="shared" si="569"/>
        <v>73270</v>
      </c>
      <c r="D1056" s="94">
        <f t="shared" si="569"/>
        <v>103440</v>
      </c>
      <c r="E1056" s="94">
        <f t="shared" si="569"/>
        <v>92665</v>
      </c>
      <c r="F1056" s="94">
        <f t="shared" si="569"/>
        <v>237050</v>
      </c>
      <c r="G1056" s="94">
        <f t="shared" si="569"/>
        <v>172400</v>
      </c>
      <c r="H1056" s="94">
        <f t="shared" si="569"/>
        <v>269375</v>
      </c>
      <c r="I1056" s="94">
        <f>I1037*2155</f>
        <v>1038710</v>
      </c>
      <c r="J1056" s="717">
        <f>2155*J1037</f>
        <v>148387.14285714287</v>
      </c>
    </row>
    <row r="1057" spans="1:10" x14ac:dyDescent="0.25">
      <c r="A1057" s="633" t="s">
        <v>32</v>
      </c>
      <c r="B1057" s="453">
        <f t="shared" ref="B1057:J1057" si="570">B1055+B1056</f>
        <v>3071206.8965517245</v>
      </c>
      <c r="C1057" s="39">
        <f t="shared" si="570"/>
        <v>1689396.551724138</v>
      </c>
      <c r="D1057" s="39">
        <f t="shared" si="570"/>
        <v>3278103.4482758623</v>
      </c>
      <c r="E1057" s="39">
        <f t="shared" si="570"/>
        <v>2863275.8620689656</v>
      </c>
      <c r="F1057" s="39">
        <f t="shared" si="570"/>
        <v>7176465.5172413802</v>
      </c>
      <c r="G1057" s="39">
        <f t="shared" si="570"/>
        <v>4537586.2068965519</v>
      </c>
      <c r="H1057" s="39">
        <f t="shared" si="570"/>
        <v>5310862.0689655179</v>
      </c>
      <c r="I1057" s="39">
        <f t="shared" si="570"/>
        <v>27926896.551724143</v>
      </c>
      <c r="J1057" s="718">
        <f t="shared" si="570"/>
        <v>3989556.6502463059</v>
      </c>
    </row>
    <row r="1058" spans="1:10" x14ac:dyDescent="0.25">
      <c r="A1058" s="622" t="s">
        <v>33</v>
      </c>
      <c r="B1058" s="454">
        <f t="shared" ref="B1058:J1058" si="571">B1057*16%</f>
        <v>491393.10344827594</v>
      </c>
      <c r="C1058" s="41">
        <f t="shared" si="571"/>
        <v>270303.44827586209</v>
      </c>
      <c r="D1058" s="41">
        <f t="shared" si="571"/>
        <v>524496.55172413797</v>
      </c>
      <c r="E1058" s="41">
        <f t="shared" si="571"/>
        <v>458124.13793103449</v>
      </c>
      <c r="F1058" s="41">
        <f t="shared" si="571"/>
        <v>1148234.4827586208</v>
      </c>
      <c r="G1058" s="41">
        <f t="shared" si="571"/>
        <v>726013.79310344835</v>
      </c>
      <c r="H1058" s="41">
        <f t="shared" si="571"/>
        <v>849737.9310344829</v>
      </c>
      <c r="I1058" s="41">
        <f t="shared" si="571"/>
        <v>4468303.4482758632</v>
      </c>
      <c r="J1058" s="725">
        <f t="shared" si="571"/>
        <v>638329.06403940893</v>
      </c>
    </row>
    <row r="1059" spans="1:10" ht="15.75" thickBot="1" x14ac:dyDescent="0.3">
      <c r="A1059" s="636" t="s">
        <v>34</v>
      </c>
      <c r="B1059" s="637">
        <f t="shared" ref="B1059:I1059" si="572">B1057+B1058</f>
        <v>3562600.0000000005</v>
      </c>
      <c r="C1059" s="686">
        <f t="shared" si="572"/>
        <v>1959700</v>
      </c>
      <c r="D1059" s="686">
        <f t="shared" si="572"/>
        <v>3802600</v>
      </c>
      <c r="E1059" s="686">
        <f t="shared" si="572"/>
        <v>3321400</v>
      </c>
      <c r="F1059" s="686">
        <f t="shared" si="572"/>
        <v>8324700.0000000009</v>
      </c>
      <c r="G1059" s="686">
        <f t="shared" si="572"/>
        <v>5263600</v>
      </c>
      <c r="H1059" s="686">
        <f t="shared" si="572"/>
        <v>6160600.0000000009</v>
      </c>
      <c r="I1059" s="686">
        <f t="shared" si="572"/>
        <v>32395200.000000007</v>
      </c>
      <c r="J1059" s="720">
        <f>+$I1059/7</f>
        <v>4627885.7142857155</v>
      </c>
    </row>
    <row r="1060" spans="1:10" ht="15.75" thickBot="1" x14ac:dyDescent="0.3">
      <c r="I1060" s="89"/>
    </row>
    <row r="1061" spans="1:10" ht="27" thickBot="1" x14ac:dyDescent="0.3">
      <c r="A1061" s="85"/>
      <c r="B1061" s="1002" t="s">
        <v>380</v>
      </c>
      <c r="C1061" s="1002"/>
      <c r="D1061" s="1002"/>
      <c r="E1061" s="1002"/>
      <c r="F1061" s="1002"/>
      <c r="G1061" s="1002"/>
      <c r="H1061" s="1002"/>
      <c r="I1061" s="1002"/>
    </row>
    <row r="1062" spans="1:10" ht="15.75" x14ac:dyDescent="0.25">
      <c r="A1062" s="614" t="s">
        <v>2</v>
      </c>
      <c r="B1062" s="641" t="s">
        <v>249</v>
      </c>
      <c r="C1062" s="641" t="s">
        <v>250</v>
      </c>
      <c r="D1062" s="641" t="s">
        <v>251</v>
      </c>
      <c r="E1062" s="641" t="s">
        <v>220</v>
      </c>
      <c r="F1062" s="641" t="s">
        <v>221</v>
      </c>
      <c r="G1062" s="641" t="s">
        <v>222</v>
      </c>
      <c r="H1062" s="641" t="s">
        <v>223</v>
      </c>
      <c r="I1062" s="618" t="s">
        <v>10</v>
      </c>
      <c r="J1062" s="711" t="s">
        <v>77</v>
      </c>
    </row>
    <row r="1063" spans="1:10" x14ac:dyDescent="0.25">
      <c r="A1063" s="620" t="s">
        <v>11</v>
      </c>
      <c r="B1063" s="433">
        <f>97+46+17</f>
        <v>160</v>
      </c>
      <c r="C1063" s="75">
        <f>64+27+5</f>
        <v>96</v>
      </c>
      <c r="D1063" s="75">
        <f>52+34+5</f>
        <v>91</v>
      </c>
      <c r="E1063" s="75">
        <f>79+41+8</f>
        <v>128</v>
      </c>
      <c r="F1063" s="75">
        <f>171+94+29</f>
        <v>294</v>
      </c>
      <c r="G1063" s="75">
        <f>96+70+20</f>
        <v>186</v>
      </c>
      <c r="H1063" s="75">
        <f>90+66+14</f>
        <v>170</v>
      </c>
      <c r="I1063" s="467">
        <f t="shared" ref="I1063:I1068" si="573">SUM(B1063:H1063)</f>
        <v>1125</v>
      </c>
      <c r="J1063" s="721">
        <f>+$I1063/7</f>
        <v>160.71428571428572</v>
      </c>
    </row>
    <row r="1064" spans="1:10" x14ac:dyDescent="0.25">
      <c r="A1064" s="622" t="s">
        <v>12</v>
      </c>
      <c r="B1064" s="233">
        <v>90</v>
      </c>
      <c r="C1064" s="13">
        <v>43</v>
      </c>
      <c r="D1064" s="13">
        <v>32</v>
      </c>
      <c r="E1064" s="13">
        <v>44</v>
      </c>
      <c r="F1064" s="13">
        <v>120</v>
      </c>
      <c r="G1064" s="320">
        <v>94</v>
      </c>
      <c r="H1064" s="13">
        <v>95</v>
      </c>
      <c r="I1064" s="11">
        <f t="shared" si="573"/>
        <v>518</v>
      </c>
      <c r="J1064" s="722">
        <f t="shared" ref="J1064:J1069" si="574">+$I1064/7</f>
        <v>74</v>
      </c>
    </row>
    <row r="1065" spans="1:10" x14ac:dyDescent="0.25">
      <c r="A1065" s="622" t="s">
        <v>13</v>
      </c>
      <c r="B1065" s="233">
        <v>2</v>
      </c>
      <c r="C1065" s="13">
        <v>0</v>
      </c>
      <c r="D1065" s="13">
        <v>2</v>
      </c>
      <c r="E1065" s="13">
        <v>2</v>
      </c>
      <c r="F1065" s="13">
        <v>4</v>
      </c>
      <c r="G1065" s="13">
        <v>3</v>
      </c>
      <c r="H1065" s="13">
        <v>4</v>
      </c>
      <c r="I1065" s="11">
        <f t="shared" si="573"/>
        <v>17</v>
      </c>
      <c r="J1065" s="722">
        <f t="shared" si="574"/>
        <v>2.4285714285714284</v>
      </c>
    </row>
    <row r="1066" spans="1:10" x14ac:dyDescent="0.25">
      <c r="A1066" s="622" t="s">
        <v>14</v>
      </c>
      <c r="B1066" s="233">
        <v>43</v>
      </c>
      <c r="C1066" s="13">
        <v>47</v>
      </c>
      <c r="D1066" s="13">
        <v>45</v>
      </c>
      <c r="E1066" s="13">
        <v>56</v>
      </c>
      <c r="F1066" s="13">
        <v>110</v>
      </c>
      <c r="G1066" s="13">
        <v>63</v>
      </c>
      <c r="H1066" s="13">
        <v>46</v>
      </c>
      <c r="I1066" s="11">
        <f t="shared" si="573"/>
        <v>410</v>
      </c>
      <c r="J1066" s="722">
        <f t="shared" si="574"/>
        <v>58.571428571428569</v>
      </c>
    </row>
    <row r="1067" spans="1:10" x14ac:dyDescent="0.25">
      <c r="A1067" s="622" t="s">
        <v>15</v>
      </c>
      <c r="B1067" s="233">
        <v>0</v>
      </c>
      <c r="C1067" s="13">
        <v>0</v>
      </c>
      <c r="D1067" s="13">
        <v>0</v>
      </c>
      <c r="E1067" s="13">
        <v>0</v>
      </c>
      <c r="F1067" s="13">
        <v>0</v>
      </c>
      <c r="G1067" s="13">
        <v>0</v>
      </c>
      <c r="H1067" s="13">
        <v>0</v>
      </c>
      <c r="I1067" s="11">
        <f t="shared" si="573"/>
        <v>0</v>
      </c>
      <c r="J1067" s="722">
        <f t="shared" si="574"/>
        <v>0</v>
      </c>
    </row>
    <row r="1068" spans="1:10" x14ac:dyDescent="0.25">
      <c r="A1068" s="622" t="s">
        <v>16</v>
      </c>
      <c r="B1068" s="233">
        <v>0</v>
      </c>
      <c r="C1068" s="13">
        <v>0</v>
      </c>
      <c r="D1068" s="13">
        <v>0</v>
      </c>
      <c r="E1068" s="13">
        <v>0</v>
      </c>
      <c r="F1068" s="13">
        <v>0</v>
      </c>
      <c r="G1068" s="13">
        <v>0</v>
      </c>
      <c r="H1068" s="13">
        <v>0</v>
      </c>
      <c r="I1068" s="11">
        <f t="shared" si="573"/>
        <v>0</v>
      </c>
      <c r="J1068" s="722">
        <f t="shared" si="574"/>
        <v>0</v>
      </c>
    </row>
    <row r="1069" spans="1:10" x14ac:dyDescent="0.25">
      <c r="A1069" s="624" t="s">
        <v>17</v>
      </c>
      <c r="B1069" s="102">
        <f t="shared" ref="B1069:I1069" si="575">SUM(B1064:B1068)</f>
        <v>135</v>
      </c>
      <c r="C1069" s="102">
        <f t="shared" si="575"/>
        <v>90</v>
      </c>
      <c r="D1069" s="102">
        <f t="shared" si="575"/>
        <v>79</v>
      </c>
      <c r="E1069" s="102">
        <f t="shared" si="575"/>
        <v>102</v>
      </c>
      <c r="F1069" s="102">
        <f t="shared" si="575"/>
        <v>234</v>
      </c>
      <c r="G1069" s="79">
        <f t="shared" si="575"/>
        <v>160</v>
      </c>
      <c r="H1069" s="79">
        <f t="shared" si="575"/>
        <v>145</v>
      </c>
      <c r="I1069" s="472">
        <f t="shared" si="575"/>
        <v>945</v>
      </c>
      <c r="J1069" s="723">
        <f t="shared" si="574"/>
        <v>135</v>
      </c>
    </row>
    <row r="1070" spans="1:10" x14ac:dyDescent="0.25">
      <c r="A1070" s="622" t="s">
        <v>18</v>
      </c>
      <c r="B1070" s="234">
        <v>0.68</v>
      </c>
      <c r="C1070" s="235">
        <v>0.54</v>
      </c>
      <c r="D1070" s="235">
        <v>0.44</v>
      </c>
      <c r="E1070" s="236">
        <v>0.51</v>
      </c>
      <c r="F1070" s="236">
        <v>0.59</v>
      </c>
      <c r="G1070" s="236">
        <v>0.62</v>
      </c>
      <c r="H1070" s="236">
        <v>0.7</v>
      </c>
      <c r="I1070" s="18">
        <f>I1077/I1082</f>
        <v>0.59982141719825444</v>
      </c>
      <c r="J1070" s="724">
        <f>J1077/J1082</f>
        <v>0.59982141719825455</v>
      </c>
    </row>
    <row r="1071" spans="1:10" x14ac:dyDescent="0.25">
      <c r="A1071" s="622" t="s">
        <v>19</v>
      </c>
      <c r="B1071" s="234">
        <v>0.02</v>
      </c>
      <c r="C1071" s="235">
        <v>0</v>
      </c>
      <c r="D1071" s="235">
        <v>0.01</v>
      </c>
      <c r="E1071" s="236">
        <v>0.02</v>
      </c>
      <c r="F1071" s="236">
        <v>0.01</v>
      </c>
      <c r="G1071" s="236">
        <v>0.02</v>
      </c>
      <c r="H1071" s="236">
        <v>0.03</v>
      </c>
      <c r="I1071" s="18">
        <f>I1078/I1082</f>
        <v>1.657303286063401E-2</v>
      </c>
      <c r="J1071" s="724">
        <f>J1078/J1082</f>
        <v>1.657303286063401E-2</v>
      </c>
    </row>
    <row r="1072" spans="1:10" x14ac:dyDescent="0.25">
      <c r="A1072" s="622" t="s">
        <v>20</v>
      </c>
      <c r="B1072" s="234">
        <v>0.3</v>
      </c>
      <c r="C1072" s="235">
        <v>0.46</v>
      </c>
      <c r="D1072" s="235">
        <v>0.55000000000000004</v>
      </c>
      <c r="E1072" s="236">
        <v>0.47</v>
      </c>
      <c r="F1072" s="236">
        <v>0.4</v>
      </c>
      <c r="G1072" s="236">
        <v>0.36</v>
      </c>
      <c r="H1072" s="236">
        <v>0.27</v>
      </c>
      <c r="I1072" s="18">
        <f>I1079/I1082</f>
        <v>0.38360554994111162</v>
      </c>
      <c r="J1072" s="724">
        <f>J1079/J1082</f>
        <v>0.38360554994111162</v>
      </c>
    </row>
    <row r="1073" spans="1:10" x14ac:dyDescent="0.25">
      <c r="A1073" s="622" t="s">
        <v>21</v>
      </c>
      <c r="B1073" s="234">
        <v>0</v>
      </c>
      <c r="C1073" s="235">
        <v>0</v>
      </c>
      <c r="D1073" s="235">
        <v>0</v>
      </c>
      <c r="E1073" s="236">
        <v>0</v>
      </c>
      <c r="F1073" s="236">
        <v>0</v>
      </c>
      <c r="G1073" s="236">
        <v>0</v>
      </c>
      <c r="H1073" s="236">
        <v>0</v>
      </c>
      <c r="I1073" s="18">
        <f>I1080/I1082</f>
        <v>0</v>
      </c>
      <c r="J1073" s="724">
        <f>J1080/J1082</f>
        <v>0</v>
      </c>
    </row>
    <row r="1074" spans="1:10" x14ac:dyDescent="0.25">
      <c r="A1074" s="622" t="s">
        <v>22</v>
      </c>
      <c r="B1074" s="234">
        <v>0</v>
      </c>
      <c r="C1074" s="235">
        <v>0</v>
      </c>
      <c r="D1074" s="235">
        <v>0</v>
      </c>
      <c r="E1074" s="236">
        <v>0</v>
      </c>
      <c r="F1074" s="236">
        <v>0</v>
      </c>
      <c r="G1074" s="236">
        <v>0</v>
      </c>
      <c r="H1074" s="236">
        <v>0</v>
      </c>
      <c r="I1074" s="18">
        <f>I1081/I1082</f>
        <v>0</v>
      </c>
      <c r="J1074" s="724">
        <f>J1081/J1082</f>
        <v>0</v>
      </c>
    </row>
    <row r="1075" spans="1:10" x14ac:dyDescent="0.25">
      <c r="A1075" s="627" t="s">
        <v>23</v>
      </c>
      <c r="B1075" s="450">
        <f t="shared" ref="B1075:J1075" si="576">B1086/B1069</f>
        <v>34379.259259259263</v>
      </c>
      <c r="C1075" s="130">
        <f t="shared" si="576"/>
        <v>28238.888888888894</v>
      </c>
      <c r="D1075" s="130">
        <f t="shared" si="576"/>
        <v>32720.253164556962</v>
      </c>
      <c r="E1075" s="130">
        <f t="shared" si="576"/>
        <v>36193.137254901958</v>
      </c>
      <c r="F1075" s="130">
        <f t="shared" si="576"/>
        <v>36402.564102564102</v>
      </c>
      <c r="G1075" s="130">
        <f t="shared" si="576"/>
        <v>34010</v>
      </c>
      <c r="H1075" s="130">
        <f t="shared" si="576"/>
        <v>35317.241379310348</v>
      </c>
      <c r="I1075" s="130">
        <f t="shared" si="576"/>
        <v>34433.968253968254</v>
      </c>
      <c r="J1075" s="685">
        <f t="shared" si="576"/>
        <v>34433.968253968254</v>
      </c>
    </row>
    <row r="1076" spans="1:10" x14ac:dyDescent="0.25">
      <c r="A1076" s="627" t="s">
        <v>24</v>
      </c>
      <c r="B1076" s="450">
        <f t="shared" ref="B1076:J1076" si="577">B1086/B1063</f>
        <v>29007.5</v>
      </c>
      <c r="C1076" s="130">
        <f t="shared" si="577"/>
        <v>26473.958333333339</v>
      </c>
      <c r="D1076" s="130">
        <f t="shared" si="577"/>
        <v>28405.494505494506</v>
      </c>
      <c r="E1076" s="130">
        <f t="shared" si="577"/>
        <v>28841.40625</v>
      </c>
      <c r="F1076" s="130">
        <f t="shared" si="577"/>
        <v>28973.469387755104</v>
      </c>
      <c r="G1076" s="130">
        <f t="shared" si="577"/>
        <v>29255.913978494624</v>
      </c>
      <c r="H1076" s="130">
        <f t="shared" si="577"/>
        <v>30123.529411764706</v>
      </c>
      <c r="I1076" s="130">
        <f t="shared" si="577"/>
        <v>28924.533333333333</v>
      </c>
      <c r="J1076" s="685">
        <f t="shared" si="577"/>
        <v>28924.533333333333</v>
      </c>
    </row>
    <row r="1077" spans="1:10" x14ac:dyDescent="0.25">
      <c r="A1077" s="622" t="s">
        <v>25</v>
      </c>
      <c r="B1077" s="451">
        <f t="shared" ref="B1077:H1077" si="578">B1082*B1070</f>
        <v>2588817.4482758623</v>
      </c>
      <c r="C1077" s="92">
        <f t="shared" si="578"/>
        <v>1133072.9689655176</v>
      </c>
      <c r="D1077" s="92">
        <f t="shared" si="578"/>
        <v>950136.91034482769</v>
      </c>
      <c r="E1077" s="92">
        <f t="shared" si="578"/>
        <v>1574716.8</v>
      </c>
      <c r="F1077" s="92">
        <f t="shared" si="578"/>
        <v>4179958.7586206896</v>
      </c>
      <c r="G1077" s="92">
        <f t="shared" si="578"/>
        <v>2782847.9793103449</v>
      </c>
      <c r="H1077" s="92">
        <f t="shared" si="578"/>
        <v>2946951.1206896552</v>
      </c>
      <c r="I1077" s="92">
        <f>SUM(B1077:H1077)</f>
        <v>16156501.986206897</v>
      </c>
      <c r="J1077" s="715">
        <f t="shared" ref="J1077:J1082" si="579">+$I1077/7</f>
        <v>2308071.7123152711</v>
      </c>
    </row>
    <row r="1078" spans="1:10" x14ac:dyDescent="0.25">
      <c r="A1078" s="622" t="s">
        <v>26</v>
      </c>
      <c r="B1078" s="451">
        <f t="shared" ref="B1078:H1078" si="580">B1082*B1071</f>
        <v>76141.68965517242</v>
      </c>
      <c r="C1078" s="92">
        <f t="shared" si="580"/>
        <v>0</v>
      </c>
      <c r="D1078" s="92">
        <f t="shared" si="580"/>
        <v>21594.020689655175</v>
      </c>
      <c r="E1078" s="92">
        <f t="shared" si="580"/>
        <v>61753.599999999999</v>
      </c>
      <c r="F1078" s="92">
        <f t="shared" si="580"/>
        <v>70846.758620689667</v>
      </c>
      <c r="G1078" s="92">
        <f t="shared" si="580"/>
        <v>89769.289655172412</v>
      </c>
      <c r="H1078" s="92">
        <f t="shared" si="580"/>
        <v>126297.9051724138</v>
      </c>
      <c r="I1078" s="92">
        <f>SUM(B1078:H1078)</f>
        <v>446403.26379310351</v>
      </c>
      <c r="J1078" s="715">
        <f t="shared" si="579"/>
        <v>63771.894827586213</v>
      </c>
    </row>
    <row r="1079" spans="1:10" x14ac:dyDescent="0.25">
      <c r="A1079" s="622" t="s">
        <v>27</v>
      </c>
      <c r="B1079" s="451">
        <f t="shared" ref="B1079:H1079" si="581">B1082*B1072</f>
        <v>1142125.3448275861</v>
      </c>
      <c r="C1079" s="92">
        <f t="shared" si="581"/>
        <v>965210.30689655198</v>
      </c>
      <c r="D1079" s="92">
        <f t="shared" si="581"/>
        <v>1187671.1379310347</v>
      </c>
      <c r="E1079" s="92">
        <f t="shared" si="581"/>
        <v>1451209.5999999999</v>
      </c>
      <c r="F1079" s="92">
        <f t="shared" si="581"/>
        <v>2833870.3448275868</v>
      </c>
      <c r="G1079" s="92">
        <f t="shared" si="581"/>
        <v>1615847.2137931034</v>
      </c>
      <c r="H1079" s="92">
        <f t="shared" si="581"/>
        <v>1136681.1465517243</v>
      </c>
      <c r="I1079" s="92">
        <f>SUM(B1079:H1079)</f>
        <v>10332615.094827587</v>
      </c>
      <c r="J1079" s="715">
        <f t="shared" si="579"/>
        <v>1476087.8706896552</v>
      </c>
    </row>
    <row r="1080" spans="1:10" x14ac:dyDescent="0.25">
      <c r="A1080" s="622" t="s">
        <v>28</v>
      </c>
      <c r="B1080" s="451">
        <f t="shared" ref="B1080:H1080" si="582">B1082*B1073</f>
        <v>0</v>
      </c>
      <c r="C1080" s="92">
        <f t="shared" si="582"/>
        <v>0</v>
      </c>
      <c r="D1080" s="92">
        <f t="shared" si="582"/>
        <v>0</v>
      </c>
      <c r="E1080" s="92">
        <f t="shared" si="582"/>
        <v>0</v>
      </c>
      <c r="F1080" s="92">
        <f t="shared" si="582"/>
        <v>0</v>
      </c>
      <c r="G1080" s="92">
        <f t="shared" si="582"/>
        <v>0</v>
      </c>
      <c r="H1080" s="92">
        <f t="shared" si="582"/>
        <v>0</v>
      </c>
      <c r="I1080" s="92">
        <f>SUM(B1080:H1080)</f>
        <v>0</v>
      </c>
      <c r="J1080" s="715">
        <f t="shared" si="579"/>
        <v>0</v>
      </c>
    </row>
    <row r="1081" spans="1:10" x14ac:dyDescent="0.25">
      <c r="A1081" s="622" t="s">
        <v>29</v>
      </c>
      <c r="B1081" s="451">
        <f t="shared" ref="B1081:H1081" si="583">B1082*B1074</f>
        <v>0</v>
      </c>
      <c r="C1081" s="92">
        <f t="shared" si="583"/>
        <v>0</v>
      </c>
      <c r="D1081" s="92">
        <f t="shared" si="583"/>
        <v>0</v>
      </c>
      <c r="E1081" s="92">
        <f t="shared" si="583"/>
        <v>0</v>
      </c>
      <c r="F1081" s="92">
        <f t="shared" si="583"/>
        <v>0</v>
      </c>
      <c r="G1081" s="92">
        <f t="shared" si="583"/>
        <v>0</v>
      </c>
      <c r="H1081" s="92">
        <f t="shared" si="583"/>
        <v>0</v>
      </c>
      <c r="I1081" s="92">
        <f>SUM(B1081:H1081)</f>
        <v>0</v>
      </c>
      <c r="J1081" s="715">
        <f t="shared" si="579"/>
        <v>0</v>
      </c>
    </row>
    <row r="1082" spans="1:10" x14ac:dyDescent="0.25">
      <c r="A1082" s="630" t="s">
        <v>30</v>
      </c>
      <c r="B1082" s="237">
        <f>(4641200/1.16)-B1083</f>
        <v>3807084.4827586208</v>
      </c>
      <c r="C1082" s="237">
        <f>(2541500/1.16)-C1083</f>
        <v>2098283.2758620693</v>
      </c>
      <c r="D1082" s="237">
        <f>(2584900/1.16)-D1083</f>
        <v>2159402.0689655175</v>
      </c>
      <c r="E1082" s="237">
        <f>(3691700/1.16)-E1083</f>
        <v>3087680</v>
      </c>
      <c r="F1082" s="237">
        <f>(8518200/1.16)-F1083</f>
        <v>7084675.862068966</v>
      </c>
      <c r="G1082" s="237">
        <f>(5441600/1.16)-G1083</f>
        <v>4488464.4827586208</v>
      </c>
      <c r="H1082" s="237">
        <f>(5121000/1.16)-H1083</f>
        <v>4209930.1724137934</v>
      </c>
      <c r="I1082" s="91">
        <f>SUM(I1077:I1081)</f>
        <v>26935520.344827585</v>
      </c>
      <c r="J1082" s="716">
        <f t="shared" si="579"/>
        <v>3847931.477832512</v>
      </c>
    </row>
    <row r="1083" spans="1:10" x14ac:dyDescent="0.25">
      <c r="A1083" s="622" t="s">
        <v>31</v>
      </c>
      <c r="B1083" s="452">
        <f t="shared" ref="B1083:H1083" si="584">2155*B1064</f>
        <v>193950</v>
      </c>
      <c r="C1083" s="94">
        <f t="shared" si="584"/>
        <v>92665</v>
      </c>
      <c r="D1083" s="94">
        <f t="shared" si="584"/>
        <v>68960</v>
      </c>
      <c r="E1083" s="94">
        <f t="shared" si="584"/>
        <v>94820</v>
      </c>
      <c r="F1083" s="94">
        <f t="shared" si="584"/>
        <v>258600</v>
      </c>
      <c r="G1083" s="94">
        <f t="shared" si="584"/>
        <v>202570</v>
      </c>
      <c r="H1083" s="94">
        <f t="shared" si="584"/>
        <v>204725</v>
      </c>
      <c r="I1083" s="94">
        <f>I1064*2155</f>
        <v>1116290</v>
      </c>
      <c r="J1083" s="717">
        <f>2155*J1064</f>
        <v>159470</v>
      </c>
    </row>
    <row r="1084" spans="1:10" x14ac:dyDescent="0.25">
      <c r="A1084" s="633" t="s">
        <v>32</v>
      </c>
      <c r="B1084" s="453">
        <f t="shared" ref="B1084:J1084" si="585">B1082+B1083</f>
        <v>4001034.4827586208</v>
      </c>
      <c r="C1084" s="39">
        <f t="shared" si="585"/>
        <v>2190948.2758620693</v>
      </c>
      <c r="D1084" s="39">
        <f t="shared" si="585"/>
        <v>2228362.0689655175</v>
      </c>
      <c r="E1084" s="39">
        <f t="shared" si="585"/>
        <v>3182500</v>
      </c>
      <c r="F1084" s="39">
        <f t="shared" si="585"/>
        <v>7343275.862068966</v>
      </c>
      <c r="G1084" s="39">
        <f t="shared" si="585"/>
        <v>4691034.4827586208</v>
      </c>
      <c r="H1084" s="39">
        <f t="shared" si="585"/>
        <v>4414655.1724137934</v>
      </c>
      <c r="I1084" s="39">
        <f t="shared" si="585"/>
        <v>28051810.344827585</v>
      </c>
      <c r="J1084" s="718">
        <f t="shared" si="585"/>
        <v>4007401.477832512</v>
      </c>
    </row>
    <row r="1085" spans="1:10" x14ac:dyDescent="0.25">
      <c r="A1085" s="622" t="s">
        <v>33</v>
      </c>
      <c r="B1085" s="454">
        <f t="shared" ref="B1085:J1085" si="586">B1084*16%</f>
        <v>640165.51724137936</v>
      </c>
      <c r="C1085" s="41">
        <f t="shared" si="586"/>
        <v>350551.72413793107</v>
      </c>
      <c r="D1085" s="41">
        <f t="shared" si="586"/>
        <v>356537.93103448278</v>
      </c>
      <c r="E1085" s="41">
        <f t="shared" si="586"/>
        <v>509200</v>
      </c>
      <c r="F1085" s="41">
        <f t="shared" si="586"/>
        <v>1174924.1379310347</v>
      </c>
      <c r="G1085" s="41">
        <f t="shared" si="586"/>
        <v>750565.51724137936</v>
      </c>
      <c r="H1085" s="41">
        <f t="shared" si="586"/>
        <v>706344.82758620696</v>
      </c>
      <c r="I1085" s="41">
        <f t="shared" si="586"/>
        <v>4488289.6551724141</v>
      </c>
      <c r="J1085" s="725">
        <f t="shared" si="586"/>
        <v>641184.23645320197</v>
      </c>
    </row>
    <row r="1086" spans="1:10" ht="15.75" thickBot="1" x14ac:dyDescent="0.3">
      <c r="A1086" s="636" t="s">
        <v>34</v>
      </c>
      <c r="B1086" s="637">
        <f t="shared" ref="B1086:I1086" si="587">B1084+B1085</f>
        <v>4641200</v>
      </c>
      <c r="C1086" s="686">
        <f t="shared" si="587"/>
        <v>2541500.0000000005</v>
      </c>
      <c r="D1086" s="686">
        <f t="shared" si="587"/>
        <v>2584900</v>
      </c>
      <c r="E1086" s="686">
        <f t="shared" si="587"/>
        <v>3691700</v>
      </c>
      <c r="F1086" s="686">
        <f t="shared" si="587"/>
        <v>8518200</v>
      </c>
      <c r="G1086" s="686">
        <f t="shared" si="587"/>
        <v>5441600</v>
      </c>
      <c r="H1086" s="686">
        <f t="shared" si="587"/>
        <v>5121000</v>
      </c>
      <c r="I1086" s="686">
        <f t="shared" si="587"/>
        <v>32540100</v>
      </c>
      <c r="J1086" s="720">
        <f>+$I1086/7</f>
        <v>4648585.7142857146</v>
      </c>
    </row>
    <row r="1087" spans="1:10" ht="15.75" thickBot="1" x14ac:dyDescent="0.3">
      <c r="I1087" s="89"/>
    </row>
    <row r="1088" spans="1:10" ht="27" thickBot="1" x14ac:dyDescent="0.3">
      <c r="A1088" s="85"/>
      <c r="B1088" s="1002" t="s">
        <v>381</v>
      </c>
      <c r="C1088" s="1002"/>
      <c r="D1088" s="1002"/>
      <c r="E1088" s="1002"/>
      <c r="F1088" s="1002"/>
      <c r="G1088" s="1002"/>
      <c r="H1088" s="1002"/>
      <c r="I1088" s="1002"/>
    </row>
    <row r="1089" spans="1:10" ht="15.75" x14ac:dyDescent="0.25">
      <c r="A1089" s="614" t="s">
        <v>2</v>
      </c>
      <c r="B1089" s="641" t="s">
        <v>225</v>
      </c>
      <c r="C1089" s="641" t="s">
        <v>226</v>
      </c>
      <c r="D1089" s="641" t="s">
        <v>227</v>
      </c>
      <c r="E1089" s="641" t="s">
        <v>228</v>
      </c>
      <c r="F1089" s="641" t="s">
        <v>229</v>
      </c>
      <c r="G1089" s="641" t="s">
        <v>230</v>
      </c>
      <c r="H1089" s="641" t="s">
        <v>231</v>
      </c>
      <c r="I1089" s="618" t="s">
        <v>10</v>
      </c>
      <c r="J1089" s="711" t="s">
        <v>77</v>
      </c>
    </row>
    <row r="1090" spans="1:10" x14ac:dyDescent="0.25">
      <c r="A1090" s="620" t="s">
        <v>11</v>
      </c>
      <c r="B1090" s="433">
        <f>104+60+26</f>
        <v>190</v>
      </c>
      <c r="C1090" s="75">
        <f>62+40+11</f>
        <v>113</v>
      </c>
      <c r="D1090" s="75">
        <f>67+38+9</f>
        <v>114</v>
      </c>
      <c r="E1090" s="75">
        <f>84+31+16</f>
        <v>131</v>
      </c>
      <c r="F1090" s="75">
        <f>118+101+26</f>
        <v>245</v>
      </c>
      <c r="G1090" s="75">
        <f>139+80+32</f>
        <v>251</v>
      </c>
      <c r="H1090" s="75">
        <f>118+77+25</f>
        <v>220</v>
      </c>
      <c r="I1090" s="467">
        <f t="shared" ref="I1090:I1095" si="588">SUM(B1090:H1090)</f>
        <v>1264</v>
      </c>
      <c r="J1090" s="721">
        <f>+$I1090/7</f>
        <v>180.57142857142858</v>
      </c>
    </row>
    <row r="1091" spans="1:10" x14ac:dyDescent="0.25">
      <c r="A1091" s="622" t="s">
        <v>12</v>
      </c>
      <c r="B1091" s="233">
        <v>115</v>
      </c>
      <c r="C1091" s="13">
        <v>48</v>
      </c>
      <c r="D1091" s="13">
        <v>48</v>
      </c>
      <c r="E1091" s="13">
        <v>51</v>
      </c>
      <c r="F1091" s="13">
        <v>103</v>
      </c>
      <c r="G1091" s="320">
        <v>138</v>
      </c>
      <c r="H1091" s="13">
        <v>136</v>
      </c>
      <c r="I1091" s="11">
        <f t="shared" si="588"/>
        <v>639</v>
      </c>
      <c r="J1091" s="722">
        <f t="shared" ref="J1091:J1096" si="589">+$I1091/7</f>
        <v>91.285714285714292</v>
      </c>
    </row>
    <row r="1092" spans="1:10" x14ac:dyDescent="0.25">
      <c r="A1092" s="622" t="s">
        <v>13</v>
      </c>
      <c r="B1092" s="233">
        <v>6</v>
      </c>
      <c r="C1092" s="13">
        <v>2</v>
      </c>
      <c r="D1092" s="13">
        <v>1</v>
      </c>
      <c r="E1092" s="13">
        <v>2</v>
      </c>
      <c r="F1092" s="13">
        <v>4</v>
      </c>
      <c r="G1092" s="13">
        <v>0</v>
      </c>
      <c r="H1092" s="13">
        <v>2</v>
      </c>
      <c r="I1092" s="11">
        <f t="shared" si="588"/>
        <v>17</v>
      </c>
      <c r="J1092" s="722">
        <f t="shared" si="589"/>
        <v>2.4285714285714284</v>
      </c>
    </row>
    <row r="1093" spans="1:10" x14ac:dyDescent="0.25">
      <c r="A1093" s="622" t="s">
        <v>14</v>
      </c>
      <c r="B1093" s="233">
        <v>35</v>
      </c>
      <c r="C1093" s="13">
        <v>42</v>
      </c>
      <c r="D1093" s="13">
        <v>51</v>
      </c>
      <c r="E1093" s="13">
        <v>47</v>
      </c>
      <c r="F1093" s="13">
        <v>95</v>
      </c>
      <c r="G1093" s="13">
        <v>65</v>
      </c>
      <c r="H1093" s="13">
        <v>42</v>
      </c>
      <c r="I1093" s="11">
        <f t="shared" si="588"/>
        <v>377</v>
      </c>
      <c r="J1093" s="722">
        <f t="shared" si="589"/>
        <v>53.857142857142854</v>
      </c>
    </row>
    <row r="1094" spans="1:10" x14ac:dyDescent="0.25">
      <c r="A1094" s="622" t="s">
        <v>15</v>
      </c>
      <c r="B1094" s="233">
        <v>0</v>
      </c>
      <c r="C1094" s="13">
        <v>0</v>
      </c>
      <c r="D1094" s="13">
        <v>0</v>
      </c>
      <c r="E1094" s="13">
        <v>0</v>
      </c>
      <c r="F1094" s="13">
        <v>0</v>
      </c>
      <c r="G1094" s="13">
        <v>0</v>
      </c>
      <c r="H1094" s="13">
        <v>0</v>
      </c>
      <c r="I1094" s="11">
        <f t="shared" si="588"/>
        <v>0</v>
      </c>
      <c r="J1094" s="722">
        <f t="shared" si="589"/>
        <v>0</v>
      </c>
    </row>
    <row r="1095" spans="1:10" x14ac:dyDescent="0.25">
      <c r="A1095" s="622" t="s">
        <v>16</v>
      </c>
      <c r="B1095" s="233">
        <v>0</v>
      </c>
      <c r="C1095" s="13">
        <v>0</v>
      </c>
      <c r="D1095" s="13">
        <v>0</v>
      </c>
      <c r="E1095" s="13">
        <v>0</v>
      </c>
      <c r="F1095" s="13">
        <v>0</v>
      </c>
      <c r="G1095" s="13">
        <v>0</v>
      </c>
      <c r="H1095" s="13">
        <v>0</v>
      </c>
      <c r="I1095" s="11">
        <f t="shared" si="588"/>
        <v>0</v>
      </c>
      <c r="J1095" s="722">
        <f t="shared" si="589"/>
        <v>0</v>
      </c>
    </row>
    <row r="1096" spans="1:10" x14ac:dyDescent="0.25">
      <c r="A1096" s="624" t="s">
        <v>17</v>
      </c>
      <c r="B1096" s="102">
        <f t="shared" ref="B1096:I1096" si="590">SUM(B1091:B1095)</f>
        <v>156</v>
      </c>
      <c r="C1096" s="102">
        <f t="shared" si="590"/>
        <v>92</v>
      </c>
      <c r="D1096" s="102">
        <f t="shared" si="590"/>
        <v>100</v>
      </c>
      <c r="E1096" s="102">
        <f t="shared" si="590"/>
        <v>100</v>
      </c>
      <c r="F1096" s="102">
        <f t="shared" si="590"/>
        <v>202</v>
      </c>
      <c r="G1096" s="79">
        <f t="shared" si="590"/>
        <v>203</v>
      </c>
      <c r="H1096" s="79">
        <f t="shared" si="590"/>
        <v>180</v>
      </c>
      <c r="I1096" s="472">
        <f t="shared" si="590"/>
        <v>1033</v>
      </c>
      <c r="J1096" s="723">
        <f t="shared" si="589"/>
        <v>147.57142857142858</v>
      </c>
    </row>
    <row r="1097" spans="1:10" x14ac:dyDescent="0.25">
      <c r="A1097" s="622" t="s">
        <v>18</v>
      </c>
      <c r="B1097" s="234">
        <v>0.78</v>
      </c>
      <c r="C1097" s="235">
        <v>0.61</v>
      </c>
      <c r="D1097" s="235">
        <v>0.5</v>
      </c>
      <c r="E1097" s="236">
        <v>0.59</v>
      </c>
      <c r="F1097" s="236">
        <v>0.55000000000000004</v>
      </c>
      <c r="G1097" s="236">
        <v>0.74</v>
      </c>
      <c r="H1097" s="236">
        <v>0.78</v>
      </c>
      <c r="I1097" s="18">
        <f>I1104/I1109</f>
        <v>0.6681197497894249</v>
      </c>
      <c r="J1097" s="724">
        <f>J1104/J1109</f>
        <v>0.6681197497894249</v>
      </c>
    </row>
    <row r="1098" spans="1:10" x14ac:dyDescent="0.25">
      <c r="A1098" s="622" t="s">
        <v>19</v>
      </c>
      <c r="B1098" s="234">
        <v>0.03</v>
      </c>
      <c r="C1098" s="235">
        <v>0.02</v>
      </c>
      <c r="D1098" s="235">
        <v>0.01</v>
      </c>
      <c r="E1098" s="236">
        <v>0.01</v>
      </c>
      <c r="F1098" s="236">
        <v>0.01</v>
      </c>
      <c r="G1098" s="236">
        <v>0</v>
      </c>
      <c r="H1098" s="236">
        <v>0.01</v>
      </c>
      <c r="I1098" s="18">
        <f>I1105/I1109</f>
        <v>1.1881538820076341E-2</v>
      </c>
      <c r="J1098" s="724">
        <f>J1105/J1109</f>
        <v>1.1881538820076342E-2</v>
      </c>
    </row>
    <row r="1099" spans="1:10" x14ac:dyDescent="0.25">
      <c r="A1099" s="622" t="s">
        <v>20</v>
      </c>
      <c r="B1099" s="234">
        <v>0.19</v>
      </c>
      <c r="C1099" s="235">
        <v>0.37</v>
      </c>
      <c r="D1099" s="235">
        <v>0.49</v>
      </c>
      <c r="E1099" s="236">
        <v>0.4</v>
      </c>
      <c r="F1099" s="236">
        <v>0.44</v>
      </c>
      <c r="G1099" s="236">
        <v>0.26</v>
      </c>
      <c r="H1099" s="236">
        <v>0.21</v>
      </c>
      <c r="I1099" s="18">
        <f>I1106/I1109</f>
        <v>0.31999871139049879</v>
      </c>
      <c r="J1099" s="724">
        <f>J1106/J1109</f>
        <v>0.31999871139049879</v>
      </c>
    </row>
    <row r="1100" spans="1:10" x14ac:dyDescent="0.25">
      <c r="A1100" s="622" t="s">
        <v>21</v>
      </c>
      <c r="B1100" s="234">
        <v>0</v>
      </c>
      <c r="C1100" s="235">
        <v>0</v>
      </c>
      <c r="D1100" s="235">
        <v>0</v>
      </c>
      <c r="E1100" s="236">
        <v>0</v>
      </c>
      <c r="F1100" s="236">
        <v>0</v>
      </c>
      <c r="G1100" s="236">
        <v>0</v>
      </c>
      <c r="H1100" s="236">
        <v>0</v>
      </c>
      <c r="I1100" s="18">
        <f>I1107/I1109</f>
        <v>0</v>
      </c>
      <c r="J1100" s="724">
        <f>J1107/J1109</f>
        <v>0</v>
      </c>
    </row>
    <row r="1101" spans="1:10" x14ac:dyDescent="0.25">
      <c r="A1101" s="622" t="s">
        <v>22</v>
      </c>
      <c r="B1101" s="234">
        <v>0</v>
      </c>
      <c r="C1101" s="235">
        <v>0</v>
      </c>
      <c r="D1101" s="235">
        <v>0</v>
      </c>
      <c r="E1101" s="236">
        <v>0</v>
      </c>
      <c r="F1101" s="236">
        <v>0</v>
      </c>
      <c r="G1101" s="236">
        <v>0</v>
      </c>
      <c r="H1101" s="236">
        <v>0</v>
      </c>
      <c r="I1101" s="18">
        <f>I1108/I1109</f>
        <v>0</v>
      </c>
      <c r="J1101" s="724">
        <f>J1108/J1109</f>
        <v>0</v>
      </c>
    </row>
    <row r="1102" spans="1:10" x14ac:dyDescent="0.25">
      <c r="A1102" s="627" t="s">
        <v>23</v>
      </c>
      <c r="B1102" s="450">
        <f t="shared" ref="B1102:J1102" si="591">B1113/B1096</f>
        <v>34739.743589743593</v>
      </c>
      <c r="C1102" s="130">
        <f t="shared" si="591"/>
        <v>34152.17391304348</v>
      </c>
      <c r="D1102" s="130">
        <f t="shared" si="591"/>
        <v>30210</v>
      </c>
      <c r="E1102" s="130">
        <f t="shared" si="591"/>
        <v>35431.000000000007</v>
      </c>
      <c r="F1102" s="130">
        <f t="shared" si="591"/>
        <v>35557.920792079211</v>
      </c>
      <c r="G1102" s="130">
        <f t="shared" si="591"/>
        <v>35327.586206896558</v>
      </c>
      <c r="H1102" s="130">
        <f t="shared" si="591"/>
        <v>35820.555555555562</v>
      </c>
      <c r="I1102" s="130">
        <f t="shared" si="591"/>
        <v>34779.670861568258</v>
      </c>
      <c r="J1102" s="685">
        <f t="shared" si="591"/>
        <v>34779.670861568251</v>
      </c>
    </row>
    <row r="1103" spans="1:10" x14ac:dyDescent="0.25">
      <c r="A1103" s="627" t="s">
        <v>24</v>
      </c>
      <c r="B1103" s="450">
        <f t="shared" ref="B1103:J1103" si="592">B1113/B1090</f>
        <v>28523.157894736847</v>
      </c>
      <c r="C1103" s="130">
        <f t="shared" si="592"/>
        <v>27805.309734513277</v>
      </c>
      <c r="D1103" s="130">
        <f t="shared" si="592"/>
        <v>26500</v>
      </c>
      <c r="E1103" s="130">
        <f t="shared" si="592"/>
        <v>27046.564885496187</v>
      </c>
      <c r="F1103" s="130">
        <f t="shared" si="592"/>
        <v>29317.142857142859</v>
      </c>
      <c r="G1103" s="130">
        <f t="shared" si="592"/>
        <v>28571.713147410363</v>
      </c>
      <c r="H1103" s="130">
        <f t="shared" si="592"/>
        <v>29307.727272727276</v>
      </c>
      <c r="I1103" s="130">
        <f t="shared" si="592"/>
        <v>28423.575949367096</v>
      </c>
      <c r="J1103" s="685">
        <f t="shared" si="592"/>
        <v>28423.575949367092</v>
      </c>
    </row>
    <row r="1104" spans="1:10" x14ac:dyDescent="0.25">
      <c r="A1104" s="622" t="s">
        <v>25</v>
      </c>
      <c r="B1104" s="451">
        <f t="shared" ref="B1104:H1104" si="593">B1109*B1097</f>
        <v>3450775.8103448283</v>
      </c>
      <c r="C1104" s="92">
        <f t="shared" si="593"/>
        <v>1589160.2206896553</v>
      </c>
      <c r="D1104" s="92">
        <f t="shared" si="593"/>
        <v>1250435.1724137932</v>
      </c>
      <c r="E1104" s="92">
        <f t="shared" si="593"/>
        <v>1737250.0155172416</v>
      </c>
      <c r="F1104" s="92">
        <f t="shared" si="593"/>
        <v>3283509.7672413797</v>
      </c>
      <c r="G1104" s="92">
        <f t="shared" si="593"/>
        <v>4354853.8137931041</v>
      </c>
      <c r="H1104" s="92">
        <f t="shared" si="593"/>
        <v>4106920.0137931043</v>
      </c>
      <c r="I1104" s="92">
        <f>SUM(B1104:H1104)</f>
        <v>19772904.813793108</v>
      </c>
      <c r="J1104" s="715">
        <f t="shared" ref="J1104:J1109" si="594">+$I1104/7</f>
        <v>2824700.6876847297</v>
      </c>
    </row>
    <row r="1105" spans="1:10" x14ac:dyDescent="0.25">
      <c r="A1105" s="622" t="s">
        <v>26</v>
      </c>
      <c r="B1105" s="451">
        <f t="shared" ref="B1105:H1105" si="595">B1109*B1098</f>
        <v>132722.14655172414</v>
      </c>
      <c r="C1105" s="92">
        <f t="shared" si="595"/>
        <v>52103.613793103454</v>
      </c>
      <c r="D1105" s="92">
        <f t="shared" si="595"/>
        <v>25008.703448275865</v>
      </c>
      <c r="E1105" s="92">
        <f t="shared" si="595"/>
        <v>29444.915517241381</v>
      </c>
      <c r="F1105" s="92">
        <f t="shared" si="595"/>
        <v>59700.177586206897</v>
      </c>
      <c r="G1105" s="92">
        <f t="shared" si="595"/>
        <v>0</v>
      </c>
      <c r="H1105" s="92">
        <f t="shared" si="595"/>
        <v>52652.820689655178</v>
      </c>
      <c r="I1105" s="92">
        <f>SUM(B1105:H1105)</f>
        <v>351632.37758620695</v>
      </c>
      <c r="J1105" s="715">
        <f t="shared" si="594"/>
        <v>50233.196798029567</v>
      </c>
    </row>
    <row r="1106" spans="1:10" x14ac:dyDescent="0.25">
      <c r="A1106" s="622" t="s">
        <v>27</v>
      </c>
      <c r="B1106" s="451">
        <f t="shared" ref="B1106:H1106" si="596">B1109*B1099</f>
        <v>840573.59482758632</v>
      </c>
      <c r="C1106" s="92">
        <f t="shared" si="596"/>
        <v>963916.85517241387</v>
      </c>
      <c r="D1106" s="92">
        <f t="shared" si="596"/>
        <v>1225426.4689655174</v>
      </c>
      <c r="E1106" s="92">
        <f t="shared" si="596"/>
        <v>1177796.6206896554</v>
      </c>
      <c r="F1106" s="92">
        <f t="shared" si="596"/>
        <v>2626807.8137931037</v>
      </c>
      <c r="G1106" s="92">
        <f t="shared" si="596"/>
        <v>1530083.7724137933</v>
      </c>
      <c r="H1106" s="92">
        <f t="shared" si="596"/>
        <v>1105709.2344827587</v>
      </c>
      <c r="I1106" s="92">
        <f>SUM(B1106:H1106)</f>
        <v>9470314.360344829</v>
      </c>
      <c r="J1106" s="715">
        <f t="shared" si="594"/>
        <v>1352902.0514778327</v>
      </c>
    </row>
    <row r="1107" spans="1:10" x14ac:dyDescent="0.25">
      <c r="A1107" s="622" t="s">
        <v>28</v>
      </c>
      <c r="B1107" s="451">
        <f t="shared" ref="B1107:H1107" si="597">B1109*B1100</f>
        <v>0</v>
      </c>
      <c r="C1107" s="92">
        <f t="shared" si="597"/>
        <v>0</v>
      </c>
      <c r="D1107" s="92">
        <f t="shared" si="597"/>
        <v>0</v>
      </c>
      <c r="E1107" s="92">
        <f t="shared" si="597"/>
        <v>0</v>
      </c>
      <c r="F1107" s="92">
        <f t="shared" si="597"/>
        <v>0</v>
      </c>
      <c r="G1107" s="92">
        <f t="shared" si="597"/>
        <v>0</v>
      </c>
      <c r="H1107" s="92">
        <f t="shared" si="597"/>
        <v>0</v>
      </c>
      <c r="I1107" s="92">
        <f>SUM(B1107:H1107)</f>
        <v>0</v>
      </c>
      <c r="J1107" s="715">
        <f t="shared" si="594"/>
        <v>0</v>
      </c>
    </row>
    <row r="1108" spans="1:10" x14ac:dyDescent="0.25">
      <c r="A1108" s="622" t="s">
        <v>29</v>
      </c>
      <c r="B1108" s="451">
        <f t="shared" ref="B1108:H1108" si="598">B1109*B1101</f>
        <v>0</v>
      </c>
      <c r="C1108" s="92">
        <f t="shared" si="598"/>
        <v>0</v>
      </c>
      <c r="D1108" s="92">
        <f t="shared" si="598"/>
        <v>0</v>
      </c>
      <c r="E1108" s="92">
        <f t="shared" si="598"/>
        <v>0</v>
      </c>
      <c r="F1108" s="92">
        <f t="shared" si="598"/>
        <v>0</v>
      </c>
      <c r="G1108" s="92">
        <f t="shared" si="598"/>
        <v>0</v>
      </c>
      <c r="H1108" s="92">
        <f t="shared" si="598"/>
        <v>0</v>
      </c>
      <c r="I1108" s="92">
        <f>SUM(B1108:H1108)</f>
        <v>0</v>
      </c>
      <c r="J1108" s="715">
        <f t="shared" si="594"/>
        <v>0</v>
      </c>
    </row>
    <row r="1109" spans="1:10" x14ac:dyDescent="0.25">
      <c r="A1109" s="630" t="s">
        <v>30</v>
      </c>
      <c r="B1109" s="237">
        <f>(5419400/1.16)-B1110</f>
        <v>4424071.5517241387</v>
      </c>
      <c r="C1109" s="237">
        <f>(3142000/1.16)-C1110</f>
        <v>2605180.6896551726</v>
      </c>
      <c r="D1109" s="237">
        <f>(3021000/1.16)-D1110</f>
        <v>2500870.3448275863</v>
      </c>
      <c r="E1109" s="237">
        <f>(3543100/1.16)-E1110</f>
        <v>2944491.5517241382</v>
      </c>
      <c r="F1109" s="237">
        <f>(7182700/1.16)-F1110</f>
        <v>5970017.7586206896</v>
      </c>
      <c r="G1109" s="237">
        <f>(7171500/1.16)-G1110</f>
        <v>5884937.5862068972</v>
      </c>
      <c r="H1109" s="237">
        <f>(6447700/1.16)-H1110</f>
        <v>5265282.0689655179</v>
      </c>
      <c r="I1109" s="91">
        <f>SUM(I1104:I1108)</f>
        <v>29594851.551724143</v>
      </c>
      <c r="J1109" s="716">
        <f t="shared" si="594"/>
        <v>4227835.9359605918</v>
      </c>
    </row>
    <row r="1110" spans="1:10" x14ac:dyDescent="0.25">
      <c r="A1110" s="622" t="s">
        <v>31</v>
      </c>
      <c r="B1110" s="452">
        <f t="shared" ref="B1110:H1110" si="599">2155*B1091</f>
        <v>247825</v>
      </c>
      <c r="C1110" s="94">
        <f t="shared" si="599"/>
        <v>103440</v>
      </c>
      <c r="D1110" s="94">
        <f t="shared" si="599"/>
        <v>103440</v>
      </c>
      <c r="E1110" s="94">
        <f t="shared" si="599"/>
        <v>109905</v>
      </c>
      <c r="F1110" s="94">
        <f t="shared" si="599"/>
        <v>221965</v>
      </c>
      <c r="G1110" s="94">
        <f t="shared" si="599"/>
        <v>297390</v>
      </c>
      <c r="H1110" s="94">
        <f t="shared" si="599"/>
        <v>293080</v>
      </c>
      <c r="I1110" s="94">
        <f>I1091*2155</f>
        <v>1377045</v>
      </c>
      <c r="J1110" s="717">
        <f>2155*J1091</f>
        <v>196720.71428571429</v>
      </c>
    </row>
    <row r="1111" spans="1:10" x14ac:dyDescent="0.25">
      <c r="A1111" s="633" t="s">
        <v>32</v>
      </c>
      <c r="B1111" s="453">
        <f t="shared" ref="B1111:J1111" si="600">B1109+B1110</f>
        <v>4671896.5517241387</v>
      </c>
      <c r="C1111" s="39">
        <f t="shared" si="600"/>
        <v>2708620.6896551726</v>
      </c>
      <c r="D1111" s="39">
        <f t="shared" si="600"/>
        <v>2604310.3448275863</v>
      </c>
      <c r="E1111" s="39">
        <f t="shared" si="600"/>
        <v>3054396.5517241382</v>
      </c>
      <c r="F1111" s="39">
        <f t="shared" si="600"/>
        <v>6191982.7586206896</v>
      </c>
      <c r="G1111" s="39">
        <f t="shared" si="600"/>
        <v>6182327.5862068972</v>
      </c>
      <c r="H1111" s="39">
        <f t="shared" si="600"/>
        <v>5558362.0689655179</v>
      </c>
      <c r="I1111" s="39">
        <f t="shared" si="600"/>
        <v>30971896.551724143</v>
      </c>
      <c r="J1111" s="718">
        <f t="shared" si="600"/>
        <v>4424556.6502463063</v>
      </c>
    </row>
    <row r="1112" spans="1:10" x14ac:dyDescent="0.25">
      <c r="A1112" s="622" t="s">
        <v>33</v>
      </c>
      <c r="B1112" s="454">
        <f t="shared" ref="B1112:J1112" si="601">B1111*16%</f>
        <v>747503.44827586215</v>
      </c>
      <c r="C1112" s="41">
        <f t="shared" si="601"/>
        <v>433379.31034482765</v>
      </c>
      <c r="D1112" s="41">
        <f t="shared" si="601"/>
        <v>416689.6551724138</v>
      </c>
      <c r="E1112" s="41">
        <f t="shared" si="601"/>
        <v>488703.44827586215</v>
      </c>
      <c r="F1112" s="41">
        <f t="shared" si="601"/>
        <v>990717.24137931038</v>
      </c>
      <c r="G1112" s="41">
        <f t="shared" si="601"/>
        <v>989172.41379310354</v>
      </c>
      <c r="H1112" s="41">
        <f t="shared" si="601"/>
        <v>889337.9310344829</v>
      </c>
      <c r="I1112" s="41">
        <f t="shared" si="601"/>
        <v>4955503.4482758632</v>
      </c>
      <c r="J1112" s="725">
        <f t="shared" si="601"/>
        <v>707929.06403940904</v>
      </c>
    </row>
    <row r="1113" spans="1:10" ht="15.75" thickBot="1" x14ac:dyDescent="0.3">
      <c r="A1113" s="636" t="s">
        <v>34</v>
      </c>
      <c r="B1113" s="637">
        <f t="shared" ref="B1113:I1113" si="602">B1111+B1112</f>
        <v>5419400.0000000009</v>
      </c>
      <c r="C1113" s="686">
        <f t="shared" si="602"/>
        <v>3142000.0000000005</v>
      </c>
      <c r="D1113" s="686">
        <f t="shared" si="602"/>
        <v>3021000</v>
      </c>
      <c r="E1113" s="686">
        <f t="shared" si="602"/>
        <v>3543100.0000000005</v>
      </c>
      <c r="F1113" s="686">
        <f t="shared" si="602"/>
        <v>7182700</v>
      </c>
      <c r="G1113" s="686">
        <f t="shared" si="602"/>
        <v>7171500.0000000009</v>
      </c>
      <c r="H1113" s="686">
        <f t="shared" si="602"/>
        <v>6447700.0000000009</v>
      </c>
      <c r="I1113" s="686">
        <f t="shared" si="602"/>
        <v>35927400.000000007</v>
      </c>
      <c r="J1113" s="720">
        <f>+$I1113/7</f>
        <v>5132485.7142857155</v>
      </c>
    </row>
    <row r="1114" spans="1:10" ht="15.75" thickBot="1" x14ac:dyDescent="0.3">
      <c r="I1114" s="89"/>
    </row>
    <row r="1115" spans="1:10" ht="27" thickBot="1" x14ac:dyDescent="0.3">
      <c r="A1115" s="85"/>
      <c r="B1115" s="1002" t="s">
        <v>382</v>
      </c>
      <c r="C1115" s="1002"/>
      <c r="D1115" s="1002"/>
      <c r="E1115" s="1002"/>
      <c r="F1115" s="1002"/>
      <c r="G1115" s="1002"/>
      <c r="H1115" s="1002"/>
      <c r="I1115" s="1002"/>
    </row>
    <row r="1116" spans="1:10" ht="15.75" x14ac:dyDescent="0.25">
      <c r="A1116" s="614" t="s">
        <v>2</v>
      </c>
      <c r="B1116" s="706" t="s">
        <v>233</v>
      </c>
      <c r="C1116" s="641" t="s">
        <v>234</v>
      </c>
      <c r="D1116" s="641" t="s">
        <v>235</v>
      </c>
      <c r="E1116" s="641" t="s">
        <v>236</v>
      </c>
      <c r="F1116" s="641" t="s">
        <v>237</v>
      </c>
      <c r="G1116" s="641" t="s">
        <v>238</v>
      </c>
      <c r="H1116" s="641" t="s">
        <v>239</v>
      </c>
      <c r="I1116" s="618" t="s">
        <v>10</v>
      </c>
      <c r="J1116" s="711" t="s">
        <v>77</v>
      </c>
    </row>
    <row r="1117" spans="1:10" x14ac:dyDescent="0.25">
      <c r="A1117" s="620" t="s">
        <v>11</v>
      </c>
      <c r="B1117" s="433">
        <f>69+44+18</f>
        <v>131</v>
      </c>
      <c r="C1117" s="75">
        <f>68+39+14</f>
        <v>121</v>
      </c>
      <c r="D1117" s="75">
        <f>59+43+14</f>
        <v>116</v>
      </c>
      <c r="E1117" s="75">
        <f>65+46+20</f>
        <v>131</v>
      </c>
      <c r="F1117" s="75">
        <f>123+96+29</f>
        <v>248</v>
      </c>
      <c r="G1117" s="75">
        <f>123+84+35</f>
        <v>242</v>
      </c>
      <c r="H1117" s="75">
        <f>102+58+18</f>
        <v>178</v>
      </c>
      <c r="I1117" s="467">
        <f t="shared" ref="I1117:I1122" si="603">SUM(B1117:H1117)</f>
        <v>1167</v>
      </c>
      <c r="J1117" s="721">
        <f>+$I1117/7</f>
        <v>166.71428571428572</v>
      </c>
    </row>
    <row r="1118" spans="1:10" x14ac:dyDescent="0.25">
      <c r="A1118" s="622" t="s">
        <v>12</v>
      </c>
      <c r="B1118" s="233">
        <v>50</v>
      </c>
      <c r="C1118" s="13">
        <v>52</v>
      </c>
      <c r="D1118" s="13">
        <v>52</v>
      </c>
      <c r="E1118" s="13">
        <v>63</v>
      </c>
      <c r="F1118" s="13">
        <v>98</v>
      </c>
      <c r="G1118" s="320">
        <v>105</v>
      </c>
      <c r="H1118" s="13">
        <v>101</v>
      </c>
      <c r="I1118" s="11">
        <f t="shared" si="603"/>
        <v>521</v>
      </c>
      <c r="J1118" s="722">
        <f t="shared" ref="J1118:J1123" si="604">+$I1118/7</f>
        <v>74.428571428571431</v>
      </c>
    </row>
    <row r="1119" spans="1:10" x14ac:dyDescent="0.25">
      <c r="A1119" s="622" t="s">
        <v>13</v>
      </c>
      <c r="B1119" s="233">
        <v>3</v>
      </c>
      <c r="C1119" s="13">
        <v>1</v>
      </c>
      <c r="D1119" s="13">
        <v>2</v>
      </c>
      <c r="E1119" s="13">
        <v>2</v>
      </c>
      <c r="F1119" s="13">
        <v>3</v>
      </c>
      <c r="G1119" s="13">
        <v>4</v>
      </c>
      <c r="H1119" s="13">
        <v>3</v>
      </c>
      <c r="I1119" s="11">
        <f t="shared" si="603"/>
        <v>18</v>
      </c>
      <c r="J1119" s="722">
        <f t="shared" si="604"/>
        <v>2.5714285714285716</v>
      </c>
    </row>
    <row r="1120" spans="1:10" x14ac:dyDescent="0.25">
      <c r="A1120" s="622" t="s">
        <v>14</v>
      </c>
      <c r="B1120" s="233">
        <v>62</v>
      </c>
      <c r="C1120" s="13">
        <v>45</v>
      </c>
      <c r="D1120" s="13">
        <v>44</v>
      </c>
      <c r="E1120" s="13">
        <v>44</v>
      </c>
      <c r="F1120" s="13">
        <v>101</v>
      </c>
      <c r="G1120" s="13">
        <v>72</v>
      </c>
      <c r="H1120" s="13">
        <v>46</v>
      </c>
      <c r="I1120" s="11">
        <f t="shared" si="603"/>
        <v>414</v>
      </c>
      <c r="J1120" s="722">
        <f t="shared" si="604"/>
        <v>59.142857142857146</v>
      </c>
    </row>
    <row r="1121" spans="1:10" x14ac:dyDescent="0.25">
      <c r="A1121" s="622" t="s">
        <v>15</v>
      </c>
      <c r="B1121" s="233">
        <v>0</v>
      </c>
      <c r="C1121" s="13">
        <v>0</v>
      </c>
      <c r="D1121" s="13">
        <v>0</v>
      </c>
      <c r="E1121" s="13">
        <v>1</v>
      </c>
      <c r="F1121" s="13">
        <v>0</v>
      </c>
      <c r="G1121" s="13">
        <v>0</v>
      </c>
      <c r="H1121" s="13">
        <v>0</v>
      </c>
      <c r="I1121" s="11">
        <f t="shared" si="603"/>
        <v>1</v>
      </c>
      <c r="J1121" s="722">
        <f t="shared" si="604"/>
        <v>0.14285714285714285</v>
      </c>
    </row>
    <row r="1122" spans="1:10" x14ac:dyDescent="0.25">
      <c r="A1122" s="622" t="s">
        <v>16</v>
      </c>
      <c r="B1122" s="233">
        <v>0</v>
      </c>
      <c r="C1122" s="13">
        <v>0</v>
      </c>
      <c r="D1122" s="13">
        <v>0</v>
      </c>
      <c r="E1122" s="13">
        <v>0</v>
      </c>
      <c r="F1122" s="13">
        <v>2</v>
      </c>
      <c r="G1122" s="13">
        <v>0</v>
      </c>
      <c r="H1122" s="13">
        <v>0</v>
      </c>
      <c r="I1122" s="11">
        <f t="shared" si="603"/>
        <v>2</v>
      </c>
      <c r="J1122" s="722">
        <f t="shared" si="604"/>
        <v>0.2857142857142857</v>
      </c>
    </row>
    <row r="1123" spans="1:10" x14ac:dyDescent="0.25">
      <c r="A1123" s="624" t="s">
        <v>17</v>
      </c>
      <c r="B1123" s="102">
        <f t="shared" ref="B1123:I1123" si="605">SUM(B1118:B1122)</f>
        <v>115</v>
      </c>
      <c r="C1123" s="102">
        <f t="shared" si="605"/>
        <v>98</v>
      </c>
      <c r="D1123" s="102">
        <f t="shared" si="605"/>
        <v>98</v>
      </c>
      <c r="E1123" s="102">
        <f t="shared" si="605"/>
        <v>110</v>
      </c>
      <c r="F1123" s="102">
        <f t="shared" si="605"/>
        <v>204</v>
      </c>
      <c r="G1123" s="79">
        <f t="shared" si="605"/>
        <v>181</v>
      </c>
      <c r="H1123" s="79">
        <f t="shared" si="605"/>
        <v>150</v>
      </c>
      <c r="I1123" s="472">
        <f t="shared" si="605"/>
        <v>956</v>
      </c>
      <c r="J1123" s="723">
        <f t="shared" si="604"/>
        <v>136.57142857142858</v>
      </c>
    </row>
    <row r="1124" spans="1:10" x14ac:dyDescent="0.25">
      <c r="A1124" s="622" t="s">
        <v>18</v>
      </c>
      <c r="B1124" s="234">
        <v>0.52</v>
      </c>
      <c r="C1124" s="235">
        <v>0.62</v>
      </c>
      <c r="D1124" s="235">
        <v>0.54</v>
      </c>
      <c r="E1124" s="236">
        <v>0.69</v>
      </c>
      <c r="F1124" s="236">
        <v>0.52</v>
      </c>
      <c r="G1124" s="236">
        <v>0.63</v>
      </c>
      <c r="H1124" s="236">
        <v>0.72</v>
      </c>
      <c r="I1124" s="18">
        <f>I1131/I1136</f>
        <v>0.60701564052868318</v>
      </c>
      <c r="J1124" s="724">
        <f>J1131/J1136</f>
        <v>0.60701564052868306</v>
      </c>
    </row>
    <row r="1125" spans="1:10" x14ac:dyDescent="0.25">
      <c r="A1125" s="622" t="s">
        <v>19</v>
      </c>
      <c r="B1125" s="234">
        <v>0.01</v>
      </c>
      <c r="C1125" s="235">
        <v>0.01</v>
      </c>
      <c r="D1125" s="235">
        <v>0.03</v>
      </c>
      <c r="E1125" s="236">
        <v>0.02</v>
      </c>
      <c r="F1125" s="236">
        <v>0.01</v>
      </c>
      <c r="G1125" s="236">
        <v>0.02</v>
      </c>
      <c r="H1125" s="236">
        <v>0.03</v>
      </c>
      <c r="I1125" s="18">
        <f>I1132/I1136</f>
        <v>1.8371952386202418E-2</v>
      </c>
      <c r="J1125" s="724">
        <f>J1132/J1136</f>
        <v>1.8371952386202418E-2</v>
      </c>
    </row>
    <row r="1126" spans="1:10" x14ac:dyDescent="0.25">
      <c r="A1126" s="622" t="s">
        <v>20</v>
      </c>
      <c r="B1126" s="234">
        <v>0.47</v>
      </c>
      <c r="C1126" s="235">
        <v>0.37</v>
      </c>
      <c r="D1126" s="235">
        <v>0.43</v>
      </c>
      <c r="E1126" s="236">
        <v>0.28999999999999998</v>
      </c>
      <c r="F1126" s="236">
        <v>0.46</v>
      </c>
      <c r="G1126" s="236">
        <v>0.35</v>
      </c>
      <c r="H1126" s="236">
        <v>0.25</v>
      </c>
      <c r="I1126" s="18">
        <f>I1133/I1136</f>
        <v>0.37250688757866407</v>
      </c>
      <c r="J1126" s="724">
        <f>J1133/J1136</f>
        <v>0.37250688757866407</v>
      </c>
    </row>
    <row r="1127" spans="1:10" x14ac:dyDescent="0.25">
      <c r="A1127" s="622" t="s">
        <v>21</v>
      </c>
      <c r="B1127" s="234">
        <v>0</v>
      </c>
      <c r="C1127" s="235">
        <v>0</v>
      </c>
      <c r="D1127" s="235">
        <v>0</v>
      </c>
      <c r="E1127" s="236">
        <v>0</v>
      </c>
      <c r="F1127" s="236">
        <v>0</v>
      </c>
      <c r="G1127" s="236">
        <v>0</v>
      </c>
      <c r="H1127" s="236">
        <v>0</v>
      </c>
      <c r="I1127" s="18">
        <f>I1134/I1136</f>
        <v>0</v>
      </c>
      <c r="J1127" s="724">
        <f>J1134/J1136</f>
        <v>0</v>
      </c>
    </row>
    <row r="1128" spans="1:10" x14ac:dyDescent="0.25">
      <c r="A1128" s="622" t="s">
        <v>22</v>
      </c>
      <c r="B1128" s="234">
        <v>0</v>
      </c>
      <c r="C1128" s="235">
        <v>0</v>
      </c>
      <c r="D1128" s="235">
        <v>0</v>
      </c>
      <c r="E1128" s="236">
        <v>0</v>
      </c>
      <c r="F1128" s="236">
        <v>0.01</v>
      </c>
      <c r="G1128" s="236">
        <v>0</v>
      </c>
      <c r="H1128" s="236">
        <v>0</v>
      </c>
      <c r="I1128" s="18">
        <f>I1135/I1136</f>
        <v>2.1055195064504143E-3</v>
      </c>
      <c r="J1128" s="724">
        <f>J1135/J1136</f>
        <v>2.1055195064504143E-3</v>
      </c>
    </row>
    <row r="1129" spans="1:10" x14ac:dyDescent="0.25">
      <c r="A1129" s="627" t="s">
        <v>23</v>
      </c>
      <c r="B1129" s="450">
        <f t="shared" ref="B1129:J1129" si="606">B1140/B1123</f>
        <v>29600.000000000004</v>
      </c>
      <c r="C1129" s="130">
        <f t="shared" si="606"/>
        <v>33873.469387755104</v>
      </c>
      <c r="D1129" s="130">
        <f t="shared" si="606"/>
        <v>31579.5918367347</v>
      </c>
      <c r="E1129" s="130">
        <f t="shared" si="606"/>
        <v>34157.272727272728</v>
      </c>
      <c r="F1129" s="130">
        <f t="shared" si="606"/>
        <v>33244.117647058825</v>
      </c>
      <c r="G1129" s="130">
        <f t="shared" si="606"/>
        <v>37350.276243093926</v>
      </c>
      <c r="H1129" s="130">
        <f t="shared" si="606"/>
        <v>34982</v>
      </c>
      <c r="I1129" s="130">
        <f t="shared" si="606"/>
        <v>33854.81171548117</v>
      </c>
      <c r="J1129" s="685">
        <f t="shared" si="606"/>
        <v>33854.81171548117</v>
      </c>
    </row>
    <row r="1130" spans="1:10" x14ac:dyDescent="0.25">
      <c r="A1130" s="627" t="s">
        <v>24</v>
      </c>
      <c r="B1130" s="450">
        <f t="shared" ref="B1130:J1130" si="607">B1140/B1117</f>
        <v>25984.732824427483</v>
      </c>
      <c r="C1130" s="130">
        <f t="shared" si="607"/>
        <v>27434.710743801657</v>
      </c>
      <c r="D1130" s="130">
        <f t="shared" si="607"/>
        <v>26679.310344827591</v>
      </c>
      <c r="E1130" s="130">
        <f t="shared" si="607"/>
        <v>28681.679389312976</v>
      </c>
      <c r="F1130" s="130">
        <f t="shared" si="607"/>
        <v>27345.967741935488</v>
      </c>
      <c r="G1130" s="130">
        <f t="shared" si="607"/>
        <v>27935.537190082647</v>
      </c>
      <c r="H1130" s="130">
        <f t="shared" si="607"/>
        <v>29479.213483146068</v>
      </c>
      <c r="I1130" s="130">
        <f t="shared" si="607"/>
        <v>27733.676092544989</v>
      </c>
      <c r="J1130" s="685">
        <f t="shared" si="607"/>
        <v>27733.676092544985</v>
      </c>
    </row>
    <row r="1131" spans="1:10" x14ac:dyDescent="0.25">
      <c r="A1131" s="622" t="s">
        <v>25</v>
      </c>
      <c r="B1131" s="451">
        <f t="shared" ref="B1131:H1131" si="608">B1136*B1124</f>
        <v>1463167.034482759</v>
      </c>
      <c r="C1131" s="92">
        <f t="shared" si="608"/>
        <v>1696441.6055172416</v>
      </c>
      <c r="D1131" s="92">
        <f t="shared" si="608"/>
        <v>1372897.63862069</v>
      </c>
      <c r="E1131" s="92">
        <f t="shared" si="608"/>
        <v>2130009.1096551721</v>
      </c>
      <c r="F1131" s="92">
        <f t="shared" si="608"/>
        <v>2917099.8013793109</v>
      </c>
      <c r="G1131" s="92">
        <f t="shared" si="608"/>
        <v>3511910.4517241386</v>
      </c>
      <c r="H1131" s="92">
        <f t="shared" si="608"/>
        <v>3081398.747586207</v>
      </c>
      <c r="I1131" s="92">
        <f>SUM(B1131:H1131)</f>
        <v>16172924.388965519</v>
      </c>
      <c r="J1131" s="715">
        <f t="shared" ref="J1131:J1136" si="609">+$I1131/7</f>
        <v>2310417.7698522168</v>
      </c>
    </row>
    <row r="1132" spans="1:10" x14ac:dyDescent="0.25">
      <c r="A1132" s="622" t="s">
        <v>26</v>
      </c>
      <c r="B1132" s="451">
        <f t="shared" ref="B1132:H1132" si="610">B1136*B1125</f>
        <v>28137.827586206902</v>
      </c>
      <c r="C1132" s="92">
        <f t="shared" si="610"/>
        <v>27361.961379310349</v>
      </c>
      <c r="D1132" s="92">
        <f t="shared" si="610"/>
        <v>76272.091034482772</v>
      </c>
      <c r="E1132" s="92">
        <f t="shared" si="610"/>
        <v>61739.394482758624</v>
      </c>
      <c r="F1132" s="92">
        <f t="shared" si="610"/>
        <v>56098.073103448281</v>
      </c>
      <c r="G1132" s="92">
        <f t="shared" si="610"/>
        <v>111489.22068965519</v>
      </c>
      <c r="H1132" s="92">
        <f t="shared" si="610"/>
        <v>128391.61448275862</v>
      </c>
      <c r="I1132" s="92">
        <f>SUM(B1132:H1132)</f>
        <v>489490.18275862077</v>
      </c>
      <c r="J1132" s="715">
        <f t="shared" si="609"/>
        <v>69927.168965517252</v>
      </c>
    </row>
    <row r="1133" spans="1:10" x14ac:dyDescent="0.25">
      <c r="A1133" s="622" t="s">
        <v>27</v>
      </c>
      <c r="B1133" s="451">
        <f t="shared" ref="B1133:H1133" si="611">B1136*B1126</f>
        <v>1322477.8965517243</v>
      </c>
      <c r="C1133" s="92">
        <f t="shared" si="611"/>
        <v>1012392.5710344829</v>
      </c>
      <c r="D1133" s="92">
        <f t="shared" si="611"/>
        <v>1093233.3048275863</v>
      </c>
      <c r="E1133" s="92">
        <f t="shared" si="611"/>
        <v>895221.22</v>
      </c>
      <c r="F1133" s="92">
        <f t="shared" si="611"/>
        <v>2580511.3627586211</v>
      </c>
      <c r="G1133" s="92">
        <f t="shared" si="611"/>
        <v>1951061.3620689656</v>
      </c>
      <c r="H1133" s="92">
        <f t="shared" si="611"/>
        <v>1069930.1206896552</v>
      </c>
      <c r="I1133" s="92">
        <f>SUM(B1133:H1133)</f>
        <v>9924827.8379310351</v>
      </c>
      <c r="J1133" s="715">
        <f t="shared" si="609"/>
        <v>1417832.5482758621</v>
      </c>
    </row>
    <row r="1134" spans="1:10" x14ac:dyDescent="0.25">
      <c r="A1134" s="622" t="s">
        <v>28</v>
      </c>
      <c r="B1134" s="451">
        <f t="shared" ref="B1134:H1134" si="612">B1136*B1127</f>
        <v>0</v>
      </c>
      <c r="C1134" s="92">
        <f t="shared" si="612"/>
        <v>0</v>
      </c>
      <c r="D1134" s="92">
        <f t="shared" si="612"/>
        <v>0</v>
      </c>
      <c r="E1134" s="92">
        <f t="shared" si="612"/>
        <v>0</v>
      </c>
      <c r="F1134" s="92">
        <f t="shared" si="612"/>
        <v>0</v>
      </c>
      <c r="G1134" s="92">
        <f t="shared" si="612"/>
        <v>0</v>
      </c>
      <c r="H1134" s="92">
        <f t="shared" si="612"/>
        <v>0</v>
      </c>
      <c r="I1134" s="92">
        <f>SUM(B1134:H1134)</f>
        <v>0</v>
      </c>
      <c r="J1134" s="715">
        <f t="shared" si="609"/>
        <v>0</v>
      </c>
    </row>
    <row r="1135" spans="1:10" x14ac:dyDescent="0.25">
      <c r="A1135" s="622" t="s">
        <v>29</v>
      </c>
      <c r="B1135" s="451">
        <f t="shared" ref="B1135:H1135" si="613">B1136*B1128</f>
        <v>0</v>
      </c>
      <c r="C1135" s="92">
        <f t="shared" si="613"/>
        <v>0</v>
      </c>
      <c r="D1135" s="92">
        <f t="shared" si="613"/>
        <v>0</v>
      </c>
      <c r="E1135" s="92">
        <f t="shared" si="613"/>
        <v>0</v>
      </c>
      <c r="F1135" s="92">
        <f t="shared" si="613"/>
        <v>56098.073103448281</v>
      </c>
      <c r="G1135" s="92">
        <f t="shared" si="613"/>
        <v>0</v>
      </c>
      <c r="H1135" s="92">
        <f t="shared" si="613"/>
        <v>0</v>
      </c>
      <c r="I1135" s="92">
        <f>SUM(B1135:H1135)</f>
        <v>56098.073103448281</v>
      </c>
      <c r="J1135" s="715">
        <f t="shared" si="609"/>
        <v>8014.0104433497545</v>
      </c>
    </row>
    <row r="1136" spans="1:10" x14ac:dyDescent="0.25">
      <c r="A1136" s="630" t="s">
        <v>30</v>
      </c>
      <c r="B1136" s="237">
        <f>(3404000/1.16)-B1137</f>
        <v>2813782.7586206901</v>
      </c>
      <c r="C1136" s="237">
        <f>(3319600/1.16)-C1137</f>
        <v>2736196.1379310349</v>
      </c>
      <c r="D1136" s="237">
        <f>(3094800/1.16)-D1137</f>
        <v>2542403.034482759</v>
      </c>
      <c r="E1136" s="237">
        <f>(3757300/1.16)-E1137</f>
        <v>3086969.7241379311</v>
      </c>
      <c r="F1136" s="237">
        <f>(6781800/1.16)-F1137</f>
        <v>5609807.3103448283</v>
      </c>
      <c r="G1136" s="237">
        <f>(6760400/1.16)-G1137</f>
        <v>5574461.0344827594</v>
      </c>
      <c r="H1136" s="237">
        <f>(5247300/1.16)-H1137</f>
        <v>4279720.4827586208</v>
      </c>
      <c r="I1136" s="91">
        <f>SUM(I1131:I1135)</f>
        <v>26643340.482758623</v>
      </c>
      <c r="J1136" s="716">
        <f t="shared" si="609"/>
        <v>3806191.4975369461</v>
      </c>
    </row>
    <row r="1137" spans="1:10" x14ac:dyDescent="0.25">
      <c r="A1137" s="622" t="s">
        <v>31</v>
      </c>
      <c r="B1137" s="452">
        <f t="shared" ref="B1137:H1137" si="614">2414*B1118</f>
        <v>120700</v>
      </c>
      <c r="C1137" s="94">
        <f t="shared" si="614"/>
        <v>125528</v>
      </c>
      <c r="D1137" s="94">
        <f t="shared" si="614"/>
        <v>125528</v>
      </c>
      <c r="E1137" s="94">
        <f t="shared" si="614"/>
        <v>152082</v>
      </c>
      <c r="F1137" s="94">
        <f t="shared" si="614"/>
        <v>236572</v>
      </c>
      <c r="G1137" s="94">
        <f t="shared" si="614"/>
        <v>253470</v>
      </c>
      <c r="H1137" s="94">
        <f t="shared" si="614"/>
        <v>243814</v>
      </c>
      <c r="I1137" s="94">
        <f>I1118*2414</f>
        <v>1257694</v>
      </c>
      <c r="J1137" s="717">
        <f>2155*J1118</f>
        <v>160393.57142857142</v>
      </c>
    </row>
    <row r="1138" spans="1:10" x14ac:dyDescent="0.25">
      <c r="A1138" s="633" t="s">
        <v>32</v>
      </c>
      <c r="B1138" s="453">
        <f t="shared" ref="B1138:J1138" si="615">B1136+B1137</f>
        <v>2934482.7586206901</v>
      </c>
      <c r="C1138" s="39">
        <f t="shared" si="615"/>
        <v>2861724.1379310349</v>
      </c>
      <c r="D1138" s="39">
        <f t="shared" si="615"/>
        <v>2667931.034482759</v>
      </c>
      <c r="E1138" s="39">
        <f t="shared" si="615"/>
        <v>3239051.7241379311</v>
      </c>
      <c r="F1138" s="39">
        <f t="shared" si="615"/>
        <v>5846379.3103448283</v>
      </c>
      <c r="G1138" s="39">
        <f t="shared" si="615"/>
        <v>5827931.0344827594</v>
      </c>
      <c r="H1138" s="39">
        <f t="shared" si="615"/>
        <v>4523534.4827586208</v>
      </c>
      <c r="I1138" s="39">
        <f t="shared" si="615"/>
        <v>27901034.482758623</v>
      </c>
      <c r="J1138" s="718">
        <f t="shared" si="615"/>
        <v>3966585.0689655175</v>
      </c>
    </row>
    <row r="1139" spans="1:10" x14ac:dyDescent="0.25">
      <c r="A1139" s="622" t="s">
        <v>33</v>
      </c>
      <c r="B1139" s="454">
        <f t="shared" ref="B1139:J1139" si="616">B1138*16%</f>
        <v>469517.24137931044</v>
      </c>
      <c r="C1139" s="41">
        <f t="shared" si="616"/>
        <v>457875.86206896557</v>
      </c>
      <c r="D1139" s="41">
        <f t="shared" si="616"/>
        <v>426868.96551724145</v>
      </c>
      <c r="E1139" s="41">
        <f t="shared" si="616"/>
        <v>518248.27586206899</v>
      </c>
      <c r="F1139" s="41">
        <f t="shared" si="616"/>
        <v>935420.68965517252</v>
      </c>
      <c r="G1139" s="41">
        <f t="shared" si="616"/>
        <v>932468.96551724151</v>
      </c>
      <c r="H1139" s="41">
        <f t="shared" si="616"/>
        <v>723765.51724137936</v>
      </c>
      <c r="I1139" s="41">
        <f t="shared" si="616"/>
        <v>4464165.5172413792</v>
      </c>
      <c r="J1139" s="725">
        <f t="shared" si="616"/>
        <v>634653.61103448283</v>
      </c>
    </row>
    <row r="1140" spans="1:10" ht="15.75" thickBot="1" x14ac:dyDescent="0.3">
      <c r="A1140" s="636" t="s">
        <v>34</v>
      </c>
      <c r="B1140" s="637">
        <f t="shared" ref="B1140:I1140" si="617">B1138+B1139</f>
        <v>3404000.0000000005</v>
      </c>
      <c r="C1140" s="686">
        <f t="shared" si="617"/>
        <v>3319600.0000000005</v>
      </c>
      <c r="D1140" s="686">
        <f t="shared" si="617"/>
        <v>3094800.0000000005</v>
      </c>
      <c r="E1140" s="686">
        <f t="shared" si="617"/>
        <v>3757300</v>
      </c>
      <c r="F1140" s="686">
        <f t="shared" si="617"/>
        <v>6781800.0000000009</v>
      </c>
      <c r="G1140" s="686">
        <f t="shared" si="617"/>
        <v>6760400.0000000009</v>
      </c>
      <c r="H1140" s="686">
        <f t="shared" si="617"/>
        <v>5247300</v>
      </c>
      <c r="I1140" s="686">
        <f t="shared" si="617"/>
        <v>32365200</v>
      </c>
      <c r="J1140" s="720">
        <f>+$I1140/7</f>
        <v>4623600</v>
      </c>
    </row>
    <row r="1141" spans="1:10" ht="15.75" thickBot="1" x14ac:dyDescent="0.3">
      <c r="I1141" s="89"/>
    </row>
    <row r="1142" spans="1:10" ht="27" thickBot="1" x14ac:dyDescent="0.3">
      <c r="A1142" s="85"/>
      <c r="B1142" s="1002" t="s">
        <v>383</v>
      </c>
      <c r="C1142" s="1002"/>
      <c r="D1142" s="1002"/>
      <c r="E1142" s="1002"/>
      <c r="F1142" s="1002"/>
      <c r="G1142" s="1002"/>
      <c r="H1142" s="1002"/>
      <c r="I1142" s="1002"/>
    </row>
    <row r="1143" spans="1:10" ht="15.75" x14ac:dyDescent="0.25">
      <c r="A1143" s="614" t="s">
        <v>2</v>
      </c>
      <c r="B1143" s="706" t="s">
        <v>241</v>
      </c>
      <c r="C1143" s="641" t="s">
        <v>255</v>
      </c>
      <c r="D1143" s="641" t="s">
        <v>256</v>
      </c>
      <c r="E1143" s="641" t="s">
        <v>324</v>
      </c>
      <c r="F1143" s="641" t="s">
        <v>325</v>
      </c>
      <c r="G1143" s="641" t="s">
        <v>326</v>
      </c>
      <c r="H1143" s="641" t="s">
        <v>327</v>
      </c>
      <c r="I1143" s="618" t="s">
        <v>10</v>
      </c>
      <c r="J1143" s="711" t="s">
        <v>77</v>
      </c>
    </row>
    <row r="1144" spans="1:10" x14ac:dyDescent="0.25">
      <c r="A1144" s="620" t="s">
        <v>11</v>
      </c>
      <c r="B1144" s="433">
        <f>79+42+14</f>
        <v>135</v>
      </c>
      <c r="C1144" s="75">
        <f>85+45+15</f>
        <v>145</v>
      </c>
      <c r="D1144" s="75">
        <f>93+58+11</f>
        <v>162</v>
      </c>
      <c r="E1144" s="75">
        <f>120+55+22</f>
        <v>197</v>
      </c>
      <c r="F1144" s="75">
        <f>146+86+20</f>
        <v>252</v>
      </c>
      <c r="G1144" s="75">
        <f>113+68+30</f>
        <v>211</v>
      </c>
      <c r="H1144" s="75">
        <f>112+68+28</f>
        <v>208</v>
      </c>
      <c r="I1144" s="467">
        <f t="shared" ref="I1144:I1149" si="618">SUM(B1144:H1144)</f>
        <v>1310</v>
      </c>
      <c r="J1144" s="721">
        <f>+$I1144/7</f>
        <v>187.14285714285714</v>
      </c>
    </row>
    <row r="1145" spans="1:10" x14ac:dyDescent="0.25">
      <c r="A1145" s="622" t="s">
        <v>12</v>
      </c>
      <c r="B1145" s="233">
        <v>55</v>
      </c>
      <c r="C1145" s="13">
        <v>55</v>
      </c>
      <c r="D1145" s="13">
        <v>62</v>
      </c>
      <c r="E1145" s="13">
        <v>82</v>
      </c>
      <c r="F1145" s="13">
        <v>101</v>
      </c>
      <c r="G1145" s="320">
        <v>106</v>
      </c>
      <c r="H1145" s="13">
        <v>130</v>
      </c>
      <c r="I1145" s="11">
        <f t="shared" si="618"/>
        <v>591</v>
      </c>
      <c r="J1145" s="722">
        <f t="shared" ref="J1145:J1150" si="619">+$I1145/7</f>
        <v>84.428571428571431</v>
      </c>
    </row>
    <row r="1146" spans="1:10" x14ac:dyDescent="0.25">
      <c r="A1146" s="622" t="s">
        <v>13</v>
      </c>
      <c r="B1146" s="233">
        <v>0</v>
      </c>
      <c r="C1146" s="13">
        <v>1</v>
      </c>
      <c r="D1146" s="13">
        <v>1</v>
      </c>
      <c r="E1146" s="13">
        <v>1</v>
      </c>
      <c r="F1146" s="13">
        <v>5</v>
      </c>
      <c r="G1146" s="13">
        <v>7</v>
      </c>
      <c r="H1146" s="13">
        <v>5</v>
      </c>
      <c r="I1146" s="11">
        <f t="shared" si="618"/>
        <v>20</v>
      </c>
      <c r="J1146" s="722">
        <f t="shared" si="619"/>
        <v>2.8571428571428572</v>
      </c>
    </row>
    <row r="1147" spans="1:10" x14ac:dyDescent="0.25">
      <c r="A1147" s="622" t="s">
        <v>14</v>
      </c>
      <c r="B1147" s="233">
        <v>54</v>
      </c>
      <c r="C1147" s="13">
        <v>65</v>
      </c>
      <c r="D1147" s="13">
        <v>74</v>
      </c>
      <c r="E1147" s="13">
        <v>74</v>
      </c>
      <c r="F1147" s="13">
        <v>105</v>
      </c>
      <c r="G1147" s="13">
        <v>57</v>
      </c>
      <c r="H1147" s="13">
        <v>32</v>
      </c>
      <c r="I1147" s="11">
        <f t="shared" si="618"/>
        <v>461</v>
      </c>
      <c r="J1147" s="722">
        <f t="shared" si="619"/>
        <v>65.857142857142861</v>
      </c>
    </row>
    <row r="1148" spans="1:10" x14ac:dyDescent="0.25">
      <c r="A1148" s="622" t="s">
        <v>15</v>
      </c>
      <c r="B1148" s="233">
        <v>0</v>
      </c>
      <c r="C1148" s="13">
        <v>0</v>
      </c>
      <c r="D1148" s="13">
        <v>0</v>
      </c>
      <c r="E1148" s="13">
        <v>0</v>
      </c>
      <c r="F1148" s="13">
        <v>0</v>
      </c>
      <c r="G1148" s="13">
        <v>0</v>
      </c>
      <c r="H1148" s="13">
        <v>0</v>
      </c>
      <c r="I1148" s="11">
        <f t="shared" si="618"/>
        <v>0</v>
      </c>
      <c r="J1148" s="722">
        <f t="shared" si="619"/>
        <v>0</v>
      </c>
    </row>
    <row r="1149" spans="1:10" x14ac:dyDescent="0.25">
      <c r="A1149" s="622" t="s">
        <v>16</v>
      </c>
      <c r="B1149" s="233">
        <v>1</v>
      </c>
      <c r="C1149" s="13">
        <v>0</v>
      </c>
      <c r="D1149" s="13">
        <v>0</v>
      </c>
      <c r="E1149" s="13">
        <v>0</v>
      </c>
      <c r="F1149" s="13">
        <v>0</v>
      </c>
      <c r="G1149" s="13">
        <v>0</v>
      </c>
      <c r="H1149" s="13">
        <v>0</v>
      </c>
      <c r="I1149" s="11">
        <f t="shared" si="618"/>
        <v>1</v>
      </c>
      <c r="J1149" s="722">
        <f t="shared" si="619"/>
        <v>0.14285714285714285</v>
      </c>
    </row>
    <row r="1150" spans="1:10" x14ac:dyDescent="0.25">
      <c r="A1150" s="624" t="s">
        <v>17</v>
      </c>
      <c r="B1150" s="102">
        <f t="shared" ref="B1150:I1150" si="620">SUM(B1145:B1149)</f>
        <v>110</v>
      </c>
      <c r="C1150" s="102">
        <f t="shared" si="620"/>
        <v>121</v>
      </c>
      <c r="D1150" s="102">
        <f t="shared" si="620"/>
        <v>137</v>
      </c>
      <c r="E1150" s="102">
        <f t="shared" si="620"/>
        <v>157</v>
      </c>
      <c r="F1150" s="102">
        <f t="shared" si="620"/>
        <v>211</v>
      </c>
      <c r="G1150" s="79">
        <f t="shared" si="620"/>
        <v>170</v>
      </c>
      <c r="H1150" s="79">
        <f t="shared" si="620"/>
        <v>167</v>
      </c>
      <c r="I1150" s="472">
        <f t="shared" si="620"/>
        <v>1073</v>
      </c>
      <c r="J1150" s="723">
        <f t="shared" si="619"/>
        <v>153.28571428571428</v>
      </c>
    </row>
    <row r="1151" spans="1:10" x14ac:dyDescent="0.25">
      <c r="A1151" s="622" t="s">
        <v>18</v>
      </c>
      <c r="B1151" s="234">
        <v>0.59</v>
      </c>
      <c r="C1151" s="235">
        <v>0.55000000000000004</v>
      </c>
      <c r="D1151" s="235">
        <v>0.51</v>
      </c>
      <c r="E1151" s="236">
        <v>0.6</v>
      </c>
      <c r="F1151" s="236">
        <v>0.55000000000000004</v>
      </c>
      <c r="G1151" s="236">
        <v>0.66</v>
      </c>
      <c r="H1151" s="236">
        <v>0.8</v>
      </c>
      <c r="I1151" s="18">
        <f>I1158/I1163</f>
        <v>0.6126635358963114</v>
      </c>
      <c r="J1151" s="724">
        <f>J1158/J1163</f>
        <v>0.6126635358963114</v>
      </c>
    </row>
    <row r="1152" spans="1:10" x14ac:dyDescent="0.25">
      <c r="A1152" s="622" t="s">
        <v>19</v>
      </c>
      <c r="B1152" s="234">
        <v>0</v>
      </c>
      <c r="C1152" s="235">
        <v>0.01</v>
      </c>
      <c r="D1152" s="235">
        <v>0.01</v>
      </c>
      <c r="E1152" s="236">
        <v>0.01</v>
      </c>
      <c r="F1152" s="236">
        <v>0.02</v>
      </c>
      <c r="G1152" s="236">
        <v>0.06</v>
      </c>
      <c r="H1152" s="236">
        <v>0.03</v>
      </c>
      <c r="I1152" s="18">
        <f>I1159/I1163</f>
        <v>2.1995879693821326E-2</v>
      </c>
      <c r="J1152" s="724">
        <f>J1159/J1163</f>
        <v>2.1995879693821326E-2</v>
      </c>
    </row>
    <row r="1153" spans="1:10" x14ac:dyDescent="0.25">
      <c r="A1153" s="622" t="s">
        <v>20</v>
      </c>
      <c r="B1153" s="234">
        <v>0.4</v>
      </c>
      <c r="C1153" s="235">
        <v>0.44</v>
      </c>
      <c r="D1153" s="235">
        <v>0.48</v>
      </c>
      <c r="E1153" s="236">
        <v>0.39</v>
      </c>
      <c r="F1153" s="236">
        <v>0.43</v>
      </c>
      <c r="G1153" s="236">
        <v>0.28000000000000003</v>
      </c>
      <c r="H1153" s="236">
        <v>0.17</v>
      </c>
      <c r="I1153" s="18">
        <f>I1160/I1163</f>
        <v>0.36430898472809425</v>
      </c>
      <c r="J1153" s="724">
        <f>J1160/J1163</f>
        <v>0.36430898472809425</v>
      </c>
    </row>
    <row r="1154" spans="1:10" x14ac:dyDescent="0.25">
      <c r="A1154" s="622" t="s">
        <v>21</v>
      </c>
      <c r="B1154" s="234">
        <v>0</v>
      </c>
      <c r="C1154" s="235">
        <v>0</v>
      </c>
      <c r="D1154" s="235">
        <v>0</v>
      </c>
      <c r="E1154" s="236">
        <v>0</v>
      </c>
      <c r="F1154" s="236">
        <v>0</v>
      </c>
      <c r="G1154" s="236">
        <v>0</v>
      </c>
      <c r="H1154" s="236">
        <v>0</v>
      </c>
      <c r="I1154" s="18">
        <f>I1161/I1163</f>
        <v>0</v>
      </c>
      <c r="J1154" s="724">
        <f>J1161/J1163</f>
        <v>0</v>
      </c>
    </row>
    <row r="1155" spans="1:10" x14ac:dyDescent="0.25">
      <c r="A1155" s="622" t="s">
        <v>22</v>
      </c>
      <c r="B1155" s="234">
        <v>0.01</v>
      </c>
      <c r="C1155" s="235">
        <v>0</v>
      </c>
      <c r="D1155" s="235">
        <v>0</v>
      </c>
      <c r="E1155" s="236">
        <v>0</v>
      </c>
      <c r="F1155" s="236">
        <v>0</v>
      </c>
      <c r="G1155" s="236">
        <v>0</v>
      </c>
      <c r="H1155" s="236">
        <v>0</v>
      </c>
      <c r="I1155" s="18">
        <f>I1162/I1163</f>
        <v>1.0315996817729703E-3</v>
      </c>
      <c r="J1155" s="724">
        <f>J1162/J1163</f>
        <v>1.0315996817729703E-3</v>
      </c>
    </row>
    <row r="1156" spans="1:10" x14ac:dyDescent="0.25">
      <c r="A1156" s="627" t="s">
        <v>23</v>
      </c>
      <c r="B1156" s="450">
        <f t="shared" ref="B1156:J1156" si="621">B1167/B1150</f>
        <v>34518.181818181816</v>
      </c>
      <c r="C1156" s="130">
        <f t="shared" si="621"/>
        <v>31800.826446280997</v>
      </c>
      <c r="D1156" s="130">
        <f t="shared" si="621"/>
        <v>33982.481751824816</v>
      </c>
      <c r="E1156" s="130">
        <f t="shared" si="621"/>
        <v>35417.197452229302</v>
      </c>
      <c r="F1156" s="130">
        <f t="shared" si="621"/>
        <v>35041.232227488159</v>
      </c>
      <c r="G1156" s="130">
        <f t="shared" si="621"/>
        <v>34662.941176470595</v>
      </c>
      <c r="H1156" s="130">
        <f t="shared" si="621"/>
        <v>34859.281437125748</v>
      </c>
      <c r="I1156" s="130">
        <f t="shared" si="621"/>
        <v>34453.774464119299</v>
      </c>
      <c r="J1156" s="685">
        <f t="shared" si="621"/>
        <v>34453.774464119306</v>
      </c>
    </row>
    <row r="1157" spans="1:10" x14ac:dyDescent="0.25">
      <c r="A1157" s="627" t="s">
        <v>24</v>
      </c>
      <c r="B1157" s="450">
        <f t="shared" ref="B1157:J1157" si="622">B1167/B1144</f>
        <v>28125.925925925927</v>
      </c>
      <c r="C1157" s="130">
        <f t="shared" si="622"/>
        <v>26537.241379310348</v>
      </c>
      <c r="D1157" s="130">
        <f t="shared" si="622"/>
        <v>28738.271604938273</v>
      </c>
      <c r="E1157" s="130">
        <f t="shared" si="622"/>
        <v>28225.888324873096</v>
      </c>
      <c r="F1157" s="130">
        <f t="shared" si="622"/>
        <v>29340.079365079368</v>
      </c>
      <c r="G1157" s="130">
        <f t="shared" si="622"/>
        <v>27927.488151658774</v>
      </c>
      <c r="H1157" s="130">
        <f t="shared" si="622"/>
        <v>27987.98076923077</v>
      </c>
      <c r="I1157" s="130">
        <f t="shared" si="622"/>
        <v>28220.534351145045</v>
      </c>
      <c r="J1157" s="685">
        <f t="shared" si="622"/>
        <v>28220.534351145048</v>
      </c>
    </row>
    <row r="1158" spans="1:10" x14ac:dyDescent="0.25">
      <c r="A1158" s="622" t="s">
        <v>25</v>
      </c>
      <c r="B1158" s="451">
        <f t="shared" ref="B1158:H1158" si="623">B1163*B1151</f>
        <v>1852898.4586206896</v>
      </c>
      <c r="C1158" s="92">
        <f t="shared" si="623"/>
        <v>1751411.8448275866</v>
      </c>
      <c r="D1158" s="92">
        <f t="shared" si="623"/>
        <v>1970527.9406896555</v>
      </c>
      <c r="E1158" s="92">
        <f t="shared" si="623"/>
        <v>2757351.8896551724</v>
      </c>
      <c r="F1158" s="92">
        <f t="shared" si="623"/>
        <v>3371535.9206896559</v>
      </c>
      <c r="G1158" s="92">
        <f t="shared" si="623"/>
        <v>3183859.6634482765</v>
      </c>
      <c r="H1158" s="92">
        <f t="shared" si="623"/>
        <v>3763771.5862068967</v>
      </c>
      <c r="I1158" s="92">
        <f>SUM(B1158:H1158)</f>
        <v>18651357.304137934</v>
      </c>
      <c r="J1158" s="715">
        <f t="shared" ref="J1158:J1163" si="624">+$I1158/7</f>
        <v>2664479.6148768477</v>
      </c>
    </row>
    <row r="1159" spans="1:10" x14ac:dyDescent="0.25">
      <c r="A1159" s="622" t="s">
        <v>26</v>
      </c>
      <c r="B1159" s="451">
        <f t="shared" ref="B1159:H1159" si="625">B1163*B1152</f>
        <v>0</v>
      </c>
      <c r="C1159" s="92">
        <f t="shared" si="625"/>
        <v>31843.851724137934</v>
      </c>
      <c r="D1159" s="92">
        <f t="shared" si="625"/>
        <v>38637.802758620695</v>
      </c>
      <c r="E1159" s="92">
        <f t="shared" si="625"/>
        <v>45955.864827586207</v>
      </c>
      <c r="F1159" s="92">
        <f t="shared" si="625"/>
        <v>122601.30620689657</v>
      </c>
      <c r="G1159" s="92">
        <f t="shared" si="625"/>
        <v>289441.78758620692</v>
      </c>
      <c r="H1159" s="92">
        <f t="shared" si="625"/>
        <v>141141.43448275863</v>
      </c>
      <c r="I1159" s="92">
        <f>SUM(B1159:H1159)</f>
        <v>669622.04758620693</v>
      </c>
      <c r="J1159" s="715">
        <f t="shared" si="624"/>
        <v>95660.292512315282</v>
      </c>
    </row>
    <row r="1160" spans="1:10" x14ac:dyDescent="0.25">
      <c r="A1160" s="622" t="s">
        <v>27</v>
      </c>
      <c r="B1160" s="451">
        <f t="shared" ref="B1160:H1160" si="626">B1163*B1153</f>
        <v>1256202.3448275863</v>
      </c>
      <c r="C1160" s="92">
        <f t="shared" si="626"/>
        <v>1401129.4758620691</v>
      </c>
      <c r="D1160" s="92">
        <f t="shared" si="626"/>
        <v>1854614.5324137933</v>
      </c>
      <c r="E1160" s="92">
        <f t="shared" si="626"/>
        <v>1792278.7282758621</v>
      </c>
      <c r="F1160" s="92">
        <f t="shared" si="626"/>
        <v>2635928.0834482759</v>
      </c>
      <c r="G1160" s="92">
        <f t="shared" si="626"/>
        <v>1350728.3420689658</v>
      </c>
      <c r="H1160" s="92">
        <f t="shared" si="626"/>
        <v>799801.46206896554</v>
      </c>
      <c r="I1160" s="92">
        <f>SUM(B1160:H1160)</f>
        <v>11090682.968965519</v>
      </c>
      <c r="J1160" s="715">
        <f t="shared" si="624"/>
        <v>1584383.2812807884</v>
      </c>
    </row>
    <row r="1161" spans="1:10" x14ac:dyDescent="0.25">
      <c r="A1161" s="622" t="s">
        <v>28</v>
      </c>
      <c r="B1161" s="451">
        <f t="shared" ref="B1161:H1161" si="627">B1163*B1154</f>
        <v>0</v>
      </c>
      <c r="C1161" s="92">
        <f t="shared" si="627"/>
        <v>0</v>
      </c>
      <c r="D1161" s="92">
        <f t="shared" si="627"/>
        <v>0</v>
      </c>
      <c r="E1161" s="92">
        <f t="shared" si="627"/>
        <v>0</v>
      </c>
      <c r="F1161" s="92">
        <f t="shared" si="627"/>
        <v>0</v>
      </c>
      <c r="G1161" s="92">
        <f t="shared" si="627"/>
        <v>0</v>
      </c>
      <c r="H1161" s="92">
        <f t="shared" si="627"/>
        <v>0</v>
      </c>
      <c r="I1161" s="92">
        <f>SUM(B1161:H1161)</f>
        <v>0</v>
      </c>
      <c r="J1161" s="715">
        <f t="shared" si="624"/>
        <v>0</v>
      </c>
    </row>
    <row r="1162" spans="1:10" x14ac:dyDescent="0.25">
      <c r="A1162" s="622" t="s">
        <v>29</v>
      </c>
      <c r="B1162" s="451">
        <f t="shared" ref="B1162:H1162" si="628">B1163*B1155</f>
        <v>31405.058620689655</v>
      </c>
      <c r="C1162" s="92">
        <f t="shared" si="628"/>
        <v>0</v>
      </c>
      <c r="D1162" s="92">
        <f t="shared" si="628"/>
        <v>0</v>
      </c>
      <c r="E1162" s="92">
        <f t="shared" si="628"/>
        <v>0</v>
      </c>
      <c r="F1162" s="92">
        <f t="shared" si="628"/>
        <v>0</v>
      </c>
      <c r="G1162" s="92">
        <f t="shared" si="628"/>
        <v>0</v>
      </c>
      <c r="H1162" s="92">
        <f t="shared" si="628"/>
        <v>0</v>
      </c>
      <c r="I1162" s="92">
        <f>SUM(B1162:H1162)</f>
        <v>31405.058620689655</v>
      </c>
      <c r="J1162" s="715">
        <f t="shared" si="624"/>
        <v>4486.4369458128076</v>
      </c>
    </row>
    <row r="1163" spans="1:10" x14ac:dyDescent="0.25">
      <c r="A1163" s="630" t="s">
        <v>30</v>
      </c>
      <c r="B1163" s="237">
        <f>(3797000/1.16)-B1164</f>
        <v>3140505.8620689656</v>
      </c>
      <c r="C1163" s="237">
        <f>(3847900/1.16)-C1164</f>
        <v>3184385.1724137934</v>
      </c>
      <c r="D1163" s="237">
        <f>(4655600/1.16)-D1164</f>
        <v>3863780.2758620693</v>
      </c>
      <c r="E1163" s="237">
        <f>(5560500/1.16)-E1164</f>
        <v>4595586.4827586208</v>
      </c>
      <c r="F1163" s="237">
        <f>(7393700/1.16)-F1164</f>
        <v>6130065.3103448283</v>
      </c>
      <c r="G1163" s="237">
        <f>(5892700/1.16)-G1164</f>
        <v>4824029.793103449</v>
      </c>
      <c r="H1163" s="237">
        <f>(5821500/1.16)-H1164</f>
        <v>4704714.4827586208</v>
      </c>
      <c r="I1163" s="91">
        <f>SUM(I1158:I1162)</f>
        <v>30443067.379310351</v>
      </c>
      <c r="J1163" s="716">
        <f t="shared" si="624"/>
        <v>4349009.6256157644</v>
      </c>
    </row>
    <row r="1164" spans="1:10" x14ac:dyDescent="0.25">
      <c r="A1164" s="622" t="s">
        <v>31</v>
      </c>
      <c r="B1164" s="452">
        <f t="shared" ref="B1164:H1164" si="629">2414*B1145</f>
        <v>132770</v>
      </c>
      <c r="C1164" s="94">
        <f t="shared" si="629"/>
        <v>132770</v>
      </c>
      <c r="D1164" s="94">
        <f t="shared" si="629"/>
        <v>149668</v>
      </c>
      <c r="E1164" s="94">
        <f t="shared" si="629"/>
        <v>197948</v>
      </c>
      <c r="F1164" s="94">
        <f t="shared" si="629"/>
        <v>243814</v>
      </c>
      <c r="G1164" s="94">
        <f t="shared" si="629"/>
        <v>255884</v>
      </c>
      <c r="H1164" s="94">
        <f t="shared" si="629"/>
        <v>313820</v>
      </c>
      <c r="I1164" s="94">
        <f>I1145*2414</f>
        <v>1426674</v>
      </c>
      <c r="J1164" s="717">
        <f>2155*J1145</f>
        <v>181943.57142857142</v>
      </c>
    </row>
    <row r="1165" spans="1:10" x14ac:dyDescent="0.25">
      <c r="A1165" s="633" t="s">
        <v>32</v>
      </c>
      <c r="B1165" s="453">
        <f t="shared" ref="B1165:J1165" si="630">B1163+B1164</f>
        <v>3273275.8620689656</v>
      </c>
      <c r="C1165" s="39">
        <f t="shared" si="630"/>
        <v>3317155.1724137934</v>
      </c>
      <c r="D1165" s="39">
        <f t="shared" si="630"/>
        <v>4013448.2758620693</v>
      </c>
      <c r="E1165" s="39">
        <f t="shared" si="630"/>
        <v>4793534.4827586208</v>
      </c>
      <c r="F1165" s="39">
        <f t="shared" si="630"/>
        <v>6373879.3103448283</v>
      </c>
      <c r="G1165" s="39">
        <f t="shared" si="630"/>
        <v>5079913.793103449</v>
      </c>
      <c r="H1165" s="39">
        <f t="shared" si="630"/>
        <v>5018534.4827586208</v>
      </c>
      <c r="I1165" s="39">
        <f t="shared" si="630"/>
        <v>31869741.379310351</v>
      </c>
      <c r="J1165" s="718">
        <f t="shared" si="630"/>
        <v>4530953.1970443362</v>
      </c>
    </row>
    <row r="1166" spans="1:10" x14ac:dyDescent="0.25">
      <c r="A1166" s="622" t="s">
        <v>33</v>
      </c>
      <c r="B1166" s="454">
        <f t="shared" ref="B1166:J1166" si="631">B1165*16%</f>
        <v>523724.13793103449</v>
      </c>
      <c r="C1166" s="41">
        <f t="shared" si="631"/>
        <v>530744.82758620696</v>
      </c>
      <c r="D1166" s="41">
        <f t="shared" si="631"/>
        <v>642151.72413793113</v>
      </c>
      <c r="E1166" s="41">
        <f t="shared" si="631"/>
        <v>766965.51724137936</v>
      </c>
      <c r="F1166" s="41">
        <f t="shared" si="631"/>
        <v>1019820.6896551725</v>
      </c>
      <c r="G1166" s="41">
        <f t="shared" si="631"/>
        <v>812786.20689655188</v>
      </c>
      <c r="H1166" s="41">
        <f t="shared" si="631"/>
        <v>802965.51724137936</v>
      </c>
      <c r="I1166" s="41">
        <f t="shared" si="631"/>
        <v>5099158.6206896566</v>
      </c>
      <c r="J1166" s="725">
        <f t="shared" si="631"/>
        <v>724952.51152709383</v>
      </c>
    </row>
    <row r="1167" spans="1:10" ht="15.75" thickBot="1" x14ac:dyDescent="0.3">
      <c r="A1167" s="636" t="s">
        <v>34</v>
      </c>
      <c r="B1167" s="637">
        <f t="shared" ref="B1167:I1167" si="632">B1165+B1166</f>
        <v>3797000</v>
      </c>
      <c r="C1167" s="686">
        <f t="shared" si="632"/>
        <v>3847900.0000000005</v>
      </c>
      <c r="D1167" s="686">
        <f t="shared" si="632"/>
        <v>4655600</v>
      </c>
      <c r="E1167" s="686">
        <f t="shared" si="632"/>
        <v>5560500</v>
      </c>
      <c r="F1167" s="686">
        <f t="shared" si="632"/>
        <v>7393700.0000000009</v>
      </c>
      <c r="G1167" s="686">
        <f t="shared" si="632"/>
        <v>5892700.0000000009</v>
      </c>
      <c r="H1167" s="686">
        <f t="shared" si="632"/>
        <v>5821500</v>
      </c>
      <c r="I1167" s="686">
        <f t="shared" si="632"/>
        <v>36968900.000000007</v>
      </c>
      <c r="J1167" s="720">
        <f>+$I1167/7</f>
        <v>5281271.42857143</v>
      </c>
    </row>
    <row r="1168" spans="1:10" ht="15.75" thickBot="1" x14ac:dyDescent="0.3">
      <c r="I1168" s="89"/>
    </row>
    <row r="1169" spans="1:10" ht="27" thickBot="1" x14ac:dyDescent="0.3">
      <c r="A1169" s="85"/>
      <c r="B1169" s="1002" t="s">
        <v>384</v>
      </c>
      <c r="C1169" s="1002"/>
      <c r="D1169" s="1002"/>
      <c r="E1169" s="1002"/>
      <c r="F1169" s="1002"/>
      <c r="G1169" s="1002"/>
      <c r="H1169" s="1002"/>
      <c r="I1169" s="1002"/>
    </row>
    <row r="1170" spans="1:10" ht="15.75" x14ac:dyDescent="0.25">
      <c r="A1170" s="614" t="s">
        <v>2</v>
      </c>
      <c r="B1170" s="706" t="s">
        <v>329</v>
      </c>
      <c r="C1170" s="641" t="s">
        <v>330</v>
      </c>
      <c r="D1170" s="641" t="s">
        <v>331</v>
      </c>
      <c r="E1170" s="641" t="s">
        <v>332</v>
      </c>
      <c r="F1170" s="641" t="s">
        <v>333</v>
      </c>
      <c r="G1170" s="641" t="s">
        <v>334</v>
      </c>
      <c r="H1170" s="641" t="s">
        <v>335</v>
      </c>
      <c r="I1170" s="618" t="s">
        <v>10</v>
      </c>
      <c r="J1170" s="711" t="s">
        <v>77</v>
      </c>
    </row>
    <row r="1171" spans="1:10" x14ac:dyDescent="0.25">
      <c r="A1171" s="620" t="s">
        <v>11</v>
      </c>
      <c r="B1171" s="433">
        <f>74+48+9</f>
        <v>131</v>
      </c>
      <c r="C1171" s="75">
        <f>62+32+10</f>
        <v>104</v>
      </c>
      <c r="D1171" s="75">
        <f>98+68+21</f>
        <v>187</v>
      </c>
      <c r="E1171" s="75">
        <f>109+74+35</f>
        <v>218</v>
      </c>
      <c r="F1171" s="75">
        <f>109+65+19</f>
        <v>193</v>
      </c>
      <c r="G1171" s="75">
        <f>116+80+21</f>
        <v>217</v>
      </c>
      <c r="H1171" s="75">
        <f>81+47+19</f>
        <v>147</v>
      </c>
      <c r="I1171" s="467">
        <f t="shared" ref="I1171:I1176" si="633">SUM(B1171:H1171)</f>
        <v>1197</v>
      </c>
      <c r="J1171" s="721">
        <f>+$I1171/7</f>
        <v>171</v>
      </c>
    </row>
    <row r="1172" spans="1:10" x14ac:dyDescent="0.25">
      <c r="A1172" s="622" t="s">
        <v>12</v>
      </c>
      <c r="B1172" s="233">
        <v>47</v>
      </c>
      <c r="C1172" s="13">
        <v>47</v>
      </c>
      <c r="D1172" s="13">
        <v>64</v>
      </c>
      <c r="E1172" s="13">
        <v>107</v>
      </c>
      <c r="F1172" s="13">
        <v>66</v>
      </c>
      <c r="G1172" s="320">
        <v>102</v>
      </c>
      <c r="H1172" s="13">
        <v>91</v>
      </c>
      <c r="I1172" s="11">
        <f t="shared" si="633"/>
        <v>524</v>
      </c>
      <c r="J1172" s="722">
        <f t="shared" ref="J1172:J1177" si="634">+$I1172/7</f>
        <v>74.857142857142861</v>
      </c>
    </row>
    <row r="1173" spans="1:10" x14ac:dyDescent="0.25">
      <c r="A1173" s="622" t="s">
        <v>13</v>
      </c>
      <c r="B1173" s="233">
        <v>1</v>
      </c>
      <c r="C1173" s="13">
        <v>0</v>
      </c>
      <c r="D1173" s="13">
        <v>3</v>
      </c>
      <c r="E1173" s="13">
        <v>7</v>
      </c>
      <c r="F1173" s="13">
        <v>1</v>
      </c>
      <c r="G1173" s="13">
        <v>1</v>
      </c>
      <c r="H1173" s="13">
        <v>3</v>
      </c>
      <c r="I1173" s="11">
        <f t="shared" si="633"/>
        <v>16</v>
      </c>
      <c r="J1173" s="722">
        <f t="shared" si="634"/>
        <v>2.2857142857142856</v>
      </c>
    </row>
    <row r="1174" spans="1:10" x14ac:dyDescent="0.25">
      <c r="A1174" s="622" t="s">
        <v>14</v>
      </c>
      <c r="B1174" s="233">
        <v>56</v>
      </c>
      <c r="C1174" s="13">
        <v>42</v>
      </c>
      <c r="D1174" s="13">
        <v>72</v>
      </c>
      <c r="E1174" s="13">
        <v>53</v>
      </c>
      <c r="F1174" s="13">
        <v>95</v>
      </c>
      <c r="G1174" s="13">
        <v>55</v>
      </c>
      <c r="H1174" s="13">
        <v>28</v>
      </c>
      <c r="I1174" s="11">
        <f t="shared" si="633"/>
        <v>401</v>
      </c>
      <c r="J1174" s="722">
        <f t="shared" si="634"/>
        <v>57.285714285714285</v>
      </c>
    </row>
    <row r="1175" spans="1:10" x14ac:dyDescent="0.25">
      <c r="A1175" s="622" t="s">
        <v>15</v>
      </c>
      <c r="B1175" s="233">
        <v>3</v>
      </c>
      <c r="C1175" s="13">
        <v>1</v>
      </c>
      <c r="D1175" s="13">
        <v>8</v>
      </c>
      <c r="E1175" s="13">
        <v>11</v>
      </c>
      <c r="F1175" s="13">
        <v>1</v>
      </c>
      <c r="G1175" s="13">
        <v>4</v>
      </c>
      <c r="H1175" s="13">
        <v>1</v>
      </c>
      <c r="I1175" s="11">
        <f t="shared" si="633"/>
        <v>29</v>
      </c>
      <c r="J1175" s="722">
        <f t="shared" si="634"/>
        <v>4.1428571428571432</v>
      </c>
    </row>
    <row r="1176" spans="1:10" x14ac:dyDescent="0.25">
      <c r="A1176" s="622" t="s">
        <v>16</v>
      </c>
      <c r="B1176" s="233">
        <v>0</v>
      </c>
      <c r="C1176" s="13">
        <v>0</v>
      </c>
      <c r="D1176" s="13">
        <v>1</v>
      </c>
      <c r="E1176" s="13">
        <v>1</v>
      </c>
      <c r="F1176" s="13">
        <v>0</v>
      </c>
      <c r="G1176" s="13">
        <v>0</v>
      </c>
      <c r="H1176" s="13">
        <v>0</v>
      </c>
      <c r="I1176" s="11">
        <f t="shared" si="633"/>
        <v>2</v>
      </c>
      <c r="J1176" s="722">
        <f t="shared" si="634"/>
        <v>0.2857142857142857</v>
      </c>
    </row>
    <row r="1177" spans="1:10" x14ac:dyDescent="0.25">
      <c r="A1177" s="624" t="s">
        <v>17</v>
      </c>
      <c r="B1177" s="102">
        <f t="shared" ref="B1177:I1177" si="635">SUM(B1172:B1176)</f>
        <v>107</v>
      </c>
      <c r="C1177" s="102">
        <f t="shared" si="635"/>
        <v>90</v>
      </c>
      <c r="D1177" s="102">
        <f t="shared" si="635"/>
        <v>148</v>
      </c>
      <c r="E1177" s="102">
        <f t="shared" si="635"/>
        <v>179</v>
      </c>
      <c r="F1177" s="102">
        <f t="shared" si="635"/>
        <v>163</v>
      </c>
      <c r="G1177" s="79">
        <f t="shared" si="635"/>
        <v>162</v>
      </c>
      <c r="H1177" s="79">
        <f t="shared" si="635"/>
        <v>123</v>
      </c>
      <c r="I1177" s="472">
        <f t="shared" si="635"/>
        <v>972</v>
      </c>
      <c r="J1177" s="723">
        <f t="shared" si="634"/>
        <v>138.85714285714286</v>
      </c>
    </row>
    <row r="1178" spans="1:10" x14ac:dyDescent="0.25">
      <c r="A1178" s="622" t="s">
        <v>18</v>
      </c>
      <c r="B1178" s="234">
        <v>0.51</v>
      </c>
      <c r="C1178" s="235">
        <v>0.64</v>
      </c>
      <c r="D1178" s="235">
        <v>0.5</v>
      </c>
      <c r="E1178" s="236">
        <v>0.65</v>
      </c>
      <c r="F1178" s="236">
        <v>0.46</v>
      </c>
      <c r="G1178" s="236">
        <v>0.65</v>
      </c>
      <c r="H1178" s="236">
        <v>0.79</v>
      </c>
      <c r="I1178" s="18">
        <f>I1185/I1190</f>
        <v>0.59745792829104416</v>
      </c>
      <c r="J1178" s="724">
        <f>J1185/J1190</f>
        <v>0.59745792829104416</v>
      </c>
    </row>
    <row r="1179" spans="1:10" x14ac:dyDescent="0.25">
      <c r="A1179" s="622" t="s">
        <v>19</v>
      </c>
      <c r="B1179" s="234">
        <v>0.01</v>
      </c>
      <c r="C1179" s="235">
        <v>0</v>
      </c>
      <c r="D1179" s="235">
        <v>0.02</v>
      </c>
      <c r="E1179" s="236">
        <v>0.05</v>
      </c>
      <c r="F1179" s="236">
        <v>0.01</v>
      </c>
      <c r="G1179" s="236">
        <v>0</v>
      </c>
      <c r="H1179" s="236">
        <v>0.03</v>
      </c>
      <c r="I1179" s="18">
        <f>I1186/I1190</f>
        <v>1.8251114811873276E-2</v>
      </c>
      <c r="J1179" s="724">
        <f>J1186/J1190</f>
        <v>1.8251114811873276E-2</v>
      </c>
    </row>
    <row r="1180" spans="1:10" x14ac:dyDescent="0.25">
      <c r="A1180" s="622" t="s">
        <v>20</v>
      </c>
      <c r="B1180" s="234">
        <v>0.45</v>
      </c>
      <c r="C1180" s="235">
        <v>0.35</v>
      </c>
      <c r="D1180" s="235">
        <v>0.44</v>
      </c>
      <c r="E1180" s="236">
        <v>0.23</v>
      </c>
      <c r="F1180" s="236">
        <v>0.52</v>
      </c>
      <c r="G1180" s="236">
        <v>0.33</v>
      </c>
      <c r="H1180" s="236">
        <v>0.18</v>
      </c>
      <c r="I1180" s="18">
        <f>I1187/I1190</f>
        <v>0.35603560362470899</v>
      </c>
      <c r="J1180" s="724">
        <f>J1187/J1190</f>
        <v>0.35603560362470899</v>
      </c>
    </row>
    <row r="1181" spans="1:10" x14ac:dyDescent="0.25">
      <c r="A1181" s="622" t="s">
        <v>21</v>
      </c>
      <c r="B1181" s="234">
        <v>0.03</v>
      </c>
      <c r="C1181" s="235">
        <v>0.01</v>
      </c>
      <c r="D1181" s="235">
        <v>0.04</v>
      </c>
      <c r="E1181" s="236">
        <v>0.06</v>
      </c>
      <c r="F1181" s="236">
        <v>0.01</v>
      </c>
      <c r="G1181" s="236">
        <v>0.02</v>
      </c>
      <c r="H1181" s="236">
        <v>0</v>
      </c>
      <c r="I1181" s="18">
        <f>I1188/I1190</f>
        <v>2.6467370467026918E-2</v>
      </c>
      <c r="J1181" s="724">
        <f>J1188/J1190</f>
        <v>2.6467370467026918E-2</v>
      </c>
    </row>
    <row r="1182" spans="1:10" x14ac:dyDescent="0.25">
      <c r="A1182" s="622" t="s">
        <v>22</v>
      </c>
      <c r="B1182" s="234">
        <v>0</v>
      </c>
      <c r="C1182" s="235">
        <v>0</v>
      </c>
      <c r="D1182" s="235">
        <v>0</v>
      </c>
      <c r="E1182" s="236">
        <v>0.01</v>
      </c>
      <c r="F1182" s="236">
        <v>0</v>
      </c>
      <c r="G1182" s="236">
        <v>0</v>
      </c>
      <c r="H1182" s="236">
        <v>0</v>
      </c>
      <c r="I1182" s="18">
        <f>I1189/I1190</f>
        <v>1.7879828053468621E-3</v>
      </c>
      <c r="J1182" s="724">
        <f>J1189/J1190</f>
        <v>1.7879828053468621E-3</v>
      </c>
    </row>
    <row r="1183" spans="1:10" x14ac:dyDescent="0.25">
      <c r="A1183" s="627" t="s">
        <v>23</v>
      </c>
      <c r="B1183" s="450">
        <f t="shared" ref="B1183:J1183" si="636">B1194/B1177</f>
        <v>32964.485981308419</v>
      </c>
      <c r="C1183" s="130">
        <f t="shared" si="636"/>
        <v>33992.222222222219</v>
      </c>
      <c r="D1183" s="130">
        <f t="shared" si="636"/>
        <v>34800.675675675673</v>
      </c>
      <c r="E1183" s="130">
        <f t="shared" si="636"/>
        <v>33551.396648044698</v>
      </c>
      <c r="F1183" s="130">
        <f t="shared" si="636"/>
        <v>32000</v>
      </c>
      <c r="G1183" s="130">
        <f t="shared" si="636"/>
        <v>39415.432098765436</v>
      </c>
      <c r="H1183" s="130">
        <f t="shared" si="636"/>
        <v>32819.512195121955</v>
      </c>
      <c r="I1183" s="130">
        <f t="shared" si="636"/>
        <v>34342.386831275719</v>
      </c>
      <c r="J1183" s="685">
        <f t="shared" si="636"/>
        <v>34342.386831275711</v>
      </c>
    </row>
    <row r="1184" spans="1:10" x14ac:dyDescent="0.25">
      <c r="A1184" s="627" t="s">
        <v>24</v>
      </c>
      <c r="B1184" s="450">
        <f t="shared" ref="B1184:J1184" si="637">B1194/B1171</f>
        <v>26925.19083969466</v>
      </c>
      <c r="C1184" s="130">
        <f t="shared" si="637"/>
        <v>29416.346153846152</v>
      </c>
      <c r="D1184" s="130">
        <f t="shared" si="637"/>
        <v>27542.780748663103</v>
      </c>
      <c r="E1184" s="130">
        <f t="shared" si="637"/>
        <v>27549.082568807346</v>
      </c>
      <c r="F1184" s="130">
        <f t="shared" si="637"/>
        <v>27025.906735751294</v>
      </c>
      <c r="G1184" s="130">
        <f t="shared" si="637"/>
        <v>29425.345622119814</v>
      </c>
      <c r="H1184" s="130">
        <f t="shared" si="637"/>
        <v>27461.224489795921</v>
      </c>
      <c r="I1184" s="130">
        <f t="shared" si="637"/>
        <v>27887.050960735167</v>
      </c>
      <c r="J1184" s="685">
        <f t="shared" si="637"/>
        <v>27887.050960735167</v>
      </c>
    </row>
    <row r="1185" spans="1:10" x14ac:dyDescent="0.25">
      <c r="A1185" s="622" t="s">
        <v>25</v>
      </c>
      <c r="B1185" s="451">
        <f t="shared" ref="B1185:H1185" si="638">B1190*B1178</f>
        <v>1492888.1441379313</v>
      </c>
      <c r="C1185" s="92">
        <f t="shared" si="638"/>
        <v>1615276.535172414</v>
      </c>
      <c r="D1185" s="92">
        <f t="shared" si="638"/>
        <v>2142795.1034482759</v>
      </c>
      <c r="E1185" s="92">
        <f t="shared" si="638"/>
        <v>3197369.2310344833</v>
      </c>
      <c r="F1185" s="92">
        <f t="shared" si="638"/>
        <v>1995124.7531034483</v>
      </c>
      <c r="G1185" s="92">
        <f t="shared" si="638"/>
        <v>3417921.6275862069</v>
      </c>
      <c r="H1185" s="92">
        <f t="shared" si="638"/>
        <v>2575657.5400000005</v>
      </c>
      <c r="I1185" s="92">
        <f>SUM(B1185:H1185)</f>
        <v>16437032.934482761</v>
      </c>
      <c r="J1185" s="715">
        <f t="shared" ref="J1185:J1190" si="639">+$I1185/7</f>
        <v>2348147.5620689658</v>
      </c>
    </row>
    <row r="1186" spans="1:10" x14ac:dyDescent="0.25">
      <c r="A1186" s="622" t="s">
        <v>26</v>
      </c>
      <c r="B1186" s="451">
        <f t="shared" ref="B1186:H1186" si="640">B1190*B1179</f>
        <v>29272.316551724143</v>
      </c>
      <c r="C1186" s="92">
        <f t="shared" si="640"/>
        <v>0</v>
      </c>
      <c r="D1186" s="92">
        <f t="shared" si="640"/>
        <v>85711.804137931045</v>
      </c>
      <c r="E1186" s="92">
        <f t="shared" si="640"/>
        <v>245951.47931034488</v>
      </c>
      <c r="F1186" s="92">
        <f t="shared" si="640"/>
        <v>43372.277241379314</v>
      </c>
      <c r="G1186" s="92">
        <f t="shared" si="640"/>
        <v>0</v>
      </c>
      <c r="H1186" s="92">
        <f t="shared" si="640"/>
        <v>97809.780000000013</v>
      </c>
      <c r="I1186" s="92">
        <f>SUM(B1186:H1186)</f>
        <v>502117.65724137943</v>
      </c>
      <c r="J1186" s="715">
        <f t="shared" si="639"/>
        <v>71731.093891625627</v>
      </c>
    </row>
    <row r="1187" spans="1:10" x14ac:dyDescent="0.25">
      <c r="A1187" s="622" t="s">
        <v>27</v>
      </c>
      <c r="B1187" s="451">
        <f t="shared" ref="B1187:H1187" si="641">B1190*B1180</f>
        <v>1317254.2448275865</v>
      </c>
      <c r="C1187" s="92">
        <f t="shared" si="641"/>
        <v>883354.35517241375</v>
      </c>
      <c r="D1187" s="92">
        <f t="shared" si="641"/>
        <v>1885659.6910344828</v>
      </c>
      <c r="E1187" s="92">
        <f t="shared" si="641"/>
        <v>1131376.8048275863</v>
      </c>
      <c r="F1187" s="92">
        <f t="shared" si="641"/>
        <v>2255358.4165517241</v>
      </c>
      <c r="G1187" s="92">
        <f t="shared" si="641"/>
        <v>1735252.5186206899</v>
      </c>
      <c r="H1187" s="92">
        <f t="shared" si="641"/>
        <v>586858.68000000005</v>
      </c>
      <c r="I1187" s="92">
        <f>SUM(B1187:H1187)</f>
        <v>9795114.7110344823</v>
      </c>
      <c r="J1187" s="715">
        <f t="shared" si="639"/>
        <v>1399302.1015763546</v>
      </c>
    </row>
    <row r="1188" spans="1:10" x14ac:dyDescent="0.25">
      <c r="A1188" s="622" t="s">
        <v>28</v>
      </c>
      <c r="B1188" s="451">
        <f t="shared" ref="B1188:H1188" si="642">B1190*B1181</f>
        <v>87816.949655172415</v>
      </c>
      <c r="C1188" s="92">
        <f t="shared" si="642"/>
        <v>25238.695862068969</v>
      </c>
      <c r="D1188" s="92">
        <f t="shared" si="642"/>
        <v>171423.60827586209</v>
      </c>
      <c r="E1188" s="92">
        <f t="shared" si="642"/>
        <v>295141.77517241379</v>
      </c>
      <c r="F1188" s="92">
        <f t="shared" si="642"/>
        <v>43372.277241379314</v>
      </c>
      <c r="G1188" s="92">
        <f t="shared" si="642"/>
        <v>105166.81931034483</v>
      </c>
      <c r="H1188" s="92">
        <f t="shared" si="642"/>
        <v>0</v>
      </c>
      <c r="I1188" s="92">
        <f>SUM(B1188:H1188)</f>
        <v>728160.12551724154</v>
      </c>
      <c r="J1188" s="715">
        <f t="shared" si="639"/>
        <v>104022.87507389164</v>
      </c>
    </row>
    <row r="1189" spans="1:10" x14ac:dyDescent="0.25">
      <c r="A1189" s="622" t="s">
        <v>29</v>
      </c>
      <c r="B1189" s="451">
        <f t="shared" ref="B1189:H1189" si="643">B1190*B1182</f>
        <v>0</v>
      </c>
      <c r="C1189" s="92">
        <f t="shared" si="643"/>
        <v>0</v>
      </c>
      <c r="D1189" s="92">
        <f t="shared" si="643"/>
        <v>0</v>
      </c>
      <c r="E1189" s="92">
        <f t="shared" si="643"/>
        <v>49190.295862068975</v>
      </c>
      <c r="F1189" s="92">
        <f t="shared" si="643"/>
        <v>0</v>
      </c>
      <c r="G1189" s="92">
        <f t="shared" si="643"/>
        <v>0</v>
      </c>
      <c r="H1189" s="92">
        <f t="shared" si="643"/>
        <v>0</v>
      </c>
      <c r="I1189" s="92">
        <f>SUM(B1189:H1189)</f>
        <v>49190.295862068975</v>
      </c>
      <c r="J1189" s="715">
        <f t="shared" si="639"/>
        <v>7027.1851231527107</v>
      </c>
    </row>
    <row r="1190" spans="1:10" x14ac:dyDescent="0.25">
      <c r="A1190" s="630" t="s">
        <v>30</v>
      </c>
      <c r="B1190" s="237">
        <f>(3527200/1.16)-B1191</f>
        <v>2927231.6551724141</v>
      </c>
      <c r="C1190" s="237">
        <f>(3059300/1.16)-C1191</f>
        <v>2523869.5862068967</v>
      </c>
      <c r="D1190" s="237">
        <f>(5150500/1.16)-D1191</f>
        <v>4285590.2068965519</v>
      </c>
      <c r="E1190" s="237">
        <f>(6005700/1.16)-E1191</f>
        <v>4919029.5862068972</v>
      </c>
      <c r="F1190" s="237">
        <f>(5216000/1.16)-F1191</f>
        <v>4337227.7241379311</v>
      </c>
      <c r="G1190" s="237">
        <f>(6385300/1.16)-G1191</f>
        <v>5258340.9655172415</v>
      </c>
      <c r="H1190" s="237">
        <f>(4036800/1.16)-H1191</f>
        <v>3260326.0000000005</v>
      </c>
      <c r="I1190" s="91">
        <f>SUM(I1185:I1189)</f>
        <v>27511615.724137928</v>
      </c>
      <c r="J1190" s="716">
        <f t="shared" si="639"/>
        <v>3930230.8177339896</v>
      </c>
    </row>
    <row r="1191" spans="1:10" x14ac:dyDescent="0.25">
      <c r="A1191" s="622" t="s">
        <v>31</v>
      </c>
      <c r="B1191" s="452">
        <f t="shared" ref="B1191:H1191" si="644">2414*B1172</f>
        <v>113458</v>
      </c>
      <c r="C1191" s="94">
        <f t="shared" si="644"/>
        <v>113458</v>
      </c>
      <c r="D1191" s="94">
        <f t="shared" si="644"/>
        <v>154496</v>
      </c>
      <c r="E1191" s="94">
        <f t="shared" si="644"/>
        <v>258298</v>
      </c>
      <c r="F1191" s="94">
        <f t="shared" si="644"/>
        <v>159324</v>
      </c>
      <c r="G1191" s="94">
        <f t="shared" si="644"/>
        <v>246228</v>
      </c>
      <c r="H1191" s="94">
        <f t="shared" si="644"/>
        <v>219674</v>
      </c>
      <c r="I1191" s="94">
        <f>I1172*2414</f>
        <v>1264936</v>
      </c>
      <c r="J1191" s="717">
        <f>2155*J1172</f>
        <v>161317.14285714287</v>
      </c>
    </row>
    <row r="1192" spans="1:10" x14ac:dyDescent="0.25">
      <c r="A1192" s="633" t="s">
        <v>32</v>
      </c>
      <c r="B1192" s="453">
        <f t="shared" ref="B1192:J1192" si="645">B1190+B1191</f>
        <v>3040689.6551724141</v>
      </c>
      <c r="C1192" s="39">
        <f t="shared" si="645"/>
        <v>2637327.5862068967</v>
      </c>
      <c r="D1192" s="39">
        <f t="shared" si="645"/>
        <v>4440086.2068965519</v>
      </c>
      <c r="E1192" s="39">
        <f t="shared" si="645"/>
        <v>5177327.5862068972</v>
      </c>
      <c r="F1192" s="39">
        <f t="shared" si="645"/>
        <v>4496551.7241379311</v>
      </c>
      <c r="G1192" s="39">
        <f t="shared" si="645"/>
        <v>5504568.9655172415</v>
      </c>
      <c r="H1192" s="39">
        <f t="shared" si="645"/>
        <v>3480000.0000000005</v>
      </c>
      <c r="I1192" s="39">
        <f t="shared" si="645"/>
        <v>28776551.724137928</v>
      </c>
      <c r="J1192" s="718">
        <f t="shared" si="645"/>
        <v>4091547.9605911323</v>
      </c>
    </row>
    <row r="1193" spans="1:10" x14ac:dyDescent="0.25">
      <c r="A1193" s="622" t="s">
        <v>33</v>
      </c>
      <c r="B1193" s="454">
        <f t="shared" ref="B1193:J1193" si="646">B1192*16%</f>
        <v>486510.34482758626</v>
      </c>
      <c r="C1193" s="41">
        <f t="shared" si="646"/>
        <v>421972.41379310348</v>
      </c>
      <c r="D1193" s="41">
        <f t="shared" si="646"/>
        <v>710413.79310344835</v>
      </c>
      <c r="E1193" s="41">
        <f t="shared" si="646"/>
        <v>828372.41379310354</v>
      </c>
      <c r="F1193" s="41">
        <f t="shared" si="646"/>
        <v>719448.27586206899</v>
      </c>
      <c r="G1193" s="41">
        <f t="shared" si="646"/>
        <v>880731.03448275861</v>
      </c>
      <c r="H1193" s="41">
        <f t="shared" si="646"/>
        <v>556800.00000000012</v>
      </c>
      <c r="I1193" s="41">
        <f t="shared" si="646"/>
        <v>4604248.2758620689</v>
      </c>
      <c r="J1193" s="725">
        <f t="shared" si="646"/>
        <v>654647.67369458114</v>
      </c>
    </row>
    <row r="1194" spans="1:10" ht="15.75" thickBot="1" x14ac:dyDescent="0.3">
      <c r="A1194" s="636" t="s">
        <v>34</v>
      </c>
      <c r="B1194" s="637">
        <f t="shared" ref="B1194:I1194" si="647">B1192+B1193</f>
        <v>3527200.0000000005</v>
      </c>
      <c r="C1194" s="686">
        <f t="shared" si="647"/>
        <v>3059300</v>
      </c>
      <c r="D1194" s="686">
        <f t="shared" si="647"/>
        <v>5150500</v>
      </c>
      <c r="E1194" s="686">
        <f t="shared" si="647"/>
        <v>6005700.0000000009</v>
      </c>
      <c r="F1194" s="686">
        <f t="shared" si="647"/>
        <v>5216000</v>
      </c>
      <c r="G1194" s="686">
        <f t="shared" si="647"/>
        <v>6385300</v>
      </c>
      <c r="H1194" s="686">
        <f t="shared" si="647"/>
        <v>4036800.0000000005</v>
      </c>
      <c r="I1194" s="686">
        <f t="shared" si="647"/>
        <v>33380799.999999996</v>
      </c>
      <c r="J1194" s="720">
        <f>+$I1194/7</f>
        <v>4768685.7142857136</v>
      </c>
    </row>
    <row r="1195" spans="1:10" ht="15.75" thickBot="1" x14ac:dyDescent="0.3">
      <c r="I1195" s="89"/>
    </row>
    <row r="1196" spans="1:10" ht="27" thickBot="1" x14ac:dyDescent="0.3">
      <c r="A1196" s="85"/>
      <c r="B1196" s="1002" t="s">
        <v>385</v>
      </c>
      <c r="C1196" s="1002"/>
      <c r="D1196" s="1002"/>
      <c r="E1196" s="1002"/>
      <c r="F1196" s="1002"/>
      <c r="G1196" s="1002"/>
      <c r="H1196" s="1002"/>
      <c r="I1196" s="1002"/>
    </row>
    <row r="1197" spans="1:10" ht="15.75" x14ac:dyDescent="0.25">
      <c r="A1197" s="614" t="s">
        <v>2</v>
      </c>
      <c r="B1197" s="706" t="s">
        <v>337</v>
      </c>
      <c r="C1197" s="641" t="s">
        <v>338</v>
      </c>
      <c r="D1197" s="641" t="s">
        <v>339</v>
      </c>
      <c r="E1197" s="641" t="s">
        <v>340</v>
      </c>
      <c r="F1197" s="641" t="s">
        <v>341</v>
      </c>
      <c r="G1197" s="641" t="s">
        <v>342</v>
      </c>
      <c r="H1197" s="641" t="s">
        <v>343</v>
      </c>
      <c r="I1197" s="618" t="s">
        <v>10</v>
      </c>
      <c r="J1197" s="711" t="s">
        <v>77</v>
      </c>
    </row>
    <row r="1198" spans="1:10" x14ac:dyDescent="0.25">
      <c r="A1198" s="620" t="s">
        <v>11</v>
      </c>
      <c r="B1198" s="433">
        <f>65+26+12</f>
        <v>103</v>
      </c>
      <c r="C1198" s="75">
        <f>69+28+7</f>
        <v>104</v>
      </c>
      <c r="D1198" s="75">
        <f>74+49+20</f>
        <v>143</v>
      </c>
      <c r="E1198" s="75">
        <f>187+68+34</f>
        <v>289</v>
      </c>
      <c r="F1198" s="75">
        <f>138+76+23</f>
        <v>237</v>
      </c>
      <c r="G1198" s="75">
        <f>94+58+19</f>
        <v>171</v>
      </c>
      <c r="H1198" s="75">
        <f>84+57+24</f>
        <v>165</v>
      </c>
      <c r="I1198" s="467">
        <f t="shared" ref="I1198:I1203" si="648">SUM(B1198:H1198)</f>
        <v>1212</v>
      </c>
      <c r="J1198" s="721">
        <f>+$I1198/7</f>
        <v>173.14285714285714</v>
      </c>
    </row>
    <row r="1199" spans="1:10" x14ac:dyDescent="0.25">
      <c r="A1199" s="622" t="s">
        <v>12</v>
      </c>
      <c r="B1199" s="233">
        <v>37</v>
      </c>
      <c r="C1199" s="13">
        <v>50</v>
      </c>
      <c r="D1199" s="13">
        <v>65</v>
      </c>
      <c r="E1199" s="13">
        <v>141</v>
      </c>
      <c r="F1199" s="13">
        <v>94</v>
      </c>
      <c r="G1199" s="320">
        <v>85</v>
      </c>
      <c r="H1199" s="13">
        <v>100</v>
      </c>
      <c r="I1199" s="11">
        <f t="shared" si="648"/>
        <v>572</v>
      </c>
      <c r="J1199" s="722">
        <f t="shared" ref="J1199:J1204" si="649">+$I1199/7</f>
        <v>81.714285714285708</v>
      </c>
    </row>
    <row r="1200" spans="1:10" x14ac:dyDescent="0.25">
      <c r="A1200" s="622" t="s">
        <v>13</v>
      </c>
      <c r="B1200" s="233">
        <v>3</v>
      </c>
      <c r="C1200" s="13">
        <v>1</v>
      </c>
      <c r="D1200" s="13">
        <v>2</v>
      </c>
      <c r="E1200" s="13">
        <v>2</v>
      </c>
      <c r="F1200" s="13">
        <v>1</v>
      </c>
      <c r="G1200" s="13">
        <v>2</v>
      </c>
      <c r="H1200" s="13">
        <v>2</v>
      </c>
      <c r="I1200" s="11">
        <f t="shared" si="648"/>
        <v>13</v>
      </c>
      <c r="J1200" s="722">
        <f t="shared" si="649"/>
        <v>1.8571428571428572</v>
      </c>
    </row>
    <row r="1201" spans="1:10" x14ac:dyDescent="0.25">
      <c r="A1201" s="622" t="s">
        <v>14</v>
      </c>
      <c r="B1201" s="233">
        <v>43</v>
      </c>
      <c r="C1201" s="13">
        <v>36</v>
      </c>
      <c r="D1201" s="13">
        <v>48</v>
      </c>
      <c r="E1201" s="13">
        <v>70</v>
      </c>
      <c r="F1201" s="13">
        <v>89</v>
      </c>
      <c r="G1201" s="13">
        <v>45</v>
      </c>
      <c r="H1201" s="13">
        <v>42</v>
      </c>
      <c r="I1201" s="11">
        <f t="shared" si="648"/>
        <v>373</v>
      </c>
      <c r="J1201" s="722">
        <f t="shared" si="649"/>
        <v>53.285714285714285</v>
      </c>
    </row>
    <row r="1202" spans="1:10" x14ac:dyDescent="0.25">
      <c r="A1202" s="622" t="s">
        <v>15</v>
      </c>
      <c r="B1202" s="233">
        <v>0</v>
      </c>
      <c r="C1202" s="13">
        <v>2</v>
      </c>
      <c r="D1202" s="13">
        <v>0</v>
      </c>
      <c r="E1202" s="13">
        <v>0</v>
      </c>
      <c r="F1202" s="13">
        <v>1</v>
      </c>
      <c r="G1202" s="13">
        <v>2</v>
      </c>
      <c r="H1202" s="13">
        <v>3</v>
      </c>
      <c r="I1202" s="11">
        <f t="shared" si="648"/>
        <v>8</v>
      </c>
      <c r="J1202" s="722">
        <f t="shared" si="649"/>
        <v>1.1428571428571428</v>
      </c>
    </row>
    <row r="1203" spans="1:10" x14ac:dyDescent="0.25">
      <c r="A1203" s="622" t="s">
        <v>16</v>
      </c>
      <c r="B1203" s="233">
        <v>0</v>
      </c>
      <c r="C1203" s="13">
        <v>0</v>
      </c>
      <c r="D1203" s="13">
        <v>0</v>
      </c>
      <c r="E1203" s="13">
        <v>0</v>
      </c>
      <c r="F1203" s="13">
        <v>1</v>
      </c>
      <c r="G1203" s="13">
        <v>0</v>
      </c>
      <c r="H1203" s="13">
        <v>1</v>
      </c>
      <c r="I1203" s="11">
        <f t="shared" si="648"/>
        <v>2</v>
      </c>
      <c r="J1203" s="722">
        <f t="shared" si="649"/>
        <v>0.2857142857142857</v>
      </c>
    </row>
    <row r="1204" spans="1:10" x14ac:dyDescent="0.25">
      <c r="A1204" s="624" t="s">
        <v>17</v>
      </c>
      <c r="B1204" s="102">
        <f t="shared" ref="B1204:I1204" si="650">SUM(B1199:B1203)</f>
        <v>83</v>
      </c>
      <c r="C1204" s="102">
        <f t="shared" si="650"/>
        <v>89</v>
      </c>
      <c r="D1204" s="102">
        <f t="shared" si="650"/>
        <v>115</v>
      </c>
      <c r="E1204" s="102">
        <f t="shared" si="650"/>
        <v>213</v>
      </c>
      <c r="F1204" s="102">
        <f t="shared" si="650"/>
        <v>186</v>
      </c>
      <c r="G1204" s="79">
        <f t="shared" si="650"/>
        <v>134</v>
      </c>
      <c r="H1204" s="79">
        <f t="shared" si="650"/>
        <v>148</v>
      </c>
      <c r="I1204" s="472">
        <f t="shared" si="650"/>
        <v>968</v>
      </c>
      <c r="J1204" s="723">
        <f t="shared" si="649"/>
        <v>138.28571428571428</v>
      </c>
    </row>
    <row r="1205" spans="1:10" x14ac:dyDescent="0.25">
      <c r="A1205" s="622" t="s">
        <v>18</v>
      </c>
      <c r="B1205" s="234">
        <v>0.47</v>
      </c>
      <c r="C1205" s="235">
        <v>0.65</v>
      </c>
      <c r="D1205" s="235">
        <v>0.67</v>
      </c>
      <c r="E1205" s="236">
        <v>0.76</v>
      </c>
      <c r="F1205" s="236">
        <v>0.55000000000000004</v>
      </c>
      <c r="G1205" s="236">
        <v>0.68</v>
      </c>
      <c r="H1205" s="236">
        <v>0.75</v>
      </c>
      <c r="I1205" s="18">
        <f>I1212/I1217</f>
        <v>0.66290516457281512</v>
      </c>
      <c r="J1205" s="724">
        <f>J1212/J1217</f>
        <v>0.66290516457281501</v>
      </c>
    </row>
    <row r="1206" spans="1:10" x14ac:dyDescent="0.25">
      <c r="A1206" s="622" t="s">
        <v>19</v>
      </c>
      <c r="B1206" s="234">
        <v>0.03</v>
      </c>
      <c r="C1206" s="235">
        <v>0.01</v>
      </c>
      <c r="D1206" s="235">
        <v>0.01</v>
      </c>
      <c r="E1206" s="236">
        <v>0</v>
      </c>
      <c r="F1206" s="236">
        <v>0</v>
      </c>
      <c r="G1206" s="236">
        <v>0.02</v>
      </c>
      <c r="H1206" s="236">
        <v>0.01</v>
      </c>
      <c r="I1206" s="18">
        <f>I1213/I1217</f>
        <v>8.6435907487991005E-3</v>
      </c>
      <c r="J1206" s="724">
        <f>J1213/J1217</f>
        <v>8.6435907487991005E-3</v>
      </c>
    </row>
    <row r="1207" spans="1:10" x14ac:dyDescent="0.25">
      <c r="A1207" s="622" t="s">
        <v>20</v>
      </c>
      <c r="B1207" s="234">
        <v>0.5</v>
      </c>
      <c r="C1207" s="235">
        <v>0.32</v>
      </c>
      <c r="D1207" s="235">
        <v>0.32</v>
      </c>
      <c r="E1207" s="236">
        <v>0.24</v>
      </c>
      <c r="F1207" s="236">
        <v>0.44</v>
      </c>
      <c r="G1207" s="236">
        <v>0.28999999999999998</v>
      </c>
      <c r="H1207" s="236">
        <v>0.2</v>
      </c>
      <c r="I1207" s="18">
        <f>I1214/I1217</f>
        <v>0.31757481151635303</v>
      </c>
      <c r="J1207" s="724">
        <f>J1214/J1217</f>
        <v>0.31757481151635297</v>
      </c>
    </row>
    <row r="1208" spans="1:10" x14ac:dyDescent="0.25">
      <c r="A1208" s="622" t="s">
        <v>21</v>
      </c>
      <c r="B1208" s="234">
        <v>0</v>
      </c>
      <c r="C1208" s="235">
        <v>0.02</v>
      </c>
      <c r="D1208" s="235">
        <v>0</v>
      </c>
      <c r="E1208" s="236">
        <v>0</v>
      </c>
      <c r="F1208" s="236">
        <v>0</v>
      </c>
      <c r="G1208" s="236">
        <v>0.01</v>
      </c>
      <c r="H1208" s="236">
        <v>0.03</v>
      </c>
      <c r="I1208" s="18">
        <f>I1215/I1217</f>
        <v>7.4193729444115954E-3</v>
      </c>
      <c r="J1208" s="724">
        <f>J1215/J1217</f>
        <v>7.4193729444115954E-3</v>
      </c>
    </row>
    <row r="1209" spans="1:10" x14ac:dyDescent="0.25">
      <c r="A1209" s="622" t="s">
        <v>22</v>
      </c>
      <c r="B1209" s="234">
        <v>0</v>
      </c>
      <c r="C1209" s="235">
        <v>0</v>
      </c>
      <c r="D1209" s="235">
        <v>0</v>
      </c>
      <c r="E1209" s="236">
        <v>0</v>
      </c>
      <c r="F1209" s="236">
        <v>0.01</v>
      </c>
      <c r="G1209" s="236">
        <v>0</v>
      </c>
      <c r="H1209" s="236">
        <v>0.01</v>
      </c>
      <c r="I1209" s="18">
        <f>I1216/I1217</f>
        <v>3.457060217621228E-3</v>
      </c>
      <c r="J1209" s="724">
        <f>J1216/J1217</f>
        <v>3.4570602176212275E-3</v>
      </c>
    </row>
    <row r="1210" spans="1:10" x14ac:dyDescent="0.25">
      <c r="A1210" s="627" t="s">
        <v>23</v>
      </c>
      <c r="B1210" s="450">
        <f t="shared" ref="B1210:J1210" si="651">B1221/B1204</f>
        <v>34096.385542168682</v>
      </c>
      <c r="C1210" s="130">
        <f t="shared" si="651"/>
        <v>31466.292134831459</v>
      </c>
      <c r="D1210" s="130">
        <f t="shared" si="651"/>
        <v>33771.304347826088</v>
      </c>
      <c r="E1210" s="130">
        <f t="shared" si="651"/>
        <v>39084.507042253521</v>
      </c>
      <c r="F1210" s="130">
        <f t="shared" si="651"/>
        <v>36506.989247311831</v>
      </c>
      <c r="G1210" s="130">
        <f t="shared" si="651"/>
        <v>35626.865671641797</v>
      </c>
      <c r="H1210" s="130">
        <f t="shared" si="651"/>
        <v>34741.216216216213</v>
      </c>
      <c r="I1210" s="130">
        <f t="shared" si="651"/>
        <v>35687.190082644629</v>
      </c>
      <c r="J1210" s="685">
        <f t="shared" si="651"/>
        <v>35687.190082644636</v>
      </c>
    </row>
    <row r="1211" spans="1:10" x14ac:dyDescent="0.25">
      <c r="A1211" s="627" t="s">
        <v>24</v>
      </c>
      <c r="B1211" s="450">
        <f t="shared" ref="B1211:J1211" si="652">B1221/B1198</f>
        <v>27475.72815533981</v>
      </c>
      <c r="C1211" s="130">
        <f t="shared" si="652"/>
        <v>26927.884615384617</v>
      </c>
      <c r="D1211" s="130">
        <f t="shared" si="652"/>
        <v>27158.741258741258</v>
      </c>
      <c r="E1211" s="130">
        <f t="shared" si="652"/>
        <v>28806.228373702423</v>
      </c>
      <c r="F1211" s="130">
        <f t="shared" si="652"/>
        <v>28651.054852320674</v>
      </c>
      <c r="G1211" s="130">
        <f t="shared" si="652"/>
        <v>27918.128654970766</v>
      </c>
      <c r="H1211" s="130">
        <f t="shared" si="652"/>
        <v>31161.81818181818</v>
      </c>
      <c r="I1211" s="130">
        <f t="shared" si="652"/>
        <v>28502.640264026402</v>
      </c>
      <c r="J1211" s="685">
        <f t="shared" si="652"/>
        <v>28502.640264026406</v>
      </c>
    </row>
    <row r="1212" spans="1:10" x14ac:dyDescent="0.25">
      <c r="A1212" s="622" t="s">
        <v>25</v>
      </c>
      <c r="B1212" s="451">
        <f t="shared" ref="B1212:H1212" si="653">B1217*B1205</f>
        <v>1104658.4710344828</v>
      </c>
      <c r="C1212" s="92">
        <f t="shared" si="653"/>
        <v>1490790.6896551724</v>
      </c>
      <c r="D1212" s="92">
        <f t="shared" si="653"/>
        <v>2138041.851724138</v>
      </c>
      <c r="E1212" s="92">
        <f t="shared" si="653"/>
        <v>5195626.1048275866</v>
      </c>
      <c r="F1212" s="92">
        <f t="shared" si="653"/>
        <v>3094734.9931034488</v>
      </c>
      <c r="G1212" s="92">
        <f t="shared" si="653"/>
        <v>2659022.5241379314</v>
      </c>
      <c r="H1212" s="92">
        <f t="shared" si="653"/>
        <v>3143325</v>
      </c>
      <c r="I1212" s="92">
        <f>SUM(B1212:H1212)</f>
        <v>18826199.634482756</v>
      </c>
      <c r="J1212" s="715">
        <f t="shared" ref="J1212:J1217" si="654">+$I1212/7</f>
        <v>2689457.0906403936</v>
      </c>
    </row>
    <row r="1213" spans="1:10" x14ac:dyDescent="0.25">
      <c r="A1213" s="622" t="s">
        <v>26</v>
      </c>
      <c r="B1213" s="451">
        <f t="shared" ref="B1213:H1213" si="655">B1217*B1206</f>
        <v>70510.115172413804</v>
      </c>
      <c r="C1213" s="92">
        <f t="shared" si="655"/>
        <v>22935.241379310344</v>
      </c>
      <c r="D1213" s="92">
        <f t="shared" si="655"/>
        <v>31911.072413793103</v>
      </c>
      <c r="E1213" s="92">
        <f t="shared" si="655"/>
        <v>0</v>
      </c>
      <c r="F1213" s="92">
        <f t="shared" si="655"/>
        <v>0</v>
      </c>
      <c r="G1213" s="92">
        <f t="shared" si="655"/>
        <v>78206.544827586215</v>
      </c>
      <c r="H1213" s="92">
        <f t="shared" si="655"/>
        <v>41911</v>
      </c>
      <c r="I1213" s="92">
        <f>SUM(B1213:H1213)</f>
        <v>245473.97379310348</v>
      </c>
      <c r="J1213" s="715">
        <f t="shared" si="654"/>
        <v>35067.710541871922</v>
      </c>
    </row>
    <row r="1214" spans="1:10" x14ac:dyDescent="0.25">
      <c r="A1214" s="622" t="s">
        <v>27</v>
      </c>
      <c r="B1214" s="451">
        <f t="shared" ref="B1214:H1214" si="656">B1217*B1207</f>
        <v>1175168.5862068967</v>
      </c>
      <c r="C1214" s="92">
        <f t="shared" si="656"/>
        <v>733927.72413793101</v>
      </c>
      <c r="D1214" s="92">
        <f t="shared" si="656"/>
        <v>1021154.3172413793</v>
      </c>
      <c r="E1214" s="92">
        <f t="shared" si="656"/>
        <v>1640724.0331034483</v>
      </c>
      <c r="F1214" s="92">
        <f t="shared" si="656"/>
        <v>2475787.9944827589</v>
      </c>
      <c r="G1214" s="92">
        <f t="shared" si="656"/>
        <v>1133994.9000000001</v>
      </c>
      <c r="H1214" s="92">
        <f t="shared" si="656"/>
        <v>838220</v>
      </c>
      <c r="I1214" s="92">
        <f>SUM(B1214:H1214)</f>
        <v>9018977.5551724155</v>
      </c>
      <c r="J1214" s="715">
        <f t="shared" si="654"/>
        <v>1288425.3650246307</v>
      </c>
    </row>
    <row r="1215" spans="1:10" x14ac:dyDescent="0.25">
      <c r="A1215" s="622" t="s">
        <v>28</v>
      </c>
      <c r="B1215" s="451">
        <f t="shared" ref="B1215:H1215" si="657">B1217*B1208</f>
        <v>0</v>
      </c>
      <c r="C1215" s="92">
        <f t="shared" si="657"/>
        <v>45870.482758620688</v>
      </c>
      <c r="D1215" s="92">
        <f t="shared" si="657"/>
        <v>0</v>
      </c>
      <c r="E1215" s="92">
        <f t="shared" si="657"/>
        <v>0</v>
      </c>
      <c r="F1215" s="92">
        <f t="shared" si="657"/>
        <v>0</v>
      </c>
      <c r="G1215" s="92">
        <f t="shared" si="657"/>
        <v>39103.272413793107</v>
      </c>
      <c r="H1215" s="92">
        <f t="shared" si="657"/>
        <v>125733</v>
      </c>
      <c r="I1215" s="92">
        <f>SUM(B1215:H1215)</f>
        <v>210706.7551724138</v>
      </c>
      <c r="J1215" s="715">
        <f t="shared" si="654"/>
        <v>30100.965024630543</v>
      </c>
    </row>
    <row r="1216" spans="1:10" x14ac:dyDescent="0.25">
      <c r="A1216" s="622" t="s">
        <v>29</v>
      </c>
      <c r="B1216" s="451">
        <f t="shared" ref="B1216:H1216" si="658">B1217*B1209</f>
        <v>0</v>
      </c>
      <c r="C1216" s="92">
        <f t="shared" si="658"/>
        <v>0</v>
      </c>
      <c r="D1216" s="92">
        <f t="shared" si="658"/>
        <v>0</v>
      </c>
      <c r="E1216" s="92">
        <f t="shared" si="658"/>
        <v>0</v>
      </c>
      <c r="F1216" s="92">
        <f t="shared" si="658"/>
        <v>56267.908965517243</v>
      </c>
      <c r="G1216" s="92">
        <f t="shared" si="658"/>
        <v>0</v>
      </c>
      <c r="H1216" s="92">
        <f t="shared" si="658"/>
        <v>41911</v>
      </c>
      <c r="I1216" s="92">
        <f>SUM(B1216:H1216)</f>
        <v>98178.908965517243</v>
      </c>
      <c r="J1216" s="715">
        <f t="shared" si="654"/>
        <v>14025.55842364532</v>
      </c>
    </row>
    <row r="1217" spans="1:10" x14ac:dyDescent="0.25">
      <c r="A1217" s="630" t="s">
        <v>30</v>
      </c>
      <c r="B1217" s="237">
        <f>(2830000/1.16)-B1218</f>
        <v>2350337.1724137934</v>
      </c>
      <c r="C1217" s="237">
        <f>(2800500/1.16)-C1218</f>
        <v>2293524.1379310344</v>
      </c>
      <c r="D1217" s="237">
        <f>(3883700/1.16)-D1218</f>
        <v>3191107.2413793104</v>
      </c>
      <c r="E1217" s="237">
        <f>(8325000/1.16)-E1218</f>
        <v>6836350.1379310349</v>
      </c>
      <c r="F1217" s="237">
        <f>(6790300/1.16)-F1218</f>
        <v>5626790.8965517245</v>
      </c>
      <c r="G1217" s="237">
        <f>(4774000/1.16)-G1218</f>
        <v>3910327.2413793108</v>
      </c>
      <c r="H1217" s="237">
        <f>(5141700/1.16)-H1218</f>
        <v>4191100</v>
      </c>
      <c r="I1217" s="91">
        <f>SUM(I1212:I1216)</f>
        <v>28399536.827586204</v>
      </c>
      <c r="J1217" s="716">
        <f t="shared" si="654"/>
        <v>4057076.6896551722</v>
      </c>
    </row>
    <row r="1218" spans="1:10" x14ac:dyDescent="0.25">
      <c r="A1218" s="622" t="s">
        <v>31</v>
      </c>
      <c r="B1218" s="452">
        <f t="shared" ref="B1218:H1218" si="659">2414*B1199</f>
        <v>89318</v>
      </c>
      <c r="C1218" s="94">
        <f t="shared" si="659"/>
        <v>120700</v>
      </c>
      <c r="D1218" s="94">
        <f t="shared" si="659"/>
        <v>156910</v>
      </c>
      <c r="E1218" s="94">
        <f t="shared" si="659"/>
        <v>340374</v>
      </c>
      <c r="F1218" s="94">
        <f t="shared" si="659"/>
        <v>226916</v>
      </c>
      <c r="G1218" s="94">
        <f t="shared" si="659"/>
        <v>205190</v>
      </c>
      <c r="H1218" s="94">
        <f t="shared" si="659"/>
        <v>241400</v>
      </c>
      <c r="I1218" s="94">
        <f>I1199*2414</f>
        <v>1380808</v>
      </c>
      <c r="J1218" s="717">
        <f>2155*J1199</f>
        <v>176094.28571428571</v>
      </c>
    </row>
    <row r="1219" spans="1:10" x14ac:dyDescent="0.25">
      <c r="A1219" s="633" t="s">
        <v>32</v>
      </c>
      <c r="B1219" s="453">
        <f t="shared" ref="B1219:J1219" si="660">B1217+B1218</f>
        <v>2439655.1724137934</v>
      </c>
      <c r="C1219" s="39">
        <f t="shared" si="660"/>
        <v>2414224.1379310344</v>
      </c>
      <c r="D1219" s="39">
        <f t="shared" si="660"/>
        <v>3348017.2413793104</v>
      </c>
      <c r="E1219" s="39">
        <f t="shared" si="660"/>
        <v>7176724.1379310349</v>
      </c>
      <c r="F1219" s="39">
        <f t="shared" si="660"/>
        <v>5853706.8965517245</v>
      </c>
      <c r="G1219" s="39">
        <f t="shared" si="660"/>
        <v>4115517.2413793108</v>
      </c>
      <c r="H1219" s="39">
        <f t="shared" si="660"/>
        <v>4432500</v>
      </c>
      <c r="I1219" s="39">
        <f t="shared" si="660"/>
        <v>29780344.827586204</v>
      </c>
      <c r="J1219" s="718">
        <f t="shared" si="660"/>
        <v>4233170.9753694581</v>
      </c>
    </row>
    <row r="1220" spans="1:10" x14ac:dyDescent="0.25">
      <c r="A1220" s="622" t="s">
        <v>33</v>
      </c>
      <c r="B1220" s="454">
        <f t="shared" ref="B1220:J1220" si="661">B1219*16%</f>
        <v>390344.82758620696</v>
      </c>
      <c r="C1220" s="41">
        <f t="shared" si="661"/>
        <v>386275.86206896551</v>
      </c>
      <c r="D1220" s="41">
        <f t="shared" si="661"/>
        <v>535682.75862068962</v>
      </c>
      <c r="E1220" s="41">
        <f t="shared" si="661"/>
        <v>1148275.8620689656</v>
      </c>
      <c r="F1220" s="41">
        <f t="shared" si="661"/>
        <v>936593.10344827594</v>
      </c>
      <c r="G1220" s="41">
        <f t="shared" si="661"/>
        <v>658482.75862068974</v>
      </c>
      <c r="H1220" s="41">
        <f t="shared" si="661"/>
        <v>709200</v>
      </c>
      <c r="I1220" s="41">
        <f t="shared" si="661"/>
        <v>4764855.1724137925</v>
      </c>
      <c r="J1220" s="725">
        <f t="shared" si="661"/>
        <v>677307.35605911328</v>
      </c>
    </row>
    <row r="1221" spans="1:10" ht="15.75" thickBot="1" x14ac:dyDescent="0.3">
      <c r="A1221" s="636" t="s">
        <v>34</v>
      </c>
      <c r="B1221" s="637">
        <f t="shared" ref="B1221:I1221" si="662">B1219+B1220</f>
        <v>2830000.0000000005</v>
      </c>
      <c r="C1221" s="686">
        <f t="shared" si="662"/>
        <v>2800500</v>
      </c>
      <c r="D1221" s="686">
        <f t="shared" si="662"/>
        <v>3883700</v>
      </c>
      <c r="E1221" s="686">
        <f t="shared" si="662"/>
        <v>8325000</v>
      </c>
      <c r="F1221" s="686">
        <f t="shared" si="662"/>
        <v>6790300</v>
      </c>
      <c r="G1221" s="686">
        <f t="shared" si="662"/>
        <v>4774000.0000000009</v>
      </c>
      <c r="H1221" s="686">
        <f t="shared" si="662"/>
        <v>5141700</v>
      </c>
      <c r="I1221" s="686">
        <f t="shared" si="662"/>
        <v>34545200</v>
      </c>
      <c r="J1221" s="720">
        <f>+$I1221/7</f>
        <v>4935028.5714285718</v>
      </c>
    </row>
    <row r="1222" spans="1:10" ht="15.75" thickBot="1" x14ac:dyDescent="0.3">
      <c r="I1222" s="89"/>
    </row>
    <row r="1223" spans="1:10" ht="27" thickBot="1" x14ac:dyDescent="0.3">
      <c r="A1223" s="85"/>
      <c r="B1223" s="1002" t="s">
        <v>386</v>
      </c>
      <c r="C1223" s="1002"/>
      <c r="D1223" s="1002"/>
      <c r="E1223" s="1002"/>
      <c r="F1223" s="1002"/>
      <c r="G1223" s="1002"/>
      <c r="H1223" s="1002"/>
      <c r="I1223" s="1002"/>
    </row>
    <row r="1224" spans="1:10" ht="15.75" x14ac:dyDescent="0.25">
      <c r="A1224" s="614" t="s">
        <v>2</v>
      </c>
      <c r="B1224" s="706" t="s">
        <v>345</v>
      </c>
      <c r="C1224" s="641" t="s">
        <v>346</v>
      </c>
      <c r="D1224" s="641" t="s">
        <v>347</v>
      </c>
      <c r="E1224" s="641" t="s">
        <v>348</v>
      </c>
      <c r="F1224" s="641" t="s">
        <v>349</v>
      </c>
      <c r="G1224" s="641" t="s">
        <v>350</v>
      </c>
      <c r="H1224" s="641" t="s">
        <v>351</v>
      </c>
      <c r="I1224" s="618" t="s">
        <v>10</v>
      </c>
      <c r="J1224" s="711" t="s">
        <v>77</v>
      </c>
    </row>
    <row r="1225" spans="1:10" x14ac:dyDescent="0.25">
      <c r="A1225" s="620" t="s">
        <v>11</v>
      </c>
      <c r="B1225" s="433">
        <f>92+38+11</f>
        <v>141</v>
      </c>
      <c r="C1225" s="75">
        <f>58+40+9</f>
        <v>107</v>
      </c>
      <c r="D1225" s="75">
        <f>85+56+16</f>
        <v>157</v>
      </c>
      <c r="E1225" s="75">
        <f>105+42+16</f>
        <v>163</v>
      </c>
      <c r="F1225" s="75">
        <f>97+54+22</f>
        <v>173</v>
      </c>
      <c r="G1225" s="75">
        <f>33+29+16</f>
        <v>78</v>
      </c>
      <c r="H1225" s="75">
        <f>73+46+8</f>
        <v>127</v>
      </c>
      <c r="I1225" s="467">
        <f t="shared" ref="I1225:I1230" si="663">SUM(B1225:H1225)</f>
        <v>946</v>
      </c>
      <c r="J1225" s="721">
        <f>+$I1225/7</f>
        <v>135.14285714285714</v>
      </c>
    </row>
    <row r="1226" spans="1:10" x14ac:dyDescent="0.25">
      <c r="A1226" s="622" t="s">
        <v>12</v>
      </c>
      <c r="B1226" s="233">
        <v>52</v>
      </c>
      <c r="C1226" s="13">
        <v>37</v>
      </c>
      <c r="D1226" s="13">
        <v>62</v>
      </c>
      <c r="E1226" s="13">
        <v>51</v>
      </c>
      <c r="F1226" s="13">
        <v>59</v>
      </c>
      <c r="G1226" s="320">
        <v>32</v>
      </c>
      <c r="H1226" s="13">
        <v>62</v>
      </c>
      <c r="I1226" s="11">
        <f t="shared" si="663"/>
        <v>355</v>
      </c>
      <c r="J1226" s="722">
        <f t="shared" ref="J1226:J1231" si="664">+$I1226/7</f>
        <v>50.714285714285715</v>
      </c>
    </row>
    <row r="1227" spans="1:10" x14ac:dyDescent="0.25">
      <c r="A1227" s="622" t="s">
        <v>13</v>
      </c>
      <c r="B1227" s="233">
        <v>0</v>
      </c>
      <c r="C1227" s="13">
        <v>2</v>
      </c>
      <c r="D1227" s="13">
        <v>3</v>
      </c>
      <c r="E1227" s="13">
        <v>1</v>
      </c>
      <c r="F1227" s="13">
        <v>2</v>
      </c>
      <c r="G1227" s="13">
        <v>3</v>
      </c>
      <c r="H1227" s="13">
        <v>3</v>
      </c>
      <c r="I1227" s="11">
        <f t="shared" si="663"/>
        <v>14</v>
      </c>
      <c r="J1227" s="722">
        <f t="shared" si="664"/>
        <v>2</v>
      </c>
    </row>
    <row r="1228" spans="1:10" x14ac:dyDescent="0.25">
      <c r="A1228" s="622" t="s">
        <v>14</v>
      </c>
      <c r="B1228" s="233">
        <v>46</v>
      </c>
      <c r="C1228" s="13">
        <v>50</v>
      </c>
      <c r="D1228" s="13">
        <v>54</v>
      </c>
      <c r="E1228" s="13">
        <v>56</v>
      </c>
      <c r="F1228" s="13">
        <v>56</v>
      </c>
      <c r="G1228" s="13">
        <v>24</v>
      </c>
      <c r="H1228" s="13">
        <v>43</v>
      </c>
      <c r="I1228" s="11">
        <f t="shared" si="663"/>
        <v>329</v>
      </c>
      <c r="J1228" s="722">
        <f t="shared" si="664"/>
        <v>47</v>
      </c>
    </row>
    <row r="1229" spans="1:10" x14ac:dyDescent="0.25">
      <c r="A1229" s="622" t="s">
        <v>15</v>
      </c>
      <c r="B1229" s="233">
        <v>1</v>
      </c>
      <c r="C1229" s="13">
        <v>3</v>
      </c>
      <c r="D1229" s="13">
        <v>3</v>
      </c>
      <c r="E1229" s="13">
        <v>4</v>
      </c>
      <c r="F1229" s="13">
        <v>7</v>
      </c>
      <c r="G1229" s="13">
        <v>0</v>
      </c>
      <c r="H1229" s="13">
        <v>0</v>
      </c>
      <c r="I1229" s="11">
        <f t="shared" si="663"/>
        <v>18</v>
      </c>
      <c r="J1229" s="722">
        <f t="shared" si="664"/>
        <v>2.5714285714285716</v>
      </c>
    </row>
    <row r="1230" spans="1:10" x14ac:dyDescent="0.25">
      <c r="A1230" s="622" t="s">
        <v>16</v>
      </c>
      <c r="B1230" s="233">
        <v>2</v>
      </c>
      <c r="C1230" s="13">
        <v>0</v>
      </c>
      <c r="D1230" s="13">
        <v>0</v>
      </c>
      <c r="E1230" s="13">
        <v>1</v>
      </c>
      <c r="F1230" s="13">
        <v>0</v>
      </c>
      <c r="G1230" s="13">
        <v>0</v>
      </c>
      <c r="H1230" s="13">
        <v>0</v>
      </c>
      <c r="I1230" s="11">
        <f t="shared" si="663"/>
        <v>3</v>
      </c>
      <c r="J1230" s="722">
        <f t="shared" si="664"/>
        <v>0.42857142857142855</v>
      </c>
    </row>
    <row r="1231" spans="1:10" x14ac:dyDescent="0.25">
      <c r="A1231" s="624" t="s">
        <v>17</v>
      </c>
      <c r="B1231" s="102">
        <f t="shared" ref="B1231:I1231" si="665">SUM(B1226:B1230)</f>
        <v>101</v>
      </c>
      <c r="C1231" s="102">
        <f t="shared" si="665"/>
        <v>92</v>
      </c>
      <c r="D1231" s="102">
        <f t="shared" si="665"/>
        <v>122</v>
      </c>
      <c r="E1231" s="102">
        <f t="shared" si="665"/>
        <v>113</v>
      </c>
      <c r="F1231" s="102">
        <f t="shared" si="665"/>
        <v>124</v>
      </c>
      <c r="G1231" s="79">
        <f t="shared" si="665"/>
        <v>59</v>
      </c>
      <c r="H1231" s="79">
        <f t="shared" si="665"/>
        <v>108</v>
      </c>
      <c r="I1231" s="472">
        <f t="shared" si="665"/>
        <v>719</v>
      </c>
      <c r="J1231" s="723">
        <f t="shared" si="664"/>
        <v>102.71428571428571</v>
      </c>
    </row>
    <row r="1232" spans="1:10" x14ac:dyDescent="0.25">
      <c r="A1232" s="622" t="s">
        <v>18</v>
      </c>
      <c r="B1232" s="234">
        <v>0.61</v>
      </c>
      <c r="C1232" s="235">
        <v>0.43</v>
      </c>
      <c r="D1232" s="235">
        <v>0.56999999999999995</v>
      </c>
      <c r="E1232" s="236">
        <v>0.48</v>
      </c>
      <c r="F1232" s="236">
        <v>0.56999999999999995</v>
      </c>
      <c r="G1232" s="236">
        <v>0.56999999999999995</v>
      </c>
      <c r="H1232" s="236">
        <v>0.61</v>
      </c>
      <c r="I1232" s="18">
        <f>I1239/I1244</f>
        <v>0.54960820800382704</v>
      </c>
      <c r="J1232" s="724">
        <f>J1239/J1244</f>
        <v>0.54960820800382704</v>
      </c>
    </row>
    <row r="1233" spans="1:10" x14ac:dyDescent="0.25">
      <c r="A1233" s="622" t="s">
        <v>19</v>
      </c>
      <c r="B1233" s="234">
        <v>0</v>
      </c>
      <c r="C1233" s="235">
        <v>0.02</v>
      </c>
      <c r="D1233" s="235">
        <v>0.02</v>
      </c>
      <c r="E1233" s="236">
        <v>0.01</v>
      </c>
      <c r="F1233" s="236">
        <v>0.01</v>
      </c>
      <c r="G1233" s="236">
        <v>0.06</v>
      </c>
      <c r="H1233" s="236">
        <v>0.02</v>
      </c>
      <c r="I1233" s="18">
        <f>I1240/I1244</f>
        <v>1.649279847373156E-2</v>
      </c>
      <c r="J1233" s="724">
        <f>J1240/J1244</f>
        <v>1.649279847373156E-2</v>
      </c>
    </row>
    <row r="1234" spans="1:10" x14ac:dyDescent="0.25">
      <c r="A1234" s="622" t="s">
        <v>20</v>
      </c>
      <c r="B1234" s="234">
        <v>0.34</v>
      </c>
      <c r="C1234" s="235">
        <v>0.54</v>
      </c>
      <c r="D1234" s="235">
        <v>0.39</v>
      </c>
      <c r="E1234" s="236">
        <v>0.37</v>
      </c>
      <c r="F1234" s="236">
        <v>0.38</v>
      </c>
      <c r="G1234" s="236">
        <v>0.37</v>
      </c>
      <c r="H1234" s="236">
        <v>0.37</v>
      </c>
      <c r="I1234" s="18">
        <f>I1241/I1244</f>
        <v>0.39005205105245905</v>
      </c>
      <c r="J1234" s="724">
        <f>J1241/J1244</f>
        <v>0.39005205105245905</v>
      </c>
    </row>
    <row r="1235" spans="1:10" x14ac:dyDescent="0.25">
      <c r="A1235" s="622" t="s">
        <v>21</v>
      </c>
      <c r="B1235" s="234">
        <v>0</v>
      </c>
      <c r="C1235" s="235">
        <v>0.01</v>
      </c>
      <c r="D1235" s="235">
        <v>0.02</v>
      </c>
      <c r="E1235" s="236">
        <v>0.03</v>
      </c>
      <c r="F1235" s="236">
        <v>0.04</v>
      </c>
      <c r="G1235" s="236">
        <v>0</v>
      </c>
      <c r="H1235" s="236">
        <v>0</v>
      </c>
      <c r="I1235" s="18">
        <f>I1242/I1244</f>
        <v>1.7128361608149109E-2</v>
      </c>
      <c r="J1235" s="724">
        <f>J1242/J1244</f>
        <v>1.7128361608149113E-2</v>
      </c>
    </row>
    <row r="1236" spans="1:10" x14ac:dyDescent="0.25">
      <c r="A1236" s="622" t="s">
        <v>22</v>
      </c>
      <c r="B1236" s="234">
        <v>0.05</v>
      </c>
      <c r="C1236" s="235">
        <v>0</v>
      </c>
      <c r="D1236" s="235">
        <v>0</v>
      </c>
      <c r="E1236" s="236">
        <v>0.11</v>
      </c>
      <c r="F1236" s="236">
        <v>0</v>
      </c>
      <c r="G1236" s="236">
        <v>0</v>
      </c>
      <c r="H1236" s="236">
        <v>0</v>
      </c>
      <c r="I1236" s="18">
        <f>I1243/I1244</f>
        <v>2.6718580861833457E-2</v>
      </c>
      <c r="J1236" s="724">
        <f>J1243/J1244</f>
        <v>2.6718580861833454E-2</v>
      </c>
    </row>
    <row r="1237" spans="1:10" x14ac:dyDescent="0.25">
      <c r="A1237" s="627" t="s">
        <v>23</v>
      </c>
      <c r="B1237" s="450">
        <f t="shared" ref="B1237:J1237" si="666">B1248/B1231</f>
        <v>39647.524752475249</v>
      </c>
      <c r="C1237" s="130">
        <f t="shared" si="666"/>
        <v>32902.17391304348</v>
      </c>
      <c r="D1237" s="130">
        <f t="shared" si="666"/>
        <v>35382.7868852459</v>
      </c>
      <c r="E1237" s="130">
        <f t="shared" si="666"/>
        <v>40630.088495575219</v>
      </c>
      <c r="F1237" s="130">
        <f t="shared" si="666"/>
        <v>40007.258064516129</v>
      </c>
      <c r="G1237" s="130">
        <f t="shared" si="666"/>
        <v>35442.372881355936</v>
      </c>
      <c r="H1237" s="130">
        <f t="shared" si="666"/>
        <v>32758.333333333339</v>
      </c>
      <c r="I1237" s="130">
        <f t="shared" si="666"/>
        <v>36897.357440890119</v>
      </c>
      <c r="J1237" s="685">
        <f t="shared" si="666"/>
        <v>36897.357440890119</v>
      </c>
    </row>
    <row r="1238" spans="1:10" x14ac:dyDescent="0.25">
      <c r="A1238" s="627" t="s">
        <v>24</v>
      </c>
      <c r="B1238" s="450">
        <f t="shared" ref="B1238:J1238" si="667">B1248/B1225</f>
        <v>28400</v>
      </c>
      <c r="C1238" s="130">
        <f t="shared" si="667"/>
        <v>28289.719626168226</v>
      </c>
      <c r="D1238" s="130">
        <f t="shared" si="667"/>
        <v>27494.904458598725</v>
      </c>
      <c r="E1238" s="130">
        <f t="shared" si="667"/>
        <v>28166.87116564417</v>
      </c>
      <c r="F1238" s="130">
        <f t="shared" si="667"/>
        <v>28675.7225433526</v>
      </c>
      <c r="G1238" s="130">
        <f t="shared" si="667"/>
        <v>26808.974358974359</v>
      </c>
      <c r="H1238" s="130">
        <f t="shared" si="667"/>
        <v>27857.480314960634</v>
      </c>
      <c r="I1238" s="130">
        <f t="shared" si="667"/>
        <v>28043.551797040167</v>
      </c>
      <c r="J1238" s="685">
        <f t="shared" si="667"/>
        <v>28043.551797040163</v>
      </c>
    </row>
    <row r="1239" spans="1:10" x14ac:dyDescent="0.25">
      <c r="A1239" s="622" t="s">
        <v>25</v>
      </c>
      <c r="B1239" s="451">
        <f t="shared" ref="B1239:H1239" si="668">B1244*B1232</f>
        <v>2029189.9889655174</v>
      </c>
      <c r="C1239" s="92">
        <f t="shared" si="668"/>
        <v>1083670.8462068965</v>
      </c>
      <c r="D1239" s="92">
        <f t="shared" si="668"/>
        <v>2035826.3089655172</v>
      </c>
      <c r="E1239" s="92">
        <f t="shared" si="668"/>
        <v>1840712.1765517243</v>
      </c>
      <c r="F1239" s="92">
        <f t="shared" si="668"/>
        <v>2356500.8006896549</v>
      </c>
      <c r="G1239" s="92">
        <f t="shared" si="668"/>
        <v>983491.91586206888</v>
      </c>
      <c r="H1239" s="92">
        <f t="shared" si="668"/>
        <v>1769149.9337931036</v>
      </c>
      <c r="I1239" s="92">
        <f>SUM(B1239:H1239)</f>
        <v>12098541.971034482</v>
      </c>
      <c r="J1239" s="715">
        <f t="shared" ref="J1239:J1244" si="669">+$I1239/7</f>
        <v>1728363.1387192118</v>
      </c>
    </row>
    <row r="1240" spans="1:10" x14ac:dyDescent="0.25">
      <c r="A1240" s="622" t="s">
        <v>26</v>
      </c>
      <c r="B1240" s="451">
        <f t="shared" ref="B1240:H1240" si="670">B1244*B1233</f>
        <v>0</v>
      </c>
      <c r="C1240" s="92">
        <f t="shared" si="670"/>
        <v>50403.295172413797</v>
      </c>
      <c r="D1240" s="92">
        <f t="shared" si="670"/>
        <v>71432.502068965521</v>
      </c>
      <c r="E1240" s="92">
        <f t="shared" si="670"/>
        <v>38348.170344827588</v>
      </c>
      <c r="F1240" s="92">
        <f t="shared" si="670"/>
        <v>41342.119310344831</v>
      </c>
      <c r="G1240" s="92">
        <f t="shared" si="670"/>
        <v>103525.46482758621</v>
      </c>
      <c r="H1240" s="92">
        <f t="shared" si="670"/>
        <v>58004.91586206897</v>
      </c>
      <c r="I1240" s="92">
        <f>SUM(B1240:H1240)</f>
        <v>363056.46758620697</v>
      </c>
      <c r="J1240" s="715">
        <f t="shared" si="669"/>
        <v>51865.209655172424</v>
      </c>
    </row>
    <row r="1241" spans="1:10" x14ac:dyDescent="0.25">
      <c r="A1241" s="622" t="s">
        <v>27</v>
      </c>
      <c r="B1241" s="451">
        <f t="shared" ref="B1241:H1241" si="671">B1244*B1234</f>
        <v>1131023.9282758622</v>
      </c>
      <c r="C1241" s="92">
        <f t="shared" si="671"/>
        <v>1360888.9696551724</v>
      </c>
      <c r="D1241" s="92">
        <f t="shared" si="671"/>
        <v>1392933.7903448276</v>
      </c>
      <c r="E1241" s="92">
        <f t="shared" si="671"/>
        <v>1418882.3027586208</v>
      </c>
      <c r="F1241" s="92">
        <f t="shared" si="671"/>
        <v>1571000.5337931036</v>
      </c>
      <c r="G1241" s="92">
        <f t="shared" si="671"/>
        <v>638407.03310344834</v>
      </c>
      <c r="H1241" s="92">
        <f t="shared" si="671"/>
        <v>1073090.943448276</v>
      </c>
      <c r="I1241" s="92">
        <f>SUM(B1241:H1241)</f>
        <v>8586227.5013793111</v>
      </c>
      <c r="J1241" s="715">
        <f t="shared" si="669"/>
        <v>1226603.928768473</v>
      </c>
    </row>
    <row r="1242" spans="1:10" x14ac:dyDescent="0.25">
      <c r="A1242" s="622" t="s">
        <v>28</v>
      </c>
      <c r="B1242" s="451">
        <f t="shared" ref="B1242:H1242" si="672">B1244*B1235</f>
        <v>0</v>
      </c>
      <c r="C1242" s="92">
        <f t="shared" si="672"/>
        <v>25201.647586206898</v>
      </c>
      <c r="D1242" s="92">
        <f t="shared" si="672"/>
        <v>71432.502068965521</v>
      </c>
      <c r="E1242" s="92">
        <f t="shared" si="672"/>
        <v>115044.51103448277</v>
      </c>
      <c r="F1242" s="92">
        <f t="shared" si="672"/>
        <v>165368.47724137933</v>
      </c>
      <c r="G1242" s="92">
        <f t="shared" si="672"/>
        <v>0</v>
      </c>
      <c r="H1242" s="92">
        <f t="shared" si="672"/>
        <v>0</v>
      </c>
      <c r="I1242" s="92">
        <f>SUM(B1242:H1242)</f>
        <v>377047.13793103455</v>
      </c>
      <c r="J1242" s="715">
        <f t="shared" si="669"/>
        <v>53863.876847290652</v>
      </c>
    </row>
    <row r="1243" spans="1:10" x14ac:dyDescent="0.25">
      <c r="A1243" s="622" t="s">
        <v>29</v>
      </c>
      <c r="B1243" s="451">
        <f t="shared" ref="B1243:H1243" si="673">B1244*B1236</f>
        <v>166327.04827586209</v>
      </c>
      <c r="C1243" s="92">
        <f t="shared" si="673"/>
        <v>0</v>
      </c>
      <c r="D1243" s="92">
        <f t="shared" si="673"/>
        <v>0</v>
      </c>
      <c r="E1243" s="92">
        <f t="shared" si="673"/>
        <v>421829.8737931035</v>
      </c>
      <c r="F1243" s="92">
        <f t="shared" si="673"/>
        <v>0</v>
      </c>
      <c r="G1243" s="92">
        <f t="shared" si="673"/>
        <v>0</v>
      </c>
      <c r="H1243" s="92">
        <f t="shared" si="673"/>
        <v>0</v>
      </c>
      <c r="I1243" s="92">
        <f>SUM(B1243:H1243)</f>
        <v>588156.92206896562</v>
      </c>
      <c r="J1243" s="715">
        <f t="shared" si="669"/>
        <v>84022.417438423654</v>
      </c>
    </row>
    <row r="1244" spans="1:10" x14ac:dyDescent="0.25">
      <c r="A1244" s="630" t="s">
        <v>30</v>
      </c>
      <c r="B1244" s="237">
        <f>(4004400/1.16)-B1245</f>
        <v>3326540.9655172415</v>
      </c>
      <c r="C1244" s="237">
        <f>(3027000/1.16)-C1245</f>
        <v>2520164.7586206896</v>
      </c>
      <c r="D1244" s="237">
        <f>(4316700/1.16)-D1245</f>
        <v>3571625.1034482759</v>
      </c>
      <c r="E1244" s="237">
        <f>(4591200/1.16)-E1245</f>
        <v>3834817.034482759</v>
      </c>
      <c r="F1244" s="237">
        <f>(4960900/1.16)-F1245</f>
        <v>4134211.931034483</v>
      </c>
      <c r="G1244" s="237">
        <f>(2091100/1.16)-G1245</f>
        <v>1725424.4137931035</v>
      </c>
      <c r="H1244" s="237">
        <f>(3537900/1.16)-H1245</f>
        <v>2900245.7931034486</v>
      </c>
      <c r="I1244" s="91">
        <f>SUM(I1239:I1243)</f>
        <v>22013029.999999996</v>
      </c>
      <c r="J1244" s="716">
        <f t="shared" si="669"/>
        <v>3144718.5714285709</v>
      </c>
    </row>
    <row r="1245" spans="1:10" x14ac:dyDescent="0.25">
      <c r="A1245" s="622" t="s">
        <v>31</v>
      </c>
      <c r="B1245" s="452">
        <f t="shared" ref="B1245:H1245" si="674">2414*B1226</f>
        <v>125528</v>
      </c>
      <c r="C1245" s="94">
        <f t="shared" si="674"/>
        <v>89318</v>
      </c>
      <c r="D1245" s="94">
        <f t="shared" si="674"/>
        <v>149668</v>
      </c>
      <c r="E1245" s="94">
        <f t="shared" si="674"/>
        <v>123114</v>
      </c>
      <c r="F1245" s="94">
        <f t="shared" si="674"/>
        <v>142426</v>
      </c>
      <c r="G1245" s="94">
        <f t="shared" si="674"/>
        <v>77248</v>
      </c>
      <c r="H1245" s="94">
        <f t="shared" si="674"/>
        <v>149668</v>
      </c>
      <c r="I1245" s="94">
        <f>I1226*2414</f>
        <v>856970</v>
      </c>
      <c r="J1245" s="717">
        <f>2155*J1226</f>
        <v>109289.28571428571</v>
      </c>
    </row>
    <row r="1246" spans="1:10" x14ac:dyDescent="0.25">
      <c r="A1246" s="633" t="s">
        <v>32</v>
      </c>
      <c r="B1246" s="453">
        <f t="shared" ref="B1246:J1246" si="675">B1244+B1245</f>
        <v>3452068.9655172415</v>
      </c>
      <c r="C1246" s="39">
        <f t="shared" si="675"/>
        <v>2609482.7586206896</v>
      </c>
      <c r="D1246" s="39">
        <f t="shared" si="675"/>
        <v>3721293.1034482759</v>
      </c>
      <c r="E1246" s="39">
        <f t="shared" si="675"/>
        <v>3957931.034482759</v>
      </c>
      <c r="F1246" s="39">
        <f t="shared" si="675"/>
        <v>4276637.931034483</v>
      </c>
      <c r="G1246" s="39">
        <f t="shared" si="675"/>
        <v>1802672.4137931035</v>
      </c>
      <c r="H1246" s="39">
        <f t="shared" si="675"/>
        <v>3049913.7931034486</v>
      </c>
      <c r="I1246" s="39">
        <f t="shared" si="675"/>
        <v>22869999.999999996</v>
      </c>
      <c r="J1246" s="718">
        <f t="shared" si="675"/>
        <v>3254007.8571428568</v>
      </c>
    </row>
    <row r="1247" spans="1:10" x14ac:dyDescent="0.25">
      <c r="A1247" s="622" t="s">
        <v>33</v>
      </c>
      <c r="B1247" s="454">
        <f t="shared" ref="B1247:J1247" si="676">B1246*16%</f>
        <v>552331.03448275861</v>
      </c>
      <c r="C1247" s="41">
        <f t="shared" si="676"/>
        <v>417517.24137931038</v>
      </c>
      <c r="D1247" s="41">
        <f t="shared" si="676"/>
        <v>595406.89655172417</v>
      </c>
      <c r="E1247" s="41">
        <f t="shared" si="676"/>
        <v>633268.96551724139</v>
      </c>
      <c r="F1247" s="41">
        <f t="shared" si="676"/>
        <v>684262.06896551733</v>
      </c>
      <c r="G1247" s="41">
        <f t="shared" si="676"/>
        <v>288427.58620689658</v>
      </c>
      <c r="H1247" s="41">
        <f t="shared" si="676"/>
        <v>487986.20689655177</v>
      </c>
      <c r="I1247" s="41">
        <f t="shared" si="676"/>
        <v>3659199.9999999995</v>
      </c>
      <c r="J1247" s="725">
        <f t="shared" si="676"/>
        <v>520641.25714285712</v>
      </c>
    </row>
    <row r="1248" spans="1:10" ht="15.75" thickBot="1" x14ac:dyDescent="0.3">
      <c r="A1248" s="636" t="s">
        <v>34</v>
      </c>
      <c r="B1248" s="637">
        <f t="shared" ref="B1248:I1248" si="677">B1246+B1247</f>
        <v>4004400</v>
      </c>
      <c r="C1248" s="686">
        <f t="shared" si="677"/>
        <v>3027000</v>
      </c>
      <c r="D1248" s="686">
        <f t="shared" si="677"/>
        <v>4316700</v>
      </c>
      <c r="E1248" s="686">
        <f t="shared" si="677"/>
        <v>4591200</v>
      </c>
      <c r="F1248" s="686">
        <f t="shared" si="677"/>
        <v>4960900</v>
      </c>
      <c r="G1248" s="686">
        <f t="shared" si="677"/>
        <v>2091100</v>
      </c>
      <c r="H1248" s="686">
        <f t="shared" si="677"/>
        <v>3537900.0000000005</v>
      </c>
      <c r="I1248" s="686">
        <f t="shared" si="677"/>
        <v>26529199.999999996</v>
      </c>
      <c r="J1248" s="720">
        <f>+$I1248/7</f>
        <v>3789885.7142857136</v>
      </c>
    </row>
    <row r="1249" spans="1:10" ht="15.75" thickBot="1" x14ac:dyDescent="0.3">
      <c r="I1249" s="89"/>
    </row>
    <row r="1250" spans="1:10" ht="27" thickBot="1" x14ac:dyDescent="0.3">
      <c r="A1250" s="85"/>
      <c r="B1250" s="1002" t="s">
        <v>387</v>
      </c>
      <c r="C1250" s="1002"/>
      <c r="D1250" s="1002"/>
      <c r="E1250" s="1002"/>
      <c r="F1250" s="1002"/>
      <c r="G1250" s="1002"/>
      <c r="H1250" s="1002"/>
      <c r="I1250" s="1002"/>
    </row>
    <row r="1251" spans="1:10" ht="15.75" x14ac:dyDescent="0.25">
      <c r="A1251" s="614" t="s">
        <v>2</v>
      </c>
      <c r="B1251" s="706" t="s">
        <v>600</v>
      </c>
      <c r="C1251" s="641" t="s">
        <v>601</v>
      </c>
      <c r="D1251" s="641" t="s">
        <v>602</v>
      </c>
      <c r="E1251" s="641" t="s">
        <v>603</v>
      </c>
      <c r="F1251" s="641" t="s">
        <v>604</v>
      </c>
      <c r="G1251" s="641" t="s">
        <v>653</v>
      </c>
      <c r="H1251" s="641" t="s">
        <v>272</v>
      </c>
      <c r="I1251" s="618" t="s">
        <v>10</v>
      </c>
      <c r="J1251" s="711" t="s">
        <v>77</v>
      </c>
    </row>
    <row r="1252" spans="1:10" x14ac:dyDescent="0.25">
      <c r="A1252" s="620" t="s">
        <v>11</v>
      </c>
      <c r="B1252" s="433">
        <f>64+39+22</f>
        <v>125</v>
      </c>
      <c r="C1252" s="75">
        <f>65+47+6</f>
        <v>118</v>
      </c>
      <c r="D1252" s="75">
        <f>83+36+9</f>
        <v>128</v>
      </c>
      <c r="E1252" s="75">
        <f>86+47+12</f>
        <v>145</v>
      </c>
      <c r="F1252" s="75">
        <f>55+44+15</f>
        <v>114</v>
      </c>
      <c r="G1252" s="75">
        <f>37+14+11</f>
        <v>62</v>
      </c>
      <c r="H1252" s="75">
        <f>62+41+10</f>
        <v>113</v>
      </c>
      <c r="I1252" s="467">
        <f t="shared" ref="I1252:I1257" si="678">SUM(B1252:H1252)</f>
        <v>805</v>
      </c>
      <c r="J1252" s="721">
        <f>+$I1252/7</f>
        <v>115</v>
      </c>
    </row>
    <row r="1253" spans="1:10" x14ac:dyDescent="0.25">
      <c r="A1253" s="622" t="s">
        <v>12</v>
      </c>
      <c r="B1253" s="233">
        <v>39</v>
      </c>
      <c r="C1253" s="13">
        <v>45</v>
      </c>
      <c r="D1253" s="13">
        <v>43</v>
      </c>
      <c r="E1253" s="13">
        <v>45</v>
      </c>
      <c r="F1253" s="13">
        <v>41</v>
      </c>
      <c r="G1253" s="320">
        <v>21</v>
      </c>
      <c r="H1253" s="13">
        <v>57</v>
      </c>
      <c r="I1253" s="11">
        <f t="shared" si="678"/>
        <v>291</v>
      </c>
      <c r="J1253" s="722">
        <f t="shared" ref="J1253:J1258" si="679">+$I1253/7</f>
        <v>41.571428571428569</v>
      </c>
    </row>
    <row r="1254" spans="1:10" x14ac:dyDescent="0.25">
      <c r="A1254" s="622" t="s">
        <v>13</v>
      </c>
      <c r="B1254" s="233">
        <v>3</v>
      </c>
      <c r="C1254" s="13">
        <v>3</v>
      </c>
      <c r="D1254" s="13">
        <v>0</v>
      </c>
      <c r="E1254" s="13">
        <v>1</v>
      </c>
      <c r="F1254" s="13">
        <v>1</v>
      </c>
      <c r="G1254" s="13">
        <v>1</v>
      </c>
      <c r="H1254" s="13">
        <v>3</v>
      </c>
      <c r="I1254" s="11">
        <f t="shared" si="678"/>
        <v>12</v>
      </c>
      <c r="J1254" s="722">
        <f t="shared" si="679"/>
        <v>1.7142857142857142</v>
      </c>
    </row>
    <row r="1255" spans="1:10" x14ac:dyDescent="0.25">
      <c r="A1255" s="622" t="s">
        <v>14</v>
      </c>
      <c r="B1255" s="233">
        <v>51</v>
      </c>
      <c r="C1255" s="13">
        <v>52</v>
      </c>
      <c r="D1255" s="13">
        <v>64</v>
      </c>
      <c r="E1255" s="13">
        <v>58</v>
      </c>
      <c r="F1255" s="13">
        <v>48</v>
      </c>
      <c r="G1255" s="13">
        <v>25</v>
      </c>
      <c r="H1255" s="13">
        <v>37</v>
      </c>
      <c r="I1255" s="11">
        <f t="shared" si="678"/>
        <v>335</v>
      </c>
      <c r="J1255" s="722">
        <f t="shared" si="679"/>
        <v>47.857142857142854</v>
      </c>
    </row>
    <row r="1256" spans="1:10" x14ac:dyDescent="0.25">
      <c r="A1256" s="622" t="s">
        <v>15</v>
      </c>
      <c r="B1256" s="233">
        <v>5</v>
      </c>
      <c r="C1256" s="13">
        <v>10</v>
      </c>
      <c r="D1256" s="13">
        <v>2</v>
      </c>
      <c r="E1256" s="13">
        <v>14</v>
      </c>
      <c r="F1256" s="13">
        <v>6</v>
      </c>
      <c r="G1256" s="13">
        <v>6</v>
      </c>
      <c r="H1256" s="13">
        <v>4</v>
      </c>
      <c r="I1256" s="11">
        <f t="shared" si="678"/>
        <v>47</v>
      </c>
      <c r="J1256" s="722">
        <f t="shared" si="679"/>
        <v>6.7142857142857144</v>
      </c>
    </row>
    <row r="1257" spans="1:10" x14ac:dyDescent="0.25">
      <c r="A1257" s="622" t="s">
        <v>16</v>
      </c>
      <c r="B1257" s="233">
        <v>0</v>
      </c>
      <c r="C1257" s="13">
        <v>0</v>
      </c>
      <c r="D1257" s="13">
        <v>0</v>
      </c>
      <c r="E1257" s="13">
        <v>0</v>
      </c>
      <c r="F1257" s="13">
        <v>0</v>
      </c>
      <c r="G1257" s="13">
        <v>0</v>
      </c>
      <c r="H1257" s="13">
        <v>0</v>
      </c>
      <c r="I1257" s="11">
        <f t="shared" si="678"/>
        <v>0</v>
      </c>
      <c r="J1257" s="722">
        <f t="shared" si="679"/>
        <v>0</v>
      </c>
    </row>
    <row r="1258" spans="1:10" x14ac:dyDescent="0.25">
      <c r="A1258" s="624" t="s">
        <v>17</v>
      </c>
      <c r="B1258" s="102">
        <f t="shared" ref="B1258:I1258" si="680">SUM(B1253:B1257)</f>
        <v>98</v>
      </c>
      <c r="C1258" s="102">
        <f t="shared" si="680"/>
        <v>110</v>
      </c>
      <c r="D1258" s="102">
        <f t="shared" si="680"/>
        <v>109</v>
      </c>
      <c r="E1258" s="102">
        <f t="shared" si="680"/>
        <v>118</v>
      </c>
      <c r="F1258" s="102">
        <f t="shared" si="680"/>
        <v>96</v>
      </c>
      <c r="G1258" s="79">
        <f t="shared" si="680"/>
        <v>53</v>
      </c>
      <c r="H1258" s="79">
        <f t="shared" si="680"/>
        <v>101</v>
      </c>
      <c r="I1258" s="472">
        <f t="shared" si="680"/>
        <v>685</v>
      </c>
      <c r="J1258" s="723">
        <f t="shared" si="679"/>
        <v>97.857142857142861</v>
      </c>
    </row>
    <row r="1259" spans="1:10" x14ac:dyDescent="0.25">
      <c r="A1259" s="622" t="s">
        <v>18</v>
      </c>
      <c r="B1259" s="234">
        <v>0.47</v>
      </c>
      <c r="C1259" s="235">
        <v>0.45</v>
      </c>
      <c r="D1259" s="235">
        <v>0.46</v>
      </c>
      <c r="E1259" s="236">
        <v>0.44</v>
      </c>
      <c r="F1259" s="236">
        <v>0.48</v>
      </c>
      <c r="G1259" s="236">
        <v>0.45</v>
      </c>
      <c r="H1259" s="236">
        <v>0.61</v>
      </c>
      <c r="I1259" s="18">
        <f>I1266/I1271</f>
        <v>0.48076079682101119</v>
      </c>
      <c r="J1259" s="724">
        <f>J1266/J1271</f>
        <v>0.48076079682101125</v>
      </c>
    </row>
    <row r="1260" spans="1:10" x14ac:dyDescent="0.25">
      <c r="A1260" s="622" t="s">
        <v>19</v>
      </c>
      <c r="B1260" s="234">
        <v>0.03</v>
      </c>
      <c r="C1260" s="235">
        <v>0.04</v>
      </c>
      <c r="D1260" s="235">
        <v>0</v>
      </c>
      <c r="E1260" s="236">
        <v>0.01</v>
      </c>
      <c r="F1260" s="236">
        <v>0.01</v>
      </c>
      <c r="G1260" s="236">
        <v>0.02</v>
      </c>
      <c r="H1260" s="236">
        <v>0.03</v>
      </c>
      <c r="I1260" s="18">
        <f>I1267/I1271</f>
        <v>1.943283792874129E-2</v>
      </c>
      <c r="J1260" s="724">
        <f>J1267/J1271</f>
        <v>1.943283792874129E-2</v>
      </c>
    </row>
    <row r="1261" spans="1:10" x14ac:dyDescent="0.25">
      <c r="A1261" s="622" t="s">
        <v>20</v>
      </c>
      <c r="B1261" s="234">
        <v>0.47</v>
      </c>
      <c r="C1261" s="235">
        <v>0.41</v>
      </c>
      <c r="D1261" s="235">
        <v>0.53</v>
      </c>
      <c r="E1261" s="236">
        <v>0.44</v>
      </c>
      <c r="F1261" s="236">
        <v>0.44</v>
      </c>
      <c r="G1261" s="236">
        <v>0.43</v>
      </c>
      <c r="H1261" s="236">
        <v>0.31</v>
      </c>
      <c r="I1261" s="18">
        <f>I1268/I1271</f>
        <v>0.43514201117607348</v>
      </c>
      <c r="J1261" s="724">
        <f>J1268/J1271</f>
        <v>0.43514201117607354</v>
      </c>
    </row>
    <row r="1262" spans="1:10" x14ac:dyDescent="0.25">
      <c r="A1262" s="622" t="s">
        <v>21</v>
      </c>
      <c r="B1262" s="234">
        <v>0.03</v>
      </c>
      <c r="C1262" s="235">
        <v>0.1</v>
      </c>
      <c r="D1262" s="235">
        <v>0.01</v>
      </c>
      <c r="E1262" s="236">
        <v>0.11</v>
      </c>
      <c r="F1262" s="236">
        <v>7.0000000000000007E-2</v>
      </c>
      <c r="G1262" s="236">
        <v>0.1</v>
      </c>
      <c r="H1262" s="236">
        <v>0.05</v>
      </c>
      <c r="I1262" s="18">
        <f>I1269/I1271</f>
        <v>6.4664354074174105E-2</v>
      </c>
      <c r="J1262" s="724">
        <f>J1269/J1271</f>
        <v>6.4664354074174105E-2</v>
      </c>
    </row>
    <row r="1263" spans="1:10" x14ac:dyDescent="0.25">
      <c r="A1263" s="622" t="s">
        <v>22</v>
      </c>
      <c r="B1263" s="234">
        <v>0</v>
      </c>
      <c r="C1263" s="235">
        <v>0</v>
      </c>
      <c r="D1263" s="235">
        <v>0</v>
      </c>
      <c r="E1263" s="236">
        <v>0</v>
      </c>
      <c r="F1263" s="236">
        <v>0</v>
      </c>
      <c r="G1263" s="236">
        <v>0</v>
      </c>
      <c r="H1263" s="236">
        <v>0</v>
      </c>
      <c r="I1263" s="18">
        <f>I1270/I1271</f>
        <v>0</v>
      </c>
      <c r="J1263" s="724">
        <f>J1270/J1271</f>
        <v>0</v>
      </c>
    </row>
    <row r="1264" spans="1:10" x14ac:dyDescent="0.25">
      <c r="A1264" s="627" t="s">
        <v>23</v>
      </c>
      <c r="B1264" s="450">
        <f t="shared" ref="B1264:J1264" si="681">B1275/B1258</f>
        <v>34595.918367346938</v>
      </c>
      <c r="C1264" s="130">
        <f t="shared" si="681"/>
        <v>30871.81818181818</v>
      </c>
      <c r="D1264" s="130">
        <f t="shared" si="681"/>
        <v>34042.201834862382</v>
      </c>
      <c r="E1264" s="130">
        <f t="shared" si="681"/>
        <v>32896.610169491527</v>
      </c>
      <c r="F1264" s="130">
        <f t="shared" si="681"/>
        <v>35766.666666666664</v>
      </c>
      <c r="G1264" s="130">
        <f t="shared" si="681"/>
        <v>29552.830188679247</v>
      </c>
      <c r="H1264" s="130">
        <f t="shared" si="681"/>
        <v>33175.247524752478</v>
      </c>
      <c r="I1264" s="130">
        <f t="shared" si="681"/>
        <v>33181.459854014596</v>
      </c>
      <c r="J1264" s="685">
        <f t="shared" si="681"/>
        <v>33181.459854014596</v>
      </c>
    </row>
    <row r="1265" spans="1:10" x14ac:dyDescent="0.25">
      <c r="A1265" s="627" t="s">
        <v>24</v>
      </c>
      <c r="B1265" s="450">
        <f t="shared" ref="B1265:J1265" si="682">B1275/B1252</f>
        <v>27123.200000000001</v>
      </c>
      <c r="C1265" s="130">
        <f t="shared" si="682"/>
        <v>28778.813559322032</v>
      </c>
      <c r="D1265" s="130">
        <f t="shared" si="682"/>
        <v>28989.0625</v>
      </c>
      <c r="E1265" s="130">
        <f t="shared" si="682"/>
        <v>26771.03448275862</v>
      </c>
      <c r="F1265" s="130">
        <f t="shared" si="682"/>
        <v>30119.298245614034</v>
      </c>
      <c r="G1265" s="130">
        <f t="shared" si="682"/>
        <v>25262.903225806451</v>
      </c>
      <c r="H1265" s="130">
        <f t="shared" si="682"/>
        <v>29652.212389380529</v>
      </c>
      <c r="I1265" s="130">
        <f t="shared" si="682"/>
        <v>28235.155279503106</v>
      </c>
      <c r="J1265" s="685">
        <f t="shared" si="682"/>
        <v>28235.155279503106</v>
      </c>
    </row>
    <row r="1266" spans="1:10" x14ac:dyDescent="0.25">
      <c r="A1266" s="622" t="s">
        <v>25</v>
      </c>
      <c r="B1266" s="451">
        <f t="shared" ref="B1266:H1266" si="683">B1271*B1259</f>
        <v>1329447.9317241379</v>
      </c>
      <c r="C1266" s="92">
        <f t="shared" si="683"/>
        <v>1268491.5</v>
      </c>
      <c r="D1266" s="92">
        <f t="shared" si="683"/>
        <v>1423695.9075862069</v>
      </c>
      <c r="E1266" s="92">
        <f t="shared" si="683"/>
        <v>1424609.6965517243</v>
      </c>
      <c r="F1266" s="92">
        <f t="shared" si="683"/>
        <v>1373292.48</v>
      </c>
      <c r="G1266" s="92">
        <f t="shared" si="683"/>
        <v>584804.07931034488</v>
      </c>
      <c r="H1266" s="92">
        <f t="shared" si="683"/>
        <v>1678071.2544827587</v>
      </c>
      <c r="I1266" s="92">
        <f>SUM(B1266:H1266)</f>
        <v>9082412.8496551719</v>
      </c>
      <c r="J1266" s="715">
        <f t="shared" ref="J1266:J1271" si="684">+$I1266/7</f>
        <v>1297487.5499507389</v>
      </c>
    </row>
    <row r="1267" spans="1:10" x14ac:dyDescent="0.25">
      <c r="A1267" s="622" t="s">
        <v>26</v>
      </c>
      <c r="B1267" s="451">
        <f t="shared" ref="B1267:H1267" si="685">B1271*B1260</f>
        <v>84858.378620689648</v>
      </c>
      <c r="C1267" s="92">
        <f t="shared" si="685"/>
        <v>112754.8</v>
      </c>
      <c r="D1267" s="92">
        <f t="shared" si="685"/>
        <v>0</v>
      </c>
      <c r="E1267" s="92">
        <f t="shared" si="685"/>
        <v>32377.49310344828</v>
      </c>
      <c r="F1267" s="92">
        <f t="shared" si="685"/>
        <v>28610.260000000002</v>
      </c>
      <c r="G1267" s="92">
        <f t="shared" si="685"/>
        <v>25991.292413793104</v>
      </c>
      <c r="H1267" s="92">
        <f t="shared" si="685"/>
        <v>82528.094482758621</v>
      </c>
      <c r="I1267" s="92">
        <f>SUM(B1267:H1267)</f>
        <v>367120.31862068968</v>
      </c>
      <c r="J1267" s="715">
        <f t="shared" si="684"/>
        <v>52445.759802955668</v>
      </c>
    </row>
    <row r="1268" spans="1:10" x14ac:dyDescent="0.25">
      <c r="A1268" s="622" t="s">
        <v>27</v>
      </c>
      <c r="B1268" s="451">
        <f t="shared" ref="B1268:H1268" si="686">B1271*B1261</f>
        <v>1329447.9317241379</v>
      </c>
      <c r="C1268" s="92">
        <f t="shared" si="686"/>
        <v>1155736.7</v>
      </c>
      <c r="D1268" s="92">
        <f t="shared" si="686"/>
        <v>1640345.2848275863</v>
      </c>
      <c r="E1268" s="92">
        <f t="shared" si="686"/>
        <v>1424609.6965517243</v>
      </c>
      <c r="F1268" s="92">
        <f t="shared" si="686"/>
        <v>1258851.44</v>
      </c>
      <c r="G1268" s="92">
        <f t="shared" si="686"/>
        <v>558812.78689655173</v>
      </c>
      <c r="H1268" s="92">
        <f t="shared" si="686"/>
        <v>852790.3096551724</v>
      </c>
      <c r="I1268" s="92">
        <f>SUM(B1268:H1268)</f>
        <v>8220594.1496551735</v>
      </c>
      <c r="J1268" s="715">
        <f t="shared" si="684"/>
        <v>1174370.592807882</v>
      </c>
    </row>
    <row r="1269" spans="1:10" x14ac:dyDescent="0.25">
      <c r="A1269" s="622" t="s">
        <v>28</v>
      </c>
      <c r="B1269" s="451">
        <f t="shared" ref="B1269:H1269" si="687">B1271*B1262</f>
        <v>84858.378620689648</v>
      </c>
      <c r="C1269" s="92">
        <f t="shared" si="687"/>
        <v>281887</v>
      </c>
      <c r="D1269" s="92">
        <f t="shared" si="687"/>
        <v>30949.91103448276</v>
      </c>
      <c r="E1269" s="92">
        <f t="shared" si="687"/>
        <v>356152.42413793108</v>
      </c>
      <c r="F1269" s="92">
        <f t="shared" si="687"/>
        <v>200271.82</v>
      </c>
      <c r="G1269" s="92">
        <f t="shared" si="687"/>
        <v>129956.46206896553</v>
      </c>
      <c r="H1269" s="92">
        <f t="shared" si="687"/>
        <v>137546.82413793105</v>
      </c>
      <c r="I1269" s="92">
        <f>SUM(B1269:H1269)</f>
        <v>1221622.8199999998</v>
      </c>
      <c r="J1269" s="715">
        <f t="shared" si="684"/>
        <v>174517.54571428569</v>
      </c>
    </row>
    <row r="1270" spans="1:10" x14ac:dyDescent="0.25">
      <c r="A1270" s="622" t="s">
        <v>29</v>
      </c>
      <c r="B1270" s="451">
        <f t="shared" ref="B1270:H1270" si="688">B1271*B1263</f>
        <v>0</v>
      </c>
      <c r="C1270" s="92">
        <f t="shared" si="688"/>
        <v>0</v>
      </c>
      <c r="D1270" s="92">
        <f t="shared" si="688"/>
        <v>0</v>
      </c>
      <c r="E1270" s="92">
        <f t="shared" si="688"/>
        <v>0</v>
      </c>
      <c r="F1270" s="92">
        <f t="shared" si="688"/>
        <v>0</v>
      </c>
      <c r="G1270" s="92">
        <f t="shared" si="688"/>
        <v>0</v>
      </c>
      <c r="H1270" s="92">
        <f t="shared" si="688"/>
        <v>0</v>
      </c>
      <c r="I1270" s="92">
        <f>SUM(B1270:H1270)</f>
        <v>0</v>
      </c>
      <c r="J1270" s="715">
        <f t="shared" si="684"/>
        <v>0</v>
      </c>
    </row>
    <row r="1271" spans="1:10" x14ac:dyDescent="0.25">
      <c r="A1271" s="630" t="s">
        <v>30</v>
      </c>
      <c r="B1271" s="237">
        <f>(3390400/1.16)-B1272</f>
        <v>2828612.6206896552</v>
      </c>
      <c r="C1271" s="237">
        <f>(3395900/1.16)-C1272</f>
        <v>2818870</v>
      </c>
      <c r="D1271" s="237">
        <f>(3710600/1.16)-D1272</f>
        <v>3094991.1034482759</v>
      </c>
      <c r="E1271" s="237">
        <f>(3881800/1.16)-E1272</f>
        <v>3237749.3103448278</v>
      </c>
      <c r="F1271" s="237">
        <f>(3433600/1.16)-F1272</f>
        <v>2861026</v>
      </c>
      <c r="G1271" s="237">
        <f>(1566300/1.16)-G1272</f>
        <v>1299564.6206896552</v>
      </c>
      <c r="H1271" s="237">
        <f>(3350700/1.16)-H1272</f>
        <v>2750936.4827586208</v>
      </c>
      <c r="I1271" s="91">
        <f>SUM(I1266:I1270)</f>
        <v>18891750.137931034</v>
      </c>
      <c r="J1271" s="716">
        <f t="shared" si="684"/>
        <v>2698821.4482758618</v>
      </c>
    </row>
    <row r="1272" spans="1:10" x14ac:dyDescent="0.25">
      <c r="A1272" s="622" t="s">
        <v>31</v>
      </c>
      <c r="B1272" s="452">
        <f t="shared" ref="B1272:H1272" si="689">2414*B1253</f>
        <v>94146</v>
      </c>
      <c r="C1272" s="94">
        <f t="shared" si="689"/>
        <v>108630</v>
      </c>
      <c r="D1272" s="94">
        <f t="shared" si="689"/>
        <v>103802</v>
      </c>
      <c r="E1272" s="94">
        <f t="shared" si="689"/>
        <v>108630</v>
      </c>
      <c r="F1272" s="94">
        <f t="shared" si="689"/>
        <v>98974</v>
      </c>
      <c r="G1272" s="94">
        <f t="shared" si="689"/>
        <v>50694</v>
      </c>
      <c r="H1272" s="94">
        <f t="shared" si="689"/>
        <v>137598</v>
      </c>
      <c r="I1272" s="94">
        <f>I1253*2414</f>
        <v>702474</v>
      </c>
      <c r="J1272" s="717">
        <f>2155*J1253</f>
        <v>89586.428571428565</v>
      </c>
    </row>
    <row r="1273" spans="1:10" x14ac:dyDescent="0.25">
      <c r="A1273" s="633" t="s">
        <v>32</v>
      </c>
      <c r="B1273" s="453">
        <f t="shared" ref="B1273:J1273" si="690">B1271+B1272</f>
        <v>2922758.6206896552</v>
      </c>
      <c r="C1273" s="39">
        <f t="shared" si="690"/>
        <v>2927500</v>
      </c>
      <c r="D1273" s="39">
        <f t="shared" si="690"/>
        <v>3198793.1034482759</v>
      </c>
      <c r="E1273" s="39">
        <f t="shared" si="690"/>
        <v>3346379.3103448278</v>
      </c>
      <c r="F1273" s="39">
        <f t="shared" si="690"/>
        <v>2960000</v>
      </c>
      <c r="G1273" s="39">
        <f t="shared" si="690"/>
        <v>1350258.6206896552</v>
      </c>
      <c r="H1273" s="39">
        <f t="shared" si="690"/>
        <v>2888534.4827586208</v>
      </c>
      <c r="I1273" s="39">
        <f t="shared" si="690"/>
        <v>19594224.137931034</v>
      </c>
      <c r="J1273" s="718">
        <f t="shared" si="690"/>
        <v>2788407.8768472904</v>
      </c>
    </row>
    <row r="1274" spans="1:10" x14ac:dyDescent="0.25">
      <c r="A1274" s="622" t="s">
        <v>33</v>
      </c>
      <c r="B1274" s="454">
        <f t="shared" ref="B1274:J1274" si="691">B1273*16%</f>
        <v>467641.37931034481</v>
      </c>
      <c r="C1274" s="41">
        <f t="shared" si="691"/>
        <v>468400</v>
      </c>
      <c r="D1274" s="41">
        <f t="shared" si="691"/>
        <v>511806.89655172417</v>
      </c>
      <c r="E1274" s="41">
        <f t="shared" si="691"/>
        <v>535420.68965517241</v>
      </c>
      <c r="F1274" s="41">
        <f t="shared" si="691"/>
        <v>473600</v>
      </c>
      <c r="G1274" s="41">
        <f t="shared" si="691"/>
        <v>216041.37931034484</v>
      </c>
      <c r="H1274" s="41">
        <f t="shared" si="691"/>
        <v>462165.5172413793</v>
      </c>
      <c r="I1274" s="41">
        <f t="shared" si="691"/>
        <v>3135075.8620689656</v>
      </c>
      <c r="J1274" s="725">
        <f t="shared" si="691"/>
        <v>446145.26029556646</v>
      </c>
    </row>
    <row r="1275" spans="1:10" ht="15.75" thickBot="1" x14ac:dyDescent="0.3">
      <c r="A1275" s="636" t="s">
        <v>34</v>
      </c>
      <c r="B1275" s="637">
        <f t="shared" ref="B1275:I1275" si="692">B1273+B1274</f>
        <v>3390400</v>
      </c>
      <c r="C1275" s="686">
        <f t="shared" si="692"/>
        <v>3395900</v>
      </c>
      <c r="D1275" s="686">
        <f t="shared" si="692"/>
        <v>3710600</v>
      </c>
      <c r="E1275" s="686">
        <f t="shared" si="692"/>
        <v>3881800</v>
      </c>
      <c r="F1275" s="686">
        <f t="shared" si="692"/>
        <v>3433600</v>
      </c>
      <c r="G1275" s="686">
        <f t="shared" si="692"/>
        <v>1566300</v>
      </c>
      <c r="H1275" s="686">
        <f t="shared" si="692"/>
        <v>3350700</v>
      </c>
      <c r="I1275" s="686">
        <f t="shared" si="692"/>
        <v>22729300</v>
      </c>
      <c r="J1275" s="720">
        <f>+$I1275/7</f>
        <v>3247042.8571428573</v>
      </c>
    </row>
    <row r="1276" spans="1:10" ht="15.75" thickBot="1" x14ac:dyDescent="0.3">
      <c r="I1276" s="89"/>
    </row>
    <row r="1277" spans="1:10" ht="27" thickBot="1" x14ac:dyDescent="0.3">
      <c r="A1277" s="85"/>
      <c r="B1277" s="1002" t="s">
        <v>388</v>
      </c>
      <c r="C1277" s="1002"/>
      <c r="D1277" s="1002"/>
      <c r="E1277" s="1002"/>
      <c r="F1277" s="1002"/>
      <c r="G1277" s="1002"/>
      <c r="H1277" s="1002"/>
      <c r="I1277" s="1002"/>
    </row>
    <row r="1278" spans="1:10" ht="15.75" x14ac:dyDescent="0.25">
      <c r="A1278" s="614" t="s">
        <v>2</v>
      </c>
      <c r="B1278" s="706" t="s">
        <v>274</v>
      </c>
      <c r="C1278" s="641" t="s">
        <v>275</v>
      </c>
      <c r="D1278" s="641" t="s">
        <v>658</v>
      </c>
      <c r="E1278" s="641" t="s">
        <v>277</v>
      </c>
      <c r="F1278" s="641" t="s">
        <v>278</v>
      </c>
      <c r="G1278" s="641" t="s">
        <v>279</v>
      </c>
      <c r="H1278" s="641" t="s">
        <v>280</v>
      </c>
      <c r="I1278" s="618" t="s">
        <v>10</v>
      </c>
      <c r="J1278" s="711" t="s">
        <v>77</v>
      </c>
    </row>
    <row r="1279" spans="1:10" x14ac:dyDescent="0.25">
      <c r="A1279" s="620" t="s">
        <v>11</v>
      </c>
      <c r="B1279" s="433">
        <f>66+27+12</f>
        <v>105</v>
      </c>
      <c r="C1279" s="75">
        <f>67+40+13</f>
        <v>120</v>
      </c>
      <c r="D1279" s="75">
        <f>61+50+11</f>
        <v>122</v>
      </c>
      <c r="E1279" s="75">
        <f>65+50+16</f>
        <v>131</v>
      </c>
      <c r="F1279" s="75">
        <f>86+62+18</f>
        <v>166</v>
      </c>
      <c r="G1279" s="75">
        <f>56+45+14</f>
        <v>115</v>
      </c>
      <c r="H1279" s="75">
        <f>70+38+17</f>
        <v>125</v>
      </c>
      <c r="I1279" s="467">
        <f t="shared" ref="I1279:I1284" si="693">SUM(B1279:H1279)</f>
        <v>884</v>
      </c>
      <c r="J1279" s="721">
        <f>+$I1279/7</f>
        <v>126.28571428571429</v>
      </c>
    </row>
    <row r="1280" spans="1:10" x14ac:dyDescent="0.25">
      <c r="A1280" s="622" t="s">
        <v>12</v>
      </c>
      <c r="B1280" s="233">
        <v>41</v>
      </c>
      <c r="C1280" s="13">
        <v>39</v>
      </c>
      <c r="D1280" s="13">
        <v>46</v>
      </c>
      <c r="E1280" s="13">
        <v>52</v>
      </c>
      <c r="F1280" s="13">
        <v>49</v>
      </c>
      <c r="G1280" s="320">
        <v>48</v>
      </c>
      <c r="H1280" s="13">
        <v>66</v>
      </c>
      <c r="I1280" s="11">
        <f t="shared" si="693"/>
        <v>341</v>
      </c>
      <c r="J1280" s="722">
        <f t="shared" ref="J1280:J1285" si="694">+$I1280/7</f>
        <v>48.714285714285715</v>
      </c>
    </row>
    <row r="1281" spans="1:10" x14ac:dyDescent="0.25">
      <c r="A1281" s="622" t="s">
        <v>13</v>
      </c>
      <c r="B1281" s="233">
        <v>3</v>
      </c>
      <c r="C1281" s="13">
        <v>0</v>
      </c>
      <c r="D1281" s="13">
        <v>1</v>
      </c>
      <c r="E1281" s="13">
        <v>0</v>
      </c>
      <c r="F1281" s="13">
        <v>3</v>
      </c>
      <c r="G1281" s="13">
        <v>2</v>
      </c>
      <c r="H1281" s="13">
        <v>1</v>
      </c>
      <c r="I1281" s="11">
        <f t="shared" si="693"/>
        <v>10</v>
      </c>
      <c r="J1281" s="722">
        <f t="shared" si="694"/>
        <v>1.4285714285714286</v>
      </c>
    </row>
    <row r="1282" spans="1:10" x14ac:dyDescent="0.25">
      <c r="A1282" s="622" t="s">
        <v>14</v>
      </c>
      <c r="B1282" s="233">
        <v>38</v>
      </c>
      <c r="C1282" s="13">
        <v>50</v>
      </c>
      <c r="D1282" s="13">
        <v>51</v>
      </c>
      <c r="E1282" s="13">
        <v>45</v>
      </c>
      <c r="F1282" s="13">
        <v>71</v>
      </c>
      <c r="G1282" s="13">
        <v>36</v>
      </c>
      <c r="H1282" s="13">
        <v>22</v>
      </c>
      <c r="I1282" s="11">
        <f t="shared" si="693"/>
        <v>313</v>
      </c>
      <c r="J1282" s="722">
        <f t="shared" si="694"/>
        <v>44.714285714285715</v>
      </c>
    </row>
    <row r="1283" spans="1:10" x14ac:dyDescent="0.25">
      <c r="A1283" s="622" t="s">
        <v>15</v>
      </c>
      <c r="B1283" s="233">
        <v>4</v>
      </c>
      <c r="C1283" s="13">
        <v>7</v>
      </c>
      <c r="D1283" s="13">
        <v>6</v>
      </c>
      <c r="E1283" s="13">
        <v>1</v>
      </c>
      <c r="F1283" s="13">
        <v>1</v>
      </c>
      <c r="G1283" s="13">
        <v>1</v>
      </c>
      <c r="H1283" s="13">
        <v>2</v>
      </c>
      <c r="I1283" s="11">
        <f t="shared" si="693"/>
        <v>22</v>
      </c>
      <c r="J1283" s="722">
        <f t="shared" si="694"/>
        <v>3.1428571428571428</v>
      </c>
    </row>
    <row r="1284" spans="1:10" x14ac:dyDescent="0.25">
      <c r="A1284" s="622" t="s">
        <v>16</v>
      </c>
      <c r="B1284" s="233">
        <v>0</v>
      </c>
      <c r="C1284" s="13">
        <v>0</v>
      </c>
      <c r="D1284" s="13">
        <v>0</v>
      </c>
      <c r="E1284" s="13">
        <v>0</v>
      </c>
      <c r="F1284" s="13">
        <v>0</v>
      </c>
      <c r="G1284" s="13">
        <v>0</v>
      </c>
      <c r="H1284" s="13">
        <v>1</v>
      </c>
      <c r="I1284" s="11">
        <f t="shared" si="693"/>
        <v>1</v>
      </c>
      <c r="J1284" s="722">
        <f t="shared" si="694"/>
        <v>0.14285714285714285</v>
      </c>
    </row>
    <row r="1285" spans="1:10" x14ac:dyDescent="0.25">
      <c r="A1285" s="624" t="s">
        <v>17</v>
      </c>
      <c r="B1285" s="102">
        <f t="shared" ref="B1285:I1285" si="695">SUM(B1280:B1284)</f>
        <v>86</v>
      </c>
      <c r="C1285" s="102">
        <f t="shared" si="695"/>
        <v>96</v>
      </c>
      <c r="D1285" s="102">
        <f t="shared" si="695"/>
        <v>104</v>
      </c>
      <c r="E1285" s="102">
        <f t="shared" si="695"/>
        <v>98</v>
      </c>
      <c r="F1285" s="102">
        <f t="shared" si="695"/>
        <v>124</v>
      </c>
      <c r="G1285" s="79">
        <f t="shared" si="695"/>
        <v>87</v>
      </c>
      <c r="H1285" s="79">
        <f t="shared" si="695"/>
        <v>92</v>
      </c>
      <c r="I1285" s="472">
        <f t="shared" si="695"/>
        <v>687</v>
      </c>
      <c r="J1285" s="723">
        <f t="shared" si="694"/>
        <v>98.142857142857139</v>
      </c>
    </row>
    <row r="1286" spans="1:10" x14ac:dyDescent="0.25">
      <c r="A1286" s="622" t="s">
        <v>18</v>
      </c>
      <c r="B1286" s="234">
        <v>0.54</v>
      </c>
      <c r="C1286" s="235">
        <v>0.45</v>
      </c>
      <c r="D1286" s="235">
        <v>0.51</v>
      </c>
      <c r="E1286" s="236">
        <v>0.57999999999999996</v>
      </c>
      <c r="F1286" s="236">
        <v>0.41</v>
      </c>
      <c r="G1286" s="236">
        <v>0.56000000000000005</v>
      </c>
      <c r="H1286" s="236">
        <v>0.73</v>
      </c>
      <c r="I1286" s="18">
        <f>I1293/I1298</f>
        <v>0.53442444317183047</v>
      </c>
      <c r="J1286" s="724">
        <f>J1293/J1298</f>
        <v>0.53442444317183047</v>
      </c>
    </row>
    <row r="1287" spans="1:10" x14ac:dyDescent="0.25">
      <c r="A1287" s="622" t="s">
        <v>19</v>
      </c>
      <c r="B1287" s="234">
        <v>0.04</v>
      </c>
      <c r="C1287" s="235">
        <v>0</v>
      </c>
      <c r="D1287" s="235">
        <v>0</v>
      </c>
      <c r="E1287" s="236">
        <v>0</v>
      </c>
      <c r="F1287" s="236">
        <v>0.02</v>
      </c>
      <c r="G1287" s="236">
        <v>0.02</v>
      </c>
      <c r="H1287" s="236">
        <v>0.01</v>
      </c>
      <c r="I1287" s="18">
        <f>I1294/I1298</f>
        <v>1.2079039484232225E-2</v>
      </c>
      <c r="J1287" s="724">
        <f>J1294/J1298</f>
        <v>1.2079039484232227E-2</v>
      </c>
    </row>
    <row r="1288" spans="1:10" x14ac:dyDescent="0.25">
      <c r="A1288" s="622" t="s">
        <v>20</v>
      </c>
      <c r="B1288" s="234">
        <v>0.39</v>
      </c>
      <c r="C1288" s="235">
        <v>0.49</v>
      </c>
      <c r="D1288" s="235">
        <v>0.45</v>
      </c>
      <c r="E1288" s="236">
        <v>0.42</v>
      </c>
      <c r="F1288" s="236">
        <v>0.56000000000000005</v>
      </c>
      <c r="G1288" s="236">
        <v>0.42</v>
      </c>
      <c r="H1288" s="236">
        <v>0.22</v>
      </c>
      <c r="I1288" s="18">
        <f>I1295/I1298</f>
        <v>0.42862427808563114</v>
      </c>
      <c r="J1288" s="724">
        <f>J1295/J1298</f>
        <v>0.42862427808563114</v>
      </c>
    </row>
    <row r="1289" spans="1:10" x14ac:dyDescent="0.25">
      <c r="A1289" s="622" t="s">
        <v>21</v>
      </c>
      <c r="B1289" s="234">
        <v>0.03</v>
      </c>
      <c r="C1289" s="235">
        <v>0.06</v>
      </c>
      <c r="D1289" s="235">
        <v>0.04</v>
      </c>
      <c r="E1289" s="236">
        <v>0</v>
      </c>
      <c r="F1289" s="236">
        <v>0.01</v>
      </c>
      <c r="G1289" s="236">
        <v>0</v>
      </c>
      <c r="H1289" s="236">
        <v>0.02</v>
      </c>
      <c r="I1289" s="18">
        <f>I1296/I1298</f>
        <v>2.2109976267437402E-2</v>
      </c>
      <c r="J1289" s="724">
        <f>J1296/J1298</f>
        <v>2.2109976267437402E-2</v>
      </c>
    </row>
    <row r="1290" spans="1:10" x14ac:dyDescent="0.25">
      <c r="A1290" s="622" t="s">
        <v>22</v>
      </c>
      <c r="B1290" s="234">
        <v>0</v>
      </c>
      <c r="C1290" s="235">
        <v>0</v>
      </c>
      <c r="D1290" s="235">
        <v>0</v>
      </c>
      <c r="E1290" s="236">
        <v>0</v>
      </c>
      <c r="F1290" s="236">
        <v>0</v>
      </c>
      <c r="G1290" s="236">
        <v>0</v>
      </c>
      <c r="H1290" s="236">
        <v>0.02</v>
      </c>
      <c r="I1290" s="18">
        <f>I1297/I1298</f>
        <v>2.7622629908689547E-3</v>
      </c>
      <c r="J1290" s="724">
        <f>J1297/J1298</f>
        <v>2.7622629908689552E-3</v>
      </c>
    </row>
    <row r="1291" spans="1:10" x14ac:dyDescent="0.25">
      <c r="A1291" s="627" t="s">
        <v>23</v>
      </c>
      <c r="B1291" s="450">
        <f t="shared" ref="B1291:J1291" si="696">B1302/B1285</f>
        <v>32465.116279069774</v>
      </c>
      <c r="C1291" s="130">
        <f t="shared" si="696"/>
        <v>34916.666666666672</v>
      </c>
      <c r="D1291" s="130">
        <f t="shared" si="696"/>
        <v>34398.076923076929</v>
      </c>
      <c r="E1291" s="130">
        <f t="shared" si="696"/>
        <v>39161.224489795924</v>
      </c>
      <c r="F1291" s="130">
        <f t="shared" si="696"/>
        <v>35905.645161290326</v>
      </c>
      <c r="G1291" s="130">
        <f t="shared" si="696"/>
        <v>35300</v>
      </c>
      <c r="H1291" s="130">
        <f t="shared" si="696"/>
        <v>37389.130434782608</v>
      </c>
      <c r="I1291" s="130">
        <f t="shared" si="696"/>
        <v>35694.905385735081</v>
      </c>
      <c r="J1291" s="685">
        <f t="shared" si="696"/>
        <v>35694.905385735081</v>
      </c>
    </row>
    <row r="1292" spans="1:10" x14ac:dyDescent="0.25">
      <c r="A1292" s="627" t="s">
        <v>24</v>
      </c>
      <c r="B1292" s="450">
        <f t="shared" ref="B1292:J1292" si="697">B1302/B1279</f>
        <v>26590.476190476194</v>
      </c>
      <c r="C1292" s="130">
        <f t="shared" si="697"/>
        <v>27933.333333333336</v>
      </c>
      <c r="D1292" s="130">
        <f t="shared" si="697"/>
        <v>29322.950819672136</v>
      </c>
      <c r="E1292" s="130">
        <f t="shared" si="697"/>
        <v>29296.183206106874</v>
      </c>
      <c r="F1292" s="130">
        <f t="shared" si="697"/>
        <v>26821.084337349399</v>
      </c>
      <c r="G1292" s="130">
        <f t="shared" si="697"/>
        <v>26705.217391304348</v>
      </c>
      <c r="H1292" s="130">
        <f t="shared" si="697"/>
        <v>27518.400000000001</v>
      </c>
      <c r="I1292" s="130">
        <f t="shared" si="697"/>
        <v>27740.271493212669</v>
      </c>
      <c r="J1292" s="685">
        <f t="shared" si="697"/>
        <v>27740.271493212669</v>
      </c>
    </row>
    <row r="1293" spans="1:10" x14ac:dyDescent="0.25">
      <c r="A1293" s="622" t="s">
        <v>25</v>
      </c>
      <c r="B1293" s="451">
        <f t="shared" ref="B1293:H1293" si="698">B1298*B1286</f>
        <v>1246278.1779310347</v>
      </c>
      <c r="C1293" s="92">
        <f t="shared" si="698"/>
        <v>1257979.1275862071</v>
      </c>
      <c r="D1293" s="92">
        <f t="shared" si="698"/>
        <v>1516189.9737931036</v>
      </c>
      <c r="E1293" s="92">
        <f t="shared" si="698"/>
        <v>1846093.76</v>
      </c>
      <c r="F1293" s="92">
        <f t="shared" si="698"/>
        <v>1525160.4986206896</v>
      </c>
      <c r="G1293" s="92">
        <f t="shared" si="698"/>
        <v>1417711.6800000002</v>
      </c>
      <c r="H1293" s="92">
        <f t="shared" si="698"/>
        <v>2048395.2041379311</v>
      </c>
      <c r="I1293" s="92">
        <f>SUM(B1293:H1293)</f>
        <v>10857808.422068967</v>
      </c>
      <c r="J1293" s="715">
        <f t="shared" ref="J1293:J1298" si="699">+$I1293/7</f>
        <v>1551115.4888669953</v>
      </c>
    </row>
    <row r="1294" spans="1:10" x14ac:dyDescent="0.25">
      <c r="A1294" s="622" t="s">
        <v>26</v>
      </c>
      <c r="B1294" s="451">
        <f t="shared" ref="B1294:H1294" si="700">B1298*B1287</f>
        <v>92316.90206896553</v>
      </c>
      <c r="C1294" s="92">
        <f t="shared" si="700"/>
        <v>0</v>
      </c>
      <c r="D1294" s="92">
        <f t="shared" si="700"/>
        <v>0</v>
      </c>
      <c r="E1294" s="92">
        <f t="shared" si="700"/>
        <v>0</v>
      </c>
      <c r="F1294" s="92">
        <f t="shared" si="700"/>
        <v>74398.073103448289</v>
      </c>
      <c r="G1294" s="92">
        <f t="shared" si="700"/>
        <v>50632.56</v>
      </c>
      <c r="H1294" s="92">
        <f t="shared" si="700"/>
        <v>28060.208275862071</v>
      </c>
      <c r="I1294" s="92">
        <f>SUM(B1294:H1294)</f>
        <v>245407.74344827587</v>
      </c>
      <c r="J1294" s="715">
        <f t="shared" si="699"/>
        <v>35058.24906403941</v>
      </c>
    </row>
    <row r="1295" spans="1:10" x14ac:dyDescent="0.25">
      <c r="A1295" s="622" t="s">
        <v>27</v>
      </c>
      <c r="B1295" s="451">
        <f t="shared" ref="B1295:H1295" si="701">B1298*B1288</f>
        <v>900089.79517241393</v>
      </c>
      <c r="C1295" s="92">
        <f t="shared" si="701"/>
        <v>1369799.4944827587</v>
      </c>
      <c r="D1295" s="92">
        <f t="shared" si="701"/>
        <v>1337814.6827586209</v>
      </c>
      <c r="E1295" s="92">
        <f t="shared" si="701"/>
        <v>1336826.5158620691</v>
      </c>
      <c r="F1295" s="92">
        <f t="shared" si="701"/>
        <v>2083146.0468965522</v>
      </c>
      <c r="G1295" s="92">
        <f t="shared" si="701"/>
        <v>1063283.76</v>
      </c>
      <c r="H1295" s="92">
        <f t="shared" si="701"/>
        <v>617324.58206896554</v>
      </c>
      <c r="I1295" s="92">
        <f>SUM(B1295:H1295)</f>
        <v>8708284.8772413805</v>
      </c>
      <c r="J1295" s="715">
        <f t="shared" si="699"/>
        <v>1244040.6967487687</v>
      </c>
    </row>
    <row r="1296" spans="1:10" x14ac:dyDescent="0.25">
      <c r="A1296" s="622" t="s">
        <v>28</v>
      </c>
      <c r="B1296" s="451">
        <f t="shared" ref="B1296:H1296" si="702">B1298*B1289</f>
        <v>69237.676551724144</v>
      </c>
      <c r="C1296" s="92">
        <f t="shared" si="702"/>
        <v>167730.55034482758</v>
      </c>
      <c r="D1296" s="92">
        <f t="shared" si="702"/>
        <v>118916.86068965519</v>
      </c>
      <c r="E1296" s="92">
        <f t="shared" si="702"/>
        <v>0</v>
      </c>
      <c r="F1296" s="92">
        <f t="shared" si="702"/>
        <v>37199.036551724144</v>
      </c>
      <c r="G1296" s="92">
        <f t="shared" si="702"/>
        <v>0</v>
      </c>
      <c r="H1296" s="92">
        <f t="shared" si="702"/>
        <v>56120.416551724142</v>
      </c>
      <c r="I1296" s="92">
        <f>SUM(B1296:H1296)</f>
        <v>449204.54068965517</v>
      </c>
      <c r="J1296" s="715">
        <f t="shared" si="699"/>
        <v>64172.077241379309</v>
      </c>
    </row>
    <row r="1297" spans="1:10" x14ac:dyDescent="0.25">
      <c r="A1297" s="622" t="s">
        <v>29</v>
      </c>
      <c r="B1297" s="451">
        <f t="shared" ref="B1297:H1297" si="703">B1298*B1290</f>
        <v>0</v>
      </c>
      <c r="C1297" s="92">
        <f t="shared" si="703"/>
        <v>0</v>
      </c>
      <c r="D1297" s="92">
        <f t="shared" si="703"/>
        <v>0</v>
      </c>
      <c r="E1297" s="92">
        <f t="shared" si="703"/>
        <v>0</v>
      </c>
      <c r="F1297" s="92">
        <f t="shared" si="703"/>
        <v>0</v>
      </c>
      <c r="G1297" s="92">
        <f t="shared" si="703"/>
        <v>0</v>
      </c>
      <c r="H1297" s="92">
        <f t="shared" si="703"/>
        <v>56120.416551724142</v>
      </c>
      <c r="I1297" s="92">
        <f>SUM(B1297:H1297)</f>
        <v>56120.416551724142</v>
      </c>
      <c r="J1297" s="715">
        <f t="shared" si="699"/>
        <v>8017.2023645320205</v>
      </c>
    </row>
    <row r="1298" spans="1:10" x14ac:dyDescent="0.25">
      <c r="A1298" s="630" t="s">
        <v>30</v>
      </c>
      <c r="B1298" s="237">
        <f>(2792000/1.16)-B1299</f>
        <v>2307922.5517241382</v>
      </c>
      <c r="C1298" s="237">
        <f>(3352000/1.16)-C1299</f>
        <v>2795509.1724137934</v>
      </c>
      <c r="D1298" s="237">
        <f>(3577400/1.16)-D1299</f>
        <v>2972921.5172413797</v>
      </c>
      <c r="E1298" s="237">
        <f>(3837800/1.16)-E1299</f>
        <v>3182920.2758620693</v>
      </c>
      <c r="F1298" s="237">
        <f>(4452300/1.16)-F1299</f>
        <v>3719903.6551724141</v>
      </c>
      <c r="G1298" s="237">
        <f>(3071100/1.16)-G1299</f>
        <v>2531628</v>
      </c>
      <c r="H1298" s="237">
        <f>(3439800/1.16)-H1299</f>
        <v>2806020.8275862071</v>
      </c>
      <c r="I1298" s="91">
        <f>SUM(I1293:I1297)</f>
        <v>20316826</v>
      </c>
      <c r="J1298" s="716">
        <f t="shared" si="699"/>
        <v>2902403.7142857141</v>
      </c>
    </row>
    <row r="1299" spans="1:10" x14ac:dyDescent="0.25">
      <c r="A1299" s="622" t="s">
        <v>31</v>
      </c>
      <c r="B1299" s="452">
        <f t="shared" ref="B1299:H1299" si="704">2414*B1280</f>
        <v>98974</v>
      </c>
      <c r="C1299" s="94">
        <f t="shared" si="704"/>
        <v>94146</v>
      </c>
      <c r="D1299" s="94">
        <f t="shared" si="704"/>
        <v>111044</v>
      </c>
      <c r="E1299" s="94">
        <f t="shared" si="704"/>
        <v>125528</v>
      </c>
      <c r="F1299" s="94">
        <f t="shared" si="704"/>
        <v>118286</v>
      </c>
      <c r="G1299" s="94">
        <f t="shared" si="704"/>
        <v>115872</v>
      </c>
      <c r="H1299" s="94">
        <f t="shared" si="704"/>
        <v>159324</v>
      </c>
      <c r="I1299" s="94">
        <f>I1280*2414</f>
        <v>823174</v>
      </c>
      <c r="J1299" s="717">
        <f>2155*J1280</f>
        <v>104979.28571428571</v>
      </c>
    </row>
    <row r="1300" spans="1:10" x14ac:dyDescent="0.25">
      <c r="A1300" s="633" t="s">
        <v>32</v>
      </c>
      <c r="B1300" s="453">
        <f t="shared" ref="B1300:J1300" si="705">B1298+B1299</f>
        <v>2406896.5517241382</v>
      </c>
      <c r="C1300" s="39">
        <f t="shared" si="705"/>
        <v>2889655.1724137934</v>
      </c>
      <c r="D1300" s="39">
        <f t="shared" si="705"/>
        <v>3083965.5172413797</v>
      </c>
      <c r="E1300" s="39">
        <f t="shared" si="705"/>
        <v>3308448.2758620693</v>
      </c>
      <c r="F1300" s="39">
        <f t="shared" si="705"/>
        <v>3838189.6551724141</v>
      </c>
      <c r="G1300" s="39">
        <f t="shared" si="705"/>
        <v>2647500</v>
      </c>
      <c r="H1300" s="39">
        <f t="shared" si="705"/>
        <v>2965344.8275862071</v>
      </c>
      <c r="I1300" s="39">
        <f t="shared" si="705"/>
        <v>21140000</v>
      </c>
      <c r="J1300" s="718">
        <f t="shared" si="705"/>
        <v>3007383</v>
      </c>
    </row>
    <row r="1301" spans="1:10" x14ac:dyDescent="0.25">
      <c r="A1301" s="622" t="s">
        <v>33</v>
      </c>
      <c r="B1301" s="454">
        <f t="shared" ref="B1301:J1301" si="706">B1300*16%</f>
        <v>385103.44827586215</v>
      </c>
      <c r="C1301" s="41">
        <f t="shared" si="706"/>
        <v>462344.82758620696</v>
      </c>
      <c r="D1301" s="41">
        <f t="shared" si="706"/>
        <v>493434.48275862075</v>
      </c>
      <c r="E1301" s="41">
        <f t="shared" si="706"/>
        <v>529351.72413793113</v>
      </c>
      <c r="F1301" s="41">
        <f t="shared" si="706"/>
        <v>614110.34482758632</v>
      </c>
      <c r="G1301" s="41">
        <f t="shared" si="706"/>
        <v>423600</v>
      </c>
      <c r="H1301" s="41">
        <f t="shared" si="706"/>
        <v>474455.17241379316</v>
      </c>
      <c r="I1301" s="41">
        <f t="shared" si="706"/>
        <v>3382400</v>
      </c>
      <c r="J1301" s="725">
        <f t="shared" si="706"/>
        <v>481181.28</v>
      </c>
    </row>
    <row r="1302" spans="1:10" ht="15.75" thickBot="1" x14ac:dyDescent="0.3">
      <c r="A1302" s="636" t="s">
        <v>34</v>
      </c>
      <c r="B1302" s="637">
        <f t="shared" ref="B1302:I1302" si="707">B1300+B1301</f>
        <v>2792000.0000000005</v>
      </c>
      <c r="C1302" s="686">
        <f t="shared" si="707"/>
        <v>3352000.0000000005</v>
      </c>
      <c r="D1302" s="686">
        <f t="shared" si="707"/>
        <v>3577400.0000000005</v>
      </c>
      <c r="E1302" s="686">
        <f t="shared" si="707"/>
        <v>3837800.0000000005</v>
      </c>
      <c r="F1302" s="686">
        <f t="shared" si="707"/>
        <v>4452300</v>
      </c>
      <c r="G1302" s="686">
        <f t="shared" si="707"/>
        <v>3071100</v>
      </c>
      <c r="H1302" s="686">
        <f t="shared" si="707"/>
        <v>3439800</v>
      </c>
      <c r="I1302" s="686">
        <f t="shared" si="707"/>
        <v>24522400</v>
      </c>
      <c r="J1302" s="720">
        <f>+$I1302/7</f>
        <v>3503200</v>
      </c>
    </row>
    <row r="1303" spans="1:10" ht="15.75" thickBot="1" x14ac:dyDescent="0.3">
      <c r="I1303" s="89"/>
    </row>
    <row r="1304" spans="1:10" ht="27" thickBot="1" x14ac:dyDescent="0.3">
      <c r="A1304" s="85"/>
      <c r="B1304" s="1002" t="s">
        <v>389</v>
      </c>
      <c r="C1304" s="1002"/>
      <c r="D1304" s="1002"/>
      <c r="E1304" s="1002"/>
      <c r="F1304" s="1002"/>
      <c r="G1304" s="1002"/>
      <c r="H1304" s="1002"/>
      <c r="I1304" s="1002"/>
    </row>
    <row r="1305" spans="1:10" ht="15.75" x14ac:dyDescent="0.25">
      <c r="A1305" s="614" t="s">
        <v>2</v>
      </c>
      <c r="B1305" s="706" t="s">
        <v>282</v>
      </c>
      <c r="C1305" s="641" t="s">
        <v>4</v>
      </c>
      <c r="D1305" s="641" t="s">
        <v>5</v>
      </c>
      <c r="E1305" s="641" t="s">
        <v>6</v>
      </c>
      <c r="F1305" s="641" t="s">
        <v>7</v>
      </c>
      <c r="G1305" s="641" t="s">
        <v>283</v>
      </c>
      <c r="H1305" s="641" t="s">
        <v>9</v>
      </c>
      <c r="I1305" s="618" t="s">
        <v>10</v>
      </c>
      <c r="J1305" s="711" t="s">
        <v>77</v>
      </c>
    </row>
    <row r="1306" spans="1:10" x14ac:dyDescent="0.25">
      <c r="A1306" s="620" t="s">
        <v>11</v>
      </c>
      <c r="B1306" s="433">
        <f>70+45+9</f>
        <v>124</v>
      </c>
      <c r="C1306" s="75">
        <f>53+32+7</f>
        <v>92</v>
      </c>
      <c r="D1306" s="75">
        <f>59+41+10</f>
        <v>110</v>
      </c>
      <c r="E1306" s="75">
        <f>67+36+6</f>
        <v>109</v>
      </c>
      <c r="F1306" s="75">
        <f>116+84+26</f>
        <v>226</v>
      </c>
      <c r="G1306" s="75">
        <f>99+63+26</f>
        <v>188</v>
      </c>
      <c r="H1306" s="75">
        <f>89+64+15</f>
        <v>168</v>
      </c>
      <c r="I1306" s="467">
        <f t="shared" ref="I1306:I1311" si="708">SUM(B1306:H1306)</f>
        <v>1017</v>
      </c>
      <c r="J1306" s="721">
        <f>+$I1306/7</f>
        <v>145.28571428571428</v>
      </c>
    </row>
    <row r="1307" spans="1:10" x14ac:dyDescent="0.25">
      <c r="A1307" s="622" t="s">
        <v>12</v>
      </c>
      <c r="B1307" s="233">
        <v>79</v>
      </c>
      <c r="C1307" s="13">
        <v>35</v>
      </c>
      <c r="D1307" s="13">
        <v>37</v>
      </c>
      <c r="E1307" s="13">
        <v>38</v>
      </c>
      <c r="F1307" s="13">
        <v>80</v>
      </c>
      <c r="G1307" s="320">
        <v>89</v>
      </c>
      <c r="H1307" s="13">
        <v>105</v>
      </c>
      <c r="I1307" s="11">
        <f t="shared" si="708"/>
        <v>463</v>
      </c>
      <c r="J1307" s="722">
        <f t="shared" ref="J1307:J1312" si="709">+$I1307/7</f>
        <v>66.142857142857139</v>
      </c>
    </row>
    <row r="1308" spans="1:10" x14ac:dyDescent="0.25">
      <c r="A1308" s="622" t="s">
        <v>13</v>
      </c>
      <c r="B1308" s="233">
        <v>1</v>
      </c>
      <c r="C1308" s="13">
        <v>0</v>
      </c>
      <c r="D1308" s="13">
        <v>2</v>
      </c>
      <c r="E1308" s="13">
        <v>1</v>
      </c>
      <c r="F1308" s="13">
        <v>2</v>
      </c>
      <c r="G1308" s="13">
        <v>4</v>
      </c>
      <c r="H1308" s="13">
        <v>0</v>
      </c>
      <c r="I1308" s="11">
        <f t="shared" si="708"/>
        <v>10</v>
      </c>
      <c r="J1308" s="722">
        <f t="shared" si="709"/>
        <v>1.4285714285714286</v>
      </c>
    </row>
    <row r="1309" spans="1:10" x14ac:dyDescent="0.25">
      <c r="A1309" s="622" t="s">
        <v>14</v>
      </c>
      <c r="B1309" s="233">
        <v>20</v>
      </c>
      <c r="C1309" s="13">
        <v>41</v>
      </c>
      <c r="D1309" s="13">
        <v>46</v>
      </c>
      <c r="E1309" s="13">
        <v>43</v>
      </c>
      <c r="F1309" s="13">
        <v>93</v>
      </c>
      <c r="G1309" s="13">
        <v>52</v>
      </c>
      <c r="H1309" s="13">
        <v>37</v>
      </c>
      <c r="I1309" s="11">
        <f t="shared" si="708"/>
        <v>332</v>
      </c>
      <c r="J1309" s="722">
        <f t="shared" si="709"/>
        <v>47.428571428571431</v>
      </c>
    </row>
    <row r="1310" spans="1:10" x14ac:dyDescent="0.25">
      <c r="A1310" s="622" t="s">
        <v>15</v>
      </c>
      <c r="B1310" s="233">
        <v>1</v>
      </c>
      <c r="C1310" s="13">
        <v>1</v>
      </c>
      <c r="D1310" s="13">
        <v>5</v>
      </c>
      <c r="E1310" s="13">
        <v>4</v>
      </c>
      <c r="F1310" s="13">
        <v>1</v>
      </c>
      <c r="G1310" s="13">
        <v>3</v>
      </c>
      <c r="H1310" s="13">
        <v>1</v>
      </c>
      <c r="I1310" s="11">
        <f t="shared" si="708"/>
        <v>16</v>
      </c>
      <c r="J1310" s="722">
        <f t="shared" si="709"/>
        <v>2.2857142857142856</v>
      </c>
    </row>
    <row r="1311" spans="1:10" x14ac:dyDescent="0.25">
      <c r="A1311" s="622" t="s">
        <v>16</v>
      </c>
      <c r="B1311" s="233">
        <v>0</v>
      </c>
      <c r="C1311" s="13">
        <v>0</v>
      </c>
      <c r="D1311" s="13">
        <v>1</v>
      </c>
      <c r="E1311" s="13">
        <v>0</v>
      </c>
      <c r="F1311" s="13">
        <v>0</v>
      </c>
      <c r="G1311" s="13">
        <v>0</v>
      </c>
      <c r="H1311" s="13">
        <v>0</v>
      </c>
      <c r="I1311" s="11">
        <f t="shared" si="708"/>
        <v>1</v>
      </c>
      <c r="J1311" s="722">
        <f t="shared" si="709"/>
        <v>0.14285714285714285</v>
      </c>
    </row>
    <row r="1312" spans="1:10" x14ac:dyDescent="0.25">
      <c r="A1312" s="624" t="s">
        <v>17</v>
      </c>
      <c r="B1312" s="102">
        <f t="shared" ref="B1312:I1312" si="710">SUM(B1307:B1311)</f>
        <v>101</v>
      </c>
      <c r="C1312" s="102">
        <f t="shared" si="710"/>
        <v>77</v>
      </c>
      <c r="D1312" s="102">
        <f t="shared" si="710"/>
        <v>91</v>
      </c>
      <c r="E1312" s="102">
        <f t="shared" si="710"/>
        <v>86</v>
      </c>
      <c r="F1312" s="102">
        <f t="shared" si="710"/>
        <v>176</v>
      </c>
      <c r="G1312" s="79">
        <f t="shared" si="710"/>
        <v>148</v>
      </c>
      <c r="H1312" s="79">
        <f t="shared" si="710"/>
        <v>143</v>
      </c>
      <c r="I1312" s="472">
        <f t="shared" si="710"/>
        <v>822</v>
      </c>
      <c r="J1312" s="723">
        <f t="shared" si="709"/>
        <v>117.42857142857143</v>
      </c>
    </row>
    <row r="1313" spans="1:10" x14ac:dyDescent="0.25">
      <c r="A1313" s="622" t="s">
        <v>18</v>
      </c>
      <c r="B1313" s="234">
        <v>0.79</v>
      </c>
      <c r="C1313" s="235">
        <v>0.51</v>
      </c>
      <c r="D1313" s="235">
        <v>0.51</v>
      </c>
      <c r="E1313" s="236">
        <v>0.49</v>
      </c>
      <c r="F1313" s="236">
        <v>0.53</v>
      </c>
      <c r="G1313" s="236">
        <v>0.63</v>
      </c>
      <c r="H1313" s="236">
        <v>0.79</v>
      </c>
      <c r="I1313" s="18">
        <f>I1320/I1325</f>
        <v>0.61702174558690215</v>
      </c>
      <c r="J1313" s="724">
        <f>J1320/J1325</f>
        <v>0.61702174558690215</v>
      </c>
    </row>
    <row r="1314" spans="1:10" x14ac:dyDescent="0.25">
      <c r="A1314" s="622" t="s">
        <v>19</v>
      </c>
      <c r="B1314" s="234">
        <v>0.03</v>
      </c>
      <c r="C1314" s="235">
        <v>0</v>
      </c>
      <c r="D1314" s="235">
        <v>0.01</v>
      </c>
      <c r="E1314" s="236">
        <v>0</v>
      </c>
      <c r="F1314" s="236">
        <v>0.01</v>
      </c>
      <c r="G1314" s="236">
        <v>0.03</v>
      </c>
      <c r="H1314" s="236">
        <v>0</v>
      </c>
      <c r="I1314" s="18">
        <f>I1321/I1325</f>
        <v>1.2735711784525539E-2</v>
      </c>
      <c r="J1314" s="724">
        <f>J1321/J1325</f>
        <v>1.2735711784525537E-2</v>
      </c>
    </row>
    <row r="1315" spans="1:10" x14ac:dyDescent="0.25">
      <c r="A1315" s="622" t="s">
        <v>20</v>
      </c>
      <c r="B1315" s="234">
        <v>0.17</v>
      </c>
      <c r="C1315" s="235">
        <v>0.49</v>
      </c>
      <c r="D1315" s="235">
        <v>0.43</v>
      </c>
      <c r="E1315" s="236">
        <v>0.45</v>
      </c>
      <c r="F1315" s="236">
        <v>0.46</v>
      </c>
      <c r="G1315" s="236">
        <v>0.32</v>
      </c>
      <c r="H1315" s="236">
        <v>0.2</v>
      </c>
      <c r="I1315" s="18">
        <f>I1322/I1325</f>
        <v>0.35189990571849938</v>
      </c>
      <c r="J1315" s="724">
        <f>J1322/J1325</f>
        <v>0.35189990571849933</v>
      </c>
    </row>
    <row r="1316" spans="1:10" x14ac:dyDescent="0.25">
      <c r="A1316" s="622" t="s">
        <v>21</v>
      </c>
      <c r="B1316" s="234">
        <v>0.01</v>
      </c>
      <c r="C1316" s="235">
        <v>0</v>
      </c>
      <c r="D1316" s="235">
        <v>0.04</v>
      </c>
      <c r="E1316" s="236">
        <v>0.06</v>
      </c>
      <c r="F1316" s="236">
        <v>0</v>
      </c>
      <c r="G1316" s="236">
        <v>0.02</v>
      </c>
      <c r="H1316" s="236">
        <v>0.01</v>
      </c>
      <c r="I1316" s="18">
        <f>I1323/I1325</f>
        <v>1.7254736565109584E-2</v>
      </c>
      <c r="J1316" s="724">
        <f>J1323/J1325</f>
        <v>1.7254736565109584E-2</v>
      </c>
    </row>
    <row r="1317" spans="1:10" x14ac:dyDescent="0.25">
      <c r="A1317" s="622" t="s">
        <v>22</v>
      </c>
      <c r="B1317" s="234">
        <v>0</v>
      </c>
      <c r="C1317" s="235">
        <v>0</v>
      </c>
      <c r="D1317" s="235">
        <v>0.01</v>
      </c>
      <c r="E1317" s="236">
        <v>0</v>
      </c>
      <c r="F1317" s="236">
        <v>0</v>
      </c>
      <c r="G1317" s="236">
        <v>0</v>
      </c>
      <c r="H1317" s="236">
        <v>0</v>
      </c>
      <c r="I1317" s="18">
        <f>I1324/I1325</f>
        <v>1.0879003449633018E-3</v>
      </c>
      <c r="J1317" s="724">
        <f>J1324/J1325</f>
        <v>1.0879003449633018E-3</v>
      </c>
    </row>
    <row r="1318" spans="1:10" x14ac:dyDescent="0.25">
      <c r="A1318" s="627" t="s">
        <v>23</v>
      </c>
      <c r="B1318" s="450">
        <f t="shared" ref="B1318:J1318" si="711">B1329/B1312</f>
        <v>36365.346534653465</v>
      </c>
      <c r="C1318" s="130">
        <f t="shared" si="711"/>
        <v>31677.922077922078</v>
      </c>
      <c r="D1318" s="130">
        <f t="shared" si="711"/>
        <v>33671.42857142858</v>
      </c>
      <c r="E1318" s="130">
        <f t="shared" si="711"/>
        <v>33991.860465116282</v>
      </c>
      <c r="F1318" s="130">
        <f t="shared" si="711"/>
        <v>35348.86363636364</v>
      </c>
      <c r="G1318" s="130">
        <f t="shared" si="711"/>
        <v>36243.91891891892</v>
      </c>
      <c r="H1318" s="130">
        <f t="shared" si="711"/>
        <v>33737.062937062939</v>
      </c>
      <c r="I1318" s="130">
        <f t="shared" si="711"/>
        <v>34682.968369829687</v>
      </c>
      <c r="J1318" s="685">
        <f t="shared" si="711"/>
        <v>34682.968369829687</v>
      </c>
    </row>
    <row r="1319" spans="1:10" x14ac:dyDescent="0.25">
      <c r="A1319" s="627" t="s">
        <v>24</v>
      </c>
      <c r="B1319" s="450">
        <f t="shared" ref="B1319:J1319" si="712">B1329/B1306</f>
        <v>29620.16129032258</v>
      </c>
      <c r="C1319" s="130">
        <f t="shared" si="712"/>
        <v>26513.043478260868</v>
      </c>
      <c r="D1319" s="130">
        <f t="shared" si="712"/>
        <v>27855.454545454551</v>
      </c>
      <c r="E1319" s="130">
        <f t="shared" si="712"/>
        <v>26819.266055045871</v>
      </c>
      <c r="F1319" s="130">
        <f t="shared" si="712"/>
        <v>27528.318584070799</v>
      </c>
      <c r="G1319" s="130">
        <f t="shared" si="712"/>
        <v>28532.446808510638</v>
      </c>
      <c r="H1319" s="130">
        <f t="shared" si="712"/>
        <v>28716.666666666668</v>
      </c>
      <c r="I1319" s="130">
        <f t="shared" si="712"/>
        <v>28032.841691248774</v>
      </c>
      <c r="J1319" s="685">
        <f t="shared" si="712"/>
        <v>28032.841691248777</v>
      </c>
    </row>
    <row r="1320" spans="1:10" x14ac:dyDescent="0.25">
      <c r="A1320" s="622" t="s">
        <v>25</v>
      </c>
      <c r="B1320" s="451">
        <f t="shared" ref="B1320:H1320" si="713">B1325*B1313</f>
        <v>2350713.811724138</v>
      </c>
      <c r="C1320" s="92">
        <f t="shared" si="713"/>
        <v>1029316.9965517242</v>
      </c>
      <c r="D1320" s="92">
        <f t="shared" si="713"/>
        <v>1301595.2337931036</v>
      </c>
      <c r="E1320" s="92">
        <f t="shared" si="713"/>
        <v>1189893.5613793104</v>
      </c>
      <c r="F1320" s="92">
        <f t="shared" si="713"/>
        <v>2740182.6068965523</v>
      </c>
      <c r="G1320" s="92">
        <f t="shared" si="713"/>
        <v>2777908.2268965519</v>
      </c>
      <c r="H1320" s="92">
        <f t="shared" si="713"/>
        <v>3085341.4586206903</v>
      </c>
      <c r="I1320" s="92">
        <f>SUM(B1320:H1320)</f>
        <v>14474951.895862071</v>
      </c>
      <c r="J1320" s="715">
        <f t="shared" ref="J1320:J1325" si="714">+$I1320/7</f>
        <v>2067850.2708374388</v>
      </c>
    </row>
    <row r="1321" spans="1:10" x14ac:dyDescent="0.25">
      <c r="A1321" s="622" t="s">
        <v>26</v>
      </c>
      <c r="B1321" s="451">
        <f t="shared" ref="B1321:H1321" si="715">B1325*B1314</f>
        <v>89267.613103448268</v>
      </c>
      <c r="C1321" s="92">
        <f t="shared" si="715"/>
        <v>0</v>
      </c>
      <c r="D1321" s="92">
        <f t="shared" si="715"/>
        <v>25521.475172413797</v>
      </c>
      <c r="E1321" s="92">
        <f t="shared" si="715"/>
        <v>0</v>
      </c>
      <c r="F1321" s="92">
        <f t="shared" si="715"/>
        <v>51701.558620689662</v>
      </c>
      <c r="G1321" s="92">
        <f t="shared" si="715"/>
        <v>132281.34413793104</v>
      </c>
      <c r="H1321" s="92">
        <f t="shared" si="715"/>
        <v>0</v>
      </c>
      <c r="I1321" s="92">
        <f>SUM(B1321:H1321)</f>
        <v>298771.99103448278</v>
      </c>
      <c r="J1321" s="715">
        <f t="shared" si="714"/>
        <v>42681.71300492611</v>
      </c>
    </row>
    <row r="1322" spans="1:10" x14ac:dyDescent="0.25">
      <c r="A1322" s="622" t="s">
        <v>27</v>
      </c>
      <c r="B1322" s="451">
        <f t="shared" ref="B1322:H1322" si="716">B1325*B1315</f>
        <v>505849.80758620694</v>
      </c>
      <c r="C1322" s="92">
        <f t="shared" si="716"/>
        <v>988951.62413793104</v>
      </c>
      <c r="D1322" s="92">
        <f t="shared" si="716"/>
        <v>1097423.4324137932</v>
      </c>
      <c r="E1322" s="92">
        <f t="shared" si="716"/>
        <v>1092759.3931034484</v>
      </c>
      <c r="F1322" s="92">
        <f t="shared" si="716"/>
        <v>2378271.6965517243</v>
      </c>
      <c r="G1322" s="92">
        <f t="shared" si="716"/>
        <v>1411001.0041379312</v>
      </c>
      <c r="H1322" s="92">
        <f t="shared" si="716"/>
        <v>781099.10344827594</v>
      </c>
      <c r="I1322" s="92">
        <f>SUM(B1322:H1322)</f>
        <v>8255356.0613793116</v>
      </c>
      <c r="J1322" s="715">
        <f t="shared" si="714"/>
        <v>1179336.5801970444</v>
      </c>
    </row>
    <row r="1323" spans="1:10" x14ac:dyDescent="0.25">
      <c r="A1323" s="622" t="s">
        <v>28</v>
      </c>
      <c r="B1323" s="451">
        <f t="shared" ref="B1323:H1323" si="717">B1325*B1316</f>
        <v>29755.87103448276</v>
      </c>
      <c r="C1323" s="92">
        <f t="shared" si="717"/>
        <v>0</v>
      </c>
      <c r="D1323" s="92">
        <f t="shared" si="717"/>
        <v>102085.90068965519</v>
      </c>
      <c r="E1323" s="92">
        <f t="shared" si="717"/>
        <v>145701.25241379312</v>
      </c>
      <c r="F1323" s="92">
        <f t="shared" si="717"/>
        <v>0</v>
      </c>
      <c r="G1323" s="92">
        <f t="shared" si="717"/>
        <v>88187.562758620697</v>
      </c>
      <c r="H1323" s="92">
        <f t="shared" si="717"/>
        <v>39054.9551724138</v>
      </c>
      <c r="I1323" s="92">
        <f>SUM(B1323:H1323)</f>
        <v>404785.54206896556</v>
      </c>
      <c r="J1323" s="715">
        <f t="shared" si="714"/>
        <v>57826.506009852223</v>
      </c>
    </row>
    <row r="1324" spans="1:10" x14ac:dyDescent="0.25">
      <c r="A1324" s="622" t="s">
        <v>29</v>
      </c>
      <c r="B1324" s="451">
        <f t="shared" ref="B1324:H1324" si="718">B1325*B1317</f>
        <v>0</v>
      </c>
      <c r="C1324" s="92">
        <f t="shared" si="718"/>
        <v>0</v>
      </c>
      <c r="D1324" s="92">
        <f t="shared" si="718"/>
        <v>25521.475172413797</v>
      </c>
      <c r="E1324" s="92">
        <f t="shared" si="718"/>
        <v>0</v>
      </c>
      <c r="F1324" s="92">
        <f t="shared" si="718"/>
        <v>0</v>
      </c>
      <c r="G1324" s="92">
        <f t="shared" si="718"/>
        <v>0</v>
      </c>
      <c r="H1324" s="92">
        <f t="shared" si="718"/>
        <v>0</v>
      </c>
      <c r="I1324" s="92">
        <f>SUM(B1324:H1324)</f>
        <v>25521.475172413797</v>
      </c>
      <c r="J1324" s="715">
        <f t="shared" si="714"/>
        <v>3645.9250246305423</v>
      </c>
    </row>
    <row r="1325" spans="1:10" x14ac:dyDescent="0.25">
      <c r="A1325" s="630" t="s">
        <v>30</v>
      </c>
      <c r="B1325" s="237">
        <f>(3672900/1.16)-B1326</f>
        <v>2975587.1034482759</v>
      </c>
      <c r="C1325" s="237">
        <f>(2439200/1.16)-C1326</f>
        <v>2018268.6206896552</v>
      </c>
      <c r="D1325" s="237">
        <f>(3064100/1.16)-D1326</f>
        <v>2552147.5172413797</v>
      </c>
      <c r="E1325" s="237">
        <f>(2923300/1.16)-E1326</f>
        <v>2428354.2068965519</v>
      </c>
      <c r="F1325" s="237">
        <f>(6221400/1.16)-F1326</f>
        <v>5170155.862068966</v>
      </c>
      <c r="G1325" s="237">
        <f>(5364100/1.16)-G1326</f>
        <v>4409378.1379310349</v>
      </c>
      <c r="H1325" s="237">
        <f>(4824400/1.16)-H1326</f>
        <v>3905495.5172413797</v>
      </c>
      <c r="I1325" s="91">
        <f>SUM(I1320:I1324)</f>
        <v>23459386.965517245</v>
      </c>
      <c r="J1325" s="716">
        <f t="shared" si="714"/>
        <v>3351340.9950738922</v>
      </c>
    </row>
    <row r="1326" spans="1:10" x14ac:dyDescent="0.25">
      <c r="A1326" s="622" t="s">
        <v>31</v>
      </c>
      <c r="B1326" s="452">
        <f t="shared" ref="B1326:H1326" si="719">2414*B1307</f>
        <v>190706</v>
      </c>
      <c r="C1326" s="94">
        <f t="shared" si="719"/>
        <v>84490</v>
      </c>
      <c r="D1326" s="94">
        <f t="shared" si="719"/>
        <v>89318</v>
      </c>
      <c r="E1326" s="94">
        <f t="shared" si="719"/>
        <v>91732</v>
      </c>
      <c r="F1326" s="94">
        <f t="shared" si="719"/>
        <v>193120</v>
      </c>
      <c r="G1326" s="94">
        <f t="shared" si="719"/>
        <v>214846</v>
      </c>
      <c r="H1326" s="94">
        <f t="shared" si="719"/>
        <v>253470</v>
      </c>
      <c r="I1326" s="94">
        <f>I1307*2414</f>
        <v>1117682</v>
      </c>
      <c r="J1326" s="717">
        <f>2155*J1307</f>
        <v>142537.85714285713</v>
      </c>
    </row>
    <row r="1327" spans="1:10" x14ac:dyDescent="0.25">
      <c r="A1327" s="633" t="s">
        <v>32</v>
      </c>
      <c r="B1327" s="453">
        <f t="shared" ref="B1327:J1327" si="720">B1325+B1326</f>
        <v>3166293.1034482759</v>
      </c>
      <c r="C1327" s="39">
        <f t="shared" si="720"/>
        <v>2102758.6206896552</v>
      </c>
      <c r="D1327" s="39">
        <f t="shared" si="720"/>
        <v>2641465.5172413797</v>
      </c>
      <c r="E1327" s="39">
        <f t="shared" si="720"/>
        <v>2520086.2068965519</v>
      </c>
      <c r="F1327" s="39">
        <f t="shared" si="720"/>
        <v>5363275.862068966</v>
      </c>
      <c r="G1327" s="39">
        <f t="shared" si="720"/>
        <v>4624224.1379310349</v>
      </c>
      <c r="H1327" s="39">
        <f t="shared" si="720"/>
        <v>4158965.5172413797</v>
      </c>
      <c r="I1327" s="39">
        <f t="shared" si="720"/>
        <v>24577068.965517245</v>
      </c>
      <c r="J1327" s="718">
        <f t="shared" si="720"/>
        <v>3493878.8522167495</v>
      </c>
    </row>
    <row r="1328" spans="1:10" x14ac:dyDescent="0.25">
      <c r="A1328" s="622" t="s">
        <v>33</v>
      </c>
      <c r="B1328" s="454">
        <f t="shared" ref="B1328:J1328" si="721">B1327*16%</f>
        <v>506606.89655172417</v>
      </c>
      <c r="C1328" s="41">
        <f t="shared" si="721"/>
        <v>336441.37931034481</v>
      </c>
      <c r="D1328" s="41">
        <f t="shared" si="721"/>
        <v>422634.48275862075</v>
      </c>
      <c r="E1328" s="41">
        <f t="shared" si="721"/>
        <v>403213.79310344829</v>
      </c>
      <c r="F1328" s="41">
        <f t="shared" si="721"/>
        <v>858124.13793103455</v>
      </c>
      <c r="G1328" s="41">
        <f t="shared" si="721"/>
        <v>739875.86206896557</v>
      </c>
      <c r="H1328" s="41">
        <f t="shared" si="721"/>
        <v>665434.48275862075</v>
      </c>
      <c r="I1328" s="41">
        <f t="shared" si="721"/>
        <v>3932331.0344827594</v>
      </c>
      <c r="J1328" s="725">
        <f t="shared" si="721"/>
        <v>559020.61635467992</v>
      </c>
    </row>
    <row r="1329" spans="1:10" ht="15.75" thickBot="1" x14ac:dyDescent="0.3">
      <c r="A1329" s="636" t="s">
        <v>34</v>
      </c>
      <c r="B1329" s="637">
        <f t="shared" ref="B1329:I1329" si="722">B1327+B1328</f>
        <v>3672900</v>
      </c>
      <c r="C1329" s="686">
        <f t="shared" si="722"/>
        <v>2439200</v>
      </c>
      <c r="D1329" s="686">
        <f t="shared" si="722"/>
        <v>3064100.0000000005</v>
      </c>
      <c r="E1329" s="686">
        <f t="shared" si="722"/>
        <v>2923300</v>
      </c>
      <c r="F1329" s="686">
        <f t="shared" si="722"/>
        <v>6221400.0000000009</v>
      </c>
      <c r="G1329" s="686">
        <f t="shared" si="722"/>
        <v>5364100</v>
      </c>
      <c r="H1329" s="686">
        <f t="shared" si="722"/>
        <v>4824400</v>
      </c>
      <c r="I1329" s="686">
        <f t="shared" si="722"/>
        <v>28509400.000000004</v>
      </c>
      <c r="J1329" s="720">
        <f>+$I1329/7</f>
        <v>4072771.4285714291</v>
      </c>
    </row>
    <row r="1330" spans="1:10" ht="15.75" thickBot="1" x14ac:dyDescent="0.3">
      <c r="I1330" s="89"/>
    </row>
    <row r="1331" spans="1:10" ht="27" thickBot="1" x14ac:dyDescent="0.3">
      <c r="A1331" s="85"/>
      <c r="B1331" s="1002" t="s">
        <v>390</v>
      </c>
      <c r="C1331" s="1002"/>
      <c r="D1331" s="1002"/>
      <c r="E1331" s="1002"/>
      <c r="F1331" s="1002"/>
      <c r="G1331" s="1002"/>
      <c r="H1331" s="1002"/>
      <c r="I1331" s="1002"/>
    </row>
    <row r="1332" spans="1:10" ht="15.75" x14ac:dyDescent="0.25">
      <c r="A1332" s="614" t="s">
        <v>2</v>
      </c>
      <c r="B1332" s="706" t="s">
        <v>285</v>
      </c>
      <c r="C1332" s="641" t="s">
        <v>37</v>
      </c>
      <c r="D1332" s="641" t="s">
        <v>286</v>
      </c>
      <c r="E1332" s="641" t="s">
        <v>39</v>
      </c>
      <c r="F1332" s="641" t="s">
        <v>40</v>
      </c>
      <c r="G1332" s="641" t="s">
        <v>287</v>
      </c>
      <c r="H1332" s="641" t="s">
        <v>42</v>
      </c>
      <c r="I1332" s="618" t="s">
        <v>10</v>
      </c>
      <c r="J1332" s="711" t="s">
        <v>77</v>
      </c>
    </row>
    <row r="1333" spans="1:10" x14ac:dyDescent="0.25">
      <c r="A1333" s="620" t="s">
        <v>11</v>
      </c>
      <c r="B1333" s="433">
        <f>51+33+8</f>
        <v>92</v>
      </c>
      <c r="C1333" s="75">
        <f>83+36+16</f>
        <v>135</v>
      </c>
      <c r="D1333" s="75">
        <f>79+42+8</f>
        <v>129</v>
      </c>
      <c r="E1333" s="75">
        <f>82+40+11</f>
        <v>133</v>
      </c>
      <c r="F1333" s="75">
        <f>140+96+23</f>
        <v>259</v>
      </c>
      <c r="G1333" s="75">
        <f>111+74+18</f>
        <v>203</v>
      </c>
      <c r="H1333" s="75">
        <f>77+60+13</f>
        <v>150</v>
      </c>
      <c r="I1333" s="467">
        <f t="shared" ref="I1333:I1338" si="723">SUM(B1333:H1333)</f>
        <v>1101</v>
      </c>
      <c r="J1333" s="721">
        <f>+$I1333/7</f>
        <v>157.28571428571428</v>
      </c>
    </row>
    <row r="1334" spans="1:10" x14ac:dyDescent="0.25">
      <c r="A1334" s="622" t="s">
        <v>12</v>
      </c>
      <c r="B1334" s="233">
        <v>41</v>
      </c>
      <c r="C1334" s="13">
        <v>50</v>
      </c>
      <c r="D1334" s="13">
        <v>46</v>
      </c>
      <c r="E1334" s="13">
        <v>56</v>
      </c>
      <c r="F1334" s="13">
        <v>102</v>
      </c>
      <c r="G1334" s="320">
        <v>101</v>
      </c>
      <c r="H1334" s="13">
        <v>90</v>
      </c>
      <c r="I1334" s="11">
        <f t="shared" si="723"/>
        <v>486</v>
      </c>
      <c r="J1334" s="722">
        <f t="shared" ref="J1334:J1339" si="724">+$I1334/7</f>
        <v>69.428571428571431</v>
      </c>
    </row>
    <row r="1335" spans="1:10" x14ac:dyDescent="0.25">
      <c r="A1335" s="622" t="s">
        <v>13</v>
      </c>
      <c r="B1335" s="233">
        <v>0</v>
      </c>
      <c r="C1335" s="13">
        <v>2</v>
      </c>
      <c r="D1335" s="13">
        <v>2</v>
      </c>
      <c r="E1335" s="13">
        <v>2</v>
      </c>
      <c r="F1335" s="13">
        <v>7</v>
      </c>
      <c r="G1335" s="13">
        <v>3</v>
      </c>
      <c r="H1335" s="13">
        <v>2</v>
      </c>
      <c r="I1335" s="11">
        <f t="shared" si="723"/>
        <v>18</v>
      </c>
      <c r="J1335" s="722">
        <f t="shared" si="724"/>
        <v>2.5714285714285716</v>
      </c>
    </row>
    <row r="1336" spans="1:10" x14ac:dyDescent="0.25">
      <c r="A1336" s="622" t="s">
        <v>14</v>
      </c>
      <c r="B1336" s="233">
        <v>34</v>
      </c>
      <c r="C1336" s="13">
        <v>55</v>
      </c>
      <c r="D1336" s="13">
        <v>50</v>
      </c>
      <c r="E1336" s="13">
        <v>47</v>
      </c>
      <c r="F1336" s="13">
        <v>107</v>
      </c>
      <c r="G1336" s="13">
        <v>61</v>
      </c>
      <c r="H1336" s="13">
        <v>32</v>
      </c>
      <c r="I1336" s="11">
        <f t="shared" si="723"/>
        <v>386</v>
      </c>
      <c r="J1336" s="722">
        <f t="shared" si="724"/>
        <v>55.142857142857146</v>
      </c>
    </row>
    <row r="1337" spans="1:10" x14ac:dyDescent="0.25">
      <c r="A1337" s="622" t="s">
        <v>15</v>
      </c>
      <c r="B1337" s="233">
        <v>3</v>
      </c>
      <c r="C1337" s="13">
        <v>0</v>
      </c>
      <c r="D1337" s="13">
        <v>6</v>
      </c>
      <c r="E1337" s="13">
        <v>1</v>
      </c>
      <c r="F1337" s="13">
        <v>4</v>
      </c>
      <c r="G1337" s="13">
        <v>2</v>
      </c>
      <c r="H1337" s="13">
        <v>8</v>
      </c>
      <c r="I1337" s="11">
        <f t="shared" si="723"/>
        <v>24</v>
      </c>
      <c r="J1337" s="722">
        <f t="shared" si="724"/>
        <v>3.4285714285714284</v>
      </c>
    </row>
    <row r="1338" spans="1:10" x14ac:dyDescent="0.25">
      <c r="A1338" s="622" t="s">
        <v>16</v>
      </c>
      <c r="B1338" s="233">
        <v>0</v>
      </c>
      <c r="C1338" s="13">
        <v>0</v>
      </c>
      <c r="D1338" s="13">
        <v>0</v>
      </c>
      <c r="E1338" s="13">
        <v>0</v>
      </c>
      <c r="F1338" s="13">
        <v>0</v>
      </c>
      <c r="G1338" s="13">
        <v>0</v>
      </c>
      <c r="H1338" s="13">
        <v>0</v>
      </c>
      <c r="I1338" s="11">
        <f t="shared" si="723"/>
        <v>0</v>
      </c>
      <c r="J1338" s="722">
        <f t="shared" si="724"/>
        <v>0</v>
      </c>
    </row>
    <row r="1339" spans="1:10" x14ac:dyDescent="0.25">
      <c r="A1339" s="624" t="s">
        <v>17</v>
      </c>
      <c r="B1339" s="102">
        <f t="shared" ref="B1339:I1339" si="725">SUM(B1334:B1338)</f>
        <v>78</v>
      </c>
      <c r="C1339" s="102">
        <f t="shared" si="725"/>
        <v>107</v>
      </c>
      <c r="D1339" s="102">
        <f t="shared" si="725"/>
        <v>104</v>
      </c>
      <c r="E1339" s="102">
        <f t="shared" si="725"/>
        <v>106</v>
      </c>
      <c r="F1339" s="102">
        <f t="shared" si="725"/>
        <v>220</v>
      </c>
      <c r="G1339" s="79">
        <f t="shared" si="725"/>
        <v>167</v>
      </c>
      <c r="H1339" s="79">
        <f t="shared" si="725"/>
        <v>132</v>
      </c>
      <c r="I1339" s="472">
        <f t="shared" si="725"/>
        <v>914</v>
      </c>
      <c r="J1339" s="723">
        <f t="shared" si="724"/>
        <v>130.57142857142858</v>
      </c>
    </row>
    <row r="1340" spans="1:10" x14ac:dyDescent="0.25">
      <c r="A1340" s="622" t="s">
        <v>18</v>
      </c>
      <c r="B1340" s="234">
        <v>0.6</v>
      </c>
      <c r="C1340" s="235">
        <v>0.51</v>
      </c>
      <c r="D1340" s="235">
        <v>0.42</v>
      </c>
      <c r="E1340" s="236">
        <v>0.6</v>
      </c>
      <c r="F1340" s="236">
        <v>0.54</v>
      </c>
      <c r="G1340" s="236">
        <v>0.65</v>
      </c>
      <c r="H1340" s="236">
        <v>0.7</v>
      </c>
      <c r="I1340" s="18">
        <f>I1347/I1352</f>
        <v>0.58005226117585662</v>
      </c>
      <c r="J1340" s="724">
        <f>J1347/J1352</f>
        <v>0.58005226117585662</v>
      </c>
    </row>
    <row r="1341" spans="1:10" x14ac:dyDescent="0.25">
      <c r="A1341" s="622" t="s">
        <v>19</v>
      </c>
      <c r="B1341" s="234">
        <v>0</v>
      </c>
      <c r="C1341" s="235">
        <v>0.04</v>
      </c>
      <c r="D1341" s="235">
        <v>0.02</v>
      </c>
      <c r="E1341" s="236">
        <v>0.03</v>
      </c>
      <c r="F1341" s="236">
        <v>0.04</v>
      </c>
      <c r="G1341" s="236">
        <v>0.03</v>
      </c>
      <c r="H1341" s="236">
        <v>0.01</v>
      </c>
      <c r="I1341" s="18">
        <f>I1348/I1352</f>
        <v>2.7152276326015027E-2</v>
      </c>
      <c r="J1341" s="724">
        <f>J1348/J1352</f>
        <v>2.7152276326015027E-2</v>
      </c>
    </row>
    <row r="1342" spans="1:10" x14ac:dyDescent="0.25">
      <c r="A1342" s="622" t="s">
        <v>20</v>
      </c>
      <c r="B1342" s="234">
        <v>0.38</v>
      </c>
      <c r="C1342" s="235">
        <v>0.45</v>
      </c>
      <c r="D1342" s="235">
        <v>0.5</v>
      </c>
      <c r="E1342" s="236">
        <v>0.36</v>
      </c>
      <c r="F1342" s="236">
        <v>0.41</v>
      </c>
      <c r="G1342" s="236">
        <v>0.31</v>
      </c>
      <c r="H1342" s="236">
        <v>0.21</v>
      </c>
      <c r="I1342" s="18">
        <f>I1349/I1352</f>
        <v>0.36791028216135513</v>
      </c>
      <c r="J1342" s="724">
        <f>J1349/J1352</f>
        <v>0.36791028216135513</v>
      </c>
    </row>
    <row r="1343" spans="1:10" x14ac:dyDescent="0.25">
      <c r="A1343" s="622" t="s">
        <v>21</v>
      </c>
      <c r="B1343" s="234">
        <v>0.02</v>
      </c>
      <c r="C1343" s="235">
        <v>0</v>
      </c>
      <c r="D1343" s="235">
        <v>0.06</v>
      </c>
      <c r="E1343" s="236">
        <v>0.01</v>
      </c>
      <c r="F1343" s="236">
        <v>0.01</v>
      </c>
      <c r="G1343" s="236">
        <v>0.01</v>
      </c>
      <c r="H1343" s="236">
        <v>0.08</v>
      </c>
      <c r="I1343" s="18">
        <f>I1350/I1352</f>
        <v>2.4885180336773262E-2</v>
      </c>
      <c r="J1343" s="724">
        <f>J1350/J1352</f>
        <v>2.4885180336773262E-2</v>
      </c>
    </row>
    <row r="1344" spans="1:10" x14ac:dyDescent="0.25">
      <c r="A1344" s="622" t="s">
        <v>22</v>
      </c>
      <c r="B1344" s="234">
        <v>0</v>
      </c>
      <c r="C1344" s="235">
        <v>0</v>
      </c>
      <c r="D1344" s="235">
        <v>0</v>
      </c>
      <c r="E1344" s="236">
        <v>0</v>
      </c>
      <c r="F1344" s="236">
        <v>0</v>
      </c>
      <c r="G1344" s="236">
        <v>0</v>
      </c>
      <c r="H1344" s="236">
        <v>0</v>
      </c>
      <c r="I1344" s="18">
        <f>I1351/I1352</f>
        <v>0</v>
      </c>
      <c r="J1344" s="724">
        <f>J1351/J1352</f>
        <v>0</v>
      </c>
    </row>
    <row r="1345" spans="1:10" x14ac:dyDescent="0.25">
      <c r="A1345" s="627" t="s">
        <v>23</v>
      </c>
      <c r="B1345" s="450">
        <f t="shared" ref="B1345:J1345" si="726">B1356/B1339</f>
        <v>32885.897435897437</v>
      </c>
      <c r="C1345" s="130">
        <f t="shared" si="726"/>
        <v>32026.168224299068</v>
      </c>
      <c r="D1345" s="130">
        <f t="shared" si="726"/>
        <v>32657.692307692312</v>
      </c>
      <c r="E1345" s="130">
        <f t="shared" si="726"/>
        <v>36284.905660377364</v>
      </c>
      <c r="F1345" s="130">
        <f t="shared" si="726"/>
        <v>33605.000000000007</v>
      </c>
      <c r="G1345" s="130">
        <f t="shared" si="726"/>
        <v>37461.67664670659</v>
      </c>
      <c r="H1345" s="130">
        <f t="shared" si="726"/>
        <v>33337.878787878784</v>
      </c>
      <c r="I1345" s="130">
        <f t="shared" si="726"/>
        <v>34227.899343544857</v>
      </c>
      <c r="J1345" s="685">
        <f t="shared" si="726"/>
        <v>34227.899343544857</v>
      </c>
    </row>
    <row r="1346" spans="1:10" x14ac:dyDescent="0.25">
      <c r="A1346" s="627" t="s">
        <v>24</v>
      </c>
      <c r="B1346" s="450">
        <f t="shared" ref="B1346:J1346" si="727">B1356/B1333</f>
        <v>27881.521739130436</v>
      </c>
      <c r="C1346" s="130">
        <f t="shared" si="727"/>
        <v>25383.703703703708</v>
      </c>
      <c r="D1346" s="130">
        <f t="shared" si="727"/>
        <v>26328.682170542641</v>
      </c>
      <c r="E1346" s="130">
        <f t="shared" si="727"/>
        <v>28918.796992481206</v>
      </c>
      <c r="F1346" s="130">
        <f t="shared" si="727"/>
        <v>28544.787644787648</v>
      </c>
      <c r="G1346" s="130">
        <f t="shared" si="727"/>
        <v>30818.226600985221</v>
      </c>
      <c r="H1346" s="130">
        <f t="shared" si="727"/>
        <v>29337.333333333332</v>
      </c>
      <c r="I1346" s="130">
        <f t="shared" si="727"/>
        <v>28414.441416893733</v>
      </c>
      <c r="J1346" s="685">
        <f t="shared" si="727"/>
        <v>28414.441416893736</v>
      </c>
    </row>
    <row r="1347" spans="1:10" x14ac:dyDescent="0.25">
      <c r="A1347" s="622" t="s">
        <v>25</v>
      </c>
      <c r="B1347" s="451">
        <f t="shared" ref="B1347:H1347" si="728">B1352*B1340</f>
        <v>1267391.4620689654</v>
      </c>
      <c r="C1347" s="92">
        <f t="shared" si="728"/>
        <v>1445053.3448275863</v>
      </c>
      <c r="D1347" s="92">
        <f t="shared" si="728"/>
        <v>1183092.5544827587</v>
      </c>
      <c r="E1347" s="92">
        <f t="shared" si="728"/>
        <v>1908303.3931034484</v>
      </c>
      <c r="F1347" s="92">
        <f t="shared" si="728"/>
        <v>3308652.3972413801</v>
      </c>
      <c r="G1347" s="92">
        <f t="shared" si="728"/>
        <v>3347094.1758620692</v>
      </c>
      <c r="H1347" s="92">
        <f t="shared" si="728"/>
        <v>2503452.4827586208</v>
      </c>
      <c r="I1347" s="92">
        <f>SUM(B1347:H1347)</f>
        <v>14963039.810344828</v>
      </c>
      <c r="J1347" s="715">
        <f t="shared" ref="J1347:J1352" si="729">+$I1347/7</f>
        <v>2137577.1157635469</v>
      </c>
    </row>
    <row r="1348" spans="1:10" x14ac:dyDescent="0.25">
      <c r="A1348" s="622" t="s">
        <v>26</v>
      </c>
      <c r="B1348" s="451">
        <f t="shared" ref="B1348:H1348" si="730">B1352*B1341</f>
        <v>0</v>
      </c>
      <c r="C1348" s="92">
        <f t="shared" si="730"/>
        <v>113337.51724137932</v>
      </c>
      <c r="D1348" s="92">
        <f t="shared" si="730"/>
        <v>56337.740689655184</v>
      </c>
      <c r="E1348" s="92">
        <f t="shared" si="730"/>
        <v>95415.169655172416</v>
      </c>
      <c r="F1348" s="92">
        <f t="shared" si="730"/>
        <v>245085.36275862073</v>
      </c>
      <c r="G1348" s="92">
        <f t="shared" si="730"/>
        <v>154481.26965517242</v>
      </c>
      <c r="H1348" s="92">
        <f t="shared" si="730"/>
        <v>35763.606896551726</v>
      </c>
      <c r="I1348" s="92">
        <f>SUM(B1348:H1348)</f>
        <v>700420.66689655173</v>
      </c>
      <c r="J1348" s="715">
        <f t="shared" si="729"/>
        <v>100060.09527093596</v>
      </c>
    </row>
    <row r="1349" spans="1:10" x14ac:dyDescent="0.25">
      <c r="A1349" s="622" t="s">
        <v>27</v>
      </c>
      <c r="B1349" s="451">
        <f t="shared" ref="B1349:H1349" si="731">B1352*B1342</f>
        <v>802681.25931034482</v>
      </c>
      <c r="C1349" s="92">
        <f t="shared" si="731"/>
        <v>1275047.0689655175</v>
      </c>
      <c r="D1349" s="92">
        <f t="shared" si="731"/>
        <v>1408443.5172413795</v>
      </c>
      <c r="E1349" s="92">
        <f t="shared" si="731"/>
        <v>1144982.0358620691</v>
      </c>
      <c r="F1349" s="92">
        <f t="shared" si="731"/>
        <v>2512124.9682758623</v>
      </c>
      <c r="G1349" s="92">
        <f t="shared" si="731"/>
        <v>1596306.4531034483</v>
      </c>
      <c r="H1349" s="92">
        <f t="shared" si="731"/>
        <v>751035.74482758623</v>
      </c>
      <c r="I1349" s="92">
        <f>SUM(B1349:H1349)</f>
        <v>9490621.0475862063</v>
      </c>
      <c r="J1349" s="715">
        <f t="shared" si="729"/>
        <v>1355803.0067980294</v>
      </c>
    </row>
    <row r="1350" spans="1:10" x14ac:dyDescent="0.25">
      <c r="A1350" s="622" t="s">
        <v>28</v>
      </c>
      <c r="B1350" s="451">
        <f t="shared" ref="B1350:H1350" si="732">B1352*B1343</f>
        <v>42246.382068965519</v>
      </c>
      <c r="C1350" s="92">
        <f t="shared" si="732"/>
        <v>0</v>
      </c>
      <c r="D1350" s="92">
        <f t="shared" si="732"/>
        <v>169013.22206896552</v>
      </c>
      <c r="E1350" s="92">
        <f t="shared" si="732"/>
        <v>31805.056551724141</v>
      </c>
      <c r="F1350" s="92">
        <f t="shared" si="732"/>
        <v>61271.340689655182</v>
      </c>
      <c r="G1350" s="92">
        <f t="shared" si="732"/>
        <v>51493.756551724146</v>
      </c>
      <c r="H1350" s="92">
        <f t="shared" si="732"/>
        <v>286108.85517241381</v>
      </c>
      <c r="I1350" s="92">
        <f>SUM(B1350:H1350)</f>
        <v>641938.61310344841</v>
      </c>
      <c r="J1350" s="715">
        <f t="shared" si="729"/>
        <v>91705.516157635488</v>
      </c>
    </row>
    <row r="1351" spans="1:10" x14ac:dyDescent="0.25">
      <c r="A1351" s="622" t="s">
        <v>29</v>
      </c>
      <c r="B1351" s="451">
        <f t="shared" ref="B1351:H1351" si="733">B1352*B1344</f>
        <v>0</v>
      </c>
      <c r="C1351" s="92">
        <f t="shared" si="733"/>
        <v>0</v>
      </c>
      <c r="D1351" s="92">
        <f t="shared" si="733"/>
        <v>0</v>
      </c>
      <c r="E1351" s="92">
        <f t="shared" si="733"/>
        <v>0</v>
      </c>
      <c r="F1351" s="92">
        <f t="shared" si="733"/>
        <v>0</v>
      </c>
      <c r="G1351" s="92">
        <f t="shared" si="733"/>
        <v>0</v>
      </c>
      <c r="H1351" s="92">
        <f t="shared" si="733"/>
        <v>0</v>
      </c>
      <c r="I1351" s="92">
        <f>SUM(B1351:H1351)</f>
        <v>0</v>
      </c>
      <c r="J1351" s="715">
        <f t="shared" si="729"/>
        <v>0</v>
      </c>
    </row>
    <row r="1352" spans="1:10" x14ac:dyDescent="0.25">
      <c r="A1352" s="630" t="s">
        <v>30</v>
      </c>
      <c r="B1352" s="237">
        <f>(2565100/1.16)-B1353</f>
        <v>2112319.1034482759</v>
      </c>
      <c r="C1352" s="237">
        <f>(3426800/1.16)-C1353</f>
        <v>2833437.931034483</v>
      </c>
      <c r="D1352" s="237">
        <f>(3396400/1.16)-D1353</f>
        <v>2816887.034482759</v>
      </c>
      <c r="E1352" s="237">
        <f>(3846200/1.16)-E1353</f>
        <v>3180505.6551724141</v>
      </c>
      <c r="F1352" s="237">
        <f>(7393100/1.16)-F1353</f>
        <v>6127134.0689655179</v>
      </c>
      <c r="G1352" s="237">
        <f>(6256100/1.16)-G1353</f>
        <v>5149375.6551724141</v>
      </c>
      <c r="H1352" s="237">
        <f>(4400600/1.16)-H1353</f>
        <v>3576360.6896551726</v>
      </c>
      <c r="I1352" s="91">
        <f>SUM(I1347:I1351)</f>
        <v>25796020.137931034</v>
      </c>
      <c r="J1352" s="716">
        <f t="shared" si="729"/>
        <v>3685145.7339901477</v>
      </c>
    </row>
    <row r="1353" spans="1:10" x14ac:dyDescent="0.25">
      <c r="A1353" s="622" t="s">
        <v>31</v>
      </c>
      <c r="B1353" s="452">
        <f t="shared" ref="B1353:H1353" si="734">2414*B1334</f>
        <v>98974</v>
      </c>
      <c r="C1353" s="94">
        <f t="shared" si="734"/>
        <v>120700</v>
      </c>
      <c r="D1353" s="94">
        <f t="shared" si="734"/>
        <v>111044</v>
      </c>
      <c r="E1353" s="94">
        <f t="shared" si="734"/>
        <v>135184</v>
      </c>
      <c r="F1353" s="94">
        <f t="shared" si="734"/>
        <v>246228</v>
      </c>
      <c r="G1353" s="94">
        <f t="shared" si="734"/>
        <v>243814</v>
      </c>
      <c r="H1353" s="94">
        <f t="shared" si="734"/>
        <v>217260</v>
      </c>
      <c r="I1353" s="94">
        <f>I1334*2414</f>
        <v>1173204</v>
      </c>
      <c r="J1353" s="717">
        <f>2155*J1334</f>
        <v>149618.57142857142</v>
      </c>
    </row>
    <row r="1354" spans="1:10" x14ac:dyDescent="0.25">
      <c r="A1354" s="633" t="s">
        <v>32</v>
      </c>
      <c r="B1354" s="453">
        <f t="shared" ref="B1354:J1354" si="735">B1352+B1353</f>
        <v>2211293.1034482759</v>
      </c>
      <c r="C1354" s="39">
        <f t="shared" si="735"/>
        <v>2954137.931034483</v>
      </c>
      <c r="D1354" s="39">
        <f t="shared" si="735"/>
        <v>2927931.034482759</v>
      </c>
      <c r="E1354" s="39">
        <f t="shared" si="735"/>
        <v>3315689.6551724141</v>
      </c>
      <c r="F1354" s="39">
        <f t="shared" si="735"/>
        <v>6373362.0689655179</v>
      </c>
      <c r="G1354" s="39">
        <f t="shared" si="735"/>
        <v>5393189.6551724141</v>
      </c>
      <c r="H1354" s="39">
        <f t="shared" si="735"/>
        <v>3793620.6896551726</v>
      </c>
      <c r="I1354" s="39">
        <f t="shared" si="735"/>
        <v>26969224.137931034</v>
      </c>
      <c r="J1354" s="718">
        <f t="shared" si="735"/>
        <v>3834764.3054187191</v>
      </c>
    </row>
    <row r="1355" spans="1:10" x14ac:dyDescent="0.25">
      <c r="A1355" s="622" t="s">
        <v>33</v>
      </c>
      <c r="B1355" s="454">
        <f t="shared" ref="B1355:J1355" si="736">B1354*16%</f>
        <v>353806.89655172417</v>
      </c>
      <c r="C1355" s="41">
        <f t="shared" si="736"/>
        <v>472662.06896551728</v>
      </c>
      <c r="D1355" s="41">
        <f t="shared" si="736"/>
        <v>468468.96551724145</v>
      </c>
      <c r="E1355" s="41">
        <f t="shared" si="736"/>
        <v>530510.34482758632</v>
      </c>
      <c r="F1355" s="41">
        <f t="shared" si="736"/>
        <v>1019737.9310344829</v>
      </c>
      <c r="G1355" s="41">
        <f t="shared" si="736"/>
        <v>862910.34482758632</v>
      </c>
      <c r="H1355" s="41">
        <f t="shared" si="736"/>
        <v>606979.31034482759</v>
      </c>
      <c r="I1355" s="41">
        <f t="shared" si="736"/>
        <v>4315075.8620689651</v>
      </c>
      <c r="J1355" s="725">
        <f t="shared" si="736"/>
        <v>613562.28886699502</v>
      </c>
    </row>
    <row r="1356" spans="1:10" ht="15.75" thickBot="1" x14ac:dyDescent="0.3">
      <c r="A1356" s="636" t="s">
        <v>34</v>
      </c>
      <c r="B1356" s="637">
        <f t="shared" ref="B1356:I1356" si="737">B1354+B1355</f>
        <v>2565100</v>
      </c>
      <c r="C1356" s="686">
        <f t="shared" si="737"/>
        <v>3426800.0000000005</v>
      </c>
      <c r="D1356" s="686">
        <f t="shared" si="737"/>
        <v>3396400.0000000005</v>
      </c>
      <c r="E1356" s="686">
        <f t="shared" si="737"/>
        <v>3846200.0000000005</v>
      </c>
      <c r="F1356" s="686">
        <f t="shared" si="737"/>
        <v>7393100.0000000009</v>
      </c>
      <c r="G1356" s="686">
        <f t="shared" si="737"/>
        <v>6256100</v>
      </c>
      <c r="H1356" s="686">
        <f t="shared" si="737"/>
        <v>4400600</v>
      </c>
      <c r="I1356" s="686">
        <f t="shared" si="737"/>
        <v>31284300</v>
      </c>
      <c r="J1356" s="720">
        <f>+$I1356/7</f>
        <v>4469185.7142857146</v>
      </c>
    </row>
    <row r="1357" spans="1:10" ht="15.75" thickBot="1" x14ac:dyDescent="0.3">
      <c r="I1357" s="89"/>
    </row>
    <row r="1358" spans="1:10" ht="27" thickBot="1" x14ac:dyDescent="0.3">
      <c r="A1358" s="85"/>
      <c r="B1358" s="1002" t="s">
        <v>391</v>
      </c>
      <c r="C1358" s="1002"/>
      <c r="D1358" s="1002"/>
      <c r="E1358" s="1002"/>
      <c r="F1358" s="1002"/>
      <c r="G1358" s="1002"/>
      <c r="H1358" s="1002"/>
      <c r="I1358" s="1002"/>
    </row>
    <row r="1359" spans="1:10" ht="15.75" x14ac:dyDescent="0.25">
      <c r="A1359" s="614" t="s">
        <v>2</v>
      </c>
      <c r="B1359" s="706" t="s">
        <v>45</v>
      </c>
      <c r="C1359" s="641" t="s">
        <v>289</v>
      </c>
      <c r="D1359" s="641" t="s">
        <v>47</v>
      </c>
      <c r="E1359" s="641" t="s">
        <v>48</v>
      </c>
      <c r="F1359" s="641" t="s">
        <v>49</v>
      </c>
      <c r="G1359" s="641" t="s">
        <v>50</v>
      </c>
      <c r="H1359" s="641" t="s">
        <v>290</v>
      </c>
      <c r="I1359" s="618" t="s">
        <v>10</v>
      </c>
      <c r="J1359" s="711" t="s">
        <v>77</v>
      </c>
    </row>
    <row r="1360" spans="1:10" x14ac:dyDescent="0.25">
      <c r="A1360" s="620" t="s">
        <v>11</v>
      </c>
      <c r="B1360" s="433">
        <f>65+27+10</f>
        <v>102</v>
      </c>
      <c r="C1360" s="75">
        <f>51+38+9</f>
        <v>98</v>
      </c>
      <c r="D1360" s="75">
        <f>77+48+10</f>
        <v>135</v>
      </c>
      <c r="E1360" s="75">
        <f>95+39+21</f>
        <v>155</v>
      </c>
      <c r="F1360" s="75">
        <f>121+79+22</f>
        <v>222</v>
      </c>
      <c r="G1360" s="75">
        <f>120+74+26</f>
        <v>220</v>
      </c>
      <c r="H1360" s="75">
        <f>100+62+17</f>
        <v>179</v>
      </c>
      <c r="I1360" s="467">
        <f t="shared" ref="I1360:I1365" si="738">SUM(B1360:H1360)</f>
        <v>1111</v>
      </c>
      <c r="J1360" s="721">
        <f>+$I1360/7</f>
        <v>158.71428571428572</v>
      </c>
    </row>
    <row r="1361" spans="1:10" x14ac:dyDescent="0.25">
      <c r="A1361" s="622" t="s">
        <v>12</v>
      </c>
      <c r="B1361" s="233">
        <v>48</v>
      </c>
      <c r="C1361" s="13">
        <v>41</v>
      </c>
      <c r="D1361" s="13">
        <v>56</v>
      </c>
      <c r="E1361" s="13">
        <v>66</v>
      </c>
      <c r="F1361" s="13">
        <v>72</v>
      </c>
      <c r="G1361" s="320">
        <v>108</v>
      </c>
      <c r="H1361" s="13">
        <v>110</v>
      </c>
      <c r="I1361" s="11">
        <f t="shared" si="738"/>
        <v>501</v>
      </c>
      <c r="J1361" s="722">
        <f t="shared" ref="J1361:J1366" si="739">+$I1361/7</f>
        <v>71.571428571428569</v>
      </c>
    </row>
    <row r="1362" spans="1:10" x14ac:dyDescent="0.25">
      <c r="A1362" s="622" t="s">
        <v>13</v>
      </c>
      <c r="B1362" s="233">
        <v>1</v>
      </c>
      <c r="C1362" s="13">
        <v>1</v>
      </c>
      <c r="D1362" s="13">
        <v>3</v>
      </c>
      <c r="E1362" s="13">
        <v>5</v>
      </c>
      <c r="F1362" s="13">
        <v>2</v>
      </c>
      <c r="G1362" s="13">
        <v>4</v>
      </c>
      <c r="H1362" s="13">
        <v>1</v>
      </c>
      <c r="I1362" s="11">
        <f t="shared" si="738"/>
        <v>17</v>
      </c>
      <c r="J1362" s="722">
        <f t="shared" si="739"/>
        <v>2.4285714285714284</v>
      </c>
    </row>
    <row r="1363" spans="1:10" x14ac:dyDescent="0.25">
      <c r="A1363" s="622" t="s">
        <v>14</v>
      </c>
      <c r="B1363" s="233">
        <v>34</v>
      </c>
      <c r="C1363" s="13">
        <v>45</v>
      </c>
      <c r="D1363" s="13">
        <v>48</v>
      </c>
      <c r="E1363" s="13">
        <v>60</v>
      </c>
      <c r="F1363" s="13">
        <v>101</v>
      </c>
      <c r="G1363" s="13">
        <v>51</v>
      </c>
      <c r="H1363" s="13">
        <v>34</v>
      </c>
      <c r="I1363" s="11">
        <f t="shared" si="738"/>
        <v>373</v>
      </c>
      <c r="J1363" s="722">
        <f t="shared" si="739"/>
        <v>53.285714285714285</v>
      </c>
    </row>
    <row r="1364" spans="1:10" x14ac:dyDescent="0.25">
      <c r="A1364" s="622" t="s">
        <v>15</v>
      </c>
      <c r="B1364" s="233">
        <v>1</v>
      </c>
      <c r="C1364" s="13">
        <v>3</v>
      </c>
      <c r="D1364" s="13">
        <v>7</v>
      </c>
      <c r="E1364" s="13">
        <v>1</v>
      </c>
      <c r="F1364" s="13">
        <v>1</v>
      </c>
      <c r="G1364" s="13">
        <v>10</v>
      </c>
      <c r="H1364" s="13">
        <v>7</v>
      </c>
      <c r="I1364" s="11">
        <f t="shared" si="738"/>
        <v>30</v>
      </c>
      <c r="J1364" s="722">
        <f t="shared" si="739"/>
        <v>4.2857142857142856</v>
      </c>
    </row>
    <row r="1365" spans="1:10" x14ac:dyDescent="0.25">
      <c r="A1365" s="622" t="s">
        <v>16</v>
      </c>
      <c r="B1365" s="233">
        <v>0</v>
      </c>
      <c r="C1365" s="13">
        <v>0</v>
      </c>
      <c r="D1365" s="13">
        <v>1</v>
      </c>
      <c r="E1365" s="13">
        <v>0</v>
      </c>
      <c r="F1365" s="13">
        <v>1</v>
      </c>
      <c r="G1365" s="13">
        <v>0</v>
      </c>
      <c r="H1365" s="13">
        <v>0</v>
      </c>
      <c r="I1365" s="11">
        <f t="shared" si="738"/>
        <v>2</v>
      </c>
      <c r="J1365" s="722">
        <f t="shared" si="739"/>
        <v>0.2857142857142857</v>
      </c>
    </row>
    <row r="1366" spans="1:10" x14ac:dyDescent="0.25">
      <c r="A1366" s="624" t="s">
        <v>17</v>
      </c>
      <c r="B1366" s="102">
        <f t="shared" ref="B1366:I1366" si="740">SUM(B1361:B1365)</f>
        <v>84</v>
      </c>
      <c r="C1366" s="102">
        <f t="shared" si="740"/>
        <v>90</v>
      </c>
      <c r="D1366" s="102">
        <f t="shared" si="740"/>
        <v>115</v>
      </c>
      <c r="E1366" s="102">
        <f t="shared" si="740"/>
        <v>132</v>
      </c>
      <c r="F1366" s="102">
        <f t="shared" si="740"/>
        <v>177</v>
      </c>
      <c r="G1366" s="79">
        <f t="shared" si="740"/>
        <v>173</v>
      </c>
      <c r="H1366" s="79">
        <f t="shared" si="740"/>
        <v>152</v>
      </c>
      <c r="I1366" s="472">
        <f t="shared" si="740"/>
        <v>923</v>
      </c>
      <c r="J1366" s="723">
        <f t="shared" si="739"/>
        <v>131.85714285714286</v>
      </c>
    </row>
    <row r="1367" spans="1:10" x14ac:dyDescent="0.25">
      <c r="A1367" s="622" t="s">
        <v>18</v>
      </c>
      <c r="B1367" s="234">
        <v>0.65</v>
      </c>
      <c r="C1367" s="235">
        <v>0.51</v>
      </c>
      <c r="D1367" s="235">
        <v>0.56999999999999995</v>
      </c>
      <c r="E1367" s="236">
        <v>0.56999999999999995</v>
      </c>
      <c r="F1367" s="236">
        <v>0.45</v>
      </c>
      <c r="G1367" s="236">
        <v>0.66</v>
      </c>
      <c r="H1367" s="236">
        <v>0.75</v>
      </c>
      <c r="I1367" s="18">
        <f>I1374/I1379</f>
        <v>0.59541686212358813</v>
      </c>
      <c r="J1367" s="724">
        <f>J1374/J1379</f>
        <v>0.59541686212358813</v>
      </c>
    </row>
    <row r="1368" spans="1:10" x14ac:dyDescent="0.25">
      <c r="A1368" s="622" t="s">
        <v>19</v>
      </c>
      <c r="B1368" s="234">
        <v>0</v>
      </c>
      <c r="C1368" s="235">
        <v>0.05</v>
      </c>
      <c r="D1368" s="235">
        <v>0.02</v>
      </c>
      <c r="E1368" s="236">
        <v>0.03</v>
      </c>
      <c r="F1368" s="236">
        <v>0.01</v>
      </c>
      <c r="G1368" s="236">
        <v>0.03</v>
      </c>
      <c r="H1368" s="236">
        <v>0.01</v>
      </c>
      <c r="I1368" s="18">
        <f>I1375/I1379</f>
        <v>2.0498230362022276E-2</v>
      </c>
      <c r="J1368" s="724">
        <f>J1375/J1379</f>
        <v>2.0498230362022279E-2</v>
      </c>
    </row>
    <row r="1369" spans="1:10" x14ac:dyDescent="0.25">
      <c r="A1369" s="622" t="s">
        <v>20</v>
      </c>
      <c r="B1369" s="234">
        <v>0.34</v>
      </c>
      <c r="C1369" s="235">
        <v>0.42</v>
      </c>
      <c r="D1369" s="235">
        <v>0.36</v>
      </c>
      <c r="E1369" s="236">
        <v>0.39</v>
      </c>
      <c r="F1369" s="236">
        <v>0.53</v>
      </c>
      <c r="G1369" s="236">
        <v>0.26</v>
      </c>
      <c r="H1369" s="236">
        <v>0.2</v>
      </c>
      <c r="I1369" s="18">
        <f>I1376/I1379</f>
        <v>0.35548152331158717</v>
      </c>
      <c r="J1369" s="724">
        <f>J1376/J1379</f>
        <v>0.35548152331158717</v>
      </c>
    </row>
    <row r="1370" spans="1:10" x14ac:dyDescent="0.25">
      <c r="A1370" s="622" t="s">
        <v>21</v>
      </c>
      <c r="B1370" s="234">
        <v>0.01</v>
      </c>
      <c r="C1370" s="235">
        <v>0.02</v>
      </c>
      <c r="D1370" s="235">
        <v>0.04</v>
      </c>
      <c r="E1370" s="236">
        <v>0.01</v>
      </c>
      <c r="F1370" s="236">
        <v>0.01</v>
      </c>
      <c r="G1370" s="236">
        <v>0.05</v>
      </c>
      <c r="H1370" s="236">
        <v>0.04</v>
      </c>
      <c r="I1370" s="18">
        <f>I1377/I1379</f>
        <v>2.737657233753862E-2</v>
      </c>
      <c r="J1370" s="724">
        <f>J1377/J1379</f>
        <v>2.737657233753862E-2</v>
      </c>
    </row>
    <row r="1371" spans="1:10" x14ac:dyDescent="0.25">
      <c r="A1371" s="622" t="s">
        <v>22</v>
      </c>
      <c r="B1371" s="234">
        <v>0</v>
      </c>
      <c r="C1371" s="235">
        <v>0</v>
      </c>
      <c r="D1371" s="235">
        <v>0.01</v>
      </c>
      <c r="E1371" s="236">
        <v>0</v>
      </c>
      <c r="F1371" s="236">
        <v>0</v>
      </c>
      <c r="G1371" s="236">
        <v>0</v>
      </c>
      <c r="H1371" s="236">
        <v>0</v>
      </c>
      <c r="I1371" s="18">
        <f>I1378/I1379</f>
        <v>1.2268118652637877E-3</v>
      </c>
      <c r="J1371" s="724">
        <f>J1378/J1379</f>
        <v>1.2268118652637879E-3</v>
      </c>
    </row>
    <row r="1372" spans="1:10" x14ac:dyDescent="0.25">
      <c r="A1372" s="627" t="s">
        <v>23</v>
      </c>
      <c r="B1372" s="450">
        <f t="shared" ref="B1372:J1372" si="741">B1383/B1366</f>
        <v>33763.095238095244</v>
      </c>
      <c r="C1372" s="130">
        <f t="shared" si="741"/>
        <v>31015.555555555562</v>
      </c>
      <c r="D1372" s="130">
        <f t="shared" si="741"/>
        <v>33003.478260869568</v>
      </c>
      <c r="E1372" s="130">
        <f t="shared" si="741"/>
        <v>31525.75757575758</v>
      </c>
      <c r="F1372" s="130">
        <f t="shared" si="741"/>
        <v>34701.694915254237</v>
      </c>
      <c r="G1372" s="130">
        <f t="shared" si="741"/>
        <v>35101.156069364166</v>
      </c>
      <c r="H1372" s="130">
        <f t="shared" si="741"/>
        <v>34623.68421052632</v>
      </c>
      <c r="I1372" s="130">
        <f t="shared" si="741"/>
        <v>33653.087757313115</v>
      </c>
      <c r="J1372" s="685">
        <f t="shared" si="741"/>
        <v>33653.087757313115</v>
      </c>
    </row>
    <row r="1373" spans="1:10" x14ac:dyDescent="0.25">
      <c r="A1373" s="627" t="s">
        <v>24</v>
      </c>
      <c r="B1373" s="450">
        <f t="shared" ref="B1373:J1373" si="742">B1383/B1360</f>
        <v>27804.901960784318</v>
      </c>
      <c r="C1373" s="130">
        <f t="shared" si="742"/>
        <v>28483.673469387759</v>
      </c>
      <c r="D1373" s="130">
        <f t="shared" si="742"/>
        <v>28114.074074074077</v>
      </c>
      <c r="E1373" s="130">
        <f t="shared" si="742"/>
        <v>26847.741935483875</v>
      </c>
      <c r="F1373" s="130">
        <f t="shared" si="742"/>
        <v>27667.567567567567</v>
      </c>
      <c r="G1373" s="130">
        <f t="shared" si="742"/>
        <v>27602.272727272732</v>
      </c>
      <c r="H1373" s="130">
        <f t="shared" si="742"/>
        <v>29401.117318435758</v>
      </c>
      <c r="I1373" s="130">
        <f t="shared" si="742"/>
        <v>27958.415841584167</v>
      </c>
      <c r="J1373" s="685">
        <f t="shared" si="742"/>
        <v>27958.415841584163</v>
      </c>
    </row>
    <row r="1374" spans="1:10" x14ac:dyDescent="0.25">
      <c r="A1374" s="622" t="s">
        <v>25</v>
      </c>
      <c r="B1374" s="451">
        <f t="shared" ref="B1374:H1374" si="743">B1379*B1367</f>
        <v>1513877.1655172417</v>
      </c>
      <c r="C1374" s="92">
        <f t="shared" si="743"/>
        <v>1176776.7082758623</v>
      </c>
      <c r="D1374" s="92">
        <f t="shared" si="743"/>
        <v>1787926.1544827586</v>
      </c>
      <c r="E1374" s="92">
        <f t="shared" si="743"/>
        <v>1954011.1820689656</v>
      </c>
      <c r="F1374" s="92">
        <f t="shared" si="743"/>
        <v>2304536.4</v>
      </c>
      <c r="G1374" s="92">
        <f t="shared" si="743"/>
        <v>3282973.1834482765</v>
      </c>
      <c r="H1374" s="92">
        <f t="shared" si="743"/>
        <v>3203517.4137931038</v>
      </c>
      <c r="I1374" s="92">
        <f>SUM(B1374:H1374)</f>
        <v>15223618.207586208</v>
      </c>
      <c r="J1374" s="715">
        <f t="shared" ref="J1374:J1379" si="744">+$I1374/7</f>
        <v>2174802.6010837439</v>
      </c>
    </row>
    <row r="1375" spans="1:10" x14ac:dyDescent="0.25">
      <c r="A1375" s="622" t="s">
        <v>26</v>
      </c>
      <c r="B1375" s="451">
        <f t="shared" ref="B1375:H1375" si="745">B1379*B1368</f>
        <v>0</v>
      </c>
      <c r="C1375" s="92">
        <f t="shared" si="745"/>
        <v>115370.26551724139</v>
      </c>
      <c r="D1375" s="92">
        <f t="shared" si="745"/>
        <v>62734.251034482768</v>
      </c>
      <c r="E1375" s="92">
        <f t="shared" si="745"/>
        <v>102842.69379310345</v>
      </c>
      <c r="F1375" s="92">
        <f t="shared" si="745"/>
        <v>51211.92</v>
      </c>
      <c r="G1375" s="92">
        <f t="shared" si="745"/>
        <v>149226.05379310346</v>
      </c>
      <c r="H1375" s="92">
        <f t="shared" si="745"/>
        <v>42713.56551724139</v>
      </c>
      <c r="I1375" s="92">
        <f>SUM(B1375:H1375)</f>
        <v>524098.74965517246</v>
      </c>
      <c r="J1375" s="715">
        <f t="shared" si="744"/>
        <v>74871.249950738929</v>
      </c>
    </row>
    <row r="1376" spans="1:10" x14ac:dyDescent="0.25">
      <c r="A1376" s="622" t="s">
        <v>27</v>
      </c>
      <c r="B1376" s="451">
        <f t="shared" ref="B1376:H1376" si="746">B1379*B1369</f>
        <v>791874.20965517254</v>
      </c>
      <c r="C1376" s="92">
        <f t="shared" si="746"/>
        <v>969110.23034482764</v>
      </c>
      <c r="D1376" s="92">
        <f t="shared" si="746"/>
        <v>1129216.5186206896</v>
      </c>
      <c r="E1376" s="92">
        <f t="shared" si="746"/>
        <v>1336955.0193103449</v>
      </c>
      <c r="F1376" s="92">
        <f t="shared" si="746"/>
        <v>2714231.7600000002</v>
      </c>
      <c r="G1376" s="92">
        <f t="shared" si="746"/>
        <v>1293292.4662068968</v>
      </c>
      <c r="H1376" s="92">
        <f t="shared" si="746"/>
        <v>854271.31034482783</v>
      </c>
      <c r="I1376" s="92">
        <f>SUM(B1376:H1376)</f>
        <v>9088951.5144827608</v>
      </c>
      <c r="J1376" s="715">
        <f t="shared" si="744"/>
        <v>1298421.6449261087</v>
      </c>
    </row>
    <row r="1377" spans="1:10" x14ac:dyDescent="0.25">
      <c r="A1377" s="622" t="s">
        <v>28</v>
      </c>
      <c r="B1377" s="451">
        <f t="shared" ref="B1377:H1377" si="747">B1379*B1370</f>
        <v>23290.417931034488</v>
      </c>
      <c r="C1377" s="92">
        <f t="shared" si="747"/>
        <v>46148.106206896555</v>
      </c>
      <c r="D1377" s="92">
        <f t="shared" si="747"/>
        <v>125468.50206896554</v>
      </c>
      <c r="E1377" s="92">
        <f t="shared" si="747"/>
        <v>34280.897931034488</v>
      </c>
      <c r="F1377" s="92">
        <f t="shared" si="747"/>
        <v>51211.92</v>
      </c>
      <c r="G1377" s="92">
        <f t="shared" si="747"/>
        <v>248710.08965517246</v>
      </c>
      <c r="H1377" s="92">
        <f t="shared" si="747"/>
        <v>170854.26206896556</v>
      </c>
      <c r="I1377" s="92">
        <f>SUM(B1377:H1377)</f>
        <v>699964.19586206914</v>
      </c>
      <c r="J1377" s="715">
        <f t="shared" si="744"/>
        <v>99994.885123152737</v>
      </c>
    </row>
    <row r="1378" spans="1:10" x14ac:dyDescent="0.25">
      <c r="A1378" s="622" t="s">
        <v>29</v>
      </c>
      <c r="B1378" s="451">
        <f t="shared" ref="B1378:H1378" si="748">B1379*B1371</f>
        <v>0</v>
      </c>
      <c r="C1378" s="92">
        <f t="shared" si="748"/>
        <v>0</v>
      </c>
      <c r="D1378" s="92">
        <f t="shared" si="748"/>
        <v>31367.125517241384</v>
      </c>
      <c r="E1378" s="92">
        <f t="shared" si="748"/>
        <v>0</v>
      </c>
      <c r="F1378" s="92">
        <f t="shared" si="748"/>
        <v>0</v>
      </c>
      <c r="G1378" s="92">
        <f t="shared" si="748"/>
        <v>0</v>
      </c>
      <c r="H1378" s="92">
        <f t="shared" si="748"/>
        <v>0</v>
      </c>
      <c r="I1378" s="92">
        <f>SUM(B1378:H1378)</f>
        <v>31367.125517241384</v>
      </c>
      <c r="J1378" s="715">
        <f t="shared" si="744"/>
        <v>4481.0179310344838</v>
      </c>
    </row>
    <row r="1379" spans="1:10" x14ac:dyDescent="0.25">
      <c r="A1379" s="630" t="s">
        <v>30</v>
      </c>
      <c r="B1379" s="237">
        <f>(2836100/1.16)-B1380</f>
        <v>2329041.7931034486</v>
      </c>
      <c r="C1379" s="237">
        <f>(2791400/1.16)-C1380</f>
        <v>2307405.3103448278</v>
      </c>
      <c r="D1379" s="237">
        <f>(3795400/1.16)-D1380</f>
        <v>3136712.5517241382</v>
      </c>
      <c r="E1379" s="237">
        <f>(4161400/1.16)-E1380</f>
        <v>3428089.7931034486</v>
      </c>
      <c r="F1379" s="237">
        <f>(6142200/1.16)-F1380</f>
        <v>5121192</v>
      </c>
      <c r="G1379" s="237">
        <f>(6072500/1.16)-G1380</f>
        <v>4974201.793103449</v>
      </c>
      <c r="H1379" s="237">
        <f>(5262800/1.16)-H1380</f>
        <v>4271356.5517241387</v>
      </c>
      <c r="I1379" s="91">
        <f>SUM(I1374:I1378)</f>
        <v>25567999.793103453</v>
      </c>
      <c r="J1379" s="716">
        <f t="shared" si="744"/>
        <v>3652571.3990147789</v>
      </c>
    </row>
    <row r="1380" spans="1:10" x14ac:dyDescent="0.25">
      <c r="A1380" s="622" t="s">
        <v>31</v>
      </c>
      <c r="B1380" s="452">
        <f t="shared" ref="B1380:H1380" si="749">2414*B1361</f>
        <v>115872</v>
      </c>
      <c r="C1380" s="94">
        <f t="shared" si="749"/>
        <v>98974</v>
      </c>
      <c r="D1380" s="94">
        <f t="shared" si="749"/>
        <v>135184</v>
      </c>
      <c r="E1380" s="94">
        <f t="shared" si="749"/>
        <v>159324</v>
      </c>
      <c r="F1380" s="94">
        <f t="shared" si="749"/>
        <v>173808</v>
      </c>
      <c r="G1380" s="94">
        <f t="shared" si="749"/>
        <v>260712</v>
      </c>
      <c r="H1380" s="94">
        <f t="shared" si="749"/>
        <v>265540</v>
      </c>
      <c r="I1380" s="94">
        <f>I1361*2414</f>
        <v>1209414</v>
      </c>
      <c r="J1380" s="717">
        <f>2155*J1361</f>
        <v>154236.42857142858</v>
      </c>
    </row>
    <row r="1381" spans="1:10" x14ac:dyDescent="0.25">
      <c r="A1381" s="633" t="s">
        <v>32</v>
      </c>
      <c r="B1381" s="453">
        <f t="shared" ref="B1381:J1381" si="750">B1379+B1380</f>
        <v>2444913.7931034486</v>
      </c>
      <c r="C1381" s="39">
        <f t="shared" si="750"/>
        <v>2406379.3103448278</v>
      </c>
      <c r="D1381" s="39">
        <f t="shared" si="750"/>
        <v>3271896.5517241382</v>
      </c>
      <c r="E1381" s="39">
        <f t="shared" si="750"/>
        <v>3587413.7931034486</v>
      </c>
      <c r="F1381" s="39">
        <f t="shared" si="750"/>
        <v>5295000</v>
      </c>
      <c r="G1381" s="39">
        <f t="shared" si="750"/>
        <v>5234913.793103449</v>
      </c>
      <c r="H1381" s="39">
        <f t="shared" si="750"/>
        <v>4536896.5517241387</v>
      </c>
      <c r="I1381" s="39">
        <f t="shared" si="750"/>
        <v>26777413.793103453</v>
      </c>
      <c r="J1381" s="718">
        <f t="shared" si="750"/>
        <v>3806807.8275862075</v>
      </c>
    </row>
    <row r="1382" spans="1:10" x14ac:dyDescent="0.25">
      <c r="A1382" s="622" t="s">
        <v>33</v>
      </c>
      <c r="B1382" s="454">
        <f t="shared" ref="B1382:J1382" si="751">B1381*16%</f>
        <v>391186.20689655177</v>
      </c>
      <c r="C1382" s="41">
        <f t="shared" si="751"/>
        <v>385020.68965517246</v>
      </c>
      <c r="D1382" s="41">
        <f t="shared" si="751"/>
        <v>523503.44827586215</v>
      </c>
      <c r="E1382" s="41">
        <f t="shared" si="751"/>
        <v>573986.20689655177</v>
      </c>
      <c r="F1382" s="41">
        <f t="shared" si="751"/>
        <v>847200</v>
      </c>
      <c r="G1382" s="41">
        <f t="shared" si="751"/>
        <v>837586.20689655188</v>
      </c>
      <c r="H1382" s="41">
        <f t="shared" si="751"/>
        <v>725903.44827586215</v>
      </c>
      <c r="I1382" s="41">
        <f t="shared" si="751"/>
        <v>4284386.2068965528</v>
      </c>
      <c r="J1382" s="725">
        <f t="shared" si="751"/>
        <v>609089.25241379323</v>
      </c>
    </row>
    <row r="1383" spans="1:10" ht="15.75" thickBot="1" x14ac:dyDescent="0.3">
      <c r="A1383" s="636" t="s">
        <v>34</v>
      </c>
      <c r="B1383" s="637">
        <f t="shared" ref="B1383:I1383" si="752">B1381+B1382</f>
        <v>2836100.0000000005</v>
      </c>
      <c r="C1383" s="686">
        <f t="shared" si="752"/>
        <v>2791400.0000000005</v>
      </c>
      <c r="D1383" s="686">
        <f t="shared" si="752"/>
        <v>3795400.0000000005</v>
      </c>
      <c r="E1383" s="686">
        <f t="shared" si="752"/>
        <v>4161400.0000000005</v>
      </c>
      <c r="F1383" s="686">
        <f t="shared" si="752"/>
        <v>6142200</v>
      </c>
      <c r="G1383" s="686">
        <f t="shared" si="752"/>
        <v>6072500.0000000009</v>
      </c>
      <c r="H1383" s="686">
        <f t="shared" si="752"/>
        <v>5262800.0000000009</v>
      </c>
      <c r="I1383" s="686">
        <f t="shared" si="752"/>
        <v>31061800.000000007</v>
      </c>
      <c r="J1383" s="720">
        <f>+$I1383/7</f>
        <v>4437400.0000000009</v>
      </c>
    </row>
    <row r="1384" spans="1:10" ht="15.75" thickBot="1" x14ac:dyDescent="0.3">
      <c r="I1384" s="89"/>
    </row>
    <row r="1385" spans="1:10" ht="27" thickBot="1" x14ac:dyDescent="0.3">
      <c r="A1385" s="85"/>
      <c r="B1385" s="1002" t="s">
        <v>392</v>
      </c>
      <c r="C1385" s="1002"/>
      <c r="D1385" s="1002"/>
      <c r="E1385" s="1002"/>
      <c r="F1385" s="1002"/>
      <c r="G1385" s="1002"/>
      <c r="H1385" s="1002"/>
      <c r="I1385" s="1002"/>
    </row>
    <row r="1386" spans="1:10" ht="15.75" x14ac:dyDescent="0.25">
      <c r="A1386" s="614" t="s">
        <v>2</v>
      </c>
      <c r="B1386" s="706" t="s">
        <v>53</v>
      </c>
      <c r="C1386" s="641" t="s">
        <v>54</v>
      </c>
      <c r="D1386" s="641" t="s">
        <v>292</v>
      </c>
      <c r="E1386" s="641" t="s">
        <v>293</v>
      </c>
      <c r="F1386" s="641" t="s">
        <v>294</v>
      </c>
      <c r="G1386" s="641" t="s">
        <v>295</v>
      </c>
      <c r="H1386" s="641" t="s">
        <v>296</v>
      </c>
      <c r="I1386" s="618" t="s">
        <v>10</v>
      </c>
      <c r="J1386" s="711" t="s">
        <v>77</v>
      </c>
    </row>
    <row r="1387" spans="1:10" x14ac:dyDescent="0.25">
      <c r="A1387" s="620" t="s">
        <v>11</v>
      </c>
      <c r="B1387" s="433">
        <f>65+28+8</f>
        <v>101</v>
      </c>
      <c r="C1387" s="75">
        <f>87+35+14</f>
        <v>136</v>
      </c>
      <c r="D1387" s="75">
        <f>55+38+12</f>
        <v>105</v>
      </c>
      <c r="E1387" s="75">
        <f>89+44+15</f>
        <v>148</v>
      </c>
      <c r="F1387" s="75">
        <f>119+73+19</f>
        <v>211</v>
      </c>
      <c r="G1387" s="75">
        <f>82+49+14</f>
        <v>145</v>
      </c>
      <c r="H1387" s="75">
        <f>97+44+10</f>
        <v>151</v>
      </c>
      <c r="I1387" s="467">
        <f t="shared" ref="I1387:I1392" si="753">SUM(B1387:H1387)</f>
        <v>997</v>
      </c>
      <c r="J1387" s="721">
        <f>+$I1387/7</f>
        <v>142.42857142857142</v>
      </c>
    </row>
    <row r="1388" spans="1:10" x14ac:dyDescent="0.25">
      <c r="A1388" s="622" t="s">
        <v>12</v>
      </c>
      <c r="B1388" s="233">
        <v>36</v>
      </c>
      <c r="C1388" s="13">
        <v>60</v>
      </c>
      <c r="D1388" s="13">
        <v>37</v>
      </c>
      <c r="E1388" s="13">
        <v>50</v>
      </c>
      <c r="F1388" s="13">
        <v>59</v>
      </c>
      <c r="G1388" s="320">
        <v>50</v>
      </c>
      <c r="H1388" s="13">
        <v>77</v>
      </c>
      <c r="I1388" s="11">
        <f t="shared" si="753"/>
        <v>369</v>
      </c>
      <c r="J1388" s="722">
        <f t="shared" ref="J1388:J1393" si="754">+$I1388/7</f>
        <v>52.714285714285715</v>
      </c>
    </row>
    <row r="1389" spans="1:10" x14ac:dyDescent="0.25">
      <c r="A1389" s="622" t="s">
        <v>13</v>
      </c>
      <c r="B1389" s="233">
        <v>3</v>
      </c>
      <c r="C1389" s="13">
        <v>1</v>
      </c>
      <c r="D1389" s="13">
        <v>1</v>
      </c>
      <c r="E1389" s="13">
        <v>2</v>
      </c>
      <c r="F1389" s="13">
        <v>2</v>
      </c>
      <c r="G1389" s="13">
        <v>0</v>
      </c>
      <c r="H1389" s="13">
        <v>1</v>
      </c>
      <c r="I1389" s="11">
        <f t="shared" si="753"/>
        <v>10</v>
      </c>
      <c r="J1389" s="722">
        <f t="shared" si="754"/>
        <v>1.4285714285714286</v>
      </c>
    </row>
    <row r="1390" spans="1:10" x14ac:dyDescent="0.25">
      <c r="A1390" s="622" t="s">
        <v>14</v>
      </c>
      <c r="B1390" s="233">
        <v>40</v>
      </c>
      <c r="C1390" s="13">
        <v>34</v>
      </c>
      <c r="D1390" s="13">
        <v>49</v>
      </c>
      <c r="E1390" s="13">
        <v>59</v>
      </c>
      <c r="F1390" s="13">
        <v>104</v>
      </c>
      <c r="G1390" s="13">
        <v>62</v>
      </c>
      <c r="H1390" s="13">
        <v>32</v>
      </c>
      <c r="I1390" s="11">
        <f t="shared" si="753"/>
        <v>380</v>
      </c>
      <c r="J1390" s="722">
        <f t="shared" si="754"/>
        <v>54.285714285714285</v>
      </c>
    </row>
    <row r="1391" spans="1:10" x14ac:dyDescent="0.25">
      <c r="A1391" s="622" t="s">
        <v>15</v>
      </c>
      <c r="B1391" s="233">
        <v>5</v>
      </c>
      <c r="C1391" s="13">
        <v>10</v>
      </c>
      <c r="D1391" s="13">
        <v>3</v>
      </c>
      <c r="E1391" s="13">
        <v>0</v>
      </c>
      <c r="F1391" s="13">
        <v>4</v>
      </c>
      <c r="G1391" s="13">
        <v>6</v>
      </c>
      <c r="H1391" s="13">
        <v>8</v>
      </c>
      <c r="I1391" s="11">
        <f t="shared" si="753"/>
        <v>36</v>
      </c>
      <c r="J1391" s="722">
        <f t="shared" si="754"/>
        <v>5.1428571428571432</v>
      </c>
    </row>
    <row r="1392" spans="1:10" x14ac:dyDescent="0.25">
      <c r="A1392" s="622" t="s">
        <v>16</v>
      </c>
      <c r="B1392" s="233">
        <v>0</v>
      </c>
      <c r="C1392" s="13">
        <v>0</v>
      </c>
      <c r="D1392" s="13">
        <v>0</v>
      </c>
      <c r="E1392" s="13">
        <v>0</v>
      </c>
      <c r="F1392" s="13">
        <v>0</v>
      </c>
      <c r="G1392" s="13">
        <v>0</v>
      </c>
      <c r="H1392" s="13">
        <v>0</v>
      </c>
      <c r="I1392" s="11">
        <f t="shared" si="753"/>
        <v>0</v>
      </c>
      <c r="J1392" s="722">
        <f t="shared" si="754"/>
        <v>0</v>
      </c>
    </row>
    <row r="1393" spans="1:10" x14ac:dyDescent="0.25">
      <c r="A1393" s="624" t="s">
        <v>17</v>
      </c>
      <c r="B1393" s="102">
        <f t="shared" ref="B1393:I1393" si="755">SUM(B1388:B1392)</f>
        <v>84</v>
      </c>
      <c r="C1393" s="102">
        <f t="shared" si="755"/>
        <v>105</v>
      </c>
      <c r="D1393" s="102">
        <f t="shared" si="755"/>
        <v>90</v>
      </c>
      <c r="E1393" s="102">
        <f t="shared" si="755"/>
        <v>111</v>
      </c>
      <c r="F1393" s="102">
        <f t="shared" si="755"/>
        <v>169</v>
      </c>
      <c r="G1393" s="79">
        <f t="shared" si="755"/>
        <v>118</v>
      </c>
      <c r="H1393" s="79">
        <f t="shared" si="755"/>
        <v>118</v>
      </c>
      <c r="I1393" s="472">
        <f t="shared" si="755"/>
        <v>795</v>
      </c>
      <c r="J1393" s="723">
        <f t="shared" si="754"/>
        <v>113.57142857142857</v>
      </c>
    </row>
    <row r="1394" spans="1:10" x14ac:dyDescent="0.25">
      <c r="A1394" s="622" t="s">
        <v>18</v>
      </c>
      <c r="B1394" s="234">
        <v>0.51</v>
      </c>
      <c r="C1394" s="235">
        <v>0.56000000000000005</v>
      </c>
      <c r="D1394" s="235">
        <v>0.46</v>
      </c>
      <c r="E1394" s="236">
        <v>0.59</v>
      </c>
      <c r="F1394" s="236">
        <v>0.41</v>
      </c>
      <c r="G1394" s="236">
        <v>0.49</v>
      </c>
      <c r="H1394" s="236">
        <v>0.65</v>
      </c>
      <c r="I1394" s="18">
        <f>I1401/I1406</f>
        <v>0.51967566509331997</v>
      </c>
      <c r="J1394" s="724">
        <f>J1401/J1406</f>
        <v>0.51967566509331997</v>
      </c>
    </row>
    <row r="1395" spans="1:10" x14ac:dyDescent="0.25">
      <c r="A1395" s="622" t="s">
        <v>19</v>
      </c>
      <c r="B1395" s="234">
        <v>0.02</v>
      </c>
      <c r="C1395" s="235">
        <v>0</v>
      </c>
      <c r="D1395" s="235">
        <v>0.01</v>
      </c>
      <c r="E1395" s="236">
        <v>0.02</v>
      </c>
      <c r="F1395" s="236">
        <v>0.01</v>
      </c>
      <c r="G1395" s="236">
        <v>0</v>
      </c>
      <c r="H1395" s="236">
        <v>0.03</v>
      </c>
      <c r="I1395" s="18">
        <f>I1402/I1406</f>
        <v>1.2775148407601628E-2</v>
      </c>
      <c r="J1395" s="724">
        <f>J1402/J1406</f>
        <v>1.2775148407601626E-2</v>
      </c>
    </row>
    <row r="1396" spans="1:10" x14ac:dyDescent="0.25">
      <c r="A1396" s="622" t="s">
        <v>20</v>
      </c>
      <c r="B1396" s="234">
        <v>0.4</v>
      </c>
      <c r="C1396" s="235">
        <v>0.34</v>
      </c>
      <c r="D1396" s="235">
        <v>0.5</v>
      </c>
      <c r="E1396" s="236">
        <v>0.39</v>
      </c>
      <c r="F1396" s="236">
        <v>0.56999999999999995</v>
      </c>
      <c r="G1396" s="236">
        <v>0.46</v>
      </c>
      <c r="H1396" s="236">
        <v>0.25</v>
      </c>
      <c r="I1396" s="18">
        <f>I1403/I1406</f>
        <v>0.42417551451844721</v>
      </c>
      <c r="J1396" s="724">
        <f>J1403/J1406</f>
        <v>0.42417551451844721</v>
      </c>
    </row>
    <row r="1397" spans="1:10" x14ac:dyDescent="0.25">
      <c r="A1397" s="622" t="s">
        <v>21</v>
      </c>
      <c r="B1397" s="234">
        <v>7.0000000000000007E-2</v>
      </c>
      <c r="C1397" s="235">
        <v>0.1</v>
      </c>
      <c r="D1397" s="235">
        <v>0.03</v>
      </c>
      <c r="E1397" s="236">
        <v>0</v>
      </c>
      <c r="F1397" s="236">
        <v>0.01</v>
      </c>
      <c r="G1397" s="236">
        <v>0.05</v>
      </c>
      <c r="H1397" s="236">
        <v>7.0000000000000007E-2</v>
      </c>
      <c r="I1397" s="18">
        <f>I1404/I1406</f>
        <v>4.3373671980631155E-2</v>
      </c>
      <c r="J1397" s="724">
        <f>J1404/J1406</f>
        <v>4.3373671980631155E-2</v>
      </c>
    </row>
    <row r="1398" spans="1:10" x14ac:dyDescent="0.25">
      <c r="A1398" s="622" t="s">
        <v>22</v>
      </c>
      <c r="B1398" s="234">
        <v>0</v>
      </c>
      <c r="C1398" s="235">
        <v>0</v>
      </c>
      <c r="D1398" s="235">
        <v>0</v>
      </c>
      <c r="E1398" s="236">
        <v>0</v>
      </c>
      <c r="F1398" s="236">
        <v>0</v>
      </c>
      <c r="G1398" s="236">
        <v>0</v>
      </c>
      <c r="H1398" s="236">
        <v>0</v>
      </c>
      <c r="I1398" s="18">
        <f>I1405/I1406</f>
        <v>0</v>
      </c>
      <c r="J1398" s="724">
        <f>J1405/J1406</f>
        <v>0</v>
      </c>
    </row>
    <row r="1399" spans="1:10" x14ac:dyDescent="0.25">
      <c r="A1399" s="627" t="s">
        <v>23</v>
      </c>
      <c r="B1399" s="450">
        <f t="shared" ref="B1399:J1399" si="756">B1410/B1393</f>
        <v>33258.333333333336</v>
      </c>
      <c r="C1399" s="130">
        <f t="shared" si="756"/>
        <v>35253.333333333336</v>
      </c>
      <c r="D1399" s="130">
        <f t="shared" si="756"/>
        <v>33198.888888888891</v>
      </c>
      <c r="E1399" s="130">
        <f t="shared" si="756"/>
        <v>37128.828828828831</v>
      </c>
      <c r="F1399" s="130">
        <f t="shared" si="756"/>
        <v>36314.792899408283</v>
      </c>
      <c r="G1399" s="130">
        <f t="shared" si="756"/>
        <v>35096.610169491527</v>
      </c>
      <c r="H1399" s="130">
        <f t="shared" si="756"/>
        <v>37555.084745762717</v>
      </c>
      <c r="I1399" s="130">
        <f t="shared" si="756"/>
        <v>35615.849056603773</v>
      </c>
      <c r="J1399" s="685">
        <f t="shared" si="756"/>
        <v>35615.849056603773</v>
      </c>
    </row>
    <row r="1400" spans="1:10" x14ac:dyDescent="0.25">
      <c r="A1400" s="627" t="s">
        <v>24</v>
      </c>
      <c r="B1400" s="450">
        <f t="shared" ref="B1400:J1400" si="757">B1410/B1387</f>
        <v>27660.396039603962</v>
      </c>
      <c r="C1400" s="130">
        <f t="shared" si="757"/>
        <v>27217.647058823528</v>
      </c>
      <c r="D1400" s="130">
        <f t="shared" si="757"/>
        <v>28456.190476190477</v>
      </c>
      <c r="E1400" s="130">
        <f t="shared" si="757"/>
        <v>27846.62162162162</v>
      </c>
      <c r="F1400" s="130">
        <f t="shared" si="757"/>
        <v>29086.255924170615</v>
      </c>
      <c r="G1400" s="130">
        <f t="shared" si="757"/>
        <v>28561.37931034483</v>
      </c>
      <c r="H1400" s="130">
        <f t="shared" si="757"/>
        <v>29347.682119205303</v>
      </c>
      <c r="I1400" s="130">
        <f t="shared" si="757"/>
        <v>28399.799398194584</v>
      </c>
      <c r="J1400" s="685">
        <f t="shared" si="757"/>
        <v>28399.799398194587</v>
      </c>
    </row>
    <row r="1401" spans="1:10" x14ac:dyDescent="0.25">
      <c r="A1401" s="622" t="s">
        <v>25</v>
      </c>
      <c r="B1401" s="451">
        <f t="shared" ref="B1401:H1401" si="758">B1406*B1394</f>
        <v>1183943.6151724139</v>
      </c>
      <c r="C1401" s="92">
        <f t="shared" si="758"/>
        <v>1705868.9103448277</v>
      </c>
      <c r="D1401" s="92">
        <f t="shared" si="758"/>
        <v>1143770.6165517243</v>
      </c>
      <c r="E1401" s="92">
        <f t="shared" si="758"/>
        <v>2024965.448275862</v>
      </c>
      <c r="F1401" s="92">
        <f t="shared" si="758"/>
        <v>2110788.0986206895</v>
      </c>
      <c r="G1401" s="92">
        <f t="shared" si="758"/>
        <v>1690241.4827586208</v>
      </c>
      <c r="H1401" s="92">
        <f t="shared" si="758"/>
        <v>2362347.4034482762</v>
      </c>
      <c r="I1401" s="92">
        <f>SUM(B1401:H1401)</f>
        <v>12221925.575172413</v>
      </c>
      <c r="J1401" s="715">
        <f t="shared" ref="J1401:J1406" si="759">+$I1401/7</f>
        <v>1745989.3678817733</v>
      </c>
    </row>
    <row r="1402" spans="1:10" x14ac:dyDescent="0.25">
      <c r="A1402" s="622" t="s">
        <v>26</v>
      </c>
      <c r="B1402" s="451">
        <f t="shared" ref="B1402:H1402" si="760">B1406*B1395</f>
        <v>46429.161379310353</v>
      </c>
      <c r="C1402" s="92">
        <f t="shared" si="760"/>
        <v>0</v>
      </c>
      <c r="D1402" s="92">
        <f t="shared" si="760"/>
        <v>24864.578620689656</v>
      </c>
      <c r="E1402" s="92">
        <f t="shared" si="760"/>
        <v>68642.896551724145</v>
      </c>
      <c r="F1402" s="92">
        <f t="shared" si="760"/>
        <v>51482.636551724143</v>
      </c>
      <c r="G1402" s="92">
        <f t="shared" si="760"/>
        <v>0</v>
      </c>
      <c r="H1402" s="92">
        <f t="shared" si="760"/>
        <v>109031.41862068967</v>
      </c>
      <c r="I1402" s="92">
        <f>SUM(B1402:H1402)</f>
        <v>300450.69172413799</v>
      </c>
      <c r="J1402" s="715">
        <f t="shared" si="759"/>
        <v>42921.527389162569</v>
      </c>
    </row>
    <row r="1403" spans="1:10" x14ac:dyDescent="0.25">
      <c r="A1403" s="622" t="s">
        <v>27</v>
      </c>
      <c r="B1403" s="451">
        <f t="shared" ref="B1403:H1403" si="761">B1406*B1396</f>
        <v>928583.22758620698</v>
      </c>
      <c r="C1403" s="92">
        <f t="shared" si="761"/>
        <v>1035706.1241379312</v>
      </c>
      <c r="D1403" s="92">
        <f t="shared" si="761"/>
        <v>1243228.9310344828</v>
      </c>
      <c r="E1403" s="92">
        <f t="shared" si="761"/>
        <v>1338536.4827586208</v>
      </c>
      <c r="F1403" s="92">
        <f t="shared" si="761"/>
        <v>2934510.2834482756</v>
      </c>
      <c r="G1403" s="92">
        <f t="shared" si="761"/>
        <v>1586757.3103448278</v>
      </c>
      <c r="H1403" s="92">
        <f t="shared" si="761"/>
        <v>908595.15517241391</v>
      </c>
      <c r="I1403" s="92">
        <f>SUM(B1403:H1403)</f>
        <v>9975917.5144827589</v>
      </c>
      <c r="J1403" s="715">
        <f t="shared" si="759"/>
        <v>1425131.0734975371</v>
      </c>
    </row>
    <row r="1404" spans="1:10" x14ac:dyDescent="0.25">
      <c r="A1404" s="622" t="s">
        <v>28</v>
      </c>
      <c r="B1404" s="451">
        <f t="shared" ref="B1404:H1404" si="762">B1406*B1397</f>
        <v>162502.06482758623</v>
      </c>
      <c r="C1404" s="92">
        <f t="shared" si="762"/>
        <v>304619.44827586209</v>
      </c>
      <c r="D1404" s="92">
        <f t="shared" si="762"/>
        <v>74593.735862068963</v>
      </c>
      <c r="E1404" s="92">
        <f t="shared" si="762"/>
        <v>0</v>
      </c>
      <c r="F1404" s="92">
        <f t="shared" si="762"/>
        <v>51482.636551724143</v>
      </c>
      <c r="G1404" s="92">
        <f t="shared" si="762"/>
        <v>172473.62068965519</v>
      </c>
      <c r="H1404" s="92">
        <f t="shared" si="762"/>
        <v>254406.64344827592</v>
      </c>
      <c r="I1404" s="92">
        <f>SUM(B1404:H1404)</f>
        <v>1020078.1496551726</v>
      </c>
      <c r="J1404" s="715">
        <f t="shared" si="759"/>
        <v>145725.44995073896</v>
      </c>
    </row>
    <row r="1405" spans="1:10" x14ac:dyDescent="0.25">
      <c r="A1405" s="622" t="s">
        <v>29</v>
      </c>
      <c r="B1405" s="451">
        <f t="shared" ref="B1405:H1405" si="763">B1406*B1398</f>
        <v>0</v>
      </c>
      <c r="C1405" s="92">
        <f t="shared" si="763"/>
        <v>0</v>
      </c>
      <c r="D1405" s="92">
        <f t="shared" si="763"/>
        <v>0</v>
      </c>
      <c r="E1405" s="92">
        <f t="shared" si="763"/>
        <v>0</v>
      </c>
      <c r="F1405" s="92">
        <f t="shared" si="763"/>
        <v>0</v>
      </c>
      <c r="G1405" s="92">
        <f t="shared" si="763"/>
        <v>0</v>
      </c>
      <c r="H1405" s="92">
        <f t="shared" si="763"/>
        <v>0</v>
      </c>
      <c r="I1405" s="92">
        <f>SUM(B1405:H1405)</f>
        <v>0</v>
      </c>
      <c r="J1405" s="715">
        <f t="shared" si="759"/>
        <v>0</v>
      </c>
    </row>
    <row r="1406" spans="1:10" x14ac:dyDescent="0.25">
      <c r="A1406" s="630" t="s">
        <v>30</v>
      </c>
      <c r="B1406" s="237">
        <f>(2793700/1.16)-B1407</f>
        <v>2321458.0689655175</v>
      </c>
      <c r="C1406" s="237">
        <f>(3701600/1.16)-C1407</f>
        <v>3046194.4827586208</v>
      </c>
      <c r="D1406" s="237">
        <f>(2987900/1.16)-D1407</f>
        <v>2486457.8620689656</v>
      </c>
      <c r="E1406" s="237">
        <f>(4121300/1.16)-E1407</f>
        <v>3432144.8275862071</v>
      </c>
      <c r="F1406" s="237">
        <f>(6137200/1.16)-F1407</f>
        <v>5148263.6551724141</v>
      </c>
      <c r="G1406" s="237">
        <f>(4141400/1.16)-G1407</f>
        <v>3449472.4137931038</v>
      </c>
      <c r="H1406" s="237">
        <f>(4431500/1.16)-H1407</f>
        <v>3634380.6206896557</v>
      </c>
      <c r="I1406" s="91">
        <f>SUM(I1401:I1405)</f>
        <v>23518371.931034483</v>
      </c>
      <c r="J1406" s="716">
        <f t="shared" si="759"/>
        <v>3359767.4187192121</v>
      </c>
    </row>
    <row r="1407" spans="1:10" x14ac:dyDescent="0.25">
      <c r="A1407" s="622" t="s">
        <v>31</v>
      </c>
      <c r="B1407" s="452">
        <f t="shared" ref="B1407:H1407" si="764">2414*B1388</f>
        <v>86904</v>
      </c>
      <c r="C1407" s="94">
        <f t="shared" si="764"/>
        <v>144840</v>
      </c>
      <c r="D1407" s="94">
        <f t="shared" si="764"/>
        <v>89318</v>
      </c>
      <c r="E1407" s="94">
        <f t="shared" si="764"/>
        <v>120700</v>
      </c>
      <c r="F1407" s="94">
        <f t="shared" si="764"/>
        <v>142426</v>
      </c>
      <c r="G1407" s="94">
        <f t="shared" si="764"/>
        <v>120700</v>
      </c>
      <c r="H1407" s="94">
        <f t="shared" si="764"/>
        <v>185878</v>
      </c>
      <c r="I1407" s="94">
        <f>I1388*2414</f>
        <v>890766</v>
      </c>
      <c r="J1407" s="717">
        <f>2155*J1388</f>
        <v>113599.28571428571</v>
      </c>
    </row>
    <row r="1408" spans="1:10" x14ac:dyDescent="0.25">
      <c r="A1408" s="633" t="s">
        <v>32</v>
      </c>
      <c r="B1408" s="453">
        <f t="shared" ref="B1408:J1408" si="765">B1406+B1407</f>
        <v>2408362.0689655175</v>
      </c>
      <c r="C1408" s="39">
        <f t="shared" si="765"/>
        <v>3191034.4827586208</v>
      </c>
      <c r="D1408" s="39">
        <f t="shared" si="765"/>
        <v>2575775.8620689656</v>
      </c>
      <c r="E1408" s="39">
        <f t="shared" si="765"/>
        <v>3552844.8275862071</v>
      </c>
      <c r="F1408" s="39">
        <f t="shared" si="765"/>
        <v>5290689.6551724141</v>
      </c>
      <c r="G1408" s="39">
        <f t="shared" si="765"/>
        <v>3570172.4137931038</v>
      </c>
      <c r="H1408" s="39">
        <f t="shared" si="765"/>
        <v>3820258.6206896557</v>
      </c>
      <c r="I1408" s="39">
        <f t="shared" si="765"/>
        <v>24409137.931034483</v>
      </c>
      <c r="J1408" s="718">
        <f t="shared" si="765"/>
        <v>3473366.704433498</v>
      </c>
    </row>
    <row r="1409" spans="1:10" x14ac:dyDescent="0.25">
      <c r="A1409" s="622" t="s">
        <v>33</v>
      </c>
      <c r="B1409" s="454">
        <f t="shared" ref="B1409:J1409" si="766">B1408*16%</f>
        <v>385337.93103448278</v>
      </c>
      <c r="C1409" s="41">
        <f t="shared" si="766"/>
        <v>510565.5172413793</v>
      </c>
      <c r="D1409" s="41">
        <f t="shared" si="766"/>
        <v>412124.13793103449</v>
      </c>
      <c r="E1409" s="41">
        <f t="shared" si="766"/>
        <v>568455.17241379316</v>
      </c>
      <c r="F1409" s="41">
        <f t="shared" si="766"/>
        <v>846510.34482758632</v>
      </c>
      <c r="G1409" s="41">
        <f t="shared" si="766"/>
        <v>571227.58620689658</v>
      </c>
      <c r="H1409" s="41">
        <f t="shared" si="766"/>
        <v>611241.37931034493</v>
      </c>
      <c r="I1409" s="41">
        <f t="shared" si="766"/>
        <v>3905462.0689655175</v>
      </c>
      <c r="J1409" s="725">
        <f t="shared" si="766"/>
        <v>555738.67270935967</v>
      </c>
    </row>
    <row r="1410" spans="1:10" ht="15.75" thickBot="1" x14ac:dyDescent="0.3">
      <c r="A1410" s="636" t="s">
        <v>34</v>
      </c>
      <c r="B1410" s="637">
        <f t="shared" ref="B1410:I1410" si="767">B1408+B1409</f>
        <v>2793700</v>
      </c>
      <c r="C1410" s="686">
        <f t="shared" si="767"/>
        <v>3701600</v>
      </c>
      <c r="D1410" s="686">
        <f t="shared" si="767"/>
        <v>2987900</v>
      </c>
      <c r="E1410" s="686">
        <f t="shared" si="767"/>
        <v>4121300</v>
      </c>
      <c r="F1410" s="686">
        <f t="shared" si="767"/>
        <v>6137200</v>
      </c>
      <c r="G1410" s="686">
        <f t="shared" si="767"/>
        <v>4141400.0000000005</v>
      </c>
      <c r="H1410" s="686">
        <f t="shared" si="767"/>
        <v>4431500.0000000009</v>
      </c>
      <c r="I1410" s="686">
        <f t="shared" si="767"/>
        <v>28314600</v>
      </c>
      <c r="J1410" s="720">
        <f>+$I1410/7</f>
        <v>4044942.8571428573</v>
      </c>
    </row>
    <row r="1411" spans="1:10" ht="15.75" thickBot="1" x14ac:dyDescent="0.3">
      <c r="I1411" s="89"/>
    </row>
    <row r="1412" spans="1:10" ht="27" thickBot="1" x14ac:dyDescent="0.3">
      <c r="A1412" s="85"/>
      <c r="B1412" s="1002" t="s">
        <v>393</v>
      </c>
      <c r="C1412" s="1002"/>
      <c r="D1412" s="1002"/>
      <c r="E1412" s="1002"/>
      <c r="F1412" s="1002"/>
      <c r="G1412" s="1002"/>
      <c r="H1412" s="1002"/>
      <c r="I1412" s="1002"/>
    </row>
    <row r="1413" spans="1:10" ht="15.75" x14ac:dyDescent="0.25">
      <c r="A1413" s="614" t="s">
        <v>2</v>
      </c>
      <c r="B1413" s="706" t="s">
        <v>298</v>
      </c>
      <c r="C1413" s="641" t="s">
        <v>299</v>
      </c>
      <c r="D1413" s="641" t="s">
        <v>300</v>
      </c>
      <c r="E1413" s="641" t="s">
        <v>301</v>
      </c>
      <c r="F1413" s="641" t="s">
        <v>65</v>
      </c>
      <c r="G1413" s="641" t="s">
        <v>66</v>
      </c>
      <c r="H1413" s="641" t="s">
        <v>67</v>
      </c>
      <c r="I1413" s="618" t="s">
        <v>10</v>
      </c>
      <c r="J1413" s="711" t="s">
        <v>77</v>
      </c>
    </row>
    <row r="1414" spans="1:10" x14ac:dyDescent="0.25">
      <c r="A1414" s="620" t="s">
        <v>11</v>
      </c>
      <c r="B1414" s="433">
        <f>58+28+8</f>
        <v>94</v>
      </c>
      <c r="C1414" s="75">
        <f>40+32+5</f>
        <v>77</v>
      </c>
      <c r="D1414" s="75">
        <f>57+29+8</f>
        <v>94</v>
      </c>
      <c r="E1414" s="75">
        <f>62+36+14</f>
        <v>112</v>
      </c>
      <c r="F1414" s="75">
        <f>112+66+17</f>
        <v>195</v>
      </c>
      <c r="G1414" s="75">
        <f>94+62+16</f>
        <v>172</v>
      </c>
      <c r="H1414" s="75">
        <f>71+48+12</f>
        <v>131</v>
      </c>
      <c r="I1414" s="467">
        <f t="shared" ref="I1414:I1419" si="768">SUM(B1414:H1414)</f>
        <v>875</v>
      </c>
      <c r="J1414" s="721">
        <f>+$I1414/7</f>
        <v>125</v>
      </c>
    </row>
    <row r="1415" spans="1:10" x14ac:dyDescent="0.25">
      <c r="A1415" s="622" t="s">
        <v>12</v>
      </c>
      <c r="B1415" s="233">
        <v>32</v>
      </c>
      <c r="C1415" s="13">
        <v>23</v>
      </c>
      <c r="D1415" s="13">
        <v>34</v>
      </c>
      <c r="E1415" s="13">
        <v>29</v>
      </c>
      <c r="F1415" s="13">
        <v>73</v>
      </c>
      <c r="G1415" s="320">
        <v>64</v>
      </c>
      <c r="H1415" s="13">
        <v>76</v>
      </c>
      <c r="I1415" s="11">
        <f t="shared" si="768"/>
        <v>331</v>
      </c>
      <c r="J1415" s="722">
        <f t="shared" ref="J1415:J1420" si="769">+$I1415/7</f>
        <v>47.285714285714285</v>
      </c>
    </row>
    <row r="1416" spans="1:10" x14ac:dyDescent="0.25">
      <c r="A1416" s="622" t="s">
        <v>13</v>
      </c>
      <c r="B1416" s="233">
        <v>1</v>
      </c>
      <c r="C1416" s="13">
        <v>1</v>
      </c>
      <c r="D1416" s="13">
        <v>1</v>
      </c>
      <c r="E1416" s="13">
        <v>3</v>
      </c>
      <c r="F1416" s="13">
        <v>1</v>
      </c>
      <c r="G1416" s="13">
        <v>0</v>
      </c>
      <c r="H1416" s="13">
        <v>1</v>
      </c>
      <c r="I1416" s="11">
        <f t="shared" si="768"/>
        <v>8</v>
      </c>
      <c r="J1416" s="722">
        <f t="shared" si="769"/>
        <v>1.1428571428571428</v>
      </c>
    </row>
    <row r="1417" spans="1:10" x14ac:dyDescent="0.25">
      <c r="A1417" s="622" t="s">
        <v>14</v>
      </c>
      <c r="B1417" s="233">
        <v>31</v>
      </c>
      <c r="C1417" s="13">
        <v>40</v>
      </c>
      <c r="D1417" s="13">
        <v>43</v>
      </c>
      <c r="E1417" s="13">
        <v>59</v>
      </c>
      <c r="F1417" s="13">
        <v>74</v>
      </c>
      <c r="G1417" s="13">
        <v>68</v>
      </c>
      <c r="H1417" s="13">
        <v>28</v>
      </c>
      <c r="I1417" s="11">
        <f t="shared" si="768"/>
        <v>343</v>
      </c>
      <c r="J1417" s="722">
        <f t="shared" si="769"/>
        <v>49</v>
      </c>
    </row>
    <row r="1418" spans="1:10" x14ac:dyDescent="0.25">
      <c r="A1418" s="622" t="s">
        <v>15</v>
      </c>
      <c r="B1418" s="233">
        <v>7</v>
      </c>
      <c r="C1418" s="13">
        <v>5</v>
      </c>
      <c r="D1418" s="13">
        <v>5</v>
      </c>
      <c r="E1418" s="13">
        <v>4</v>
      </c>
      <c r="F1418" s="13">
        <v>6</v>
      </c>
      <c r="G1418" s="13">
        <v>10</v>
      </c>
      <c r="H1418" s="13">
        <v>2</v>
      </c>
      <c r="I1418" s="11">
        <f t="shared" si="768"/>
        <v>39</v>
      </c>
      <c r="J1418" s="722">
        <f t="shared" si="769"/>
        <v>5.5714285714285712</v>
      </c>
    </row>
    <row r="1419" spans="1:10" x14ac:dyDescent="0.25">
      <c r="A1419" s="622" t="s">
        <v>16</v>
      </c>
      <c r="B1419" s="233">
        <v>1</v>
      </c>
      <c r="C1419" s="13">
        <v>0</v>
      </c>
      <c r="D1419" s="13">
        <v>0</v>
      </c>
      <c r="E1419" s="13">
        <v>0</v>
      </c>
      <c r="F1419" s="13">
        <v>0</v>
      </c>
      <c r="G1419" s="13">
        <v>0</v>
      </c>
      <c r="H1419" s="13">
        <v>0</v>
      </c>
      <c r="I1419" s="11">
        <f t="shared" si="768"/>
        <v>1</v>
      </c>
      <c r="J1419" s="722">
        <f t="shared" si="769"/>
        <v>0.14285714285714285</v>
      </c>
    </row>
    <row r="1420" spans="1:10" x14ac:dyDescent="0.25">
      <c r="A1420" s="624" t="s">
        <v>17</v>
      </c>
      <c r="B1420" s="102">
        <f t="shared" ref="B1420:I1420" si="770">SUM(B1415:B1419)</f>
        <v>72</v>
      </c>
      <c r="C1420" s="102">
        <f t="shared" si="770"/>
        <v>69</v>
      </c>
      <c r="D1420" s="102">
        <f t="shared" si="770"/>
        <v>83</v>
      </c>
      <c r="E1420" s="102">
        <f t="shared" si="770"/>
        <v>95</v>
      </c>
      <c r="F1420" s="102">
        <f t="shared" si="770"/>
        <v>154</v>
      </c>
      <c r="G1420" s="79">
        <f t="shared" si="770"/>
        <v>142</v>
      </c>
      <c r="H1420" s="79">
        <f t="shared" si="770"/>
        <v>107</v>
      </c>
      <c r="I1420" s="472">
        <f t="shared" si="770"/>
        <v>722</v>
      </c>
      <c r="J1420" s="723">
        <f t="shared" si="769"/>
        <v>103.14285714285714</v>
      </c>
    </row>
    <row r="1421" spans="1:10" x14ac:dyDescent="0.25">
      <c r="A1421" s="622" t="s">
        <v>18</v>
      </c>
      <c r="B1421" s="234">
        <v>0.54</v>
      </c>
      <c r="C1421" s="235">
        <v>0.37</v>
      </c>
      <c r="D1421" s="235">
        <v>0.49</v>
      </c>
      <c r="E1421" s="236">
        <v>0.35</v>
      </c>
      <c r="F1421" s="236">
        <v>0.57999999999999996</v>
      </c>
      <c r="G1421" s="236">
        <v>0.5</v>
      </c>
      <c r="H1421" s="236">
        <v>0.73</v>
      </c>
      <c r="I1421" s="18">
        <f>I1428/I1433</f>
        <v>0.52785398273858608</v>
      </c>
      <c r="J1421" s="724">
        <f>J1428/J1433</f>
        <v>0.52785398273858597</v>
      </c>
    </row>
    <row r="1422" spans="1:10" x14ac:dyDescent="0.25">
      <c r="A1422" s="622" t="s">
        <v>19</v>
      </c>
      <c r="B1422" s="234">
        <v>0.04</v>
      </c>
      <c r="C1422" s="235">
        <v>0.01</v>
      </c>
      <c r="D1422" s="235">
        <v>0.02</v>
      </c>
      <c r="E1422" s="236">
        <v>0.05</v>
      </c>
      <c r="F1422" s="236">
        <v>0</v>
      </c>
      <c r="G1422" s="236">
        <v>0</v>
      </c>
      <c r="H1422" s="236">
        <v>0.01</v>
      </c>
      <c r="I1422" s="18">
        <f>I1429/I1433</f>
        <v>1.518140225857373E-2</v>
      </c>
      <c r="J1422" s="724">
        <f>J1429/J1433</f>
        <v>1.518140225857373E-2</v>
      </c>
    </row>
    <row r="1423" spans="1:10" x14ac:dyDescent="0.25">
      <c r="A1423" s="622" t="s">
        <v>20</v>
      </c>
      <c r="B1423" s="234">
        <v>0.35</v>
      </c>
      <c r="C1423" s="235">
        <v>0.56999999999999995</v>
      </c>
      <c r="D1423" s="235">
        <v>0.45</v>
      </c>
      <c r="E1423" s="236">
        <v>0.56000000000000005</v>
      </c>
      <c r="F1423" s="236">
        <v>0.39</v>
      </c>
      <c r="G1423" s="236">
        <v>0.43</v>
      </c>
      <c r="H1423" s="236">
        <v>0.24</v>
      </c>
      <c r="I1423" s="18">
        <f>I1430/I1433</f>
        <v>0.41192582705459263</v>
      </c>
      <c r="J1423" s="724">
        <f>J1430/J1433</f>
        <v>0.41192582705459269</v>
      </c>
    </row>
    <row r="1424" spans="1:10" x14ac:dyDescent="0.25">
      <c r="A1424" s="622" t="s">
        <v>21</v>
      </c>
      <c r="B1424" s="234">
        <v>7.0000000000000007E-2</v>
      </c>
      <c r="C1424" s="235">
        <v>0.05</v>
      </c>
      <c r="D1424" s="235">
        <v>0.04</v>
      </c>
      <c r="E1424" s="236">
        <v>0.04</v>
      </c>
      <c r="F1424" s="236">
        <v>0.03</v>
      </c>
      <c r="G1424" s="236">
        <v>7.0000000000000007E-2</v>
      </c>
      <c r="H1424" s="236">
        <v>0.02</v>
      </c>
      <c r="I1424" s="18">
        <f>I1431/I1433</f>
        <v>4.5038787948247692E-2</v>
      </c>
      <c r="J1424" s="724">
        <f>J1431/J1433</f>
        <v>4.5038787948247692E-2</v>
      </c>
    </row>
    <row r="1425" spans="1:10" x14ac:dyDescent="0.25">
      <c r="A1425" s="622" t="s">
        <v>22</v>
      </c>
      <c r="B1425" s="234">
        <v>0</v>
      </c>
      <c r="C1425" s="235">
        <v>0</v>
      </c>
      <c r="D1425" s="235">
        <v>0</v>
      </c>
      <c r="E1425" s="236">
        <v>0</v>
      </c>
      <c r="F1425" s="236">
        <v>0</v>
      </c>
      <c r="G1425" s="236">
        <v>0</v>
      </c>
      <c r="H1425" s="236">
        <v>0</v>
      </c>
      <c r="I1425" s="18">
        <f>I1432/I1433</f>
        <v>0</v>
      </c>
      <c r="J1425" s="724">
        <f>J1432/J1433</f>
        <v>0</v>
      </c>
    </row>
    <row r="1426" spans="1:10" x14ac:dyDescent="0.25">
      <c r="A1426" s="627" t="s">
        <v>23</v>
      </c>
      <c r="B1426" s="450">
        <f t="shared" ref="B1426:J1426" si="771">B1437/B1420</f>
        <v>39887.5</v>
      </c>
      <c r="C1426" s="130">
        <f t="shared" si="771"/>
        <v>28597.101449275364</v>
      </c>
      <c r="D1426" s="130">
        <f t="shared" si="771"/>
        <v>30208.433734939757</v>
      </c>
      <c r="E1426" s="130">
        <f t="shared" si="771"/>
        <v>31126.315789473691</v>
      </c>
      <c r="F1426" s="130">
        <f t="shared" si="771"/>
        <v>35936.36363636364</v>
      </c>
      <c r="G1426" s="130">
        <f t="shared" si="771"/>
        <v>34409.859154929582</v>
      </c>
      <c r="H1426" s="130">
        <f t="shared" si="771"/>
        <v>35437.383177570096</v>
      </c>
      <c r="I1426" s="130">
        <f t="shared" si="771"/>
        <v>33963.434903047091</v>
      </c>
      <c r="J1426" s="685">
        <f t="shared" si="771"/>
        <v>33963.434903047091</v>
      </c>
    </row>
    <row r="1427" spans="1:10" x14ac:dyDescent="0.25">
      <c r="A1427" s="627" t="s">
        <v>24</v>
      </c>
      <c r="B1427" s="450">
        <f t="shared" ref="B1427:J1427" si="772">B1437/B1414</f>
        <v>30552.127659574468</v>
      </c>
      <c r="C1427" s="130">
        <f t="shared" si="772"/>
        <v>25625.974025974025</v>
      </c>
      <c r="D1427" s="130">
        <f t="shared" si="772"/>
        <v>26673.40425531915</v>
      </c>
      <c r="E1427" s="130">
        <f t="shared" si="772"/>
        <v>26401.785714285717</v>
      </c>
      <c r="F1427" s="130">
        <f t="shared" si="772"/>
        <v>28380.512820512824</v>
      </c>
      <c r="G1427" s="130">
        <f t="shared" si="772"/>
        <v>28408.139534883725</v>
      </c>
      <c r="H1427" s="130">
        <f t="shared" si="772"/>
        <v>28945.038167938932</v>
      </c>
      <c r="I1427" s="130">
        <f t="shared" si="772"/>
        <v>28024.685714285715</v>
      </c>
      <c r="J1427" s="685">
        <f t="shared" si="772"/>
        <v>28024.685714285712</v>
      </c>
    </row>
    <row r="1428" spans="1:10" x14ac:dyDescent="0.25">
      <c r="A1428" s="622" t="s">
        <v>25</v>
      </c>
      <c r="B1428" s="451">
        <f t="shared" ref="B1428:H1428" si="773">B1433*B1421</f>
        <v>1295205.0455172416</v>
      </c>
      <c r="C1428" s="92">
        <f t="shared" si="773"/>
        <v>608839.61862068973</v>
      </c>
      <c r="D1428" s="92">
        <f t="shared" si="773"/>
        <v>1018900.8634482758</v>
      </c>
      <c r="E1428" s="92">
        <f t="shared" si="773"/>
        <v>867696.17586206901</v>
      </c>
      <c r="F1428" s="92">
        <f t="shared" si="773"/>
        <v>2664891.2400000002</v>
      </c>
      <c r="G1428" s="92">
        <f t="shared" si="773"/>
        <v>2028872.6896551726</v>
      </c>
      <c r="H1428" s="92">
        <f t="shared" si="773"/>
        <v>2252290.2455172413</v>
      </c>
      <c r="I1428" s="92">
        <f>SUM(B1428:H1428)</f>
        <v>10736695.87862069</v>
      </c>
      <c r="J1428" s="715">
        <f t="shared" ref="J1428:J1433" si="774">+$I1428/7</f>
        <v>1533813.6969458128</v>
      </c>
    </row>
    <row r="1429" spans="1:10" x14ac:dyDescent="0.25">
      <c r="A1429" s="622" t="s">
        <v>26</v>
      </c>
      <c r="B1429" s="451">
        <f t="shared" ref="B1429:H1429" si="775">B1433*B1422</f>
        <v>95941.114482758625</v>
      </c>
      <c r="C1429" s="92">
        <f t="shared" si="775"/>
        <v>16455.124827586209</v>
      </c>
      <c r="D1429" s="92">
        <f t="shared" si="775"/>
        <v>41587.790344827583</v>
      </c>
      <c r="E1429" s="92">
        <f t="shared" si="775"/>
        <v>123956.59655172416</v>
      </c>
      <c r="F1429" s="92">
        <f t="shared" si="775"/>
        <v>0</v>
      </c>
      <c r="G1429" s="92">
        <f t="shared" si="775"/>
        <v>0</v>
      </c>
      <c r="H1429" s="92">
        <f t="shared" si="775"/>
        <v>30853.291034482761</v>
      </c>
      <c r="I1429" s="92">
        <f>SUM(B1429:H1429)</f>
        <v>308793.91724137933</v>
      </c>
      <c r="J1429" s="715">
        <f t="shared" si="774"/>
        <v>44113.416748768475</v>
      </c>
    </row>
    <row r="1430" spans="1:10" x14ac:dyDescent="0.25">
      <c r="A1430" s="622" t="s">
        <v>27</v>
      </c>
      <c r="B1430" s="451">
        <f t="shared" ref="B1430:H1430" si="776">B1433*B1423</f>
        <v>839484.75172413792</v>
      </c>
      <c r="C1430" s="92">
        <f t="shared" si="776"/>
        <v>937942.11517241376</v>
      </c>
      <c r="D1430" s="92">
        <f t="shared" si="776"/>
        <v>935725.28275862068</v>
      </c>
      <c r="E1430" s="92">
        <f t="shared" si="776"/>
        <v>1388313.8813793105</v>
      </c>
      <c r="F1430" s="92">
        <f t="shared" si="776"/>
        <v>1791909.626896552</v>
      </c>
      <c r="G1430" s="92">
        <f t="shared" si="776"/>
        <v>1744830.5131034486</v>
      </c>
      <c r="H1430" s="92">
        <f t="shared" si="776"/>
        <v>740478.98482758622</v>
      </c>
      <c r="I1430" s="92">
        <f>SUM(B1430:H1430)</f>
        <v>8378685.1558620697</v>
      </c>
      <c r="J1430" s="715">
        <f t="shared" si="774"/>
        <v>1196955.0222660101</v>
      </c>
    </row>
    <row r="1431" spans="1:10" x14ac:dyDescent="0.25">
      <c r="A1431" s="622" t="s">
        <v>28</v>
      </c>
      <c r="B1431" s="451">
        <f t="shared" ref="B1431:H1431" si="777">B1433*B1424</f>
        <v>167896.95034482761</v>
      </c>
      <c r="C1431" s="92">
        <f t="shared" si="777"/>
        <v>82275.624137931038</v>
      </c>
      <c r="D1431" s="92">
        <f t="shared" si="777"/>
        <v>83175.580689655166</v>
      </c>
      <c r="E1431" s="92">
        <f t="shared" si="777"/>
        <v>99165.277241379328</v>
      </c>
      <c r="F1431" s="92">
        <f t="shared" si="777"/>
        <v>137839.20206896553</v>
      </c>
      <c r="G1431" s="92">
        <f t="shared" si="777"/>
        <v>284042.1765517242</v>
      </c>
      <c r="H1431" s="92">
        <f t="shared" si="777"/>
        <v>61706.582068965523</v>
      </c>
      <c r="I1431" s="92">
        <f>SUM(B1431:H1431)</f>
        <v>916101.39310344832</v>
      </c>
      <c r="J1431" s="715">
        <f t="shared" si="774"/>
        <v>130871.6275862069</v>
      </c>
    </row>
    <row r="1432" spans="1:10" x14ac:dyDescent="0.25">
      <c r="A1432" s="622" t="s">
        <v>29</v>
      </c>
      <c r="B1432" s="451">
        <f t="shared" ref="B1432:H1432" si="778">B1433*B1425</f>
        <v>0</v>
      </c>
      <c r="C1432" s="92">
        <f t="shared" si="778"/>
        <v>0</v>
      </c>
      <c r="D1432" s="92">
        <f t="shared" si="778"/>
        <v>0</v>
      </c>
      <c r="E1432" s="92">
        <f t="shared" si="778"/>
        <v>0</v>
      </c>
      <c r="F1432" s="92">
        <f t="shared" si="778"/>
        <v>0</v>
      </c>
      <c r="G1432" s="92">
        <f t="shared" si="778"/>
        <v>0</v>
      </c>
      <c r="H1432" s="92">
        <f t="shared" si="778"/>
        <v>0</v>
      </c>
      <c r="I1432" s="92">
        <f>SUM(B1432:H1432)</f>
        <v>0</v>
      </c>
      <c r="J1432" s="715">
        <f t="shared" si="774"/>
        <v>0</v>
      </c>
    </row>
    <row r="1433" spans="1:10" x14ac:dyDescent="0.25">
      <c r="A1433" s="630" t="s">
        <v>30</v>
      </c>
      <c r="B1433" s="237">
        <f>(2871900/1.16)-B1434</f>
        <v>2398527.8620689656</v>
      </c>
      <c r="C1433" s="237">
        <f>(1973200/1.16)-C1434</f>
        <v>1645512.4827586208</v>
      </c>
      <c r="D1433" s="237">
        <f>(2507300/1.16)-D1434</f>
        <v>2079389.5172413792</v>
      </c>
      <c r="E1433" s="237">
        <f>(2957000/1.16)-E1434</f>
        <v>2479131.931034483</v>
      </c>
      <c r="F1433" s="237">
        <f>(5534200/1.16)-F1434</f>
        <v>4594640.0689655179</v>
      </c>
      <c r="G1433" s="237">
        <f>(4886200/1.16)-G1434</f>
        <v>4057745.3793103453</v>
      </c>
      <c r="H1433" s="237">
        <f>(3791800/1.16)-H1434</f>
        <v>3085329.1034482759</v>
      </c>
      <c r="I1433" s="91">
        <f>SUM(I1428:I1432)</f>
        <v>20340276.344827585</v>
      </c>
      <c r="J1433" s="716">
        <f t="shared" si="774"/>
        <v>2905753.7635467979</v>
      </c>
    </row>
    <row r="1434" spans="1:10" x14ac:dyDescent="0.25">
      <c r="A1434" s="622" t="s">
        <v>31</v>
      </c>
      <c r="B1434" s="452">
        <f t="shared" ref="B1434:H1434" si="779">2414*B1415</f>
        <v>77248</v>
      </c>
      <c r="C1434" s="94">
        <f t="shared" si="779"/>
        <v>55522</v>
      </c>
      <c r="D1434" s="94">
        <f t="shared" si="779"/>
        <v>82076</v>
      </c>
      <c r="E1434" s="94">
        <f t="shared" si="779"/>
        <v>70006</v>
      </c>
      <c r="F1434" s="94">
        <f t="shared" si="779"/>
        <v>176222</v>
      </c>
      <c r="G1434" s="94">
        <f t="shared" si="779"/>
        <v>154496</v>
      </c>
      <c r="H1434" s="94">
        <f t="shared" si="779"/>
        <v>183464</v>
      </c>
      <c r="I1434" s="94">
        <f>I1415*2414</f>
        <v>799034</v>
      </c>
      <c r="J1434" s="717">
        <f>2155*J1415</f>
        <v>101900.71428571429</v>
      </c>
    </row>
    <row r="1435" spans="1:10" x14ac:dyDescent="0.25">
      <c r="A1435" s="633" t="s">
        <v>32</v>
      </c>
      <c r="B1435" s="453">
        <f t="shared" ref="B1435:J1435" si="780">B1433+B1434</f>
        <v>2475775.8620689656</v>
      </c>
      <c r="C1435" s="39">
        <f t="shared" si="780"/>
        <v>1701034.4827586208</v>
      </c>
      <c r="D1435" s="39">
        <f t="shared" si="780"/>
        <v>2161465.5172413792</v>
      </c>
      <c r="E1435" s="39">
        <f t="shared" si="780"/>
        <v>2549137.931034483</v>
      </c>
      <c r="F1435" s="39">
        <f t="shared" si="780"/>
        <v>4770862.0689655179</v>
      </c>
      <c r="G1435" s="39">
        <f t="shared" si="780"/>
        <v>4212241.3793103453</v>
      </c>
      <c r="H1435" s="39">
        <f t="shared" si="780"/>
        <v>3268793.1034482759</v>
      </c>
      <c r="I1435" s="39">
        <f t="shared" si="780"/>
        <v>21139310.344827585</v>
      </c>
      <c r="J1435" s="718">
        <f t="shared" si="780"/>
        <v>3007654.477832512</v>
      </c>
    </row>
    <row r="1436" spans="1:10" x14ac:dyDescent="0.25">
      <c r="A1436" s="622" t="s">
        <v>33</v>
      </c>
      <c r="B1436" s="454">
        <f t="shared" ref="B1436:J1436" si="781">B1435*16%</f>
        <v>396124.13793103449</v>
      </c>
      <c r="C1436" s="41">
        <f t="shared" si="781"/>
        <v>272165.5172413793</v>
      </c>
      <c r="D1436" s="41">
        <f t="shared" si="781"/>
        <v>345834.4827586207</v>
      </c>
      <c r="E1436" s="41">
        <f t="shared" si="781"/>
        <v>407862.06896551728</v>
      </c>
      <c r="F1436" s="41">
        <f t="shared" si="781"/>
        <v>763337.9310344829</v>
      </c>
      <c r="G1436" s="41">
        <f t="shared" si="781"/>
        <v>673958.6206896553</v>
      </c>
      <c r="H1436" s="41">
        <f t="shared" si="781"/>
        <v>523006.89655172417</v>
      </c>
      <c r="I1436" s="41">
        <f t="shared" si="781"/>
        <v>3382289.6551724137</v>
      </c>
      <c r="J1436" s="725">
        <f t="shared" si="781"/>
        <v>481224.71645320195</v>
      </c>
    </row>
    <row r="1437" spans="1:10" ht="15.75" thickBot="1" x14ac:dyDescent="0.3">
      <c r="A1437" s="636" t="s">
        <v>34</v>
      </c>
      <c r="B1437" s="637">
        <f t="shared" ref="B1437:I1437" si="782">B1435+B1436</f>
        <v>2871900</v>
      </c>
      <c r="C1437" s="686">
        <f t="shared" si="782"/>
        <v>1973200</v>
      </c>
      <c r="D1437" s="686">
        <f t="shared" si="782"/>
        <v>2507300</v>
      </c>
      <c r="E1437" s="686">
        <f t="shared" si="782"/>
        <v>2957000.0000000005</v>
      </c>
      <c r="F1437" s="686">
        <f t="shared" si="782"/>
        <v>5534200.0000000009</v>
      </c>
      <c r="G1437" s="686">
        <f t="shared" si="782"/>
        <v>4886200.0000000009</v>
      </c>
      <c r="H1437" s="686">
        <f t="shared" si="782"/>
        <v>3791800</v>
      </c>
      <c r="I1437" s="686">
        <f t="shared" si="782"/>
        <v>24521600</v>
      </c>
      <c r="J1437" s="720">
        <f>+$I1437/7</f>
        <v>3503085.7142857141</v>
      </c>
    </row>
    <row r="1438" spans="1:10" ht="15.75" thickBot="1" x14ac:dyDescent="0.3">
      <c r="I1438" s="89"/>
    </row>
    <row r="1439" spans="1:10" ht="27" thickBot="1" x14ac:dyDescent="0.3">
      <c r="A1439" s="85"/>
      <c r="B1439" s="1002" t="s">
        <v>394</v>
      </c>
      <c r="C1439" s="1002"/>
      <c r="D1439" s="1002"/>
      <c r="E1439" s="1002"/>
      <c r="F1439" s="1002"/>
      <c r="G1439" s="1002"/>
      <c r="H1439" s="1002"/>
      <c r="I1439" s="1002"/>
    </row>
    <row r="1440" spans="1:10" ht="15.75" x14ac:dyDescent="0.25">
      <c r="A1440" s="614" t="s">
        <v>2</v>
      </c>
      <c r="B1440" s="706" t="s">
        <v>70</v>
      </c>
      <c r="C1440" s="641" t="s">
        <v>71</v>
      </c>
      <c r="D1440" s="641" t="s">
        <v>72</v>
      </c>
      <c r="E1440" s="641" t="s">
        <v>73</v>
      </c>
      <c r="F1440" s="641" t="s">
        <v>74</v>
      </c>
      <c r="G1440" s="641" t="s">
        <v>75</v>
      </c>
      <c r="H1440" s="641" t="s">
        <v>76</v>
      </c>
      <c r="I1440" s="618" t="s">
        <v>10</v>
      </c>
      <c r="J1440" s="711" t="s">
        <v>77</v>
      </c>
    </row>
    <row r="1441" spans="1:10" x14ac:dyDescent="0.25">
      <c r="A1441" s="620" t="s">
        <v>11</v>
      </c>
      <c r="B1441" s="433">
        <f>38+33+7</f>
        <v>78</v>
      </c>
      <c r="C1441" s="75">
        <f>62+30+13</f>
        <v>105</v>
      </c>
      <c r="D1441" s="75">
        <f>63+52+9</f>
        <v>124</v>
      </c>
      <c r="E1441" s="75">
        <f>102+53+8</f>
        <v>163</v>
      </c>
      <c r="F1441" s="75">
        <f>140+73+23</f>
        <v>236</v>
      </c>
      <c r="G1441" s="75">
        <f>88+65+10</f>
        <v>163</v>
      </c>
      <c r="H1441" s="75">
        <f>84+41+13</f>
        <v>138</v>
      </c>
      <c r="I1441" s="467">
        <f t="shared" ref="I1441:I1446" si="783">SUM(B1441:H1441)</f>
        <v>1007</v>
      </c>
      <c r="J1441" s="721">
        <f>+$I1441/7</f>
        <v>143.85714285714286</v>
      </c>
    </row>
    <row r="1442" spans="1:10" x14ac:dyDescent="0.25">
      <c r="A1442" s="622" t="s">
        <v>12</v>
      </c>
      <c r="B1442" s="233">
        <v>26</v>
      </c>
      <c r="C1442" s="13">
        <v>38</v>
      </c>
      <c r="D1442" s="13">
        <v>39</v>
      </c>
      <c r="E1442" s="13">
        <v>51</v>
      </c>
      <c r="F1442" s="320">
        <v>62</v>
      </c>
      <c r="G1442" s="320">
        <v>69</v>
      </c>
      <c r="H1442" s="13">
        <v>63</v>
      </c>
      <c r="I1442" s="11">
        <f t="shared" si="783"/>
        <v>348</v>
      </c>
      <c r="J1442" s="722">
        <f t="shared" ref="J1442:J1447" si="784">+$I1442/7</f>
        <v>49.714285714285715</v>
      </c>
    </row>
    <row r="1443" spans="1:10" x14ac:dyDescent="0.25">
      <c r="A1443" s="622" t="s">
        <v>13</v>
      </c>
      <c r="B1443" s="233">
        <v>1</v>
      </c>
      <c r="C1443" s="13">
        <v>1</v>
      </c>
      <c r="D1443" s="13">
        <v>3</v>
      </c>
      <c r="E1443" s="13">
        <v>0</v>
      </c>
      <c r="F1443" s="13">
        <v>7</v>
      </c>
      <c r="G1443" s="13">
        <v>2</v>
      </c>
      <c r="H1443" s="13">
        <v>0</v>
      </c>
      <c r="I1443" s="11">
        <f t="shared" si="783"/>
        <v>14</v>
      </c>
      <c r="J1443" s="722">
        <f t="shared" si="784"/>
        <v>2</v>
      </c>
    </row>
    <row r="1444" spans="1:10" x14ac:dyDescent="0.25">
      <c r="A1444" s="622" t="s">
        <v>14</v>
      </c>
      <c r="B1444" s="233">
        <v>34</v>
      </c>
      <c r="C1444" s="13">
        <v>45</v>
      </c>
      <c r="D1444" s="13">
        <v>45</v>
      </c>
      <c r="E1444" s="13">
        <v>68</v>
      </c>
      <c r="F1444" s="13">
        <v>111</v>
      </c>
      <c r="G1444" s="13">
        <v>61</v>
      </c>
      <c r="H1444" s="13">
        <v>28</v>
      </c>
      <c r="I1444" s="11">
        <f t="shared" si="783"/>
        <v>392</v>
      </c>
      <c r="J1444" s="722">
        <f t="shared" si="784"/>
        <v>56</v>
      </c>
    </row>
    <row r="1445" spans="1:10" x14ac:dyDescent="0.25">
      <c r="A1445" s="622" t="s">
        <v>15</v>
      </c>
      <c r="B1445" s="233">
        <v>10</v>
      </c>
      <c r="C1445" s="13">
        <v>2</v>
      </c>
      <c r="D1445" s="13">
        <v>8</v>
      </c>
      <c r="E1445" s="13">
        <v>10</v>
      </c>
      <c r="F1445" s="13">
        <v>12</v>
      </c>
      <c r="G1445" s="13">
        <v>5</v>
      </c>
      <c r="H1445" s="13">
        <v>12</v>
      </c>
      <c r="I1445" s="11">
        <f t="shared" si="783"/>
        <v>59</v>
      </c>
      <c r="J1445" s="722">
        <f t="shared" si="784"/>
        <v>8.4285714285714288</v>
      </c>
    </row>
    <row r="1446" spans="1:10" x14ac:dyDescent="0.25">
      <c r="A1446" s="622" t="s">
        <v>16</v>
      </c>
      <c r="B1446" s="233">
        <v>0</v>
      </c>
      <c r="C1446" s="13">
        <v>0</v>
      </c>
      <c r="D1446" s="13">
        <v>0</v>
      </c>
      <c r="E1446" s="13">
        <v>0</v>
      </c>
      <c r="F1446" s="13">
        <v>0</v>
      </c>
      <c r="G1446" s="13">
        <v>0</v>
      </c>
      <c r="H1446" s="13">
        <v>0</v>
      </c>
      <c r="I1446" s="11">
        <f t="shared" si="783"/>
        <v>0</v>
      </c>
      <c r="J1446" s="722">
        <f t="shared" si="784"/>
        <v>0</v>
      </c>
    </row>
    <row r="1447" spans="1:10" x14ac:dyDescent="0.25">
      <c r="A1447" s="624" t="s">
        <v>17</v>
      </c>
      <c r="B1447" s="102">
        <f t="shared" ref="B1447:I1447" si="785">SUM(B1442:B1446)</f>
        <v>71</v>
      </c>
      <c r="C1447" s="102">
        <f t="shared" si="785"/>
        <v>86</v>
      </c>
      <c r="D1447" s="102">
        <f t="shared" si="785"/>
        <v>95</v>
      </c>
      <c r="E1447" s="102">
        <f t="shared" si="785"/>
        <v>129</v>
      </c>
      <c r="F1447" s="102">
        <f t="shared" si="785"/>
        <v>192</v>
      </c>
      <c r="G1447" s="79">
        <f t="shared" si="785"/>
        <v>137</v>
      </c>
      <c r="H1447" s="79">
        <f t="shared" si="785"/>
        <v>103</v>
      </c>
      <c r="I1447" s="472">
        <f t="shared" si="785"/>
        <v>813</v>
      </c>
      <c r="J1447" s="723">
        <f t="shared" si="784"/>
        <v>116.14285714285714</v>
      </c>
    </row>
    <row r="1448" spans="1:10" x14ac:dyDescent="0.25">
      <c r="A1448" s="622" t="s">
        <v>18</v>
      </c>
      <c r="B1448" s="234">
        <v>0.49</v>
      </c>
      <c r="C1448" s="235">
        <v>0.52</v>
      </c>
      <c r="D1448" s="235">
        <v>0.46</v>
      </c>
      <c r="E1448" s="236">
        <v>0.48</v>
      </c>
      <c r="F1448" s="236">
        <v>0.41</v>
      </c>
      <c r="G1448" s="236">
        <v>0.53</v>
      </c>
      <c r="H1448" s="236">
        <v>0.66</v>
      </c>
      <c r="I1448" s="18">
        <f>I1455/I1460</f>
        <v>0.5006144782647467</v>
      </c>
      <c r="J1448" s="724">
        <f>J1455/J1460</f>
        <v>0.50061447826474681</v>
      </c>
    </row>
    <row r="1449" spans="1:10" x14ac:dyDescent="0.25">
      <c r="A1449" s="622" t="s">
        <v>19</v>
      </c>
      <c r="B1449" s="234">
        <v>0.01</v>
      </c>
      <c r="C1449" s="235">
        <v>0.01</v>
      </c>
      <c r="D1449" s="235">
        <v>0.04</v>
      </c>
      <c r="E1449" s="236">
        <v>0</v>
      </c>
      <c r="F1449" s="236">
        <v>0.04</v>
      </c>
      <c r="G1449" s="236">
        <v>0.02</v>
      </c>
      <c r="H1449" s="236">
        <v>0</v>
      </c>
      <c r="I1449" s="18">
        <f>I1456/I1460</f>
        <v>1.9001177449864102E-2</v>
      </c>
      <c r="J1449" s="724">
        <f>J1456/J1460</f>
        <v>1.9001177449864105E-2</v>
      </c>
    </row>
    <row r="1450" spans="1:10" x14ac:dyDescent="0.25">
      <c r="A1450" s="622" t="s">
        <v>20</v>
      </c>
      <c r="B1450" s="234">
        <v>0.39</v>
      </c>
      <c r="C1450" s="235">
        <v>0.44</v>
      </c>
      <c r="D1450" s="235">
        <v>0.43</v>
      </c>
      <c r="E1450" s="236">
        <v>0.44</v>
      </c>
      <c r="F1450" s="236">
        <v>0.5</v>
      </c>
      <c r="G1450" s="236">
        <v>0.41</v>
      </c>
      <c r="H1450" s="236">
        <v>0.24</v>
      </c>
      <c r="I1450" s="18">
        <f>I1457/I1460</f>
        <v>0.41525992768252756</v>
      </c>
      <c r="J1450" s="724">
        <f>J1457/J1460</f>
        <v>0.41525992768252756</v>
      </c>
    </row>
    <row r="1451" spans="1:10" x14ac:dyDescent="0.25">
      <c r="A1451" s="622" t="s">
        <v>21</v>
      </c>
      <c r="B1451" s="234">
        <v>0.11</v>
      </c>
      <c r="C1451" s="235">
        <v>0.03</v>
      </c>
      <c r="D1451" s="235">
        <v>7.0000000000000007E-2</v>
      </c>
      <c r="E1451" s="236">
        <v>0.08</v>
      </c>
      <c r="F1451" s="236">
        <v>0.05</v>
      </c>
      <c r="G1451" s="236">
        <v>0.04</v>
      </c>
      <c r="H1451" s="236">
        <v>0.1</v>
      </c>
      <c r="I1451" s="18">
        <f>I1458/I1460</f>
        <v>6.5124416602861585E-2</v>
      </c>
      <c r="J1451" s="724">
        <f>J1458/J1460</f>
        <v>6.5124416602861585E-2</v>
      </c>
    </row>
    <row r="1452" spans="1:10" x14ac:dyDescent="0.25">
      <c r="A1452" s="622" t="s">
        <v>22</v>
      </c>
      <c r="B1452" s="234">
        <v>0</v>
      </c>
      <c r="C1452" s="235">
        <v>0</v>
      </c>
      <c r="D1452" s="235">
        <v>0</v>
      </c>
      <c r="E1452" s="236">
        <v>0</v>
      </c>
      <c r="F1452" s="236">
        <v>0</v>
      </c>
      <c r="G1452" s="236">
        <v>0</v>
      </c>
      <c r="H1452" s="236">
        <v>0</v>
      </c>
      <c r="I1452" s="18">
        <f>I1459/I1460</f>
        <v>0</v>
      </c>
      <c r="J1452" s="724">
        <f>J1459/J1460</f>
        <v>0</v>
      </c>
    </row>
    <row r="1453" spans="1:10" x14ac:dyDescent="0.25">
      <c r="A1453" s="627" t="s">
        <v>23</v>
      </c>
      <c r="B1453" s="450">
        <f t="shared" ref="B1453:J1453" si="786">B1464/B1447</f>
        <v>29791.549295774646</v>
      </c>
      <c r="C1453" s="130">
        <f t="shared" si="786"/>
        <v>33468.604651162794</v>
      </c>
      <c r="D1453" s="130">
        <f t="shared" si="786"/>
        <v>35978.947368421053</v>
      </c>
      <c r="E1453" s="130">
        <f t="shared" si="786"/>
        <v>35384.496124031015</v>
      </c>
      <c r="F1453" s="130">
        <f t="shared" si="786"/>
        <v>31590.104166666668</v>
      </c>
      <c r="G1453" s="130">
        <f t="shared" si="786"/>
        <v>35240.875912408759</v>
      </c>
      <c r="H1453" s="130">
        <f t="shared" si="786"/>
        <v>37722.330097087382</v>
      </c>
      <c r="I1453" s="130">
        <f t="shared" si="786"/>
        <v>34138.745387453884</v>
      </c>
      <c r="J1453" s="685">
        <f t="shared" si="786"/>
        <v>34138.745387453884</v>
      </c>
    </row>
    <row r="1454" spans="1:10" x14ac:dyDescent="0.25">
      <c r="A1454" s="627" t="s">
        <v>24</v>
      </c>
      <c r="B1454" s="450">
        <f t="shared" ref="B1454:J1454" si="787">B1464/B1441</f>
        <v>27117.948717948719</v>
      </c>
      <c r="C1454" s="130">
        <f t="shared" si="787"/>
        <v>27412.380952380954</v>
      </c>
      <c r="D1454" s="130">
        <f t="shared" si="787"/>
        <v>27564.516129032258</v>
      </c>
      <c r="E1454" s="130">
        <f t="shared" si="787"/>
        <v>28003.680981595098</v>
      </c>
      <c r="F1454" s="130">
        <f t="shared" si="787"/>
        <v>25700.423728813559</v>
      </c>
      <c r="G1454" s="130">
        <f t="shared" si="787"/>
        <v>29619.63190184049</v>
      </c>
      <c r="H1454" s="130">
        <f t="shared" si="787"/>
        <v>28155.07246376812</v>
      </c>
      <c r="I1454" s="130">
        <f t="shared" si="787"/>
        <v>27561.86693147965</v>
      </c>
      <c r="J1454" s="685">
        <f t="shared" si="787"/>
        <v>27561.86693147965</v>
      </c>
    </row>
    <row r="1455" spans="1:10" x14ac:dyDescent="0.25">
      <c r="A1455" s="622" t="s">
        <v>25</v>
      </c>
      <c r="B1455" s="451">
        <f t="shared" ref="B1455:H1455" si="788">B1460*B1448</f>
        <v>862735.29517241381</v>
      </c>
      <c r="C1455" s="92">
        <f t="shared" si="788"/>
        <v>1242571.7737931036</v>
      </c>
      <c r="D1455" s="92">
        <f t="shared" si="788"/>
        <v>1312106.6331034484</v>
      </c>
      <c r="E1455" s="92">
        <f t="shared" si="788"/>
        <v>1829705.2800000003</v>
      </c>
      <c r="F1455" s="92">
        <f t="shared" si="788"/>
        <v>2082405.947586207</v>
      </c>
      <c r="G1455" s="92">
        <f t="shared" si="788"/>
        <v>2117616.5717241382</v>
      </c>
      <c r="H1455" s="92">
        <f t="shared" si="788"/>
        <v>2110284.5006896555</v>
      </c>
      <c r="I1455" s="92">
        <f>SUM(B1455:H1455)</f>
        <v>11557426.002068967</v>
      </c>
      <c r="J1455" s="715">
        <f t="shared" ref="J1455:J1460" si="789">+$I1455/7</f>
        <v>1651060.8574384239</v>
      </c>
    </row>
    <row r="1456" spans="1:10" x14ac:dyDescent="0.25">
      <c r="A1456" s="622" t="s">
        <v>26</v>
      </c>
      <c r="B1456" s="451">
        <f t="shared" ref="B1456:H1456" si="790">B1460*B1449</f>
        <v>17606.842758620693</v>
      </c>
      <c r="C1456" s="92">
        <f t="shared" si="790"/>
        <v>23895.611034482761</v>
      </c>
      <c r="D1456" s="92">
        <f t="shared" si="790"/>
        <v>114096.22896551725</v>
      </c>
      <c r="E1456" s="92">
        <f t="shared" si="790"/>
        <v>0</v>
      </c>
      <c r="F1456" s="92">
        <f t="shared" si="790"/>
        <v>203161.55586206898</v>
      </c>
      <c r="G1456" s="92">
        <f t="shared" si="790"/>
        <v>79910.059310344834</v>
      </c>
      <c r="H1456" s="92">
        <f t="shared" si="790"/>
        <v>0</v>
      </c>
      <c r="I1456" s="92">
        <f>SUM(B1456:H1456)</f>
        <v>438670.29793103458</v>
      </c>
      <c r="J1456" s="715">
        <f t="shared" si="789"/>
        <v>62667.185418719229</v>
      </c>
    </row>
    <row r="1457" spans="1:10" x14ac:dyDescent="0.25">
      <c r="A1457" s="622" t="s">
        <v>27</v>
      </c>
      <c r="B1457" s="451">
        <f t="shared" ref="B1457:H1457" si="791">B1460*B1450</f>
        <v>686666.86758620699</v>
      </c>
      <c r="C1457" s="92">
        <f t="shared" si="791"/>
        <v>1051406.8855172414</v>
      </c>
      <c r="D1457" s="92">
        <f t="shared" si="791"/>
        <v>1226534.4613793103</v>
      </c>
      <c r="E1457" s="92">
        <f t="shared" si="791"/>
        <v>1677229.8400000003</v>
      </c>
      <c r="F1457" s="92">
        <f t="shared" si="791"/>
        <v>2539519.4482758623</v>
      </c>
      <c r="G1457" s="92">
        <f t="shared" si="791"/>
        <v>1638156.2158620688</v>
      </c>
      <c r="H1457" s="92">
        <f t="shared" si="791"/>
        <v>767376.18206896563</v>
      </c>
      <c r="I1457" s="92">
        <f>SUM(B1457:H1457)</f>
        <v>9586889.9006896578</v>
      </c>
      <c r="J1457" s="715">
        <f t="shared" si="789"/>
        <v>1369555.7000985225</v>
      </c>
    </row>
    <row r="1458" spans="1:10" x14ac:dyDescent="0.25">
      <c r="A1458" s="622" t="s">
        <v>28</v>
      </c>
      <c r="B1458" s="451">
        <f t="shared" ref="B1458:H1458" si="792">B1460*B1451</f>
        <v>193675.27034482762</v>
      </c>
      <c r="C1458" s="92">
        <f t="shared" si="792"/>
        <v>71686.833103448269</v>
      </c>
      <c r="D1458" s="92">
        <f t="shared" si="792"/>
        <v>199668.40068965519</v>
      </c>
      <c r="E1458" s="92">
        <f t="shared" si="792"/>
        <v>304950.88000000006</v>
      </c>
      <c r="F1458" s="92">
        <f t="shared" si="792"/>
        <v>253951.94482758624</v>
      </c>
      <c r="G1458" s="92">
        <f t="shared" si="792"/>
        <v>159820.11862068967</v>
      </c>
      <c r="H1458" s="92">
        <f t="shared" si="792"/>
        <v>319740.07586206903</v>
      </c>
      <c r="I1458" s="92">
        <f>SUM(B1458:H1458)</f>
        <v>1503493.5234482759</v>
      </c>
      <c r="J1458" s="715">
        <f t="shared" si="789"/>
        <v>214784.78906403942</v>
      </c>
    </row>
    <row r="1459" spans="1:10" x14ac:dyDescent="0.25">
      <c r="A1459" s="622" t="s">
        <v>29</v>
      </c>
      <c r="B1459" s="451">
        <f t="shared" ref="B1459:H1459" si="793">B1460*B1452</f>
        <v>0</v>
      </c>
      <c r="C1459" s="92">
        <f t="shared" si="793"/>
        <v>0</v>
      </c>
      <c r="D1459" s="92">
        <f t="shared" si="793"/>
        <v>0</v>
      </c>
      <c r="E1459" s="92">
        <f t="shared" si="793"/>
        <v>0</v>
      </c>
      <c r="F1459" s="92">
        <f t="shared" si="793"/>
        <v>0</v>
      </c>
      <c r="G1459" s="92">
        <f t="shared" si="793"/>
        <v>0</v>
      </c>
      <c r="H1459" s="92">
        <f t="shared" si="793"/>
        <v>0</v>
      </c>
      <c r="I1459" s="92">
        <f>SUM(B1459:H1459)</f>
        <v>0</v>
      </c>
      <c r="J1459" s="715">
        <f t="shared" si="789"/>
        <v>0</v>
      </c>
    </row>
    <row r="1460" spans="1:10" x14ac:dyDescent="0.25">
      <c r="A1460" s="630" t="s">
        <v>30</v>
      </c>
      <c r="B1460" s="237">
        <f>(2115200/1.16)-B1461</f>
        <v>1760684.2758620691</v>
      </c>
      <c r="C1460" s="237">
        <f>(2878300/1.16)-C1461</f>
        <v>2389561.1034482759</v>
      </c>
      <c r="D1460" s="237">
        <f>(3418000/1.16)-D1461</f>
        <v>2852405.7241379311</v>
      </c>
      <c r="E1460" s="237">
        <f>(4564600/1.16)-E1461</f>
        <v>3811886.0000000005</v>
      </c>
      <c r="F1460" s="237">
        <f>(6065300/1.16)-F1461</f>
        <v>5079038.8965517245</v>
      </c>
      <c r="G1460" s="237">
        <f>(4828000/1.16)-G1461</f>
        <v>3995502.9655172415</v>
      </c>
      <c r="H1460" s="237">
        <f>(3885400/1.16)-H1461</f>
        <v>3197400.7586206901</v>
      </c>
      <c r="I1460" s="91">
        <f>SUM(I1455:I1459)</f>
        <v>23086479.724137936</v>
      </c>
      <c r="J1460" s="716">
        <f t="shared" si="789"/>
        <v>3298068.532019705</v>
      </c>
    </row>
    <row r="1461" spans="1:10" x14ac:dyDescent="0.25">
      <c r="A1461" s="622" t="s">
        <v>31</v>
      </c>
      <c r="B1461" s="452">
        <f t="shared" ref="B1461:H1461" si="794">2414*B1442</f>
        <v>62764</v>
      </c>
      <c r="C1461" s="94">
        <f t="shared" si="794"/>
        <v>91732</v>
      </c>
      <c r="D1461" s="94">
        <f t="shared" si="794"/>
        <v>94146</v>
      </c>
      <c r="E1461" s="94">
        <f t="shared" si="794"/>
        <v>123114</v>
      </c>
      <c r="F1461" s="94">
        <f t="shared" si="794"/>
        <v>149668</v>
      </c>
      <c r="G1461" s="94">
        <f t="shared" si="794"/>
        <v>166566</v>
      </c>
      <c r="H1461" s="94">
        <f t="shared" si="794"/>
        <v>152082</v>
      </c>
      <c r="I1461" s="94">
        <f>I1442*2414</f>
        <v>840072</v>
      </c>
      <c r="J1461" s="717">
        <f>2155*J1442</f>
        <v>107134.28571428571</v>
      </c>
    </row>
    <row r="1462" spans="1:10" x14ac:dyDescent="0.25">
      <c r="A1462" s="633" t="s">
        <v>32</v>
      </c>
      <c r="B1462" s="453">
        <f t="shared" ref="B1462:J1462" si="795">B1460+B1461</f>
        <v>1823448.2758620691</v>
      </c>
      <c r="C1462" s="39">
        <f t="shared" si="795"/>
        <v>2481293.1034482759</v>
      </c>
      <c r="D1462" s="39">
        <f t="shared" si="795"/>
        <v>2946551.7241379311</v>
      </c>
      <c r="E1462" s="39">
        <f t="shared" si="795"/>
        <v>3935000.0000000005</v>
      </c>
      <c r="F1462" s="39">
        <f t="shared" si="795"/>
        <v>5228706.8965517245</v>
      </c>
      <c r="G1462" s="39">
        <f t="shared" si="795"/>
        <v>4162068.9655172415</v>
      </c>
      <c r="H1462" s="39">
        <f t="shared" si="795"/>
        <v>3349482.7586206901</v>
      </c>
      <c r="I1462" s="39">
        <f t="shared" si="795"/>
        <v>23926551.724137936</v>
      </c>
      <c r="J1462" s="718">
        <f t="shared" si="795"/>
        <v>3405202.817733991</v>
      </c>
    </row>
    <row r="1463" spans="1:10" x14ac:dyDescent="0.25">
      <c r="A1463" s="622" t="s">
        <v>33</v>
      </c>
      <c r="B1463" s="454">
        <f t="shared" ref="B1463:J1463" si="796">B1462*16%</f>
        <v>291751.72413793107</v>
      </c>
      <c r="C1463" s="41">
        <f t="shared" si="796"/>
        <v>397006.89655172417</v>
      </c>
      <c r="D1463" s="41">
        <f t="shared" si="796"/>
        <v>471448.27586206899</v>
      </c>
      <c r="E1463" s="41">
        <f t="shared" si="796"/>
        <v>629600.00000000012</v>
      </c>
      <c r="F1463" s="41">
        <f t="shared" si="796"/>
        <v>836593.10344827594</v>
      </c>
      <c r="G1463" s="41">
        <f t="shared" si="796"/>
        <v>665931.03448275861</v>
      </c>
      <c r="H1463" s="41">
        <f t="shared" si="796"/>
        <v>535917.24137931038</v>
      </c>
      <c r="I1463" s="41">
        <f t="shared" si="796"/>
        <v>3828248.2758620698</v>
      </c>
      <c r="J1463" s="725">
        <f t="shared" si="796"/>
        <v>544832.45083743858</v>
      </c>
    </row>
    <row r="1464" spans="1:10" ht="15.75" thickBot="1" x14ac:dyDescent="0.3">
      <c r="A1464" s="636" t="s">
        <v>34</v>
      </c>
      <c r="B1464" s="637">
        <f t="shared" ref="B1464:I1464" si="797">B1462+B1463</f>
        <v>2115200</v>
      </c>
      <c r="C1464" s="686">
        <f t="shared" si="797"/>
        <v>2878300</v>
      </c>
      <c r="D1464" s="686">
        <f t="shared" si="797"/>
        <v>3418000</v>
      </c>
      <c r="E1464" s="686">
        <f t="shared" si="797"/>
        <v>4564600.0000000009</v>
      </c>
      <c r="F1464" s="686">
        <f t="shared" si="797"/>
        <v>6065300</v>
      </c>
      <c r="G1464" s="686">
        <f t="shared" si="797"/>
        <v>4828000</v>
      </c>
      <c r="H1464" s="686">
        <f t="shared" si="797"/>
        <v>3885400.0000000005</v>
      </c>
      <c r="I1464" s="686">
        <f t="shared" si="797"/>
        <v>27754800.000000007</v>
      </c>
      <c r="J1464" s="720">
        <f>+$I1464/7</f>
        <v>3964971.4285714296</v>
      </c>
    </row>
    <row r="1465" spans="1:10" ht="15.75" thickBot="1" x14ac:dyDescent="0.3">
      <c r="I1465" s="89"/>
    </row>
    <row r="1466" spans="1:10" ht="27" thickBot="1" x14ac:dyDescent="0.3">
      <c r="A1466" s="85"/>
      <c r="B1466" s="1002" t="s">
        <v>395</v>
      </c>
      <c r="C1466" s="1002"/>
      <c r="D1466" s="1002"/>
      <c r="E1466" s="1002"/>
      <c r="F1466" s="1002"/>
      <c r="G1466" s="1002"/>
      <c r="H1466" s="1002"/>
      <c r="I1466" s="1002"/>
    </row>
    <row r="1467" spans="1:10" ht="15.75" x14ac:dyDescent="0.25">
      <c r="A1467" s="614" t="s">
        <v>2</v>
      </c>
      <c r="B1467" s="706" t="s">
        <v>81</v>
      </c>
      <c r="C1467" s="641" t="s">
        <v>82</v>
      </c>
      <c r="D1467" s="641" t="s">
        <v>83</v>
      </c>
      <c r="E1467" s="641" t="s">
        <v>84</v>
      </c>
      <c r="F1467" s="641" t="s">
        <v>85</v>
      </c>
      <c r="G1467" s="641" t="s">
        <v>86</v>
      </c>
      <c r="H1467" s="641" t="s">
        <v>87</v>
      </c>
      <c r="I1467" s="618" t="s">
        <v>10</v>
      </c>
      <c r="J1467" s="711" t="s">
        <v>77</v>
      </c>
    </row>
    <row r="1468" spans="1:10" x14ac:dyDescent="0.25">
      <c r="A1468" s="620" t="s">
        <v>11</v>
      </c>
      <c r="B1468" s="433">
        <f>63+31+12</f>
        <v>106</v>
      </c>
      <c r="C1468" s="75">
        <f>57+28+6</f>
        <v>91</v>
      </c>
      <c r="D1468" s="75">
        <f>63+33+14</f>
        <v>110</v>
      </c>
      <c r="E1468" s="75">
        <f>64+38+3</f>
        <v>105</v>
      </c>
      <c r="F1468" s="75">
        <f>114+80+24</f>
        <v>218</v>
      </c>
      <c r="G1468" s="75">
        <f>66+49+19</f>
        <v>134</v>
      </c>
      <c r="H1468" s="75">
        <f>102+44+10</f>
        <v>156</v>
      </c>
      <c r="I1468" s="467">
        <f t="shared" ref="I1468:I1473" si="798">SUM(B1468:H1468)</f>
        <v>920</v>
      </c>
      <c r="J1468" s="721">
        <f>+$I1468/7</f>
        <v>131.42857142857142</v>
      </c>
    </row>
    <row r="1469" spans="1:10" x14ac:dyDescent="0.25">
      <c r="A1469" s="622" t="s">
        <v>12</v>
      </c>
      <c r="B1469" s="233">
        <v>35</v>
      </c>
      <c r="C1469" s="13">
        <v>38</v>
      </c>
      <c r="D1469" s="13">
        <v>40</v>
      </c>
      <c r="E1469" s="13">
        <v>24</v>
      </c>
      <c r="F1469" s="320">
        <v>70</v>
      </c>
      <c r="G1469" s="320">
        <v>61</v>
      </c>
      <c r="H1469" s="13">
        <v>90</v>
      </c>
      <c r="I1469" s="11">
        <f t="shared" si="798"/>
        <v>358</v>
      </c>
      <c r="J1469" s="722">
        <f t="shared" ref="J1469:J1474" si="799">+$I1469/7</f>
        <v>51.142857142857146</v>
      </c>
    </row>
    <row r="1470" spans="1:10" x14ac:dyDescent="0.25">
      <c r="A1470" s="622" t="s">
        <v>13</v>
      </c>
      <c r="B1470" s="233">
        <v>2</v>
      </c>
      <c r="C1470" s="13">
        <v>0</v>
      </c>
      <c r="D1470" s="13">
        <v>0</v>
      </c>
      <c r="E1470" s="13">
        <v>0</v>
      </c>
      <c r="F1470" s="13">
        <v>0</v>
      </c>
      <c r="G1470" s="13">
        <v>0</v>
      </c>
      <c r="H1470" s="13">
        <v>0</v>
      </c>
      <c r="I1470" s="11">
        <f t="shared" si="798"/>
        <v>2</v>
      </c>
      <c r="J1470" s="722">
        <f t="shared" si="799"/>
        <v>0.2857142857142857</v>
      </c>
    </row>
    <row r="1471" spans="1:10" x14ac:dyDescent="0.25">
      <c r="A1471" s="622" t="s">
        <v>14</v>
      </c>
      <c r="B1471" s="233">
        <v>45</v>
      </c>
      <c r="C1471" s="13">
        <v>37</v>
      </c>
      <c r="D1471" s="13">
        <v>43</v>
      </c>
      <c r="E1471" s="13">
        <v>61</v>
      </c>
      <c r="F1471" s="13">
        <v>91</v>
      </c>
      <c r="G1471" s="13">
        <v>47</v>
      </c>
      <c r="H1471" s="13">
        <v>27</v>
      </c>
      <c r="I1471" s="11">
        <f t="shared" si="798"/>
        <v>351</v>
      </c>
      <c r="J1471" s="722">
        <f t="shared" si="799"/>
        <v>50.142857142857146</v>
      </c>
    </row>
    <row r="1472" spans="1:10" x14ac:dyDescent="0.25">
      <c r="A1472" s="622" t="s">
        <v>15</v>
      </c>
      <c r="B1472" s="233">
        <v>5</v>
      </c>
      <c r="C1472" s="13">
        <v>5</v>
      </c>
      <c r="D1472" s="13">
        <v>5</v>
      </c>
      <c r="E1472" s="13">
        <v>6</v>
      </c>
      <c r="F1472" s="13">
        <v>14</v>
      </c>
      <c r="G1472" s="13">
        <v>8</v>
      </c>
      <c r="H1472" s="13">
        <v>7</v>
      </c>
      <c r="I1472" s="11">
        <f t="shared" si="798"/>
        <v>50</v>
      </c>
      <c r="J1472" s="722">
        <f t="shared" si="799"/>
        <v>7.1428571428571432</v>
      </c>
    </row>
    <row r="1473" spans="1:10" x14ac:dyDescent="0.25">
      <c r="A1473" s="622" t="s">
        <v>16</v>
      </c>
      <c r="B1473" s="233">
        <v>0</v>
      </c>
      <c r="C1473" s="13">
        <v>0</v>
      </c>
      <c r="D1473" s="13">
        <v>1</v>
      </c>
      <c r="E1473" s="13">
        <v>2</v>
      </c>
      <c r="F1473" s="13">
        <v>0</v>
      </c>
      <c r="G1473" s="13">
        <v>0</v>
      </c>
      <c r="H1473" s="13">
        <v>0</v>
      </c>
      <c r="I1473" s="11">
        <f t="shared" si="798"/>
        <v>3</v>
      </c>
      <c r="J1473" s="722">
        <f t="shared" si="799"/>
        <v>0.42857142857142855</v>
      </c>
    </row>
    <row r="1474" spans="1:10" x14ac:dyDescent="0.25">
      <c r="A1474" s="624" t="s">
        <v>17</v>
      </c>
      <c r="B1474" s="102">
        <f t="shared" ref="B1474:I1474" si="800">SUM(B1469:B1473)</f>
        <v>87</v>
      </c>
      <c r="C1474" s="102">
        <f t="shared" si="800"/>
        <v>80</v>
      </c>
      <c r="D1474" s="102">
        <f t="shared" si="800"/>
        <v>89</v>
      </c>
      <c r="E1474" s="102">
        <f t="shared" si="800"/>
        <v>93</v>
      </c>
      <c r="F1474" s="102">
        <f t="shared" si="800"/>
        <v>175</v>
      </c>
      <c r="G1474" s="79">
        <f t="shared" si="800"/>
        <v>116</v>
      </c>
      <c r="H1474" s="79">
        <f t="shared" si="800"/>
        <v>124</v>
      </c>
      <c r="I1474" s="472">
        <f t="shared" si="800"/>
        <v>764</v>
      </c>
      <c r="J1474" s="723">
        <f t="shared" si="799"/>
        <v>109.14285714285714</v>
      </c>
    </row>
    <row r="1475" spans="1:10" x14ac:dyDescent="0.25">
      <c r="A1475" s="622" t="s">
        <v>18</v>
      </c>
      <c r="B1475" s="234">
        <v>0.49</v>
      </c>
      <c r="C1475" s="235">
        <v>0.57999999999999996</v>
      </c>
      <c r="D1475" s="235">
        <v>0.52</v>
      </c>
      <c r="E1475" s="236">
        <v>0.28999999999999998</v>
      </c>
      <c r="F1475" s="236">
        <v>0.47</v>
      </c>
      <c r="G1475" s="236">
        <v>0.59</v>
      </c>
      <c r="H1475" s="236">
        <v>0.79</v>
      </c>
      <c r="I1475" s="18">
        <f>I1482/I1487</f>
        <v>0.53736504907441718</v>
      </c>
      <c r="J1475" s="724">
        <f>J1482/J1487</f>
        <v>0.53736504907441718</v>
      </c>
    </row>
    <row r="1476" spans="1:10" x14ac:dyDescent="0.25">
      <c r="A1476" s="622" t="s">
        <v>19</v>
      </c>
      <c r="B1476" s="234">
        <v>0.01</v>
      </c>
      <c r="C1476" s="235">
        <v>0</v>
      </c>
      <c r="D1476" s="235">
        <v>0</v>
      </c>
      <c r="E1476" s="236">
        <v>0</v>
      </c>
      <c r="F1476" s="236">
        <v>0</v>
      </c>
      <c r="G1476" s="236">
        <v>0</v>
      </c>
      <c r="H1476" s="236">
        <v>0</v>
      </c>
      <c r="I1476" s="18">
        <f>I1483/I1487</f>
        <v>1.0163529035827196E-3</v>
      </c>
      <c r="J1476" s="724">
        <f>J1483/J1487</f>
        <v>1.0163529035827196E-3</v>
      </c>
    </row>
    <row r="1477" spans="1:10" x14ac:dyDescent="0.25">
      <c r="A1477" s="622" t="s">
        <v>20</v>
      </c>
      <c r="B1477" s="234">
        <v>0.46</v>
      </c>
      <c r="C1477" s="235">
        <v>0.38</v>
      </c>
      <c r="D1477" s="235">
        <v>0.44</v>
      </c>
      <c r="E1477" s="236">
        <v>0.62</v>
      </c>
      <c r="F1477" s="236">
        <v>0.45</v>
      </c>
      <c r="G1477" s="236">
        <v>0.35</v>
      </c>
      <c r="H1477" s="236">
        <v>0.17</v>
      </c>
      <c r="I1477" s="18">
        <f>I1484/I1487</f>
        <v>0.40258861665867296</v>
      </c>
      <c r="J1477" s="724">
        <f>J1484/J1487</f>
        <v>0.40258861665867302</v>
      </c>
    </row>
    <row r="1478" spans="1:10" x14ac:dyDescent="0.25">
      <c r="A1478" s="622" t="s">
        <v>21</v>
      </c>
      <c r="B1478" s="234">
        <v>0.04</v>
      </c>
      <c r="C1478" s="235">
        <v>0.04</v>
      </c>
      <c r="D1478" s="235">
        <v>0.03</v>
      </c>
      <c r="E1478" s="236">
        <v>0.04</v>
      </c>
      <c r="F1478" s="236">
        <v>0.08</v>
      </c>
      <c r="G1478" s="236">
        <v>0.06</v>
      </c>
      <c r="H1478" s="236">
        <v>0.04</v>
      </c>
      <c r="I1478" s="18">
        <f>I1485/I1487</f>
        <v>5.1175629933965662E-2</v>
      </c>
      <c r="J1478" s="724">
        <f>J1485/J1487</f>
        <v>5.1175629933965669E-2</v>
      </c>
    </row>
    <row r="1479" spans="1:10" x14ac:dyDescent="0.25">
      <c r="A1479" s="622" t="s">
        <v>22</v>
      </c>
      <c r="B1479" s="234">
        <v>0</v>
      </c>
      <c r="C1479" s="235">
        <v>0</v>
      </c>
      <c r="D1479" s="235">
        <v>0.01</v>
      </c>
      <c r="E1479" s="236">
        <v>0.05</v>
      </c>
      <c r="F1479" s="236">
        <v>0</v>
      </c>
      <c r="G1479" s="236">
        <v>0</v>
      </c>
      <c r="H1479" s="236">
        <v>0</v>
      </c>
      <c r="I1479" s="18">
        <f>I1486/I1487</f>
        <v>7.8543514293616303E-3</v>
      </c>
      <c r="J1479" s="724">
        <f>J1486/J1487</f>
        <v>7.8543514293616303E-3</v>
      </c>
    </row>
    <row r="1480" spans="1:10" x14ac:dyDescent="0.25">
      <c r="A1480" s="627" t="s">
        <v>23</v>
      </c>
      <c r="B1480" s="450">
        <f t="shared" ref="B1480:J1480" si="801">B1491/B1474</f>
        <v>30509.195402298858</v>
      </c>
      <c r="C1480" s="130">
        <f t="shared" si="801"/>
        <v>32676.25</v>
      </c>
      <c r="D1480" s="130">
        <f t="shared" si="801"/>
        <v>32539.325842696628</v>
      </c>
      <c r="E1480" s="130">
        <f t="shared" si="801"/>
        <v>37219.354838709682</v>
      </c>
      <c r="F1480" s="130">
        <f t="shared" si="801"/>
        <v>35216.571428571435</v>
      </c>
      <c r="G1480" s="130">
        <f t="shared" si="801"/>
        <v>31752.586206896551</v>
      </c>
      <c r="H1480" s="130">
        <f t="shared" si="801"/>
        <v>37758.870967741932</v>
      </c>
      <c r="I1480" s="130">
        <f t="shared" si="801"/>
        <v>34233.115183246067</v>
      </c>
      <c r="J1480" s="685">
        <f t="shared" si="801"/>
        <v>34233.115183246067</v>
      </c>
    </row>
    <row r="1481" spans="1:10" x14ac:dyDescent="0.25">
      <c r="A1481" s="627" t="s">
        <v>24</v>
      </c>
      <c r="B1481" s="450">
        <f t="shared" ref="B1481:J1481" si="802">B1491/B1468</f>
        <v>25040.566037735854</v>
      </c>
      <c r="C1481" s="130">
        <f t="shared" si="802"/>
        <v>28726.373626373625</v>
      </c>
      <c r="D1481" s="130">
        <f t="shared" si="802"/>
        <v>26327.272727272728</v>
      </c>
      <c r="E1481" s="130">
        <f t="shared" si="802"/>
        <v>32965.71428571429</v>
      </c>
      <c r="F1481" s="130">
        <f t="shared" si="802"/>
        <v>28270.183486238537</v>
      </c>
      <c r="G1481" s="130">
        <f t="shared" si="802"/>
        <v>27487.313432835821</v>
      </c>
      <c r="H1481" s="130">
        <f t="shared" si="802"/>
        <v>30013.461538461539</v>
      </c>
      <c r="I1481" s="130">
        <f t="shared" si="802"/>
        <v>28428.369565217388</v>
      </c>
      <c r="J1481" s="685">
        <f t="shared" si="802"/>
        <v>28428.369565217392</v>
      </c>
    </row>
    <row r="1482" spans="1:10" x14ac:dyDescent="0.25">
      <c r="A1482" s="622" t="s">
        <v>25</v>
      </c>
      <c r="B1482" s="451">
        <f t="shared" ref="B1482:H1482" si="803">B1487*B1475</f>
        <v>1079812.8310344829</v>
      </c>
      <c r="C1482" s="92">
        <f t="shared" si="803"/>
        <v>1253845.44</v>
      </c>
      <c r="D1482" s="92">
        <f t="shared" si="803"/>
        <v>1247995.6965517243</v>
      </c>
      <c r="E1482" s="92">
        <f t="shared" si="803"/>
        <v>848548.56</v>
      </c>
      <c r="F1482" s="92">
        <f t="shared" si="803"/>
        <v>2417616.4689655174</v>
      </c>
      <c r="G1482" s="92">
        <f t="shared" si="803"/>
        <v>1786522.7262068964</v>
      </c>
      <c r="H1482" s="92">
        <f t="shared" si="803"/>
        <v>3017036.1517241383</v>
      </c>
      <c r="I1482" s="92">
        <f>SUM(B1482:H1482)</f>
        <v>11651377.874482758</v>
      </c>
      <c r="J1482" s="715">
        <f t="shared" ref="J1482:J1487" si="804">+$I1482/7</f>
        <v>1664482.5534975368</v>
      </c>
    </row>
    <row r="1483" spans="1:10" x14ac:dyDescent="0.25">
      <c r="A1483" s="622" t="s">
        <v>26</v>
      </c>
      <c r="B1483" s="451">
        <f t="shared" ref="B1483:H1483" si="805">B1487*B1476</f>
        <v>22036.996551724144</v>
      </c>
      <c r="C1483" s="92">
        <f t="shared" si="805"/>
        <v>0</v>
      </c>
      <c r="D1483" s="92">
        <f t="shared" si="805"/>
        <v>0</v>
      </c>
      <c r="E1483" s="92">
        <f t="shared" si="805"/>
        <v>0</v>
      </c>
      <c r="F1483" s="92">
        <f t="shared" si="805"/>
        <v>0</v>
      </c>
      <c r="G1483" s="92">
        <f t="shared" si="805"/>
        <v>0</v>
      </c>
      <c r="H1483" s="92">
        <f t="shared" si="805"/>
        <v>0</v>
      </c>
      <c r="I1483" s="92">
        <f>SUM(B1483:H1483)</f>
        <v>22036.996551724144</v>
      </c>
      <c r="J1483" s="715">
        <f t="shared" si="804"/>
        <v>3148.1423645320206</v>
      </c>
    </row>
    <row r="1484" spans="1:10" x14ac:dyDescent="0.25">
      <c r="A1484" s="622" t="s">
        <v>27</v>
      </c>
      <c r="B1484" s="451">
        <f t="shared" ref="B1484:H1484" si="806">B1487*B1477</f>
        <v>1013701.8413793106</v>
      </c>
      <c r="C1484" s="92">
        <f t="shared" si="806"/>
        <v>821484.94344827591</v>
      </c>
      <c r="D1484" s="92">
        <f t="shared" si="806"/>
        <v>1055996.3586206897</v>
      </c>
      <c r="E1484" s="92">
        <f t="shared" si="806"/>
        <v>1814138.3006896554</v>
      </c>
      <c r="F1484" s="92">
        <f t="shared" si="806"/>
        <v>2314739.1724137934</v>
      </c>
      <c r="G1484" s="92">
        <f t="shared" si="806"/>
        <v>1059801.6172413793</v>
      </c>
      <c r="H1484" s="92">
        <f t="shared" si="806"/>
        <v>649235.627586207</v>
      </c>
      <c r="I1484" s="92">
        <f>SUM(B1484:H1484)</f>
        <v>8729097.8613793105</v>
      </c>
      <c r="J1484" s="715">
        <f t="shared" si="804"/>
        <v>1247013.9801970443</v>
      </c>
    </row>
    <row r="1485" spans="1:10" x14ac:dyDescent="0.25">
      <c r="A1485" s="622" t="s">
        <v>28</v>
      </c>
      <c r="B1485" s="451">
        <f t="shared" ref="B1485:H1485" si="807">B1487*B1478</f>
        <v>88147.986206896574</v>
      </c>
      <c r="C1485" s="92">
        <f t="shared" si="807"/>
        <v>86472.099310344827</v>
      </c>
      <c r="D1485" s="92">
        <f t="shared" si="807"/>
        <v>71999.751724137925</v>
      </c>
      <c r="E1485" s="92">
        <f t="shared" si="807"/>
        <v>117041.18068965519</v>
      </c>
      <c r="F1485" s="92">
        <f t="shared" si="807"/>
        <v>411509.18620689661</v>
      </c>
      <c r="G1485" s="92">
        <f t="shared" si="807"/>
        <v>181680.27724137931</v>
      </c>
      <c r="H1485" s="92">
        <f t="shared" si="807"/>
        <v>152761.32413793105</v>
      </c>
      <c r="I1485" s="92">
        <f>SUM(B1485:H1485)</f>
        <v>1109611.8055172414</v>
      </c>
      <c r="J1485" s="715">
        <f t="shared" si="804"/>
        <v>158515.97221674878</v>
      </c>
    </row>
    <row r="1486" spans="1:10" x14ac:dyDescent="0.25">
      <c r="A1486" s="622" t="s">
        <v>29</v>
      </c>
      <c r="B1486" s="451">
        <f t="shared" ref="B1486:H1486" si="808">B1487*B1479</f>
        <v>0</v>
      </c>
      <c r="C1486" s="92">
        <f t="shared" si="808"/>
        <v>0</v>
      </c>
      <c r="D1486" s="92">
        <f t="shared" si="808"/>
        <v>23999.917241379313</v>
      </c>
      <c r="E1486" s="92">
        <f t="shared" si="808"/>
        <v>146301.475862069</v>
      </c>
      <c r="F1486" s="92">
        <f t="shared" si="808"/>
        <v>0</v>
      </c>
      <c r="G1486" s="92">
        <f t="shared" si="808"/>
        <v>0</v>
      </c>
      <c r="H1486" s="92">
        <f t="shared" si="808"/>
        <v>0</v>
      </c>
      <c r="I1486" s="92">
        <f>SUM(B1486:H1486)</f>
        <v>170301.39310344832</v>
      </c>
      <c r="J1486" s="715">
        <f t="shared" si="804"/>
        <v>24328.77044334976</v>
      </c>
    </row>
    <row r="1487" spans="1:10" x14ac:dyDescent="0.25">
      <c r="A1487" s="630" t="s">
        <v>30</v>
      </c>
      <c r="B1487" s="237">
        <f>(2654300/1.16)-B1488</f>
        <v>2203699.6551724141</v>
      </c>
      <c r="C1487" s="237">
        <f>(2614100/1.16)-C1488</f>
        <v>2161802.4827586208</v>
      </c>
      <c r="D1487" s="237">
        <f>(2896000/1.16)-D1488</f>
        <v>2399991.7241379311</v>
      </c>
      <c r="E1487" s="237">
        <f>(3461400/1.16)-E1488</f>
        <v>2926029.5172413797</v>
      </c>
      <c r="F1487" s="237">
        <f>(6162900/1.16)-F1488</f>
        <v>5143864.8275862075</v>
      </c>
      <c r="G1487" s="237">
        <f>(3683300/1.16)-G1488</f>
        <v>3028004.6206896552</v>
      </c>
      <c r="H1487" s="237">
        <f>(4682100/1.16)-H1488</f>
        <v>3819033.1034482759</v>
      </c>
      <c r="I1487" s="91">
        <f>SUM(I1482:I1486)</f>
        <v>21682425.931034479</v>
      </c>
      <c r="J1487" s="716">
        <f t="shared" si="804"/>
        <v>3097489.4187192111</v>
      </c>
    </row>
    <row r="1488" spans="1:10" x14ac:dyDescent="0.25">
      <c r="A1488" s="622" t="s">
        <v>31</v>
      </c>
      <c r="B1488" s="452">
        <f t="shared" ref="B1488:H1488" si="809">2414*B1469</f>
        <v>84490</v>
      </c>
      <c r="C1488" s="94">
        <f t="shared" si="809"/>
        <v>91732</v>
      </c>
      <c r="D1488" s="94">
        <f t="shared" si="809"/>
        <v>96560</v>
      </c>
      <c r="E1488" s="94">
        <f t="shared" si="809"/>
        <v>57936</v>
      </c>
      <c r="F1488" s="94">
        <f t="shared" si="809"/>
        <v>168980</v>
      </c>
      <c r="G1488" s="94">
        <f t="shared" si="809"/>
        <v>147254</v>
      </c>
      <c r="H1488" s="94">
        <f t="shared" si="809"/>
        <v>217260</v>
      </c>
      <c r="I1488" s="94">
        <f>I1469*2414</f>
        <v>864212</v>
      </c>
      <c r="J1488" s="717">
        <f>2155*J1469</f>
        <v>110212.85714285714</v>
      </c>
    </row>
    <row r="1489" spans="1:10" x14ac:dyDescent="0.25">
      <c r="A1489" s="633" t="s">
        <v>32</v>
      </c>
      <c r="B1489" s="453">
        <f t="shared" ref="B1489:J1489" si="810">B1487+B1488</f>
        <v>2288189.6551724141</v>
      </c>
      <c r="C1489" s="39">
        <f t="shared" si="810"/>
        <v>2253534.4827586208</v>
      </c>
      <c r="D1489" s="39">
        <f t="shared" si="810"/>
        <v>2496551.7241379311</v>
      </c>
      <c r="E1489" s="39">
        <f t="shared" si="810"/>
        <v>2983965.5172413797</v>
      </c>
      <c r="F1489" s="39">
        <f t="shared" si="810"/>
        <v>5312844.8275862075</v>
      </c>
      <c r="G1489" s="39">
        <f t="shared" si="810"/>
        <v>3175258.6206896552</v>
      </c>
      <c r="H1489" s="39">
        <f t="shared" si="810"/>
        <v>4036293.1034482759</v>
      </c>
      <c r="I1489" s="39">
        <f t="shared" si="810"/>
        <v>22546637.931034479</v>
      </c>
      <c r="J1489" s="718">
        <f t="shared" si="810"/>
        <v>3207702.2758620684</v>
      </c>
    </row>
    <row r="1490" spans="1:10" x14ac:dyDescent="0.25">
      <c r="A1490" s="622" t="s">
        <v>33</v>
      </c>
      <c r="B1490" s="454">
        <f t="shared" ref="B1490:J1490" si="811">B1489*16%</f>
        <v>366110.34482758626</v>
      </c>
      <c r="C1490" s="41">
        <f t="shared" si="811"/>
        <v>360565.5172413793</v>
      </c>
      <c r="D1490" s="41">
        <f t="shared" si="811"/>
        <v>399448.27586206899</v>
      </c>
      <c r="E1490" s="41">
        <f t="shared" si="811"/>
        <v>477434.48275862075</v>
      </c>
      <c r="F1490" s="41">
        <f t="shared" si="811"/>
        <v>850055.17241379328</v>
      </c>
      <c r="G1490" s="41">
        <f t="shared" si="811"/>
        <v>508041.37931034487</v>
      </c>
      <c r="H1490" s="41">
        <f t="shared" si="811"/>
        <v>645806.89655172417</v>
      </c>
      <c r="I1490" s="41">
        <f t="shared" si="811"/>
        <v>3607462.068965517</v>
      </c>
      <c r="J1490" s="725">
        <f t="shared" si="811"/>
        <v>513232.36413793097</v>
      </c>
    </row>
    <row r="1491" spans="1:10" ht="15.75" thickBot="1" x14ac:dyDescent="0.3">
      <c r="A1491" s="636" t="s">
        <v>34</v>
      </c>
      <c r="B1491" s="637">
        <f t="shared" ref="B1491:I1491" si="812">B1489+B1490</f>
        <v>2654300.0000000005</v>
      </c>
      <c r="C1491" s="686">
        <f t="shared" si="812"/>
        <v>2614100</v>
      </c>
      <c r="D1491" s="686">
        <f t="shared" si="812"/>
        <v>2896000</v>
      </c>
      <c r="E1491" s="686">
        <f t="shared" si="812"/>
        <v>3461400.0000000005</v>
      </c>
      <c r="F1491" s="686">
        <f t="shared" si="812"/>
        <v>6162900.0000000009</v>
      </c>
      <c r="G1491" s="686">
        <f t="shared" si="812"/>
        <v>3683300</v>
      </c>
      <c r="H1491" s="686">
        <f t="shared" si="812"/>
        <v>4682100</v>
      </c>
      <c r="I1491" s="686">
        <f t="shared" si="812"/>
        <v>26154099.999999996</v>
      </c>
      <c r="J1491" s="720">
        <f>+$I1491/7</f>
        <v>3736299.9999999995</v>
      </c>
    </row>
    <row r="1492" spans="1:10" ht="15.75" thickBot="1" x14ac:dyDescent="0.3">
      <c r="I1492" s="89"/>
    </row>
    <row r="1493" spans="1:10" ht="27" thickBot="1" x14ac:dyDescent="0.3">
      <c r="A1493" s="85"/>
      <c r="B1493" s="1002" t="s">
        <v>396</v>
      </c>
      <c r="C1493" s="1002"/>
      <c r="D1493" s="1002"/>
      <c r="E1493" s="1002"/>
      <c r="F1493" s="1002"/>
      <c r="G1493" s="1002"/>
      <c r="H1493" s="1002"/>
      <c r="I1493" s="1002"/>
    </row>
    <row r="1494" spans="1:10" ht="15.75" x14ac:dyDescent="0.25">
      <c r="A1494" s="614" t="s">
        <v>2</v>
      </c>
      <c r="B1494" s="706" t="s">
        <v>89</v>
      </c>
      <c r="C1494" s="641" t="s">
        <v>90</v>
      </c>
      <c r="D1494" s="641" t="s">
        <v>172</v>
      </c>
      <c r="E1494" s="641" t="s">
        <v>324</v>
      </c>
      <c r="F1494" s="641" t="s">
        <v>325</v>
      </c>
      <c r="G1494" s="641" t="s">
        <v>326</v>
      </c>
      <c r="H1494" s="641" t="s">
        <v>327</v>
      </c>
      <c r="I1494" s="618" t="s">
        <v>10</v>
      </c>
      <c r="J1494" s="711" t="s">
        <v>77</v>
      </c>
    </row>
    <row r="1495" spans="1:10" x14ac:dyDescent="0.25">
      <c r="A1495" s="620" t="s">
        <v>11</v>
      </c>
      <c r="B1495" s="433">
        <f>46+33+3</f>
        <v>82</v>
      </c>
      <c r="C1495" s="75">
        <f>66+31+6</f>
        <v>103</v>
      </c>
      <c r="D1495" s="75">
        <f>96+37+7</f>
        <v>140</v>
      </c>
      <c r="E1495" s="75">
        <f>87+45+11</f>
        <v>143</v>
      </c>
      <c r="F1495" s="75">
        <f>136+88+20</f>
        <v>244</v>
      </c>
      <c r="G1495" s="75">
        <f>101+61+24</f>
        <v>186</v>
      </c>
      <c r="H1495" s="75">
        <f>78+40+15</f>
        <v>133</v>
      </c>
      <c r="I1495" s="467">
        <f t="shared" ref="I1495:I1500" si="813">SUM(B1495:H1495)</f>
        <v>1031</v>
      </c>
      <c r="J1495" s="721">
        <f>+$I1495/7</f>
        <v>147.28571428571428</v>
      </c>
    </row>
    <row r="1496" spans="1:10" x14ac:dyDescent="0.25">
      <c r="A1496" s="622" t="s">
        <v>12</v>
      </c>
      <c r="B1496" s="233">
        <v>26</v>
      </c>
      <c r="C1496" s="13">
        <v>37</v>
      </c>
      <c r="D1496" s="13">
        <v>52</v>
      </c>
      <c r="E1496" s="13">
        <v>53</v>
      </c>
      <c r="F1496" s="320">
        <v>72</v>
      </c>
      <c r="G1496" s="320">
        <v>67</v>
      </c>
      <c r="H1496" s="13">
        <v>78</v>
      </c>
      <c r="I1496" s="11">
        <f t="shared" si="813"/>
        <v>385</v>
      </c>
      <c r="J1496" s="722">
        <f t="shared" ref="J1496:J1501" si="814">+$I1496/7</f>
        <v>55</v>
      </c>
    </row>
    <row r="1497" spans="1:10" x14ac:dyDescent="0.25">
      <c r="A1497" s="622" t="s">
        <v>13</v>
      </c>
      <c r="B1497" s="233">
        <v>2</v>
      </c>
      <c r="C1497" s="13">
        <v>1</v>
      </c>
      <c r="D1497" s="13">
        <v>3</v>
      </c>
      <c r="E1497" s="13">
        <v>1</v>
      </c>
      <c r="F1497" s="13">
        <v>1</v>
      </c>
      <c r="G1497" s="13">
        <v>1</v>
      </c>
      <c r="H1497" s="13">
        <v>0</v>
      </c>
      <c r="I1497" s="11">
        <f t="shared" si="813"/>
        <v>9</v>
      </c>
      <c r="J1497" s="722">
        <f t="shared" si="814"/>
        <v>1.2857142857142858</v>
      </c>
    </row>
    <row r="1498" spans="1:10" x14ac:dyDescent="0.25">
      <c r="A1498" s="622" t="s">
        <v>14</v>
      </c>
      <c r="B1498" s="233">
        <v>42</v>
      </c>
      <c r="C1498" s="13">
        <v>36</v>
      </c>
      <c r="D1498" s="13">
        <v>60</v>
      </c>
      <c r="E1498" s="13">
        <v>63</v>
      </c>
      <c r="F1498" s="13">
        <v>115</v>
      </c>
      <c r="G1498" s="13">
        <v>70</v>
      </c>
      <c r="H1498" s="13">
        <v>34</v>
      </c>
      <c r="I1498" s="11">
        <f t="shared" si="813"/>
        <v>420</v>
      </c>
      <c r="J1498" s="722">
        <f t="shared" si="814"/>
        <v>60</v>
      </c>
    </row>
    <row r="1499" spans="1:10" x14ac:dyDescent="0.25">
      <c r="A1499" s="622" t="s">
        <v>15</v>
      </c>
      <c r="B1499" s="233">
        <v>6</v>
      </c>
      <c r="C1499" s="13">
        <v>7</v>
      </c>
      <c r="D1499" s="13">
        <v>4</v>
      </c>
      <c r="E1499" s="13">
        <v>6</v>
      </c>
      <c r="F1499" s="13">
        <v>10</v>
      </c>
      <c r="G1499" s="13">
        <v>12</v>
      </c>
      <c r="H1499" s="13">
        <v>7</v>
      </c>
      <c r="I1499" s="11">
        <f t="shared" si="813"/>
        <v>52</v>
      </c>
      <c r="J1499" s="722">
        <f t="shared" si="814"/>
        <v>7.4285714285714288</v>
      </c>
    </row>
    <row r="1500" spans="1:10" x14ac:dyDescent="0.25">
      <c r="A1500" s="622" t="s">
        <v>16</v>
      </c>
      <c r="B1500" s="233">
        <v>0</v>
      </c>
      <c r="C1500" s="13">
        <v>0</v>
      </c>
      <c r="D1500" s="13">
        <v>0</v>
      </c>
      <c r="E1500" s="13">
        <v>0</v>
      </c>
      <c r="F1500" s="13">
        <v>0</v>
      </c>
      <c r="G1500" s="13">
        <v>0</v>
      </c>
      <c r="H1500" s="13">
        <v>0</v>
      </c>
      <c r="I1500" s="11">
        <f t="shared" si="813"/>
        <v>0</v>
      </c>
      <c r="J1500" s="722">
        <f t="shared" si="814"/>
        <v>0</v>
      </c>
    </row>
    <row r="1501" spans="1:10" x14ac:dyDescent="0.25">
      <c r="A1501" s="624" t="s">
        <v>17</v>
      </c>
      <c r="B1501" s="102">
        <f t="shared" ref="B1501:I1501" si="815">SUM(B1496:B1500)</f>
        <v>76</v>
      </c>
      <c r="C1501" s="102">
        <f t="shared" si="815"/>
        <v>81</v>
      </c>
      <c r="D1501" s="102">
        <f t="shared" si="815"/>
        <v>119</v>
      </c>
      <c r="E1501" s="102">
        <f t="shared" si="815"/>
        <v>123</v>
      </c>
      <c r="F1501" s="102">
        <f t="shared" si="815"/>
        <v>198</v>
      </c>
      <c r="G1501" s="79">
        <f t="shared" si="815"/>
        <v>150</v>
      </c>
      <c r="H1501" s="79">
        <f t="shared" si="815"/>
        <v>119</v>
      </c>
      <c r="I1501" s="472">
        <f t="shared" si="815"/>
        <v>866</v>
      </c>
      <c r="J1501" s="723">
        <f t="shared" si="814"/>
        <v>123.71428571428571</v>
      </c>
    </row>
    <row r="1502" spans="1:10" x14ac:dyDescent="0.25">
      <c r="A1502" s="622" t="s">
        <v>18</v>
      </c>
      <c r="B1502" s="234">
        <v>0.44</v>
      </c>
      <c r="C1502" s="235">
        <v>0.62</v>
      </c>
      <c r="D1502" s="235">
        <v>0.56000000000000005</v>
      </c>
      <c r="E1502" s="236">
        <v>0.57999999999999996</v>
      </c>
      <c r="F1502" s="236">
        <v>0.43</v>
      </c>
      <c r="G1502" s="236">
        <v>0.48</v>
      </c>
      <c r="H1502" s="236">
        <v>0.7</v>
      </c>
      <c r="I1502" s="18">
        <f>I1509/I1514</f>
        <v>0.53294361682833347</v>
      </c>
      <c r="J1502" s="724">
        <f>J1509/J1514</f>
        <v>0.53294361682833347</v>
      </c>
    </row>
    <row r="1503" spans="1:10" x14ac:dyDescent="0.25">
      <c r="A1503" s="622" t="s">
        <v>19</v>
      </c>
      <c r="B1503" s="234">
        <v>0.04</v>
      </c>
      <c r="C1503" s="235">
        <v>0</v>
      </c>
      <c r="D1503" s="235">
        <v>0.01</v>
      </c>
      <c r="E1503" s="236">
        <v>0.01</v>
      </c>
      <c r="F1503" s="236">
        <v>0.01</v>
      </c>
      <c r="G1503" s="236">
        <v>0.01</v>
      </c>
      <c r="H1503" s="236">
        <v>0</v>
      </c>
      <c r="I1503" s="18">
        <f>I1510/I1514</f>
        <v>1.0087586455700275E-2</v>
      </c>
      <c r="J1503" s="724">
        <f>J1510/J1514</f>
        <v>1.0087586455700275E-2</v>
      </c>
    </row>
    <row r="1504" spans="1:10" x14ac:dyDescent="0.25">
      <c r="A1504" s="622" t="s">
        <v>20</v>
      </c>
      <c r="B1504" s="234">
        <v>0.45</v>
      </c>
      <c r="C1504" s="235">
        <v>0.31</v>
      </c>
      <c r="D1504" s="235">
        <v>0.4</v>
      </c>
      <c r="E1504" s="236">
        <v>0.38</v>
      </c>
      <c r="F1504" s="236">
        <v>0.52</v>
      </c>
      <c r="G1504" s="236">
        <v>0.43</v>
      </c>
      <c r="H1504" s="236">
        <v>0.25</v>
      </c>
      <c r="I1504" s="18">
        <f>I1511/I1514</f>
        <v>0.40598454103208514</v>
      </c>
      <c r="J1504" s="724">
        <f>J1511/J1514</f>
        <v>0.40598454103208509</v>
      </c>
    </row>
    <row r="1505" spans="1:10" x14ac:dyDescent="0.25">
      <c r="A1505" s="622" t="s">
        <v>21</v>
      </c>
      <c r="B1505" s="234">
        <v>7.0000000000000007E-2</v>
      </c>
      <c r="C1505" s="235">
        <v>7.0000000000000007E-2</v>
      </c>
      <c r="D1505" s="235">
        <v>0.03</v>
      </c>
      <c r="E1505" s="236">
        <v>0.03</v>
      </c>
      <c r="F1505" s="236">
        <v>0.04</v>
      </c>
      <c r="G1505" s="236">
        <v>0.08</v>
      </c>
      <c r="H1505" s="236">
        <v>0.05</v>
      </c>
      <c r="I1505" s="18">
        <f>I1512/I1514</f>
        <v>5.0984255683881007E-2</v>
      </c>
      <c r="J1505" s="724">
        <f>J1512/J1514</f>
        <v>5.0984255683881007E-2</v>
      </c>
    </row>
    <row r="1506" spans="1:10" x14ac:dyDescent="0.25">
      <c r="A1506" s="622" t="s">
        <v>22</v>
      </c>
      <c r="B1506" s="234">
        <v>0</v>
      </c>
      <c r="C1506" s="235">
        <v>0</v>
      </c>
      <c r="D1506" s="235">
        <v>0</v>
      </c>
      <c r="E1506" s="236">
        <v>0</v>
      </c>
      <c r="F1506" s="236">
        <v>0</v>
      </c>
      <c r="G1506" s="236">
        <v>0</v>
      </c>
      <c r="H1506" s="236">
        <v>0</v>
      </c>
      <c r="I1506" s="18">
        <f>I1513/I1514</f>
        <v>0</v>
      </c>
      <c r="J1506" s="724">
        <f>J1513/J1514</f>
        <v>0</v>
      </c>
    </row>
    <row r="1507" spans="1:10" x14ac:dyDescent="0.25">
      <c r="A1507" s="627" t="s">
        <v>23</v>
      </c>
      <c r="B1507" s="450">
        <f t="shared" ref="B1507:J1507" si="816">B1518/B1501</f>
        <v>31031.57894736842</v>
      </c>
      <c r="C1507" s="130">
        <f t="shared" si="816"/>
        <v>37000.000000000007</v>
      </c>
      <c r="D1507" s="130">
        <f t="shared" si="816"/>
        <v>32626.89075630252</v>
      </c>
      <c r="E1507" s="130">
        <f t="shared" si="816"/>
        <v>33892.682926829271</v>
      </c>
      <c r="F1507" s="130">
        <f t="shared" si="816"/>
        <v>34959.595959595965</v>
      </c>
      <c r="G1507" s="130">
        <f t="shared" si="816"/>
        <v>33825.333333333336</v>
      </c>
      <c r="H1507" s="130">
        <f t="shared" si="816"/>
        <v>33061.34453781513</v>
      </c>
      <c r="I1507" s="130">
        <f t="shared" si="816"/>
        <v>33876.327944572753</v>
      </c>
      <c r="J1507" s="685">
        <f t="shared" si="816"/>
        <v>33876.327944572753</v>
      </c>
    </row>
    <row r="1508" spans="1:10" x14ac:dyDescent="0.25">
      <c r="A1508" s="627" t="s">
        <v>24</v>
      </c>
      <c r="B1508" s="450">
        <f t="shared" ref="B1508:J1508" si="817">B1518/B1495</f>
        <v>28760.975609756097</v>
      </c>
      <c r="C1508" s="130">
        <f t="shared" si="817"/>
        <v>29097.087378640783</v>
      </c>
      <c r="D1508" s="130">
        <f t="shared" si="817"/>
        <v>27732.857142857141</v>
      </c>
      <c r="E1508" s="130">
        <f t="shared" si="817"/>
        <v>29152.447552447553</v>
      </c>
      <c r="F1508" s="130">
        <f t="shared" si="817"/>
        <v>28368.852459016398</v>
      </c>
      <c r="G1508" s="130">
        <f t="shared" si="817"/>
        <v>27278.494623655915</v>
      </c>
      <c r="H1508" s="130">
        <f t="shared" si="817"/>
        <v>29581.203007518801</v>
      </c>
      <c r="I1508" s="130">
        <f t="shared" si="817"/>
        <v>28454.801163918528</v>
      </c>
      <c r="J1508" s="685">
        <f t="shared" si="817"/>
        <v>28454.801163918532</v>
      </c>
    </row>
    <row r="1509" spans="1:10" x14ac:dyDescent="0.25">
      <c r="A1509" s="622" t="s">
        <v>25</v>
      </c>
      <c r="B1509" s="451">
        <f t="shared" ref="B1509:H1509" si="818">B1514*B1502</f>
        <v>866949.35724137945</v>
      </c>
      <c r="C1509" s="92">
        <f t="shared" si="818"/>
        <v>1546467.6675862069</v>
      </c>
      <c r="D1509" s="92">
        <f t="shared" si="818"/>
        <v>1804062.9406896555</v>
      </c>
      <c r="E1509" s="92">
        <f t="shared" si="818"/>
        <v>2010193.64</v>
      </c>
      <c r="F1509" s="92">
        <f t="shared" si="818"/>
        <v>2491176.3531034486</v>
      </c>
      <c r="G1509" s="92">
        <f t="shared" si="818"/>
        <v>2021869.208275862</v>
      </c>
      <c r="H1509" s="92">
        <f t="shared" si="818"/>
        <v>2242342.1517241378</v>
      </c>
      <c r="I1509" s="92">
        <f>SUM(B1509:H1509)</f>
        <v>12983061.318620689</v>
      </c>
      <c r="J1509" s="715">
        <f t="shared" ref="J1509:J1514" si="819">+$I1509/7</f>
        <v>1854723.0455172413</v>
      </c>
    </row>
    <row r="1510" spans="1:10" x14ac:dyDescent="0.25">
      <c r="A1510" s="622" t="s">
        <v>26</v>
      </c>
      <c r="B1510" s="451">
        <f t="shared" ref="B1510:H1510" si="820">B1514*B1503</f>
        <v>78813.577931034495</v>
      </c>
      <c r="C1510" s="92">
        <f t="shared" si="820"/>
        <v>0</v>
      </c>
      <c r="D1510" s="92">
        <f t="shared" si="820"/>
        <v>32215.409655172414</v>
      </c>
      <c r="E1510" s="92">
        <f t="shared" si="820"/>
        <v>34658.511034482763</v>
      </c>
      <c r="F1510" s="92">
        <f t="shared" si="820"/>
        <v>57934.333793103455</v>
      </c>
      <c r="G1510" s="92">
        <f t="shared" si="820"/>
        <v>42122.275172413792</v>
      </c>
      <c r="H1510" s="92">
        <f t="shared" si="820"/>
        <v>0</v>
      </c>
      <c r="I1510" s="92">
        <f>SUM(B1510:H1510)</f>
        <v>245744.10758620693</v>
      </c>
      <c r="J1510" s="715">
        <f t="shared" si="819"/>
        <v>35106.301083743849</v>
      </c>
    </row>
    <row r="1511" spans="1:10" x14ac:dyDescent="0.25">
      <c r="A1511" s="622" t="s">
        <v>27</v>
      </c>
      <c r="B1511" s="451">
        <f t="shared" ref="B1511:H1511" si="821">B1514*B1504</f>
        <v>886652.75172413804</v>
      </c>
      <c r="C1511" s="92">
        <f t="shared" si="821"/>
        <v>773233.83379310346</v>
      </c>
      <c r="D1511" s="92">
        <f t="shared" si="821"/>
        <v>1288616.3862068967</v>
      </c>
      <c r="E1511" s="92">
        <f t="shared" si="821"/>
        <v>1317023.4193103448</v>
      </c>
      <c r="F1511" s="92">
        <f t="shared" si="821"/>
        <v>3012585.3572413796</v>
      </c>
      <c r="G1511" s="92">
        <f t="shared" si="821"/>
        <v>1811257.8324137931</v>
      </c>
      <c r="H1511" s="92">
        <f t="shared" si="821"/>
        <v>800836.48275862075</v>
      </c>
      <c r="I1511" s="92">
        <f>SUM(B1511:H1511)</f>
        <v>9890206.0634482764</v>
      </c>
      <c r="J1511" s="715">
        <f t="shared" si="819"/>
        <v>1412886.5804926108</v>
      </c>
    </row>
    <row r="1512" spans="1:10" x14ac:dyDescent="0.25">
      <c r="A1512" s="622" t="s">
        <v>28</v>
      </c>
      <c r="B1512" s="451">
        <f t="shared" ref="B1512:H1512" si="822">B1514*B1505</f>
        <v>137923.76137931037</v>
      </c>
      <c r="C1512" s="92">
        <f t="shared" si="822"/>
        <v>174601.18827586211</v>
      </c>
      <c r="D1512" s="92">
        <f t="shared" si="822"/>
        <v>96646.228965517235</v>
      </c>
      <c r="E1512" s="92">
        <f t="shared" si="822"/>
        <v>103975.53310344828</v>
      </c>
      <c r="F1512" s="92">
        <f t="shared" si="822"/>
        <v>231737.33517241382</v>
      </c>
      <c r="G1512" s="92">
        <f t="shared" si="822"/>
        <v>336978.20137931034</v>
      </c>
      <c r="H1512" s="92">
        <f t="shared" si="822"/>
        <v>160167.29655172417</v>
      </c>
      <c r="I1512" s="92">
        <f>SUM(B1512:H1512)</f>
        <v>1242029.5448275863</v>
      </c>
      <c r="J1512" s="715">
        <f t="shared" si="819"/>
        <v>177432.79211822661</v>
      </c>
    </row>
    <row r="1513" spans="1:10" x14ac:dyDescent="0.25">
      <c r="A1513" s="622" t="s">
        <v>29</v>
      </c>
      <c r="B1513" s="451">
        <f t="shared" ref="B1513:H1513" si="823">B1514*B1506</f>
        <v>0</v>
      </c>
      <c r="C1513" s="92">
        <f t="shared" si="823"/>
        <v>0</v>
      </c>
      <c r="D1513" s="92">
        <f t="shared" si="823"/>
        <v>0</v>
      </c>
      <c r="E1513" s="92">
        <f t="shared" si="823"/>
        <v>0</v>
      </c>
      <c r="F1513" s="92">
        <f t="shared" si="823"/>
        <v>0</v>
      </c>
      <c r="G1513" s="92">
        <f t="shared" si="823"/>
        <v>0</v>
      </c>
      <c r="H1513" s="92">
        <f t="shared" si="823"/>
        <v>0</v>
      </c>
      <c r="I1513" s="92">
        <f>SUM(B1513:H1513)</f>
        <v>0</v>
      </c>
      <c r="J1513" s="715">
        <f t="shared" si="819"/>
        <v>0</v>
      </c>
    </row>
    <row r="1514" spans="1:10" x14ac:dyDescent="0.25">
      <c r="A1514" s="630" t="s">
        <v>30</v>
      </c>
      <c r="B1514" s="237">
        <f>(2358400/1.16)-B1515</f>
        <v>1970339.4482758623</v>
      </c>
      <c r="C1514" s="237">
        <f>(2997000/1.16)-C1515</f>
        <v>2494302.6896551726</v>
      </c>
      <c r="D1514" s="237">
        <f>(3882600/1.16)-D1515</f>
        <v>3221540.9655172415</v>
      </c>
      <c r="E1514" s="237">
        <f>(4168800/1.16)-E1515</f>
        <v>3465851.1034482759</v>
      </c>
      <c r="F1514" s="237">
        <f>(6922000/1.16)-F1515</f>
        <v>5793433.3793103453</v>
      </c>
      <c r="G1514" s="237">
        <f>(5073800/1.16)-G1515</f>
        <v>4212227.5172413792</v>
      </c>
      <c r="H1514" s="237">
        <f>(3934300/1.16)-H1515</f>
        <v>3203345.931034483</v>
      </c>
      <c r="I1514" s="91">
        <f>SUM(I1509:I1513)</f>
        <v>24361041.034482762</v>
      </c>
      <c r="J1514" s="716">
        <f t="shared" si="819"/>
        <v>3480148.7192118233</v>
      </c>
    </row>
    <row r="1515" spans="1:10" x14ac:dyDescent="0.25">
      <c r="A1515" s="622" t="s">
        <v>31</v>
      </c>
      <c r="B1515" s="452">
        <f t="shared" ref="B1515:H1515" si="824">2414*B1496</f>
        <v>62764</v>
      </c>
      <c r="C1515" s="94">
        <f t="shared" si="824"/>
        <v>89318</v>
      </c>
      <c r="D1515" s="94">
        <f t="shared" si="824"/>
        <v>125528</v>
      </c>
      <c r="E1515" s="94">
        <f t="shared" si="824"/>
        <v>127942</v>
      </c>
      <c r="F1515" s="94">
        <f t="shared" si="824"/>
        <v>173808</v>
      </c>
      <c r="G1515" s="94">
        <f t="shared" si="824"/>
        <v>161738</v>
      </c>
      <c r="H1515" s="94">
        <f t="shared" si="824"/>
        <v>188292</v>
      </c>
      <c r="I1515" s="94">
        <f>I1496*2414</f>
        <v>929390</v>
      </c>
      <c r="J1515" s="717">
        <f>2155*J1496</f>
        <v>118525</v>
      </c>
    </row>
    <row r="1516" spans="1:10" x14ac:dyDescent="0.25">
      <c r="A1516" s="633" t="s">
        <v>32</v>
      </c>
      <c r="B1516" s="453">
        <f t="shared" ref="B1516:J1516" si="825">B1514+B1515</f>
        <v>2033103.4482758623</v>
      </c>
      <c r="C1516" s="39">
        <f t="shared" si="825"/>
        <v>2583620.6896551726</v>
      </c>
      <c r="D1516" s="39">
        <f t="shared" si="825"/>
        <v>3347068.9655172415</v>
      </c>
      <c r="E1516" s="39">
        <f t="shared" si="825"/>
        <v>3593793.1034482759</v>
      </c>
      <c r="F1516" s="39">
        <f t="shared" si="825"/>
        <v>5967241.3793103453</v>
      </c>
      <c r="G1516" s="39">
        <f t="shared" si="825"/>
        <v>4373965.5172413792</v>
      </c>
      <c r="H1516" s="39">
        <f t="shared" si="825"/>
        <v>3391637.931034483</v>
      </c>
      <c r="I1516" s="39">
        <f t="shared" si="825"/>
        <v>25290431.034482762</v>
      </c>
      <c r="J1516" s="718">
        <f t="shared" si="825"/>
        <v>3598673.7192118233</v>
      </c>
    </row>
    <row r="1517" spans="1:10" x14ac:dyDescent="0.25">
      <c r="A1517" s="622" t="s">
        <v>33</v>
      </c>
      <c r="B1517" s="454">
        <f t="shared" ref="B1517:J1517" si="826">B1516*16%</f>
        <v>325296.55172413797</v>
      </c>
      <c r="C1517" s="41">
        <f t="shared" si="826"/>
        <v>413379.31034482765</v>
      </c>
      <c r="D1517" s="41">
        <f t="shared" si="826"/>
        <v>535531.03448275861</v>
      </c>
      <c r="E1517" s="41">
        <f t="shared" si="826"/>
        <v>575006.89655172417</v>
      </c>
      <c r="F1517" s="41">
        <f t="shared" si="826"/>
        <v>954758.6206896553</v>
      </c>
      <c r="G1517" s="41">
        <f t="shared" si="826"/>
        <v>699834.48275862064</v>
      </c>
      <c r="H1517" s="41">
        <f t="shared" si="826"/>
        <v>542662.06896551733</v>
      </c>
      <c r="I1517" s="41">
        <f t="shared" si="826"/>
        <v>4046468.965517242</v>
      </c>
      <c r="J1517" s="725">
        <f t="shared" si="826"/>
        <v>575787.79507389176</v>
      </c>
    </row>
    <row r="1518" spans="1:10" ht="15.75" thickBot="1" x14ac:dyDescent="0.3">
      <c r="A1518" s="636" t="s">
        <v>34</v>
      </c>
      <c r="B1518" s="637">
        <f t="shared" ref="B1518:I1518" si="827">B1516+B1517</f>
        <v>2358400</v>
      </c>
      <c r="C1518" s="686">
        <f t="shared" si="827"/>
        <v>2997000.0000000005</v>
      </c>
      <c r="D1518" s="686">
        <f t="shared" si="827"/>
        <v>3882600</v>
      </c>
      <c r="E1518" s="686">
        <f t="shared" si="827"/>
        <v>4168800</v>
      </c>
      <c r="F1518" s="686">
        <f t="shared" si="827"/>
        <v>6922000.0000000009</v>
      </c>
      <c r="G1518" s="686">
        <f t="shared" si="827"/>
        <v>5073800</v>
      </c>
      <c r="H1518" s="686">
        <f t="shared" si="827"/>
        <v>3934300.0000000005</v>
      </c>
      <c r="I1518" s="686">
        <f t="shared" si="827"/>
        <v>29336900.000000004</v>
      </c>
      <c r="J1518" s="720">
        <f>+$I1518/7</f>
        <v>4190985.714285715</v>
      </c>
    </row>
    <row r="1519" spans="1:10" ht="15.75" thickBot="1" x14ac:dyDescent="0.3">
      <c r="I1519" s="89"/>
    </row>
    <row r="1520" spans="1:10" ht="27" thickBot="1" x14ac:dyDescent="0.3">
      <c r="A1520" s="85"/>
      <c r="B1520" s="1002" t="s">
        <v>397</v>
      </c>
      <c r="C1520" s="1002"/>
      <c r="D1520" s="1002"/>
      <c r="E1520" s="1002"/>
      <c r="F1520" s="1002"/>
      <c r="G1520" s="1002"/>
      <c r="H1520" s="1002"/>
      <c r="I1520" s="1002"/>
    </row>
    <row r="1521" spans="1:10" ht="15.75" x14ac:dyDescent="0.25">
      <c r="A1521" s="614" t="s">
        <v>2</v>
      </c>
      <c r="B1521" s="706" t="s">
        <v>329</v>
      </c>
      <c r="C1521" s="641" t="s">
        <v>330</v>
      </c>
      <c r="D1521" s="641" t="s">
        <v>331</v>
      </c>
      <c r="E1521" s="641" t="s">
        <v>332</v>
      </c>
      <c r="F1521" s="641" t="s">
        <v>333</v>
      </c>
      <c r="G1521" s="641" t="s">
        <v>334</v>
      </c>
      <c r="H1521" s="641" t="s">
        <v>335</v>
      </c>
      <c r="I1521" s="618" t="s">
        <v>10</v>
      </c>
      <c r="J1521" s="711" t="s">
        <v>77</v>
      </c>
    </row>
    <row r="1522" spans="1:10" x14ac:dyDescent="0.25">
      <c r="A1522" s="620" t="s">
        <v>11</v>
      </c>
      <c r="B1522" s="433">
        <f>56+28+7</f>
        <v>91</v>
      </c>
      <c r="C1522" s="75">
        <f>64+29+11</f>
        <v>104</v>
      </c>
      <c r="D1522" s="75">
        <f>68+50+13</f>
        <v>131</v>
      </c>
      <c r="E1522" s="75">
        <f>75+52+23</f>
        <v>150</v>
      </c>
      <c r="F1522" s="75">
        <f>114+56+8</f>
        <v>178</v>
      </c>
      <c r="G1522" s="75">
        <f>94+75+18</f>
        <v>187</v>
      </c>
      <c r="H1522" s="75">
        <f>83+48+24</f>
        <v>155</v>
      </c>
      <c r="I1522" s="467">
        <f t="shared" ref="I1522:I1527" si="828">SUM(B1522:H1522)</f>
        <v>996</v>
      </c>
      <c r="J1522" s="721">
        <f>+$I1522/7</f>
        <v>142.28571428571428</v>
      </c>
    </row>
    <row r="1523" spans="1:10" x14ac:dyDescent="0.25">
      <c r="A1523" s="622" t="s">
        <v>12</v>
      </c>
      <c r="B1523" s="233">
        <v>30</v>
      </c>
      <c r="C1523" s="13">
        <v>28</v>
      </c>
      <c r="D1523" s="13">
        <v>42</v>
      </c>
      <c r="E1523" s="13">
        <v>39</v>
      </c>
      <c r="F1523" s="320">
        <v>66</v>
      </c>
      <c r="G1523" s="320">
        <v>76</v>
      </c>
      <c r="H1523" s="13">
        <v>77</v>
      </c>
      <c r="I1523" s="11">
        <f t="shared" si="828"/>
        <v>358</v>
      </c>
      <c r="J1523" s="722">
        <f t="shared" ref="J1523:J1528" si="829">+$I1523/7</f>
        <v>51.142857142857146</v>
      </c>
    </row>
    <row r="1524" spans="1:10" x14ac:dyDescent="0.25">
      <c r="A1524" s="622" t="s">
        <v>13</v>
      </c>
      <c r="B1524" s="233">
        <v>0</v>
      </c>
      <c r="C1524" s="13">
        <v>1</v>
      </c>
      <c r="D1524" s="13">
        <v>0</v>
      </c>
      <c r="E1524" s="13">
        <v>2</v>
      </c>
      <c r="F1524" s="13">
        <v>2</v>
      </c>
      <c r="G1524" s="13">
        <v>3</v>
      </c>
      <c r="H1524" s="13">
        <v>1</v>
      </c>
      <c r="I1524" s="11">
        <f t="shared" si="828"/>
        <v>9</v>
      </c>
      <c r="J1524" s="722">
        <f t="shared" si="829"/>
        <v>1.2857142857142858</v>
      </c>
    </row>
    <row r="1525" spans="1:10" x14ac:dyDescent="0.25">
      <c r="A1525" s="622" t="s">
        <v>14</v>
      </c>
      <c r="B1525" s="233">
        <v>43</v>
      </c>
      <c r="C1525" s="13">
        <v>48</v>
      </c>
      <c r="D1525" s="13">
        <v>54</v>
      </c>
      <c r="E1525" s="13">
        <v>82</v>
      </c>
      <c r="F1525" s="13">
        <v>83</v>
      </c>
      <c r="G1525" s="13">
        <v>77</v>
      </c>
      <c r="H1525" s="13">
        <v>46</v>
      </c>
      <c r="I1525" s="11">
        <f t="shared" si="828"/>
        <v>433</v>
      </c>
      <c r="J1525" s="722">
        <f t="shared" si="829"/>
        <v>61.857142857142854</v>
      </c>
    </row>
    <row r="1526" spans="1:10" x14ac:dyDescent="0.25">
      <c r="A1526" s="622" t="s">
        <v>15</v>
      </c>
      <c r="B1526" s="233">
        <v>7</v>
      </c>
      <c r="C1526" s="13">
        <v>2</v>
      </c>
      <c r="D1526" s="13">
        <v>10</v>
      </c>
      <c r="E1526" s="13">
        <v>10</v>
      </c>
      <c r="F1526" s="13">
        <v>4</v>
      </c>
      <c r="G1526" s="13">
        <v>2</v>
      </c>
      <c r="H1526" s="13">
        <v>6</v>
      </c>
      <c r="I1526" s="11">
        <f t="shared" si="828"/>
        <v>41</v>
      </c>
      <c r="J1526" s="722">
        <f t="shared" si="829"/>
        <v>5.8571428571428568</v>
      </c>
    </row>
    <row r="1527" spans="1:10" x14ac:dyDescent="0.25">
      <c r="A1527" s="622" t="s">
        <v>16</v>
      </c>
      <c r="B1527" s="233">
        <v>0</v>
      </c>
      <c r="C1527" s="13">
        <v>0</v>
      </c>
      <c r="D1527" s="13">
        <v>0</v>
      </c>
      <c r="E1527" s="13">
        <v>0</v>
      </c>
      <c r="F1527" s="13">
        <v>0</v>
      </c>
      <c r="G1527" s="13">
        <v>0</v>
      </c>
      <c r="H1527" s="13">
        <v>0</v>
      </c>
      <c r="I1527" s="11">
        <f t="shared" si="828"/>
        <v>0</v>
      </c>
      <c r="J1527" s="722">
        <f t="shared" si="829"/>
        <v>0</v>
      </c>
    </row>
    <row r="1528" spans="1:10" x14ac:dyDescent="0.25">
      <c r="A1528" s="624" t="s">
        <v>17</v>
      </c>
      <c r="B1528" s="102">
        <f t="shared" ref="B1528:I1528" si="830">SUM(B1523:B1527)</f>
        <v>80</v>
      </c>
      <c r="C1528" s="102">
        <f t="shared" si="830"/>
        <v>79</v>
      </c>
      <c r="D1528" s="102">
        <f t="shared" si="830"/>
        <v>106</v>
      </c>
      <c r="E1528" s="102">
        <f t="shared" si="830"/>
        <v>133</v>
      </c>
      <c r="F1528" s="102">
        <f t="shared" si="830"/>
        <v>155</v>
      </c>
      <c r="G1528" s="79">
        <f t="shared" si="830"/>
        <v>158</v>
      </c>
      <c r="H1528" s="79">
        <f t="shared" si="830"/>
        <v>130</v>
      </c>
      <c r="I1528" s="472">
        <f t="shared" si="830"/>
        <v>841</v>
      </c>
      <c r="J1528" s="723">
        <f t="shared" si="829"/>
        <v>120.14285714285714</v>
      </c>
    </row>
    <row r="1529" spans="1:10" x14ac:dyDescent="0.25">
      <c r="A1529" s="622" t="s">
        <v>18</v>
      </c>
      <c r="B1529" s="234">
        <v>0.49</v>
      </c>
      <c r="C1529" s="235">
        <v>0.45</v>
      </c>
      <c r="D1529" s="235">
        <v>0.44</v>
      </c>
      <c r="E1529" s="236">
        <v>0.35</v>
      </c>
      <c r="F1529" s="236">
        <v>0.5</v>
      </c>
      <c r="G1529" s="236">
        <v>0.55000000000000004</v>
      </c>
      <c r="H1529" s="236">
        <v>0.68</v>
      </c>
      <c r="I1529" s="18">
        <f>I1536/I1541</f>
        <v>0.50085805893236968</v>
      </c>
      <c r="J1529" s="724">
        <f>J1536/J1541</f>
        <v>0.50085805893236968</v>
      </c>
    </row>
    <row r="1530" spans="1:10" x14ac:dyDescent="0.25">
      <c r="A1530" s="622" t="s">
        <v>19</v>
      </c>
      <c r="B1530" s="234">
        <v>0</v>
      </c>
      <c r="C1530" s="235">
        <v>0.01</v>
      </c>
      <c r="D1530" s="235">
        <v>0</v>
      </c>
      <c r="E1530" s="236">
        <v>0.02</v>
      </c>
      <c r="F1530" s="236">
        <v>0.02</v>
      </c>
      <c r="G1530" s="236">
        <v>0.01</v>
      </c>
      <c r="H1530" s="236">
        <v>0</v>
      </c>
      <c r="I1530" s="18">
        <f>I1537/I1541</f>
        <v>9.6764156818805198E-3</v>
      </c>
      <c r="J1530" s="724">
        <f>J1537/J1541</f>
        <v>9.676415681880518E-3</v>
      </c>
    </row>
    <row r="1531" spans="1:10" x14ac:dyDescent="0.25">
      <c r="A1531" s="622" t="s">
        <v>20</v>
      </c>
      <c r="B1531" s="234">
        <v>0.43</v>
      </c>
      <c r="C1531" s="235">
        <v>0.53</v>
      </c>
      <c r="D1531" s="235">
        <v>0.49</v>
      </c>
      <c r="E1531" s="236">
        <v>0.56000000000000005</v>
      </c>
      <c r="F1531" s="236">
        <v>0.46</v>
      </c>
      <c r="G1531" s="236">
        <v>0.43</v>
      </c>
      <c r="H1531" s="236">
        <v>0.28999999999999998</v>
      </c>
      <c r="I1531" s="18">
        <f>I1538/I1541</f>
        <v>0.45156554535791815</v>
      </c>
      <c r="J1531" s="724">
        <f>J1538/J1541</f>
        <v>0.4515655453579181</v>
      </c>
    </row>
    <row r="1532" spans="1:10" x14ac:dyDescent="0.25">
      <c r="A1532" s="622" t="s">
        <v>21</v>
      </c>
      <c r="B1532" s="234">
        <v>0.08</v>
      </c>
      <c r="C1532" s="235">
        <v>0.01</v>
      </c>
      <c r="D1532" s="235">
        <v>7.0000000000000007E-2</v>
      </c>
      <c r="E1532" s="236">
        <v>7.0000000000000007E-2</v>
      </c>
      <c r="F1532" s="236">
        <v>0.02</v>
      </c>
      <c r="G1532" s="236">
        <v>0.01</v>
      </c>
      <c r="H1532" s="236">
        <v>0.03</v>
      </c>
      <c r="I1532" s="18">
        <f>I1539/I1541</f>
        <v>3.7899980027831584E-2</v>
      </c>
      <c r="J1532" s="724">
        <f>J1539/J1541</f>
        <v>3.7899980027831577E-2</v>
      </c>
    </row>
    <row r="1533" spans="1:10" x14ac:dyDescent="0.25">
      <c r="A1533" s="622" t="s">
        <v>22</v>
      </c>
      <c r="B1533" s="234">
        <v>0</v>
      </c>
      <c r="C1533" s="235">
        <v>0</v>
      </c>
      <c r="D1533" s="235">
        <v>0</v>
      </c>
      <c r="E1533" s="236">
        <v>0</v>
      </c>
      <c r="F1533" s="236">
        <v>0</v>
      </c>
      <c r="G1533" s="236">
        <v>0</v>
      </c>
      <c r="H1533" s="236">
        <v>0</v>
      </c>
      <c r="I1533" s="18">
        <f>I1540/I1541</f>
        <v>0</v>
      </c>
      <c r="J1533" s="724">
        <f>J1540/J1541</f>
        <v>0</v>
      </c>
    </row>
    <row r="1534" spans="1:10" x14ac:dyDescent="0.25">
      <c r="A1534" s="627" t="s">
        <v>23</v>
      </c>
      <c r="B1534" s="450">
        <f t="shared" ref="B1534:J1534" si="831">B1545/B1528</f>
        <v>31245</v>
      </c>
      <c r="C1534" s="130">
        <f t="shared" si="831"/>
        <v>34030.379746835446</v>
      </c>
      <c r="D1534" s="130">
        <f t="shared" si="831"/>
        <v>32616.037735849062</v>
      </c>
      <c r="E1534" s="130">
        <f t="shared" si="831"/>
        <v>31397.744360902259</v>
      </c>
      <c r="F1534" s="130">
        <f t="shared" si="831"/>
        <v>32414.838709677424</v>
      </c>
      <c r="G1534" s="130">
        <f t="shared" si="831"/>
        <v>34989.873417721523</v>
      </c>
      <c r="H1534" s="130">
        <f t="shared" si="831"/>
        <v>32516.923076923078</v>
      </c>
      <c r="I1534" s="130">
        <f t="shared" si="831"/>
        <v>32819.381688466121</v>
      </c>
      <c r="J1534" s="685">
        <f t="shared" si="831"/>
        <v>32819.381688466121</v>
      </c>
    </row>
    <row r="1535" spans="1:10" x14ac:dyDescent="0.25">
      <c r="A1535" s="627" t="s">
        <v>24</v>
      </c>
      <c r="B1535" s="450">
        <f t="shared" ref="B1535:J1535" si="832">B1545/B1522</f>
        <v>27468.13186813187</v>
      </c>
      <c r="C1535" s="130">
        <f t="shared" si="832"/>
        <v>25850</v>
      </c>
      <c r="D1535" s="130">
        <f t="shared" si="832"/>
        <v>26391.603053435119</v>
      </c>
      <c r="E1535" s="130">
        <f t="shared" si="832"/>
        <v>27839.333333333336</v>
      </c>
      <c r="F1535" s="130">
        <f t="shared" si="832"/>
        <v>28226.404494382026</v>
      </c>
      <c r="G1535" s="130">
        <f t="shared" si="832"/>
        <v>29563.636363636368</v>
      </c>
      <c r="H1535" s="130">
        <f t="shared" si="832"/>
        <v>27272.258064516129</v>
      </c>
      <c r="I1535" s="130">
        <f t="shared" si="832"/>
        <v>27711.947791164665</v>
      </c>
      <c r="J1535" s="685">
        <f t="shared" si="832"/>
        <v>27711.947791164668</v>
      </c>
    </row>
    <row r="1536" spans="1:10" x14ac:dyDescent="0.25">
      <c r="A1536" s="622" t="s">
        <v>25</v>
      </c>
      <c r="B1536" s="451">
        <f t="shared" ref="B1536:H1536" si="833">B1541*B1529</f>
        <v>1020379.7172413793</v>
      </c>
      <c r="C1536" s="92">
        <f t="shared" si="833"/>
        <v>1012497.3931034483</v>
      </c>
      <c r="D1536" s="92">
        <f t="shared" si="833"/>
        <v>1266778.9351724139</v>
      </c>
      <c r="E1536" s="92">
        <f t="shared" si="833"/>
        <v>1227018.727586207</v>
      </c>
      <c r="F1536" s="92">
        <f t="shared" si="833"/>
        <v>2085984.5517241382</v>
      </c>
      <c r="G1536" s="92">
        <f t="shared" si="833"/>
        <v>2520318.9379310352</v>
      </c>
      <c r="H1536" s="92">
        <f t="shared" si="833"/>
        <v>2351616.7531034485</v>
      </c>
      <c r="I1536" s="92">
        <f>SUM(B1536:H1536)</f>
        <v>11484595.01586207</v>
      </c>
      <c r="J1536" s="715">
        <f t="shared" ref="J1536:J1541" si="834">+$I1536/7</f>
        <v>1640656.4308374387</v>
      </c>
    </row>
    <row r="1537" spans="1:10" x14ac:dyDescent="0.25">
      <c r="A1537" s="622" t="s">
        <v>26</v>
      </c>
      <c r="B1537" s="451">
        <f t="shared" ref="B1537:H1537" si="835">B1541*B1530</f>
        <v>0</v>
      </c>
      <c r="C1537" s="92">
        <f t="shared" si="835"/>
        <v>22499.94206896552</v>
      </c>
      <c r="D1537" s="92">
        <f t="shared" si="835"/>
        <v>0</v>
      </c>
      <c r="E1537" s="92">
        <f t="shared" si="835"/>
        <v>70115.355862068973</v>
      </c>
      <c r="F1537" s="92">
        <f t="shared" si="835"/>
        <v>83439.382068965526</v>
      </c>
      <c r="G1537" s="92">
        <f t="shared" si="835"/>
        <v>45823.980689655182</v>
      </c>
      <c r="H1537" s="92">
        <f t="shared" si="835"/>
        <v>0</v>
      </c>
      <c r="I1537" s="92">
        <f>SUM(B1537:H1537)</f>
        <v>221878.6606896552</v>
      </c>
      <c r="J1537" s="715">
        <f t="shared" si="834"/>
        <v>31696.951527093599</v>
      </c>
    </row>
    <row r="1538" spans="1:10" x14ac:dyDescent="0.25">
      <c r="A1538" s="622" t="s">
        <v>27</v>
      </c>
      <c r="B1538" s="451">
        <f t="shared" ref="B1538:H1538" si="836">B1541*B1531</f>
        <v>895435.26206896559</v>
      </c>
      <c r="C1538" s="92">
        <f t="shared" si="836"/>
        <v>1192496.9296551726</v>
      </c>
      <c r="D1538" s="92">
        <f t="shared" si="836"/>
        <v>1410731.0868965518</v>
      </c>
      <c r="E1538" s="92">
        <f t="shared" si="836"/>
        <v>1963229.9641379314</v>
      </c>
      <c r="F1538" s="92">
        <f t="shared" si="836"/>
        <v>1919105.7875862073</v>
      </c>
      <c r="G1538" s="92">
        <f t="shared" si="836"/>
        <v>1970431.1696551726</v>
      </c>
      <c r="H1538" s="92">
        <f t="shared" si="836"/>
        <v>1002895.38</v>
      </c>
      <c r="I1538" s="92">
        <f>SUM(B1538:H1538)</f>
        <v>10354325.580000002</v>
      </c>
      <c r="J1538" s="715">
        <f t="shared" si="834"/>
        <v>1479189.3685714288</v>
      </c>
    </row>
    <row r="1539" spans="1:10" x14ac:dyDescent="0.25">
      <c r="A1539" s="622" t="s">
        <v>28</v>
      </c>
      <c r="B1539" s="451">
        <f t="shared" ref="B1539:H1539" si="837">B1541*B1532</f>
        <v>166592.60689655173</v>
      </c>
      <c r="C1539" s="92">
        <f t="shared" si="837"/>
        <v>22499.94206896552</v>
      </c>
      <c r="D1539" s="92">
        <f t="shared" si="837"/>
        <v>201533.01241379316</v>
      </c>
      <c r="E1539" s="92">
        <f t="shared" si="837"/>
        <v>245403.74551724142</v>
      </c>
      <c r="F1539" s="92">
        <f t="shared" si="837"/>
        <v>83439.382068965526</v>
      </c>
      <c r="G1539" s="92">
        <f t="shared" si="837"/>
        <v>45823.980689655182</v>
      </c>
      <c r="H1539" s="92">
        <f t="shared" si="837"/>
        <v>103747.79793103448</v>
      </c>
      <c r="I1539" s="92">
        <f>SUM(B1539:H1539)</f>
        <v>869040.46758620697</v>
      </c>
      <c r="J1539" s="715">
        <f t="shared" si="834"/>
        <v>124148.63822660099</v>
      </c>
    </row>
    <row r="1540" spans="1:10" x14ac:dyDescent="0.25">
      <c r="A1540" s="622" t="s">
        <v>29</v>
      </c>
      <c r="B1540" s="451">
        <f t="shared" ref="B1540:H1540" si="838">B1541*B1533</f>
        <v>0</v>
      </c>
      <c r="C1540" s="92">
        <f t="shared" si="838"/>
        <v>0</v>
      </c>
      <c r="D1540" s="92">
        <f t="shared" si="838"/>
        <v>0</v>
      </c>
      <c r="E1540" s="92">
        <f t="shared" si="838"/>
        <v>0</v>
      </c>
      <c r="F1540" s="92">
        <f t="shared" si="838"/>
        <v>0</v>
      </c>
      <c r="G1540" s="92">
        <f t="shared" si="838"/>
        <v>0</v>
      </c>
      <c r="H1540" s="92">
        <f t="shared" si="838"/>
        <v>0</v>
      </c>
      <c r="I1540" s="92">
        <f>SUM(B1540:H1540)</f>
        <v>0</v>
      </c>
      <c r="J1540" s="715">
        <f t="shared" si="834"/>
        <v>0</v>
      </c>
    </row>
    <row r="1541" spans="1:10" x14ac:dyDescent="0.25">
      <c r="A1541" s="630" t="s">
        <v>30</v>
      </c>
      <c r="B1541" s="237">
        <f>(2499600/1.16)-B1542</f>
        <v>2082407.5862068967</v>
      </c>
      <c r="C1541" s="237">
        <f>(2688400/1.16)-C1542</f>
        <v>2249994.2068965519</v>
      </c>
      <c r="D1541" s="237">
        <f>(3457300/1.16)-D1542</f>
        <v>2879043.034482759</v>
      </c>
      <c r="E1541" s="237">
        <f>(4175900/1.16)-E1542</f>
        <v>3505767.7931034486</v>
      </c>
      <c r="F1541" s="237">
        <f>(5024300/1.16)-F1542</f>
        <v>4171969.1034482764</v>
      </c>
      <c r="G1541" s="237">
        <f>(5528400/1.16)-G1542</f>
        <v>4582398.0689655179</v>
      </c>
      <c r="H1541" s="237">
        <f>(4227200/1.16)-H1542</f>
        <v>3458259.931034483</v>
      </c>
      <c r="I1541" s="91">
        <f>SUM(I1536:I1540)</f>
        <v>22929839.724137936</v>
      </c>
      <c r="J1541" s="716">
        <f t="shared" si="834"/>
        <v>3275691.3891625623</v>
      </c>
    </row>
    <row r="1542" spans="1:10" x14ac:dyDescent="0.25">
      <c r="A1542" s="622" t="s">
        <v>31</v>
      </c>
      <c r="B1542" s="452">
        <f t="shared" ref="B1542:H1542" si="839">2414*B1523</f>
        <v>72420</v>
      </c>
      <c r="C1542" s="94">
        <f t="shared" si="839"/>
        <v>67592</v>
      </c>
      <c r="D1542" s="94">
        <f t="shared" si="839"/>
        <v>101388</v>
      </c>
      <c r="E1542" s="94">
        <f t="shared" si="839"/>
        <v>94146</v>
      </c>
      <c r="F1542" s="94">
        <f t="shared" si="839"/>
        <v>159324</v>
      </c>
      <c r="G1542" s="94">
        <f t="shared" si="839"/>
        <v>183464</v>
      </c>
      <c r="H1542" s="94">
        <f t="shared" si="839"/>
        <v>185878</v>
      </c>
      <c r="I1542" s="94">
        <f>I1523*2414</f>
        <v>864212</v>
      </c>
      <c r="J1542" s="717">
        <f>2414*J1523</f>
        <v>123458.85714285714</v>
      </c>
    </row>
    <row r="1543" spans="1:10" x14ac:dyDescent="0.25">
      <c r="A1543" s="633" t="s">
        <v>32</v>
      </c>
      <c r="B1543" s="453">
        <f t="shared" ref="B1543:J1543" si="840">B1541+B1542</f>
        <v>2154827.5862068967</v>
      </c>
      <c r="C1543" s="39">
        <f t="shared" si="840"/>
        <v>2317586.2068965519</v>
      </c>
      <c r="D1543" s="39">
        <f t="shared" si="840"/>
        <v>2980431.034482759</v>
      </c>
      <c r="E1543" s="39">
        <f t="shared" si="840"/>
        <v>3599913.7931034486</v>
      </c>
      <c r="F1543" s="39">
        <f t="shared" si="840"/>
        <v>4331293.1034482764</v>
      </c>
      <c r="G1543" s="39">
        <f t="shared" si="840"/>
        <v>4765862.0689655179</v>
      </c>
      <c r="H1543" s="39">
        <f t="shared" si="840"/>
        <v>3644137.931034483</v>
      </c>
      <c r="I1543" s="39">
        <f t="shared" si="840"/>
        <v>23794051.724137936</v>
      </c>
      <c r="J1543" s="718">
        <f t="shared" si="840"/>
        <v>3399150.2463054196</v>
      </c>
    </row>
    <row r="1544" spans="1:10" x14ac:dyDescent="0.25">
      <c r="A1544" s="622" t="s">
        <v>33</v>
      </c>
      <c r="B1544" s="454">
        <f t="shared" ref="B1544:J1544" si="841">B1543*16%</f>
        <v>344772.41379310348</v>
      </c>
      <c r="C1544" s="41">
        <f t="shared" si="841"/>
        <v>370813.79310344829</v>
      </c>
      <c r="D1544" s="41">
        <f t="shared" si="841"/>
        <v>476868.96551724145</v>
      </c>
      <c r="E1544" s="41">
        <f t="shared" si="841"/>
        <v>575986.20689655177</v>
      </c>
      <c r="F1544" s="41">
        <f t="shared" si="841"/>
        <v>693006.89655172429</v>
      </c>
      <c r="G1544" s="41">
        <f t="shared" si="841"/>
        <v>762537.9310344829</v>
      </c>
      <c r="H1544" s="41">
        <f t="shared" si="841"/>
        <v>583062.06896551733</v>
      </c>
      <c r="I1544" s="41">
        <f t="shared" si="841"/>
        <v>3807048.2758620698</v>
      </c>
      <c r="J1544" s="725">
        <f t="shared" si="841"/>
        <v>543864.03940886713</v>
      </c>
    </row>
    <row r="1545" spans="1:10" ht="15.75" thickBot="1" x14ac:dyDescent="0.3">
      <c r="A1545" s="636" t="s">
        <v>34</v>
      </c>
      <c r="B1545" s="637">
        <f t="shared" ref="B1545:I1545" si="842">B1543+B1544</f>
        <v>2499600</v>
      </c>
      <c r="C1545" s="686">
        <f t="shared" si="842"/>
        <v>2688400</v>
      </c>
      <c r="D1545" s="686">
        <f t="shared" si="842"/>
        <v>3457300.0000000005</v>
      </c>
      <c r="E1545" s="686">
        <f t="shared" si="842"/>
        <v>4175900.0000000005</v>
      </c>
      <c r="F1545" s="686">
        <f t="shared" si="842"/>
        <v>5024300.0000000009</v>
      </c>
      <c r="G1545" s="686">
        <f t="shared" si="842"/>
        <v>5528400.0000000009</v>
      </c>
      <c r="H1545" s="686">
        <f t="shared" si="842"/>
        <v>4227200</v>
      </c>
      <c r="I1545" s="686">
        <f t="shared" si="842"/>
        <v>27601100.000000007</v>
      </c>
      <c r="J1545" s="720">
        <f>+$I1545/7</f>
        <v>3943014.2857142868</v>
      </c>
    </row>
    <row r="1546" spans="1:10" ht="15.75" thickBot="1" x14ac:dyDescent="0.3">
      <c r="I1546" s="89"/>
    </row>
    <row r="1547" spans="1:10" ht="27" thickBot="1" x14ac:dyDescent="0.3">
      <c r="A1547" s="85"/>
      <c r="B1547" s="1002" t="s">
        <v>398</v>
      </c>
      <c r="C1547" s="1002"/>
      <c r="D1547" s="1002"/>
      <c r="E1547" s="1002"/>
      <c r="F1547" s="1002"/>
      <c r="G1547" s="1002"/>
      <c r="H1547" s="1002"/>
      <c r="I1547" s="1002"/>
    </row>
    <row r="1548" spans="1:10" ht="15.75" x14ac:dyDescent="0.25">
      <c r="A1548" s="614" t="s">
        <v>2</v>
      </c>
      <c r="B1548" s="706" t="s">
        <v>337</v>
      </c>
      <c r="C1548" s="641" t="s">
        <v>338</v>
      </c>
      <c r="D1548" s="641" t="s">
        <v>339</v>
      </c>
      <c r="E1548" s="641" t="s">
        <v>340</v>
      </c>
      <c r="F1548" s="641" t="s">
        <v>341</v>
      </c>
      <c r="G1548" s="641" t="s">
        <v>342</v>
      </c>
      <c r="H1548" s="641" t="s">
        <v>343</v>
      </c>
      <c r="I1548" s="618" t="s">
        <v>10</v>
      </c>
      <c r="J1548" s="711" t="s">
        <v>77</v>
      </c>
    </row>
    <row r="1549" spans="1:10" x14ac:dyDescent="0.25">
      <c r="A1549" s="620" t="s">
        <v>11</v>
      </c>
      <c r="B1549" s="433">
        <f>58+25+9</f>
        <v>92</v>
      </c>
      <c r="C1549" s="75">
        <f>51+22+6</f>
        <v>79</v>
      </c>
      <c r="D1549" s="75">
        <f>66+40+9</f>
        <v>115</v>
      </c>
      <c r="E1549" s="75">
        <f>78+27+11</f>
        <v>116</v>
      </c>
      <c r="F1549" s="75">
        <f>120+86+20</f>
        <v>226</v>
      </c>
      <c r="G1549" s="75">
        <f>60+53+15</f>
        <v>128</v>
      </c>
      <c r="H1549" s="75">
        <f>70+43+14</f>
        <v>127</v>
      </c>
      <c r="I1549" s="467">
        <f t="shared" ref="I1549:I1554" si="843">SUM(B1549:H1549)</f>
        <v>883</v>
      </c>
      <c r="J1549" s="721">
        <f>+$I1549/7</f>
        <v>126.14285714285714</v>
      </c>
    </row>
    <row r="1550" spans="1:10" x14ac:dyDescent="0.25">
      <c r="A1550" s="622" t="s">
        <v>12</v>
      </c>
      <c r="B1550" s="233">
        <v>28</v>
      </c>
      <c r="C1550" s="13">
        <v>26</v>
      </c>
      <c r="D1550" s="13">
        <v>43</v>
      </c>
      <c r="E1550" s="13">
        <v>43</v>
      </c>
      <c r="F1550" s="320">
        <v>91</v>
      </c>
      <c r="G1550" s="320">
        <v>52</v>
      </c>
      <c r="H1550" s="13">
        <v>54</v>
      </c>
      <c r="I1550" s="11">
        <f t="shared" si="843"/>
        <v>337</v>
      </c>
      <c r="J1550" s="722">
        <f t="shared" ref="J1550:J1555" si="844">+$I1550/7</f>
        <v>48.142857142857146</v>
      </c>
    </row>
    <row r="1551" spans="1:10" x14ac:dyDescent="0.25">
      <c r="A1551" s="622" t="s">
        <v>13</v>
      </c>
      <c r="B1551" s="233">
        <v>1</v>
      </c>
      <c r="C1551" s="13">
        <v>2</v>
      </c>
      <c r="D1551" s="13">
        <v>1</v>
      </c>
      <c r="E1551" s="13">
        <v>1</v>
      </c>
      <c r="F1551" s="13">
        <v>2</v>
      </c>
      <c r="G1551" s="13">
        <v>1</v>
      </c>
      <c r="H1551" s="13">
        <v>1</v>
      </c>
      <c r="I1551" s="11">
        <f t="shared" si="843"/>
        <v>9</v>
      </c>
      <c r="J1551" s="722">
        <f t="shared" si="844"/>
        <v>1.2857142857142858</v>
      </c>
    </row>
    <row r="1552" spans="1:10" x14ac:dyDescent="0.25">
      <c r="A1552" s="622" t="s">
        <v>14</v>
      </c>
      <c r="B1552" s="233">
        <v>46</v>
      </c>
      <c r="C1552" s="13">
        <v>38</v>
      </c>
      <c r="D1552" s="13">
        <v>57</v>
      </c>
      <c r="E1552" s="13">
        <v>48</v>
      </c>
      <c r="F1552" s="13">
        <v>84</v>
      </c>
      <c r="G1552" s="13">
        <v>46</v>
      </c>
      <c r="H1552" s="13">
        <v>39</v>
      </c>
      <c r="I1552" s="11">
        <f t="shared" si="843"/>
        <v>358</v>
      </c>
      <c r="J1552" s="722">
        <f t="shared" si="844"/>
        <v>51.142857142857146</v>
      </c>
    </row>
    <row r="1553" spans="1:10" x14ac:dyDescent="0.25">
      <c r="A1553" s="622" t="s">
        <v>15</v>
      </c>
      <c r="B1553" s="233">
        <v>5</v>
      </c>
      <c r="C1553" s="13">
        <v>2</v>
      </c>
      <c r="D1553" s="13">
        <v>3</v>
      </c>
      <c r="E1553" s="13">
        <v>8</v>
      </c>
      <c r="F1553" s="13">
        <v>10</v>
      </c>
      <c r="G1553" s="13">
        <v>6</v>
      </c>
      <c r="H1553" s="13">
        <v>9</v>
      </c>
      <c r="I1553" s="11">
        <f t="shared" si="843"/>
        <v>43</v>
      </c>
      <c r="J1553" s="722">
        <f t="shared" si="844"/>
        <v>6.1428571428571432</v>
      </c>
    </row>
    <row r="1554" spans="1:10" x14ac:dyDescent="0.25">
      <c r="A1554" s="622" t="s">
        <v>16</v>
      </c>
      <c r="B1554" s="233">
        <v>0</v>
      </c>
      <c r="C1554" s="13">
        <v>0</v>
      </c>
      <c r="D1554" s="13">
        <v>0</v>
      </c>
      <c r="E1554" s="13">
        <v>0</v>
      </c>
      <c r="F1554" s="13">
        <v>0</v>
      </c>
      <c r="G1554" s="13">
        <v>0</v>
      </c>
      <c r="H1554" s="13">
        <v>1</v>
      </c>
      <c r="I1554" s="11">
        <f t="shared" si="843"/>
        <v>1</v>
      </c>
      <c r="J1554" s="722">
        <f t="shared" si="844"/>
        <v>0.14285714285714285</v>
      </c>
    </row>
    <row r="1555" spans="1:10" x14ac:dyDescent="0.25">
      <c r="A1555" s="624" t="s">
        <v>17</v>
      </c>
      <c r="B1555" s="102">
        <f t="shared" ref="B1555:I1555" si="845">SUM(B1550:B1554)</f>
        <v>80</v>
      </c>
      <c r="C1555" s="102">
        <f t="shared" si="845"/>
        <v>68</v>
      </c>
      <c r="D1555" s="102">
        <f t="shared" si="845"/>
        <v>104</v>
      </c>
      <c r="E1555" s="102">
        <f t="shared" si="845"/>
        <v>100</v>
      </c>
      <c r="F1555" s="102">
        <f t="shared" si="845"/>
        <v>187</v>
      </c>
      <c r="G1555" s="79">
        <f t="shared" si="845"/>
        <v>105</v>
      </c>
      <c r="H1555" s="79">
        <f t="shared" si="845"/>
        <v>104</v>
      </c>
      <c r="I1555" s="472">
        <f t="shared" si="845"/>
        <v>748</v>
      </c>
      <c r="J1555" s="723">
        <f t="shared" si="844"/>
        <v>106.85714285714286</v>
      </c>
    </row>
    <row r="1556" spans="1:10" x14ac:dyDescent="0.25">
      <c r="A1556" s="622" t="s">
        <v>18</v>
      </c>
      <c r="B1556" s="234">
        <v>0.49</v>
      </c>
      <c r="C1556" s="235">
        <v>0.51</v>
      </c>
      <c r="D1556" s="235">
        <v>0.48</v>
      </c>
      <c r="E1556" s="236">
        <v>0.56000000000000005</v>
      </c>
      <c r="F1556" s="236">
        <v>0.52</v>
      </c>
      <c r="G1556" s="236">
        <v>0.56000000000000005</v>
      </c>
      <c r="H1556" s="236">
        <v>0.56999999999999995</v>
      </c>
      <c r="I1556" s="18">
        <f>I1563/I1568</f>
        <v>0.52889112123449955</v>
      </c>
      <c r="J1556" s="724">
        <f>J1563/J1568</f>
        <v>0.52889112123449966</v>
      </c>
    </row>
    <row r="1557" spans="1:10" x14ac:dyDescent="0.25">
      <c r="A1557" s="622" t="s">
        <v>19</v>
      </c>
      <c r="B1557" s="234">
        <v>0.02</v>
      </c>
      <c r="C1557" s="235">
        <v>0.03</v>
      </c>
      <c r="D1557" s="235">
        <v>0.01</v>
      </c>
      <c r="E1557" s="236">
        <v>0</v>
      </c>
      <c r="F1557" s="236">
        <v>0.01</v>
      </c>
      <c r="G1557" s="236">
        <v>0.02</v>
      </c>
      <c r="H1557" s="236">
        <v>0.02</v>
      </c>
      <c r="I1557" s="18">
        <f>I1564/I1568</f>
        <v>1.4631939281687361E-2</v>
      </c>
      <c r="J1557" s="724">
        <f>J1564/J1568</f>
        <v>1.4631939281687361E-2</v>
      </c>
    </row>
    <row r="1558" spans="1:10" x14ac:dyDescent="0.25">
      <c r="A1558" s="622" t="s">
        <v>20</v>
      </c>
      <c r="B1558" s="234">
        <v>0.46</v>
      </c>
      <c r="C1558" s="235">
        <v>0.44</v>
      </c>
      <c r="D1558" s="235">
        <v>0.48</v>
      </c>
      <c r="E1558" s="236">
        <v>0.39</v>
      </c>
      <c r="F1558" s="236">
        <v>0.43</v>
      </c>
      <c r="G1558" s="236">
        <v>0.37</v>
      </c>
      <c r="H1558" s="236">
        <v>0.34</v>
      </c>
      <c r="I1558" s="18">
        <f>I1565/I1568</f>
        <v>0.41376903577023288</v>
      </c>
      <c r="J1558" s="724">
        <f>J1565/J1568</f>
        <v>0.41376903577023288</v>
      </c>
    </row>
    <row r="1559" spans="1:10" x14ac:dyDescent="0.25">
      <c r="A1559" s="622" t="s">
        <v>21</v>
      </c>
      <c r="B1559" s="234">
        <v>0.03</v>
      </c>
      <c r="C1559" s="235">
        <v>0.02</v>
      </c>
      <c r="D1559" s="235">
        <v>0.03</v>
      </c>
      <c r="E1559" s="236">
        <v>0.05</v>
      </c>
      <c r="F1559" s="236">
        <v>0.04</v>
      </c>
      <c r="G1559" s="236">
        <v>0.05</v>
      </c>
      <c r="H1559" s="236">
        <v>0.06</v>
      </c>
      <c r="I1559" s="18">
        <f>I1566/I1568</f>
        <v>4.1307372954737312E-2</v>
      </c>
      <c r="J1559" s="724">
        <f>J1566/J1568</f>
        <v>4.1307372954737312E-2</v>
      </c>
    </row>
    <row r="1560" spans="1:10" x14ac:dyDescent="0.25">
      <c r="A1560" s="622" t="s">
        <v>22</v>
      </c>
      <c r="B1560" s="234">
        <v>0</v>
      </c>
      <c r="C1560" s="235">
        <v>0</v>
      </c>
      <c r="D1560" s="235">
        <v>0</v>
      </c>
      <c r="E1560" s="236">
        <v>0</v>
      </c>
      <c r="F1560" s="236">
        <v>0</v>
      </c>
      <c r="G1560" s="236">
        <v>0</v>
      </c>
      <c r="H1560" s="236">
        <v>0.01</v>
      </c>
      <c r="I1560" s="18">
        <f>I1567/I1568</f>
        <v>1.4005307588427654E-3</v>
      </c>
      <c r="J1560" s="724">
        <f>J1567/J1568</f>
        <v>1.4005307588427656E-3</v>
      </c>
    </row>
    <row r="1561" spans="1:10" x14ac:dyDescent="0.25">
      <c r="A1561" s="627" t="s">
        <v>23</v>
      </c>
      <c r="B1561" s="450">
        <f t="shared" ref="B1561:J1561" si="846">B1572/B1555</f>
        <v>28486.25</v>
      </c>
      <c r="C1561" s="130">
        <f t="shared" si="846"/>
        <v>35052.941176470587</v>
      </c>
      <c r="D1561" s="130">
        <f t="shared" si="846"/>
        <v>30876.923076923078</v>
      </c>
      <c r="E1561" s="130">
        <f t="shared" si="846"/>
        <v>29667</v>
      </c>
      <c r="F1561" s="130">
        <f t="shared" si="846"/>
        <v>33835.294117647056</v>
      </c>
      <c r="G1561" s="130">
        <f t="shared" si="846"/>
        <v>35442.857142857145</v>
      </c>
      <c r="H1561" s="130">
        <f t="shared" si="846"/>
        <v>32925.000000000007</v>
      </c>
      <c r="I1561" s="130">
        <f t="shared" si="846"/>
        <v>32504.411764705888</v>
      </c>
      <c r="J1561" s="685">
        <f t="shared" si="846"/>
        <v>32504.411764705885</v>
      </c>
    </row>
    <row r="1562" spans="1:10" x14ac:dyDescent="0.25">
      <c r="A1562" s="627" t="s">
        <v>24</v>
      </c>
      <c r="B1562" s="450">
        <f t="shared" ref="B1562:J1562" si="847">B1572/B1549</f>
        <v>24770.652173913044</v>
      </c>
      <c r="C1562" s="130">
        <f t="shared" si="847"/>
        <v>30172.151898734177</v>
      </c>
      <c r="D1562" s="130">
        <f t="shared" si="847"/>
        <v>27923.478260869564</v>
      </c>
      <c r="E1562" s="130">
        <f t="shared" si="847"/>
        <v>25575</v>
      </c>
      <c r="F1562" s="130">
        <f t="shared" si="847"/>
        <v>27996.46017699115</v>
      </c>
      <c r="G1562" s="130">
        <f t="shared" si="847"/>
        <v>29074.218750000004</v>
      </c>
      <c r="H1562" s="130">
        <f t="shared" si="847"/>
        <v>26962.204724409454</v>
      </c>
      <c r="I1562" s="130">
        <f t="shared" si="847"/>
        <v>27534.881087202721</v>
      </c>
      <c r="J1562" s="685">
        <f t="shared" si="847"/>
        <v>27534.881087202721</v>
      </c>
    </row>
    <row r="1563" spans="1:10" x14ac:dyDescent="0.25">
      <c r="A1563" s="622" t="s">
        <v>25</v>
      </c>
      <c r="B1563" s="451">
        <f t="shared" ref="B1563:H1563" si="848">B1568*B1556</f>
        <v>929518.71310344827</v>
      </c>
      <c r="C1563" s="92">
        <f t="shared" si="848"/>
        <v>1015952.4289655173</v>
      </c>
      <c r="D1563" s="92">
        <f t="shared" si="848"/>
        <v>1278947.4537931033</v>
      </c>
      <c r="E1563" s="92">
        <f t="shared" si="848"/>
        <v>1374070.8800000001</v>
      </c>
      <c r="F1563" s="92">
        <f t="shared" si="848"/>
        <v>2722100.5544827585</v>
      </c>
      <c r="G1563" s="92">
        <f t="shared" si="848"/>
        <v>1726290.5268965522</v>
      </c>
      <c r="H1563" s="92">
        <f t="shared" si="848"/>
        <v>1608278.1144827586</v>
      </c>
      <c r="I1563" s="92">
        <f>SUM(B1563:H1563)</f>
        <v>10655158.671724139</v>
      </c>
      <c r="J1563" s="715">
        <f t="shared" ref="J1563:J1568" si="849">+$I1563/7</f>
        <v>1522165.5245320199</v>
      </c>
    </row>
    <row r="1564" spans="1:10" x14ac:dyDescent="0.25">
      <c r="A1564" s="622" t="s">
        <v>26</v>
      </c>
      <c r="B1564" s="451">
        <f t="shared" ref="B1564:H1564" si="850">B1568*B1557</f>
        <v>37939.53931034483</v>
      </c>
      <c r="C1564" s="92">
        <f t="shared" si="850"/>
        <v>59761.9075862069</v>
      </c>
      <c r="D1564" s="92">
        <f t="shared" si="850"/>
        <v>26644.738620689655</v>
      </c>
      <c r="E1564" s="92">
        <f t="shared" si="850"/>
        <v>0</v>
      </c>
      <c r="F1564" s="92">
        <f t="shared" si="850"/>
        <v>52348.087586206901</v>
      </c>
      <c r="G1564" s="92">
        <f t="shared" si="850"/>
        <v>61653.233103448285</v>
      </c>
      <c r="H1564" s="92">
        <f t="shared" si="850"/>
        <v>56430.811034482766</v>
      </c>
      <c r="I1564" s="92">
        <f>SUM(B1564:H1564)</f>
        <v>294778.31724137935</v>
      </c>
      <c r="J1564" s="715">
        <f t="shared" si="849"/>
        <v>42111.188177339907</v>
      </c>
    </row>
    <row r="1565" spans="1:10" x14ac:dyDescent="0.25">
      <c r="A1565" s="622" t="s">
        <v>27</v>
      </c>
      <c r="B1565" s="451">
        <f t="shared" ref="B1565:H1565" si="851">B1568*B1558</f>
        <v>872609.40413793118</v>
      </c>
      <c r="C1565" s="92">
        <f t="shared" si="851"/>
        <v>876507.97793103452</v>
      </c>
      <c r="D1565" s="92">
        <f t="shared" si="851"/>
        <v>1278947.4537931033</v>
      </c>
      <c r="E1565" s="92">
        <f t="shared" si="851"/>
        <v>956942.22000000009</v>
      </c>
      <c r="F1565" s="92">
        <f t="shared" si="851"/>
        <v>2250967.7662068964</v>
      </c>
      <c r="G1565" s="92">
        <f t="shared" si="851"/>
        <v>1140584.8124137933</v>
      </c>
      <c r="H1565" s="92">
        <f t="shared" si="851"/>
        <v>959323.78758620704</v>
      </c>
      <c r="I1565" s="92">
        <f>SUM(B1565:H1565)</f>
        <v>8335883.4220689647</v>
      </c>
      <c r="J1565" s="715">
        <f t="shared" si="849"/>
        <v>1190840.4888669949</v>
      </c>
    </row>
    <row r="1566" spans="1:10" x14ac:dyDescent="0.25">
      <c r="A1566" s="622" t="s">
        <v>28</v>
      </c>
      <c r="B1566" s="451">
        <f t="shared" ref="B1566:H1566" si="852">B1568*B1559</f>
        <v>56909.308965517244</v>
      </c>
      <c r="C1566" s="92">
        <f t="shared" si="852"/>
        <v>39841.271724137936</v>
      </c>
      <c r="D1566" s="92">
        <f t="shared" si="852"/>
        <v>79934.215862068959</v>
      </c>
      <c r="E1566" s="92">
        <f t="shared" si="852"/>
        <v>122684.90000000001</v>
      </c>
      <c r="F1566" s="92">
        <f t="shared" si="852"/>
        <v>209392.3503448276</v>
      </c>
      <c r="G1566" s="92">
        <f t="shared" si="852"/>
        <v>154133.0827586207</v>
      </c>
      <c r="H1566" s="92">
        <f t="shared" si="852"/>
        <v>169292.43310344827</v>
      </c>
      <c r="I1566" s="92">
        <f>SUM(B1566:H1566)</f>
        <v>832187.56275862071</v>
      </c>
      <c r="J1566" s="715">
        <f t="shared" si="849"/>
        <v>118883.93753694581</v>
      </c>
    </row>
    <row r="1567" spans="1:10" x14ac:dyDescent="0.25">
      <c r="A1567" s="622" t="s">
        <v>29</v>
      </c>
      <c r="B1567" s="451">
        <f t="shared" ref="B1567:H1567" si="853">B1568*B1560</f>
        <v>0</v>
      </c>
      <c r="C1567" s="92">
        <f t="shared" si="853"/>
        <v>0</v>
      </c>
      <c r="D1567" s="92">
        <f t="shared" si="853"/>
        <v>0</v>
      </c>
      <c r="E1567" s="92">
        <f t="shared" si="853"/>
        <v>0</v>
      </c>
      <c r="F1567" s="92">
        <f t="shared" si="853"/>
        <v>0</v>
      </c>
      <c r="G1567" s="92">
        <f t="shared" si="853"/>
        <v>0</v>
      </c>
      <c r="H1567" s="92">
        <f t="shared" si="853"/>
        <v>28215.405517241383</v>
      </c>
      <c r="I1567" s="92">
        <f>SUM(B1567:H1567)</f>
        <v>28215.405517241383</v>
      </c>
      <c r="J1567" s="715">
        <f t="shared" si="849"/>
        <v>4030.7722167487691</v>
      </c>
    </row>
    <row r="1568" spans="1:10" x14ac:dyDescent="0.25">
      <c r="A1568" s="630" t="s">
        <v>30</v>
      </c>
      <c r="B1568" s="237">
        <f>(2278900/1.16)-B1569</f>
        <v>1896976.9655172415</v>
      </c>
      <c r="C1568" s="237">
        <f>(2383600/1.16)-C1569</f>
        <v>1992063.5862068967</v>
      </c>
      <c r="D1568" s="237">
        <f>(3211200/1.16)-D1569</f>
        <v>2664473.8620689656</v>
      </c>
      <c r="E1568" s="237">
        <f>(2966700/1.16)-E1569</f>
        <v>2453698</v>
      </c>
      <c r="F1568" s="237">
        <f>(6327200/1.16)-F1569</f>
        <v>5234808.7586206896</v>
      </c>
      <c r="G1568" s="237">
        <f>(3721500/1.16)-G1569</f>
        <v>3082661.6551724141</v>
      </c>
      <c r="H1568" s="237">
        <f>(3424200/1.16)-H1569</f>
        <v>2821540.5517241382</v>
      </c>
      <c r="I1568" s="91">
        <f>SUM(I1563:I1567)</f>
        <v>20146223.379310347</v>
      </c>
      <c r="J1568" s="716">
        <f t="shared" si="849"/>
        <v>2878031.9113300494</v>
      </c>
    </row>
    <row r="1569" spans="1:10" x14ac:dyDescent="0.25">
      <c r="A1569" s="622" t="s">
        <v>31</v>
      </c>
      <c r="B1569" s="452">
        <f t="shared" ref="B1569:H1569" si="854">2414*B1550</f>
        <v>67592</v>
      </c>
      <c r="C1569" s="94">
        <f t="shared" si="854"/>
        <v>62764</v>
      </c>
      <c r="D1569" s="94">
        <f t="shared" si="854"/>
        <v>103802</v>
      </c>
      <c r="E1569" s="94">
        <f t="shared" si="854"/>
        <v>103802</v>
      </c>
      <c r="F1569" s="94">
        <f t="shared" si="854"/>
        <v>219674</v>
      </c>
      <c r="G1569" s="94">
        <f t="shared" si="854"/>
        <v>125528</v>
      </c>
      <c r="H1569" s="94">
        <f t="shared" si="854"/>
        <v>130356</v>
      </c>
      <c r="I1569" s="94">
        <f>I1550*2414</f>
        <v>813518</v>
      </c>
      <c r="J1569" s="717">
        <f>2414*J1550</f>
        <v>116216.85714285714</v>
      </c>
    </row>
    <row r="1570" spans="1:10" x14ac:dyDescent="0.25">
      <c r="A1570" s="633" t="s">
        <v>32</v>
      </c>
      <c r="B1570" s="453">
        <f t="shared" ref="B1570:J1570" si="855">B1568+B1569</f>
        <v>1964568.9655172415</v>
      </c>
      <c r="C1570" s="39">
        <f t="shared" si="855"/>
        <v>2054827.5862068967</v>
      </c>
      <c r="D1570" s="39">
        <f t="shared" si="855"/>
        <v>2768275.8620689656</v>
      </c>
      <c r="E1570" s="39">
        <f t="shared" si="855"/>
        <v>2557500</v>
      </c>
      <c r="F1570" s="39">
        <f t="shared" si="855"/>
        <v>5454482.7586206896</v>
      </c>
      <c r="G1570" s="39">
        <f t="shared" si="855"/>
        <v>3208189.6551724141</v>
      </c>
      <c r="H1570" s="39">
        <f t="shared" si="855"/>
        <v>2951896.5517241382</v>
      </c>
      <c r="I1570" s="39">
        <f t="shared" si="855"/>
        <v>20959741.379310347</v>
      </c>
      <c r="J1570" s="718">
        <f t="shared" si="855"/>
        <v>2994248.7684729067</v>
      </c>
    </row>
    <row r="1571" spans="1:10" x14ac:dyDescent="0.25">
      <c r="A1571" s="622" t="s">
        <v>33</v>
      </c>
      <c r="B1571" s="454">
        <f t="shared" ref="B1571:J1571" si="856">B1570*16%</f>
        <v>314331.03448275867</v>
      </c>
      <c r="C1571" s="41">
        <f t="shared" si="856"/>
        <v>328772.41379310348</v>
      </c>
      <c r="D1571" s="41">
        <f t="shared" si="856"/>
        <v>442924.13793103449</v>
      </c>
      <c r="E1571" s="41">
        <f t="shared" si="856"/>
        <v>409200</v>
      </c>
      <c r="F1571" s="41">
        <f t="shared" si="856"/>
        <v>872717.24137931038</v>
      </c>
      <c r="G1571" s="41">
        <f t="shared" si="856"/>
        <v>513310.34482758626</v>
      </c>
      <c r="H1571" s="41">
        <f t="shared" si="856"/>
        <v>472303.44827586215</v>
      </c>
      <c r="I1571" s="41">
        <f t="shared" si="856"/>
        <v>3353558.6206896557</v>
      </c>
      <c r="J1571" s="725">
        <f t="shared" si="856"/>
        <v>479079.8029556651</v>
      </c>
    </row>
    <row r="1572" spans="1:10" ht="15.75" thickBot="1" x14ac:dyDescent="0.3">
      <c r="A1572" s="636" t="s">
        <v>34</v>
      </c>
      <c r="B1572" s="637">
        <f t="shared" ref="B1572:I1572" si="857">B1570+B1571</f>
        <v>2278900</v>
      </c>
      <c r="C1572" s="686">
        <f t="shared" si="857"/>
        <v>2383600</v>
      </c>
      <c r="D1572" s="686">
        <f t="shared" si="857"/>
        <v>3211200</v>
      </c>
      <c r="E1572" s="686">
        <f t="shared" si="857"/>
        <v>2966700</v>
      </c>
      <c r="F1572" s="686">
        <f t="shared" si="857"/>
        <v>6327200</v>
      </c>
      <c r="G1572" s="686">
        <f t="shared" si="857"/>
        <v>3721500.0000000005</v>
      </c>
      <c r="H1572" s="686">
        <f t="shared" si="857"/>
        <v>3424200.0000000005</v>
      </c>
      <c r="I1572" s="686">
        <f t="shared" si="857"/>
        <v>24313300.000000004</v>
      </c>
      <c r="J1572" s="720">
        <f>+$I1572/7</f>
        <v>3473328.5714285718</v>
      </c>
    </row>
    <row r="1573" spans="1:10" ht="15.75" thickBot="1" x14ac:dyDescent="0.3">
      <c r="I1573" s="89"/>
    </row>
    <row r="1574" spans="1:10" ht="27" thickBot="1" x14ac:dyDescent="0.3">
      <c r="A1574" s="85"/>
      <c r="B1574" s="1002" t="s">
        <v>700</v>
      </c>
      <c r="C1574" s="1002"/>
      <c r="D1574" s="1002"/>
      <c r="E1574" s="1002"/>
      <c r="F1574" s="1002"/>
      <c r="G1574" s="1002"/>
      <c r="H1574" s="1002"/>
      <c r="I1574" s="1002"/>
    </row>
    <row r="1575" spans="1:10" ht="15.75" x14ac:dyDescent="0.25">
      <c r="A1575" s="614" t="s">
        <v>2</v>
      </c>
      <c r="B1575" s="706" t="s">
        <v>345</v>
      </c>
      <c r="C1575" s="641" t="s">
        <v>346</v>
      </c>
      <c r="D1575" s="641" t="s">
        <v>347</v>
      </c>
      <c r="E1575" s="641" t="s">
        <v>348</v>
      </c>
      <c r="F1575" s="641" t="s">
        <v>349</v>
      </c>
      <c r="G1575" s="641" t="s">
        <v>350</v>
      </c>
      <c r="H1575" s="641" t="s">
        <v>351</v>
      </c>
      <c r="I1575" s="618" t="s">
        <v>10</v>
      </c>
      <c r="J1575" s="711" t="s">
        <v>77</v>
      </c>
    </row>
    <row r="1576" spans="1:10" x14ac:dyDescent="0.25">
      <c r="A1576" s="620" t="s">
        <v>11</v>
      </c>
      <c r="B1576" s="433">
        <f>80+48+19</f>
        <v>147</v>
      </c>
      <c r="C1576" s="75">
        <f>63+26+7</f>
        <v>96</v>
      </c>
      <c r="D1576" s="75">
        <f>85+29+10</f>
        <v>124</v>
      </c>
      <c r="E1576" s="75">
        <f>55+30+3</f>
        <v>88</v>
      </c>
      <c r="F1576" s="75">
        <f>116+64+29</f>
        <v>209</v>
      </c>
      <c r="G1576" s="75">
        <f>89+59+15</f>
        <v>163</v>
      </c>
      <c r="H1576" s="75">
        <f>71+45+19</f>
        <v>135</v>
      </c>
      <c r="I1576" s="467">
        <f t="shared" ref="I1576:I1581" si="858">SUM(B1576:H1576)</f>
        <v>962</v>
      </c>
      <c r="J1576" s="721">
        <f>+$I1576/7</f>
        <v>137.42857142857142</v>
      </c>
    </row>
    <row r="1577" spans="1:10" x14ac:dyDescent="0.25">
      <c r="A1577" s="622" t="s">
        <v>12</v>
      </c>
      <c r="B1577" s="233">
        <v>72</v>
      </c>
      <c r="C1577" s="13">
        <v>35</v>
      </c>
      <c r="D1577" s="13">
        <v>34</v>
      </c>
      <c r="E1577" s="13">
        <v>36</v>
      </c>
      <c r="F1577" s="320">
        <v>49</v>
      </c>
      <c r="G1577" s="320">
        <v>61</v>
      </c>
      <c r="H1577" s="13">
        <v>57</v>
      </c>
      <c r="I1577" s="11">
        <f t="shared" si="858"/>
        <v>344</v>
      </c>
      <c r="J1577" s="722">
        <f t="shared" ref="J1577:J1582" si="859">+$I1577/7</f>
        <v>49.142857142857146</v>
      </c>
    </row>
    <row r="1578" spans="1:10" x14ac:dyDescent="0.25">
      <c r="A1578" s="622" t="s">
        <v>13</v>
      </c>
      <c r="B1578" s="233">
        <v>1</v>
      </c>
      <c r="C1578" s="13">
        <v>2</v>
      </c>
      <c r="D1578" s="13">
        <v>0</v>
      </c>
      <c r="E1578" s="13">
        <v>0</v>
      </c>
      <c r="F1578" s="13">
        <v>1</v>
      </c>
      <c r="G1578" s="13">
        <v>2</v>
      </c>
      <c r="H1578" s="13">
        <v>2</v>
      </c>
      <c r="I1578" s="11">
        <f t="shared" si="858"/>
        <v>8</v>
      </c>
      <c r="J1578" s="722">
        <f t="shared" si="859"/>
        <v>1.1428571428571428</v>
      </c>
    </row>
    <row r="1579" spans="1:10" x14ac:dyDescent="0.25">
      <c r="A1579" s="622" t="s">
        <v>14</v>
      </c>
      <c r="B1579" s="233">
        <v>41</v>
      </c>
      <c r="C1579" s="13">
        <v>38</v>
      </c>
      <c r="D1579" s="13">
        <v>54</v>
      </c>
      <c r="E1579" s="13">
        <v>40</v>
      </c>
      <c r="F1579" s="13">
        <v>94</v>
      </c>
      <c r="G1579" s="13">
        <v>49</v>
      </c>
      <c r="H1579" s="13">
        <v>42</v>
      </c>
      <c r="I1579" s="11">
        <f t="shared" si="858"/>
        <v>358</v>
      </c>
      <c r="J1579" s="722">
        <f t="shared" si="859"/>
        <v>51.142857142857146</v>
      </c>
    </row>
    <row r="1580" spans="1:10" x14ac:dyDescent="0.25">
      <c r="A1580" s="622" t="s">
        <v>15</v>
      </c>
      <c r="B1580" s="233">
        <v>6</v>
      </c>
      <c r="C1580" s="13">
        <v>2</v>
      </c>
      <c r="D1580" s="13">
        <v>1</v>
      </c>
      <c r="E1580" s="13">
        <v>0</v>
      </c>
      <c r="F1580" s="13">
        <v>16</v>
      </c>
      <c r="G1580" s="13">
        <v>14</v>
      </c>
      <c r="H1580" s="13">
        <v>5</v>
      </c>
      <c r="I1580" s="11">
        <f t="shared" si="858"/>
        <v>44</v>
      </c>
      <c r="J1580" s="722">
        <f t="shared" si="859"/>
        <v>6.2857142857142856</v>
      </c>
    </row>
    <row r="1581" spans="1:10" x14ac:dyDescent="0.25">
      <c r="A1581" s="622" t="s">
        <v>16</v>
      </c>
      <c r="B1581" s="233">
        <v>0</v>
      </c>
      <c r="C1581" s="13">
        <v>0</v>
      </c>
      <c r="D1581" s="13">
        <v>0</v>
      </c>
      <c r="E1581" s="13">
        <v>0</v>
      </c>
      <c r="F1581" s="13">
        <v>0</v>
      </c>
      <c r="G1581" s="13">
        <v>0</v>
      </c>
      <c r="H1581" s="13">
        <v>1</v>
      </c>
      <c r="I1581" s="11">
        <f t="shared" si="858"/>
        <v>1</v>
      </c>
      <c r="J1581" s="722">
        <f t="shared" si="859"/>
        <v>0.14285714285714285</v>
      </c>
    </row>
    <row r="1582" spans="1:10" x14ac:dyDescent="0.25">
      <c r="A1582" s="624" t="s">
        <v>17</v>
      </c>
      <c r="B1582" s="102">
        <f t="shared" ref="B1582:I1582" si="860">SUM(B1577:B1581)</f>
        <v>120</v>
      </c>
      <c r="C1582" s="102">
        <f t="shared" si="860"/>
        <v>77</v>
      </c>
      <c r="D1582" s="102">
        <f t="shared" si="860"/>
        <v>89</v>
      </c>
      <c r="E1582" s="102">
        <f t="shared" si="860"/>
        <v>76</v>
      </c>
      <c r="F1582" s="102">
        <f t="shared" si="860"/>
        <v>160</v>
      </c>
      <c r="G1582" s="79">
        <f t="shared" si="860"/>
        <v>126</v>
      </c>
      <c r="H1582" s="79">
        <f t="shared" si="860"/>
        <v>107</v>
      </c>
      <c r="I1582" s="472">
        <f t="shared" si="860"/>
        <v>755</v>
      </c>
      <c r="J1582" s="723">
        <f t="shared" si="859"/>
        <v>107.85714285714286</v>
      </c>
    </row>
    <row r="1583" spans="1:10" x14ac:dyDescent="0.25">
      <c r="A1583" s="622" t="s">
        <v>18</v>
      </c>
      <c r="B1583" s="234">
        <v>0.68</v>
      </c>
      <c r="C1583" s="235">
        <v>0.57999999999999996</v>
      </c>
      <c r="D1583" s="235">
        <v>0.54</v>
      </c>
      <c r="E1583" s="236">
        <v>0.54</v>
      </c>
      <c r="F1583" s="236">
        <v>0.39</v>
      </c>
      <c r="G1583" s="236">
        <v>0.56000000000000005</v>
      </c>
      <c r="H1583" s="236">
        <v>0.55000000000000004</v>
      </c>
      <c r="I1583" s="18">
        <f>I1590/I1595</f>
        <v>0.53888088835741854</v>
      </c>
      <c r="J1583" s="724">
        <f>J1590/J1595</f>
        <v>0.53888088835741854</v>
      </c>
    </row>
    <row r="1584" spans="1:10" x14ac:dyDescent="0.25">
      <c r="A1584" s="622" t="s">
        <v>19</v>
      </c>
      <c r="B1584" s="234">
        <v>0.02</v>
      </c>
      <c r="C1584" s="235">
        <v>0.04</v>
      </c>
      <c r="D1584" s="235">
        <v>0</v>
      </c>
      <c r="E1584" s="236">
        <v>0</v>
      </c>
      <c r="F1584" s="236">
        <v>0.01</v>
      </c>
      <c r="G1584" s="236">
        <v>0.02</v>
      </c>
      <c r="H1584" s="236">
        <v>0.01</v>
      </c>
      <c r="I1584" s="18">
        <f>I1591/I1595</f>
        <v>1.4029298022585512E-2</v>
      </c>
      <c r="J1584" s="724">
        <f>J1591/J1595</f>
        <v>1.4029298022585511E-2</v>
      </c>
    </row>
    <row r="1585" spans="1:10" x14ac:dyDescent="0.25">
      <c r="A1585" s="622" t="s">
        <v>20</v>
      </c>
      <c r="B1585" s="234">
        <v>0.27</v>
      </c>
      <c r="C1585" s="235">
        <v>0.36</v>
      </c>
      <c r="D1585" s="235">
        <v>0.46</v>
      </c>
      <c r="E1585" s="236">
        <v>0.46</v>
      </c>
      <c r="F1585" s="236">
        <v>0.53</v>
      </c>
      <c r="G1585" s="236">
        <v>0.33</v>
      </c>
      <c r="H1585" s="236">
        <v>0.36</v>
      </c>
      <c r="I1585" s="18">
        <f>I1592/I1595</f>
        <v>0.39896077981064887</v>
      </c>
      <c r="J1585" s="724">
        <f>J1592/J1595</f>
        <v>0.39896077981064887</v>
      </c>
    </row>
    <row r="1586" spans="1:10" x14ac:dyDescent="0.25">
      <c r="A1586" s="622" t="s">
        <v>21</v>
      </c>
      <c r="B1586" s="234">
        <v>0.03</v>
      </c>
      <c r="C1586" s="235">
        <v>0.02</v>
      </c>
      <c r="D1586" s="235">
        <v>0</v>
      </c>
      <c r="E1586" s="236">
        <v>0</v>
      </c>
      <c r="F1586" s="236">
        <v>7.0000000000000007E-2</v>
      </c>
      <c r="G1586" s="236">
        <v>0.09</v>
      </c>
      <c r="H1586" s="236">
        <v>0.05</v>
      </c>
      <c r="I1586" s="18">
        <f>I1593/I1595</f>
        <v>4.3801043137005662E-2</v>
      </c>
      <c r="J1586" s="724">
        <f>J1593/J1595</f>
        <v>4.3801043137005662E-2</v>
      </c>
    </row>
    <row r="1587" spans="1:10" x14ac:dyDescent="0.25">
      <c r="A1587" s="622" t="s">
        <v>22</v>
      </c>
      <c r="B1587" s="234">
        <v>0</v>
      </c>
      <c r="C1587" s="235">
        <v>0</v>
      </c>
      <c r="D1587" s="235">
        <v>0</v>
      </c>
      <c r="E1587" s="236">
        <v>0</v>
      </c>
      <c r="F1587" s="236">
        <v>0</v>
      </c>
      <c r="G1587" s="236">
        <v>0</v>
      </c>
      <c r="H1587" s="236">
        <v>0.03</v>
      </c>
      <c r="I1587" s="18">
        <f>I1594/I1595</f>
        <v>4.3279906723414788E-3</v>
      </c>
      <c r="J1587" s="724">
        <f>J1594/J1595</f>
        <v>4.3279906723414788E-3</v>
      </c>
    </row>
    <row r="1588" spans="1:10" x14ac:dyDescent="0.25">
      <c r="A1588" s="627" t="s">
        <v>23</v>
      </c>
      <c r="B1588" s="450">
        <f t="shared" ref="B1588:J1588" si="861">B1599/B1582</f>
        <v>34115.000000000007</v>
      </c>
      <c r="C1588" s="130">
        <f t="shared" si="861"/>
        <v>34024.675324675321</v>
      </c>
      <c r="D1588" s="130">
        <f t="shared" si="861"/>
        <v>37040.449438202253</v>
      </c>
      <c r="E1588" s="130">
        <f t="shared" si="861"/>
        <v>32459.210526315797</v>
      </c>
      <c r="F1588" s="130">
        <f t="shared" si="861"/>
        <v>33990.000000000007</v>
      </c>
      <c r="G1588" s="130">
        <f t="shared" si="861"/>
        <v>35063.492063492064</v>
      </c>
      <c r="H1588" s="130">
        <f t="shared" si="861"/>
        <v>35414.01869158879</v>
      </c>
      <c r="I1588" s="130">
        <f t="shared" si="861"/>
        <v>34599.867549668881</v>
      </c>
      <c r="J1588" s="685">
        <f t="shared" si="861"/>
        <v>34599.867549668881</v>
      </c>
    </row>
    <row r="1589" spans="1:10" x14ac:dyDescent="0.25">
      <c r="A1589" s="627" t="s">
        <v>24</v>
      </c>
      <c r="B1589" s="450">
        <f t="shared" ref="B1589:J1589" si="862">B1599/B1576</f>
        <v>27848.979591836738</v>
      </c>
      <c r="C1589" s="130">
        <f t="shared" si="862"/>
        <v>27290.625</v>
      </c>
      <c r="D1589" s="130">
        <f t="shared" si="862"/>
        <v>26585.483870967746</v>
      </c>
      <c r="E1589" s="130">
        <f t="shared" si="862"/>
        <v>28032.954545454551</v>
      </c>
      <c r="F1589" s="130">
        <f t="shared" si="862"/>
        <v>26021.05263157895</v>
      </c>
      <c r="G1589" s="130">
        <f t="shared" si="862"/>
        <v>27104.294478527609</v>
      </c>
      <c r="H1589" s="130">
        <f t="shared" si="862"/>
        <v>28068.888888888894</v>
      </c>
      <c r="I1589" s="130">
        <f t="shared" si="862"/>
        <v>27154.781704781708</v>
      </c>
      <c r="J1589" s="685">
        <f t="shared" si="862"/>
        <v>27154.781704781712</v>
      </c>
    </row>
    <row r="1590" spans="1:10" x14ac:dyDescent="0.25">
      <c r="A1590" s="622" t="s">
        <v>25</v>
      </c>
      <c r="B1590" s="451">
        <f t="shared" ref="B1590:H1590" si="863">B1595*B1583</f>
        <v>2281624.3531034486</v>
      </c>
      <c r="C1590" s="92">
        <f t="shared" si="863"/>
        <v>1260945.8</v>
      </c>
      <c r="D1590" s="92">
        <f t="shared" si="863"/>
        <v>1490303.0979310346</v>
      </c>
      <c r="E1590" s="92">
        <f t="shared" si="863"/>
        <v>1101456.3227586208</v>
      </c>
      <c r="F1590" s="92">
        <f t="shared" si="863"/>
        <v>1782296.0462068969</v>
      </c>
      <c r="G1590" s="92">
        <f t="shared" si="863"/>
        <v>2050365.3462068969</v>
      </c>
      <c r="H1590" s="92">
        <f t="shared" si="863"/>
        <v>1720971.9620689659</v>
      </c>
      <c r="I1590" s="92">
        <f>SUM(B1590:H1590)</f>
        <v>11687962.928275863</v>
      </c>
      <c r="J1590" s="715">
        <f t="shared" ref="J1590:J1595" si="864">+$I1590/7</f>
        <v>1669708.9897536947</v>
      </c>
    </row>
    <row r="1591" spans="1:10" x14ac:dyDescent="0.25">
      <c r="A1591" s="622" t="s">
        <v>26</v>
      </c>
      <c r="B1591" s="451">
        <f t="shared" ref="B1591:H1591" si="865">B1595*B1584</f>
        <v>67106.598620689663</v>
      </c>
      <c r="C1591" s="92">
        <f t="shared" si="865"/>
        <v>86961.779310344835</v>
      </c>
      <c r="D1591" s="92">
        <f t="shared" si="865"/>
        <v>0</v>
      </c>
      <c r="E1591" s="92">
        <f t="shared" si="865"/>
        <v>0</v>
      </c>
      <c r="F1591" s="92">
        <f t="shared" si="865"/>
        <v>45699.898620689659</v>
      </c>
      <c r="G1591" s="92">
        <f t="shared" si="865"/>
        <v>73227.333793103448</v>
      </c>
      <c r="H1591" s="92">
        <f t="shared" si="865"/>
        <v>31290.39931034483</v>
      </c>
      <c r="I1591" s="92">
        <f>SUM(B1591:H1591)</f>
        <v>304286.00965517241</v>
      </c>
      <c r="J1591" s="715">
        <f t="shared" si="864"/>
        <v>43469.429950738915</v>
      </c>
    </row>
    <row r="1592" spans="1:10" x14ac:dyDescent="0.25">
      <c r="A1592" s="622" t="s">
        <v>27</v>
      </c>
      <c r="B1592" s="451">
        <f t="shared" ref="B1592:H1592" si="866">B1595*B1585</f>
        <v>905939.08137931046</v>
      </c>
      <c r="C1592" s="92">
        <f t="shared" si="866"/>
        <v>782656.0137931034</v>
      </c>
      <c r="D1592" s="92">
        <f t="shared" si="866"/>
        <v>1269517.4537931036</v>
      </c>
      <c r="E1592" s="92">
        <f t="shared" si="866"/>
        <v>938277.60827586218</v>
      </c>
      <c r="F1592" s="92">
        <f t="shared" si="866"/>
        <v>2422094.6268965523</v>
      </c>
      <c r="G1592" s="92">
        <f t="shared" si="866"/>
        <v>1208251.007586207</v>
      </c>
      <c r="H1592" s="92">
        <f t="shared" si="866"/>
        <v>1126454.3751724139</v>
      </c>
      <c r="I1592" s="92">
        <f>SUM(B1592:H1592)</f>
        <v>8653190.1668965537</v>
      </c>
      <c r="J1592" s="715">
        <f t="shared" si="864"/>
        <v>1236170.0238423648</v>
      </c>
    </row>
    <row r="1593" spans="1:10" x14ac:dyDescent="0.25">
      <c r="A1593" s="622" t="s">
        <v>28</v>
      </c>
      <c r="B1593" s="451">
        <f t="shared" ref="B1593:H1593" si="867">B1595*B1586</f>
        <v>100659.89793103449</v>
      </c>
      <c r="C1593" s="92">
        <f t="shared" si="867"/>
        <v>43480.889655172417</v>
      </c>
      <c r="D1593" s="92">
        <f t="shared" si="867"/>
        <v>0</v>
      </c>
      <c r="E1593" s="92">
        <f t="shared" si="867"/>
        <v>0</v>
      </c>
      <c r="F1593" s="92">
        <f t="shared" si="867"/>
        <v>319899.29034482763</v>
      </c>
      <c r="G1593" s="92">
        <f t="shared" si="867"/>
        <v>329523.00206896552</v>
      </c>
      <c r="H1593" s="92">
        <f t="shared" si="867"/>
        <v>156451.99655172415</v>
      </c>
      <c r="I1593" s="92">
        <f>SUM(B1593:H1593)</f>
        <v>950015.07655172423</v>
      </c>
      <c r="J1593" s="715">
        <f t="shared" si="864"/>
        <v>135716.43950738918</v>
      </c>
    </row>
    <row r="1594" spans="1:10" x14ac:dyDescent="0.25">
      <c r="A1594" s="622" t="s">
        <v>29</v>
      </c>
      <c r="B1594" s="451">
        <f t="shared" ref="B1594:H1594" si="868">B1595*B1587</f>
        <v>0</v>
      </c>
      <c r="C1594" s="92">
        <f t="shared" si="868"/>
        <v>0</v>
      </c>
      <c r="D1594" s="92">
        <f t="shared" si="868"/>
        <v>0</v>
      </c>
      <c r="E1594" s="92">
        <f t="shared" si="868"/>
        <v>0</v>
      </c>
      <c r="F1594" s="92">
        <f t="shared" si="868"/>
        <v>0</v>
      </c>
      <c r="G1594" s="92">
        <f t="shared" si="868"/>
        <v>0</v>
      </c>
      <c r="H1594" s="92">
        <f t="shared" si="868"/>
        <v>93871.19793103449</v>
      </c>
      <c r="I1594" s="92">
        <f>SUM(B1594:H1594)</f>
        <v>93871.19793103449</v>
      </c>
      <c r="J1594" s="715">
        <f t="shared" si="864"/>
        <v>13410.171133004927</v>
      </c>
    </row>
    <row r="1595" spans="1:10" x14ac:dyDescent="0.25">
      <c r="A1595" s="630" t="s">
        <v>30</v>
      </c>
      <c r="B1595" s="237">
        <f>(4093800/1.16)-B1596</f>
        <v>3355329.931034483</v>
      </c>
      <c r="C1595" s="237">
        <f>(2619900/1.16)-C1596</f>
        <v>2174044.4827586208</v>
      </c>
      <c r="D1595" s="237">
        <f>(3296600/1.16)-D1596</f>
        <v>2759820.5517241382</v>
      </c>
      <c r="E1595" s="237">
        <f>(2466900/1.16)-E1596</f>
        <v>2039733.931034483</v>
      </c>
      <c r="F1595" s="237">
        <f>(5438400/1.16)-F1596</f>
        <v>4569989.862068966</v>
      </c>
      <c r="G1595" s="237">
        <f>(4418000/1.16)-G1596</f>
        <v>3661366.6896551726</v>
      </c>
      <c r="H1595" s="237">
        <f>(3789300/1.16)-H1596</f>
        <v>3129039.931034483</v>
      </c>
      <c r="I1595" s="91">
        <f>SUM(I1590:I1594)</f>
        <v>21689325.379310347</v>
      </c>
      <c r="J1595" s="716">
        <f t="shared" si="864"/>
        <v>3098475.0541871926</v>
      </c>
    </row>
    <row r="1596" spans="1:10" x14ac:dyDescent="0.25">
      <c r="A1596" s="622" t="s">
        <v>31</v>
      </c>
      <c r="B1596" s="452">
        <f t="shared" ref="B1596:H1596" si="869">2414*B1577</f>
        <v>173808</v>
      </c>
      <c r="C1596" s="94">
        <f t="shared" si="869"/>
        <v>84490</v>
      </c>
      <c r="D1596" s="94">
        <f t="shared" si="869"/>
        <v>82076</v>
      </c>
      <c r="E1596" s="94">
        <f t="shared" si="869"/>
        <v>86904</v>
      </c>
      <c r="F1596" s="94">
        <f t="shared" si="869"/>
        <v>118286</v>
      </c>
      <c r="G1596" s="94">
        <f t="shared" si="869"/>
        <v>147254</v>
      </c>
      <c r="H1596" s="94">
        <f t="shared" si="869"/>
        <v>137598</v>
      </c>
      <c r="I1596" s="94">
        <f>I1577*2414</f>
        <v>830416</v>
      </c>
      <c r="J1596" s="717">
        <f>2414*J1577</f>
        <v>118630.85714285714</v>
      </c>
    </row>
    <row r="1597" spans="1:10" x14ac:dyDescent="0.25">
      <c r="A1597" s="633" t="s">
        <v>32</v>
      </c>
      <c r="B1597" s="453">
        <f t="shared" ref="B1597:J1597" si="870">B1595+B1596</f>
        <v>3529137.931034483</v>
      </c>
      <c r="C1597" s="39">
        <f t="shared" si="870"/>
        <v>2258534.4827586208</v>
      </c>
      <c r="D1597" s="39">
        <f t="shared" si="870"/>
        <v>2841896.5517241382</v>
      </c>
      <c r="E1597" s="39">
        <f t="shared" si="870"/>
        <v>2126637.931034483</v>
      </c>
      <c r="F1597" s="39">
        <f t="shared" si="870"/>
        <v>4688275.862068966</v>
      </c>
      <c r="G1597" s="39">
        <f t="shared" si="870"/>
        <v>3808620.6896551726</v>
      </c>
      <c r="H1597" s="39">
        <f t="shared" si="870"/>
        <v>3266637.931034483</v>
      </c>
      <c r="I1597" s="39">
        <f t="shared" si="870"/>
        <v>22519741.379310347</v>
      </c>
      <c r="J1597" s="718">
        <f t="shared" si="870"/>
        <v>3217105.9113300499</v>
      </c>
    </row>
    <row r="1598" spans="1:10" x14ac:dyDescent="0.25">
      <c r="A1598" s="622" t="s">
        <v>33</v>
      </c>
      <c r="B1598" s="454">
        <f t="shared" ref="B1598:J1598" si="871">B1597*16%</f>
        <v>564662.06896551733</v>
      </c>
      <c r="C1598" s="41">
        <f t="shared" si="871"/>
        <v>361365.5172413793</v>
      </c>
      <c r="D1598" s="41">
        <f t="shared" si="871"/>
        <v>454703.44827586215</v>
      </c>
      <c r="E1598" s="41">
        <f t="shared" si="871"/>
        <v>340262.06896551728</v>
      </c>
      <c r="F1598" s="41">
        <f t="shared" si="871"/>
        <v>750124.13793103455</v>
      </c>
      <c r="G1598" s="41">
        <f t="shared" si="871"/>
        <v>609379.31034482759</v>
      </c>
      <c r="H1598" s="41">
        <f t="shared" si="871"/>
        <v>522662.06896551728</v>
      </c>
      <c r="I1598" s="41">
        <f t="shared" si="871"/>
        <v>3603158.6206896557</v>
      </c>
      <c r="J1598" s="725">
        <f t="shared" si="871"/>
        <v>514736.945812808</v>
      </c>
    </row>
    <row r="1599" spans="1:10" ht="15.75" thickBot="1" x14ac:dyDescent="0.3">
      <c r="A1599" s="636" t="s">
        <v>34</v>
      </c>
      <c r="B1599" s="637">
        <f t="shared" ref="B1599:I1599" si="872">B1597+B1598</f>
        <v>4093800.0000000005</v>
      </c>
      <c r="C1599" s="686">
        <f t="shared" si="872"/>
        <v>2619900</v>
      </c>
      <c r="D1599" s="686">
        <f t="shared" si="872"/>
        <v>3296600.0000000005</v>
      </c>
      <c r="E1599" s="686">
        <f t="shared" si="872"/>
        <v>2466900.0000000005</v>
      </c>
      <c r="F1599" s="686">
        <f t="shared" si="872"/>
        <v>5438400.0000000009</v>
      </c>
      <c r="G1599" s="686">
        <f t="shared" si="872"/>
        <v>4418000</v>
      </c>
      <c r="H1599" s="686">
        <f t="shared" si="872"/>
        <v>3789300.0000000005</v>
      </c>
      <c r="I1599" s="686">
        <f t="shared" si="872"/>
        <v>26122900.000000004</v>
      </c>
      <c r="J1599" s="720">
        <f>+$I1599/7</f>
        <v>3731842.8571428577</v>
      </c>
    </row>
    <row r="1600" spans="1:10" ht="15.75" thickBot="1" x14ac:dyDescent="0.3">
      <c r="I1600" s="89"/>
    </row>
    <row r="1601" spans="1:10" ht="27" thickBot="1" x14ac:dyDescent="0.3">
      <c r="A1601" s="85"/>
      <c r="B1601" s="1002" t="s">
        <v>707</v>
      </c>
      <c r="C1601" s="1002"/>
      <c r="D1601" s="1002"/>
      <c r="E1601" s="1002"/>
      <c r="F1601" s="1002"/>
      <c r="G1601" s="1002"/>
      <c r="H1601" s="1002"/>
      <c r="I1601" s="1002"/>
    </row>
    <row r="1602" spans="1:10" ht="15.75" x14ac:dyDescent="0.25">
      <c r="A1602" s="614" t="s">
        <v>2</v>
      </c>
      <c r="B1602" s="706" t="s">
        <v>600</v>
      </c>
      <c r="C1602" s="641" t="s">
        <v>601</v>
      </c>
      <c r="D1602" s="641" t="s">
        <v>602</v>
      </c>
      <c r="E1602" s="641" t="s">
        <v>603</v>
      </c>
      <c r="F1602" s="641" t="s">
        <v>604</v>
      </c>
      <c r="G1602" s="641" t="s">
        <v>653</v>
      </c>
      <c r="H1602" s="641" t="s">
        <v>272</v>
      </c>
      <c r="I1602" s="618" t="s">
        <v>10</v>
      </c>
      <c r="J1602" s="711" t="s">
        <v>77</v>
      </c>
    </row>
    <row r="1603" spans="1:10" x14ac:dyDescent="0.25">
      <c r="A1603" s="620" t="s">
        <v>11</v>
      </c>
      <c r="B1603" s="433">
        <f>92+29+9</f>
        <v>130</v>
      </c>
      <c r="C1603" s="75">
        <f>55+19+4</f>
        <v>78</v>
      </c>
      <c r="D1603" s="75">
        <f>81+37+11</f>
        <v>129</v>
      </c>
      <c r="E1603" s="75">
        <f>76+22+8</f>
        <v>106</v>
      </c>
      <c r="F1603" s="75">
        <f>125+47+18</f>
        <v>190</v>
      </c>
      <c r="G1603" s="75">
        <f>85+47+18</f>
        <v>150</v>
      </c>
      <c r="H1603" s="75">
        <f>46+42+17</f>
        <v>105</v>
      </c>
      <c r="I1603" s="467">
        <f t="shared" ref="I1603:I1608" si="873">SUM(B1603:H1603)</f>
        <v>888</v>
      </c>
      <c r="J1603" s="721">
        <f>+$I1603/7</f>
        <v>126.85714285714286</v>
      </c>
    </row>
    <row r="1604" spans="1:10" x14ac:dyDescent="0.25">
      <c r="A1604" s="622" t="s">
        <v>12</v>
      </c>
      <c r="B1604" s="233">
        <v>42</v>
      </c>
      <c r="C1604" s="13">
        <v>33</v>
      </c>
      <c r="D1604" s="13">
        <v>41</v>
      </c>
      <c r="E1604" s="13">
        <v>18</v>
      </c>
      <c r="F1604" s="320">
        <v>49</v>
      </c>
      <c r="G1604" s="320">
        <v>65</v>
      </c>
      <c r="H1604" s="13">
        <v>43</v>
      </c>
      <c r="I1604" s="11">
        <f t="shared" si="873"/>
        <v>291</v>
      </c>
      <c r="J1604" s="722">
        <f t="shared" ref="J1604:J1609" si="874">+$I1604/7</f>
        <v>41.571428571428569</v>
      </c>
    </row>
    <row r="1605" spans="1:10" x14ac:dyDescent="0.25">
      <c r="A1605" s="622" t="s">
        <v>13</v>
      </c>
      <c r="B1605" s="233">
        <v>2</v>
      </c>
      <c r="C1605" s="13">
        <v>1</v>
      </c>
      <c r="D1605" s="13">
        <v>2</v>
      </c>
      <c r="E1605" s="13">
        <v>2</v>
      </c>
      <c r="F1605" s="13">
        <v>5</v>
      </c>
      <c r="G1605" s="13">
        <v>2</v>
      </c>
      <c r="H1605" s="13">
        <v>3</v>
      </c>
      <c r="I1605" s="11">
        <f t="shared" si="873"/>
        <v>17</v>
      </c>
      <c r="J1605" s="722">
        <f t="shared" si="874"/>
        <v>2.4285714285714284</v>
      </c>
    </row>
    <row r="1606" spans="1:10" x14ac:dyDescent="0.25">
      <c r="A1606" s="622" t="s">
        <v>14</v>
      </c>
      <c r="B1606" s="233">
        <v>45</v>
      </c>
      <c r="C1606" s="13">
        <v>26</v>
      </c>
      <c r="D1606" s="13">
        <v>62</v>
      </c>
      <c r="E1606" s="13">
        <v>56</v>
      </c>
      <c r="F1606" s="13">
        <v>77</v>
      </c>
      <c r="G1606" s="13">
        <v>46</v>
      </c>
      <c r="H1606" s="13">
        <v>40</v>
      </c>
      <c r="I1606" s="11">
        <f t="shared" si="873"/>
        <v>352</v>
      </c>
      <c r="J1606" s="722">
        <f t="shared" si="874"/>
        <v>50.285714285714285</v>
      </c>
    </row>
    <row r="1607" spans="1:10" x14ac:dyDescent="0.25">
      <c r="A1607" s="622" t="s">
        <v>15</v>
      </c>
      <c r="B1607" s="233">
        <v>4</v>
      </c>
      <c r="C1607" s="13">
        <v>10</v>
      </c>
      <c r="D1607" s="13">
        <v>8</v>
      </c>
      <c r="E1607" s="13">
        <v>6</v>
      </c>
      <c r="F1607" s="13">
        <v>17</v>
      </c>
      <c r="G1607" s="13">
        <v>11</v>
      </c>
      <c r="H1607" s="13">
        <v>5</v>
      </c>
      <c r="I1607" s="11">
        <f t="shared" si="873"/>
        <v>61</v>
      </c>
      <c r="J1607" s="722">
        <f t="shared" si="874"/>
        <v>8.7142857142857135</v>
      </c>
    </row>
    <row r="1608" spans="1:10" x14ac:dyDescent="0.25">
      <c r="A1608" s="622" t="s">
        <v>16</v>
      </c>
      <c r="B1608" s="233">
        <v>0</v>
      </c>
      <c r="C1608" s="13">
        <v>0</v>
      </c>
      <c r="D1608" s="13">
        <v>0</v>
      </c>
      <c r="E1608" s="13">
        <v>0</v>
      </c>
      <c r="F1608" s="13">
        <v>0</v>
      </c>
      <c r="G1608" s="13">
        <v>0</v>
      </c>
      <c r="H1608" s="13">
        <v>0</v>
      </c>
      <c r="I1608" s="11">
        <f t="shared" si="873"/>
        <v>0</v>
      </c>
      <c r="J1608" s="722">
        <f t="shared" si="874"/>
        <v>0</v>
      </c>
    </row>
    <row r="1609" spans="1:10" x14ac:dyDescent="0.25">
      <c r="A1609" s="624" t="s">
        <v>17</v>
      </c>
      <c r="B1609" s="102">
        <f t="shared" ref="B1609:I1609" si="875">SUM(B1604:B1608)</f>
        <v>93</v>
      </c>
      <c r="C1609" s="102">
        <f t="shared" si="875"/>
        <v>70</v>
      </c>
      <c r="D1609" s="102">
        <f t="shared" si="875"/>
        <v>113</v>
      </c>
      <c r="E1609" s="102">
        <f t="shared" si="875"/>
        <v>82</v>
      </c>
      <c r="F1609" s="102">
        <f t="shared" si="875"/>
        <v>148</v>
      </c>
      <c r="G1609" s="79">
        <f t="shared" si="875"/>
        <v>124</v>
      </c>
      <c r="H1609" s="79">
        <f t="shared" si="875"/>
        <v>91</v>
      </c>
      <c r="I1609" s="472">
        <f t="shared" si="875"/>
        <v>721</v>
      </c>
      <c r="J1609" s="723">
        <f t="shared" si="874"/>
        <v>103</v>
      </c>
    </row>
    <row r="1610" spans="1:10" x14ac:dyDescent="0.25">
      <c r="A1610" s="622" t="s">
        <v>18</v>
      </c>
      <c r="B1610" s="234">
        <v>0.63</v>
      </c>
      <c r="C1610" s="235">
        <v>0.56000000000000005</v>
      </c>
      <c r="D1610" s="235">
        <v>0.43</v>
      </c>
      <c r="E1610" s="236">
        <v>0.26</v>
      </c>
      <c r="F1610" s="236">
        <v>0.46</v>
      </c>
      <c r="G1610" s="236">
        <v>0.59</v>
      </c>
      <c r="H1610" s="236">
        <v>0.51</v>
      </c>
      <c r="I1610" s="18">
        <f>I1617/I1622</f>
        <v>0.49259162708320892</v>
      </c>
      <c r="J1610" s="724">
        <f>J1617/J1622</f>
        <v>0.49259162708320886</v>
      </c>
    </row>
    <row r="1611" spans="1:10" x14ac:dyDescent="0.25">
      <c r="A1611" s="622" t="s">
        <v>19</v>
      </c>
      <c r="B1611" s="234">
        <v>0.02</v>
      </c>
      <c r="C1611" s="235">
        <v>0.01</v>
      </c>
      <c r="D1611" s="235">
        <v>0.02</v>
      </c>
      <c r="E1611" s="236">
        <v>0.02</v>
      </c>
      <c r="F1611" s="236">
        <v>0.02</v>
      </c>
      <c r="G1611" s="236">
        <v>0.01</v>
      </c>
      <c r="H1611" s="236">
        <v>0.02</v>
      </c>
      <c r="I1611" s="18">
        <f>I1618/I1622</f>
        <v>1.7422986900651308E-2</v>
      </c>
      <c r="J1611" s="724">
        <f>J1618/J1622</f>
        <v>1.7422986900651308E-2</v>
      </c>
    </row>
    <row r="1612" spans="1:10" x14ac:dyDescent="0.25">
      <c r="A1612" s="622" t="s">
        <v>20</v>
      </c>
      <c r="B1612" s="234">
        <v>0.32</v>
      </c>
      <c r="C1612" s="235">
        <v>0.31</v>
      </c>
      <c r="D1612" s="235">
        <v>0.49</v>
      </c>
      <c r="E1612" s="236">
        <v>0.66</v>
      </c>
      <c r="F1612" s="236">
        <v>0.44</v>
      </c>
      <c r="G1612" s="236">
        <v>0.31</v>
      </c>
      <c r="H1612" s="236">
        <v>0.42</v>
      </c>
      <c r="I1612" s="18">
        <f>I1619/I1622</f>
        <v>0.42109764959842028</v>
      </c>
      <c r="J1612" s="724">
        <f>J1619/J1622</f>
        <v>0.42109764959842028</v>
      </c>
    </row>
    <row r="1613" spans="1:10" x14ac:dyDescent="0.25">
      <c r="A1613" s="622" t="s">
        <v>21</v>
      </c>
      <c r="B1613" s="234">
        <v>0.03</v>
      </c>
      <c r="C1613" s="235">
        <v>0.12</v>
      </c>
      <c r="D1613" s="235">
        <v>0.06</v>
      </c>
      <c r="E1613" s="236">
        <v>0.06</v>
      </c>
      <c r="F1613" s="236">
        <v>0.08</v>
      </c>
      <c r="G1613" s="236">
        <v>0.09</v>
      </c>
      <c r="H1613" s="236">
        <v>0.05</v>
      </c>
      <c r="I1613" s="18">
        <f>I1620/I1622</f>
        <v>6.8887736417719531E-2</v>
      </c>
      <c r="J1613" s="724">
        <f>J1620/J1622</f>
        <v>6.8887736417719531E-2</v>
      </c>
    </row>
    <row r="1614" spans="1:10" x14ac:dyDescent="0.25">
      <c r="A1614" s="622" t="s">
        <v>22</v>
      </c>
      <c r="B1614" s="234">
        <v>0</v>
      </c>
      <c r="C1614" s="235">
        <v>0</v>
      </c>
      <c r="D1614" s="235">
        <v>0</v>
      </c>
      <c r="E1614" s="236">
        <v>0</v>
      </c>
      <c r="F1614" s="236">
        <v>0</v>
      </c>
      <c r="G1614" s="236">
        <v>0</v>
      </c>
      <c r="H1614" s="236">
        <v>0</v>
      </c>
      <c r="I1614" s="18">
        <f>I1621/I1622</f>
        <v>0</v>
      </c>
      <c r="J1614" s="724">
        <f>J1621/J1622</f>
        <v>0</v>
      </c>
    </row>
    <row r="1615" spans="1:10" x14ac:dyDescent="0.25">
      <c r="A1615" s="627" t="s">
        <v>23</v>
      </c>
      <c r="B1615" s="450">
        <f t="shared" ref="B1615:J1615" si="876">B1626/B1609</f>
        <v>36798.924731182793</v>
      </c>
      <c r="C1615" s="130">
        <f t="shared" si="876"/>
        <v>29195.714285714286</v>
      </c>
      <c r="D1615" s="130">
        <f t="shared" si="876"/>
        <v>30708.849557522128</v>
      </c>
      <c r="E1615" s="130">
        <f t="shared" si="876"/>
        <v>34893.902439024394</v>
      </c>
      <c r="F1615" s="130">
        <f t="shared" si="876"/>
        <v>32962.83783783784</v>
      </c>
      <c r="G1615" s="130">
        <f t="shared" si="876"/>
        <v>33291.93548387097</v>
      </c>
      <c r="H1615" s="130">
        <f t="shared" si="876"/>
        <v>31820.879120879123</v>
      </c>
      <c r="I1615" s="130">
        <f t="shared" si="876"/>
        <v>32870.735090152564</v>
      </c>
      <c r="J1615" s="685">
        <f t="shared" si="876"/>
        <v>32870.735090152564</v>
      </c>
    </row>
    <row r="1616" spans="1:10" x14ac:dyDescent="0.25">
      <c r="A1616" s="627" t="s">
        <v>24</v>
      </c>
      <c r="B1616" s="450">
        <f t="shared" ref="B1616:J1616" si="877">B1626/B1603</f>
        <v>26325.384615384617</v>
      </c>
      <c r="C1616" s="130">
        <f t="shared" si="877"/>
        <v>26201.282051282051</v>
      </c>
      <c r="D1616" s="130">
        <f t="shared" si="877"/>
        <v>26900.000000000004</v>
      </c>
      <c r="E1616" s="130">
        <f t="shared" si="877"/>
        <v>26993.396226415098</v>
      </c>
      <c r="F1616" s="130">
        <f t="shared" si="877"/>
        <v>25676.315789473683</v>
      </c>
      <c r="G1616" s="130">
        <f t="shared" si="877"/>
        <v>27521.333333333332</v>
      </c>
      <c r="H1616" s="130">
        <f t="shared" si="877"/>
        <v>27578.095238095237</v>
      </c>
      <c r="I1616" s="130">
        <f t="shared" si="877"/>
        <v>26688.963963963964</v>
      </c>
      <c r="J1616" s="685">
        <f t="shared" si="877"/>
        <v>26688.963963963961</v>
      </c>
    </row>
    <row r="1617" spans="1:63" x14ac:dyDescent="0.25">
      <c r="A1617" s="622" t="s">
        <v>25</v>
      </c>
      <c r="B1617" s="451">
        <f t="shared" ref="B1617:H1617" si="878">B1622*B1610</f>
        <v>1794788.4910344828</v>
      </c>
      <c r="C1617" s="92">
        <f t="shared" si="878"/>
        <v>942003.07310344838</v>
      </c>
      <c r="D1617" s="92">
        <f t="shared" si="878"/>
        <v>1243771.3524137933</v>
      </c>
      <c r="E1617" s="92">
        <f t="shared" si="878"/>
        <v>630028.34206896566</v>
      </c>
      <c r="F1617" s="92">
        <f t="shared" si="878"/>
        <v>1880166.0262068966</v>
      </c>
      <c r="G1617" s="92">
        <f t="shared" si="878"/>
        <v>2007111.0310344826</v>
      </c>
      <c r="H1617" s="92">
        <f t="shared" si="878"/>
        <v>1220170.4627586207</v>
      </c>
      <c r="I1617" s="92">
        <f>SUM(B1617:H1617)</f>
        <v>9718038.7786206901</v>
      </c>
      <c r="J1617" s="715">
        <f t="shared" ref="J1617:J1622" si="879">+$I1617/7</f>
        <v>1388291.25408867</v>
      </c>
    </row>
    <row r="1618" spans="1:63" x14ac:dyDescent="0.25">
      <c r="A1618" s="622" t="s">
        <v>26</v>
      </c>
      <c r="B1618" s="451">
        <f t="shared" ref="B1618:H1618" si="880">B1622*B1611</f>
        <v>56977.412413793107</v>
      </c>
      <c r="C1618" s="92">
        <f t="shared" si="880"/>
        <v>16821.483448275863</v>
      </c>
      <c r="D1618" s="92">
        <f t="shared" si="880"/>
        <v>57849.830344827598</v>
      </c>
      <c r="E1618" s="92">
        <f t="shared" si="880"/>
        <v>48463.718620689659</v>
      </c>
      <c r="F1618" s="92">
        <f t="shared" si="880"/>
        <v>81746.348965517245</v>
      </c>
      <c r="G1618" s="92">
        <f t="shared" si="880"/>
        <v>34018.831034482762</v>
      </c>
      <c r="H1618" s="92">
        <f t="shared" si="880"/>
        <v>47849.822068965521</v>
      </c>
      <c r="I1618" s="92">
        <f>SUM(B1618:H1618)</f>
        <v>343727.44689655176</v>
      </c>
      <c r="J1618" s="715">
        <f t="shared" si="879"/>
        <v>49103.920985221681</v>
      </c>
    </row>
    <row r="1619" spans="1:63" x14ac:dyDescent="0.25">
      <c r="A1619" s="622" t="s">
        <v>27</v>
      </c>
      <c r="B1619" s="451">
        <f t="shared" ref="B1619:H1619" si="881">B1622*B1612</f>
        <v>911638.59862068971</v>
      </c>
      <c r="C1619" s="92">
        <f t="shared" si="881"/>
        <v>521465.98689655174</v>
      </c>
      <c r="D1619" s="92">
        <f t="shared" si="881"/>
        <v>1417320.8434482759</v>
      </c>
      <c r="E1619" s="92">
        <f t="shared" si="881"/>
        <v>1599302.7144827589</v>
      </c>
      <c r="F1619" s="92">
        <f t="shared" si="881"/>
        <v>1798419.6772413794</v>
      </c>
      <c r="G1619" s="92">
        <f t="shared" si="881"/>
        <v>1054583.7620689655</v>
      </c>
      <c r="H1619" s="92">
        <f t="shared" si="881"/>
        <v>1004846.2634482759</v>
      </c>
      <c r="I1619" s="92">
        <f>SUM(B1619:H1619)</f>
        <v>8307577.8462068969</v>
      </c>
      <c r="J1619" s="715">
        <f t="shared" si="879"/>
        <v>1186796.8351724138</v>
      </c>
    </row>
    <row r="1620" spans="1:63" x14ac:dyDescent="0.25">
      <c r="A1620" s="622" t="s">
        <v>28</v>
      </c>
      <c r="B1620" s="451">
        <f t="shared" ref="B1620:H1620" si="882">B1622*B1613</f>
        <v>85466.118620689653</v>
      </c>
      <c r="C1620" s="92">
        <f t="shared" si="882"/>
        <v>201857.80137931035</v>
      </c>
      <c r="D1620" s="92">
        <f t="shared" si="882"/>
        <v>173549.49103448278</v>
      </c>
      <c r="E1620" s="92">
        <f t="shared" si="882"/>
        <v>145391.15586206896</v>
      </c>
      <c r="F1620" s="92">
        <f t="shared" si="882"/>
        <v>326985.39586206898</v>
      </c>
      <c r="G1620" s="92">
        <f t="shared" si="882"/>
        <v>306169.47931034485</v>
      </c>
      <c r="H1620" s="92">
        <f t="shared" si="882"/>
        <v>119624.55517241381</v>
      </c>
      <c r="I1620" s="92">
        <f>SUM(B1620:H1620)</f>
        <v>1359043.9972413795</v>
      </c>
      <c r="J1620" s="715">
        <f t="shared" si="879"/>
        <v>194149.14246305422</v>
      </c>
    </row>
    <row r="1621" spans="1:63" x14ac:dyDescent="0.25">
      <c r="A1621" s="622" t="s">
        <v>29</v>
      </c>
      <c r="B1621" s="451">
        <f t="shared" ref="B1621:H1621" si="883">B1622*B1614</f>
        <v>0</v>
      </c>
      <c r="C1621" s="92">
        <f t="shared" si="883"/>
        <v>0</v>
      </c>
      <c r="D1621" s="92">
        <f t="shared" si="883"/>
        <v>0</v>
      </c>
      <c r="E1621" s="92">
        <f t="shared" si="883"/>
        <v>0</v>
      </c>
      <c r="F1621" s="92">
        <f t="shared" si="883"/>
        <v>0</v>
      </c>
      <c r="G1621" s="92">
        <f t="shared" si="883"/>
        <v>0</v>
      </c>
      <c r="H1621" s="92">
        <f t="shared" si="883"/>
        <v>0</v>
      </c>
      <c r="I1621" s="92">
        <f>SUM(B1621:H1621)</f>
        <v>0</v>
      </c>
      <c r="J1621" s="715">
        <f t="shared" si="879"/>
        <v>0</v>
      </c>
    </row>
    <row r="1622" spans="1:63" x14ac:dyDescent="0.25">
      <c r="A1622" s="630" t="s">
        <v>30</v>
      </c>
      <c r="B1622" s="237">
        <f>(3422300/1.16)-B1623</f>
        <v>2848870.6206896552</v>
      </c>
      <c r="C1622" s="237">
        <f>(2043700/1.16)-C1623</f>
        <v>1682148.3448275863</v>
      </c>
      <c r="D1622" s="237">
        <f>(3470100/1.16)-D1623</f>
        <v>2892491.5172413797</v>
      </c>
      <c r="E1622" s="237">
        <f>(2861300/1.16)-E1623</f>
        <v>2423185.931034483</v>
      </c>
      <c r="F1622" s="237">
        <f>(4878500/1.16)-F1623</f>
        <v>4087317.4482758623</v>
      </c>
      <c r="G1622" s="237">
        <f>(4128200/1.16)-G1623</f>
        <v>3401883.1034482759</v>
      </c>
      <c r="H1622" s="237">
        <f>(2895700/1.16)-H1623</f>
        <v>2392491.1034482759</v>
      </c>
      <c r="I1622" s="91">
        <f>SUM(I1617:I1621)</f>
        <v>19728388.068965517</v>
      </c>
      <c r="J1622" s="716">
        <f t="shared" si="879"/>
        <v>2818341.1527093598</v>
      </c>
    </row>
    <row r="1623" spans="1:63" x14ac:dyDescent="0.25">
      <c r="A1623" s="622" t="s">
        <v>31</v>
      </c>
      <c r="B1623" s="452">
        <f t="shared" ref="B1623:H1623" si="884">2414*B1604</f>
        <v>101388</v>
      </c>
      <c r="C1623" s="94">
        <f t="shared" si="884"/>
        <v>79662</v>
      </c>
      <c r="D1623" s="94">
        <f t="shared" si="884"/>
        <v>98974</v>
      </c>
      <c r="E1623" s="94">
        <f t="shared" si="884"/>
        <v>43452</v>
      </c>
      <c r="F1623" s="94">
        <f t="shared" si="884"/>
        <v>118286</v>
      </c>
      <c r="G1623" s="94">
        <f t="shared" si="884"/>
        <v>156910</v>
      </c>
      <c r="H1623" s="94">
        <f t="shared" si="884"/>
        <v>103802</v>
      </c>
      <c r="I1623" s="94">
        <f>I1604*2414</f>
        <v>702474</v>
      </c>
      <c r="J1623" s="717">
        <f>2414*J1604</f>
        <v>100353.42857142857</v>
      </c>
    </row>
    <row r="1624" spans="1:63" x14ac:dyDescent="0.25">
      <c r="A1624" s="633" t="s">
        <v>32</v>
      </c>
      <c r="B1624" s="453">
        <f t="shared" ref="B1624:J1624" si="885">B1622+B1623</f>
        <v>2950258.6206896552</v>
      </c>
      <c r="C1624" s="39">
        <f t="shared" si="885"/>
        <v>1761810.3448275863</v>
      </c>
      <c r="D1624" s="39">
        <f t="shared" si="885"/>
        <v>2991465.5172413797</v>
      </c>
      <c r="E1624" s="39">
        <f t="shared" si="885"/>
        <v>2466637.931034483</v>
      </c>
      <c r="F1624" s="39">
        <f t="shared" si="885"/>
        <v>4205603.4482758623</v>
      </c>
      <c r="G1624" s="39">
        <f t="shared" si="885"/>
        <v>3558793.1034482759</v>
      </c>
      <c r="H1624" s="39">
        <f t="shared" si="885"/>
        <v>2496293.1034482759</v>
      </c>
      <c r="I1624" s="39">
        <f t="shared" si="885"/>
        <v>20430862.068965517</v>
      </c>
      <c r="J1624" s="718">
        <f t="shared" si="885"/>
        <v>2918694.5812807884</v>
      </c>
    </row>
    <row r="1625" spans="1:63" x14ac:dyDescent="0.25">
      <c r="A1625" s="622" t="s">
        <v>33</v>
      </c>
      <c r="B1625" s="454">
        <f t="shared" ref="B1625:J1625" si="886">B1624*16%</f>
        <v>472041.37931034481</v>
      </c>
      <c r="C1625" s="41">
        <f t="shared" si="886"/>
        <v>281889.6551724138</v>
      </c>
      <c r="D1625" s="41">
        <f t="shared" si="886"/>
        <v>478634.48275862075</v>
      </c>
      <c r="E1625" s="41">
        <f t="shared" si="886"/>
        <v>394662.06896551728</v>
      </c>
      <c r="F1625" s="41">
        <f t="shared" si="886"/>
        <v>672896.55172413797</v>
      </c>
      <c r="G1625" s="41">
        <f t="shared" si="886"/>
        <v>569406.89655172417</v>
      </c>
      <c r="H1625" s="41">
        <f t="shared" si="886"/>
        <v>399406.89655172417</v>
      </c>
      <c r="I1625" s="41">
        <f t="shared" si="886"/>
        <v>3268937.931034483</v>
      </c>
      <c r="J1625" s="725">
        <f t="shared" si="886"/>
        <v>466991.13300492615</v>
      </c>
    </row>
    <row r="1626" spans="1:63" ht="15.75" thickBot="1" x14ac:dyDescent="0.3">
      <c r="A1626" s="636" t="s">
        <v>34</v>
      </c>
      <c r="B1626" s="637">
        <f t="shared" ref="B1626:I1626" si="887">B1624+B1625</f>
        <v>3422300</v>
      </c>
      <c r="C1626" s="686">
        <f t="shared" si="887"/>
        <v>2043700</v>
      </c>
      <c r="D1626" s="686">
        <f t="shared" si="887"/>
        <v>3470100.0000000005</v>
      </c>
      <c r="E1626" s="686">
        <f t="shared" si="887"/>
        <v>2861300.0000000005</v>
      </c>
      <c r="F1626" s="686">
        <f t="shared" si="887"/>
        <v>4878500</v>
      </c>
      <c r="G1626" s="686">
        <f t="shared" si="887"/>
        <v>4128200</v>
      </c>
      <c r="H1626" s="686">
        <f t="shared" si="887"/>
        <v>2895700</v>
      </c>
      <c r="I1626" s="686">
        <f t="shared" si="887"/>
        <v>23699800</v>
      </c>
      <c r="J1626" s="720">
        <f>+$I1626/7</f>
        <v>3385685.7142857141</v>
      </c>
    </row>
    <row r="1627" spans="1:63" ht="15.75" thickBot="1" x14ac:dyDescent="0.3">
      <c r="I1627" s="89"/>
    </row>
    <row r="1628" spans="1:63" ht="27" thickBot="1" x14ac:dyDescent="0.45">
      <c r="B1628" s="493" t="s">
        <v>401</v>
      </c>
      <c r="C1628" s="494"/>
      <c r="D1628" s="494"/>
      <c r="E1628" s="494"/>
      <c r="F1628" s="494"/>
      <c r="G1628" s="494"/>
      <c r="H1628" s="494"/>
      <c r="I1628" s="494"/>
      <c r="J1628" s="494"/>
      <c r="K1628" s="495"/>
      <c r="L1628" s="495"/>
      <c r="M1628" s="495"/>
      <c r="N1628" s="495"/>
      <c r="O1628" s="495"/>
      <c r="P1628" s="495"/>
      <c r="Q1628" s="495"/>
      <c r="R1628" s="495"/>
      <c r="S1628" s="495"/>
      <c r="T1628" s="495"/>
      <c r="U1628" s="495"/>
      <c r="V1628" s="495"/>
      <c r="W1628" s="495"/>
      <c r="X1628" s="495"/>
      <c r="Y1628" s="495"/>
      <c r="Z1628" s="495"/>
      <c r="AA1628" s="495"/>
      <c r="AB1628" s="495"/>
      <c r="AC1628" s="495"/>
      <c r="AD1628" s="495"/>
      <c r="AE1628" s="495"/>
      <c r="AF1628" s="495"/>
      <c r="AG1628" s="495"/>
      <c r="AH1628" s="495"/>
      <c r="AI1628" s="495"/>
      <c r="AJ1628" s="495"/>
      <c r="AK1628" s="495"/>
      <c r="AL1628" s="495"/>
      <c r="AM1628" s="495"/>
      <c r="AN1628" s="495"/>
      <c r="AO1628" s="495"/>
      <c r="AP1628" s="495"/>
      <c r="AQ1628" s="495"/>
      <c r="AR1628" s="495"/>
      <c r="AS1628" s="495"/>
      <c r="AT1628" s="495"/>
      <c r="AU1628" s="495"/>
      <c r="AV1628" s="495"/>
      <c r="AW1628" s="495"/>
      <c r="AX1628" s="495"/>
      <c r="AY1628" s="495"/>
      <c r="AZ1628" s="495"/>
      <c r="BA1628" s="495"/>
      <c r="BB1628" s="495"/>
      <c r="BC1628" s="495"/>
      <c r="BD1628" s="495"/>
      <c r="BE1628" s="495"/>
      <c r="BF1628" s="495"/>
      <c r="BG1628" s="495"/>
      <c r="BH1628" s="495"/>
      <c r="BI1628" s="494"/>
      <c r="BJ1628" s="494"/>
      <c r="BK1628" s="496"/>
    </row>
    <row r="1629" spans="1:63" ht="15.75" x14ac:dyDescent="0.25">
      <c r="A1629" s="227" t="s">
        <v>2</v>
      </c>
      <c r="B1629" s="121" t="s">
        <v>353</v>
      </c>
      <c r="C1629" s="121" t="s">
        <v>354</v>
      </c>
      <c r="D1629" s="121" t="s">
        <v>355</v>
      </c>
      <c r="E1629" s="121" t="s">
        <v>356</v>
      </c>
      <c r="F1629" s="121" t="s">
        <v>357</v>
      </c>
      <c r="G1629" s="121" t="s">
        <v>69</v>
      </c>
      <c r="H1629" s="121" t="s">
        <v>358</v>
      </c>
      <c r="I1629" s="121" t="s">
        <v>359</v>
      </c>
      <c r="J1629" s="121" t="s">
        <v>98</v>
      </c>
      <c r="K1629" s="121" t="s">
        <v>106</v>
      </c>
      <c r="L1629" s="121" t="s">
        <v>114</v>
      </c>
      <c r="M1629" s="121" t="s">
        <v>122</v>
      </c>
      <c r="N1629" s="121" t="s">
        <v>130</v>
      </c>
      <c r="O1629" s="121" t="s">
        <v>138</v>
      </c>
      <c r="P1629" s="121" t="s">
        <v>146</v>
      </c>
      <c r="Q1629" s="121" t="s">
        <v>154</v>
      </c>
      <c r="R1629" s="121" t="s">
        <v>162</v>
      </c>
      <c r="S1629" s="121" t="s">
        <v>166</v>
      </c>
      <c r="T1629" s="121" t="s">
        <v>169</v>
      </c>
      <c r="U1629" s="121" t="s">
        <v>360</v>
      </c>
      <c r="V1629" s="121" t="s">
        <v>361</v>
      </c>
      <c r="W1629" s="121" t="s">
        <v>362</v>
      </c>
      <c r="X1629" s="121" t="s">
        <v>363</v>
      </c>
      <c r="Y1629" s="121" t="s">
        <v>364</v>
      </c>
      <c r="Z1629" s="121" t="s">
        <v>365</v>
      </c>
      <c r="AA1629" s="121" t="s">
        <v>366</v>
      </c>
      <c r="AB1629" s="121" t="s">
        <v>367</v>
      </c>
      <c r="AC1629" s="121" t="s">
        <v>368</v>
      </c>
      <c r="AD1629" s="121" t="s">
        <v>369</v>
      </c>
      <c r="AE1629" s="121" t="s">
        <v>370</v>
      </c>
      <c r="AF1629" s="121" t="s">
        <v>371</v>
      </c>
      <c r="AG1629" s="121" t="s">
        <v>372</v>
      </c>
      <c r="AH1629" s="121" t="s">
        <v>373</v>
      </c>
      <c r="AI1629" s="121" t="s">
        <v>374</v>
      </c>
      <c r="AJ1629" s="121" t="s">
        <v>375</v>
      </c>
      <c r="AK1629" s="121" t="s">
        <v>376</v>
      </c>
      <c r="AL1629" s="121" t="s">
        <v>377</v>
      </c>
      <c r="AM1629" s="121" t="s">
        <v>378</v>
      </c>
      <c r="AN1629" s="121" t="s">
        <v>379</v>
      </c>
      <c r="AO1629" s="121" t="s">
        <v>380</v>
      </c>
      <c r="AP1629" s="121" t="s">
        <v>381</v>
      </c>
      <c r="AQ1629" s="121" t="s">
        <v>382</v>
      </c>
      <c r="AR1629" s="121" t="s">
        <v>383</v>
      </c>
      <c r="AS1629" s="121" t="s">
        <v>384</v>
      </c>
      <c r="AT1629" s="121" t="s">
        <v>385</v>
      </c>
      <c r="AU1629" s="121" t="s">
        <v>386</v>
      </c>
      <c r="AV1629" s="121" t="s">
        <v>387</v>
      </c>
      <c r="AW1629" s="121" t="s">
        <v>388</v>
      </c>
      <c r="AX1629" s="121" t="s">
        <v>389</v>
      </c>
      <c r="AY1629" s="121" t="s">
        <v>390</v>
      </c>
      <c r="AZ1629" s="121" t="s">
        <v>391</v>
      </c>
      <c r="BA1629" s="121" t="s">
        <v>392</v>
      </c>
      <c r="BB1629" s="121" t="s">
        <v>393</v>
      </c>
      <c r="BC1629" s="121" t="s">
        <v>394</v>
      </c>
      <c r="BD1629" s="121" t="s">
        <v>395</v>
      </c>
      <c r="BE1629" s="121" t="s">
        <v>396</v>
      </c>
      <c r="BF1629" s="121" t="s">
        <v>397</v>
      </c>
      <c r="BG1629" s="121" t="s">
        <v>398</v>
      </c>
      <c r="BH1629" s="121" t="s">
        <v>399</v>
      </c>
      <c r="BI1629" s="121" t="s">
        <v>607</v>
      </c>
      <c r="BJ1629" s="121" t="s">
        <v>10</v>
      </c>
      <c r="BK1629" s="121" t="s">
        <v>400</v>
      </c>
    </row>
    <row r="1630" spans="1:63" x14ac:dyDescent="0.25">
      <c r="A1630" s="336" t="s">
        <v>11</v>
      </c>
      <c r="B1630" s="338">
        <f>+I4</f>
        <v>222</v>
      </c>
      <c r="C1630" s="455">
        <f>+I32</f>
        <v>926</v>
      </c>
      <c r="D1630" s="455">
        <f>+I60</f>
        <v>1133</v>
      </c>
      <c r="E1630" s="455">
        <f>+I88</f>
        <v>1249</v>
      </c>
      <c r="F1630" s="455">
        <f>+I116</f>
        <v>1164</v>
      </c>
      <c r="G1630" s="455">
        <f>+I144</f>
        <v>1084</v>
      </c>
      <c r="H1630" s="455">
        <f>+I172</f>
        <v>1148</v>
      </c>
      <c r="I1630" s="455">
        <f t="shared" ref="I1630:I1653" si="888">+I199</f>
        <v>1485</v>
      </c>
      <c r="J1630" s="455">
        <f>+I226</f>
        <v>1306</v>
      </c>
      <c r="K1630" s="455">
        <f>+I253</f>
        <v>1258</v>
      </c>
      <c r="L1630" s="455">
        <f>+I280</f>
        <v>1085</v>
      </c>
      <c r="M1630" s="455">
        <f>+I307</f>
        <v>1250</v>
      </c>
      <c r="N1630" s="455">
        <f>+I334</f>
        <v>1155</v>
      </c>
      <c r="O1630" s="455">
        <f>+I361</f>
        <v>1311</v>
      </c>
      <c r="P1630" s="455">
        <f>+I388</f>
        <v>1260</v>
      </c>
      <c r="Q1630" s="455">
        <f>+I415</f>
        <v>1309</v>
      </c>
      <c r="R1630" s="455">
        <f>+I442</f>
        <v>1243</v>
      </c>
      <c r="S1630" s="455">
        <f>+I469</f>
        <v>1192</v>
      </c>
      <c r="T1630" s="455">
        <f>+I496</f>
        <v>1154</v>
      </c>
      <c r="U1630" s="455">
        <f>+I523</f>
        <v>1073</v>
      </c>
      <c r="V1630" s="455">
        <f>+I550</f>
        <v>1286</v>
      </c>
      <c r="W1630" s="455">
        <f>+I577</f>
        <v>1152</v>
      </c>
      <c r="X1630" s="455">
        <f>+I604</f>
        <v>1081</v>
      </c>
      <c r="Y1630" s="455">
        <f>+I631</f>
        <v>1180</v>
      </c>
      <c r="Z1630" s="455">
        <f>+I658</f>
        <v>1157</v>
      </c>
      <c r="AA1630" s="455">
        <f>+I685</f>
        <v>1184</v>
      </c>
      <c r="AB1630" s="455">
        <f>+I712</f>
        <v>1115</v>
      </c>
      <c r="AC1630" s="455">
        <f>+I739</f>
        <v>1157</v>
      </c>
      <c r="AD1630" s="455">
        <f>+I766</f>
        <v>1153</v>
      </c>
      <c r="AE1630" s="455">
        <f>+I793</f>
        <v>1136</v>
      </c>
      <c r="AF1630" s="455">
        <f t="shared" ref="AF1630:AF1653" si="889">+I820</f>
        <v>1057</v>
      </c>
      <c r="AG1630" s="455">
        <f t="shared" ref="AG1630:AG1653" si="890">+I847</f>
        <v>1204</v>
      </c>
      <c r="AH1630" s="455">
        <f>+I874</f>
        <v>1078</v>
      </c>
      <c r="AI1630" s="455">
        <f>+I901</f>
        <v>1036</v>
      </c>
      <c r="AJ1630" s="455">
        <f>+I928</f>
        <v>1051</v>
      </c>
      <c r="AK1630" s="455">
        <f>+I955</f>
        <v>1102</v>
      </c>
      <c r="AL1630" s="455">
        <f>+I982</f>
        <v>1155</v>
      </c>
      <c r="AM1630" s="455">
        <f>+I1009</f>
        <v>1145</v>
      </c>
      <c r="AN1630" s="455">
        <f>+I1036</f>
        <v>1147</v>
      </c>
      <c r="AO1630" s="455">
        <f>+I1063</f>
        <v>1125</v>
      </c>
      <c r="AP1630" s="455">
        <f>+I1090</f>
        <v>1264</v>
      </c>
      <c r="AQ1630" s="455">
        <f>+I1117</f>
        <v>1167</v>
      </c>
      <c r="AR1630" s="455">
        <f>+I1144</f>
        <v>1310</v>
      </c>
      <c r="AS1630" s="455">
        <f>+I1171</f>
        <v>1197</v>
      </c>
      <c r="AT1630" s="455">
        <f>+I1198</f>
        <v>1212</v>
      </c>
      <c r="AU1630" s="455">
        <f>+I1225</f>
        <v>946</v>
      </c>
      <c r="AV1630" s="455">
        <f>+I1252</f>
        <v>805</v>
      </c>
      <c r="AW1630" s="455">
        <f>+I1279</f>
        <v>884</v>
      </c>
      <c r="AX1630" s="455">
        <f>+I1306</f>
        <v>1017</v>
      </c>
      <c r="AY1630" s="455">
        <f>+I1333</f>
        <v>1101</v>
      </c>
      <c r="AZ1630" s="455">
        <f>+I1360</f>
        <v>1111</v>
      </c>
      <c r="BA1630" s="455">
        <f>+I1387</f>
        <v>997</v>
      </c>
      <c r="BB1630" s="455">
        <f>+I1414</f>
        <v>875</v>
      </c>
      <c r="BC1630" s="455">
        <f>+I1441</f>
        <v>1007</v>
      </c>
      <c r="BD1630" s="455">
        <f>+I1468</f>
        <v>920</v>
      </c>
      <c r="BE1630" s="455">
        <f>+I1495</f>
        <v>1031</v>
      </c>
      <c r="BF1630" s="455">
        <f>+I1522</f>
        <v>996</v>
      </c>
      <c r="BG1630" s="455">
        <f>+I1549</f>
        <v>883</v>
      </c>
      <c r="BH1630" s="455">
        <f>+I1576</f>
        <v>962</v>
      </c>
      <c r="BI1630" s="455">
        <f>+I1603</f>
        <v>888</v>
      </c>
      <c r="BJ1630" s="455">
        <f t="shared" ref="BJ1630:BJ1636" si="891">+SUM(B1630:BI1630)</f>
        <v>66281</v>
      </c>
      <c r="BK1630" s="338">
        <f t="shared" ref="BK1630:BK1636" si="892">+$BJ1630/59</f>
        <v>1123.406779661017</v>
      </c>
    </row>
    <row r="1631" spans="1:63" x14ac:dyDescent="0.25">
      <c r="A1631" s="146" t="s">
        <v>12</v>
      </c>
      <c r="B1631" s="78">
        <f t="shared" ref="B1631:B1653" si="893">+I5</f>
        <v>130</v>
      </c>
      <c r="C1631" s="391">
        <f t="shared" ref="C1631:C1653" si="894">+I33</f>
        <v>347</v>
      </c>
      <c r="D1631" s="391">
        <f t="shared" ref="D1631:D1653" si="895">+I61</f>
        <v>484</v>
      </c>
      <c r="E1631" s="391">
        <f t="shared" ref="E1631:E1653" si="896">+I89</f>
        <v>540</v>
      </c>
      <c r="F1631" s="391">
        <f t="shared" ref="F1631:F1653" si="897">+I117</f>
        <v>505</v>
      </c>
      <c r="G1631" s="391">
        <f t="shared" ref="G1631:G1653" si="898">+I145</f>
        <v>446</v>
      </c>
      <c r="H1631" s="391">
        <f t="shared" ref="H1631:H1653" si="899">+I173</f>
        <v>523</v>
      </c>
      <c r="I1631" s="391">
        <f t="shared" si="888"/>
        <v>655</v>
      </c>
      <c r="J1631" s="391">
        <f t="shared" ref="J1631:J1653" si="900">+I227</f>
        <v>535</v>
      </c>
      <c r="K1631" s="391">
        <f t="shared" ref="K1631:K1653" si="901">+I254</f>
        <v>551</v>
      </c>
      <c r="L1631" s="391">
        <f t="shared" ref="L1631:L1653" si="902">+I281</f>
        <v>426</v>
      </c>
      <c r="M1631" s="391">
        <f t="shared" ref="M1631:M1653" si="903">+I308</f>
        <v>550</v>
      </c>
      <c r="N1631" s="391">
        <f t="shared" ref="N1631:N1653" si="904">+I335</f>
        <v>517</v>
      </c>
      <c r="O1631" s="391">
        <f t="shared" ref="O1631:O1653" si="905">+I362</f>
        <v>580</v>
      </c>
      <c r="P1631" s="391">
        <f t="shared" ref="P1631:P1653" si="906">+I389</f>
        <v>530</v>
      </c>
      <c r="Q1631" s="391">
        <f t="shared" ref="Q1631:Q1653" si="907">+I416</f>
        <v>578</v>
      </c>
      <c r="R1631" s="391">
        <f t="shared" ref="R1631:R1653" si="908">+I443</f>
        <v>517</v>
      </c>
      <c r="S1631" s="391">
        <f t="shared" ref="S1631:S1653" si="909">+I470</f>
        <v>494</v>
      </c>
      <c r="T1631" s="391">
        <f t="shared" ref="T1631:T1653" si="910">+I497</f>
        <v>485</v>
      </c>
      <c r="U1631" s="391">
        <f t="shared" ref="U1631:U1653" si="911">+I524</f>
        <v>415</v>
      </c>
      <c r="V1631" s="391">
        <f t="shared" ref="V1631:V1653" si="912">+I551</f>
        <v>539</v>
      </c>
      <c r="W1631" s="391">
        <f t="shared" ref="W1631:W1653" si="913">+I578</f>
        <v>503</v>
      </c>
      <c r="X1631" s="391">
        <f t="shared" ref="X1631:X1653" si="914">+I605</f>
        <v>457</v>
      </c>
      <c r="Y1631" s="391">
        <f t="shared" ref="Y1631:Y1653" si="915">+I632</f>
        <v>505</v>
      </c>
      <c r="Z1631" s="391">
        <f t="shared" ref="Z1631:Z1653" si="916">+I659</f>
        <v>488</v>
      </c>
      <c r="AA1631" s="391">
        <f t="shared" ref="AA1631:AA1653" si="917">+I686</f>
        <v>501</v>
      </c>
      <c r="AB1631" s="391">
        <f t="shared" ref="AB1631:AB1653" si="918">+I713</f>
        <v>444</v>
      </c>
      <c r="AC1631" s="391">
        <f t="shared" ref="AC1631:AC1653" si="919">+I740</f>
        <v>544</v>
      </c>
      <c r="AD1631" s="391">
        <f t="shared" ref="AD1631:AD1653" si="920">+I767</f>
        <v>494</v>
      </c>
      <c r="AE1631" s="391">
        <f t="shared" ref="AE1631:AE1653" si="921">+I794</f>
        <v>453</v>
      </c>
      <c r="AF1631" s="391">
        <f t="shared" si="889"/>
        <v>466</v>
      </c>
      <c r="AG1631" s="391">
        <f t="shared" si="890"/>
        <v>500</v>
      </c>
      <c r="AH1631" s="391">
        <f t="shared" ref="AH1631:AH1653" si="922">+I875</f>
        <v>422</v>
      </c>
      <c r="AI1631" s="391">
        <f t="shared" ref="AI1631:AI1653" si="923">+I902</f>
        <v>388</v>
      </c>
      <c r="AJ1631" s="391">
        <f t="shared" ref="AJ1631:AJ1653" si="924">+I929</f>
        <v>483</v>
      </c>
      <c r="AK1631" s="391">
        <f t="shared" ref="AK1631:AK1653" si="925">+I956</f>
        <v>481</v>
      </c>
      <c r="AL1631" s="391">
        <f t="shared" ref="AL1631:AL1653" si="926">+I983</f>
        <v>524</v>
      </c>
      <c r="AM1631" s="391">
        <f t="shared" ref="AM1631:AM1653" si="927">+I1010</f>
        <v>514</v>
      </c>
      <c r="AN1631" s="391">
        <f t="shared" ref="AN1631:AN1653" si="928">+I1037</f>
        <v>482</v>
      </c>
      <c r="AO1631" s="391">
        <f t="shared" ref="AO1631:AO1653" si="929">+I1064</f>
        <v>518</v>
      </c>
      <c r="AP1631" s="391">
        <f t="shared" ref="AP1631:AP1653" si="930">+I1091</f>
        <v>639</v>
      </c>
      <c r="AQ1631" s="391">
        <f t="shared" ref="AQ1631:AQ1653" si="931">+I1118</f>
        <v>521</v>
      </c>
      <c r="AR1631" s="391">
        <f t="shared" ref="AR1631:AR1653" si="932">+I1145</f>
        <v>591</v>
      </c>
      <c r="AS1631" s="391">
        <f t="shared" ref="AS1631:AS1653" si="933">+I1172</f>
        <v>524</v>
      </c>
      <c r="AT1631" s="391">
        <f t="shared" ref="AT1631:AT1653" si="934">+I1199</f>
        <v>572</v>
      </c>
      <c r="AU1631" s="391">
        <f t="shared" ref="AU1631:AU1653" si="935">+I1226</f>
        <v>355</v>
      </c>
      <c r="AV1631" s="391">
        <f t="shared" ref="AV1631:AV1653" si="936">+I1253</f>
        <v>291</v>
      </c>
      <c r="AW1631" s="391">
        <f t="shared" ref="AW1631:AW1653" si="937">+I1280</f>
        <v>341</v>
      </c>
      <c r="AX1631" s="391">
        <f t="shared" ref="AX1631:AX1653" si="938">+I1307</f>
        <v>463</v>
      </c>
      <c r="AY1631" s="391">
        <f t="shared" ref="AY1631:AY1653" si="939">+I1334</f>
        <v>486</v>
      </c>
      <c r="AZ1631" s="391">
        <f t="shared" ref="AZ1631:AZ1653" si="940">+I1361</f>
        <v>501</v>
      </c>
      <c r="BA1631" s="391">
        <f t="shared" ref="BA1631:BA1653" si="941">+I1388</f>
        <v>369</v>
      </c>
      <c r="BB1631" s="391">
        <f t="shared" ref="BB1631:BB1653" si="942">+I1415</f>
        <v>331</v>
      </c>
      <c r="BC1631" s="391">
        <f t="shared" ref="BC1631:BC1653" si="943">+I1442</f>
        <v>348</v>
      </c>
      <c r="BD1631" s="391">
        <f t="shared" ref="BD1631:BD1653" si="944">+I1469</f>
        <v>358</v>
      </c>
      <c r="BE1631" s="391">
        <f t="shared" ref="BE1631:BE1653" si="945">+I1496</f>
        <v>385</v>
      </c>
      <c r="BF1631" s="391">
        <f t="shared" ref="BF1631:BF1653" si="946">+I1523</f>
        <v>358</v>
      </c>
      <c r="BG1631" s="391">
        <f t="shared" ref="BG1631:BG1653" si="947">+I1550</f>
        <v>337</v>
      </c>
      <c r="BH1631" s="391">
        <f t="shared" ref="BH1631:BH1653" si="948">+I1577</f>
        <v>344</v>
      </c>
      <c r="BI1631" s="391">
        <f t="shared" ref="BI1631:BI1653" si="949">+I1604</f>
        <v>291</v>
      </c>
      <c r="BJ1631" s="391">
        <f t="shared" si="891"/>
        <v>27919</v>
      </c>
      <c r="BK1631" s="78">
        <f t="shared" si="892"/>
        <v>473.20338983050846</v>
      </c>
    </row>
    <row r="1632" spans="1:63" x14ac:dyDescent="0.25">
      <c r="A1632" s="146" t="s">
        <v>13</v>
      </c>
      <c r="B1632" s="78">
        <f t="shared" si="893"/>
        <v>2</v>
      </c>
      <c r="C1632" s="391">
        <f t="shared" si="894"/>
        <v>6</v>
      </c>
      <c r="D1632" s="391">
        <f t="shared" si="895"/>
        <v>14</v>
      </c>
      <c r="E1632" s="391">
        <f t="shared" si="896"/>
        <v>15</v>
      </c>
      <c r="F1632" s="391">
        <f t="shared" si="897"/>
        <v>8</v>
      </c>
      <c r="G1632" s="391">
        <f t="shared" si="898"/>
        <v>14</v>
      </c>
      <c r="H1632" s="391">
        <f t="shared" si="899"/>
        <v>15</v>
      </c>
      <c r="I1632" s="391">
        <f t="shared" si="888"/>
        <v>12</v>
      </c>
      <c r="J1632" s="391">
        <f t="shared" si="900"/>
        <v>13</v>
      </c>
      <c r="K1632" s="391">
        <f t="shared" si="901"/>
        <v>16</v>
      </c>
      <c r="L1632" s="391">
        <f t="shared" si="902"/>
        <v>12</v>
      </c>
      <c r="M1632" s="391">
        <f t="shared" si="903"/>
        <v>16</v>
      </c>
      <c r="N1632" s="391">
        <f t="shared" si="904"/>
        <v>12</v>
      </c>
      <c r="O1632" s="391">
        <f t="shared" si="905"/>
        <v>17</v>
      </c>
      <c r="P1632" s="391">
        <f t="shared" si="906"/>
        <v>11</v>
      </c>
      <c r="Q1632" s="391">
        <f t="shared" si="907"/>
        <v>17</v>
      </c>
      <c r="R1632" s="391">
        <f t="shared" si="908"/>
        <v>15</v>
      </c>
      <c r="S1632" s="391">
        <f t="shared" si="909"/>
        <v>11</v>
      </c>
      <c r="T1632" s="391">
        <f t="shared" si="910"/>
        <v>10</v>
      </c>
      <c r="U1632" s="391">
        <f t="shared" si="911"/>
        <v>13</v>
      </c>
      <c r="V1632" s="391">
        <f t="shared" si="912"/>
        <v>14</v>
      </c>
      <c r="W1632" s="391">
        <f t="shared" si="913"/>
        <v>17</v>
      </c>
      <c r="X1632" s="391">
        <f t="shared" si="914"/>
        <v>11</v>
      </c>
      <c r="Y1632" s="391">
        <f t="shared" si="915"/>
        <v>15</v>
      </c>
      <c r="Z1632" s="391">
        <f t="shared" si="916"/>
        <v>17</v>
      </c>
      <c r="AA1632" s="391">
        <f t="shared" si="917"/>
        <v>22</v>
      </c>
      <c r="AB1632" s="391">
        <f t="shared" si="918"/>
        <v>15</v>
      </c>
      <c r="AC1632" s="391">
        <f t="shared" si="919"/>
        <v>28</v>
      </c>
      <c r="AD1632" s="391">
        <f t="shared" si="920"/>
        <v>12</v>
      </c>
      <c r="AE1632" s="391">
        <f t="shared" si="921"/>
        <v>15</v>
      </c>
      <c r="AF1632" s="391">
        <f t="shared" si="889"/>
        <v>15</v>
      </c>
      <c r="AG1632" s="391">
        <f t="shared" si="890"/>
        <v>19</v>
      </c>
      <c r="AH1632" s="391">
        <f t="shared" si="922"/>
        <v>17</v>
      </c>
      <c r="AI1632" s="391">
        <f t="shared" si="923"/>
        <v>12</v>
      </c>
      <c r="AJ1632" s="391">
        <f t="shared" si="924"/>
        <v>14</v>
      </c>
      <c r="AK1632" s="391">
        <f t="shared" si="925"/>
        <v>11</v>
      </c>
      <c r="AL1632" s="391">
        <f t="shared" si="926"/>
        <v>17</v>
      </c>
      <c r="AM1632" s="391">
        <f t="shared" si="927"/>
        <v>10</v>
      </c>
      <c r="AN1632" s="391">
        <f t="shared" si="928"/>
        <v>15</v>
      </c>
      <c r="AO1632" s="391">
        <f t="shared" si="929"/>
        <v>17</v>
      </c>
      <c r="AP1632" s="391">
        <f t="shared" si="930"/>
        <v>17</v>
      </c>
      <c r="AQ1632" s="391">
        <f t="shared" si="931"/>
        <v>18</v>
      </c>
      <c r="AR1632" s="391">
        <f t="shared" si="932"/>
        <v>20</v>
      </c>
      <c r="AS1632" s="391">
        <f t="shared" si="933"/>
        <v>16</v>
      </c>
      <c r="AT1632" s="391">
        <f t="shared" si="934"/>
        <v>13</v>
      </c>
      <c r="AU1632" s="391">
        <f t="shared" si="935"/>
        <v>14</v>
      </c>
      <c r="AV1632" s="391">
        <f t="shared" si="936"/>
        <v>12</v>
      </c>
      <c r="AW1632" s="391">
        <f t="shared" si="937"/>
        <v>10</v>
      </c>
      <c r="AX1632" s="391">
        <f t="shared" si="938"/>
        <v>10</v>
      </c>
      <c r="AY1632" s="391">
        <f t="shared" si="939"/>
        <v>18</v>
      </c>
      <c r="AZ1632" s="391">
        <f t="shared" si="940"/>
        <v>17</v>
      </c>
      <c r="BA1632" s="391">
        <f t="shared" si="941"/>
        <v>10</v>
      </c>
      <c r="BB1632" s="391">
        <f t="shared" si="942"/>
        <v>8</v>
      </c>
      <c r="BC1632" s="391">
        <f t="shared" si="943"/>
        <v>14</v>
      </c>
      <c r="BD1632" s="391">
        <f t="shared" si="944"/>
        <v>2</v>
      </c>
      <c r="BE1632" s="391">
        <f t="shared" si="945"/>
        <v>9</v>
      </c>
      <c r="BF1632" s="391">
        <f t="shared" si="946"/>
        <v>9</v>
      </c>
      <c r="BG1632" s="391">
        <f t="shared" si="947"/>
        <v>9</v>
      </c>
      <c r="BH1632" s="391">
        <f t="shared" si="948"/>
        <v>8</v>
      </c>
      <c r="BI1632" s="391">
        <f t="shared" si="949"/>
        <v>17</v>
      </c>
      <c r="BJ1632" s="391">
        <f t="shared" si="891"/>
        <v>813</v>
      </c>
      <c r="BK1632" s="78">
        <f t="shared" si="892"/>
        <v>13.779661016949152</v>
      </c>
    </row>
    <row r="1633" spans="1:63" x14ac:dyDescent="0.25">
      <c r="A1633" s="146" t="s">
        <v>14</v>
      </c>
      <c r="B1633" s="78">
        <f t="shared" si="893"/>
        <v>50</v>
      </c>
      <c r="C1633" s="391">
        <f t="shared" si="894"/>
        <v>445</v>
      </c>
      <c r="D1633" s="391">
        <f t="shared" si="895"/>
        <v>547</v>
      </c>
      <c r="E1633" s="391">
        <f t="shared" si="896"/>
        <v>579</v>
      </c>
      <c r="F1633" s="391">
        <f t="shared" si="897"/>
        <v>557</v>
      </c>
      <c r="G1633" s="391">
        <f t="shared" si="898"/>
        <v>529</v>
      </c>
      <c r="H1633" s="391">
        <f t="shared" si="899"/>
        <v>498</v>
      </c>
      <c r="I1633" s="391">
        <f t="shared" si="888"/>
        <v>526</v>
      </c>
      <c r="J1633" s="391">
        <f t="shared" si="900"/>
        <v>488</v>
      </c>
      <c r="K1633" s="391">
        <f t="shared" si="901"/>
        <v>430</v>
      </c>
      <c r="L1633" s="391">
        <f t="shared" si="902"/>
        <v>436</v>
      </c>
      <c r="M1633" s="391">
        <f t="shared" si="903"/>
        <v>451</v>
      </c>
      <c r="N1633" s="391">
        <f t="shared" si="904"/>
        <v>423</v>
      </c>
      <c r="O1633" s="391">
        <f t="shared" si="905"/>
        <v>464</v>
      </c>
      <c r="P1633" s="391">
        <f t="shared" si="906"/>
        <v>485</v>
      </c>
      <c r="Q1633" s="391">
        <f t="shared" si="907"/>
        <v>486</v>
      </c>
      <c r="R1633" s="391">
        <f t="shared" si="908"/>
        <v>479</v>
      </c>
      <c r="S1633" s="391">
        <f t="shared" si="909"/>
        <v>483</v>
      </c>
      <c r="T1633" s="391">
        <f t="shared" si="910"/>
        <v>474</v>
      </c>
      <c r="U1633" s="391">
        <f t="shared" si="911"/>
        <v>457</v>
      </c>
      <c r="V1633" s="391">
        <f t="shared" si="912"/>
        <v>475</v>
      </c>
      <c r="W1633" s="391">
        <f t="shared" si="913"/>
        <v>432</v>
      </c>
      <c r="X1633" s="391">
        <f t="shared" si="914"/>
        <v>390</v>
      </c>
      <c r="Y1633" s="391">
        <f t="shared" si="915"/>
        <v>452</v>
      </c>
      <c r="Z1633" s="391">
        <f t="shared" si="916"/>
        <v>445</v>
      </c>
      <c r="AA1633" s="391">
        <f t="shared" si="917"/>
        <v>459</v>
      </c>
      <c r="AB1633" s="391">
        <f t="shared" si="918"/>
        <v>449</v>
      </c>
      <c r="AC1633" s="391">
        <f t="shared" si="919"/>
        <v>377</v>
      </c>
      <c r="AD1633" s="391">
        <f t="shared" si="920"/>
        <v>446</v>
      </c>
      <c r="AE1633" s="391">
        <f t="shared" si="921"/>
        <v>478</v>
      </c>
      <c r="AF1633" s="391">
        <f t="shared" si="889"/>
        <v>414</v>
      </c>
      <c r="AG1633" s="391">
        <f t="shared" si="890"/>
        <v>439</v>
      </c>
      <c r="AH1633" s="391">
        <f t="shared" si="922"/>
        <v>444</v>
      </c>
      <c r="AI1633" s="391">
        <f t="shared" si="923"/>
        <v>441</v>
      </c>
      <c r="AJ1633" s="391">
        <f t="shared" si="924"/>
        <v>376</v>
      </c>
      <c r="AK1633" s="391">
        <f t="shared" si="925"/>
        <v>416</v>
      </c>
      <c r="AL1633" s="391">
        <f t="shared" si="926"/>
        <v>412</v>
      </c>
      <c r="AM1633" s="391">
        <f t="shared" si="927"/>
        <v>435</v>
      </c>
      <c r="AN1633" s="391">
        <f t="shared" si="928"/>
        <v>435</v>
      </c>
      <c r="AO1633" s="391">
        <f t="shared" si="929"/>
        <v>410</v>
      </c>
      <c r="AP1633" s="391">
        <f t="shared" si="930"/>
        <v>377</v>
      </c>
      <c r="AQ1633" s="391">
        <f t="shared" si="931"/>
        <v>414</v>
      </c>
      <c r="AR1633" s="391">
        <f t="shared" si="932"/>
        <v>461</v>
      </c>
      <c r="AS1633" s="391">
        <f t="shared" si="933"/>
        <v>401</v>
      </c>
      <c r="AT1633" s="391">
        <f t="shared" si="934"/>
        <v>373</v>
      </c>
      <c r="AU1633" s="391">
        <f t="shared" si="935"/>
        <v>329</v>
      </c>
      <c r="AV1633" s="391">
        <f t="shared" si="936"/>
        <v>335</v>
      </c>
      <c r="AW1633" s="391">
        <f t="shared" si="937"/>
        <v>313</v>
      </c>
      <c r="AX1633" s="391">
        <f t="shared" si="938"/>
        <v>332</v>
      </c>
      <c r="AY1633" s="391">
        <f t="shared" si="939"/>
        <v>386</v>
      </c>
      <c r="AZ1633" s="391">
        <f t="shared" si="940"/>
        <v>373</v>
      </c>
      <c r="BA1633" s="391">
        <f t="shared" si="941"/>
        <v>380</v>
      </c>
      <c r="BB1633" s="391">
        <f t="shared" si="942"/>
        <v>343</v>
      </c>
      <c r="BC1633" s="391">
        <f t="shared" si="943"/>
        <v>392</v>
      </c>
      <c r="BD1633" s="391">
        <f t="shared" si="944"/>
        <v>351</v>
      </c>
      <c r="BE1633" s="391">
        <f t="shared" si="945"/>
        <v>420</v>
      </c>
      <c r="BF1633" s="391">
        <f t="shared" si="946"/>
        <v>433</v>
      </c>
      <c r="BG1633" s="391">
        <f t="shared" si="947"/>
        <v>358</v>
      </c>
      <c r="BH1633" s="391">
        <f t="shared" si="948"/>
        <v>358</v>
      </c>
      <c r="BI1633" s="391">
        <f t="shared" si="949"/>
        <v>352</v>
      </c>
      <c r="BJ1633" s="391">
        <f t="shared" si="891"/>
        <v>25393</v>
      </c>
      <c r="BK1633" s="78">
        <f t="shared" si="892"/>
        <v>430.38983050847457</v>
      </c>
    </row>
    <row r="1634" spans="1:63" x14ac:dyDescent="0.25">
      <c r="A1634" s="146" t="s">
        <v>15</v>
      </c>
      <c r="B1634" s="78">
        <f t="shared" si="893"/>
        <v>13</v>
      </c>
      <c r="C1634" s="391">
        <f t="shared" si="894"/>
        <v>52</v>
      </c>
      <c r="D1634" s="391">
        <f t="shared" si="895"/>
        <v>21</v>
      </c>
      <c r="E1634" s="391">
        <f t="shared" si="896"/>
        <v>6</v>
      </c>
      <c r="F1634" s="391">
        <f t="shared" si="897"/>
        <v>3</v>
      </c>
      <c r="G1634" s="391">
        <f t="shared" si="898"/>
        <v>1</v>
      </c>
      <c r="H1634" s="391">
        <f t="shared" si="899"/>
        <v>0</v>
      </c>
      <c r="I1634" s="391">
        <f t="shared" si="888"/>
        <v>16</v>
      </c>
      <c r="J1634" s="391">
        <f t="shared" si="900"/>
        <v>46</v>
      </c>
      <c r="K1634" s="391">
        <f t="shared" si="901"/>
        <v>20</v>
      </c>
      <c r="L1634" s="391">
        <f t="shared" si="902"/>
        <v>13</v>
      </c>
      <c r="M1634" s="391">
        <f t="shared" si="903"/>
        <v>2</v>
      </c>
      <c r="N1634" s="391">
        <f t="shared" si="904"/>
        <v>18</v>
      </c>
      <c r="O1634" s="391">
        <f t="shared" si="905"/>
        <v>10</v>
      </c>
      <c r="P1634" s="391">
        <f t="shared" si="906"/>
        <v>17</v>
      </c>
      <c r="Q1634" s="391">
        <f t="shared" si="907"/>
        <v>7</v>
      </c>
      <c r="R1634" s="391">
        <f t="shared" si="908"/>
        <v>16</v>
      </c>
      <c r="S1634" s="391">
        <f t="shared" si="909"/>
        <v>11</v>
      </c>
      <c r="T1634" s="391">
        <f t="shared" si="910"/>
        <v>3</v>
      </c>
      <c r="U1634" s="391">
        <f t="shared" si="911"/>
        <v>0</v>
      </c>
      <c r="V1634" s="391">
        <f t="shared" si="912"/>
        <v>2</v>
      </c>
      <c r="W1634" s="391">
        <f t="shared" si="913"/>
        <v>2</v>
      </c>
      <c r="X1634" s="391">
        <f t="shared" si="914"/>
        <v>0</v>
      </c>
      <c r="Y1634" s="391">
        <f t="shared" si="915"/>
        <v>2</v>
      </c>
      <c r="Z1634" s="391">
        <f t="shared" si="916"/>
        <v>0</v>
      </c>
      <c r="AA1634" s="391">
        <f t="shared" si="917"/>
        <v>0</v>
      </c>
      <c r="AB1634" s="391">
        <f t="shared" si="918"/>
        <v>0</v>
      </c>
      <c r="AC1634" s="391">
        <f t="shared" si="919"/>
        <v>0</v>
      </c>
      <c r="AD1634" s="391">
        <f t="shared" si="920"/>
        <v>1</v>
      </c>
      <c r="AE1634" s="391">
        <f t="shared" si="921"/>
        <v>0</v>
      </c>
      <c r="AF1634" s="391">
        <f t="shared" si="889"/>
        <v>2</v>
      </c>
      <c r="AG1634" s="391">
        <f t="shared" si="890"/>
        <v>0</v>
      </c>
      <c r="AH1634" s="391">
        <f t="shared" si="922"/>
        <v>2</v>
      </c>
      <c r="AI1634" s="391">
        <f t="shared" si="923"/>
        <v>0</v>
      </c>
      <c r="AJ1634" s="391">
        <f t="shared" si="924"/>
        <v>0</v>
      </c>
      <c r="AK1634" s="391">
        <f t="shared" si="925"/>
        <v>0</v>
      </c>
      <c r="AL1634" s="391">
        <f t="shared" si="926"/>
        <v>0</v>
      </c>
      <c r="AM1634" s="391">
        <f t="shared" si="927"/>
        <v>0</v>
      </c>
      <c r="AN1634" s="391">
        <f t="shared" si="928"/>
        <v>0</v>
      </c>
      <c r="AO1634" s="391">
        <f t="shared" si="929"/>
        <v>0</v>
      </c>
      <c r="AP1634" s="391">
        <f t="shared" si="930"/>
        <v>0</v>
      </c>
      <c r="AQ1634" s="391">
        <f t="shared" si="931"/>
        <v>1</v>
      </c>
      <c r="AR1634" s="391">
        <f t="shared" si="932"/>
        <v>0</v>
      </c>
      <c r="AS1634" s="391">
        <f t="shared" si="933"/>
        <v>29</v>
      </c>
      <c r="AT1634" s="391">
        <f t="shared" si="934"/>
        <v>8</v>
      </c>
      <c r="AU1634" s="391">
        <f t="shared" si="935"/>
        <v>18</v>
      </c>
      <c r="AV1634" s="391">
        <f t="shared" si="936"/>
        <v>47</v>
      </c>
      <c r="AW1634" s="391">
        <f t="shared" si="937"/>
        <v>22</v>
      </c>
      <c r="AX1634" s="391">
        <f t="shared" si="938"/>
        <v>16</v>
      </c>
      <c r="AY1634" s="391">
        <f t="shared" si="939"/>
        <v>24</v>
      </c>
      <c r="AZ1634" s="391">
        <f t="shared" si="940"/>
        <v>30</v>
      </c>
      <c r="BA1634" s="391">
        <f t="shared" si="941"/>
        <v>36</v>
      </c>
      <c r="BB1634" s="391">
        <f t="shared" si="942"/>
        <v>39</v>
      </c>
      <c r="BC1634" s="391">
        <f t="shared" si="943"/>
        <v>59</v>
      </c>
      <c r="BD1634" s="391">
        <f t="shared" si="944"/>
        <v>50</v>
      </c>
      <c r="BE1634" s="391">
        <f t="shared" si="945"/>
        <v>52</v>
      </c>
      <c r="BF1634" s="391">
        <f t="shared" si="946"/>
        <v>41</v>
      </c>
      <c r="BG1634" s="391">
        <f t="shared" si="947"/>
        <v>43</v>
      </c>
      <c r="BH1634" s="391">
        <f t="shared" si="948"/>
        <v>44</v>
      </c>
      <c r="BI1634" s="391">
        <f t="shared" si="949"/>
        <v>61</v>
      </c>
      <c r="BJ1634" s="391">
        <f t="shared" si="891"/>
        <v>906</v>
      </c>
      <c r="BK1634" s="78">
        <f t="shared" si="892"/>
        <v>15.35593220338983</v>
      </c>
    </row>
    <row r="1635" spans="1:63" x14ac:dyDescent="0.25">
      <c r="A1635" s="146" t="s">
        <v>16</v>
      </c>
      <c r="B1635" s="78">
        <f t="shared" si="893"/>
        <v>0</v>
      </c>
      <c r="C1635" s="391">
        <f t="shared" si="894"/>
        <v>0</v>
      </c>
      <c r="D1635" s="391">
        <f t="shared" si="895"/>
        <v>0</v>
      </c>
      <c r="E1635" s="391">
        <f t="shared" si="896"/>
        <v>3</v>
      </c>
      <c r="F1635" s="391">
        <f t="shared" si="897"/>
        <v>0</v>
      </c>
      <c r="G1635" s="391">
        <f t="shared" si="898"/>
        <v>0</v>
      </c>
      <c r="H1635" s="391">
        <f t="shared" si="899"/>
        <v>0</v>
      </c>
      <c r="I1635" s="391">
        <f t="shared" si="888"/>
        <v>5</v>
      </c>
      <c r="J1635" s="391">
        <f t="shared" si="900"/>
        <v>1</v>
      </c>
      <c r="K1635" s="391">
        <f t="shared" si="901"/>
        <v>1</v>
      </c>
      <c r="L1635" s="391">
        <f t="shared" si="902"/>
        <v>2</v>
      </c>
      <c r="M1635" s="391">
        <f t="shared" si="903"/>
        <v>0</v>
      </c>
      <c r="N1635" s="391">
        <f t="shared" si="904"/>
        <v>1</v>
      </c>
      <c r="O1635" s="391">
        <f t="shared" si="905"/>
        <v>1</v>
      </c>
      <c r="P1635" s="391">
        <f t="shared" si="906"/>
        <v>0</v>
      </c>
      <c r="Q1635" s="391">
        <f t="shared" si="907"/>
        <v>0</v>
      </c>
      <c r="R1635" s="391">
        <f t="shared" si="908"/>
        <v>0</v>
      </c>
      <c r="S1635" s="391">
        <f t="shared" si="909"/>
        <v>0</v>
      </c>
      <c r="T1635" s="391">
        <f t="shared" si="910"/>
        <v>0</v>
      </c>
      <c r="U1635" s="391">
        <f t="shared" si="911"/>
        <v>0</v>
      </c>
      <c r="V1635" s="391">
        <f t="shared" si="912"/>
        <v>0</v>
      </c>
      <c r="W1635" s="391">
        <f t="shared" si="913"/>
        <v>0</v>
      </c>
      <c r="X1635" s="391">
        <f t="shared" si="914"/>
        <v>0</v>
      </c>
      <c r="Y1635" s="391">
        <f t="shared" si="915"/>
        <v>0</v>
      </c>
      <c r="Z1635" s="391">
        <f t="shared" si="916"/>
        <v>0</v>
      </c>
      <c r="AA1635" s="391">
        <f t="shared" si="917"/>
        <v>0</v>
      </c>
      <c r="AB1635" s="391">
        <f t="shared" si="918"/>
        <v>0</v>
      </c>
      <c r="AC1635" s="391">
        <f t="shared" si="919"/>
        <v>0</v>
      </c>
      <c r="AD1635" s="391">
        <f t="shared" si="920"/>
        <v>0</v>
      </c>
      <c r="AE1635" s="391">
        <f t="shared" si="921"/>
        <v>0</v>
      </c>
      <c r="AF1635" s="391">
        <f t="shared" si="889"/>
        <v>0</v>
      </c>
      <c r="AG1635" s="391">
        <f t="shared" si="890"/>
        <v>2</v>
      </c>
      <c r="AH1635" s="391">
        <f t="shared" si="922"/>
        <v>0</v>
      </c>
      <c r="AI1635" s="391">
        <f t="shared" si="923"/>
        <v>0</v>
      </c>
      <c r="AJ1635" s="391">
        <f t="shared" si="924"/>
        <v>0</v>
      </c>
      <c r="AK1635" s="391">
        <f t="shared" si="925"/>
        <v>0</v>
      </c>
      <c r="AL1635" s="391">
        <f t="shared" si="926"/>
        <v>0</v>
      </c>
      <c r="AM1635" s="391">
        <f t="shared" si="927"/>
        <v>0</v>
      </c>
      <c r="AN1635" s="391">
        <f t="shared" si="928"/>
        <v>0</v>
      </c>
      <c r="AO1635" s="391">
        <f t="shared" si="929"/>
        <v>0</v>
      </c>
      <c r="AP1635" s="391">
        <f t="shared" si="930"/>
        <v>0</v>
      </c>
      <c r="AQ1635" s="391">
        <f t="shared" si="931"/>
        <v>2</v>
      </c>
      <c r="AR1635" s="391">
        <f t="shared" si="932"/>
        <v>1</v>
      </c>
      <c r="AS1635" s="391">
        <f t="shared" si="933"/>
        <v>2</v>
      </c>
      <c r="AT1635" s="391">
        <f t="shared" si="934"/>
        <v>2</v>
      </c>
      <c r="AU1635" s="391">
        <f t="shared" si="935"/>
        <v>3</v>
      </c>
      <c r="AV1635" s="391">
        <f t="shared" si="936"/>
        <v>0</v>
      </c>
      <c r="AW1635" s="391">
        <f t="shared" si="937"/>
        <v>1</v>
      </c>
      <c r="AX1635" s="391">
        <f t="shared" si="938"/>
        <v>1</v>
      </c>
      <c r="AY1635" s="391">
        <f t="shared" si="939"/>
        <v>0</v>
      </c>
      <c r="AZ1635" s="391">
        <f t="shared" si="940"/>
        <v>2</v>
      </c>
      <c r="BA1635" s="391">
        <f t="shared" si="941"/>
        <v>0</v>
      </c>
      <c r="BB1635" s="391">
        <f t="shared" si="942"/>
        <v>1</v>
      </c>
      <c r="BC1635" s="391">
        <f t="shared" si="943"/>
        <v>0</v>
      </c>
      <c r="BD1635" s="391">
        <f t="shared" si="944"/>
        <v>3</v>
      </c>
      <c r="BE1635" s="391">
        <f t="shared" si="945"/>
        <v>0</v>
      </c>
      <c r="BF1635" s="391">
        <f t="shared" si="946"/>
        <v>0</v>
      </c>
      <c r="BG1635" s="391">
        <f t="shared" si="947"/>
        <v>1</v>
      </c>
      <c r="BH1635" s="391">
        <f t="shared" si="948"/>
        <v>1</v>
      </c>
      <c r="BI1635" s="391">
        <f t="shared" si="949"/>
        <v>0</v>
      </c>
      <c r="BJ1635" s="391">
        <f t="shared" si="891"/>
        <v>36</v>
      </c>
      <c r="BK1635" s="78">
        <f t="shared" si="892"/>
        <v>0.61016949152542377</v>
      </c>
    </row>
    <row r="1636" spans="1:63" x14ac:dyDescent="0.25">
      <c r="A1636" s="103" t="s">
        <v>17</v>
      </c>
      <c r="B1636" s="192">
        <f t="shared" si="893"/>
        <v>195</v>
      </c>
      <c r="C1636" s="278">
        <f t="shared" si="894"/>
        <v>850</v>
      </c>
      <c r="D1636" s="278">
        <f t="shared" si="895"/>
        <v>1066</v>
      </c>
      <c r="E1636" s="278">
        <f t="shared" si="896"/>
        <v>1143</v>
      </c>
      <c r="F1636" s="278">
        <f t="shared" si="897"/>
        <v>1073</v>
      </c>
      <c r="G1636" s="278">
        <f t="shared" si="898"/>
        <v>990</v>
      </c>
      <c r="H1636" s="278">
        <f t="shared" si="899"/>
        <v>1036</v>
      </c>
      <c r="I1636" s="278">
        <f t="shared" si="888"/>
        <v>1214</v>
      </c>
      <c r="J1636" s="278">
        <f t="shared" si="900"/>
        <v>1083</v>
      </c>
      <c r="K1636" s="278">
        <f t="shared" si="901"/>
        <v>1018</v>
      </c>
      <c r="L1636" s="278">
        <f t="shared" si="902"/>
        <v>889</v>
      </c>
      <c r="M1636" s="278">
        <f t="shared" si="903"/>
        <v>1019</v>
      </c>
      <c r="N1636" s="278">
        <f t="shared" si="904"/>
        <v>971</v>
      </c>
      <c r="O1636" s="278">
        <f t="shared" si="905"/>
        <v>1072</v>
      </c>
      <c r="P1636" s="278">
        <f t="shared" si="906"/>
        <v>1043</v>
      </c>
      <c r="Q1636" s="278">
        <f t="shared" si="907"/>
        <v>1088</v>
      </c>
      <c r="R1636" s="278">
        <f t="shared" si="908"/>
        <v>1027</v>
      </c>
      <c r="S1636" s="278">
        <f t="shared" si="909"/>
        <v>999</v>
      </c>
      <c r="T1636" s="278">
        <f t="shared" si="910"/>
        <v>972</v>
      </c>
      <c r="U1636" s="278">
        <f t="shared" si="911"/>
        <v>885</v>
      </c>
      <c r="V1636" s="278">
        <f t="shared" si="912"/>
        <v>1030</v>
      </c>
      <c r="W1636" s="278">
        <f t="shared" si="913"/>
        <v>954</v>
      </c>
      <c r="X1636" s="278">
        <f t="shared" si="914"/>
        <v>858</v>
      </c>
      <c r="Y1636" s="278">
        <f t="shared" si="915"/>
        <v>974</v>
      </c>
      <c r="Z1636" s="278">
        <f t="shared" si="916"/>
        <v>950</v>
      </c>
      <c r="AA1636" s="278">
        <f t="shared" si="917"/>
        <v>982</v>
      </c>
      <c r="AB1636" s="278">
        <f t="shared" si="918"/>
        <v>908</v>
      </c>
      <c r="AC1636" s="278">
        <f t="shared" si="919"/>
        <v>949</v>
      </c>
      <c r="AD1636" s="278">
        <f t="shared" si="920"/>
        <v>953</v>
      </c>
      <c r="AE1636" s="278">
        <f t="shared" si="921"/>
        <v>946</v>
      </c>
      <c r="AF1636" s="278">
        <f t="shared" si="889"/>
        <v>897</v>
      </c>
      <c r="AG1636" s="278">
        <f t="shared" si="890"/>
        <v>960</v>
      </c>
      <c r="AH1636" s="278">
        <f t="shared" si="922"/>
        <v>885</v>
      </c>
      <c r="AI1636" s="278">
        <f t="shared" si="923"/>
        <v>841</v>
      </c>
      <c r="AJ1636" s="278">
        <f t="shared" si="924"/>
        <v>873</v>
      </c>
      <c r="AK1636" s="278">
        <f t="shared" si="925"/>
        <v>908</v>
      </c>
      <c r="AL1636" s="278">
        <f t="shared" si="926"/>
        <v>953</v>
      </c>
      <c r="AM1636" s="278">
        <f t="shared" si="927"/>
        <v>959</v>
      </c>
      <c r="AN1636" s="278">
        <f t="shared" si="928"/>
        <v>932</v>
      </c>
      <c r="AO1636" s="278">
        <f t="shared" si="929"/>
        <v>945</v>
      </c>
      <c r="AP1636" s="278">
        <f t="shared" si="930"/>
        <v>1033</v>
      </c>
      <c r="AQ1636" s="278">
        <f t="shared" si="931"/>
        <v>956</v>
      </c>
      <c r="AR1636" s="278">
        <f t="shared" si="932"/>
        <v>1073</v>
      </c>
      <c r="AS1636" s="278">
        <f t="shared" si="933"/>
        <v>972</v>
      </c>
      <c r="AT1636" s="278">
        <f t="shared" si="934"/>
        <v>968</v>
      </c>
      <c r="AU1636" s="278">
        <f t="shared" si="935"/>
        <v>719</v>
      </c>
      <c r="AV1636" s="278">
        <f t="shared" si="936"/>
        <v>685</v>
      </c>
      <c r="AW1636" s="278">
        <f t="shared" si="937"/>
        <v>687</v>
      </c>
      <c r="AX1636" s="278">
        <f t="shared" si="938"/>
        <v>822</v>
      </c>
      <c r="AY1636" s="278">
        <f t="shared" si="939"/>
        <v>914</v>
      </c>
      <c r="AZ1636" s="278">
        <f t="shared" si="940"/>
        <v>923</v>
      </c>
      <c r="BA1636" s="278">
        <f t="shared" si="941"/>
        <v>795</v>
      </c>
      <c r="BB1636" s="278">
        <f t="shared" si="942"/>
        <v>722</v>
      </c>
      <c r="BC1636" s="278">
        <f t="shared" si="943"/>
        <v>813</v>
      </c>
      <c r="BD1636" s="278">
        <f t="shared" si="944"/>
        <v>764</v>
      </c>
      <c r="BE1636" s="278">
        <f t="shared" si="945"/>
        <v>866</v>
      </c>
      <c r="BF1636" s="278">
        <f t="shared" si="946"/>
        <v>841</v>
      </c>
      <c r="BG1636" s="278">
        <f t="shared" si="947"/>
        <v>748</v>
      </c>
      <c r="BH1636" s="278">
        <f t="shared" si="948"/>
        <v>755</v>
      </c>
      <c r="BI1636" s="278">
        <f t="shared" si="949"/>
        <v>721</v>
      </c>
      <c r="BJ1636" s="278">
        <f t="shared" si="891"/>
        <v>55067</v>
      </c>
      <c r="BK1636" s="193">
        <f t="shared" si="892"/>
        <v>933.33898305084745</v>
      </c>
    </row>
    <row r="1637" spans="1:63" x14ac:dyDescent="0.25">
      <c r="A1637" s="146" t="s">
        <v>18</v>
      </c>
      <c r="B1637" s="22">
        <f t="shared" si="893"/>
        <v>0.7498375657354468</v>
      </c>
      <c r="C1637" s="22">
        <f t="shared" si="894"/>
        <v>0.45054551061313647</v>
      </c>
      <c r="D1637" s="22">
        <f t="shared" si="895"/>
        <v>0.50608771956775644</v>
      </c>
      <c r="E1637" s="22">
        <f t="shared" si="896"/>
        <v>0.52542574724782909</v>
      </c>
      <c r="F1637" s="22">
        <f t="shared" si="897"/>
        <v>0.51106167442469264</v>
      </c>
      <c r="G1637" s="22">
        <f t="shared" si="898"/>
        <v>0.51797173865400392</v>
      </c>
      <c r="H1637" s="22">
        <f t="shared" si="899"/>
        <v>0.54862620129414119</v>
      </c>
      <c r="I1637" s="22">
        <f t="shared" si="888"/>
        <v>0.53670569959072811</v>
      </c>
      <c r="J1637" s="22">
        <f t="shared" si="900"/>
        <v>0.54154075657046041</v>
      </c>
      <c r="K1637" s="22">
        <f t="shared" si="901"/>
        <v>0.58908248513480044</v>
      </c>
      <c r="L1637" s="22">
        <f t="shared" si="902"/>
        <v>0.52195786570876745</v>
      </c>
      <c r="M1637" s="22">
        <f t="shared" si="903"/>
        <v>0.58660070522840391</v>
      </c>
      <c r="N1637" s="22">
        <f t="shared" si="904"/>
        <v>0.59372504751176791</v>
      </c>
      <c r="O1637" s="22">
        <f t="shared" si="905"/>
        <v>0.59238200514986394</v>
      </c>
      <c r="P1637" s="22">
        <f t="shared" si="906"/>
        <v>0.55910459792053457</v>
      </c>
      <c r="Q1637" s="22">
        <f t="shared" si="907"/>
        <v>0.58943050263834518</v>
      </c>
      <c r="R1637" s="22">
        <f t="shared" si="908"/>
        <v>0.54914509367756514</v>
      </c>
      <c r="S1637" s="22">
        <f t="shared" si="909"/>
        <v>0.54172616357314507</v>
      </c>
      <c r="T1637" s="22">
        <f t="shared" si="910"/>
        <v>0.55498126264512526</v>
      </c>
      <c r="U1637" s="22">
        <f t="shared" si="911"/>
        <v>0.52580627589190865</v>
      </c>
      <c r="V1637" s="22">
        <f t="shared" si="912"/>
        <v>0.57783007152404831</v>
      </c>
      <c r="W1637" s="22">
        <f t="shared" si="913"/>
        <v>0.58651288665498913</v>
      </c>
      <c r="X1637" s="22">
        <f t="shared" si="914"/>
        <v>0.58532722988131125</v>
      </c>
      <c r="Y1637" s="22">
        <f t="shared" si="915"/>
        <v>0.57708269609580698</v>
      </c>
      <c r="Z1637" s="22">
        <f t="shared" si="916"/>
        <v>0.56416854069162803</v>
      </c>
      <c r="AA1637" s="22">
        <f t="shared" si="917"/>
        <v>0.57202242726752217</v>
      </c>
      <c r="AB1637" s="22">
        <f t="shared" si="918"/>
        <v>0.55125611675018149</v>
      </c>
      <c r="AC1637" s="22">
        <f t="shared" si="919"/>
        <v>0.62469393853462307</v>
      </c>
      <c r="AD1637" s="22">
        <f t="shared" si="920"/>
        <v>0.5871311558563671</v>
      </c>
      <c r="AE1637" s="22">
        <f t="shared" si="921"/>
        <v>0.53786439708537337</v>
      </c>
      <c r="AF1637" s="22">
        <f t="shared" si="889"/>
        <v>0.57317142264477938</v>
      </c>
      <c r="AG1637" s="22">
        <f t="shared" si="890"/>
        <v>0.54159651092333694</v>
      </c>
      <c r="AH1637" s="22">
        <f t="shared" si="922"/>
        <v>0.53187396516792118</v>
      </c>
      <c r="AI1637" s="22">
        <f t="shared" si="923"/>
        <v>0.50792336054791365</v>
      </c>
      <c r="AJ1637" s="22">
        <f t="shared" si="924"/>
        <v>0.61116189030446866</v>
      </c>
      <c r="AK1637" s="22">
        <f t="shared" si="925"/>
        <v>0.57299188342268059</v>
      </c>
      <c r="AL1637" s="22">
        <f t="shared" si="926"/>
        <v>0.58735402980575557</v>
      </c>
      <c r="AM1637" s="22">
        <f t="shared" si="927"/>
        <v>0.59719586821624149</v>
      </c>
      <c r="AN1637" s="22">
        <f t="shared" si="928"/>
        <v>0.59145739993673152</v>
      </c>
      <c r="AO1637" s="22">
        <f t="shared" si="929"/>
        <v>0.59982141719825444</v>
      </c>
      <c r="AP1637" s="22">
        <f t="shared" si="930"/>
        <v>0.6681197497894249</v>
      </c>
      <c r="AQ1637" s="22">
        <f t="shared" si="931"/>
        <v>0.60701564052868318</v>
      </c>
      <c r="AR1637" s="22">
        <f t="shared" si="932"/>
        <v>0.6126635358963114</v>
      </c>
      <c r="AS1637" s="22">
        <f t="shared" si="933"/>
        <v>0.59745792829104416</v>
      </c>
      <c r="AT1637" s="22">
        <f t="shared" si="934"/>
        <v>0.66290516457281512</v>
      </c>
      <c r="AU1637" s="22">
        <f t="shared" si="935"/>
        <v>0.54960820800382704</v>
      </c>
      <c r="AV1637" s="22">
        <f t="shared" si="936"/>
        <v>0.48076079682101119</v>
      </c>
      <c r="AW1637" s="22">
        <f t="shared" si="937"/>
        <v>0.53442444317183047</v>
      </c>
      <c r="AX1637" s="22">
        <f t="shared" si="938"/>
        <v>0.61702174558690215</v>
      </c>
      <c r="AY1637" s="22">
        <f t="shared" si="939"/>
        <v>0.58005226117585662</v>
      </c>
      <c r="AZ1637" s="22">
        <f t="shared" si="940"/>
        <v>0.59541686212358813</v>
      </c>
      <c r="BA1637" s="22">
        <f t="shared" si="941"/>
        <v>0.51967566509331997</v>
      </c>
      <c r="BB1637" s="22">
        <f t="shared" si="942"/>
        <v>0.52785398273858608</v>
      </c>
      <c r="BC1637" s="22">
        <f t="shared" si="943"/>
        <v>0.5006144782647467</v>
      </c>
      <c r="BD1637" s="22">
        <f t="shared" si="944"/>
        <v>0.53736504907441718</v>
      </c>
      <c r="BE1637" s="22">
        <f t="shared" si="945"/>
        <v>0.53294361682833347</v>
      </c>
      <c r="BF1637" s="22">
        <f t="shared" si="946"/>
        <v>0.50085805893236968</v>
      </c>
      <c r="BG1637" s="22">
        <f t="shared" si="947"/>
        <v>0.52889112123449955</v>
      </c>
      <c r="BH1637" s="22">
        <f t="shared" si="948"/>
        <v>0.53888088835741854</v>
      </c>
      <c r="BI1637" s="22">
        <f t="shared" si="949"/>
        <v>0.49259162708320892</v>
      </c>
      <c r="BJ1637" s="30">
        <f>BJ1644/BJ1649</f>
        <v>0.56207992108578264</v>
      </c>
      <c r="BK1637" s="30">
        <f>BK1644/BK1649</f>
        <v>0.56207992108578264</v>
      </c>
    </row>
    <row r="1638" spans="1:63" x14ac:dyDescent="0.25">
      <c r="A1638" s="146" t="s">
        <v>19</v>
      </c>
      <c r="B1638" s="22">
        <f t="shared" si="893"/>
        <v>9.2557591176235833E-3</v>
      </c>
      <c r="C1638" s="22">
        <f t="shared" si="894"/>
        <v>7.3045818245509294E-3</v>
      </c>
      <c r="D1638" s="22">
        <f t="shared" si="895"/>
        <v>1.0250278053262256E-2</v>
      </c>
      <c r="E1638" s="22">
        <f t="shared" si="896"/>
        <v>1.7312773735659717E-2</v>
      </c>
      <c r="F1638" s="22">
        <f t="shared" si="897"/>
        <v>7.5845183563784807E-3</v>
      </c>
      <c r="G1638" s="22">
        <f t="shared" si="898"/>
        <v>1.060168223615084E-2</v>
      </c>
      <c r="H1638" s="22">
        <f t="shared" si="899"/>
        <v>1.4539390568350217E-2</v>
      </c>
      <c r="I1638" s="22">
        <f t="shared" si="888"/>
        <v>5.7262393997773615E-2</v>
      </c>
      <c r="J1638" s="22">
        <f t="shared" si="900"/>
        <v>8.6879965451433297E-3</v>
      </c>
      <c r="K1638" s="22">
        <f t="shared" si="901"/>
        <v>1.3881837708253632E-2</v>
      </c>
      <c r="L1638" s="22">
        <f t="shared" si="902"/>
        <v>1.3987624431777949E-2</v>
      </c>
      <c r="M1638" s="22">
        <f t="shared" si="903"/>
        <v>1.6503238881730026E-2</v>
      </c>
      <c r="N1638" s="22">
        <f t="shared" si="904"/>
        <v>9.3190536998456735E-3</v>
      </c>
      <c r="O1638" s="22">
        <f t="shared" si="905"/>
        <v>1.3346930463464695E-2</v>
      </c>
      <c r="P1638" s="22">
        <f t="shared" si="906"/>
        <v>1.3206917027671582E-2</v>
      </c>
      <c r="Q1638" s="22">
        <f t="shared" si="907"/>
        <v>1.43448755446695E-2</v>
      </c>
      <c r="R1638" s="22">
        <f t="shared" si="908"/>
        <v>1.7839163397055165E-2</v>
      </c>
      <c r="S1638" s="22">
        <f t="shared" si="909"/>
        <v>8.8239659490752954E-3</v>
      </c>
      <c r="T1638" s="22">
        <f t="shared" si="910"/>
        <v>1.0810491318330893E-2</v>
      </c>
      <c r="U1638" s="22">
        <f t="shared" si="911"/>
        <v>1.6223854441941379E-2</v>
      </c>
      <c r="V1638" s="22">
        <f t="shared" si="912"/>
        <v>1.3346545180986982E-2</v>
      </c>
      <c r="W1638" s="22">
        <f t="shared" si="913"/>
        <v>2.1330381512656038E-2</v>
      </c>
      <c r="X1638" s="22">
        <f t="shared" si="914"/>
        <v>1.5699925220231153E-2</v>
      </c>
      <c r="Y1638" s="22">
        <f t="shared" si="915"/>
        <v>1.5576446255487876E-2</v>
      </c>
      <c r="Z1638" s="22">
        <f t="shared" si="916"/>
        <v>2.2951492286475684E-2</v>
      </c>
      <c r="AA1638" s="22">
        <f t="shared" si="917"/>
        <v>1.6753015640407733E-2</v>
      </c>
      <c r="AB1638" s="22">
        <f t="shared" si="918"/>
        <v>1.9123966339057288E-2</v>
      </c>
      <c r="AC1638" s="22">
        <f t="shared" si="919"/>
        <v>3.3290748658367758E-2</v>
      </c>
      <c r="AD1638" s="22">
        <f t="shared" si="920"/>
        <v>1.2672106972447438E-2</v>
      </c>
      <c r="AE1638" s="22">
        <f t="shared" si="921"/>
        <v>2.4121680236617243E-2</v>
      </c>
      <c r="AF1638" s="22">
        <f t="shared" si="889"/>
        <v>1.4265379108750892E-2</v>
      </c>
      <c r="AG1638" s="22">
        <f t="shared" si="890"/>
        <v>1.3225698018128744E-2</v>
      </c>
      <c r="AH1638" s="22">
        <f t="shared" si="922"/>
        <v>1.6777498499929853E-2</v>
      </c>
      <c r="AI1638" s="22">
        <f t="shared" si="923"/>
        <v>1.8073435950587271E-2</v>
      </c>
      <c r="AJ1638" s="22">
        <f t="shared" si="924"/>
        <v>1.3183458965578283E-2</v>
      </c>
      <c r="AK1638" s="22">
        <f t="shared" si="925"/>
        <v>1.2173273423660676E-2</v>
      </c>
      <c r="AL1638" s="22">
        <f t="shared" si="926"/>
        <v>1.4841335780250911E-2</v>
      </c>
      <c r="AM1638" s="22">
        <f t="shared" si="927"/>
        <v>1.0205662472489843E-2</v>
      </c>
      <c r="AN1638" s="22">
        <f t="shared" si="928"/>
        <v>1.1751382651176086E-2</v>
      </c>
      <c r="AO1638" s="22">
        <f t="shared" si="929"/>
        <v>1.657303286063401E-2</v>
      </c>
      <c r="AP1638" s="22">
        <f t="shared" si="930"/>
        <v>1.1881538820076341E-2</v>
      </c>
      <c r="AQ1638" s="22">
        <f t="shared" si="931"/>
        <v>1.8371952386202418E-2</v>
      </c>
      <c r="AR1638" s="22">
        <f t="shared" si="932"/>
        <v>2.1995879693821326E-2</v>
      </c>
      <c r="AS1638" s="22">
        <f t="shared" si="933"/>
        <v>1.8251114811873276E-2</v>
      </c>
      <c r="AT1638" s="22">
        <f t="shared" si="934"/>
        <v>8.6435907487991005E-3</v>
      </c>
      <c r="AU1638" s="22">
        <f t="shared" si="935"/>
        <v>1.649279847373156E-2</v>
      </c>
      <c r="AV1638" s="22">
        <f t="shared" si="936"/>
        <v>1.943283792874129E-2</v>
      </c>
      <c r="AW1638" s="22">
        <f t="shared" si="937"/>
        <v>1.2079039484232225E-2</v>
      </c>
      <c r="AX1638" s="22">
        <f t="shared" si="938"/>
        <v>1.2735711784525539E-2</v>
      </c>
      <c r="AY1638" s="22">
        <f t="shared" si="939"/>
        <v>2.7152276326015027E-2</v>
      </c>
      <c r="AZ1638" s="22">
        <f t="shared" si="940"/>
        <v>2.0498230362022276E-2</v>
      </c>
      <c r="BA1638" s="22">
        <f t="shared" si="941"/>
        <v>1.2775148407601628E-2</v>
      </c>
      <c r="BB1638" s="22">
        <f t="shared" si="942"/>
        <v>1.518140225857373E-2</v>
      </c>
      <c r="BC1638" s="22">
        <f t="shared" si="943"/>
        <v>1.9001177449864102E-2</v>
      </c>
      <c r="BD1638" s="22">
        <f t="shared" si="944"/>
        <v>1.0163529035827196E-3</v>
      </c>
      <c r="BE1638" s="22">
        <f t="shared" si="945"/>
        <v>1.0087586455700275E-2</v>
      </c>
      <c r="BF1638" s="22">
        <f t="shared" si="946"/>
        <v>9.6764156818805198E-3</v>
      </c>
      <c r="BG1638" s="22">
        <f t="shared" si="947"/>
        <v>1.4631939281687361E-2</v>
      </c>
      <c r="BH1638" s="22">
        <f t="shared" si="948"/>
        <v>1.4029298022585512E-2</v>
      </c>
      <c r="BI1638" s="22">
        <f t="shared" si="949"/>
        <v>1.7422986900651308E-2</v>
      </c>
      <c r="BJ1638" s="30">
        <f>BJ1645/BJ1649</f>
        <v>1.5783742053211768E-2</v>
      </c>
      <c r="BK1638" s="30">
        <f>BK1645/BK1649</f>
        <v>1.5783742053211768E-2</v>
      </c>
    </row>
    <row r="1639" spans="1:63" x14ac:dyDescent="0.25">
      <c r="A1639" s="146" t="s">
        <v>20</v>
      </c>
      <c r="B1639" s="22">
        <f t="shared" si="893"/>
        <v>0.18404607294098868</v>
      </c>
      <c r="C1639" s="22">
        <f t="shared" si="894"/>
        <v>0.4987619865188172</v>
      </c>
      <c r="D1639" s="22">
        <f t="shared" si="895"/>
        <v>0.46810126503815863</v>
      </c>
      <c r="E1639" s="22">
        <f t="shared" si="896"/>
        <v>0.44826562411347048</v>
      </c>
      <c r="F1639" s="22">
        <f t="shared" si="897"/>
        <v>0.47714224657699511</v>
      </c>
      <c r="G1639" s="22">
        <f t="shared" si="898"/>
        <v>0.47014523915619999</v>
      </c>
      <c r="H1639" s="22">
        <f t="shared" si="899"/>
        <v>0.43683440813750857</v>
      </c>
      <c r="I1639" s="22">
        <f t="shared" si="888"/>
        <v>0.39341442257507064</v>
      </c>
      <c r="J1639" s="22">
        <f t="shared" si="900"/>
        <v>0.40955096121494788</v>
      </c>
      <c r="K1639" s="22">
        <f t="shared" si="901"/>
        <v>0.37878173238426166</v>
      </c>
      <c r="L1639" s="22">
        <f t="shared" si="902"/>
        <v>0.44829269501696983</v>
      </c>
      <c r="M1639" s="22">
        <f t="shared" si="903"/>
        <v>0.3959923082959475</v>
      </c>
      <c r="N1639" s="22">
        <f t="shared" si="904"/>
        <v>0.37742379231541279</v>
      </c>
      <c r="O1639" s="22">
        <f t="shared" si="905"/>
        <v>0.38241179803246428</v>
      </c>
      <c r="P1639" s="22">
        <f t="shared" si="906"/>
        <v>0.4097025049011781</v>
      </c>
      <c r="Q1639" s="22">
        <f t="shared" si="907"/>
        <v>0.38916179030270021</v>
      </c>
      <c r="R1639" s="22">
        <f t="shared" si="908"/>
        <v>0.42210972462171342</v>
      </c>
      <c r="S1639" s="22">
        <f t="shared" si="909"/>
        <v>0.4414232607705369</v>
      </c>
      <c r="T1639" s="22">
        <f t="shared" si="910"/>
        <v>0.43316421253515691</v>
      </c>
      <c r="U1639" s="22">
        <f t="shared" si="911"/>
        <v>0.45796986966615005</v>
      </c>
      <c r="V1639" s="22">
        <f t="shared" si="912"/>
        <v>0.40730022290309492</v>
      </c>
      <c r="W1639" s="22">
        <f t="shared" si="913"/>
        <v>0.39071869741862236</v>
      </c>
      <c r="X1639" s="22">
        <f t="shared" si="914"/>
        <v>0.39897284489845763</v>
      </c>
      <c r="Y1639" s="22">
        <f t="shared" si="915"/>
        <v>0.40575579881869517</v>
      </c>
      <c r="Z1639" s="22">
        <f t="shared" si="916"/>
        <v>0.41287996702189622</v>
      </c>
      <c r="AA1639" s="22">
        <f t="shared" si="917"/>
        <v>0.41122455709207006</v>
      </c>
      <c r="AB1639" s="22">
        <f t="shared" si="918"/>
        <v>0.42961991691076129</v>
      </c>
      <c r="AC1639" s="22">
        <f t="shared" si="919"/>
        <v>0.34201531280700898</v>
      </c>
      <c r="AD1639" s="22">
        <f t="shared" si="920"/>
        <v>0.39907208142069939</v>
      </c>
      <c r="AE1639" s="22">
        <f t="shared" si="921"/>
        <v>0.43801392267800948</v>
      </c>
      <c r="AF1639" s="22">
        <f t="shared" si="889"/>
        <v>0.4114021532720844</v>
      </c>
      <c r="AG1639" s="22">
        <f t="shared" si="890"/>
        <v>0.4407939416807497</v>
      </c>
      <c r="AH1639" s="22">
        <f t="shared" si="922"/>
        <v>0.44385717895625015</v>
      </c>
      <c r="AI1639" s="22">
        <f t="shared" si="923"/>
        <v>0.47400320350149922</v>
      </c>
      <c r="AJ1639" s="22">
        <f t="shared" si="924"/>
        <v>0.37565465072995319</v>
      </c>
      <c r="AK1639" s="22">
        <f t="shared" si="925"/>
        <v>0.41483484315365887</v>
      </c>
      <c r="AL1639" s="22">
        <f t="shared" si="926"/>
        <v>0.39780463441399355</v>
      </c>
      <c r="AM1639" s="22">
        <f t="shared" si="927"/>
        <v>0.39259846931126874</v>
      </c>
      <c r="AN1639" s="22">
        <f t="shared" si="928"/>
        <v>0.39679121741209228</v>
      </c>
      <c r="AO1639" s="22">
        <f t="shared" si="929"/>
        <v>0.38360554994111162</v>
      </c>
      <c r="AP1639" s="22">
        <f t="shared" si="930"/>
        <v>0.31999871139049879</v>
      </c>
      <c r="AQ1639" s="22">
        <f t="shared" si="931"/>
        <v>0.37250688757866407</v>
      </c>
      <c r="AR1639" s="22">
        <f t="shared" si="932"/>
        <v>0.36430898472809425</v>
      </c>
      <c r="AS1639" s="22">
        <f t="shared" si="933"/>
        <v>0.35603560362470899</v>
      </c>
      <c r="AT1639" s="22">
        <f t="shared" si="934"/>
        <v>0.31757481151635303</v>
      </c>
      <c r="AU1639" s="22">
        <f t="shared" si="935"/>
        <v>0.39005205105245905</v>
      </c>
      <c r="AV1639" s="22">
        <f t="shared" si="936"/>
        <v>0.43514201117607348</v>
      </c>
      <c r="AW1639" s="22">
        <f t="shared" si="937"/>
        <v>0.42862427808563114</v>
      </c>
      <c r="AX1639" s="22">
        <f t="shared" si="938"/>
        <v>0.35189990571849938</v>
      </c>
      <c r="AY1639" s="22">
        <f t="shared" si="939"/>
        <v>0.36791028216135513</v>
      </c>
      <c r="AZ1639" s="22">
        <f t="shared" si="940"/>
        <v>0.35548152331158717</v>
      </c>
      <c r="BA1639" s="22">
        <f t="shared" si="941"/>
        <v>0.42417551451844721</v>
      </c>
      <c r="BB1639" s="22">
        <f t="shared" si="942"/>
        <v>0.41192582705459263</v>
      </c>
      <c r="BC1639" s="22">
        <f t="shared" si="943"/>
        <v>0.41525992768252756</v>
      </c>
      <c r="BD1639" s="22">
        <f t="shared" si="944"/>
        <v>0.40258861665867296</v>
      </c>
      <c r="BE1639" s="22">
        <f t="shared" si="945"/>
        <v>0.40598454103208514</v>
      </c>
      <c r="BF1639" s="22">
        <f t="shared" si="946"/>
        <v>0.45156554535791815</v>
      </c>
      <c r="BG1639" s="22">
        <f t="shared" si="947"/>
        <v>0.41376903577023288</v>
      </c>
      <c r="BH1639" s="22">
        <f t="shared" si="948"/>
        <v>0.39896077981064887</v>
      </c>
      <c r="BI1639" s="22">
        <f t="shared" si="949"/>
        <v>0.42109764959842028</v>
      </c>
      <c r="BJ1639" s="30">
        <f>BJ1646/BJ1649</f>
        <v>0.40715334122098107</v>
      </c>
      <c r="BK1639" s="30">
        <f>BK1646/BK1649</f>
        <v>0.40715334122098107</v>
      </c>
    </row>
    <row r="1640" spans="1:63" x14ac:dyDescent="0.25">
      <c r="A1640" s="146" t="s">
        <v>21</v>
      </c>
      <c r="B1640" s="22">
        <f t="shared" si="893"/>
        <v>5.6860602205941038E-2</v>
      </c>
      <c r="C1640" s="22">
        <f t="shared" si="894"/>
        <v>4.3387921043495425E-2</v>
      </c>
      <c r="D1640" s="22">
        <f t="shared" si="895"/>
        <v>1.5560737340822544E-2</v>
      </c>
      <c r="E1640" s="22">
        <f t="shared" si="896"/>
        <v>6.3880413073723547E-3</v>
      </c>
      <c r="F1640" s="22">
        <f t="shared" si="897"/>
        <v>4.2115606419337584E-3</v>
      </c>
      <c r="G1640" s="22">
        <f t="shared" si="898"/>
        <v>1.2813399536451594E-3</v>
      </c>
      <c r="H1640" s="22">
        <f t="shared" si="899"/>
        <v>0</v>
      </c>
      <c r="I1640" s="22">
        <f t="shared" si="888"/>
        <v>7.5832126083247645E-3</v>
      </c>
      <c r="J1640" s="22">
        <f t="shared" si="900"/>
        <v>3.8417365970121201E-2</v>
      </c>
      <c r="K1640" s="22">
        <f t="shared" si="901"/>
        <v>1.6404153206551742E-2</v>
      </c>
      <c r="L1640" s="22">
        <f t="shared" si="902"/>
        <v>1.1838746907525005E-2</v>
      </c>
      <c r="M1640" s="22">
        <f t="shared" si="903"/>
        <v>9.0374759391860179E-4</v>
      </c>
      <c r="N1640" s="22">
        <f t="shared" si="904"/>
        <v>1.7898580476486306E-2</v>
      </c>
      <c r="O1640" s="22">
        <f t="shared" si="905"/>
        <v>1.185926635420716E-2</v>
      </c>
      <c r="P1640" s="22">
        <f t="shared" si="906"/>
        <v>1.7985980150615748E-2</v>
      </c>
      <c r="Q1640" s="22">
        <f t="shared" si="907"/>
        <v>7.0628315142851374E-3</v>
      </c>
      <c r="R1640" s="22">
        <f t="shared" si="908"/>
        <v>1.0906018303666262E-2</v>
      </c>
      <c r="S1640" s="22">
        <f t="shared" si="909"/>
        <v>8.0266097072425636E-3</v>
      </c>
      <c r="T1640" s="22">
        <f t="shared" si="910"/>
        <v>1.0440335013869432E-3</v>
      </c>
      <c r="U1640" s="22">
        <f t="shared" si="911"/>
        <v>0</v>
      </c>
      <c r="V1640" s="22">
        <f t="shared" si="912"/>
        <v>1.523160391869905E-3</v>
      </c>
      <c r="W1640" s="22">
        <f t="shared" si="913"/>
        <v>1.4380344137325499E-3</v>
      </c>
      <c r="X1640" s="22">
        <f t="shared" si="914"/>
        <v>0</v>
      </c>
      <c r="Y1640" s="22">
        <f t="shared" si="915"/>
        <v>1.5850588300099888E-3</v>
      </c>
      <c r="Z1640" s="22">
        <f t="shared" si="916"/>
        <v>0</v>
      </c>
      <c r="AA1640" s="22">
        <f t="shared" si="917"/>
        <v>0</v>
      </c>
      <c r="AB1640" s="22">
        <f t="shared" si="918"/>
        <v>0</v>
      </c>
      <c r="AC1640" s="22">
        <f t="shared" si="919"/>
        <v>0</v>
      </c>
      <c r="AD1640" s="22">
        <f t="shared" si="920"/>
        <v>1.124655750485982E-3</v>
      </c>
      <c r="AE1640" s="22">
        <f t="shared" si="921"/>
        <v>0</v>
      </c>
      <c r="AF1640" s="22">
        <f t="shared" si="889"/>
        <v>1.1610449743853953E-3</v>
      </c>
      <c r="AG1640" s="22">
        <f t="shared" si="890"/>
        <v>0</v>
      </c>
      <c r="AH1640" s="22">
        <f t="shared" si="922"/>
        <v>7.4913573758987389E-3</v>
      </c>
      <c r="AI1640" s="22">
        <f t="shared" si="923"/>
        <v>0</v>
      </c>
      <c r="AJ1640" s="22">
        <f t="shared" si="924"/>
        <v>0</v>
      </c>
      <c r="AK1640" s="22">
        <f t="shared" si="925"/>
        <v>0</v>
      </c>
      <c r="AL1640" s="22">
        <f t="shared" si="926"/>
        <v>0</v>
      </c>
      <c r="AM1640" s="22">
        <f t="shared" si="927"/>
        <v>0</v>
      </c>
      <c r="AN1640" s="22">
        <f t="shared" si="928"/>
        <v>0</v>
      </c>
      <c r="AO1640" s="22">
        <f t="shared" si="929"/>
        <v>0</v>
      </c>
      <c r="AP1640" s="22">
        <f t="shared" si="930"/>
        <v>0</v>
      </c>
      <c r="AQ1640" s="22">
        <f t="shared" si="931"/>
        <v>0</v>
      </c>
      <c r="AR1640" s="22">
        <f t="shared" si="932"/>
        <v>0</v>
      </c>
      <c r="AS1640" s="22">
        <f t="shared" si="933"/>
        <v>2.6467370467026918E-2</v>
      </c>
      <c r="AT1640" s="22">
        <f t="shared" si="934"/>
        <v>7.4193729444115954E-3</v>
      </c>
      <c r="AU1640" s="22">
        <f t="shared" si="935"/>
        <v>1.7128361608149109E-2</v>
      </c>
      <c r="AV1640" s="22">
        <f t="shared" si="936"/>
        <v>6.4664354074174105E-2</v>
      </c>
      <c r="AW1640" s="22">
        <f t="shared" si="937"/>
        <v>2.2109976267437402E-2</v>
      </c>
      <c r="AX1640" s="22">
        <f t="shared" si="938"/>
        <v>1.7254736565109584E-2</v>
      </c>
      <c r="AY1640" s="22">
        <f t="shared" si="939"/>
        <v>2.4885180336773262E-2</v>
      </c>
      <c r="AZ1640" s="22">
        <f t="shared" si="940"/>
        <v>2.737657233753862E-2</v>
      </c>
      <c r="BA1640" s="22">
        <f t="shared" si="941"/>
        <v>4.3373671980631155E-2</v>
      </c>
      <c r="BB1640" s="22">
        <f t="shared" si="942"/>
        <v>4.5038787948247692E-2</v>
      </c>
      <c r="BC1640" s="22">
        <f t="shared" si="943"/>
        <v>6.5124416602861585E-2</v>
      </c>
      <c r="BD1640" s="22">
        <f t="shared" si="944"/>
        <v>5.1175629933965662E-2</v>
      </c>
      <c r="BE1640" s="22">
        <f t="shared" si="945"/>
        <v>5.0984255683881007E-2</v>
      </c>
      <c r="BF1640" s="22">
        <f t="shared" si="946"/>
        <v>3.7899980027831584E-2</v>
      </c>
      <c r="BG1640" s="22">
        <f t="shared" si="947"/>
        <v>4.1307372954737312E-2</v>
      </c>
      <c r="BH1640" s="22">
        <f t="shared" si="948"/>
        <v>4.3801043137005662E-2</v>
      </c>
      <c r="BI1640" s="22">
        <f t="shared" si="949"/>
        <v>6.8887736417719531E-2</v>
      </c>
      <c r="BJ1640" s="30">
        <f>BJ1647/BJ1649</f>
        <v>1.378706275364161E-2</v>
      </c>
      <c r="BK1640" s="30">
        <f>BK1647/BK1649</f>
        <v>1.378706275364161E-2</v>
      </c>
    </row>
    <row r="1641" spans="1:63" x14ac:dyDescent="0.25">
      <c r="A1641" s="146" t="s">
        <v>22</v>
      </c>
      <c r="B1641" s="22">
        <f t="shared" si="893"/>
        <v>0</v>
      </c>
      <c r="C1641" s="22">
        <f t="shared" si="894"/>
        <v>0</v>
      </c>
      <c r="D1641" s="22">
        <f t="shared" si="895"/>
        <v>0</v>
      </c>
      <c r="E1641" s="22">
        <f t="shared" si="896"/>
        <v>2.6078135956682925E-3</v>
      </c>
      <c r="F1641" s="22">
        <f t="shared" si="897"/>
        <v>0</v>
      </c>
      <c r="G1641" s="22">
        <f t="shared" si="898"/>
        <v>0</v>
      </c>
      <c r="H1641" s="22">
        <f t="shared" si="899"/>
        <v>0</v>
      </c>
      <c r="I1641" s="22">
        <f t="shared" si="888"/>
        <v>5.0342712281028247E-3</v>
      </c>
      <c r="J1641" s="22">
        <f t="shared" si="900"/>
        <v>1.802919699327211E-3</v>
      </c>
      <c r="K1641" s="22">
        <f t="shared" si="901"/>
        <v>1.8497915661323579E-3</v>
      </c>
      <c r="L1641" s="22">
        <f t="shared" si="902"/>
        <v>3.9230679349599286E-3</v>
      </c>
      <c r="M1641" s="22">
        <f t="shared" si="903"/>
        <v>0</v>
      </c>
      <c r="N1641" s="22">
        <f t="shared" si="904"/>
        <v>1.6335259964873521E-3</v>
      </c>
      <c r="O1641" s="22">
        <f t="shared" si="905"/>
        <v>0</v>
      </c>
      <c r="P1641" s="22">
        <f t="shared" si="906"/>
        <v>0</v>
      </c>
      <c r="Q1641" s="22">
        <f t="shared" si="907"/>
        <v>0</v>
      </c>
      <c r="R1641" s="22">
        <f t="shared" si="908"/>
        <v>0</v>
      </c>
      <c r="S1641" s="22">
        <f t="shared" si="909"/>
        <v>0</v>
      </c>
      <c r="T1641" s="22">
        <f t="shared" si="910"/>
        <v>0</v>
      </c>
      <c r="U1641" s="22">
        <f t="shared" si="911"/>
        <v>0</v>
      </c>
      <c r="V1641" s="22">
        <f t="shared" si="912"/>
        <v>0</v>
      </c>
      <c r="W1641" s="22">
        <f t="shared" si="913"/>
        <v>0</v>
      </c>
      <c r="X1641" s="22">
        <f t="shared" si="914"/>
        <v>0</v>
      </c>
      <c r="Y1641" s="22">
        <f t="shared" si="915"/>
        <v>0</v>
      </c>
      <c r="Z1641" s="22">
        <f t="shared" si="916"/>
        <v>0</v>
      </c>
      <c r="AA1641" s="22">
        <f t="shared" si="917"/>
        <v>0</v>
      </c>
      <c r="AB1641" s="22">
        <f t="shared" si="918"/>
        <v>0</v>
      </c>
      <c r="AC1641" s="22">
        <f t="shared" si="919"/>
        <v>0</v>
      </c>
      <c r="AD1641" s="22">
        <f t="shared" si="920"/>
        <v>0</v>
      </c>
      <c r="AE1641" s="22">
        <f t="shared" si="921"/>
        <v>0</v>
      </c>
      <c r="AF1641" s="22">
        <f t="shared" si="889"/>
        <v>0</v>
      </c>
      <c r="AG1641" s="22">
        <f t="shared" si="890"/>
        <v>4.3838493777846061E-3</v>
      </c>
      <c r="AH1641" s="22">
        <f t="shared" si="922"/>
        <v>0</v>
      </c>
      <c r="AI1641" s="22">
        <f t="shared" si="923"/>
        <v>0</v>
      </c>
      <c r="AJ1641" s="22">
        <f t="shared" si="924"/>
        <v>0</v>
      </c>
      <c r="AK1641" s="22">
        <f t="shared" si="925"/>
        <v>0</v>
      </c>
      <c r="AL1641" s="22">
        <f t="shared" si="926"/>
        <v>0</v>
      </c>
      <c r="AM1641" s="22">
        <f t="shared" si="927"/>
        <v>0</v>
      </c>
      <c r="AN1641" s="22">
        <f t="shared" si="928"/>
        <v>0</v>
      </c>
      <c r="AO1641" s="22">
        <f t="shared" si="929"/>
        <v>0</v>
      </c>
      <c r="AP1641" s="22">
        <f t="shared" si="930"/>
        <v>0</v>
      </c>
      <c r="AQ1641" s="22">
        <f t="shared" si="931"/>
        <v>2.1055195064504143E-3</v>
      </c>
      <c r="AR1641" s="22">
        <f t="shared" si="932"/>
        <v>1.0315996817729703E-3</v>
      </c>
      <c r="AS1641" s="22">
        <f t="shared" si="933"/>
        <v>1.7879828053468621E-3</v>
      </c>
      <c r="AT1641" s="22">
        <f t="shared" si="934"/>
        <v>3.457060217621228E-3</v>
      </c>
      <c r="AU1641" s="22">
        <f t="shared" si="935"/>
        <v>2.6718580861833457E-2</v>
      </c>
      <c r="AV1641" s="22">
        <f t="shared" si="936"/>
        <v>0</v>
      </c>
      <c r="AW1641" s="22">
        <f t="shared" si="937"/>
        <v>2.7622629908689547E-3</v>
      </c>
      <c r="AX1641" s="22">
        <f t="shared" si="938"/>
        <v>1.0879003449633018E-3</v>
      </c>
      <c r="AY1641" s="22">
        <f t="shared" si="939"/>
        <v>0</v>
      </c>
      <c r="AZ1641" s="22">
        <f t="shared" si="940"/>
        <v>1.2268118652637877E-3</v>
      </c>
      <c r="BA1641" s="22">
        <f t="shared" si="941"/>
        <v>0</v>
      </c>
      <c r="BB1641" s="22">
        <f t="shared" si="942"/>
        <v>0</v>
      </c>
      <c r="BC1641" s="22">
        <f t="shared" si="943"/>
        <v>0</v>
      </c>
      <c r="BD1641" s="22">
        <f t="shared" si="944"/>
        <v>7.8543514293616303E-3</v>
      </c>
      <c r="BE1641" s="22">
        <f t="shared" si="945"/>
        <v>0</v>
      </c>
      <c r="BF1641" s="22">
        <f t="shared" si="946"/>
        <v>0</v>
      </c>
      <c r="BG1641" s="22">
        <f t="shared" si="947"/>
        <v>1.4005307588427654E-3</v>
      </c>
      <c r="BH1641" s="22">
        <f t="shared" si="948"/>
        <v>4.3279906723414788E-3</v>
      </c>
      <c r="BI1641" s="22">
        <f t="shared" si="949"/>
        <v>0</v>
      </c>
      <c r="BJ1641" s="30">
        <f>BJ1648/BJ1649</f>
        <v>1.1959328863824978E-3</v>
      </c>
      <c r="BK1641" s="30">
        <f>BK1648/BK1649</f>
        <v>1.195932886382498E-3</v>
      </c>
    </row>
    <row r="1642" spans="1:63" x14ac:dyDescent="0.25">
      <c r="A1642" s="195" t="s">
        <v>23</v>
      </c>
      <c r="B1642" s="497">
        <f t="shared" si="893"/>
        <v>34176.410256410258</v>
      </c>
      <c r="C1642" s="497">
        <f t="shared" si="894"/>
        <v>33299.294117647056</v>
      </c>
      <c r="D1642" s="497">
        <f t="shared" si="895"/>
        <v>33279.549718574119</v>
      </c>
      <c r="E1642" s="497">
        <f t="shared" si="896"/>
        <v>33130.97112860893</v>
      </c>
      <c r="F1642" s="497">
        <f t="shared" si="897"/>
        <v>33744.175209692454</v>
      </c>
      <c r="G1642" s="497">
        <f t="shared" si="898"/>
        <v>32450.808080808085</v>
      </c>
      <c r="H1642" s="497">
        <f t="shared" si="899"/>
        <v>33288.899613899623</v>
      </c>
      <c r="I1642" s="497">
        <f t="shared" si="888"/>
        <v>34430.148270181227</v>
      </c>
      <c r="J1642" s="497">
        <f t="shared" si="900"/>
        <v>32990.212373037859</v>
      </c>
      <c r="K1642" s="497">
        <f t="shared" si="901"/>
        <v>34667.583497053056</v>
      </c>
      <c r="L1642" s="497">
        <f t="shared" si="902"/>
        <v>33902.362204724406</v>
      </c>
      <c r="M1642" s="497">
        <f t="shared" si="903"/>
        <v>33738.763493621198</v>
      </c>
      <c r="N1642" s="497">
        <f t="shared" si="904"/>
        <v>34047.373841400622</v>
      </c>
      <c r="O1642" s="497">
        <f t="shared" si="905"/>
        <v>33719.682835820895</v>
      </c>
      <c r="P1642" s="497">
        <f t="shared" si="906"/>
        <v>34092.521572387341</v>
      </c>
      <c r="Q1642" s="497">
        <f t="shared" si="907"/>
        <v>33529.227941176468</v>
      </c>
      <c r="R1642" s="497">
        <f t="shared" si="908"/>
        <v>33640.798442064268</v>
      </c>
      <c r="S1642" s="497">
        <f t="shared" si="909"/>
        <v>33414.61461461462</v>
      </c>
      <c r="T1642" s="497">
        <f t="shared" si="910"/>
        <v>33440.946502057617</v>
      </c>
      <c r="U1642" s="497">
        <f t="shared" si="911"/>
        <v>33939.096045197737</v>
      </c>
      <c r="V1642" s="497">
        <f t="shared" si="912"/>
        <v>35486.699029126212</v>
      </c>
      <c r="W1642" s="497">
        <f t="shared" si="913"/>
        <v>34266.981132075474</v>
      </c>
      <c r="X1642" s="497">
        <f t="shared" si="914"/>
        <v>35541.958041958045</v>
      </c>
      <c r="Y1642" s="497">
        <f t="shared" si="915"/>
        <v>33484.599589322388</v>
      </c>
      <c r="Z1642" s="497">
        <f t="shared" si="916"/>
        <v>34004.000000000007</v>
      </c>
      <c r="AA1642" s="497">
        <f t="shared" si="917"/>
        <v>33455.39714867618</v>
      </c>
      <c r="AB1642" s="497">
        <f t="shared" si="918"/>
        <v>34654.074889867843</v>
      </c>
      <c r="AC1642" s="497">
        <f t="shared" si="919"/>
        <v>33877.449947312969</v>
      </c>
      <c r="AD1642" s="497">
        <f t="shared" si="920"/>
        <v>34572.717733473248</v>
      </c>
      <c r="AE1642" s="497">
        <f t="shared" si="921"/>
        <v>33647.885835095134</v>
      </c>
      <c r="AF1642" s="497">
        <f t="shared" si="889"/>
        <v>34110.47937569677</v>
      </c>
      <c r="AG1642" s="497">
        <f t="shared" si="890"/>
        <v>35203.020833333336</v>
      </c>
      <c r="AH1642" s="497">
        <f t="shared" si="922"/>
        <v>33786.327683615826</v>
      </c>
      <c r="AI1642" s="497">
        <f t="shared" si="923"/>
        <v>34511.414982164089</v>
      </c>
      <c r="AJ1642" s="497">
        <f t="shared" si="924"/>
        <v>33773.539518900347</v>
      </c>
      <c r="AK1642" s="497">
        <f t="shared" si="925"/>
        <v>34225.110132158588</v>
      </c>
      <c r="AL1642" s="497">
        <f t="shared" si="926"/>
        <v>34463.903462749215</v>
      </c>
      <c r="AM1642" s="497">
        <f t="shared" si="927"/>
        <v>32643.274244004166</v>
      </c>
      <c r="AN1642" s="497">
        <f t="shared" si="928"/>
        <v>34758.798283261807</v>
      </c>
      <c r="AO1642" s="497">
        <f t="shared" si="929"/>
        <v>34433.968253968254</v>
      </c>
      <c r="AP1642" s="497">
        <f t="shared" si="930"/>
        <v>34779.670861568258</v>
      </c>
      <c r="AQ1642" s="497">
        <f t="shared" si="931"/>
        <v>33854.81171548117</v>
      </c>
      <c r="AR1642" s="497">
        <f t="shared" si="932"/>
        <v>34453.774464119299</v>
      </c>
      <c r="AS1642" s="497">
        <f t="shared" si="933"/>
        <v>34342.386831275719</v>
      </c>
      <c r="AT1642" s="497">
        <f t="shared" si="934"/>
        <v>35687.190082644629</v>
      </c>
      <c r="AU1642" s="497">
        <f t="shared" si="935"/>
        <v>36897.357440890119</v>
      </c>
      <c r="AV1642" s="497">
        <f t="shared" si="936"/>
        <v>33181.459854014596</v>
      </c>
      <c r="AW1642" s="497">
        <f t="shared" si="937"/>
        <v>35694.905385735081</v>
      </c>
      <c r="AX1642" s="497">
        <f t="shared" si="938"/>
        <v>34682.968369829687</v>
      </c>
      <c r="AY1642" s="497">
        <f t="shared" si="939"/>
        <v>34227.899343544857</v>
      </c>
      <c r="AZ1642" s="497">
        <f t="shared" si="940"/>
        <v>33653.087757313115</v>
      </c>
      <c r="BA1642" s="497">
        <f t="shared" si="941"/>
        <v>35615.849056603773</v>
      </c>
      <c r="BB1642" s="497">
        <f t="shared" si="942"/>
        <v>33963.434903047091</v>
      </c>
      <c r="BC1642" s="497">
        <f t="shared" si="943"/>
        <v>34138.745387453884</v>
      </c>
      <c r="BD1642" s="497">
        <f t="shared" si="944"/>
        <v>34233.115183246067</v>
      </c>
      <c r="BE1642" s="497">
        <f t="shared" si="945"/>
        <v>33876.327944572753</v>
      </c>
      <c r="BF1642" s="497">
        <f t="shared" si="946"/>
        <v>32819.381688466121</v>
      </c>
      <c r="BG1642" s="497">
        <f t="shared" si="947"/>
        <v>32504.411764705888</v>
      </c>
      <c r="BH1642" s="497">
        <f t="shared" si="948"/>
        <v>34599.867549668881</v>
      </c>
      <c r="BI1642" s="497">
        <f t="shared" si="949"/>
        <v>32870.735090152564</v>
      </c>
      <c r="BJ1642" s="66">
        <f>BJ1653/BJ1636</f>
        <v>34043.908329852726</v>
      </c>
      <c r="BK1642" s="497">
        <f>BK1653/BK1636</f>
        <v>34043.908329852726</v>
      </c>
    </row>
    <row r="1643" spans="1:63" x14ac:dyDescent="0.25">
      <c r="A1643" s="195" t="s">
        <v>24</v>
      </c>
      <c r="B1643" s="497">
        <f t="shared" si="893"/>
        <v>30019.819819819819</v>
      </c>
      <c r="C1643" s="497">
        <f t="shared" si="894"/>
        <v>30566.306695464362</v>
      </c>
      <c r="D1643" s="497">
        <f t="shared" si="895"/>
        <v>31311.562224183592</v>
      </c>
      <c r="E1643" s="497">
        <f t="shared" si="896"/>
        <v>30319.215372297844</v>
      </c>
      <c r="F1643" s="497">
        <f t="shared" si="897"/>
        <v>31106.09965635739</v>
      </c>
      <c r="G1643" s="497">
        <f t="shared" si="898"/>
        <v>29636.808118081186</v>
      </c>
      <c r="H1643" s="497">
        <f t="shared" si="899"/>
        <v>30041.202090592342</v>
      </c>
      <c r="I1643" s="497">
        <f t="shared" si="888"/>
        <v>28146.936026936033</v>
      </c>
      <c r="J1643" s="497">
        <f t="shared" si="900"/>
        <v>27357.120980091884</v>
      </c>
      <c r="K1643" s="497">
        <f t="shared" si="901"/>
        <v>28053.736089030212</v>
      </c>
      <c r="L1643" s="497">
        <f t="shared" si="902"/>
        <v>27778.064516129034</v>
      </c>
      <c r="M1643" s="497">
        <f t="shared" si="903"/>
        <v>27503.84</v>
      </c>
      <c r="N1643" s="497">
        <f t="shared" si="904"/>
        <v>28623.376623376626</v>
      </c>
      <c r="O1643" s="497">
        <f t="shared" si="905"/>
        <v>27572.463768115944</v>
      </c>
      <c r="P1643" s="497">
        <f t="shared" si="906"/>
        <v>28221.031746031746</v>
      </c>
      <c r="Q1643" s="497">
        <f t="shared" si="907"/>
        <v>27868.449197860962</v>
      </c>
      <c r="R1643" s="497">
        <f t="shared" si="908"/>
        <v>27794.93161705551</v>
      </c>
      <c r="S1643" s="497">
        <f t="shared" si="909"/>
        <v>28004.362416107389</v>
      </c>
      <c r="T1643" s="497">
        <f t="shared" si="910"/>
        <v>28166.897746967075</v>
      </c>
      <c r="U1643" s="497">
        <f t="shared" si="911"/>
        <v>27992.637465051259</v>
      </c>
      <c r="V1643" s="497">
        <f t="shared" si="912"/>
        <v>28422.472783825815</v>
      </c>
      <c r="W1643" s="497">
        <f t="shared" si="913"/>
        <v>28377.34375</v>
      </c>
      <c r="X1643" s="497">
        <f t="shared" si="914"/>
        <v>28209.990749306202</v>
      </c>
      <c r="Y1643" s="497">
        <f t="shared" si="915"/>
        <v>27638.983050847462</v>
      </c>
      <c r="Z1643" s="497">
        <f t="shared" si="916"/>
        <v>27920.311149524638</v>
      </c>
      <c r="AA1643" s="497">
        <f t="shared" si="917"/>
        <v>27747.63513513514</v>
      </c>
      <c r="AB1643" s="497">
        <f t="shared" si="918"/>
        <v>28220.538116591928</v>
      </c>
      <c r="AC1643" s="497">
        <f t="shared" si="919"/>
        <v>27787.121866897156</v>
      </c>
      <c r="AD1643" s="497">
        <f t="shared" si="920"/>
        <v>28575.715524718129</v>
      </c>
      <c r="AE1643" s="497">
        <f t="shared" si="921"/>
        <v>28020.158450704221</v>
      </c>
      <c r="AF1643" s="497">
        <f t="shared" si="889"/>
        <v>28947.114474929043</v>
      </c>
      <c r="AG1643" s="497">
        <f t="shared" si="890"/>
        <v>28068.853820598008</v>
      </c>
      <c r="AH1643" s="497">
        <f t="shared" si="922"/>
        <v>27737.384044526909</v>
      </c>
      <c r="AI1643" s="497">
        <f t="shared" si="923"/>
        <v>28015.54054054054</v>
      </c>
      <c r="AJ1643" s="497">
        <f t="shared" si="924"/>
        <v>28053.568030447193</v>
      </c>
      <c r="AK1643" s="497">
        <f t="shared" si="925"/>
        <v>28200</v>
      </c>
      <c r="AL1643" s="497">
        <f t="shared" si="926"/>
        <v>28436.450216450219</v>
      </c>
      <c r="AM1643" s="497">
        <f t="shared" si="927"/>
        <v>27340.524017467247</v>
      </c>
      <c r="AN1643" s="497">
        <f t="shared" si="928"/>
        <v>28243.417611159552</v>
      </c>
      <c r="AO1643" s="497">
        <f t="shared" si="929"/>
        <v>28924.533333333333</v>
      </c>
      <c r="AP1643" s="497">
        <f t="shared" si="930"/>
        <v>28423.575949367096</v>
      </c>
      <c r="AQ1643" s="497">
        <f t="shared" si="931"/>
        <v>27733.676092544989</v>
      </c>
      <c r="AR1643" s="497">
        <f t="shared" si="932"/>
        <v>28220.534351145045</v>
      </c>
      <c r="AS1643" s="497">
        <f t="shared" si="933"/>
        <v>27887.050960735167</v>
      </c>
      <c r="AT1643" s="497">
        <f t="shared" si="934"/>
        <v>28502.640264026402</v>
      </c>
      <c r="AU1643" s="497">
        <f t="shared" si="935"/>
        <v>28043.551797040167</v>
      </c>
      <c r="AV1643" s="497">
        <f t="shared" si="936"/>
        <v>28235.155279503106</v>
      </c>
      <c r="AW1643" s="497">
        <f t="shared" si="937"/>
        <v>27740.271493212669</v>
      </c>
      <c r="AX1643" s="497">
        <f t="shared" si="938"/>
        <v>28032.841691248774</v>
      </c>
      <c r="AY1643" s="497">
        <f t="shared" si="939"/>
        <v>28414.441416893733</v>
      </c>
      <c r="AZ1643" s="497">
        <f t="shared" si="940"/>
        <v>27958.415841584167</v>
      </c>
      <c r="BA1643" s="497">
        <f t="shared" si="941"/>
        <v>28399.799398194584</v>
      </c>
      <c r="BB1643" s="497">
        <f t="shared" si="942"/>
        <v>28024.685714285715</v>
      </c>
      <c r="BC1643" s="497">
        <f t="shared" si="943"/>
        <v>27561.86693147965</v>
      </c>
      <c r="BD1643" s="497">
        <f t="shared" si="944"/>
        <v>28428.369565217388</v>
      </c>
      <c r="BE1643" s="497">
        <f t="shared" si="945"/>
        <v>28454.801163918528</v>
      </c>
      <c r="BF1643" s="497">
        <f t="shared" si="946"/>
        <v>27711.947791164665</v>
      </c>
      <c r="BG1643" s="497">
        <f t="shared" si="947"/>
        <v>27534.881087202721</v>
      </c>
      <c r="BH1643" s="497">
        <f t="shared" si="948"/>
        <v>27154.781704781708</v>
      </c>
      <c r="BI1643" s="497">
        <f t="shared" si="949"/>
        <v>26688.963963963964</v>
      </c>
      <c r="BJ1643" s="66">
        <f>BJ1653/BJ1630</f>
        <v>28284.061797498529</v>
      </c>
      <c r="BK1643" s="497">
        <f>BK1653/BK1630</f>
        <v>28284.061797498529</v>
      </c>
    </row>
    <row r="1644" spans="1:63" x14ac:dyDescent="0.25">
      <c r="A1644" s="146" t="s">
        <v>25</v>
      </c>
      <c r="B1644" s="92">
        <f t="shared" si="893"/>
        <v>4097879.1034482764</v>
      </c>
      <c r="C1644" s="92">
        <f t="shared" si="894"/>
        <v>10656554.644827588</v>
      </c>
      <c r="D1644" s="92">
        <f t="shared" si="895"/>
        <v>14949698.955172414</v>
      </c>
      <c r="E1644" s="92">
        <f t="shared" si="896"/>
        <v>16541312.053448278</v>
      </c>
      <c r="F1644" s="92">
        <f t="shared" si="897"/>
        <v>15395777.439655174</v>
      </c>
      <c r="G1644" s="92">
        <f t="shared" si="898"/>
        <v>13847433.777586209</v>
      </c>
      <c r="H1644" s="92">
        <f t="shared" si="899"/>
        <v>15692556.05172414</v>
      </c>
      <c r="I1644" s="92">
        <f t="shared" si="888"/>
        <v>18581505.946551725</v>
      </c>
      <c r="J1644" s="92">
        <f t="shared" si="900"/>
        <v>16055286.163793102</v>
      </c>
      <c r="K1644" s="92">
        <f t="shared" si="901"/>
        <v>17222644.160344828</v>
      </c>
      <c r="L1644" s="92">
        <f t="shared" si="902"/>
        <v>13082372.284482762</v>
      </c>
      <c r="M1644" s="92">
        <f t="shared" si="903"/>
        <v>16690261.622413794</v>
      </c>
      <c r="N1644" s="92">
        <f t="shared" si="904"/>
        <v>16259673.998275865</v>
      </c>
      <c r="O1644" s="92">
        <f t="shared" si="905"/>
        <v>17719175.293103449</v>
      </c>
      <c r="P1644" s="92">
        <f t="shared" si="906"/>
        <v>16500143.549999999</v>
      </c>
      <c r="Q1644" s="92">
        <f t="shared" si="907"/>
        <v>17802282.682758622</v>
      </c>
      <c r="R1644" s="92">
        <f t="shared" si="908"/>
        <v>15743754.744827585</v>
      </c>
      <c r="S1644" s="92">
        <f t="shared" si="909"/>
        <v>15012492.346551726</v>
      </c>
      <c r="T1644" s="92">
        <f t="shared" si="910"/>
        <v>14971192.243103452</v>
      </c>
      <c r="U1644" s="92">
        <f t="shared" si="911"/>
        <v>13144559.92586207</v>
      </c>
      <c r="V1644" s="92">
        <f t="shared" si="912"/>
        <v>17536100.484482761</v>
      </c>
      <c r="W1644" s="92">
        <f t="shared" si="913"/>
        <v>15893134.372413795</v>
      </c>
      <c r="X1644" s="92">
        <f t="shared" si="914"/>
        <v>14811095.70172414</v>
      </c>
      <c r="Y1644" s="92">
        <f t="shared" si="915"/>
        <v>15596953.820689656</v>
      </c>
      <c r="Z1644" s="92">
        <f t="shared" si="916"/>
        <v>15117721.679310346</v>
      </c>
      <c r="AA1644" s="92">
        <f t="shared" si="917"/>
        <v>15583074.512068968</v>
      </c>
      <c r="AB1644" s="92">
        <f t="shared" si="918"/>
        <v>14425796.987931035</v>
      </c>
      <c r="AC1644" s="92">
        <f t="shared" si="919"/>
        <v>16581212.867241381</v>
      </c>
      <c r="AD1644" s="92">
        <f t="shared" si="920"/>
        <v>16051405.972413793</v>
      </c>
      <c r="AE1644" s="92">
        <f t="shared" si="921"/>
        <v>14234159.601724137</v>
      </c>
      <c r="AF1644" s="92">
        <f t="shared" si="889"/>
        <v>14542837.972413795</v>
      </c>
      <c r="AG1644" s="92">
        <f t="shared" si="890"/>
        <v>15195050.386206899</v>
      </c>
      <c r="AH1644" s="92">
        <f t="shared" si="922"/>
        <v>13226231.122413795</v>
      </c>
      <c r="AI1644" s="92">
        <f t="shared" si="923"/>
        <v>12283941.520689657</v>
      </c>
      <c r="AJ1644" s="92">
        <f t="shared" si="924"/>
        <v>14898070.325862071</v>
      </c>
      <c r="AK1644" s="92">
        <f t="shared" si="925"/>
        <v>14756514.955172416</v>
      </c>
      <c r="AL1644" s="92">
        <f t="shared" si="926"/>
        <v>15967019.194827588</v>
      </c>
      <c r="AM1644" s="92">
        <f t="shared" si="927"/>
        <v>15455018.651724137</v>
      </c>
      <c r="AN1644" s="92">
        <f t="shared" si="928"/>
        <v>15903216.906896554</v>
      </c>
      <c r="AO1644" s="92">
        <f t="shared" si="929"/>
        <v>16156501.986206897</v>
      </c>
      <c r="AP1644" s="92">
        <f t="shared" si="930"/>
        <v>19772904.813793108</v>
      </c>
      <c r="AQ1644" s="92">
        <f t="shared" si="931"/>
        <v>16172924.388965519</v>
      </c>
      <c r="AR1644" s="92">
        <f t="shared" si="932"/>
        <v>18651357.304137934</v>
      </c>
      <c r="AS1644" s="92">
        <f t="shared" si="933"/>
        <v>16437032.934482761</v>
      </c>
      <c r="AT1644" s="92">
        <f t="shared" si="934"/>
        <v>18826199.634482756</v>
      </c>
      <c r="AU1644" s="92">
        <f t="shared" si="935"/>
        <v>12098541.971034482</v>
      </c>
      <c r="AV1644" s="92">
        <f t="shared" si="936"/>
        <v>9082412.8496551719</v>
      </c>
      <c r="AW1644" s="92">
        <f t="shared" si="937"/>
        <v>10857808.422068967</v>
      </c>
      <c r="AX1644" s="92">
        <f t="shared" si="938"/>
        <v>14474951.895862071</v>
      </c>
      <c r="AY1644" s="92">
        <f t="shared" si="939"/>
        <v>14963039.810344828</v>
      </c>
      <c r="AZ1644" s="92">
        <f t="shared" si="940"/>
        <v>15223618.207586208</v>
      </c>
      <c r="BA1644" s="92">
        <f t="shared" si="941"/>
        <v>12221925.575172413</v>
      </c>
      <c r="BB1644" s="92">
        <f t="shared" si="942"/>
        <v>10736695.87862069</v>
      </c>
      <c r="BC1644" s="92">
        <f t="shared" si="943"/>
        <v>11557426.002068967</v>
      </c>
      <c r="BD1644" s="92">
        <f t="shared" si="944"/>
        <v>11651377.874482758</v>
      </c>
      <c r="BE1644" s="92">
        <f t="shared" si="945"/>
        <v>12983061.318620689</v>
      </c>
      <c r="BF1644" s="92">
        <f t="shared" si="946"/>
        <v>11484595.01586207</v>
      </c>
      <c r="BG1644" s="92">
        <f t="shared" si="947"/>
        <v>10655158.671724139</v>
      </c>
      <c r="BH1644" s="92">
        <f t="shared" si="948"/>
        <v>11687962.928275863</v>
      </c>
      <c r="BI1644" s="92">
        <f t="shared" si="949"/>
        <v>9718038.7786206901</v>
      </c>
      <c r="BJ1644" s="92">
        <f t="shared" ref="BJ1644:BJ1649" si="950">+SUM(B1644:BI1644)</f>
        <v>873438650.28620696</v>
      </c>
      <c r="BK1644" s="92">
        <f t="shared" ref="BK1644:BK1653" si="951">+$BJ1644/59</f>
        <v>14804044.920105202</v>
      </c>
    </row>
    <row r="1645" spans="1:63" x14ac:dyDescent="0.25">
      <c r="A1645" s="146" t="s">
        <v>26</v>
      </c>
      <c r="B1645" s="92">
        <f t="shared" si="893"/>
        <v>50582.931034482768</v>
      </c>
      <c r="C1645" s="92">
        <f t="shared" si="894"/>
        <v>172772.05862068967</v>
      </c>
      <c r="D1645" s="92">
        <f t="shared" si="895"/>
        <v>302790.53448275867</v>
      </c>
      <c r="E1645" s="92">
        <f t="shared" si="896"/>
        <v>545036.0862068967</v>
      </c>
      <c r="F1645" s="92">
        <f t="shared" si="897"/>
        <v>228484.27586206899</v>
      </c>
      <c r="G1645" s="92">
        <f t="shared" si="898"/>
        <v>283424.9086206897</v>
      </c>
      <c r="H1645" s="92">
        <f t="shared" si="899"/>
        <v>415875.51034482761</v>
      </c>
      <c r="I1645" s="92">
        <f t="shared" si="888"/>
        <v>1982504.5931034489</v>
      </c>
      <c r="J1645" s="92">
        <f t="shared" si="900"/>
        <v>257576.68103448278</v>
      </c>
      <c r="K1645" s="92">
        <f t="shared" si="901"/>
        <v>405854.79482758627</v>
      </c>
      <c r="L1645" s="92">
        <f t="shared" si="902"/>
        <v>350586.36379310349</v>
      </c>
      <c r="M1645" s="92">
        <f t="shared" si="903"/>
        <v>469558.54655172426</v>
      </c>
      <c r="N1645" s="92">
        <f t="shared" si="904"/>
        <v>255210.34655172419</v>
      </c>
      <c r="O1645" s="92">
        <f t="shared" si="905"/>
        <v>399229.88620689657</v>
      </c>
      <c r="P1645" s="92">
        <f t="shared" si="906"/>
        <v>389758.96034482762</v>
      </c>
      <c r="Q1645" s="92">
        <f t="shared" si="907"/>
        <v>433251.29655172414</v>
      </c>
      <c r="R1645" s="92">
        <f t="shared" si="908"/>
        <v>511441.17758620699</v>
      </c>
      <c r="S1645" s="92">
        <f t="shared" si="909"/>
        <v>244532.62586206902</v>
      </c>
      <c r="T1645" s="92">
        <f t="shared" si="910"/>
        <v>291624.1586206897</v>
      </c>
      <c r="U1645" s="92">
        <f t="shared" si="911"/>
        <v>405577.94137931033</v>
      </c>
      <c r="V1645" s="92">
        <f t="shared" si="912"/>
        <v>405043.57413793111</v>
      </c>
      <c r="W1645" s="92">
        <f t="shared" si="913"/>
        <v>578003.70172413788</v>
      </c>
      <c r="X1645" s="92">
        <f t="shared" si="914"/>
        <v>397270.25000000012</v>
      </c>
      <c r="Y1645" s="92">
        <f t="shared" si="915"/>
        <v>420988.38620689657</v>
      </c>
      <c r="Z1645" s="92">
        <f t="shared" si="916"/>
        <v>615018.82413793111</v>
      </c>
      <c r="AA1645" s="92">
        <f t="shared" si="917"/>
        <v>456386.81034482759</v>
      </c>
      <c r="AB1645" s="92">
        <f t="shared" si="918"/>
        <v>500454.23103448283</v>
      </c>
      <c r="AC1645" s="92">
        <f t="shared" si="919"/>
        <v>883634.29827586212</v>
      </c>
      <c r="AD1645" s="92">
        <f t="shared" si="920"/>
        <v>346439.00517241383</v>
      </c>
      <c r="AE1645" s="92">
        <f t="shared" si="921"/>
        <v>638361.35689655179</v>
      </c>
      <c r="AF1645" s="92">
        <f t="shared" si="889"/>
        <v>361949.47758620692</v>
      </c>
      <c r="AG1645" s="92">
        <f t="shared" si="890"/>
        <v>371060.63965517242</v>
      </c>
      <c r="AH1645" s="92">
        <f t="shared" si="922"/>
        <v>417209.87931034487</v>
      </c>
      <c r="AI1645" s="92">
        <f t="shared" si="923"/>
        <v>437099.46724137943</v>
      </c>
      <c r="AJ1645" s="92">
        <f t="shared" si="924"/>
        <v>321368.36724137934</v>
      </c>
      <c r="AK1645" s="92">
        <f t="shared" si="925"/>
        <v>313503.72758620692</v>
      </c>
      <c r="AL1645" s="92">
        <f t="shared" si="926"/>
        <v>403456.65689655178</v>
      </c>
      <c r="AM1645" s="92">
        <f t="shared" si="927"/>
        <v>264115.53103448276</v>
      </c>
      <c r="AN1645" s="92">
        <f t="shared" si="928"/>
        <v>315973.36896551726</v>
      </c>
      <c r="AO1645" s="92">
        <f t="shared" si="929"/>
        <v>446403.26379310351</v>
      </c>
      <c r="AP1645" s="92">
        <f t="shared" si="930"/>
        <v>351632.37758620695</v>
      </c>
      <c r="AQ1645" s="92">
        <f t="shared" si="931"/>
        <v>489490.18275862077</v>
      </c>
      <c r="AR1645" s="92">
        <f t="shared" si="932"/>
        <v>669622.04758620693</v>
      </c>
      <c r="AS1645" s="92">
        <f t="shared" si="933"/>
        <v>502117.65724137943</v>
      </c>
      <c r="AT1645" s="92">
        <f t="shared" si="934"/>
        <v>245473.97379310348</v>
      </c>
      <c r="AU1645" s="92">
        <f t="shared" si="935"/>
        <v>363056.46758620697</v>
      </c>
      <c r="AV1645" s="92">
        <f t="shared" si="936"/>
        <v>367120.31862068968</v>
      </c>
      <c r="AW1645" s="92">
        <f t="shared" si="937"/>
        <v>245407.74344827587</v>
      </c>
      <c r="AX1645" s="92">
        <f t="shared" si="938"/>
        <v>298771.99103448278</v>
      </c>
      <c r="AY1645" s="92">
        <f t="shared" si="939"/>
        <v>700420.66689655173</v>
      </c>
      <c r="AZ1645" s="92">
        <f t="shared" si="940"/>
        <v>524098.74965517246</v>
      </c>
      <c r="BA1645" s="92">
        <f t="shared" si="941"/>
        <v>300450.69172413799</v>
      </c>
      <c r="BB1645" s="92">
        <f t="shared" si="942"/>
        <v>308793.91724137933</v>
      </c>
      <c r="BC1645" s="92">
        <f t="shared" si="943"/>
        <v>438670.29793103458</v>
      </c>
      <c r="BD1645" s="92">
        <f t="shared" si="944"/>
        <v>22036.996551724144</v>
      </c>
      <c r="BE1645" s="92">
        <f t="shared" si="945"/>
        <v>245744.10758620693</v>
      </c>
      <c r="BF1645" s="92">
        <f t="shared" si="946"/>
        <v>221878.6606896552</v>
      </c>
      <c r="BG1645" s="92">
        <f t="shared" si="947"/>
        <v>294778.31724137935</v>
      </c>
      <c r="BH1645" s="92">
        <f t="shared" si="948"/>
        <v>304286.00965517241</v>
      </c>
      <c r="BI1645" s="92">
        <f t="shared" si="949"/>
        <v>343727.44689655176</v>
      </c>
      <c r="BJ1645" s="92">
        <f t="shared" si="950"/>
        <v>24526993.116551731</v>
      </c>
      <c r="BK1645" s="92">
        <f t="shared" si="951"/>
        <v>415711.74773816491</v>
      </c>
    </row>
    <row r="1646" spans="1:63" x14ac:dyDescent="0.25">
      <c r="A1646" s="146" t="s">
        <v>27</v>
      </c>
      <c r="B1646" s="92">
        <f t="shared" si="893"/>
        <v>1005815.9137931035</v>
      </c>
      <c r="C1646" s="92">
        <f t="shared" si="894"/>
        <v>11796997.725862069</v>
      </c>
      <c r="D1646" s="92">
        <f t="shared" si="895"/>
        <v>13827589.017241381</v>
      </c>
      <c r="E1646" s="92">
        <f t="shared" si="896"/>
        <v>14112177.81034483</v>
      </c>
      <c r="F1646" s="92">
        <f t="shared" si="897"/>
        <v>14373951.722413793</v>
      </c>
      <c r="G1646" s="92">
        <f t="shared" si="898"/>
        <v>12568842.234482758</v>
      </c>
      <c r="H1646" s="92">
        <f t="shared" si="899"/>
        <v>12494934.472413793</v>
      </c>
      <c r="I1646" s="92">
        <f t="shared" si="888"/>
        <v>13620560.463793103</v>
      </c>
      <c r="J1646" s="92">
        <f t="shared" si="900"/>
        <v>12142129.287931034</v>
      </c>
      <c r="K1646" s="92">
        <f t="shared" si="901"/>
        <v>11074209.73448276</v>
      </c>
      <c r="L1646" s="92">
        <f t="shared" si="902"/>
        <v>11236025.575862069</v>
      </c>
      <c r="M1646" s="92">
        <f t="shared" si="903"/>
        <v>11266974.565517243</v>
      </c>
      <c r="N1646" s="92">
        <f t="shared" si="904"/>
        <v>10336077.024137933</v>
      </c>
      <c r="O1646" s="92">
        <f t="shared" si="905"/>
        <v>11438601.48448276</v>
      </c>
      <c r="P1646" s="92">
        <f t="shared" si="906"/>
        <v>12091029.422413792</v>
      </c>
      <c r="Q1646" s="92">
        <f t="shared" si="907"/>
        <v>11753664.205172414</v>
      </c>
      <c r="R1646" s="92">
        <f t="shared" si="908"/>
        <v>12101705.098275863</v>
      </c>
      <c r="S1646" s="92">
        <f t="shared" si="909"/>
        <v>12232865.550000001</v>
      </c>
      <c r="T1646" s="92">
        <f t="shared" si="910"/>
        <v>11685051.613793105</v>
      </c>
      <c r="U1646" s="92">
        <f t="shared" si="911"/>
        <v>11448726.787931036</v>
      </c>
      <c r="V1646" s="92">
        <f t="shared" si="912"/>
        <v>12360827.150000002</v>
      </c>
      <c r="W1646" s="92">
        <f t="shared" si="913"/>
        <v>10587567.470689656</v>
      </c>
      <c r="X1646" s="92">
        <f t="shared" si="914"/>
        <v>10095592.151724141</v>
      </c>
      <c r="Y1646" s="92">
        <f t="shared" si="915"/>
        <v>10966460.265517244</v>
      </c>
      <c r="Z1646" s="92">
        <f t="shared" si="916"/>
        <v>11063722.944827586</v>
      </c>
      <c r="AA1646" s="92">
        <f t="shared" si="917"/>
        <v>11202607.815517243</v>
      </c>
      <c r="AB1646" s="92">
        <f t="shared" si="918"/>
        <v>11242704.643103449</v>
      </c>
      <c r="AC1646" s="92">
        <f t="shared" si="919"/>
        <v>9078091.455172414</v>
      </c>
      <c r="AD1646" s="92">
        <f t="shared" si="920"/>
        <v>10910114.251724139</v>
      </c>
      <c r="AE1646" s="92">
        <f t="shared" si="921"/>
        <v>11591695.075862069</v>
      </c>
      <c r="AF1646" s="92">
        <f t="shared" si="889"/>
        <v>10438334.187931035</v>
      </c>
      <c r="AG1646" s="92">
        <f t="shared" si="890"/>
        <v>12366930.027586207</v>
      </c>
      <c r="AH1646" s="92">
        <f t="shared" si="922"/>
        <v>11037497.637931038</v>
      </c>
      <c r="AI1646" s="92">
        <f t="shared" si="923"/>
        <v>11463594.874137932</v>
      </c>
      <c r="AJ1646" s="92">
        <f t="shared" si="924"/>
        <v>9157196.3068965524</v>
      </c>
      <c r="AK1646" s="92">
        <f t="shared" si="925"/>
        <v>10683426.31724138</v>
      </c>
      <c r="AL1646" s="92">
        <f t="shared" si="926"/>
        <v>10814183.458620692</v>
      </c>
      <c r="AM1646" s="92">
        <f t="shared" si="927"/>
        <v>10160178.575862069</v>
      </c>
      <c r="AN1646" s="92">
        <f t="shared" si="928"/>
        <v>10668996.27586207</v>
      </c>
      <c r="AO1646" s="92">
        <f t="shared" si="929"/>
        <v>10332615.094827587</v>
      </c>
      <c r="AP1646" s="92">
        <f t="shared" si="930"/>
        <v>9470314.360344829</v>
      </c>
      <c r="AQ1646" s="92">
        <f t="shared" si="931"/>
        <v>9924827.8379310351</v>
      </c>
      <c r="AR1646" s="92">
        <f t="shared" si="932"/>
        <v>11090682.968965519</v>
      </c>
      <c r="AS1646" s="92">
        <f t="shared" si="933"/>
        <v>9795114.7110344823</v>
      </c>
      <c r="AT1646" s="92">
        <f t="shared" si="934"/>
        <v>9018977.5551724155</v>
      </c>
      <c r="AU1646" s="92">
        <f t="shared" si="935"/>
        <v>8586227.5013793111</v>
      </c>
      <c r="AV1646" s="92">
        <f t="shared" si="936"/>
        <v>8220594.1496551735</v>
      </c>
      <c r="AW1646" s="92">
        <f t="shared" si="937"/>
        <v>8708284.8772413805</v>
      </c>
      <c r="AX1646" s="92">
        <f t="shared" si="938"/>
        <v>8255356.0613793116</v>
      </c>
      <c r="AY1646" s="92">
        <f t="shared" si="939"/>
        <v>9490621.0475862063</v>
      </c>
      <c r="AZ1646" s="92">
        <f t="shared" si="940"/>
        <v>9088951.5144827608</v>
      </c>
      <c r="BA1646" s="92">
        <f t="shared" si="941"/>
        <v>9975917.5144827589</v>
      </c>
      <c r="BB1646" s="92">
        <f t="shared" si="942"/>
        <v>8378685.1558620697</v>
      </c>
      <c r="BC1646" s="92">
        <f t="shared" si="943"/>
        <v>9586889.9006896578</v>
      </c>
      <c r="BD1646" s="92">
        <f t="shared" si="944"/>
        <v>8729097.8613793105</v>
      </c>
      <c r="BE1646" s="92">
        <f t="shared" si="945"/>
        <v>9890206.0634482764</v>
      </c>
      <c r="BF1646" s="92">
        <f t="shared" si="946"/>
        <v>10354325.580000002</v>
      </c>
      <c r="BG1646" s="92">
        <f t="shared" si="947"/>
        <v>8335883.4220689647</v>
      </c>
      <c r="BH1646" s="92">
        <f t="shared" si="948"/>
        <v>8653190.1668965537</v>
      </c>
      <c r="BI1646" s="92">
        <f t="shared" si="949"/>
        <v>8307577.8462068969</v>
      </c>
      <c r="BJ1646" s="92">
        <f t="shared" si="950"/>
        <v>632691991.78758633</v>
      </c>
      <c r="BK1646" s="92">
        <f t="shared" si="951"/>
        <v>10723593.081145531</v>
      </c>
    </row>
    <row r="1647" spans="1:63" x14ac:dyDescent="0.25">
      <c r="A1647" s="146" t="s">
        <v>28</v>
      </c>
      <c r="B1647" s="92">
        <f t="shared" si="893"/>
        <v>310744.46551724139</v>
      </c>
      <c r="C1647" s="92">
        <f t="shared" si="894"/>
        <v>1026235.3982758621</v>
      </c>
      <c r="D1647" s="92">
        <f t="shared" si="895"/>
        <v>459660.11379310343</v>
      </c>
      <c r="E1647" s="92">
        <f t="shared" si="896"/>
        <v>201106.59827586211</v>
      </c>
      <c r="F1647" s="92">
        <f t="shared" si="897"/>
        <v>126873.63103448278</v>
      </c>
      <c r="G1647" s="92">
        <f t="shared" si="898"/>
        <v>34255.286206896555</v>
      </c>
      <c r="H1647" s="92">
        <f t="shared" si="899"/>
        <v>0</v>
      </c>
      <c r="I1647" s="92">
        <f t="shared" si="888"/>
        <v>262541.48275862075</v>
      </c>
      <c r="J1647" s="92">
        <f t="shared" si="900"/>
        <v>1138975.7775862068</v>
      </c>
      <c r="K1647" s="92">
        <f t="shared" si="901"/>
        <v>479598.18965517241</v>
      </c>
      <c r="L1647" s="92">
        <f t="shared" si="902"/>
        <v>296726.8137931035</v>
      </c>
      <c r="M1647" s="92">
        <f t="shared" si="903"/>
        <v>25713.886206896554</v>
      </c>
      <c r="N1647" s="92">
        <f t="shared" si="904"/>
        <v>490168.10862068972</v>
      </c>
      <c r="O1647" s="92">
        <f t="shared" si="905"/>
        <v>354731.26724137936</v>
      </c>
      <c r="P1647" s="92">
        <f t="shared" si="906"/>
        <v>530797.377586207</v>
      </c>
      <c r="Q1647" s="92">
        <f t="shared" si="907"/>
        <v>213315.26379310346</v>
      </c>
      <c r="R1647" s="92">
        <f t="shared" si="908"/>
        <v>312670.87586206896</v>
      </c>
      <c r="S1647" s="92">
        <f t="shared" si="909"/>
        <v>222436.02931034486</v>
      </c>
      <c r="T1647" s="92">
        <f t="shared" si="910"/>
        <v>28163.881034482762</v>
      </c>
      <c r="U1647" s="92">
        <f t="shared" si="911"/>
        <v>0</v>
      </c>
      <c r="V1647" s="92">
        <f t="shared" si="912"/>
        <v>46225.170689655177</v>
      </c>
      <c r="W1647" s="92">
        <f t="shared" si="913"/>
        <v>38967.386206896561</v>
      </c>
      <c r="X1647" s="92">
        <f t="shared" si="914"/>
        <v>0</v>
      </c>
      <c r="Y1647" s="92">
        <f t="shared" si="915"/>
        <v>42839.768965517243</v>
      </c>
      <c r="Z1647" s="92">
        <f t="shared" si="916"/>
        <v>0</v>
      </c>
      <c r="AA1647" s="92">
        <f t="shared" si="917"/>
        <v>0</v>
      </c>
      <c r="AB1647" s="92">
        <f t="shared" si="918"/>
        <v>0</v>
      </c>
      <c r="AC1647" s="92">
        <f t="shared" si="919"/>
        <v>0</v>
      </c>
      <c r="AD1647" s="92">
        <f t="shared" si="920"/>
        <v>30746.632758620693</v>
      </c>
      <c r="AE1647" s="92">
        <f t="shared" si="921"/>
        <v>0</v>
      </c>
      <c r="AF1647" s="92">
        <f t="shared" si="889"/>
        <v>29458.706896551728</v>
      </c>
      <c r="AG1647" s="92">
        <f t="shared" si="890"/>
        <v>0</v>
      </c>
      <c r="AH1647" s="92">
        <f t="shared" si="922"/>
        <v>186289.29137931037</v>
      </c>
      <c r="AI1647" s="92">
        <f t="shared" si="923"/>
        <v>0</v>
      </c>
      <c r="AJ1647" s="92">
        <f t="shared" si="924"/>
        <v>0</v>
      </c>
      <c r="AK1647" s="92">
        <f t="shared" si="925"/>
        <v>0</v>
      </c>
      <c r="AL1647" s="92">
        <f t="shared" si="926"/>
        <v>0</v>
      </c>
      <c r="AM1647" s="92">
        <f t="shared" si="927"/>
        <v>0</v>
      </c>
      <c r="AN1647" s="92">
        <f t="shared" si="928"/>
        <v>0</v>
      </c>
      <c r="AO1647" s="92">
        <f t="shared" si="929"/>
        <v>0</v>
      </c>
      <c r="AP1647" s="92">
        <f t="shared" si="930"/>
        <v>0</v>
      </c>
      <c r="AQ1647" s="92">
        <f t="shared" si="931"/>
        <v>0</v>
      </c>
      <c r="AR1647" s="92">
        <f t="shared" si="932"/>
        <v>0</v>
      </c>
      <c r="AS1647" s="92">
        <f t="shared" si="933"/>
        <v>728160.12551724154</v>
      </c>
      <c r="AT1647" s="92">
        <f t="shared" si="934"/>
        <v>210706.7551724138</v>
      </c>
      <c r="AU1647" s="92">
        <f t="shared" si="935"/>
        <v>377047.13793103455</v>
      </c>
      <c r="AV1647" s="92">
        <f t="shared" si="936"/>
        <v>1221622.8199999998</v>
      </c>
      <c r="AW1647" s="92">
        <f t="shared" si="937"/>
        <v>449204.54068965517</v>
      </c>
      <c r="AX1647" s="92">
        <f t="shared" si="938"/>
        <v>404785.54206896556</v>
      </c>
      <c r="AY1647" s="92">
        <f t="shared" si="939"/>
        <v>641938.61310344841</v>
      </c>
      <c r="AZ1647" s="92">
        <f t="shared" si="940"/>
        <v>699964.19586206914</v>
      </c>
      <c r="BA1647" s="92">
        <f t="shared" si="941"/>
        <v>1020078.1496551726</v>
      </c>
      <c r="BB1647" s="92">
        <f t="shared" si="942"/>
        <v>916101.39310344832</v>
      </c>
      <c r="BC1647" s="92">
        <f t="shared" si="943"/>
        <v>1503493.5234482759</v>
      </c>
      <c r="BD1647" s="92">
        <f t="shared" si="944"/>
        <v>1109611.8055172414</v>
      </c>
      <c r="BE1647" s="92">
        <f t="shared" si="945"/>
        <v>1242029.5448275863</v>
      </c>
      <c r="BF1647" s="92">
        <f t="shared" si="946"/>
        <v>869040.46758620697</v>
      </c>
      <c r="BG1647" s="92">
        <f t="shared" si="947"/>
        <v>832187.56275862071</v>
      </c>
      <c r="BH1647" s="92">
        <f t="shared" si="948"/>
        <v>950015.07655172423</v>
      </c>
      <c r="BI1647" s="92">
        <f t="shared" si="949"/>
        <v>1359043.9972413795</v>
      </c>
      <c r="BJ1647" s="92">
        <f t="shared" si="950"/>
        <v>21424272.654482763</v>
      </c>
      <c r="BK1647" s="92">
        <f t="shared" si="951"/>
        <v>363123.26533021632</v>
      </c>
    </row>
    <row r="1648" spans="1:63" x14ac:dyDescent="0.25">
      <c r="A1648" s="146" t="s">
        <v>29</v>
      </c>
      <c r="B1648" s="92">
        <f t="shared" si="893"/>
        <v>0</v>
      </c>
      <c r="C1648" s="92">
        <f t="shared" si="894"/>
        <v>0</v>
      </c>
      <c r="D1648" s="92">
        <f t="shared" si="895"/>
        <v>0</v>
      </c>
      <c r="E1648" s="92">
        <f t="shared" si="896"/>
        <v>82098.486206896574</v>
      </c>
      <c r="F1648" s="92">
        <f t="shared" si="897"/>
        <v>0</v>
      </c>
      <c r="G1648" s="92">
        <f t="shared" si="898"/>
        <v>0</v>
      </c>
      <c r="H1648" s="92">
        <f t="shared" si="899"/>
        <v>0</v>
      </c>
      <c r="I1648" s="92">
        <f t="shared" si="888"/>
        <v>174293.54827586209</v>
      </c>
      <c r="J1648" s="92">
        <f t="shared" si="900"/>
        <v>53451.917241379313</v>
      </c>
      <c r="K1648" s="92">
        <f t="shared" si="901"/>
        <v>54081.224137931036</v>
      </c>
      <c r="L1648" s="92">
        <f t="shared" si="902"/>
        <v>98327.927586206904</v>
      </c>
      <c r="M1648" s="92">
        <f t="shared" si="903"/>
        <v>0</v>
      </c>
      <c r="N1648" s="92">
        <f t="shared" si="904"/>
        <v>44735.522413793107</v>
      </c>
      <c r="O1648" s="92">
        <f t="shared" si="905"/>
        <v>0</v>
      </c>
      <c r="P1648" s="92">
        <f t="shared" si="906"/>
        <v>0</v>
      </c>
      <c r="Q1648" s="92">
        <f t="shared" si="907"/>
        <v>0</v>
      </c>
      <c r="R1648" s="92">
        <f t="shared" si="908"/>
        <v>0</v>
      </c>
      <c r="S1648" s="92">
        <f t="shared" si="909"/>
        <v>0</v>
      </c>
      <c r="T1648" s="92">
        <f t="shared" si="910"/>
        <v>0</v>
      </c>
      <c r="U1648" s="92">
        <f t="shared" si="911"/>
        <v>0</v>
      </c>
      <c r="V1648" s="92">
        <f t="shared" si="912"/>
        <v>0</v>
      </c>
      <c r="W1648" s="92">
        <f t="shared" si="913"/>
        <v>0</v>
      </c>
      <c r="X1648" s="92">
        <f t="shared" si="914"/>
        <v>0</v>
      </c>
      <c r="Y1648" s="92">
        <f t="shared" si="915"/>
        <v>0</v>
      </c>
      <c r="Z1648" s="92">
        <f t="shared" si="916"/>
        <v>0</v>
      </c>
      <c r="AA1648" s="92">
        <f t="shared" si="917"/>
        <v>0</v>
      </c>
      <c r="AB1648" s="92">
        <f t="shared" si="918"/>
        <v>0</v>
      </c>
      <c r="AC1648" s="92">
        <f t="shared" si="919"/>
        <v>0</v>
      </c>
      <c r="AD1648" s="92">
        <f t="shared" si="920"/>
        <v>0</v>
      </c>
      <c r="AE1648" s="92">
        <f t="shared" si="921"/>
        <v>0</v>
      </c>
      <c r="AF1648" s="92">
        <f t="shared" si="889"/>
        <v>0</v>
      </c>
      <c r="AG1648" s="92">
        <f t="shared" si="890"/>
        <v>122993.42931034483</v>
      </c>
      <c r="AH1648" s="92">
        <f t="shared" si="922"/>
        <v>0</v>
      </c>
      <c r="AI1648" s="92">
        <f t="shared" si="923"/>
        <v>0</v>
      </c>
      <c r="AJ1648" s="92">
        <f t="shared" si="924"/>
        <v>0</v>
      </c>
      <c r="AK1648" s="92">
        <f t="shared" si="925"/>
        <v>0</v>
      </c>
      <c r="AL1648" s="92">
        <f t="shared" si="926"/>
        <v>0</v>
      </c>
      <c r="AM1648" s="92">
        <f t="shared" si="927"/>
        <v>0</v>
      </c>
      <c r="AN1648" s="92">
        <f t="shared" si="928"/>
        <v>0</v>
      </c>
      <c r="AO1648" s="92">
        <f t="shared" si="929"/>
        <v>0</v>
      </c>
      <c r="AP1648" s="92">
        <f t="shared" si="930"/>
        <v>0</v>
      </c>
      <c r="AQ1648" s="92">
        <f t="shared" si="931"/>
        <v>56098.073103448281</v>
      </c>
      <c r="AR1648" s="92">
        <f t="shared" si="932"/>
        <v>31405.058620689655</v>
      </c>
      <c r="AS1648" s="92">
        <f t="shared" si="933"/>
        <v>49190.295862068975</v>
      </c>
      <c r="AT1648" s="92">
        <f t="shared" si="934"/>
        <v>98178.908965517243</v>
      </c>
      <c r="AU1648" s="92">
        <f t="shared" si="935"/>
        <v>588156.92206896562</v>
      </c>
      <c r="AV1648" s="92">
        <f t="shared" si="936"/>
        <v>0</v>
      </c>
      <c r="AW1648" s="92">
        <f t="shared" si="937"/>
        <v>56120.416551724142</v>
      </c>
      <c r="AX1648" s="92">
        <f t="shared" si="938"/>
        <v>25521.475172413797</v>
      </c>
      <c r="AY1648" s="92">
        <f t="shared" si="939"/>
        <v>0</v>
      </c>
      <c r="AZ1648" s="92">
        <f t="shared" si="940"/>
        <v>31367.125517241384</v>
      </c>
      <c r="BA1648" s="92">
        <f t="shared" si="941"/>
        <v>0</v>
      </c>
      <c r="BB1648" s="92">
        <f t="shared" si="942"/>
        <v>0</v>
      </c>
      <c r="BC1648" s="92">
        <f t="shared" si="943"/>
        <v>0</v>
      </c>
      <c r="BD1648" s="92">
        <f t="shared" si="944"/>
        <v>170301.39310344832</v>
      </c>
      <c r="BE1648" s="92">
        <f t="shared" si="945"/>
        <v>0</v>
      </c>
      <c r="BF1648" s="92">
        <f t="shared" si="946"/>
        <v>0</v>
      </c>
      <c r="BG1648" s="92">
        <f t="shared" si="947"/>
        <v>28215.405517241383</v>
      </c>
      <c r="BH1648" s="92">
        <f t="shared" si="948"/>
        <v>93871.19793103449</v>
      </c>
      <c r="BI1648" s="92">
        <f t="shared" si="949"/>
        <v>0</v>
      </c>
      <c r="BJ1648" s="92">
        <f t="shared" si="950"/>
        <v>1858408.3275862071</v>
      </c>
      <c r="BK1648" s="92">
        <f t="shared" si="951"/>
        <v>31498.446230274698</v>
      </c>
    </row>
    <row r="1649" spans="1:63" x14ac:dyDescent="0.25">
      <c r="A1649" s="196" t="s">
        <v>30</v>
      </c>
      <c r="B1649" s="91">
        <f t="shared" si="893"/>
        <v>5465022.4137931038</v>
      </c>
      <c r="C1649" s="91">
        <f t="shared" si="894"/>
        <v>23652559.827586208</v>
      </c>
      <c r="D1649" s="91">
        <f t="shared" si="895"/>
        <v>29539738.62068966</v>
      </c>
      <c r="E1649" s="91">
        <f t="shared" si="896"/>
        <v>31481731.034482766</v>
      </c>
      <c r="F1649" s="91">
        <f t="shared" si="897"/>
        <v>30125087.068965521</v>
      </c>
      <c r="G1649" s="91">
        <f t="shared" si="898"/>
        <v>26733956.206896555</v>
      </c>
      <c r="H1649" s="91">
        <f t="shared" si="899"/>
        <v>28603366.034482762</v>
      </c>
      <c r="I1649" s="91">
        <f t="shared" si="888"/>
        <v>34621406.034482762</v>
      </c>
      <c r="J1649" s="91">
        <f t="shared" si="900"/>
        <v>29647419.827586204</v>
      </c>
      <c r="K1649" s="91">
        <f t="shared" si="901"/>
        <v>29236388.103448283</v>
      </c>
      <c r="L1649" s="91">
        <f t="shared" si="902"/>
        <v>25064038.965517242</v>
      </c>
      <c r="M1649" s="91">
        <f t="shared" si="903"/>
        <v>28452508.620689657</v>
      </c>
      <c r="N1649" s="91">
        <f t="shared" si="904"/>
        <v>27385865.000000004</v>
      </c>
      <c r="O1649" s="91">
        <f t="shared" si="905"/>
        <v>29911737.931034483</v>
      </c>
      <c r="P1649" s="91">
        <f t="shared" si="906"/>
        <v>29511729.310344826</v>
      </c>
      <c r="Q1649" s="91">
        <f t="shared" si="907"/>
        <v>30202513.448275864</v>
      </c>
      <c r="R1649" s="91">
        <f t="shared" si="908"/>
        <v>28669571.896551725</v>
      </c>
      <c r="S1649" s="91">
        <f t="shared" si="909"/>
        <v>27712326.551724143</v>
      </c>
      <c r="T1649" s="91">
        <f t="shared" si="910"/>
        <v>26976031.896551728</v>
      </c>
      <c r="U1649" s="91">
        <f t="shared" si="911"/>
        <v>24998864.655172415</v>
      </c>
      <c r="V1649" s="91">
        <f t="shared" si="912"/>
        <v>30348196.379310347</v>
      </c>
      <c r="W1649" s="91">
        <f t="shared" si="913"/>
        <v>27097672.931034483</v>
      </c>
      <c r="X1649" s="91">
        <f t="shared" si="914"/>
        <v>25303958.103448279</v>
      </c>
      <c r="Y1649" s="91">
        <f t="shared" si="915"/>
        <v>27027242.241379313</v>
      </c>
      <c r="Z1649" s="91">
        <f t="shared" si="916"/>
        <v>26796463.448275864</v>
      </c>
      <c r="AA1649" s="91">
        <f t="shared" si="917"/>
        <v>27242069.137931041</v>
      </c>
      <c r="AB1649" s="91">
        <f t="shared" si="918"/>
        <v>26168955.862068966</v>
      </c>
      <c r="AC1649" s="91">
        <f t="shared" si="919"/>
        <v>26542938.62068966</v>
      </c>
      <c r="AD1649" s="91">
        <f t="shared" si="920"/>
        <v>27338705.86206897</v>
      </c>
      <c r="AE1649" s="91">
        <f t="shared" si="921"/>
        <v>26464216.034482755</v>
      </c>
      <c r="AF1649" s="91">
        <f t="shared" si="889"/>
        <v>25372580.344827585</v>
      </c>
      <c r="AG1649" s="91">
        <f t="shared" si="890"/>
        <v>28056034.482758623</v>
      </c>
      <c r="AH1649" s="91">
        <f t="shared" si="922"/>
        <v>24867227.93103449</v>
      </c>
      <c r="AI1649" s="91">
        <f t="shared" si="923"/>
        <v>24184635.862068966</v>
      </c>
      <c r="AJ1649" s="91">
        <f t="shared" si="924"/>
        <v>24376635</v>
      </c>
      <c r="AK1649" s="91">
        <f t="shared" si="925"/>
        <v>25753445</v>
      </c>
      <c r="AL1649" s="91">
        <f t="shared" si="926"/>
        <v>27184659.31034483</v>
      </c>
      <c r="AM1649" s="91">
        <f t="shared" si="927"/>
        <v>25879312.758620687</v>
      </c>
      <c r="AN1649" s="91">
        <f t="shared" si="928"/>
        <v>26888186.551724143</v>
      </c>
      <c r="AO1649" s="91">
        <f t="shared" si="929"/>
        <v>26935520.344827585</v>
      </c>
      <c r="AP1649" s="91">
        <f t="shared" si="930"/>
        <v>29594851.551724143</v>
      </c>
      <c r="AQ1649" s="91">
        <f t="shared" si="931"/>
        <v>26643340.482758623</v>
      </c>
      <c r="AR1649" s="91">
        <f t="shared" si="932"/>
        <v>30443067.379310351</v>
      </c>
      <c r="AS1649" s="91">
        <f t="shared" si="933"/>
        <v>27511615.724137928</v>
      </c>
      <c r="AT1649" s="91">
        <f t="shared" si="934"/>
        <v>28399536.827586204</v>
      </c>
      <c r="AU1649" s="91">
        <f t="shared" si="935"/>
        <v>22013029.999999996</v>
      </c>
      <c r="AV1649" s="91">
        <f t="shared" si="936"/>
        <v>18891750.137931034</v>
      </c>
      <c r="AW1649" s="91">
        <f t="shared" si="937"/>
        <v>20316826</v>
      </c>
      <c r="AX1649" s="91">
        <f t="shared" si="938"/>
        <v>23459386.965517245</v>
      </c>
      <c r="AY1649" s="91">
        <f t="shared" si="939"/>
        <v>25796020.137931034</v>
      </c>
      <c r="AZ1649" s="91">
        <f t="shared" si="940"/>
        <v>25567999.793103453</v>
      </c>
      <c r="BA1649" s="91">
        <f t="shared" si="941"/>
        <v>23518371.931034483</v>
      </c>
      <c r="BB1649" s="91">
        <f t="shared" si="942"/>
        <v>20340276.344827585</v>
      </c>
      <c r="BC1649" s="91">
        <f t="shared" si="943"/>
        <v>23086479.724137936</v>
      </c>
      <c r="BD1649" s="91">
        <f t="shared" si="944"/>
        <v>21682425.931034479</v>
      </c>
      <c r="BE1649" s="91">
        <f t="shared" si="945"/>
        <v>24361041.034482762</v>
      </c>
      <c r="BF1649" s="91">
        <f t="shared" si="946"/>
        <v>22929839.724137936</v>
      </c>
      <c r="BG1649" s="91">
        <f t="shared" si="947"/>
        <v>20146223.379310347</v>
      </c>
      <c r="BH1649" s="91">
        <f t="shared" si="948"/>
        <v>21689325.379310347</v>
      </c>
      <c r="BI1649" s="91">
        <f t="shared" si="949"/>
        <v>19728388.068965517</v>
      </c>
      <c r="BJ1649" s="91">
        <f t="shared" si="950"/>
        <v>1553940316.1724145</v>
      </c>
      <c r="BK1649" s="91">
        <f t="shared" si="951"/>
        <v>26337971.460549399</v>
      </c>
    </row>
    <row r="1650" spans="1:63" x14ac:dyDescent="0.25">
      <c r="A1650" s="146" t="s">
        <v>31</v>
      </c>
      <c r="B1650" s="92">
        <f t="shared" si="893"/>
        <v>280150</v>
      </c>
      <c r="C1650" s="92">
        <f t="shared" si="894"/>
        <v>747785</v>
      </c>
      <c r="D1650" s="92">
        <f t="shared" si="895"/>
        <v>1043020</v>
      </c>
      <c r="E1650" s="92">
        <f t="shared" si="896"/>
        <v>1163700</v>
      </c>
      <c r="F1650" s="92">
        <f t="shared" si="897"/>
        <v>1088275</v>
      </c>
      <c r="G1650" s="92">
        <f t="shared" si="898"/>
        <v>961130</v>
      </c>
      <c r="H1650" s="92">
        <f t="shared" si="899"/>
        <v>1127065</v>
      </c>
      <c r="I1650" s="92">
        <f t="shared" si="888"/>
        <v>1411525</v>
      </c>
      <c r="J1650" s="92">
        <f t="shared" si="900"/>
        <v>1152925</v>
      </c>
      <c r="K1650" s="92">
        <f t="shared" si="901"/>
        <v>1187405</v>
      </c>
      <c r="L1650" s="92">
        <f t="shared" si="902"/>
        <v>918030</v>
      </c>
      <c r="M1650" s="92">
        <f t="shared" si="903"/>
        <v>1185250</v>
      </c>
      <c r="N1650" s="92">
        <f t="shared" si="904"/>
        <v>1114135</v>
      </c>
      <c r="O1650" s="92">
        <f t="shared" si="905"/>
        <v>1249900</v>
      </c>
      <c r="P1650" s="92">
        <f t="shared" si="906"/>
        <v>1142150</v>
      </c>
      <c r="Q1650" s="92">
        <f t="shared" si="907"/>
        <v>1245590</v>
      </c>
      <c r="R1650" s="92">
        <f t="shared" si="908"/>
        <v>1114135</v>
      </c>
      <c r="S1650" s="92">
        <f t="shared" si="909"/>
        <v>1064570</v>
      </c>
      <c r="T1650" s="92">
        <f t="shared" si="910"/>
        <v>1045175</v>
      </c>
      <c r="U1650" s="92">
        <f t="shared" si="911"/>
        <v>894325</v>
      </c>
      <c r="V1650" s="92">
        <f t="shared" si="912"/>
        <v>1161545</v>
      </c>
      <c r="W1650" s="92">
        <f t="shared" si="913"/>
        <v>1083965</v>
      </c>
      <c r="X1650" s="92">
        <f t="shared" si="914"/>
        <v>984835</v>
      </c>
      <c r="Y1650" s="92">
        <f t="shared" si="915"/>
        <v>1088275</v>
      </c>
      <c r="Z1650" s="92">
        <f t="shared" si="916"/>
        <v>1051640</v>
      </c>
      <c r="AA1650" s="92">
        <f t="shared" si="917"/>
        <v>1079655</v>
      </c>
      <c r="AB1650" s="92">
        <f t="shared" si="918"/>
        <v>956820</v>
      </c>
      <c r="AC1650" s="92">
        <f t="shared" si="919"/>
        <v>1172320</v>
      </c>
      <c r="AD1650" s="92">
        <f t="shared" si="920"/>
        <v>1064570</v>
      </c>
      <c r="AE1650" s="92">
        <f t="shared" si="921"/>
        <v>976215</v>
      </c>
      <c r="AF1650" s="92">
        <f t="shared" si="889"/>
        <v>1004230</v>
      </c>
      <c r="AG1650" s="92">
        <f t="shared" si="890"/>
        <v>1077500</v>
      </c>
      <c r="AH1650" s="92">
        <f t="shared" si="922"/>
        <v>909410</v>
      </c>
      <c r="AI1650" s="92">
        <f t="shared" si="923"/>
        <v>836140</v>
      </c>
      <c r="AJ1650" s="92">
        <f t="shared" si="924"/>
        <v>1040865</v>
      </c>
      <c r="AK1650" s="92">
        <f t="shared" si="925"/>
        <v>1036555</v>
      </c>
      <c r="AL1650" s="92">
        <f t="shared" si="926"/>
        <v>1129220</v>
      </c>
      <c r="AM1650" s="92">
        <f t="shared" si="927"/>
        <v>1107670</v>
      </c>
      <c r="AN1650" s="92">
        <f t="shared" si="928"/>
        <v>1038710</v>
      </c>
      <c r="AO1650" s="92">
        <f t="shared" si="929"/>
        <v>1116290</v>
      </c>
      <c r="AP1650" s="92">
        <f t="shared" si="930"/>
        <v>1377045</v>
      </c>
      <c r="AQ1650" s="92">
        <f t="shared" si="931"/>
        <v>1257694</v>
      </c>
      <c r="AR1650" s="92">
        <f t="shared" si="932"/>
        <v>1426674</v>
      </c>
      <c r="AS1650" s="92">
        <f t="shared" si="933"/>
        <v>1264936</v>
      </c>
      <c r="AT1650" s="92">
        <f t="shared" si="934"/>
        <v>1380808</v>
      </c>
      <c r="AU1650" s="92">
        <f t="shared" si="935"/>
        <v>856970</v>
      </c>
      <c r="AV1650" s="92">
        <f t="shared" si="936"/>
        <v>702474</v>
      </c>
      <c r="AW1650" s="92">
        <f t="shared" si="937"/>
        <v>823174</v>
      </c>
      <c r="AX1650" s="92">
        <f t="shared" si="938"/>
        <v>1117682</v>
      </c>
      <c r="AY1650" s="92">
        <f t="shared" si="939"/>
        <v>1173204</v>
      </c>
      <c r="AZ1650" s="92">
        <f t="shared" si="940"/>
        <v>1209414</v>
      </c>
      <c r="BA1650" s="92">
        <f t="shared" si="941"/>
        <v>890766</v>
      </c>
      <c r="BB1650" s="92">
        <f t="shared" si="942"/>
        <v>799034</v>
      </c>
      <c r="BC1650" s="92">
        <f t="shared" si="943"/>
        <v>840072</v>
      </c>
      <c r="BD1650" s="92">
        <f t="shared" si="944"/>
        <v>864212</v>
      </c>
      <c r="BE1650" s="92">
        <f t="shared" si="945"/>
        <v>929390</v>
      </c>
      <c r="BF1650" s="92">
        <f t="shared" si="946"/>
        <v>864212</v>
      </c>
      <c r="BG1650" s="92">
        <f t="shared" si="947"/>
        <v>813518</v>
      </c>
      <c r="BH1650" s="92">
        <f t="shared" si="948"/>
        <v>830416</v>
      </c>
      <c r="BI1650" s="92">
        <f t="shared" si="949"/>
        <v>702474</v>
      </c>
      <c r="BJ1650" s="498">
        <f>2155*BJ1631</f>
        <v>60165445</v>
      </c>
      <c r="BK1650" s="498">
        <f t="shared" si="951"/>
        <v>1019753.3050847457</v>
      </c>
    </row>
    <row r="1651" spans="1:63" x14ac:dyDescent="0.25">
      <c r="A1651" s="198" t="s">
        <v>32</v>
      </c>
      <c r="B1651" s="199">
        <f t="shared" si="893"/>
        <v>5745172.4137931038</v>
      </c>
      <c r="C1651" s="199">
        <f t="shared" si="894"/>
        <v>24400344.827586208</v>
      </c>
      <c r="D1651" s="199">
        <f t="shared" si="895"/>
        <v>30582758.62068966</v>
      </c>
      <c r="E1651" s="199">
        <f t="shared" si="896"/>
        <v>32645431.034482766</v>
      </c>
      <c r="F1651" s="199">
        <f t="shared" si="897"/>
        <v>31213362.068965521</v>
      </c>
      <c r="G1651" s="199">
        <f t="shared" si="898"/>
        <v>27695086.206896555</v>
      </c>
      <c r="H1651" s="199">
        <f t="shared" si="899"/>
        <v>29730431.034482762</v>
      </c>
      <c r="I1651" s="199">
        <f t="shared" si="888"/>
        <v>36032931.034482762</v>
      </c>
      <c r="J1651" s="199">
        <f t="shared" si="900"/>
        <v>30800344.827586204</v>
      </c>
      <c r="K1651" s="199">
        <f t="shared" si="901"/>
        <v>30423793.103448283</v>
      </c>
      <c r="L1651" s="199">
        <f t="shared" si="902"/>
        <v>25982068.965517242</v>
      </c>
      <c r="M1651" s="199">
        <f t="shared" si="903"/>
        <v>29637758.620689657</v>
      </c>
      <c r="N1651" s="199">
        <f t="shared" si="904"/>
        <v>28500000.000000004</v>
      </c>
      <c r="O1651" s="199">
        <f t="shared" si="905"/>
        <v>31161637.931034483</v>
      </c>
      <c r="P1651" s="199">
        <f t="shared" si="906"/>
        <v>30653879.310344826</v>
      </c>
      <c r="Q1651" s="199">
        <f t="shared" si="907"/>
        <v>31448103.448275864</v>
      </c>
      <c r="R1651" s="199">
        <f t="shared" si="908"/>
        <v>29783706.896551725</v>
      </c>
      <c r="S1651" s="199">
        <f t="shared" si="909"/>
        <v>28776896.551724143</v>
      </c>
      <c r="T1651" s="199">
        <f t="shared" si="910"/>
        <v>28021206.896551728</v>
      </c>
      <c r="U1651" s="199">
        <f t="shared" si="911"/>
        <v>25893189.655172415</v>
      </c>
      <c r="V1651" s="199">
        <f t="shared" si="912"/>
        <v>31509741.379310347</v>
      </c>
      <c r="W1651" s="199">
        <f t="shared" si="913"/>
        <v>28181637.931034483</v>
      </c>
      <c r="X1651" s="199">
        <f t="shared" si="914"/>
        <v>26288793.103448279</v>
      </c>
      <c r="Y1651" s="199">
        <f t="shared" si="915"/>
        <v>28115517.241379313</v>
      </c>
      <c r="Z1651" s="199">
        <f t="shared" si="916"/>
        <v>27848103.448275864</v>
      </c>
      <c r="AA1651" s="199">
        <f t="shared" si="917"/>
        <v>28321724.137931041</v>
      </c>
      <c r="AB1651" s="199">
        <f t="shared" si="918"/>
        <v>27125775.862068966</v>
      </c>
      <c r="AC1651" s="199">
        <f t="shared" si="919"/>
        <v>27715258.62068966</v>
      </c>
      <c r="AD1651" s="199">
        <f t="shared" si="920"/>
        <v>28403275.86206897</v>
      </c>
      <c r="AE1651" s="199">
        <f t="shared" si="921"/>
        <v>27440431.034482755</v>
      </c>
      <c r="AF1651" s="199">
        <f t="shared" si="889"/>
        <v>26376810.344827585</v>
      </c>
      <c r="AG1651" s="199">
        <f t="shared" si="890"/>
        <v>29133534.482758623</v>
      </c>
      <c r="AH1651" s="199">
        <f t="shared" si="922"/>
        <v>25776637.93103449</v>
      </c>
      <c r="AI1651" s="199">
        <f t="shared" si="923"/>
        <v>25020775.862068966</v>
      </c>
      <c r="AJ1651" s="199">
        <f t="shared" si="924"/>
        <v>25417500</v>
      </c>
      <c r="AK1651" s="199">
        <f t="shared" si="925"/>
        <v>26790000</v>
      </c>
      <c r="AL1651" s="199">
        <f t="shared" si="926"/>
        <v>28313879.31034483</v>
      </c>
      <c r="AM1651" s="199">
        <f t="shared" si="927"/>
        <v>26986982.758620687</v>
      </c>
      <c r="AN1651" s="199">
        <f t="shared" si="928"/>
        <v>27926896.551724143</v>
      </c>
      <c r="AO1651" s="199">
        <f t="shared" si="929"/>
        <v>28051810.344827585</v>
      </c>
      <c r="AP1651" s="199">
        <f t="shared" si="930"/>
        <v>30971896.551724143</v>
      </c>
      <c r="AQ1651" s="199">
        <f t="shared" si="931"/>
        <v>27901034.482758623</v>
      </c>
      <c r="AR1651" s="199">
        <f t="shared" si="932"/>
        <v>31869741.379310351</v>
      </c>
      <c r="AS1651" s="199">
        <f t="shared" si="933"/>
        <v>28776551.724137928</v>
      </c>
      <c r="AT1651" s="199">
        <f t="shared" si="934"/>
        <v>29780344.827586204</v>
      </c>
      <c r="AU1651" s="199">
        <f t="shared" si="935"/>
        <v>22869999.999999996</v>
      </c>
      <c r="AV1651" s="199">
        <f t="shared" si="936"/>
        <v>19594224.137931034</v>
      </c>
      <c r="AW1651" s="199">
        <f t="shared" si="937"/>
        <v>21140000</v>
      </c>
      <c r="AX1651" s="199">
        <f t="shared" si="938"/>
        <v>24577068.965517245</v>
      </c>
      <c r="AY1651" s="199">
        <f t="shared" si="939"/>
        <v>26969224.137931034</v>
      </c>
      <c r="AZ1651" s="199">
        <f t="shared" si="940"/>
        <v>26777413.793103453</v>
      </c>
      <c r="BA1651" s="199">
        <f t="shared" si="941"/>
        <v>24409137.931034483</v>
      </c>
      <c r="BB1651" s="199">
        <f t="shared" si="942"/>
        <v>21139310.344827585</v>
      </c>
      <c r="BC1651" s="199">
        <f t="shared" si="943"/>
        <v>23926551.724137936</v>
      </c>
      <c r="BD1651" s="199">
        <f t="shared" si="944"/>
        <v>22546637.931034479</v>
      </c>
      <c r="BE1651" s="199">
        <f t="shared" si="945"/>
        <v>25290431.034482762</v>
      </c>
      <c r="BF1651" s="199">
        <f t="shared" si="946"/>
        <v>23794051.724137936</v>
      </c>
      <c r="BG1651" s="199">
        <f t="shared" si="947"/>
        <v>20959741.379310347</v>
      </c>
      <c r="BH1651" s="199">
        <f t="shared" si="948"/>
        <v>22519741.379310347</v>
      </c>
      <c r="BI1651" s="199">
        <f t="shared" si="949"/>
        <v>20430862.068965517</v>
      </c>
      <c r="BJ1651" s="199">
        <f>BJ1649+BJ1650</f>
        <v>1614105761.1724145</v>
      </c>
      <c r="BK1651" s="199">
        <f t="shared" si="951"/>
        <v>27357724.765634146</v>
      </c>
    </row>
    <row r="1652" spans="1:63" x14ac:dyDescent="0.25">
      <c r="A1652" s="146" t="s">
        <v>33</v>
      </c>
      <c r="B1652" s="94">
        <f t="shared" si="893"/>
        <v>919227.58620689658</v>
      </c>
      <c r="C1652" s="94">
        <f t="shared" si="894"/>
        <v>3904055.1724137934</v>
      </c>
      <c r="D1652" s="94">
        <f t="shared" si="895"/>
        <v>4893241.3793103462</v>
      </c>
      <c r="E1652" s="94">
        <f t="shared" si="896"/>
        <v>5223268.9655172424</v>
      </c>
      <c r="F1652" s="94">
        <f t="shared" si="897"/>
        <v>4994137.931034483</v>
      </c>
      <c r="G1652" s="94">
        <f t="shared" si="898"/>
        <v>4431213.793103449</v>
      </c>
      <c r="H1652" s="94">
        <f t="shared" si="899"/>
        <v>4756868.9655172424</v>
      </c>
      <c r="I1652" s="94">
        <f t="shared" si="888"/>
        <v>5765268.9655172424</v>
      </c>
      <c r="J1652" s="94">
        <f t="shared" si="900"/>
        <v>4928055.1724137925</v>
      </c>
      <c r="K1652" s="94">
        <f t="shared" si="901"/>
        <v>4867806.8965517255</v>
      </c>
      <c r="L1652" s="94">
        <f t="shared" si="902"/>
        <v>4157131.034482759</v>
      </c>
      <c r="M1652" s="94">
        <f t="shared" si="903"/>
        <v>4742041.3793103453</v>
      </c>
      <c r="N1652" s="94">
        <f t="shared" si="904"/>
        <v>4560000.0000000009</v>
      </c>
      <c r="O1652" s="94">
        <f t="shared" si="905"/>
        <v>4985862.068965517</v>
      </c>
      <c r="P1652" s="94">
        <f t="shared" si="906"/>
        <v>4904620.6896551726</v>
      </c>
      <c r="Q1652" s="94">
        <f t="shared" si="907"/>
        <v>5031696.5517241387</v>
      </c>
      <c r="R1652" s="94">
        <f t="shared" si="908"/>
        <v>4765393.1034482764</v>
      </c>
      <c r="S1652" s="94">
        <f t="shared" si="909"/>
        <v>4604303.4482758632</v>
      </c>
      <c r="T1652" s="94">
        <f t="shared" si="910"/>
        <v>4483393.1034482764</v>
      </c>
      <c r="U1652" s="94">
        <f t="shared" si="911"/>
        <v>4142910.3448275863</v>
      </c>
      <c r="V1652" s="94">
        <f t="shared" si="912"/>
        <v>5041558.6206896557</v>
      </c>
      <c r="W1652" s="94">
        <f t="shared" si="913"/>
        <v>4509062.068965517</v>
      </c>
      <c r="X1652" s="94">
        <f t="shared" si="914"/>
        <v>4206206.8965517245</v>
      </c>
      <c r="Y1652" s="94">
        <f t="shared" si="915"/>
        <v>4498482.7586206906</v>
      </c>
      <c r="Z1652" s="94">
        <f t="shared" si="916"/>
        <v>4455696.5517241387</v>
      </c>
      <c r="AA1652" s="94">
        <f t="shared" si="917"/>
        <v>4531475.862068967</v>
      </c>
      <c r="AB1652" s="94">
        <f t="shared" si="918"/>
        <v>4340124.1379310349</v>
      </c>
      <c r="AC1652" s="94">
        <f t="shared" si="919"/>
        <v>4434441.3793103453</v>
      </c>
      <c r="AD1652" s="94">
        <f t="shared" si="920"/>
        <v>4544524.1379310349</v>
      </c>
      <c r="AE1652" s="94">
        <f t="shared" si="921"/>
        <v>4390468.9655172406</v>
      </c>
      <c r="AF1652" s="94">
        <f t="shared" si="889"/>
        <v>4220289.6551724132</v>
      </c>
      <c r="AG1652" s="94">
        <f t="shared" si="890"/>
        <v>4661365.5172413802</v>
      </c>
      <c r="AH1652" s="94">
        <f t="shared" si="922"/>
        <v>4124262.0689655184</v>
      </c>
      <c r="AI1652" s="94">
        <f t="shared" si="923"/>
        <v>4003324.1379310344</v>
      </c>
      <c r="AJ1652" s="94">
        <f t="shared" si="924"/>
        <v>4066800</v>
      </c>
      <c r="AK1652" s="94">
        <f t="shared" si="925"/>
        <v>4286400</v>
      </c>
      <c r="AL1652" s="94">
        <f t="shared" si="926"/>
        <v>4530220.6896551726</v>
      </c>
      <c r="AM1652" s="94">
        <f t="shared" si="927"/>
        <v>4317917.2413793104</v>
      </c>
      <c r="AN1652" s="94">
        <f t="shared" si="928"/>
        <v>4468303.4482758632</v>
      </c>
      <c r="AO1652" s="94">
        <f t="shared" si="929"/>
        <v>4488289.6551724141</v>
      </c>
      <c r="AP1652" s="94">
        <f t="shared" si="930"/>
        <v>4955503.4482758632</v>
      </c>
      <c r="AQ1652" s="94">
        <f t="shared" si="931"/>
        <v>4464165.5172413792</v>
      </c>
      <c r="AR1652" s="94">
        <f t="shared" si="932"/>
        <v>5099158.6206896566</v>
      </c>
      <c r="AS1652" s="94">
        <f t="shared" si="933"/>
        <v>4604248.2758620689</v>
      </c>
      <c r="AT1652" s="94">
        <f t="shared" si="934"/>
        <v>4764855.1724137925</v>
      </c>
      <c r="AU1652" s="94">
        <f t="shared" si="935"/>
        <v>3659199.9999999995</v>
      </c>
      <c r="AV1652" s="94">
        <f t="shared" si="936"/>
        <v>3135075.8620689656</v>
      </c>
      <c r="AW1652" s="94">
        <f t="shared" si="937"/>
        <v>3382400</v>
      </c>
      <c r="AX1652" s="94">
        <f t="shared" si="938"/>
        <v>3932331.0344827594</v>
      </c>
      <c r="AY1652" s="94">
        <f t="shared" si="939"/>
        <v>4315075.8620689651</v>
      </c>
      <c r="AZ1652" s="94">
        <f t="shared" si="940"/>
        <v>4284386.2068965528</v>
      </c>
      <c r="BA1652" s="94">
        <f t="shared" si="941"/>
        <v>3905462.0689655175</v>
      </c>
      <c r="BB1652" s="94">
        <f t="shared" si="942"/>
        <v>3382289.6551724137</v>
      </c>
      <c r="BC1652" s="94">
        <f t="shared" si="943"/>
        <v>3828248.2758620698</v>
      </c>
      <c r="BD1652" s="94">
        <f t="shared" si="944"/>
        <v>3607462.068965517</v>
      </c>
      <c r="BE1652" s="94">
        <f t="shared" si="945"/>
        <v>4046468.965517242</v>
      </c>
      <c r="BF1652" s="94">
        <f t="shared" si="946"/>
        <v>3807048.2758620698</v>
      </c>
      <c r="BG1652" s="94">
        <f t="shared" si="947"/>
        <v>3353558.6206896557</v>
      </c>
      <c r="BH1652" s="94">
        <f t="shared" si="948"/>
        <v>3603158.6206896557</v>
      </c>
      <c r="BI1652" s="94">
        <f t="shared" si="949"/>
        <v>3268937.931034483</v>
      </c>
      <c r="BJ1652" s="94">
        <f>BJ1651*16%</f>
        <v>258256921.78758633</v>
      </c>
      <c r="BK1652" s="94">
        <f t="shared" si="951"/>
        <v>4377235.9625014635</v>
      </c>
    </row>
    <row r="1653" spans="1:63" x14ac:dyDescent="0.25">
      <c r="A1653" s="229" t="s">
        <v>34</v>
      </c>
      <c r="B1653" s="230">
        <f t="shared" si="893"/>
        <v>6664400</v>
      </c>
      <c r="C1653" s="230">
        <f t="shared" si="894"/>
        <v>28304400</v>
      </c>
      <c r="D1653" s="230">
        <f t="shared" si="895"/>
        <v>35476000.000000007</v>
      </c>
      <c r="E1653" s="230">
        <f t="shared" si="896"/>
        <v>37868700.000000007</v>
      </c>
      <c r="F1653" s="230">
        <f t="shared" si="897"/>
        <v>36207500</v>
      </c>
      <c r="G1653" s="230">
        <f t="shared" si="898"/>
        <v>32126300.000000004</v>
      </c>
      <c r="H1653" s="230">
        <f t="shared" si="899"/>
        <v>34487300.000000007</v>
      </c>
      <c r="I1653" s="230">
        <f t="shared" si="888"/>
        <v>41798200.000000007</v>
      </c>
      <c r="J1653" s="230">
        <f t="shared" si="900"/>
        <v>35728400</v>
      </c>
      <c r="K1653" s="230">
        <f t="shared" si="901"/>
        <v>35291600.000000007</v>
      </c>
      <c r="L1653" s="230">
        <f t="shared" si="902"/>
        <v>30139200</v>
      </c>
      <c r="M1653" s="230">
        <f t="shared" si="903"/>
        <v>34379800</v>
      </c>
      <c r="N1653" s="230">
        <f t="shared" si="904"/>
        <v>33060000.000000004</v>
      </c>
      <c r="O1653" s="230">
        <f t="shared" si="905"/>
        <v>36147500</v>
      </c>
      <c r="P1653" s="230">
        <f t="shared" si="906"/>
        <v>35558500</v>
      </c>
      <c r="Q1653" s="230">
        <f t="shared" si="907"/>
        <v>36479800</v>
      </c>
      <c r="R1653" s="230">
        <f t="shared" si="908"/>
        <v>34549100</v>
      </c>
      <c r="S1653" s="230">
        <f t="shared" si="909"/>
        <v>33381200.000000007</v>
      </c>
      <c r="T1653" s="230">
        <f t="shared" si="910"/>
        <v>32504600.000000004</v>
      </c>
      <c r="U1653" s="230">
        <f t="shared" si="911"/>
        <v>30036100</v>
      </c>
      <c r="V1653" s="230">
        <f t="shared" si="912"/>
        <v>36551300</v>
      </c>
      <c r="W1653" s="230">
        <f t="shared" si="913"/>
        <v>32690700</v>
      </c>
      <c r="X1653" s="230">
        <f t="shared" si="914"/>
        <v>30495000.000000004</v>
      </c>
      <c r="Y1653" s="230">
        <f t="shared" si="915"/>
        <v>32614000.000000004</v>
      </c>
      <c r="Z1653" s="230">
        <f t="shared" si="916"/>
        <v>32303800.000000004</v>
      </c>
      <c r="AA1653" s="230">
        <f t="shared" si="917"/>
        <v>32853200.000000007</v>
      </c>
      <c r="AB1653" s="230">
        <f t="shared" si="918"/>
        <v>31465900</v>
      </c>
      <c r="AC1653" s="230">
        <f t="shared" si="919"/>
        <v>32149700.000000007</v>
      </c>
      <c r="AD1653" s="230">
        <f t="shared" si="920"/>
        <v>32947800.000000004</v>
      </c>
      <c r="AE1653" s="230">
        <f t="shared" si="921"/>
        <v>31830899.999999996</v>
      </c>
      <c r="AF1653" s="230">
        <f t="shared" si="889"/>
        <v>30597100</v>
      </c>
      <c r="AG1653" s="230">
        <f t="shared" si="890"/>
        <v>33794900</v>
      </c>
      <c r="AH1653" s="230">
        <f t="shared" si="922"/>
        <v>29900900.000000007</v>
      </c>
      <c r="AI1653" s="230">
        <f t="shared" si="923"/>
        <v>29024100</v>
      </c>
      <c r="AJ1653" s="230">
        <f t="shared" si="924"/>
        <v>29484300</v>
      </c>
      <c r="AK1653" s="230">
        <f t="shared" si="925"/>
        <v>31076400</v>
      </c>
      <c r="AL1653" s="230">
        <f t="shared" si="926"/>
        <v>32844100.000000004</v>
      </c>
      <c r="AM1653" s="230">
        <f t="shared" si="927"/>
        <v>31304899.999999996</v>
      </c>
      <c r="AN1653" s="230">
        <f t="shared" si="928"/>
        <v>32395200.000000007</v>
      </c>
      <c r="AO1653" s="230">
        <f t="shared" si="929"/>
        <v>32540100</v>
      </c>
      <c r="AP1653" s="230">
        <f t="shared" si="930"/>
        <v>35927400.000000007</v>
      </c>
      <c r="AQ1653" s="230">
        <f t="shared" si="931"/>
        <v>32365200</v>
      </c>
      <c r="AR1653" s="230">
        <f t="shared" si="932"/>
        <v>36968900.000000007</v>
      </c>
      <c r="AS1653" s="230">
        <f t="shared" si="933"/>
        <v>33380799.999999996</v>
      </c>
      <c r="AT1653" s="230">
        <f t="shared" si="934"/>
        <v>34545200</v>
      </c>
      <c r="AU1653" s="230">
        <f t="shared" si="935"/>
        <v>26529199.999999996</v>
      </c>
      <c r="AV1653" s="230">
        <f t="shared" si="936"/>
        <v>22729300</v>
      </c>
      <c r="AW1653" s="230">
        <f t="shared" si="937"/>
        <v>24522400</v>
      </c>
      <c r="AX1653" s="230">
        <f t="shared" si="938"/>
        <v>28509400.000000004</v>
      </c>
      <c r="AY1653" s="230">
        <f t="shared" si="939"/>
        <v>31284300</v>
      </c>
      <c r="AZ1653" s="230">
        <f t="shared" si="940"/>
        <v>31061800.000000007</v>
      </c>
      <c r="BA1653" s="230">
        <f t="shared" si="941"/>
        <v>28314600</v>
      </c>
      <c r="BB1653" s="230">
        <f t="shared" si="942"/>
        <v>24521600</v>
      </c>
      <c r="BC1653" s="230">
        <f t="shared" si="943"/>
        <v>27754800.000000007</v>
      </c>
      <c r="BD1653" s="230">
        <f t="shared" si="944"/>
        <v>26154099.999999996</v>
      </c>
      <c r="BE1653" s="230">
        <f t="shared" si="945"/>
        <v>29336900.000000004</v>
      </c>
      <c r="BF1653" s="230">
        <f t="shared" si="946"/>
        <v>27601100.000000007</v>
      </c>
      <c r="BG1653" s="230">
        <f t="shared" si="947"/>
        <v>24313300.000000004</v>
      </c>
      <c r="BH1653" s="230">
        <f t="shared" si="948"/>
        <v>26122900.000000004</v>
      </c>
      <c r="BI1653" s="230">
        <f t="shared" si="949"/>
        <v>23699800</v>
      </c>
      <c r="BJ1653" s="230">
        <f>+SUM(B1653:BI1653)</f>
        <v>1874695900</v>
      </c>
      <c r="BK1653" s="230">
        <f t="shared" si="951"/>
        <v>31774506.779661018</v>
      </c>
    </row>
    <row r="1654" spans="1:63" x14ac:dyDescent="0.25">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row>
    <row r="1655" spans="1:63" ht="15.75" thickBot="1" x14ac:dyDescent="0.3">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row>
    <row r="1656" spans="1:63" ht="26.25" x14ac:dyDescent="0.4">
      <c r="B1656" s="493" t="s">
        <v>401</v>
      </c>
      <c r="C1656" s="494"/>
      <c r="D1656" s="494"/>
      <c r="E1656" s="494"/>
      <c r="F1656" s="494"/>
      <c r="G1656" s="494"/>
      <c r="H1656" s="494"/>
      <c r="I1656" s="494"/>
      <c r="J1656" s="494"/>
      <c r="K1656" s="494"/>
      <c r="L1656" s="494"/>
      <c r="M1656" s="494"/>
      <c r="N1656" s="494"/>
      <c r="O1656" s="494"/>
      <c r="P1656" s="494"/>
      <c r="Q1656" s="494"/>
      <c r="R1656" s="494"/>
      <c r="S1656" s="494"/>
      <c r="T1656" s="494"/>
      <c r="U1656" s="494"/>
      <c r="V1656" s="494"/>
      <c r="W1656" s="494"/>
      <c r="X1656" s="494"/>
      <c r="Y1656" s="494"/>
      <c r="Z1656" s="494"/>
      <c r="AA1656" s="494"/>
      <c r="AB1656" s="494"/>
      <c r="AC1656" s="494"/>
      <c r="AD1656" s="494"/>
      <c r="AE1656" s="494"/>
      <c r="AF1656" s="494"/>
      <c r="AG1656" s="494"/>
      <c r="AH1656" s="494"/>
      <c r="AI1656" s="494"/>
      <c r="AJ1656" s="494"/>
      <c r="AK1656" s="494"/>
      <c r="AL1656" s="494"/>
      <c r="AM1656" s="494"/>
      <c r="AN1656" s="494"/>
      <c r="AO1656" s="494"/>
      <c r="AP1656" s="494"/>
      <c r="AQ1656" s="494"/>
      <c r="AR1656" s="494"/>
      <c r="AS1656" s="494"/>
      <c r="AT1656" s="494"/>
      <c r="AU1656" s="494"/>
      <c r="AV1656" s="494"/>
      <c r="AW1656" s="494"/>
      <c r="AX1656" s="494"/>
      <c r="AY1656" s="494"/>
      <c r="AZ1656" s="494"/>
      <c r="BA1656" s="494"/>
      <c r="BB1656" s="494"/>
      <c r="BC1656" s="494"/>
      <c r="BD1656" s="494"/>
      <c r="BE1656" s="494"/>
      <c r="BF1656" s="494"/>
      <c r="BG1656" s="494"/>
      <c r="BH1656" s="494"/>
      <c r="BI1656" s="494"/>
      <c r="BJ1656" s="494"/>
      <c r="BK1656" s="496"/>
    </row>
    <row r="1657" spans="1:63" ht="15.75" x14ac:dyDescent="0.25">
      <c r="A1657" s="72" t="s">
        <v>2</v>
      </c>
      <c r="B1657" s="287" t="s">
        <v>353</v>
      </c>
      <c r="C1657" s="153" t="s">
        <v>354</v>
      </c>
      <c r="D1657" s="50" t="s">
        <v>355</v>
      </c>
      <c r="E1657" s="50" t="str">
        <f t="shared" ref="E1657:BI1657" si="952">+E1629</f>
        <v>SEMANA 4</v>
      </c>
      <c r="F1657" s="50" t="str">
        <f t="shared" si="952"/>
        <v>SEMANA 5</v>
      </c>
      <c r="G1657" s="50" t="str">
        <f t="shared" si="952"/>
        <v>SEMANA 6</v>
      </c>
      <c r="H1657" s="50" t="str">
        <f t="shared" si="952"/>
        <v>SEMANA 7</v>
      </c>
      <c r="I1657" s="50" t="str">
        <f t="shared" si="952"/>
        <v>SEMANA 8</v>
      </c>
      <c r="J1657" s="50" t="str">
        <f t="shared" si="952"/>
        <v>SEMANA 9</v>
      </c>
      <c r="K1657" s="50" t="str">
        <f t="shared" si="952"/>
        <v>SEMANA 10</v>
      </c>
      <c r="L1657" s="50" t="str">
        <f t="shared" si="952"/>
        <v>SEMANA 11</v>
      </c>
      <c r="M1657" s="50" t="str">
        <f t="shared" si="952"/>
        <v>SEMANA 12</v>
      </c>
      <c r="N1657" s="50" t="str">
        <f t="shared" si="952"/>
        <v>SEMANA 13</v>
      </c>
      <c r="O1657" s="50" t="str">
        <f t="shared" si="952"/>
        <v>SEMANA 14</v>
      </c>
      <c r="P1657" s="50" t="str">
        <f t="shared" si="952"/>
        <v>SEMANA 15</v>
      </c>
      <c r="Q1657" s="50" t="str">
        <f t="shared" si="952"/>
        <v>SEMANA 16</v>
      </c>
      <c r="R1657" s="50" t="str">
        <f t="shared" si="952"/>
        <v>SEMANA 17</v>
      </c>
      <c r="S1657" s="50" t="str">
        <f t="shared" si="952"/>
        <v>SEMANA 18</v>
      </c>
      <c r="T1657" s="50" t="str">
        <f t="shared" si="952"/>
        <v>SEMANA 19</v>
      </c>
      <c r="U1657" s="50" t="str">
        <f t="shared" si="952"/>
        <v>SEMANA 20</v>
      </c>
      <c r="V1657" s="50" t="str">
        <f t="shared" si="952"/>
        <v>SEMANA 21</v>
      </c>
      <c r="W1657" s="50" t="str">
        <f t="shared" si="952"/>
        <v>SEMANA 22</v>
      </c>
      <c r="X1657" s="50" t="str">
        <f t="shared" si="952"/>
        <v>SEMANA 23</v>
      </c>
      <c r="Y1657" s="50" t="str">
        <f t="shared" si="952"/>
        <v>SEMANA 24</v>
      </c>
      <c r="Z1657" s="50" t="str">
        <f t="shared" si="952"/>
        <v>SEMANA 25</v>
      </c>
      <c r="AA1657" s="50" t="str">
        <f t="shared" si="952"/>
        <v>SEMANA 26</v>
      </c>
      <c r="AB1657" s="50" t="str">
        <f t="shared" si="952"/>
        <v>SEMANA 27</v>
      </c>
      <c r="AC1657" s="50" t="str">
        <f t="shared" si="952"/>
        <v>SEMANA 28</v>
      </c>
      <c r="AD1657" s="50" t="str">
        <f t="shared" si="952"/>
        <v>SEMANA 29</v>
      </c>
      <c r="AE1657" s="50" t="str">
        <f t="shared" si="952"/>
        <v>SEMANA 30</v>
      </c>
      <c r="AF1657" s="50" t="str">
        <f t="shared" si="952"/>
        <v>SEMANA 31</v>
      </c>
      <c r="AG1657" s="50" t="str">
        <f t="shared" ref="AG1657:BH1657" si="953">+AG1629</f>
        <v>SEMANA 32</v>
      </c>
      <c r="AH1657" s="50" t="str">
        <f t="shared" si="953"/>
        <v>SEMANA 33</v>
      </c>
      <c r="AI1657" s="50" t="str">
        <f t="shared" si="953"/>
        <v>SEMANA 34</v>
      </c>
      <c r="AJ1657" s="50" t="str">
        <f t="shared" si="953"/>
        <v>SEMANA 35</v>
      </c>
      <c r="AK1657" s="50" t="str">
        <f t="shared" si="953"/>
        <v>SEMANA 36</v>
      </c>
      <c r="AL1657" s="50" t="str">
        <f t="shared" si="953"/>
        <v>SEMANA 37</v>
      </c>
      <c r="AM1657" s="50" t="str">
        <f t="shared" si="953"/>
        <v>SEMANA 38</v>
      </c>
      <c r="AN1657" s="50" t="str">
        <f t="shared" si="953"/>
        <v>SEMANA 39</v>
      </c>
      <c r="AO1657" s="50" t="str">
        <f t="shared" si="953"/>
        <v>SEMANA 40</v>
      </c>
      <c r="AP1657" s="50" t="str">
        <f t="shared" si="953"/>
        <v>SEMANA 41</v>
      </c>
      <c r="AQ1657" s="50" t="str">
        <f t="shared" si="953"/>
        <v>SEMANA 42</v>
      </c>
      <c r="AR1657" s="50" t="str">
        <f t="shared" si="953"/>
        <v>SEMANA 43</v>
      </c>
      <c r="AS1657" s="50" t="str">
        <f t="shared" si="953"/>
        <v>SEMANA 44</v>
      </c>
      <c r="AT1657" s="50" t="str">
        <f t="shared" si="953"/>
        <v>SEMANA 45</v>
      </c>
      <c r="AU1657" s="50" t="str">
        <f t="shared" si="953"/>
        <v>SEMANA 46</v>
      </c>
      <c r="AV1657" s="50" t="str">
        <f t="shared" si="953"/>
        <v>SEMANA 47</v>
      </c>
      <c r="AW1657" s="50" t="str">
        <f t="shared" si="953"/>
        <v>SEMANA 48</v>
      </c>
      <c r="AX1657" s="50" t="str">
        <f t="shared" si="953"/>
        <v>SEMANA 49</v>
      </c>
      <c r="AY1657" s="50" t="str">
        <f t="shared" si="953"/>
        <v>SEMANA 50</v>
      </c>
      <c r="AZ1657" s="50" t="str">
        <f t="shared" si="953"/>
        <v>SEMANA 51</v>
      </c>
      <c r="BA1657" s="50" t="str">
        <f t="shared" si="953"/>
        <v>SEMANA 52</v>
      </c>
      <c r="BB1657" s="50" t="str">
        <f t="shared" si="953"/>
        <v>SEMANA 53</v>
      </c>
      <c r="BC1657" s="50" t="str">
        <f t="shared" si="953"/>
        <v>SEMANA 54</v>
      </c>
      <c r="BD1657" s="50" t="str">
        <f t="shared" si="953"/>
        <v>SEMANA 55</v>
      </c>
      <c r="BE1657" s="50" t="str">
        <f t="shared" si="953"/>
        <v>SEMANA 56</v>
      </c>
      <c r="BF1657" s="50" t="str">
        <f t="shared" si="953"/>
        <v>SEMANA 57</v>
      </c>
      <c r="BG1657" s="50" t="str">
        <f t="shared" si="953"/>
        <v>SEMANA 58</v>
      </c>
      <c r="BH1657" s="50" t="str">
        <f t="shared" si="953"/>
        <v>SEMANA 59</v>
      </c>
      <c r="BI1657" s="50" t="str">
        <f t="shared" si="952"/>
        <v>SEMANA 60</v>
      </c>
      <c r="BJ1657" s="50" t="s">
        <v>10</v>
      </c>
      <c r="BK1657" s="287" t="s">
        <v>400</v>
      </c>
    </row>
    <row r="1658" spans="1:63" x14ac:dyDescent="0.25">
      <c r="A1658" s="458" t="s">
        <v>11</v>
      </c>
      <c r="B1658" s="459">
        <f>+B1630</f>
        <v>222</v>
      </c>
      <c r="C1658" s="459">
        <f>+C1630</f>
        <v>926</v>
      </c>
      <c r="D1658" s="459">
        <f>+D1630</f>
        <v>1133</v>
      </c>
      <c r="E1658" s="459">
        <f t="shared" ref="E1658:BI1658" si="954">+E1630</f>
        <v>1249</v>
      </c>
      <c r="F1658" s="459">
        <f t="shared" si="954"/>
        <v>1164</v>
      </c>
      <c r="G1658" s="459">
        <f t="shared" si="954"/>
        <v>1084</v>
      </c>
      <c r="H1658" s="459">
        <f t="shared" si="954"/>
        <v>1148</v>
      </c>
      <c r="I1658" s="459">
        <f t="shared" si="954"/>
        <v>1485</v>
      </c>
      <c r="J1658" s="459">
        <f t="shared" si="954"/>
        <v>1306</v>
      </c>
      <c r="K1658" s="459">
        <f t="shared" si="954"/>
        <v>1258</v>
      </c>
      <c r="L1658" s="459">
        <f t="shared" si="954"/>
        <v>1085</v>
      </c>
      <c r="M1658" s="459">
        <f t="shared" si="954"/>
        <v>1250</v>
      </c>
      <c r="N1658" s="459">
        <f t="shared" si="954"/>
        <v>1155</v>
      </c>
      <c r="O1658" s="459">
        <f t="shared" si="954"/>
        <v>1311</v>
      </c>
      <c r="P1658" s="459">
        <f t="shared" si="954"/>
        <v>1260</v>
      </c>
      <c r="Q1658" s="459">
        <f t="shared" si="954"/>
        <v>1309</v>
      </c>
      <c r="R1658" s="459">
        <f t="shared" si="954"/>
        <v>1243</v>
      </c>
      <c r="S1658" s="459">
        <f t="shared" si="954"/>
        <v>1192</v>
      </c>
      <c r="T1658" s="459">
        <f t="shared" si="954"/>
        <v>1154</v>
      </c>
      <c r="U1658" s="459">
        <f t="shared" si="954"/>
        <v>1073</v>
      </c>
      <c r="V1658" s="459">
        <f t="shared" si="954"/>
        <v>1286</v>
      </c>
      <c r="W1658" s="459">
        <f t="shared" si="954"/>
        <v>1152</v>
      </c>
      <c r="X1658" s="459">
        <f t="shared" si="954"/>
        <v>1081</v>
      </c>
      <c r="Y1658" s="459">
        <f t="shared" si="954"/>
        <v>1180</v>
      </c>
      <c r="Z1658" s="459">
        <f t="shared" si="954"/>
        <v>1157</v>
      </c>
      <c r="AA1658" s="459">
        <f t="shared" si="954"/>
        <v>1184</v>
      </c>
      <c r="AB1658" s="459">
        <f t="shared" si="954"/>
        <v>1115</v>
      </c>
      <c r="AC1658" s="459">
        <f t="shared" si="954"/>
        <v>1157</v>
      </c>
      <c r="AD1658" s="459">
        <f t="shared" si="954"/>
        <v>1153</v>
      </c>
      <c r="AE1658" s="459">
        <f t="shared" si="954"/>
        <v>1136</v>
      </c>
      <c r="AF1658" s="459">
        <f t="shared" si="954"/>
        <v>1057</v>
      </c>
      <c r="AG1658" s="459">
        <f t="shared" si="954"/>
        <v>1204</v>
      </c>
      <c r="AH1658" s="459">
        <f t="shared" si="954"/>
        <v>1078</v>
      </c>
      <c r="AI1658" s="459">
        <f t="shared" si="954"/>
        <v>1036</v>
      </c>
      <c r="AJ1658" s="459">
        <f t="shared" si="954"/>
        <v>1051</v>
      </c>
      <c r="AK1658" s="459">
        <f t="shared" si="954"/>
        <v>1102</v>
      </c>
      <c r="AL1658" s="459">
        <f t="shared" si="954"/>
        <v>1155</v>
      </c>
      <c r="AM1658" s="459">
        <f t="shared" si="954"/>
        <v>1145</v>
      </c>
      <c r="AN1658" s="459">
        <f t="shared" si="954"/>
        <v>1147</v>
      </c>
      <c r="AO1658" s="459">
        <f t="shared" si="954"/>
        <v>1125</v>
      </c>
      <c r="AP1658" s="459">
        <f t="shared" si="954"/>
        <v>1264</v>
      </c>
      <c r="AQ1658" s="459">
        <f t="shared" si="954"/>
        <v>1167</v>
      </c>
      <c r="AR1658" s="459">
        <f t="shared" si="954"/>
        <v>1310</v>
      </c>
      <c r="AS1658" s="459">
        <f t="shared" si="954"/>
        <v>1197</v>
      </c>
      <c r="AT1658" s="459">
        <f t="shared" si="954"/>
        <v>1212</v>
      </c>
      <c r="AU1658" s="459">
        <f t="shared" si="954"/>
        <v>946</v>
      </c>
      <c r="AV1658" s="459">
        <f t="shared" si="954"/>
        <v>805</v>
      </c>
      <c r="AW1658" s="459">
        <f t="shared" si="954"/>
        <v>884</v>
      </c>
      <c r="AX1658" s="459">
        <f t="shared" si="954"/>
        <v>1017</v>
      </c>
      <c r="AY1658" s="459">
        <f t="shared" si="954"/>
        <v>1101</v>
      </c>
      <c r="AZ1658" s="459">
        <f t="shared" si="954"/>
        <v>1111</v>
      </c>
      <c r="BA1658" s="459">
        <f t="shared" si="954"/>
        <v>997</v>
      </c>
      <c r="BB1658" s="459">
        <f t="shared" si="954"/>
        <v>875</v>
      </c>
      <c r="BC1658" s="459">
        <f t="shared" si="954"/>
        <v>1007</v>
      </c>
      <c r="BD1658" s="459">
        <f t="shared" si="954"/>
        <v>920</v>
      </c>
      <c r="BE1658" s="459">
        <f t="shared" si="954"/>
        <v>1031</v>
      </c>
      <c r="BF1658" s="459">
        <f t="shared" si="954"/>
        <v>996</v>
      </c>
      <c r="BG1658" s="459">
        <f t="shared" si="954"/>
        <v>883</v>
      </c>
      <c r="BH1658" s="459">
        <f t="shared" si="954"/>
        <v>962</v>
      </c>
      <c r="BI1658" s="459">
        <f t="shared" si="954"/>
        <v>888</v>
      </c>
      <c r="BJ1658" s="499">
        <f>+SUM(B1658:BI1658)</f>
        <v>66281</v>
      </c>
      <c r="BK1658" s="459">
        <f>+$BJ1658/59</f>
        <v>1123.406779661017</v>
      </c>
    </row>
    <row r="1659" spans="1:63" x14ac:dyDescent="0.25">
      <c r="A1659" s="79" t="s">
        <v>17</v>
      </c>
      <c r="B1659" s="461">
        <f t="shared" ref="B1659:BI1659" si="955">+B1636</f>
        <v>195</v>
      </c>
      <c r="C1659" s="461">
        <f t="shared" si="955"/>
        <v>850</v>
      </c>
      <c r="D1659" s="461">
        <f t="shared" si="955"/>
        <v>1066</v>
      </c>
      <c r="E1659" s="461">
        <f t="shared" si="955"/>
        <v>1143</v>
      </c>
      <c r="F1659" s="461">
        <f t="shared" si="955"/>
        <v>1073</v>
      </c>
      <c r="G1659" s="461">
        <f t="shared" si="955"/>
        <v>990</v>
      </c>
      <c r="H1659" s="461">
        <f t="shared" si="955"/>
        <v>1036</v>
      </c>
      <c r="I1659" s="461">
        <f t="shared" si="955"/>
        <v>1214</v>
      </c>
      <c r="J1659" s="461">
        <f t="shared" si="955"/>
        <v>1083</v>
      </c>
      <c r="K1659" s="461">
        <f t="shared" si="955"/>
        <v>1018</v>
      </c>
      <c r="L1659" s="461">
        <f t="shared" si="955"/>
        <v>889</v>
      </c>
      <c r="M1659" s="461">
        <f t="shared" si="955"/>
        <v>1019</v>
      </c>
      <c r="N1659" s="461">
        <f t="shared" si="955"/>
        <v>971</v>
      </c>
      <c r="O1659" s="461">
        <f t="shared" si="955"/>
        <v>1072</v>
      </c>
      <c r="P1659" s="461">
        <f t="shared" si="955"/>
        <v>1043</v>
      </c>
      <c r="Q1659" s="461">
        <f t="shared" si="955"/>
        <v>1088</v>
      </c>
      <c r="R1659" s="461">
        <f t="shared" si="955"/>
        <v>1027</v>
      </c>
      <c r="S1659" s="461">
        <f t="shared" si="955"/>
        <v>999</v>
      </c>
      <c r="T1659" s="461">
        <f t="shared" si="955"/>
        <v>972</v>
      </c>
      <c r="U1659" s="461">
        <f t="shared" si="955"/>
        <v>885</v>
      </c>
      <c r="V1659" s="461">
        <f t="shared" si="955"/>
        <v>1030</v>
      </c>
      <c r="W1659" s="461">
        <f t="shared" si="955"/>
        <v>954</v>
      </c>
      <c r="X1659" s="461">
        <f t="shared" si="955"/>
        <v>858</v>
      </c>
      <c r="Y1659" s="461">
        <f t="shared" si="955"/>
        <v>974</v>
      </c>
      <c r="Z1659" s="461">
        <f t="shared" si="955"/>
        <v>950</v>
      </c>
      <c r="AA1659" s="461">
        <f t="shared" si="955"/>
        <v>982</v>
      </c>
      <c r="AB1659" s="461">
        <f t="shared" si="955"/>
        <v>908</v>
      </c>
      <c r="AC1659" s="461">
        <f t="shared" si="955"/>
        <v>949</v>
      </c>
      <c r="AD1659" s="461">
        <f t="shared" si="955"/>
        <v>953</v>
      </c>
      <c r="AE1659" s="461">
        <f t="shared" si="955"/>
        <v>946</v>
      </c>
      <c r="AF1659" s="461">
        <f t="shared" si="955"/>
        <v>897</v>
      </c>
      <c r="AG1659" s="461">
        <f t="shared" ref="AG1659:BH1659" si="956">+AG1636</f>
        <v>960</v>
      </c>
      <c r="AH1659" s="461">
        <f t="shared" si="956"/>
        <v>885</v>
      </c>
      <c r="AI1659" s="461">
        <f t="shared" si="956"/>
        <v>841</v>
      </c>
      <c r="AJ1659" s="461">
        <f t="shared" si="956"/>
        <v>873</v>
      </c>
      <c r="AK1659" s="461">
        <f t="shared" si="956"/>
        <v>908</v>
      </c>
      <c r="AL1659" s="461">
        <f t="shared" si="956"/>
        <v>953</v>
      </c>
      <c r="AM1659" s="461">
        <f t="shared" si="956"/>
        <v>959</v>
      </c>
      <c r="AN1659" s="461">
        <f t="shared" si="956"/>
        <v>932</v>
      </c>
      <c r="AO1659" s="461">
        <f t="shared" si="956"/>
        <v>945</v>
      </c>
      <c r="AP1659" s="461">
        <f t="shared" si="956"/>
        <v>1033</v>
      </c>
      <c r="AQ1659" s="461">
        <f t="shared" si="956"/>
        <v>956</v>
      </c>
      <c r="AR1659" s="461">
        <f t="shared" si="956"/>
        <v>1073</v>
      </c>
      <c r="AS1659" s="461">
        <f t="shared" si="956"/>
        <v>972</v>
      </c>
      <c r="AT1659" s="461">
        <f t="shared" si="956"/>
        <v>968</v>
      </c>
      <c r="AU1659" s="461">
        <f t="shared" si="956"/>
        <v>719</v>
      </c>
      <c r="AV1659" s="461">
        <f t="shared" si="956"/>
        <v>685</v>
      </c>
      <c r="AW1659" s="461">
        <f t="shared" si="956"/>
        <v>687</v>
      </c>
      <c r="AX1659" s="461">
        <f t="shared" si="956"/>
        <v>822</v>
      </c>
      <c r="AY1659" s="461">
        <f t="shared" si="956"/>
        <v>914</v>
      </c>
      <c r="AZ1659" s="461">
        <f t="shared" si="956"/>
        <v>923</v>
      </c>
      <c r="BA1659" s="461">
        <f t="shared" si="956"/>
        <v>795</v>
      </c>
      <c r="BB1659" s="461">
        <f t="shared" si="956"/>
        <v>722</v>
      </c>
      <c r="BC1659" s="461">
        <f t="shared" si="956"/>
        <v>813</v>
      </c>
      <c r="BD1659" s="461">
        <f t="shared" si="956"/>
        <v>764</v>
      </c>
      <c r="BE1659" s="461">
        <f t="shared" si="956"/>
        <v>866</v>
      </c>
      <c r="BF1659" s="461">
        <f t="shared" si="956"/>
        <v>841</v>
      </c>
      <c r="BG1659" s="461">
        <f t="shared" si="956"/>
        <v>748</v>
      </c>
      <c r="BH1659" s="461">
        <f t="shared" si="956"/>
        <v>755</v>
      </c>
      <c r="BI1659" s="461">
        <f t="shared" si="955"/>
        <v>721</v>
      </c>
      <c r="BJ1659" s="500">
        <f>+SUM(B1659:BI1659)</f>
        <v>55067</v>
      </c>
      <c r="BK1659" s="501">
        <f>+$BJ1659/59</f>
        <v>933.33898305084745</v>
      </c>
    </row>
    <row r="1660" spans="1:63" ht="15.75" x14ac:dyDescent="0.25">
      <c r="A1660" s="72" t="s">
        <v>2</v>
      </c>
      <c r="B1660" s="287" t="s">
        <v>353</v>
      </c>
      <c r="C1660" s="153" t="s">
        <v>354</v>
      </c>
      <c r="D1660" s="50" t="s">
        <v>355</v>
      </c>
      <c r="E1660" s="50" t="str">
        <f t="shared" ref="E1660:BI1660" si="957">+E1657</f>
        <v>SEMANA 4</v>
      </c>
      <c r="F1660" s="50" t="str">
        <f t="shared" si="957"/>
        <v>SEMANA 5</v>
      </c>
      <c r="G1660" s="50" t="str">
        <f t="shared" si="957"/>
        <v>SEMANA 6</v>
      </c>
      <c r="H1660" s="50" t="str">
        <f t="shared" si="957"/>
        <v>SEMANA 7</v>
      </c>
      <c r="I1660" s="50" t="str">
        <f t="shared" si="957"/>
        <v>SEMANA 8</v>
      </c>
      <c r="J1660" s="50" t="str">
        <f t="shared" si="957"/>
        <v>SEMANA 9</v>
      </c>
      <c r="K1660" s="50" t="str">
        <f t="shared" si="957"/>
        <v>SEMANA 10</v>
      </c>
      <c r="L1660" s="50" t="str">
        <f t="shared" si="957"/>
        <v>SEMANA 11</v>
      </c>
      <c r="M1660" s="50" t="str">
        <f t="shared" si="957"/>
        <v>SEMANA 12</v>
      </c>
      <c r="N1660" s="50" t="str">
        <f t="shared" si="957"/>
        <v>SEMANA 13</v>
      </c>
      <c r="O1660" s="50" t="str">
        <f t="shared" si="957"/>
        <v>SEMANA 14</v>
      </c>
      <c r="P1660" s="50" t="str">
        <f t="shared" si="957"/>
        <v>SEMANA 15</v>
      </c>
      <c r="Q1660" s="50" t="str">
        <f t="shared" si="957"/>
        <v>SEMANA 16</v>
      </c>
      <c r="R1660" s="50" t="str">
        <f t="shared" si="957"/>
        <v>SEMANA 17</v>
      </c>
      <c r="S1660" s="50" t="str">
        <f t="shared" si="957"/>
        <v>SEMANA 18</v>
      </c>
      <c r="T1660" s="50" t="str">
        <f t="shared" si="957"/>
        <v>SEMANA 19</v>
      </c>
      <c r="U1660" s="50" t="str">
        <f t="shared" si="957"/>
        <v>SEMANA 20</v>
      </c>
      <c r="V1660" s="50" t="str">
        <f t="shared" si="957"/>
        <v>SEMANA 21</v>
      </c>
      <c r="W1660" s="50" t="str">
        <f t="shared" si="957"/>
        <v>SEMANA 22</v>
      </c>
      <c r="X1660" s="50" t="str">
        <f t="shared" si="957"/>
        <v>SEMANA 23</v>
      </c>
      <c r="Y1660" s="50" t="str">
        <f t="shared" si="957"/>
        <v>SEMANA 24</v>
      </c>
      <c r="Z1660" s="50" t="str">
        <f t="shared" si="957"/>
        <v>SEMANA 25</v>
      </c>
      <c r="AA1660" s="50" t="str">
        <f t="shared" si="957"/>
        <v>SEMANA 26</v>
      </c>
      <c r="AB1660" s="50" t="str">
        <f t="shared" si="957"/>
        <v>SEMANA 27</v>
      </c>
      <c r="AC1660" s="50" t="str">
        <f t="shared" si="957"/>
        <v>SEMANA 28</v>
      </c>
      <c r="AD1660" s="50" t="str">
        <f t="shared" si="957"/>
        <v>SEMANA 29</v>
      </c>
      <c r="AE1660" s="50" t="str">
        <f t="shared" si="957"/>
        <v>SEMANA 30</v>
      </c>
      <c r="AF1660" s="50" t="str">
        <f t="shared" si="957"/>
        <v>SEMANA 31</v>
      </c>
      <c r="AG1660" s="50" t="str">
        <f t="shared" ref="AG1660:BH1660" si="958">+AG1657</f>
        <v>SEMANA 32</v>
      </c>
      <c r="AH1660" s="50" t="str">
        <f t="shared" si="958"/>
        <v>SEMANA 33</v>
      </c>
      <c r="AI1660" s="50" t="str">
        <f t="shared" si="958"/>
        <v>SEMANA 34</v>
      </c>
      <c r="AJ1660" s="50" t="str">
        <f t="shared" si="958"/>
        <v>SEMANA 35</v>
      </c>
      <c r="AK1660" s="50" t="str">
        <f t="shared" si="958"/>
        <v>SEMANA 36</v>
      </c>
      <c r="AL1660" s="50" t="str">
        <f t="shared" si="958"/>
        <v>SEMANA 37</v>
      </c>
      <c r="AM1660" s="50" t="str">
        <f t="shared" si="958"/>
        <v>SEMANA 38</v>
      </c>
      <c r="AN1660" s="50" t="str">
        <f t="shared" si="958"/>
        <v>SEMANA 39</v>
      </c>
      <c r="AO1660" s="50" t="str">
        <f t="shared" si="958"/>
        <v>SEMANA 40</v>
      </c>
      <c r="AP1660" s="50" t="str">
        <f t="shared" si="958"/>
        <v>SEMANA 41</v>
      </c>
      <c r="AQ1660" s="50" t="str">
        <f t="shared" si="958"/>
        <v>SEMANA 42</v>
      </c>
      <c r="AR1660" s="50" t="str">
        <f t="shared" si="958"/>
        <v>SEMANA 43</v>
      </c>
      <c r="AS1660" s="50" t="str">
        <f t="shared" si="958"/>
        <v>SEMANA 44</v>
      </c>
      <c r="AT1660" s="50" t="str">
        <f t="shared" si="958"/>
        <v>SEMANA 45</v>
      </c>
      <c r="AU1660" s="50" t="str">
        <f t="shared" si="958"/>
        <v>SEMANA 46</v>
      </c>
      <c r="AV1660" s="50" t="str">
        <f t="shared" si="958"/>
        <v>SEMANA 47</v>
      </c>
      <c r="AW1660" s="50" t="str">
        <f t="shared" si="958"/>
        <v>SEMANA 48</v>
      </c>
      <c r="AX1660" s="50" t="str">
        <f t="shared" si="958"/>
        <v>SEMANA 49</v>
      </c>
      <c r="AY1660" s="50" t="str">
        <f t="shared" si="958"/>
        <v>SEMANA 50</v>
      </c>
      <c r="AZ1660" s="50" t="str">
        <f t="shared" si="958"/>
        <v>SEMANA 51</v>
      </c>
      <c r="BA1660" s="50" t="str">
        <f t="shared" si="958"/>
        <v>SEMANA 52</v>
      </c>
      <c r="BB1660" s="50" t="str">
        <f t="shared" si="958"/>
        <v>SEMANA 53</v>
      </c>
      <c r="BC1660" s="50" t="str">
        <f t="shared" si="958"/>
        <v>SEMANA 54</v>
      </c>
      <c r="BD1660" s="50" t="str">
        <f t="shared" si="958"/>
        <v>SEMANA 55</v>
      </c>
      <c r="BE1660" s="50" t="str">
        <f t="shared" si="958"/>
        <v>SEMANA 56</v>
      </c>
      <c r="BF1660" s="50" t="str">
        <f t="shared" si="958"/>
        <v>SEMANA 57</v>
      </c>
      <c r="BG1660" s="50" t="str">
        <f t="shared" si="958"/>
        <v>SEMANA 58</v>
      </c>
      <c r="BH1660" s="50" t="str">
        <f t="shared" si="958"/>
        <v>SEMANA 59</v>
      </c>
      <c r="BI1660" s="50" t="str">
        <f t="shared" si="957"/>
        <v>SEMANA 60</v>
      </c>
      <c r="BJ1660" s="50" t="s">
        <v>10</v>
      </c>
      <c r="BK1660" s="50" t="s">
        <v>400</v>
      </c>
    </row>
    <row r="1661" spans="1:63" x14ac:dyDescent="0.25">
      <c r="A1661" s="77" t="s">
        <v>25</v>
      </c>
      <c r="B1661" s="299">
        <f t="shared" ref="B1661:BI1661" si="959">+B1644</f>
        <v>4097879.1034482764</v>
      </c>
      <c r="C1661" s="299">
        <f t="shared" si="959"/>
        <v>10656554.644827588</v>
      </c>
      <c r="D1661" s="299">
        <f t="shared" si="959"/>
        <v>14949698.955172414</v>
      </c>
      <c r="E1661" s="299">
        <f t="shared" si="959"/>
        <v>16541312.053448278</v>
      </c>
      <c r="F1661" s="299">
        <f t="shared" si="959"/>
        <v>15395777.439655174</v>
      </c>
      <c r="G1661" s="299">
        <f t="shared" si="959"/>
        <v>13847433.777586209</v>
      </c>
      <c r="H1661" s="299">
        <f t="shared" si="959"/>
        <v>15692556.05172414</v>
      </c>
      <c r="I1661" s="299">
        <f t="shared" si="959"/>
        <v>18581505.946551725</v>
      </c>
      <c r="J1661" s="299">
        <f t="shared" si="959"/>
        <v>16055286.163793102</v>
      </c>
      <c r="K1661" s="299">
        <f t="shared" si="959"/>
        <v>17222644.160344828</v>
      </c>
      <c r="L1661" s="299">
        <f t="shared" si="959"/>
        <v>13082372.284482762</v>
      </c>
      <c r="M1661" s="299">
        <f t="shared" si="959"/>
        <v>16690261.622413794</v>
      </c>
      <c r="N1661" s="299">
        <f t="shared" si="959"/>
        <v>16259673.998275865</v>
      </c>
      <c r="O1661" s="299">
        <f t="shared" si="959"/>
        <v>17719175.293103449</v>
      </c>
      <c r="P1661" s="299">
        <f t="shared" si="959"/>
        <v>16500143.549999999</v>
      </c>
      <c r="Q1661" s="299">
        <f t="shared" si="959"/>
        <v>17802282.682758622</v>
      </c>
      <c r="R1661" s="299">
        <f t="shared" si="959"/>
        <v>15743754.744827585</v>
      </c>
      <c r="S1661" s="299">
        <f t="shared" si="959"/>
        <v>15012492.346551726</v>
      </c>
      <c r="T1661" s="299">
        <f t="shared" si="959"/>
        <v>14971192.243103452</v>
      </c>
      <c r="U1661" s="299">
        <f t="shared" si="959"/>
        <v>13144559.92586207</v>
      </c>
      <c r="V1661" s="299">
        <f t="shared" si="959"/>
        <v>17536100.484482761</v>
      </c>
      <c r="W1661" s="299">
        <f t="shared" si="959"/>
        <v>15893134.372413795</v>
      </c>
      <c r="X1661" s="299">
        <f t="shared" si="959"/>
        <v>14811095.70172414</v>
      </c>
      <c r="Y1661" s="299">
        <f t="shared" si="959"/>
        <v>15596953.820689656</v>
      </c>
      <c r="Z1661" s="299">
        <f t="shared" si="959"/>
        <v>15117721.679310346</v>
      </c>
      <c r="AA1661" s="299">
        <f t="shared" si="959"/>
        <v>15583074.512068968</v>
      </c>
      <c r="AB1661" s="299">
        <f t="shared" si="959"/>
        <v>14425796.987931035</v>
      </c>
      <c r="AC1661" s="299">
        <f t="shared" si="959"/>
        <v>16581212.867241381</v>
      </c>
      <c r="AD1661" s="299">
        <f t="shared" si="959"/>
        <v>16051405.972413793</v>
      </c>
      <c r="AE1661" s="299">
        <f t="shared" si="959"/>
        <v>14234159.601724137</v>
      </c>
      <c r="AF1661" s="299">
        <f t="shared" si="959"/>
        <v>14542837.972413795</v>
      </c>
      <c r="AG1661" s="299">
        <f t="shared" ref="AG1661:BH1661" si="960">+AG1644</f>
        <v>15195050.386206899</v>
      </c>
      <c r="AH1661" s="299">
        <f t="shared" si="960"/>
        <v>13226231.122413795</v>
      </c>
      <c r="AI1661" s="299">
        <f t="shared" si="960"/>
        <v>12283941.520689657</v>
      </c>
      <c r="AJ1661" s="299">
        <f t="shared" si="960"/>
        <v>14898070.325862071</v>
      </c>
      <c r="AK1661" s="299">
        <f t="shared" si="960"/>
        <v>14756514.955172416</v>
      </c>
      <c r="AL1661" s="299">
        <f t="shared" si="960"/>
        <v>15967019.194827588</v>
      </c>
      <c r="AM1661" s="299">
        <f t="shared" si="960"/>
        <v>15455018.651724137</v>
      </c>
      <c r="AN1661" s="299">
        <f t="shared" si="960"/>
        <v>15903216.906896554</v>
      </c>
      <c r="AO1661" s="299">
        <f t="shared" si="960"/>
        <v>16156501.986206897</v>
      </c>
      <c r="AP1661" s="299">
        <f t="shared" si="960"/>
        <v>19772904.813793108</v>
      </c>
      <c r="AQ1661" s="299">
        <f t="shared" si="960"/>
        <v>16172924.388965519</v>
      </c>
      <c r="AR1661" s="299">
        <f t="shared" si="960"/>
        <v>18651357.304137934</v>
      </c>
      <c r="AS1661" s="299">
        <f t="shared" si="960"/>
        <v>16437032.934482761</v>
      </c>
      <c r="AT1661" s="299">
        <f t="shared" si="960"/>
        <v>18826199.634482756</v>
      </c>
      <c r="AU1661" s="299">
        <f t="shared" si="960"/>
        <v>12098541.971034482</v>
      </c>
      <c r="AV1661" s="299">
        <f t="shared" si="960"/>
        <v>9082412.8496551719</v>
      </c>
      <c r="AW1661" s="299">
        <f t="shared" si="960"/>
        <v>10857808.422068967</v>
      </c>
      <c r="AX1661" s="299">
        <f t="shared" si="960"/>
        <v>14474951.895862071</v>
      </c>
      <c r="AY1661" s="299">
        <f t="shared" si="960"/>
        <v>14963039.810344828</v>
      </c>
      <c r="AZ1661" s="299">
        <f t="shared" si="960"/>
        <v>15223618.207586208</v>
      </c>
      <c r="BA1661" s="299">
        <f t="shared" si="960"/>
        <v>12221925.575172413</v>
      </c>
      <c r="BB1661" s="299">
        <f t="shared" si="960"/>
        <v>10736695.87862069</v>
      </c>
      <c r="BC1661" s="299">
        <f t="shared" si="960"/>
        <v>11557426.002068967</v>
      </c>
      <c r="BD1661" s="299">
        <f t="shared" si="960"/>
        <v>11651377.874482758</v>
      </c>
      <c r="BE1661" s="299">
        <f t="shared" si="960"/>
        <v>12983061.318620689</v>
      </c>
      <c r="BF1661" s="299">
        <f t="shared" si="960"/>
        <v>11484595.01586207</v>
      </c>
      <c r="BG1661" s="299">
        <f t="shared" si="960"/>
        <v>10655158.671724139</v>
      </c>
      <c r="BH1661" s="299">
        <f t="shared" si="960"/>
        <v>11687962.928275863</v>
      </c>
      <c r="BI1661" s="299">
        <f t="shared" si="959"/>
        <v>9718038.7786206901</v>
      </c>
      <c r="BJ1661" s="299">
        <f t="shared" ref="BJ1661:BJ1667" si="961">+SUM(B1661:BI1661)</f>
        <v>873438650.28620696</v>
      </c>
      <c r="BK1661" s="299">
        <f t="shared" ref="BK1661:BK1667" si="962">+$BJ1661/59</f>
        <v>14804044.920105202</v>
      </c>
    </row>
    <row r="1662" spans="1:63" x14ac:dyDescent="0.25">
      <c r="A1662" s="77" t="s">
        <v>26</v>
      </c>
      <c r="B1662" s="299">
        <f t="shared" ref="B1662:BI1662" si="963">+B1645</f>
        <v>50582.931034482768</v>
      </c>
      <c r="C1662" s="299">
        <f t="shared" si="963"/>
        <v>172772.05862068967</v>
      </c>
      <c r="D1662" s="299">
        <f t="shared" si="963"/>
        <v>302790.53448275867</v>
      </c>
      <c r="E1662" s="299">
        <f t="shared" si="963"/>
        <v>545036.0862068967</v>
      </c>
      <c r="F1662" s="299">
        <f t="shared" si="963"/>
        <v>228484.27586206899</v>
      </c>
      <c r="G1662" s="299">
        <f t="shared" si="963"/>
        <v>283424.9086206897</v>
      </c>
      <c r="H1662" s="299">
        <f t="shared" si="963"/>
        <v>415875.51034482761</v>
      </c>
      <c r="I1662" s="299">
        <f t="shared" si="963"/>
        <v>1982504.5931034489</v>
      </c>
      <c r="J1662" s="299">
        <f t="shared" si="963"/>
        <v>257576.68103448278</v>
      </c>
      <c r="K1662" s="299">
        <f t="shared" si="963"/>
        <v>405854.79482758627</v>
      </c>
      <c r="L1662" s="299">
        <f t="shared" si="963"/>
        <v>350586.36379310349</v>
      </c>
      <c r="M1662" s="299">
        <f t="shared" si="963"/>
        <v>469558.54655172426</v>
      </c>
      <c r="N1662" s="299">
        <f t="shared" si="963"/>
        <v>255210.34655172419</v>
      </c>
      <c r="O1662" s="299">
        <f t="shared" si="963"/>
        <v>399229.88620689657</v>
      </c>
      <c r="P1662" s="299">
        <f t="shared" si="963"/>
        <v>389758.96034482762</v>
      </c>
      <c r="Q1662" s="299">
        <f t="shared" si="963"/>
        <v>433251.29655172414</v>
      </c>
      <c r="R1662" s="299">
        <f t="shared" si="963"/>
        <v>511441.17758620699</v>
      </c>
      <c r="S1662" s="299">
        <f t="shared" si="963"/>
        <v>244532.62586206902</v>
      </c>
      <c r="T1662" s="299">
        <f t="shared" si="963"/>
        <v>291624.1586206897</v>
      </c>
      <c r="U1662" s="299">
        <f t="shared" si="963"/>
        <v>405577.94137931033</v>
      </c>
      <c r="V1662" s="299">
        <f t="shared" si="963"/>
        <v>405043.57413793111</v>
      </c>
      <c r="W1662" s="299">
        <f t="shared" si="963"/>
        <v>578003.70172413788</v>
      </c>
      <c r="X1662" s="299">
        <f t="shared" si="963"/>
        <v>397270.25000000012</v>
      </c>
      <c r="Y1662" s="299">
        <f t="shared" si="963"/>
        <v>420988.38620689657</v>
      </c>
      <c r="Z1662" s="299">
        <f t="shared" si="963"/>
        <v>615018.82413793111</v>
      </c>
      <c r="AA1662" s="299">
        <f t="shared" si="963"/>
        <v>456386.81034482759</v>
      </c>
      <c r="AB1662" s="299">
        <f t="shared" si="963"/>
        <v>500454.23103448283</v>
      </c>
      <c r="AC1662" s="299">
        <f t="shared" si="963"/>
        <v>883634.29827586212</v>
      </c>
      <c r="AD1662" s="299">
        <f t="shared" si="963"/>
        <v>346439.00517241383</v>
      </c>
      <c r="AE1662" s="299">
        <f t="shared" si="963"/>
        <v>638361.35689655179</v>
      </c>
      <c r="AF1662" s="299">
        <f t="shared" si="963"/>
        <v>361949.47758620692</v>
      </c>
      <c r="AG1662" s="299">
        <f t="shared" si="963"/>
        <v>371060.63965517242</v>
      </c>
      <c r="AH1662" s="299">
        <f t="shared" si="963"/>
        <v>417209.87931034487</v>
      </c>
      <c r="AI1662" s="299">
        <f t="shared" si="963"/>
        <v>437099.46724137943</v>
      </c>
      <c r="AJ1662" s="299">
        <f t="shared" si="963"/>
        <v>321368.36724137934</v>
      </c>
      <c r="AK1662" s="299">
        <f t="shared" si="963"/>
        <v>313503.72758620692</v>
      </c>
      <c r="AL1662" s="299">
        <f t="shared" si="963"/>
        <v>403456.65689655178</v>
      </c>
      <c r="AM1662" s="299">
        <f t="shared" si="963"/>
        <v>264115.53103448276</v>
      </c>
      <c r="AN1662" s="299">
        <f t="shared" si="963"/>
        <v>315973.36896551726</v>
      </c>
      <c r="AO1662" s="299">
        <f t="shared" si="963"/>
        <v>446403.26379310351</v>
      </c>
      <c r="AP1662" s="299">
        <f t="shared" si="963"/>
        <v>351632.37758620695</v>
      </c>
      <c r="AQ1662" s="299">
        <f t="shared" si="963"/>
        <v>489490.18275862077</v>
      </c>
      <c r="AR1662" s="299">
        <f t="shared" si="963"/>
        <v>669622.04758620693</v>
      </c>
      <c r="AS1662" s="299">
        <f t="shared" si="963"/>
        <v>502117.65724137943</v>
      </c>
      <c r="AT1662" s="299">
        <f t="shared" si="963"/>
        <v>245473.97379310348</v>
      </c>
      <c r="AU1662" s="299">
        <f t="shared" si="963"/>
        <v>363056.46758620697</v>
      </c>
      <c r="AV1662" s="299">
        <f t="shared" si="963"/>
        <v>367120.31862068968</v>
      </c>
      <c r="AW1662" s="299">
        <f t="shared" si="963"/>
        <v>245407.74344827587</v>
      </c>
      <c r="AX1662" s="299">
        <f t="shared" si="963"/>
        <v>298771.99103448278</v>
      </c>
      <c r="AY1662" s="299">
        <f t="shared" si="963"/>
        <v>700420.66689655173</v>
      </c>
      <c r="AZ1662" s="299">
        <f t="shared" si="963"/>
        <v>524098.74965517246</v>
      </c>
      <c r="BA1662" s="299">
        <f t="shared" si="963"/>
        <v>300450.69172413799</v>
      </c>
      <c r="BB1662" s="299">
        <f t="shared" si="963"/>
        <v>308793.91724137933</v>
      </c>
      <c r="BC1662" s="299">
        <f t="shared" si="963"/>
        <v>438670.29793103458</v>
      </c>
      <c r="BD1662" s="299">
        <f t="shared" si="963"/>
        <v>22036.996551724144</v>
      </c>
      <c r="BE1662" s="299">
        <f t="shared" si="963"/>
        <v>245744.10758620693</v>
      </c>
      <c r="BF1662" s="299">
        <f t="shared" si="963"/>
        <v>221878.6606896552</v>
      </c>
      <c r="BG1662" s="299">
        <f t="shared" si="963"/>
        <v>294778.31724137935</v>
      </c>
      <c r="BH1662" s="299">
        <f t="shared" si="963"/>
        <v>304286.00965517241</v>
      </c>
      <c r="BI1662" s="299">
        <f t="shared" si="963"/>
        <v>343727.44689655176</v>
      </c>
      <c r="BJ1662" s="299">
        <f t="shared" si="961"/>
        <v>24526993.116551731</v>
      </c>
      <c r="BK1662" s="299">
        <f t="shared" si="962"/>
        <v>415711.74773816491</v>
      </c>
    </row>
    <row r="1663" spans="1:63" x14ac:dyDescent="0.25">
      <c r="A1663" s="77" t="s">
        <v>27</v>
      </c>
      <c r="B1663" s="299">
        <f t="shared" ref="B1663:BI1663" si="964">+B1646</f>
        <v>1005815.9137931035</v>
      </c>
      <c r="C1663" s="299">
        <f t="shared" si="964"/>
        <v>11796997.725862069</v>
      </c>
      <c r="D1663" s="299">
        <f t="shared" si="964"/>
        <v>13827589.017241381</v>
      </c>
      <c r="E1663" s="299">
        <f t="shared" si="964"/>
        <v>14112177.81034483</v>
      </c>
      <c r="F1663" s="299">
        <f t="shared" si="964"/>
        <v>14373951.722413793</v>
      </c>
      <c r="G1663" s="299">
        <f t="shared" si="964"/>
        <v>12568842.234482758</v>
      </c>
      <c r="H1663" s="299">
        <f t="shared" si="964"/>
        <v>12494934.472413793</v>
      </c>
      <c r="I1663" s="299">
        <f t="shared" si="964"/>
        <v>13620560.463793103</v>
      </c>
      <c r="J1663" s="299">
        <f t="shared" si="964"/>
        <v>12142129.287931034</v>
      </c>
      <c r="K1663" s="299">
        <f t="shared" si="964"/>
        <v>11074209.73448276</v>
      </c>
      <c r="L1663" s="299">
        <f t="shared" si="964"/>
        <v>11236025.575862069</v>
      </c>
      <c r="M1663" s="299">
        <f t="shared" si="964"/>
        <v>11266974.565517243</v>
      </c>
      <c r="N1663" s="299">
        <f t="shared" si="964"/>
        <v>10336077.024137933</v>
      </c>
      <c r="O1663" s="299">
        <f t="shared" si="964"/>
        <v>11438601.48448276</v>
      </c>
      <c r="P1663" s="299">
        <f t="shared" si="964"/>
        <v>12091029.422413792</v>
      </c>
      <c r="Q1663" s="299">
        <f t="shared" si="964"/>
        <v>11753664.205172414</v>
      </c>
      <c r="R1663" s="299">
        <f t="shared" si="964"/>
        <v>12101705.098275863</v>
      </c>
      <c r="S1663" s="299">
        <f t="shared" si="964"/>
        <v>12232865.550000001</v>
      </c>
      <c r="T1663" s="299">
        <f t="shared" si="964"/>
        <v>11685051.613793105</v>
      </c>
      <c r="U1663" s="299">
        <f t="shared" si="964"/>
        <v>11448726.787931036</v>
      </c>
      <c r="V1663" s="299">
        <f t="shared" si="964"/>
        <v>12360827.150000002</v>
      </c>
      <c r="W1663" s="299">
        <f t="shared" si="964"/>
        <v>10587567.470689656</v>
      </c>
      <c r="X1663" s="299">
        <f t="shared" si="964"/>
        <v>10095592.151724141</v>
      </c>
      <c r="Y1663" s="299">
        <f t="shared" si="964"/>
        <v>10966460.265517244</v>
      </c>
      <c r="Z1663" s="299">
        <f t="shared" si="964"/>
        <v>11063722.944827586</v>
      </c>
      <c r="AA1663" s="299">
        <f t="shared" si="964"/>
        <v>11202607.815517243</v>
      </c>
      <c r="AB1663" s="299">
        <f t="shared" si="964"/>
        <v>11242704.643103449</v>
      </c>
      <c r="AC1663" s="299">
        <f t="shared" si="964"/>
        <v>9078091.455172414</v>
      </c>
      <c r="AD1663" s="299">
        <f t="shared" si="964"/>
        <v>10910114.251724139</v>
      </c>
      <c r="AE1663" s="299">
        <f t="shared" si="964"/>
        <v>11591695.075862069</v>
      </c>
      <c r="AF1663" s="299">
        <f t="shared" si="964"/>
        <v>10438334.187931035</v>
      </c>
      <c r="AG1663" s="299">
        <f t="shared" si="964"/>
        <v>12366930.027586207</v>
      </c>
      <c r="AH1663" s="299">
        <f t="shared" si="964"/>
        <v>11037497.637931038</v>
      </c>
      <c r="AI1663" s="299">
        <f t="shared" si="964"/>
        <v>11463594.874137932</v>
      </c>
      <c r="AJ1663" s="299">
        <f t="shared" si="964"/>
        <v>9157196.3068965524</v>
      </c>
      <c r="AK1663" s="299">
        <f t="shared" si="964"/>
        <v>10683426.31724138</v>
      </c>
      <c r="AL1663" s="299">
        <f t="shared" si="964"/>
        <v>10814183.458620692</v>
      </c>
      <c r="AM1663" s="299">
        <f t="shared" si="964"/>
        <v>10160178.575862069</v>
      </c>
      <c r="AN1663" s="299">
        <f t="shared" si="964"/>
        <v>10668996.27586207</v>
      </c>
      <c r="AO1663" s="299">
        <f t="shared" si="964"/>
        <v>10332615.094827587</v>
      </c>
      <c r="AP1663" s="299">
        <f t="shared" si="964"/>
        <v>9470314.360344829</v>
      </c>
      <c r="AQ1663" s="299">
        <f t="shared" si="964"/>
        <v>9924827.8379310351</v>
      </c>
      <c r="AR1663" s="299">
        <f t="shared" si="964"/>
        <v>11090682.968965519</v>
      </c>
      <c r="AS1663" s="299">
        <f t="shared" si="964"/>
        <v>9795114.7110344823</v>
      </c>
      <c r="AT1663" s="299">
        <f t="shared" si="964"/>
        <v>9018977.5551724155</v>
      </c>
      <c r="AU1663" s="299">
        <f t="shared" si="964"/>
        <v>8586227.5013793111</v>
      </c>
      <c r="AV1663" s="299">
        <f t="shared" si="964"/>
        <v>8220594.1496551735</v>
      </c>
      <c r="AW1663" s="299">
        <f t="shared" si="964"/>
        <v>8708284.8772413805</v>
      </c>
      <c r="AX1663" s="299">
        <f t="shared" si="964"/>
        <v>8255356.0613793116</v>
      </c>
      <c r="AY1663" s="299">
        <f t="shared" si="964"/>
        <v>9490621.0475862063</v>
      </c>
      <c r="AZ1663" s="299">
        <f t="shared" si="964"/>
        <v>9088951.5144827608</v>
      </c>
      <c r="BA1663" s="299">
        <f t="shared" si="964"/>
        <v>9975917.5144827589</v>
      </c>
      <c r="BB1663" s="299">
        <f t="shared" si="964"/>
        <v>8378685.1558620697</v>
      </c>
      <c r="BC1663" s="299">
        <f t="shared" si="964"/>
        <v>9586889.9006896578</v>
      </c>
      <c r="BD1663" s="299">
        <f t="shared" si="964"/>
        <v>8729097.8613793105</v>
      </c>
      <c r="BE1663" s="299">
        <f t="shared" si="964"/>
        <v>9890206.0634482764</v>
      </c>
      <c r="BF1663" s="299">
        <f t="shared" si="964"/>
        <v>10354325.580000002</v>
      </c>
      <c r="BG1663" s="299">
        <f t="shared" si="964"/>
        <v>8335883.4220689647</v>
      </c>
      <c r="BH1663" s="299">
        <f t="shared" si="964"/>
        <v>8653190.1668965537</v>
      </c>
      <c r="BI1663" s="299">
        <f t="shared" si="964"/>
        <v>8307577.8462068969</v>
      </c>
      <c r="BJ1663" s="299">
        <f t="shared" si="961"/>
        <v>632691991.78758633</v>
      </c>
      <c r="BK1663" s="299">
        <f t="shared" si="962"/>
        <v>10723593.081145531</v>
      </c>
    </row>
    <row r="1664" spans="1:63" x14ac:dyDescent="0.25">
      <c r="A1664" s="77" t="s">
        <v>28</v>
      </c>
      <c r="B1664" s="299">
        <f t="shared" ref="B1664:BI1664" si="965">+B1647</f>
        <v>310744.46551724139</v>
      </c>
      <c r="C1664" s="299">
        <f t="shared" si="965"/>
        <v>1026235.3982758621</v>
      </c>
      <c r="D1664" s="299">
        <f t="shared" si="965"/>
        <v>459660.11379310343</v>
      </c>
      <c r="E1664" s="299">
        <f t="shared" si="965"/>
        <v>201106.59827586211</v>
      </c>
      <c r="F1664" s="299">
        <f t="shared" si="965"/>
        <v>126873.63103448278</v>
      </c>
      <c r="G1664" s="299">
        <f t="shared" si="965"/>
        <v>34255.286206896555</v>
      </c>
      <c r="H1664" s="299">
        <f t="shared" si="965"/>
        <v>0</v>
      </c>
      <c r="I1664" s="299">
        <f t="shared" si="965"/>
        <v>262541.48275862075</v>
      </c>
      <c r="J1664" s="299">
        <f t="shared" si="965"/>
        <v>1138975.7775862068</v>
      </c>
      <c r="K1664" s="299">
        <f t="shared" si="965"/>
        <v>479598.18965517241</v>
      </c>
      <c r="L1664" s="299">
        <f t="shared" si="965"/>
        <v>296726.8137931035</v>
      </c>
      <c r="M1664" s="299">
        <f t="shared" si="965"/>
        <v>25713.886206896554</v>
      </c>
      <c r="N1664" s="299">
        <f t="shared" si="965"/>
        <v>490168.10862068972</v>
      </c>
      <c r="O1664" s="299">
        <f t="shared" si="965"/>
        <v>354731.26724137936</v>
      </c>
      <c r="P1664" s="299">
        <f t="shared" si="965"/>
        <v>530797.377586207</v>
      </c>
      <c r="Q1664" s="299">
        <f t="shared" si="965"/>
        <v>213315.26379310346</v>
      </c>
      <c r="R1664" s="299">
        <f t="shared" si="965"/>
        <v>312670.87586206896</v>
      </c>
      <c r="S1664" s="299">
        <f t="shared" si="965"/>
        <v>222436.02931034486</v>
      </c>
      <c r="T1664" s="299">
        <f t="shared" si="965"/>
        <v>28163.881034482762</v>
      </c>
      <c r="U1664" s="299">
        <f t="shared" si="965"/>
        <v>0</v>
      </c>
      <c r="V1664" s="299">
        <f t="shared" si="965"/>
        <v>46225.170689655177</v>
      </c>
      <c r="W1664" s="299">
        <f t="shared" si="965"/>
        <v>38967.386206896561</v>
      </c>
      <c r="X1664" s="299">
        <f t="shared" si="965"/>
        <v>0</v>
      </c>
      <c r="Y1664" s="299">
        <f t="shared" si="965"/>
        <v>42839.768965517243</v>
      </c>
      <c r="Z1664" s="299">
        <f t="shared" si="965"/>
        <v>0</v>
      </c>
      <c r="AA1664" s="299">
        <f t="shared" si="965"/>
        <v>0</v>
      </c>
      <c r="AB1664" s="299">
        <f t="shared" si="965"/>
        <v>0</v>
      </c>
      <c r="AC1664" s="299">
        <f t="shared" si="965"/>
        <v>0</v>
      </c>
      <c r="AD1664" s="299">
        <f t="shared" si="965"/>
        <v>30746.632758620693</v>
      </c>
      <c r="AE1664" s="299">
        <f t="shared" si="965"/>
        <v>0</v>
      </c>
      <c r="AF1664" s="299">
        <f t="shared" si="965"/>
        <v>29458.706896551728</v>
      </c>
      <c r="AG1664" s="299">
        <f t="shared" si="965"/>
        <v>0</v>
      </c>
      <c r="AH1664" s="299">
        <f t="shared" si="965"/>
        <v>186289.29137931037</v>
      </c>
      <c r="AI1664" s="299">
        <f t="shared" si="965"/>
        <v>0</v>
      </c>
      <c r="AJ1664" s="299">
        <f t="shared" si="965"/>
        <v>0</v>
      </c>
      <c r="AK1664" s="299">
        <f t="shared" si="965"/>
        <v>0</v>
      </c>
      <c r="AL1664" s="299">
        <f t="shared" si="965"/>
        <v>0</v>
      </c>
      <c r="AM1664" s="299">
        <f t="shared" si="965"/>
        <v>0</v>
      </c>
      <c r="AN1664" s="299">
        <f t="shared" si="965"/>
        <v>0</v>
      </c>
      <c r="AO1664" s="299">
        <f t="shared" si="965"/>
        <v>0</v>
      </c>
      <c r="AP1664" s="299">
        <f t="shared" si="965"/>
        <v>0</v>
      </c>
      <c r="AQ1664" s="299">
        <f t="shared" si="965"/>
        <v>0</v>
      </c>
      <c r="AR1664" s="299">
        <f t="shared" si="965"/>
        <v>0</v>
      </c>
      <c r="AS1664" s="299">
        <f t="shared" si="965"/>
        <v>728160.12551724154</v>
      </c>
      <c r="AT1664" s="299">
        <f t="shared" si="965"/>
        <v>210706.7551724138</v>
      </c>
      <c r="AU1664" s="299">
        <f t="shared" si="965"/>
        <v>377047.13793103455</v>
      </c>
      <c r="AV1664" s="299">
        <f t="shared" si="965"/>
        <v>1221622.8199999998</v>
      </c>
      <c r="AW1664" s="299">
        <f t="shared" si="965"/>
        <v>449204.54068965517</v>
      </c>
      <c r="AX1664" s="299">
        <f t="shared" si="965"/>
        <v>404785.54206896556</v>
      </c>
      <c r="AY1664" s="299">
        <f t="shared" si="965"/>
        <v>641938.61310344841</v>
      </c>
      <c r="AZ1664" s="299">
        <f t="shared" si="965"/>
        <v>699964.19586206914</v>
      </c>
      <c r="BA1664" s="299">
        <f t="shared" si="965"/>
        <v>1020078.1496551726</v>
      </c>
      <c r="BB1664" s="299">
        <f t="shared" si="965"/>
        <v>916101.39310344832</v>
      </c>
      <c r="BC1664" s="299">
        <f t="shared" si="965"/>
        <v>1503493.5234482759</v>
      </c>
      <c r="BD1664" s="299">
        <f t="shared" si="965"/>
        <v>1109611.8055172414</v>
      </c>
      <c r="BE1664" s="299">
        <f t="shared" si="965"/>
        <v>1242029.5448275863</v>
      </c>
      <c r="BF1664" s="299">
        <f t="shared" si="965"/>
        <v>869040.46758620697</v>
      </c>
      <c r="BG1664" s="299">
        <f t="shared" si="965"/>
        <v>832187.56275862071</v>
      </c>
      <c r="BH1664" s="299">
        <f t="shared" si="965"/>
        <v>950015.07655172423</v>
      </c>
      <c r="BI1664" s="299">
        <f t="shared" si="965"/>
        <v>1359043.9972413795</v>
      </c>
      <c r="BJ1664" s="299">
        <f t="shared" si="961"/>
        <v>21424272.654482763</v>
      </c>
      <c r="BK1664" s="299">
        <f t="shared" si="962"/>
        <v>363123.26533021632</v>
      </c>
    </row>
    <row r="1665" spans="1:63" x14ac:dyDescent="0.25">
      <c r="A1665" s="77" t="s">
        <v>29</v>
      </c>
      <c r="B1665" s="299">
        <f t="shared" ref="B1665:BI1665" si="966">+B1648</f>
        <v>0</v>
      </c>
      <c r="C1665" s="299">
        <f t="shared" si="966"/>
        <v>0</v>
      </c>
      <c r="D1665" s="299">
        <f t="shared" si="966"/>
        <v>0</v>
      </c>
      <c r="E1665" s="299">
        <f t="shared" si="966"/>
        <v>82098.486206896574</v>
      </c>
      <c r="F1665" s="299">
        <f t="shared" si="966"/>
        <v>0</v>
      </c>
      <c r="G1665" s="299">
        <f t="shared" si="966"/>
        <v>0</v>
      </c>
      <c r="H1665" s="299">
        <f t="shared" si="966"/>
        <v>0</v>
      </c>
      <c r="I1665" s="299">
        <f t="shared" si="966"/>
        <v>174293.54827586209</v>
      </c>
      <c r="J1665" s="299">
        <f t="shared" si="966"/>
        <v>53451.917241379313</v>
      </c>
      <c r="K1665" s="299">
        <f t="shared" si="966"/>
        <v>54081.224137931036</v>
      </c>
      <c r="L1665" s="299">
        <f t="shared" si="966"/>
        <v>98327.927586206904</v>
      </c>
      <c r="M1665" s="299">
        <f t="shared" si="966"/>
        <v>0</v>
      </c>
      <c r="N1665" s="299">
        <f t="shared" si="966"/>
        <v>44735.522413793107</v>
      </c>
      <c r="O1665" s="299">
        <f t="shared" si="966"/>
        <v>0</v>
      </c>
      <c r="P1665" s="299">
        <f t="shared" si="966"/>
        <v>0</v>
      </c>
      <c r="Q1665" s="299">
        <f t="shared" si="966"/>
        <v>0</v>
      </c>
      <c r="R1665" s="299">
        <f t="shared" si="966"/>
        <v>0</v>
      </c>
      <c r="S1665" s="299">
        <f t="shared" si="966"/>
        <v>0</v>
      </c>
      <c r="T1665" s="299">
        <f t="shared" si="966"/>
        <v>0</v>
      </c>
      <c r="U1665" s="299">
        <f t="shared" si="966"/>
        <v>0</v>
      </c>
      <c r="V1665" s="299">
        <f t="shared" si="966"/>
        <v>0</v>
      </c>
      <c r="W1665" s="299">
        <f t="shared" si="966"/>
        <v>0</v>
      </c>
      <c r="X1665" s="299">
        <f t="shared" si="966"/>
        <v>0</v>
      </c>
      <c r="Y1665" s="299">
        <f t="shared" si="966"/>
        <v>0</v>
      </c>
      <c r="Z1665" s="299">
        <f t="shared" si="966"/>
        <v>0</v>
      </c>
      <c r="AA1665" s="299">
        <f t="shared" si="966"/>
        <v>0</v>
      </c>
      <c r="AB1665" s="299">
        <f t="shared" si="966"/>
        <v>0</v>
      </c>
      <c r="AC1665" s="299">
        <f t="shared" si="966"/>
        <v>0</v>
      </c>
      <c r="AD1665" s="299">
        <f t="shared" si="966"/>
        <v>0</v>
      </c>
      <c r="AE1665" s="299">
        <f t="shared" si="966"/>
        <v>0</v>
      </c>
      <c r="AF1665" s="299">
        <f t="shared" si="966"/>
        <v>0</v>
      </c>
      <c r="AG1665" s="299">
        <f t="shared" si="966"/>
        <v>122993.42931034483</v>
      </c>
      <c r="AH1665" s="299">
        <f t="shared" si="966"/>
        <v>0</v>
      </c>
      <c r="AI1665" s="299">
        <f t="shared" si="966"/>
        <v>0</v>
      </c>
      <c r="AJ1665" s="299">
        <f t="shared" si="966"/>
        <v>0</v>
      </c>
      <c r="AK1665" s="299">
        <f t="shared" si="966"/>
        <v>0</v>
      </c>
      <c r="AL1665" s="299">
        <f t="shared" si="966"/>
        <v>0</v>
      </c>
      <c r="AM1665" s="299">
        <f t="shared" si="966"/>
        <v>0</v>
      </c>
      <c r="AN1665" s="299">
        <f t="shared" si="966"/>
        <v>0</v>
      </c>
      <c r="AO1665" s="299">
        <f t="shared" si="966"/>
        <v>0</v>
      </c>
      <c r="AP1665" s="299">
        <f t="shared" si="966"/>
        <v>0</v>
      </c>
      <c r="AQ1665" s="299">
        <f t="shared" si="966"/>
        <v>56098.073103448281</v>
      </c>
      <c r="AR1665" s="299">
        <f t="shared" si="966"/>
        <v>31405.058620689655</v>
      </c>
      <c r="AS1665" s="299">
        <f t="shared" si="966"/>
        <v>49190.295862068975</v>
      </c>
      <c r="AT1665" s="299">
        <f t="shared" si="966"/>
        <v>98178.908965517243</v>
      </c>
      <c r="AU1665" s="299">
        <f t="shared" si="966"/>
        <v>588156.92206896562</v>
      </c>
      <c r="AV1665" s="299">
        <f t="shared" si="966"/>
        <v>0</v>
      </c>
      <c r="AW1665" s="299">
        <f t="shared" si="966"/>
        <v>56120.416551724142</v>
      </c>
      <c r="AX1665" s="299">
        <f t="shared" si="966"/>
        <v>25521.475172413797</v>
      </c>
      <c r="AY1665" s="299">
        <f t="shared" si="966"/>
        <v>0</v>
      </c>
      <c r="AZ1665" s="299">
        <f t="shared" si="966"/>
        <v>31367.125517241384</v>
      </c>
      <c r="BA1665" s="299">
        <f t="shared" si="966"/>
        <v>0</v>
      </c>
      <c r="BB1665" s="299">
        <f t="shared" si="966"/>
        <v>0</v>
      </c>
      <c r="BC1665" s="299">
        <f t="shared" si="966"/>
        <v>0</v>
      </c>
      <c r="BD1665" s="299">
        <f t="shared" si="966"/>
        <v>170301.39310344832</v>
      </c>
      <c r="BE1665" s="299">
        <f t="shared" si="966"/>
        <v>0</v>
      </c>
      <c r="BF1665" s="299">
        <f t="shared" si="966"/>
        <v>0</v>
      </c>
      <c r="BG1665" s="299">
        <f t="shared" si="966"/>
        <v>28215.405517241383</v>
      </c>
      <c r="BH1665" s="299">
        <f t="shared" si="966"/>
        <v>93871.19793103449</v>
      </c>
      <c r="BI1665" s="299">
        <f t="shared" si="966"/>
        <v>0</v>
      </c>
      <c r="BJ1665" s="299">
        <f t="shared" si="961"/>
        <v>1858408.3275862071</v>
      </c>
      <c r="BK1665" s="299">
        <f t="shared" si="962"/>
        <v>31498.446230274698</v>
      </c>
    </row>
    <row r="1666" spans="1:63" x14ac:dyDescent="0.25">
      <c r="A1666" s="77" t="s">
        <v>31</v>
      </c>
      <c r="B1666" s="299">
        <f t="shared" ref="B1666:BI1666" si="967">+B1650</f>
        <v>280150</v>
      </c>
      <c r="C1666" s="299">
        <f t="shared" si="967"/>
        <v>747785</v>
      </c>
      <c r="D1666" s="299">
        <f t="shared" si="967"/>
        <v>1043020</v>
      </c>
      <c r="E1666" s="299">
        <f t="shared" si="967"/>
        <v>1163700</v>
      </c>
      <c r="F1666" s="299">
        <f t="shared" si="967"/>
        <v>1088275</v>
      </c>
      <c r="G1666" s="299">
        <f t="shared" si="967"/>
        <v>961130</v>
      </c>
      <c r="H1666" s="299">
        <f t="shared" si="967"/>
        <v>1127065</v>
      </c>
      <c r="I1666" s="299">
        <f t="shared" si="967"/>
        <v>1411525</v>
      </c>
      <c r="J1666" s="299">
        <f t="shared" si="967"/>
        <v>1152925</v>
      </c>
      <c r="K1666" s="299">
        <f t="shared" si="967"/>
        <v>1187405</v>
      </c>
      <c r="L1666" s="299">
        <f t="shared" si="967"/>
        <v>918030</v>
      </c>
      <c r="M1666" s="299">
        <f t="shared" si="967"/>
        <v>1185250</v>
      </c>
      <c r="N1666" s="299">
        <f t="shared" si="967"/>
        <v>1114135</v>
      </c>
      <c r="O1666" s="299">
        <f t="shared" si="967"/>
        <v>1249900</v>
      </c>
      <c r="P1666" s="299">
        <f t="shared" si="967"/>
        <v>1142150</v>
      </c>
      <c r="Q1666" s="299">
        <f t="shared" si="967"/>
        <v>1245590</v>
      </c>
      <c r="R1666" s="299">
        <f t="shared" si="967"/>
        <v>1114135</v>
      </c>
      <c r="S1666" s="299">
        <f t="shared" si="967"/>
        <v>1064570</v>
      </c>
      <c r="T1666" s="299">
        <f t="shared" si="967"/>
        <v>1045175</v>
      </c>
      <c r="U1666" s="299">
        <f t="shared" si="967"/>
        <v>894325</v>
      </c>
      <c r="V1666" s="299">
        <f t="shared" si="967"/>
        <v>1161545</v>
      </c>
      <c r="W1666" s="299">
        <f t="shared" si="967"/>
        <v>1083965</v>
      </c>
      <c r="X1666" s="299">
        <f t="shared" si="967"/>
        <v>984835</v>
      </c>
      <c r="Y1666" s="299">
        <f t="shared" si="967"/>
        <v>1088275</v>
      </c>
      <c r="Z1666" s="299">
        <f t="shared" si="967"/>
        <v>1051640</v>
      </c>
      <c r="AA1666" s="299">
        <f t="shared" si="967"/>
        <v>1079655</v>
      </c>
      <c r="AB1666" s="299">
        <f t="shared" si="967"/>
        <v>956820</v>
      </c>
      <c r="AC1666" s="299">
        <f t="shared" si="967"/>
        <v>1172320</v>
      </c>
      <c r="AD1666" s="299">
        <f t="shared" si="967"/>
        <v>1064570</v>
      </c>
      <c r="AE1666" s="299">
        <f t="shared" si="967"/>
        <v>976215</v>
      </c>
      <c r="AF1666" s="299">
        <f t="shared" si="967"/>
        <v>1004230</v>
      </c>
      <c r="AG1666" s="299">
        <f t="shared" ref="AG1666:BH1666" si="968">+AG1650</f>
        <v>1077500</v>
      </c>
      <c r="AH1666" s="299">
        <f t="shared" si="968"/>
        <v>909410</v>
      </c>
      <c r="AI1666" s="299">
        <f t="shared" si="968"/>
        <v>836140</v>
      </c>
      <c r="AJ1666" s="299">
        <f t="shared" si="968"/>
        <v>1040865</v>
      </c>
      <c r="AK1666" s="299">
        <f t="shared" si="968"/>
        <v>1036555</v>
      </c>
      <c r="AL1666" s="299">
        <f t="shared" si="968"/>
        <v>1129220</v>
      </c>
      <c r="AM1666" s="299">
        <f t="shared" si="968"/>
        <v>1107670</v>
      </c>
      <c r="AN1666" s="299">
        <f t="shared" si="968"/>
        <v>1038710</v>
      </c>
      <c r="AO1666" s="299">
        <f t="shared" si="968"/>
        <v>1116290</v>
      </c>
      <c r="AP1666" s="299">
        <f t="shared" si="968"/>
        <v>1377045</v>
      </c>
      <c r="AQ1666" s="299">
        <f t="shared" si="968"/>
        <v>1257694</v>
      </c>
      <c r="AR1666" s="299">
        <f t="shared" si="968"/>
        <v>1426674</v>
      </c>
      <c r="AS1666" s="299">
        <f t="shared" si="968"/>
        <v>1264936</v>
      </c>
      <c r="AT1666" s="299">
        <f t="shared" si="968"/>
        <v>1380808</v>
      </c>
      <c r="AU1666" s="299">
        <f t="shared" si="968"/>
        <v>856970</v>
      </c>
      <c r="AV1666" s="299">
        <f t="shared" si="968"/>
        <v>702474</v>
      </c>
      <c r="AW1666" s="299">
        <f t="shared" si="968"/>
        <v>823174</v>
      </c>
      <c r="AX1666" s="299">
        <f t="shared" si="968"/>
        <v>1117682</v>
      </c>
      <c r="AY1666" s="299">
        <f t="shared" si="968"/>
        <v>1173204</v>
      </c>
      <c r="AZ1666" s="299">
        <f t="shared" si="968"/>
        <v>1209414</v>
      </c>
      <c r="BA1666" s="299">
        <f t="shared" si="968"/>
        <v>890766</v>
      </c>
      <c r="BB1666" s="299">
        <f t="shared" si="968"/>
        <v>799034</v>
      </c>
      <c r="BC1666" s="299">
        <f t="shared" si="968"/>
        <v>840072</v>
      </c>
      <c r="BD1666" s="299">
        <f t="shared" si="968"/>
        <v>864212</v>
      </c>
      <c r="BE1666" s="299">
        <f t="shared" si="968"/>
        <v>929390</v>
      </c>
      <c r="BF1666" s="299">
        <f t="shared" si="968"/>
        <v>864212</v>
      </c>
      <c r="BG1666" s="299">
        <f t="shared" si="968"/>
        <v>813518</v>
      </c>
      <c r="BH1666" s="299">
        <f t="shared" si="968"/>
        <v>830416</v>
      </c>
      <c r="BI1666" s="299">
        <f t="shared" si="967"/>
        <v>702474</v>
      </c>
      <c r="BJ1666" s="299">
        <f t="shared" si="961"/>
        <v>62176839</v>
      </c>
      <c r="BK1666" s="299">
        <f t="shared" si="962"/>
        <v>1053844.7288135593</v>
      </c>
    </row>
    <row r="1667" spans="1:63" x14ac:dyDescent="0.25">
      <c r="A1667" s="463" t="s">
        <v>32</v>
      </c>
      <c r="B1667" s="464">
        <f t="shared" ref="B1667:BI1667" si="969">+SUM(B1661:B1666)</f>
        <v>5745172.4137931038</v>
      </c>
      <c r="C1667" s="464">
        <f t="shared" si="969"/>
        <v>24400344.827586208</v>
      </c>
      <c r="D1667" s="464">
        <f t="shared" si="969"/>
        <v>30582758.62068966</v>
      </c>
      <c r="E1667" s="464">
        <f t="shared" si="969"/>
        <v>32645431.034482766</v>
      </c>
      <c r="F1667" s="464">
        <f t="shared" si="969"/>
        <v>31213362.068965521</v>
      </c>
      <c r="G1667" s="464">
        <f t="shared" si="969"/>
        <v>27695086.206896555</v>
      </c>
      <c r="H1667" s="464">
        <f t="shared" si="969"/>
        <v>29730431.034482762</v>
      </c>
      <c r="I1667" s="464">
        <f t="shared" si="969"/>
        <v>36032931.034482762</v>
      </c>
      <c r="J1667" s="464">
        <f t="shared" si="969"/>
        <v>30800344.827586204</v>
      </c>
      <c r="K1667" s="464">
        <f t="shared" si="969"/>
        <v>30423793.103448283</v>
      </c>
      <c r="L1667" s="464">
        <f t="shared" si="969"/>
        <v>25982068.965517242</v>
      </c>
      <c r="M1667" s="464">
        <f t="shared" si="969"/>
        <v>29637758.620689657</v>
      </c>
      <c r="N1667" s="464">
        <f t="shared" si="969"/>
        <v>28500000.000000004</v>
      </c>
      <c r="O1667" s="464">
        <f t="shared" si="969"/>
        <v>31161637.931034483</v>
      </c>
      <c r="P1667" s="464">
        <f t="shared" si="969"/>
        <v>30653879.310344826</v>
      </c>
      <c r="Q1667" s="464">
        <f t="shared" si="969"/>
        <v>31448103.448275864</v>
      </c>
      <c r="R1667" s="464">
        <f t="shared" si="969"/>
        <v>29783706.896551725</v>
      </c>
      <c r="S1667" s="464">
        <f t="shared" si="969"/>
        <v>28776896.551724143</v>
      </c>
      <c r="T1667" s="464">
        <f t="shared" si="969"/>
        <v>28021206.896551728</v>
      </c>
      <c r="U1667" s="464">
        <f t="shared" si="969"/>
        <v>25893189.655172415</v>
      </c>
      <c r="V1667" s="464">
        <f t="shared" si="969"/>
        <v>31509741.379310347</v>
      </c>
      <c r="W1667" s="464">
        <f t="shared" si="969"/>
        <v>28181637.931034483</v>
      </c>
      <c r="X1667" s="464">
        <f t="shared" si="969"/>
        <v>26288793.103448279</v>
      </c>
      <c r="Y1667" s="464">
        <f t="shared" si="969"/>
        <v>28115517.241379313</v>
      </c>
      <c r="Z1667" s="464">
        <f t="shared" si="969"/>
        <v>27848103.448275864</v>
      </c>
      <c r="AA1667" s="464">
        <f t="shared" si="969"/>
        <v>28321724.137931041</v>
      </c>
      <c r="AB1667" s="464">
        <f t="shared" si="969"/>
        <v>27125775.862068966</v>
      </c>
      <c r="AC1667" s="464">
        <f t="shared" si="969"/>
        <v>27715258.62068966</v>
      </c>
      <c r="AD1667" s="464">
        <f t="shared" si="969"/>
        <v>28403275.86206897</v>
      </c>
      <c r="AE1667" s="464">
        <f t="shared" si="969"/>
        <v>27440431.034482755</v>
      </c>
      <c r="AF1667" s="464">
        <f t="shared" si="969"/>
        <v>26376810.344827585</v>
      </c>
      <c r="AG1667" s="464">
        <f t="shared" ref="AG1667:BH1667" si="970">+SUM(AG1661:AG1666)</f>
        <v>29133534.482758623</v>
      </c>
      <c r="AH1667" s="464">
        <f t="shared" si="970"/>
        <v>25776637.93103449</v>
      </c>
      <c r="AI1667" s="464">
        <f t="shared" si="970"/>
        <v>25020775.862068966</v>
      </c>
      <c r="AJ1667" s="464">
        <f t="shared" si="970"/>
        <v>25417500</v>
      </c>
      <c r="AK1667" s="464">
        <f t="shared" si="970"/>
        <v>26790000</v>
      </c>
      <c r="AL1667" s="464">
        <f t="shared" si="970"/>
        <v>28313879.31034483</v>
      </c>
      <c r="AM1667" s="464">
        <f t="shared" si="970"/>
        <v>26986982.758620687</v>
      </c>
      <c r="AN1667" s="464">
        <f t="shared" si="970"/>
        <v>27926896.551724143</v>
      </c>
      <c r="AO1667" s="464">
        <f t="shared" si="970"/>
        <v>28051810.344827585</v>
      </c>
      <c r="AP1667" s="464">
        <f t="shared" si="970"/>
        <v>30971896.551724143</v>
      </c>
      <c r="AQ1667" s="464">
        <f t="shared" si="970"/>
        <v>27901034.482758623</v>
      </c>
      <c r="AR1667" s="464">
        <f t="shared" si="970"/>
        <v>31869741.379310351</v>
      </c>
      <c r="AS1667" s="464">
        <f t="shared" si="970"/>
        <v>28776551.724137928</v>
      </c>
      <c r="AT1667" s="464">
        <f t="shared" si="970"/>
        <v>29780344.827586204</v>
      </c>
      <c r="AU1667" s="464">
        <f t="shared" si="970"/>
        <v>22869999.999999996</v>
      </c>
      <c r="AV1667" s="464">
        <f t="shared" si="970"/>
        <v>19594224.137931034</v>
      </c>
      <c r="AW1667" s="464">
        <f t="shared" si="970"/>
        <v>21140000</v>
      </c>
      <c r="AX1667" s="464">
        <f t="shared" si="970"/>
        <v>24577068.965517245</v>
      </c>
      <c r="AY1667" s="464">
        <f t="shared" si="970"/>
        <v>26969224.137931034</v>
      </c>
      <c r="AZ1667" s="464">
        <f t="shared" si="970"/>
        <v>26777413.793103453</v>
      </c>
      <c r="BA1667" s="464">
        <f t="shared" si="970"/>
        <v>24409137.931034483</v>
      </c>
      <c r="BB1667" s="464">
        <f t="shared" si="970"/>
        <v>21139310.344827585</v>
      </c>
      <c r="BC1667" s="464">
        <f t="shared" si="970"/>
        <v>23926551.724137936</v>
      </c>
      <c r="BD1667" s="464">
        <f t="shared" si="970"/>
        <v>22546637.931034479</v>
      </c>
      <c r="BE1667" s="464">
        <f t="shared" si="970"/>
        <v>25290431.034482762</v>
      </c>
      <c r="BF1667" s="464">
        <f t="shared" si="970"/>
        <v>23794051.724137936</v>
      </c>
      <c r="BG1667" s="464">
        <f t="shared" si="970"/>
        <v>20959741.379310347</v>
      </c>
      <c r="BH1667" s="464">
        <f t="shared" si="970"/>
        <v>22519741.379310347</v>
      </c>
      <c r="BI1667" s="464">
        <f t="shared" si="969"/>
        <v>20430862.068965517</v>
      </c>
      <c r="BJ1667" s="502">
        <f t="shared" si="961"/>
        <v>1616117155.1724145</v>
      </c>
      <c r="BK1667" s="502">
        <f t="shared" si="962"/>
        <v>27391816.189362958</v>
      </c>
    </row>
  </sheetData>
  <sheetProtection selectLockedCells="1" selectUnlockedCells="1"/>
  <mergeCells count="60">
    <mergeCell ref="B548:I548"/>
    <mergeCell ref="B575:I575"/>
    <mergeCell ref="B602:I602"/>
    <mergeCell ref="B629:I629"/>
    <mergeCell ref="B818:I818"/>
    <mergeCell ref="B656:I656"/>
    <mergeCell ref="B683:I683"/>
    <mergeCell ref="B710:I710"/>
    <mergeCell ref="B737:I737"/>
    <mergeCell ref="B764:I764"/>
    <mergeCell ref="B791:I791"/>
    <mergeCell ref="B413:I413"/>
    <mergeCell ref="B440:I440"/>
    <mergeCell ref="B467:I467"/>
    <mergeCell ref="B494:I494"/>
    <mergeCell ref="B521:I521"/>
    <mergeCell ref="B278:I278"/>
    <mergeCell ref="B305:I305"/>
    <mergeCell ref="B332:I332"/>
    <mergeCell ref="B359:I359"/>
    <mergeCell ref="B386:I386"/>
    <mergeCell ref="B142:I142"/>
    <mergeCell ref="B170:I170"/>
    <mergeCell ref="B197:I197"/>
    <mergeCell ref="B224:I224"/>
    <mergeCell ref="B251:I251"/>
    <mergeCell ref="B2:I2"/>
    <mergeCell ref="B30:I30"/>
    <mergeCell ref="B58:I58"/>
    <mergeCell ref="B86:I86"/>
    <mergeCell ref="B114:I114"/>
    <mergeCell ref="B1358:I1358"/>
    <mergeCell ref="B845:I845"/>
    <mergeCell ref="B1493:I1493"/>
    <mergeCell ref="B1088:I1088"/>
    <mergeCell ref="B980:I980"/>
    <mergeCell ref="B953:I953"/>
    <mergeCell ref="B872:I872"/>
    <mergeCell ref="B926:I926"/>
    <mergeCell ref="B1061:I1061"/>
    <mergeCell ref="B1466:I1466"/>
    <mergeCell ref="B1439:I1439"/>
    <mergeCell ref="B1412:I1412"/>
    <mergeCell ref="B1385:I1385"/>
    <mergeCell ref="B1601:I1601"/>
    <mergeCell ref="B1574:I1574"/>
    <mergeCell ref="B1547:I1547"/>
    <mergeCell ref="B1520:I1520"/>
    <mergeCell ref="B899:I899"/>
    <mergeCell ref="B1034:I1034"/>
    <mergeCell ref="B1007:I1007"/>
    <mergeCell ref="B1169:I1169"/>
    <mergeCell ref="B1115:I1115"/>
    <mergeCell ref="B1142:I1142"/>
    <mergeCell ref="B1277:I1277"/>
    <mergeCell ref="B1250:I1250"/>
    <mergeCell ref="B1331:I1331"/>
    <mergeCell ref="B1304:I1304"/>
    <mergeCell ref="B1223:I1223"/>
    <mergeCell ref="B1196:I1196"/>
  </mergeCells>
  <pageMargins left="0.7" right="0.7" top="0.75" bottom="0.75" header="0.51180555555555551" footer="0.51180555555555551"/>
  <pageSetup paperSize="9" firstPageNumber="0"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enableFormatConditionsCalculation="0"/>
  <dimension ref="A1:BC916"/>
  <sheetViews>
    <sheetView topLeftCell="A834" zoomScale="75" zoomScaleNormal="75" zoomScalePageLayoutView="75" workbookViewId="0">
      <selection activeCell="I859" sqref="I859"/>
    </sheetView>
  </sheetViews>
  <sheetFormatPr baseColWidth="10" defaultRowHeight="15" x14ac:dyDescent="0.25"/>
  <cols>
    <col min="1" max="1" width="35.140625" customWidth="1"/>
    <col min="2" max="2" width="15" customWidth="1"/>
    <col min="3" max="3" width="15.7109375" customWidth="1"/>
    <col min="4" max="4" width="18.42578125" customWidth="1"/>
    <col min="5" max="5" width="16.42578125" customWidth="1"/>
    <col min="6" max="6" width="16.85546875" customWidth="1"/>
    <col min="7" max="7" width="18.140625" customWidth="1"/>
    <col min="8" max="8" width="17.85546875" customWidth="1"/>
    <col min="9" max="9" width="16" customWidth="1"/>
    <col min="10" max="10" width="18.140625" customWidth="1"/>
    <col min="11" max="34" width="18.140625" style="465" customWidth="1"/>
    <col min="35" max="35" width="21.42578125" style="465" bestFit="1" customWidth="1"/>
    <col min="36" max="37" width="18.140625" style="465" customWidth="1"/>
    <col min="38" max="50" width="16.42578125" style="465" customWidth="1"/>
    <col min="51" max="52" width="15.42578125" customWidth="1"/>
    <col min="53" max="53" width="21.42578125" customWidth="1"/>
  </cols>
  <sheetData>
    <row r="1" spans="1:50" ht="26.25" x14ac:dyDescent="0.25">
      <c r="A1" s="85"/>
      <c r="B1" s="1002" t="s">
        <v>353</v>
      </c>
      <c r="C1" s="1002"/>
      <c r="D1" s="1002"/>
      <c r="E1" s="1002"/>
      <c r="F1" s="1002"/>
      <c r="G1" s="1002"/>
      <c r="H1" s="1002"/>
      <c r="I1" s="1002"/>
      <c r="J1" s="85"/>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row>
    <row r="2" spans="1:50" ht="15.75" x14ac:dyDescent="0.25">
      <c r="A2" s="72" t="s">
        <v>2</v>
      </c>
      <c r="B2" s="429" t="s">
        <v>155</v>
      </c>
      <c r="C2" s="51" t="s">
        <v>156</v>
      </c>
      <c r="D2" s="349" t="s">
        <v>157</v>
      </c>
      <c r="E2" s="51" t="s">
        <v>158</v>
      </c>
      <c r="F2" s="51" t="s">
        <v>159</v>
      </c>
      <c r="G2" s="349" t="s">
        <v>160</v>
      </c>
      <c r="H2" s="349" t="s">
        <v>161</v>
      </c>
      <c r="I2" s="153" t="s">
        <v>10</v>
      </c>
      <c r="J2" s="51" t="s">
        <v>77</v>
      </c>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row>
    <row r="3" spans="1:50" x14ac:dyDescent="0.25">
      <c r="A3" s="503" t="s">
        <v>11</v>
      </c>
      <c r="B3" s="431"/>
      <c r="C3" s="432"/>
      <c r="D3" s="432"/>
      <c r="E3" s="432"/>
      <c r="F3" s="432">
        <f>46+26+8</f>
        <v>80</v>
      </c>
      <c r="G3" s="432">
        <f>78+38+18</f>
        <v>134</v>
      </c>
      <c r="H3" s="432">
        <f>66+43+15</f>
        <v>124</v>
      </c>
      <c r="I3" s="432">
        <f t="shared" ref="I3:I8" si="0">SUM(B3:H3)</f>
        <v>338</v>
      </c>
      <c r="J3" s="504">
        <f t="shared" ref="J3:J9" si="1">+$I3/3</f>
        <v>112.66666666666667</v>
      </c>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row>
    <row r="4" spans="1:50" x14ac:dyDescent="0.25">
      <c r="A4" s="10" t="s">
        <v>12</v>
      </c>
      <c r="B4" s="233"/>
      <c r="C4" s="13"/>
      <c r="D4" s="13"/>
      <c r="E4" s="13"/>
      <c r="F4" s="13">
        <v>33</v>
      </c>
      <c r="G4" s="13">
        <v>64</v>
      </c>
      <c r="H4" s="13">
        <v>60</v>
      </c>
      <c r="I4" s="13">
        <f t="shared" si="0"/>
        <v>157</v>
      </c>
      <c r="J4" s="60">
        <f t="shared" si="1"/>
        <v>52.333333333333336</v>
      </c>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0" x14ac:dyDescent="0.25">
      <c r="A5" s="10" t="s">
        <v>13</v>
      </c>
      <c r="B5" s="233"/>
      <c r="C5" s="13"/>
      <c r="D5" s="13"/>
      <c r="E5" s="13"/>
      <c r="F5" s="13">
        <v>0</v>
      </c>
      <c r="G5" s="13">
        <v>0</v>
      </c>
      <c r="H5" s="13">
        <v>1</v>
      </c>
      <c r="I5" s="13">
        <f t="shared" si="0"/>
        <v>1</v>
      </c>
      <c r="J5" s="60">
        <f t="shared" si="1"/>
        <v>0.33333333333333331</v>
      </c>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row>
    <row r="6" spans="1:50" x14ac:dyDescent="0.25">
      <c r="A6" s="10" t="s">
        <v>14</v>
      </c>
      <c r="B6" s="233"/>
      <c r="C6" s="13"/>
      <c r="D6" s="13"/>
      <c r="E6" s="13"/>
      <c r="F6" s="13">
        <v>28</v>
      </c>
      <c r="G6" s="13">
        <v>32</v>
      </c>
      <c r="H6" s="13">
        <v>29</v>
      </c>
      <c r="I6" s="13">
        <f t="shared" si="0"/>
        <v>89</v>
      </c>
      <c r="J6" s="60">
        <f t="shared" si="1"/>
        <v>29.666666666666668</v>
      </c>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row>
    <row r="7" spans="1:50" x14ac:dyDescent="0.25">
      <c r="A7" s="10" t="s">
        <v>15</v>
      </c>
      <c r="B7" s="233"/>
      <c r="C7" s="13"/>
      <c r="D7" s="13"/>
      <c r="E7" s="13"/>
      <c r="F7" s="13">
        <v>6</v>
      </c>
      <c r="G7" s="13">
        <v>9</v>
      </c>
      <c r="H7" s="13">
        <v>9</v>
      </c>
      <c r="I7" s="13">
        <f t="shared" si="0"/>
        <v>24</v>
      </c>
      <c r="J7" s="60">
        <f t="shared" si="1"/>
        <v>8</v>
      </c>
      <c r="K7" s="471"/>
      <c r="L7" s="471"/>
      <c r="M7" s="471"/>
      <c r="N7" s="471"/>
      <c r="O7" s="471"/>
      <c r="P7" s="471"/>
      <c r="Q7" s="471"/>
      <c r="R7" s="471"/>
      <c r="S7" s="471"/>
      <c r="T7" s="471"/>
      <c r="U7" s="471"/>
      <c r="V7" s="471"/>
      <c r="W7" s="471"/>
      <c r="X7" s="471"/>
      <c r="Y7" s="471"/>
      <c r="Z7" s="471"/>
      <c r="AA7" s="471"/>
      <c r="AB7" s="471"/>
      <c r="AC7" s="471"/>
      <c r="AD7" s="471"/>
      <c r="AE7" s="471"/>
      <c r="AF7" s="471"/>
      <c r="AG7" s="471"/>
      <c r="AH7" s="471"/>
      <c r="AI7" s="471"/>
      <c r="AJ7" s="471"/>
      <c r="AK7" s="471"/>
      <c r="AL7" s="471"/>
      <c r="AM7" s="471"/>
      <c r="AN7" s="471"/>
      <c r="AO7" s="471"/>
      <c r="AP7" s="471"/>
      <c r="AQ7" s="471"/>
      <c r="AR7" s="471"/>
      <c r="AS7" s="471"/>
      <c r="AT7" s="471"/>
      <c r="AU7" s="471"/>
      <c r="AV7" s="471"/>
      <c r="AW7" s="471"/>
      <c r="AX7" s="471"/>
    </row>
    <row r="8" spans="1:50" x14ac:dyDescent="0.25">
      <c r="A8" s="10" t="s">
        <v>16</v>
      </c>
      <c r="B8" s="233"/>
      <c r="C8" s="13"/>
      <c r="D8" s="13"/>
      <c r="E8" s="13"/>
      <c r="F8" s="13">
        <v>0</v>
      </c>
      <c r="G8" s="13">
        <v>1</v>
      </c>
      <c r="H8" s="13">
        <v>0</v>
      </c>
      <c r="I8" s="13">
        <f t="shared" si="0"/>
        <v>1</v>
      </c>
      <c r="J8" s="60">
        <f t="shared" si="1"/>
        <v>0.33333333333333331</v>
      </c>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row>
    <row r="9" spans="1:50" x14ac:dyDescent="0.25">
      <c r="A9" s="15" t="s">
        <v>17</v>
      </c>
      <c r="B9" s="102"/>
      <c r="C9" s="79"/>
      <c r="D9" s="79"/>
      <c r="E9" s="79"/>
      <c r="F9" s="79">
        <f>SUM(F4:F8)</f>
        <v>67</v>
      </c>
      <c r="G9" s="79">
        <f>SUM(G4:G8)</f>
        <v>106</v>
      </c>
      <c r="H9" s="79">
        <f>SUM(H4:H8)</f>
        <v>99</v>
      </c>
      <c r="I9" s="79">
        <f>SUM(I4:I8)</f>
        <v>272</v>
      </c>
      <c r="J9" s="319">
        <f t="shared" si="1"/>
        <v>90.666666666666671</v>
      </c>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row>
    <row r="10" spans="1:50" x14ac:dyDescent="0.25">
      <c r="A10" s="10" t="s">
        <v>18</v>
      </c>
      <c r="B10" s="406"/>
      <c r="C10" s="19"/>
      <c r="D10" s="19"/>
      <c r="E10" s="19"/>
      <c r="F10" s="19">
        <v>0.53</v>
      </c>
      <c r="G10" s="19">
        <v>0.7</v>
      </c>
      <c r="H10" s="19">
        <v>0.65</v>
      </c>
      <c r="I10" s="19">
        <f>I17/I22</f>
        <v>0.63838478782721308</v>
      </c>
      <c r="J10" s="19">
        <f>J17/J22</f>
        <v>0.6383847878272132</v>
      </c>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row>
    <row r="11" spans="1:50" x14ac:dyDescent="0.25">
      <c r="A11" s="10" t="s">
        <v>19</v>
      </c>
      <c r="B11" s="406"/>
      <c r="C11" s="19"/>
      <c r="D11" s="19"/>
      <c r="E11" s="19"/>
      <c r="F11" s="19">
        <v>0</v>
      </c>
      <c r="G11" s="19">
        <v>0</v>
      </c>
      <c r="H11" s="19">
        <v>0.01</v>
      </c>
      <c r="I11" s="19">
        <f>I18/I22</f>
        <v>3.6690837226290188E-3</v>
      </c>
      <c r="J11" s="19">
        <f>J18/J22</f>
        <v>3.6690837226290188E-3</v>
      </c>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row>
    <row r="12" spans="1:50" x14ac:dyDescent="0.25">
      <c r="A12" s="10" t="s">
        <v>20</v>
      </c>
      <c r="B12" s="406"/>
      <c r="C12" s="19"/>
      <c r="D12" s="19"/>
      <c r="E12" s="19"/>
      <c r="F12" s="19">
        <v>0.41</v>
      </c>
      <c r="G12" s="19">
        <v>0.23</v>
      </c>
      <c r="H12" s="19">
        <v>0.27</v>
      </c>
      <c r="I12" s="19">
        <f>I19/I22</f>
        <v>0.29049141042425441</v>
      </c>
      <c r="J12" s="19">
        <f>J19/J22</f>
        <v>0.29049141042425447</v>
      </c>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row>
    <row r="13" spans="1:50" x14ac:dyDescent="0.25">
      <c r="A13" s="10" t="s">
        <v>21</v>
      </c>
      <c r="B13" s="406"/>
      <c r="C13" s="19"/>
      <c r="D13" s="19"/>
      <c r="E13" s="19"/>
      <c r="F13" s="19">
        <v>0.06</v>
      </c>
      <c r="G13" s="19">
        <v>0.06</v>
      </c>
      <c r="H13" s="19">
        <v>7.0000000000000007E-2</v>
      </c>
      <c r="I13" s="19">
        <f>I20/I22</f>
        <v>6.3669083722629013E-2</v>
      </c>
      <c r="J13" s="19">
        <f>J20/J22</f>
        <v>6.3669083722629013E-2</v>
      </c>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row>
    <row r="14" spans="1:50" x14ac:dyDescent="0.25">
      <c r="A14" s="10" t="s">
        <v>22</v>
      </c>
      <c r="B14" s="406"/>
      <c r="C14" s="19"/>
      <c r="D14" s="19"/>
      <c r="E14" s="19"/>
      <c r="F14" s="19">
        <v>0</v>
      </c>
      <c r="G14" s="19">
        <v>0.01</v>
      </c>
      <c r="H14" s="19">
        <v>0</v>
      </c>
      <c r="I14" s="19">
        <f>I21/I22</f>
        <v>3.7856343032744029E-3</v>
      </c>
      <c r="J14" s="19">
        <f>J21/J22</f>
        <v>3.7856343032744034E-3</v>
      </c>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row>
    <row r="15" spans="1:50" x14ac:dyDescent="0.25">
      <c r="A15" s="24" t="s">
        <v>23</v>
      </c>
      <c r="B15" s="409"/>
      <c r="C15" s="131"/>
      <c r="D15" s="131"/>
      <c r="E15" s="131"/>
      <c r="F15" s="131">
        <f>F26/F9</f>
        <v>36759.701492537322</v>
      </c>
      <c r="G15" s="131">
        <f>G26/G9</f>
        <v>34909.433962264149</v>
      </c>
      <c r="H15" s="131">
        <f>H26/H9</f>
        <v>36175.757575757583</v>
      </c>
      <c r="I15" s="131">
        <f>I26/I9</f>
        <v>35826.102941176476</v>
      </c>
      <c r="J15" s="131">
        <f>J26/J9</f>
        <v>35826.102941176476</v>
      </c>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row>
    <row r="16" spans="1:50" x14ac:dyDescent="0.25">
      <c r="A16" s="24" t="s">
        <v>24</v>
      </c>
      <c r="B16" s="409"/>
      <c r="C16" s="131"/>
      <c r="D16" s="131"/>
      <c r="E16" s="131"/>
      <c r="F16" s="131">
        <f>F26/F3</f>
        <v>30786.250000000007</v>
      </c>
      <c r="G16" s="131">
        <f>G26/G3</f>
        <v>27614.925373134327</v>
      </c>
      <c r="H16" s="131">
        <f>H26/H3</f>
        <v>28882.258064516132</v>
      </c>
      <c r="I16" s="131">
        <f>I26/I3</f>
        <v>28830.473372781071</v>
      </c>
      <c r="J16" s="131">
        <f>J26/J3</f>
        <v>28830.473372781071</v>
      </c>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row>
    <row r="17" spans="1:50" x14ac:dyDescent="0.25">
      <c r="A17" s="10" t="s">
        <v>25</v>
      </c>
      <c r="B17" s="255"/>
      <c r="C17" s="133"/>
      <c r="D17" s="133"/>
      <c r="E17" s="133"/>
      <c r="F17" s="133">
        <f>F22*F10</f>
        <v>1087599.5672413795</v>
      </c>
      <c r="G17" s="133">
        <f>G22*G10</f>
        <v>2136456</v>
      </c>
      <c r="H17" s="133">
        <f>H22*H10</f>
        <v>1922773.9655172417</v>
      </c>
      <c r="I17" s="133">
        <f>SUM(B17:H17)</f>
        <v>5146829.5327586215</v>
      </c>
      <c r="J17" s="133">
        <f t="shared" ref="J17:J22" si="2">+$I17/3</f>
        <v>1715609.8442528739</v>
      </c>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row>
    <row r="18" spans="1:50" x14ac:dyDescent="0.25">
      <c r="A18" s="10" t="s">
        <v>26</v>
      </c>
      <c r="B18" s="255"/>
      <c r="C18" s="133"/>
      <c r="D18" s="133"/>
      <c r="E18" s="133"/>
      <c r="F18" s="133">
        <f>F22*F11</f>
        <v>0</v>
      </c>
      <c r="G18" s="133">
        <f>G22*G11</f>
        <v>0</v>
      </c>
      <c r="H18" s="133">
        <f>H22*H11</f>
        <v>29581.137931034486</v>
      </c>
      <c r="I18" s="133">
        <f>SUM(B18:H18)</f>
        <v>29581.137931034486</v>
      </c>
      <c r="J18" s="133">
        <f t="shared" si="2"/>
        <v>9860.3793103448279</v>
      </c>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row>
    <row r="19" spans="1:50" x14ac:dyDescent="0.25">
      <c r="A19" s="10" t="s">
        <v>27</v>
      </c>
      <c r="B19" s="255"/>
      <c r="C19" s="133"/>
      <c r="D19" s="133"/>
      <c r="E19" s="133"/>
      <c r="F19" s="133">
        <f>F22*F12</f>
        <v>841350.60862068972</v>
      </c>
      <c r="G19" s="133">
        <f>G22*G12</f>
        <v>701978.4</v>
      </c>
      <c r="H19" s="133">
        <f>H22*H12</f>
        <v>798690.72413793113</v>
      </c>
      <c r="I19" s="133">
        <f>SUM(B19:H19)</f>
        <v>2342019.7327586208</v>
      </c>
      <c r="J19" s="133">
        <f t="shared" si="2"/>
        <v>780673.24425287358</v>
      </c>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row>
    <row r="20" spans="1:50" x14ac:dyDescent="0.25">
      <c r="A20" s="10" t="s">
        <v>28</v>
      </c>
      <c r="B20" s="255"/>
      <c r="C20" s="133"/>
      <c r="D20" s="133"/>
      <c r="E20" s="133"/>
      <c r="F20" s="133">
        <f>F22*F13</f>
        <v>123124.47931034485</v>
      </c>
      <c r="G20" s="133">
        <f>G22*G13</f>
        <v>183124.8</v>
      </c>
      <c r="H20" s="133">
        <f>H22*H13</f>
        <v>207067.96551724142</v>
      </c>
      <c r="I20" s="133">
        <f>SUM(B20:H20)</f>
        <v>513317.24482758623</v>
      </c>
      <c r="J20" s="133">
        <f t="shared" si="2"/>
        <v>171105.74827586208</v>
      </c>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row>
    <row r="21" spans="1:50" x14ac:dyDescent="0.25">
      <c r="A21" s="10" t="s">
        <v>29</v>
      </c>
      <c r="B21" s="255"/>
      <c r="C21" s="133"/>
      <c r="D21" s="133"/>
      <c r="E21" s="133"/>
      <c r="F21" s="133">
        <f>F22*F14</f>
        <v>0</v>
      </c>
      <c r="G21" s="133">
        <f>G22*G14</f>
        <v>30520.799999999999</v>
      </c>
      <c r="H21" s="133">
        <f>H22*H14</f>
        <v>0</v>
      </c>
      <c r="I21" s="133">
        <f>SUM(B21:H21)</f>
        <v>30520.799999999999</v>
      </c>
      <c r="J21" s="133">
        <f t="shared" si="2"/>
        <v>10173.6</v>
      </c>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row>
    <row r="22" spans="1:50" x14ac:dyDescent="0.25">
      <c r="A22" s="33" t="s">
        <v>30</v>
      </c>
      <c r="B22" s="410"/>
      <c r="C22" s="136"/>
      <c r="D22" s="136"/>
      <c r="E22" s="136"/>
      <c r="F22" s="136">
        <f>(2462900/1.16)-F23</f>
        <v>2052074.6551724141</v>
      </c>
      <c r="G22" s="136">
        <f>(3700400/1.16)-G23</f>
        <v>3052080</v>
      </c>
      <c r="H22" s="136">
        <f>(3581400/1.16)-H23</f>
        <v>2958113.7931034486</v>
      </c>
      <c r="I22" s="136">
        <f>SUM(I17:I21)</f>
        <v>8062268.4482758632</v>
      </c>
      <c r="J22" s="136">
        <f t="shared" si="2"/>
        <v>2687422.8160919542</v>
      </c>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row>
    <row r="23" spans="1:50" x14ac:dyDescent="0.25">
      <c r="A23" s="10" t="s">
        <v>31</v>
      </c>
      <c r="B23" s="263"/>
      <c r="C23" s="139"/>
      <c r="D23" s="139"/>
      <c r="E23" s="139"/>
      <c r="F23" s="139">
        <f>2155*F4</f>
        <v>71115</v>
      </c>
      <c r="G23" s="139">
        <f>2155*G4</f>
        <v>137920</v>
      </c>
      <c r="H23" s="139">
        <f>2155*H4</f>
        <v>129300</v>
      </c>
      <c r="I23" s="139">
        <f>I4*2155</f>
        <v>338335</v>
      </c>
      <c r="J23" s="139">
        <f>2155*J4</f>
        <v>112778.33333333334</v>
      </c>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row>
    <row r="24" spans="1:50" x14ac:dyDescent="0.25">
      <c r="A24" s="37" t="s">
        <v>32</v>
      </c>
      <c r="B24" s="411"/>
      <c r="C24" s="40"/>
      <c r="D24" s="40"/>
      <c r="E24" s="40"/>
      <c r="F24" s="40">
        <f>F22+F23</f>
        <v>2123189.6551724141</v>
      </c>
      <c r="G24" s="40">
        <f>G22+G23</f>
        <v>3190000</v>
      </c>
      <c r="H24" s="40">
        <f>H22+H23</f>
        <v>3087413.7931034486</v>
      </c>
      <c r="I24" s="40">
        <f>I22+I23</f>
        <v>8400603.4482758641</v>
      </c>
      <c r="J24" s="40">
        <f>J22+J23</f>
        <v>2800201.1494252877</v>
      </c>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row>
    <row r="25" spans="1:50" x14ac:dyDescent="0.25">
      <c r="A25" s="10" t="s">
        <v>33</v>
      </c>
      <c r="B25" s="413"/>
      <c r="C25" s="42"/>
      <c r="D25" s="42"/>
      <c r="E25" s="42"/>
      <c r="F25" s="42">
        <f>F24*16%</f>
        <v>339710.34482758626</v>
      </c>
      <c r="G25" s="42">
        <f>G24*16%</f>
        <v>510400</v>
      </c>
      <c r="H25" s="42">
        <f>H24*16%</f>
        <v>493986.20689655177</v>
      </c>
      <c r="I25" s="42">
        <f>I24*16%</f>
        <v>1344096.5517241382</v>
      </c>
      <c r="J25" s="42">
        <f>J24*16%</f>
        <v>448032.18390804605</v>
      </c>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row>
    <row r="26" spans="1:50" x14ac:dyDescent="0.25">
      <c r="A26" s="43" t="s">
        <v>34</v>
      </c>
      <c r="B26" s="422"/>
      <c r="C26" s="315"/>
      <c r="D26" s="315"/>
      <c r="E26" s="315"/>
      <c r="F26" s="315">
        <f>F24+F25</f>
        <v>2462900.0000000005</v>
      </c>
      <c r="G26" s="315">
        <f>G24+G25</f>
        <v>3700400</v>
      </c>
      <c r="H26" s="315">
        <f>H24+H25</f>
        <v>3581400.0000000005</v>
      </c>
      <c r="I26" s="315">
        <f>I24+I25</f>
        <v>9744700.0000000019</v>
      </c>
      <c r="J26" s="315">
        <f>+$I26/3</f>
        <v>3248233.333333334</v>
      </c>
      <c r="K26" s="489"/>
      <c r="L26" s="489"/>
      <c r="M26" s="489"/>
      <c r="N26" s="489"/>
      <c r="O26" s="489"/>
      <c r="P26" s="489"/>
      <c r="Q26" s="489"/>
      <c r="R26" s="489"/>
      <c r="S26" s="489"/>
      <c r="T26" s="489"/>
      <c r="U26" s="489"/>
      <c r="V26" s="489"/>
      <c r="W26" s="489"/>
      <c r="X26" s="489"/>
      <c r="Y26" s="489"/>
      <c r="Z26" s="489"/>
      <c r="AA26" s="489"/>
      <c r="AB26" s="489"/>
      <c r="AC26" s="489"/>
      <c r="AD26" s="489"/>
      <c r="AE26" s="489"/>
      <c r="AF26" s="489"/>
      <c r="AG26" s="489"/>
      <c r="AH26" s="489"/>
      <c r="AI26" s="489"/>
      <c r="AJ26" s="489"/>
      <c r="AK26" s="489"/>
      <c r="AL26" s="489"/>
      <c r="AM26" s="489"/>
      <c r="AN26" s="489"/>
      <c r="AO26" s="489"/>
      <c r="AP26" s="489"/>
      <c r="AQ26" s="489"/>
      <c r="AR26" s="489"/>
      <c r="AS26" s="489"/>
      <c r="AT26" s="489"/>
      <c r="AU26" s="489"/>
      <c r="AV26" s="489"/>
      <c r="AW26" s="489"/>
      <c r="AX26" s="489"/>
    </row>
    <row r="28" spans="1:50" ht="26.25" x14ac:dyDescent="0.25">
      <c r="A28" s="85"/>
      <c r="B28" s="1002" t="s">
        <v>354</v>
      </c>
      <c r="C28" s="1002"/>
      <c r="D28" s="1002"/>
      <c r="E28" s="1002"/>
      <c r="F28" s="1002"/>
      <c r="G28" s="1002"/>
      <c r="H28" s="1002"/>
      <c r="I28" s="1002"/>
      <c r="J28" s="85"/>
    </row>
    <row r="29" spans="1:50" ht="15.75" x14ac:dyDescent="0.25">
      <c r="A29" s="72" t="s">
        <v>2</v>
      </c>
      <c r="B29" s="429" t="s">
        <v>163</v>
      </c>
      <c r="C29" s="51" t="s">
        <v>164</v>
      </c>
      <c r="D29" s="349" t="s">
        <v>323</v>
      </c>
      <c r="E29" s="51" t="s">
        <v>324</v>
      </c>
      <c r="F29" s="51" t="s">
        <v>325</v>
      </c>
      <c r="G29" s="349" t="s">
        <v>326</v>
      </c>
      <c r="H29" s="349" t="s">
        <v>327</v>
      </c>
      <c r="I29" s="153" t="s">
        <v>10</v>
      </c>
      <c r="J29" s="51" t="s">
        <v>77</v>
      </c>
    </row>
    <row r="30" spans="1:50" x14ac:dyDescent="0.25">
      <c r="A30" s="503" t="s">
        <v>11</v>
      </c>
      <c r="B30" s="431">
        <f>27+10+6</f>
        <v>43</v>
      </c>
      <c r="C30" s="432">
        <f>34+17+1</f>
        <v>52</v>
      </c>
      <c r="D30" s="432">
        <f>27+10+2</f>
        <v>39</v>
      </c>
      <c r="E30" s="432">
        <f>54+13+5</f>
        <v>72</v>
      </c>
      <c r="F30" s="432">
        <f>94+41+18</f>
        <v>153</v>
      </c>
      <c r="G30" s="432">
        <f>92+54+15</f>
        <v>161</v>
      </c>
      <c r="H30" s="432">
        <f>81+43+14</f>
        <v>138</v>
      </c>
      <c r="I30" s="432">
        <f t="shared" ref="I30:I35" si="3">SUM(B30:H30)</f>
        <v>658</v>
      </c>
      <c r="J30" s="504">
        <f t="shared" ref="J30:J36" si="4">+$I30/7</f>
        <v>94</v>
      </c>
    </row>
    <row r="31" spans="1:50" x14ac:dyDescent="0.25">
      <c r="A31" s="10" t="s">
        <v>12</v>
      </c>
      <c r="B31" s="233">
        <v>18</v>
      </c>
      <c r="C31" s="13">
        <v>20</v>
      </c>
      <c r="D31" s="13">
        <v>12</v>
      </c>
      <c r="E31" s="13">
        <v>28</v>
      </c>
      <c r="F31" s="13">
        <v>53</v>
      </c>
      <c r="G31" s="13">
        <v>78</v>
      </c>
      <c r="H31" s="13">
        <v>55</v>
      </c>
      <c r="I31" s="13">
        <f t="shared" si="3"/>
        <v>264</v>
      </c>
      <c r="J31" s="60">
        <f t="shared" si="4"/>
        <v>37.714285714285715</v>
      </c>
    </row>
    <row r="32" spans="1:50" x14ac:dyDescent="0.25">
      <c r="A32" s="10" t="s">
        <v>13</v>
      </c>
      <c r="B32" s="233">
        <v>0</v>
      </c>
      <c r="C32" s="13">
        <v>0</v>
      </c>
      <c r="D32" s="13">
        <v>0</v>
      </c>
      <c r="E32" s="13">
        <v>1</v>
      </c>
      <c r="F32" s="13">
        <v>0</v>
      </c>
      <c r="G32" s="13">
        <v>1</v>
      </c>
      <c r="H32" s="13">
        <v>2</v>
      </c>
      <c r="I32" s="13">
        <f t="shared" si="3"/>
        <v>4</v>
      </c>
      <c r="J32" s="60">
        <f t="shared" si="4"/>
        <v>0.5714285714285714</v>
      </c>
    </row>
    <row r="33" spans="1:10" x14ac:dyDescent="0.25">
      <c r="A33" s="10" t="s">
        <v>14</v>
      </c>
      <c r="B33" s="233">
        <v>23</v>
      </c>
      <c r="C33" s="13">
        <v>25</v>
      </c>
      <c r="D33" s="13">
        <v>18</v>
      </c>
      <c r="E33" s="13">
        <v>24</v>
      </c>
      <c r="F33" s="13">
        <v>51</v>
      </c>
      <c r="G33" s="13">
        <v>33</v>
      </c>
      <c r="H33" s="13">
        <v>46</v>
      </c>
      <c r="I33" s="13">
        <f t="shared" si="3"/>
        <v>220</v>
      </c>
      <c r="J33" s="60">
        <f t="shared" si="4"/>
        <v>31.428571428571427</v>
      </c>
    </row>
    <row r="34" spans="1:10" x14ac:dyDescent="0.25">
      <c r="A34" s="10" t="s">
        <v>15</v>
      </c>
      <c r="B34" s="233">
        <v>2</v>
      </c>
      <c r="C34" s="13">
        <v>6</v>
      </c>
      <c r="D34" s="13">
        <v>7</v>
      </c>
      <c r="E34" s="13">
        <v>4</v>
      </c>
      <c r="F34" s="13">
        <v>11</v>
      </c>
      <c r="G34" s="13">
        <v>6</v>
      </c>
      <c r="H34" s="13">
        <v>10</v>
      </c>
      <c r="I34" s="13">
        <f t="shared" si="3"/>
        <v>46</v>
      </c>
      <c r="J34" s="60">
        <f t="shared" si="4"/>
        <v>6.5714285714285712</v>
      </c>
    </row>
    <row r="35" spans="1:10" x14ac:dyDescent="0.25">
      <c r="A35" s="10" t="s">
        <v>16</v>
      </c>
      <c r="B35" s="233">
        <v>0</v>
      </c>
      <c r="C35" s="13">
        <v>1</v>
      </c>
      <c r="D35" s="13">
        <v>0</v>
      </c>
      <c r="E35" s="13">
        <v>0</v>
      </c>
      <c r="F35" s="13">
        <v>0</v>
      </c>
      <c r="G35" s="13">
        <v>0</v>
      </c>
      <c r="H35" s="13">
        <v>0</v>
      </c>
      <c r="I35" s="13">
        <f t="shared" si="3"/>
        <v>1</v>
      </c>
      <c r="J35" s="60">
        <f t="shared" si="4"/>
        <v>0.14285714285714285</v>
      </c>
    </row>
    <row r="36" spans="1:10" x14ac:dyDescent="0.25">
      <c r="A36" s="15" t="s">
        <v>17</v>
      </c>
      <c r="B36" s="102">
        <f t="shared" ref="B36:I36" si="5">SUM(B31:B35)</f>
        <v>43</v>
      </c>
      <c r="C36" s="79">
        <f t="shared" si="5"/>
        <v>52</v>
      </c>
      <c r="D36" s="79">
        <f t="shared" si="5"/>
        <v>37</v>
      </c>
      <c r="E36" s="79">
        <f t="shared" si="5"/>
        <v>57</v>
      </c>
      <c r="F36" s="79">
        <f t="shared" si="5"/>
        <v>115</v>
      </c>
      <c r="G36" s="79">
        <f t="shared" si="5"/>
        <v>118</v>
      </c>
      <c r="H36" s="79">
        <f t="shared" si="5"/>
        <v>113</v>
      </c>
      <c r="I36" s="79">
        <f t="shared" si="5"/>
        <v>535</v>
      </c>
      <c r="J36" s="319">
        <f t="shared" si="4"/>
        <v>76.428571428571431</v>
      </c>
    </row>
    <row r="37" spans="1:10" x14ac:dyDescent="0.25">
      <c r="A37" s="10" t="s">
        <v>18</v>
      </c>
      <c r="B37" s="406">
        <v>0.6</v>
      </c>
      <c r="C37" s="19">
        <v>0.49</v>
      </c>
      <c r="D37" s="19">
        <v>0.45</v>
      </c>
      <c r="E37" s="19">
        <v>0.65</v>
      </c>
      <c r="F37" s="19">
        <v>0.62</v>
      </c>
      <c r="G37" s="19">
        <v>0.72</v>
      </c>
      <c r="H37" s="19">
        <v>0.53</v>
      </c>
      <c r="I37" s="19">
        <f>I44/I49</f>
        <v>0.60853109885509371</v>
      </c>
      <c r="J37" s="19">
        <f>J44/J49</f>
        <v>0.60853109885509382</v>
      </c>
    </row>
    <row r="38" spans="1:10" x14ac:dyDescent="0.25">
      <c r="A38" s="10" t="s">
        <v>19</v>
      </c>
      <c r="B38" s="406">
        <v>0</v>
      </c>
      <c r="C38" s="19">
        <v>0</v>
      </c>
      <c r="D38" s="19">
        <v>0</v>
      </c>
      <c r="E38" s="19">
        <v>0.02</v>
      </c>
      <c r="F38" s="19">
        <v>0</v>
      </c>
      <c r="G38" s="19">
        <v>0.02</v>
      </c>
      <c r="H38" s="19">
        <v>0.01</v>
      </c>
      <c r="I38" s="19">
        <f>I45/I49</f>
        <v>9.3265941438994901E-3</v>
      </c>
      <c r="J38" s="19">
        <f>J45/J49</f>
        <v>9.3265941438994918E-3</v>
      </c>
    </row>
    <row r="39" spans="1:10" x14ac:dyDescent="0.25">
      <c r="A39" s="10" t="s">
        <v>20</v>
      </c>
      <c r="B39" s="406">
        <v>0.35</v>
      </c>
      <c r="C39" s="19">
        <v>0.42</v>
      </c>
      <c r="D39" s="19">
        <v>0.43</v>
      </c>
      <c r="E39" s="19">
        <v>0.28000000000000003</v>
      </c>
      <c r="F39" s="19">
        <v>0.33</v>
      </c>
      <c r="G39" s="19">
        <v>0.23</v>
      </c>
      <c r="H39" s="19">
        <v>0.38</v>
      </c>
      <c r="I39" s="19">
        <f>I46/I49</f>
        <v>0.32382304993477201</v>
      </c>
      <c r="J39" s="19">
        <f>J46/J49</f>
        <v>0.32382304993477201</v>
      </c>
    </row>
    <row r="40" spans="1:10" x14ac:dyDescent="0.25">
      <c r="A40" s="10" t="s">
        <v>21</v>
      </c>
      <c r="B40" s="406">
        <v>0.05</v>
      </c>
      <c r="C40" s="19">
        <v>7.0000000000000007E-2</v>
      </c>
      <c r="D40" s="19">
        <v>0.12</v>
      </c>
      <c r="E40" s="19">
        <v>0.05</v>
      </c>
      <c r="F40" s="19">
        <v>0.05</v>
      </c>
      <c r="G40" s="19">
        <v>0.03</v>
      </c>
      <c r="H40" s="19">
        <v>0.08</v>
      </c>
      <c r="I40" s="19">
        <f>I47/I49</f>
        <v>5.6678924180518099E-2</v>
      </c>
      <c r="J40" s="19">
        <f>J47/J49</f>
        <v>5.6678924180518099E-2</v>
      </c>
    </row>
    <row r="41" spans="1:10" x14ac:dyDescent="0.25">
      <c r="A41" s="10" t="s">
        <v>22</v>
      </c>
      <c r="B41" s="406">
        <v>0</v>
      </c>
      <c r="C41" s="19">
        <v>0.02</v>
      </c>
      <c r="D41" s="19">
        <v>0</v>
      </c>
      <c r="E41" s="19">
        <v>0</v>
      </c>
      <c r="F41" s="19">
        <v>0</v>
      </c>
      <c r="G41" s="19">
        <v>0</v>
      </c>
      <c r="H41" s="19">
        <v>0</v>
      </c>
      <c r="I41" s="19">
        <f>I48/I49</f>
        <v>1.6403328857167142E-3</v>
      </c>
      <c r="J41" s="19">
        <f>J48/J49</f>
        <v>1.6403328857167144E-3</v>
      </c>
    </row>
    <row r="42" spans="1:10" x14ac:dyDescent="0.25">
      <c r="A42" s="24" t="s">
        <v>23</v>
      </c>
      <c r="B42" s="409">
        <f t="shared" ref="B42:J42" si="6">B53/B36</f>
        <v>26439.534883720931</v>
      </c>
      <c r="C42" s="131">
        <f t="shared" si="6"/>
        <v>29301.923076923078</v>
      </c>
      <c r="D42" s="131">
        <f t="shared" si="6"/>
        <v>27059.459459459464</v>
      </c>
      <c r="E42" s="131">
        <f t="shared" si="6"/>
        <v>33721.052631578954</v>
      </c>
      <c r="F42" s="131">
        <f t="shared" si="6"/>
        <v>37140.869565217392</v>
      </c>
      <c r="G42" s="131">
        <f t="shared" si="6"/>
        <v>40749.152542372882</v>
      </c>
      <c r="H42" s="131">
        <f t="shared" si="6"/>
        <v>35086.725663716818</v>
      </c>
      <c r="I42" s="131">
        <f t="shared" si="6"/>
        <v>34819.252336448597</v>
      </c>
      <c r="J42" s="131">
        <f t="shared" si="6"/>
        <v>34819.252336448597</v>
      </c>
    </row>
    <row r="43" spans="1:10" x14ac:dyDescent="0.25">
      <c r="A43" s="24" t="s">
        <v>24</v>
      </c>
      <c r="B43" s="409">
        <f t="shared" ref="B43:J43" si="7">B53/B30</f>
        <v>26439.534883720931</v>
      </c>
      <c r="C43" s="131">
        <f t="shared" si="7"/>
        <v>29301.923076923078</v>
      </c>
      <c r="D43" s="131">
        <f t="shared" si="7"/>
        <v>25671.794871794875</v>
      </c>
      <c r="E43" s="131">
        <f t="shared" si="7"/>
        <v>26695.833333333336</v>
      </c>
      <c r="F43" s="131">
        <f t="shared" si="7"/>
        <v>27916.339869281044</v>
      </c>
      <c r="G43" s="131">
        <f t="shared" si="7"/>
        <v>29865.838509316771</v>
      </c>
      <c r="H43" s="131">
        <f t="shared" si="7"/>
        <v>28730.4347826087</v>
      </c>
      <c r="I43" s="131">
        <f t="shared" si="7"/>
        <v>28310.486322188452</v>
      </c>
      <c r="J43" s="131">
        <f t="shared" si="7"/>
        <v>28310.486322188448</v>
      </c>
    </row>
    <row r="44" spans="1:10" x14ac:dyDescent="0.25">
      <c r="A44" s="10" t="s">
        <v>25</v>
      </c>
      <c r="B44" s="255">
        <f t="shared" ref="B44:H44" si="8">B49*B37</f>
        <v>564777.72413793101</v>
      </c>
      <c r="C44" s="133">
        <f t="shared" si="8"/>
        <v>622512.89655172417</v>
      </c>
      <c r="D44" s="133">
        <f t="shared" si="8"/>
        <v>376759.55172413797</v>
      </c>
      <c r="E44" s="133">
        <f t="shared" si="8"/>
        <v>1037817.7931034485</v>
      </c>
      <c r="F44" s="133">
        <f t="shared" si="8"/>
        <v>2212069.4586206898</v>
      </c>
      <c r="G44" s="133">
        <f t="shared" si="8"/>
        <v>2863499.3379310346</v>
      </c>
      <c r="H44" s="133">
        <f t="shared" si="8"/>
        <v>1748685.1982758623</v>
      </c>
      <c r="I44" s="133">
        <f>SUM(B44:H44)</f>
        <v>9426121.9603448287</v>
      </c>
      <c r="J44" s="133">
        <f t="shared" ref="J44:J49" si="9">+$I44/7</f>
        <v>1346588.8514778328</v>
      </c>
    </row>
    <row r="45" spans="1:10" x14ac:dyDescent="0.25">
      <c r="A45" s="10" t="s">
        <v>26</v>
      </c>
      <c r="B45" s="255">
        <f t="shared" ref="B45:H45" si="10">B49*B38</f>
        <v>0</v>
      </c>
      <c r="C45" s="133">
        <f t="shared" si="10"/>
        <v>0</v>
      </c>
      <c r="D45" s="133">
        <f t="shared" si="10"/>
        <v>0</v>
      </c>
      <c r="E45" s="133">
        <f t="shared" si="10"/>
        <v>31932.855172413798</v>
      </c>
      <c r="F45" s="133">
        <f t="shared" si="10"/>
        <v>0</v>
      </c>
      <c r="G45" s="133">
        <f t="shared" si="10"/>
        <v>79541.648275862084</v>
      </c>
      <c r="H45" s="133">
        <f t="shared" si="10"/>
        <v>32994.060344827587</v>
      </c>
      <c r="I45" s="133">
        <f>SUM(B45:H45)</f>
        <v>144468.56379310347</v>
      </c>
      <c r="J45" s="133">
        <f t="shared" si="9"/>
        <v>20638.366256157638</v>
      </c>
    </row>
    <row r="46" spans="1:10" x14ac:dyDescent="0.25">
      <c r="A46" s="10" t="s">
        <v>27</v>
      </c>
      <c r="B46" s="255">
        <f t="shared" ref="B46:H46" si="11">B49*B39</f>
        <v>329453.6724137931</v>
      </c>
      <c r="C46" s="133">
        <f t="shared" si="11"/>
        <v>533582.48275862075</v>
      </c>
      <c r="D46" s="133">
        <f t="shared" si="11"/>
        <v>360014.68275862071</v>
      </c>
      <c r="E46" s="133">
        <f t="shared" si="11"/>
        <v>447059.97241379321</v>
      </c>
      <c r="F46" s="133">
        <f t="shared" si="11"/>
        <v>1177391.8086206897</v>
      </c>
      <c r="G46" s="133">
        <f t="shared" si="11"/>
        <v>914728.95517241396</v>
      </c>
      <c r="H46" s="133">
        <f t="shared" si="11"/>
        <v>1253774.2931034483</v>
      </c>
      <c r="I46" s="133">
        <f>SUM(B46:H46)</f>
        <v>5016005.8672413798</v>
      </c>
      <c r="J46" s="133">
        <f t="shared" si="9"/>
        <v>716572.26674876851</v>
      </c>
    </row>
    <row r="47" spans="1:10" x14ac:dyDescent="0.25">
      <c r="A47" s="10" t="s">
        <v>28</v>
      </c>
      <c r="B47" s="255">
        <f t="shared" ref="B47:H47" si="12">B49*B40</f>
        <v>47064.810344827594</v>
      </c>
      <c r="C47" s="133">
        <f t="shared" si="12"/>
        <v>88930.413793103464</v>
      </c>
      <c r="D47" s="133">
        <f t="shared" si="12"/>
        <v>100469.21379310345</v>
      </c>
      <c r="E47" s="133">
        <f t="shared" si="12"/>
        <v>79832.137931034493</v>
      </c>
      <c r="F47" s="133">
        <f t="shared" si="12"/>
        <v>178392.69827586209</v>
      </c>
      <c r="G47" s="133">
        <f t="shared" si="12"/>
        <v>119312.4724137931</v>
      </c>
      <c r="H47" s="133">
        <f t="shared" si="12"/>
        <v>263952.4827586207</v>
      </c>
      <c r="I47" s="133">
        <f>SUM(B47:H47)</f>
        <v>877954.2293103449</v>
      </c>
      <c r="J47" s="133">
        <f t="shared" si="9"/>
        <v>125422.0327586207</v>
      </c>
    </row>
    <row r="48" spans="1:10" x14ac:dyDescent="0.25">
      <c r="A48" s="10" t="s">
        <v>29</v>
      </c>
      <c r="B48" s="255">
        <f t="shared" ref="B48:H48" si="13">B49*B41</f>
        <v>0</v>
      </c>
      <c r="C48" s="133">
        <f t="shared" si="13"/>
        <v>25408.689655172417</v>
      </c>
      <c r="D48" s="133">
        <f t="shared" si="13"/>
        <v>0</v>
      </c>
      <c r="E48" s="133">
        <f t="shared" si="13"/>
        <v>0</v>
      </c>
      <c r="F48" s="133">
        <f t="shared" si="13"/>
        <v>0</v>
      </c>
      <c r="G48" s="133">
        <f t="shared" si="13"/>
        <v>0</v>
      </c>
      <c r="H48" s="133">
        <f t="shared" si="13"/>
        <v>0</v>
      </c>
      <c r="I48" s="133">
        <f>SUM(B48:H48)</f>
        <v>25408.689655172417</v>
      </c>
      <c r="J48" s="133">
        <f t="shared" si="9"/>
        <v>3629.812807881774</v>
      </c>
    </row>
    <row r="49" spans="1:10" x14ac:dyDescent="0.25">
      <c r="A49" s="33" t="s">
        <v>30</v>
      </c>
      <c r="B49" s="410">
        <f>(1136900/1.16)-B50</f>
        <v>941296.20689655177</v>
      </c>
      <c r="C49" s="136">
        <f>(1523700/1.16)-C50</f>
        <v>1270434.4827586208</v>
      </c>
      <c r="D49" s="136">
        <f>(1001200/1.16)-D50</f>
        <v>837243.44827586215</v>
      </c>
      <c r="E49" s="136">
        <f>(1922100/1.16)-E50</f>
        <v>1596642.7586206899</v>
      </c>
      <c r="F49" s="136">
        <f>(4271200/1.16)-F50</f>
        <v>3567853.9655172415</v>
      </c>
      <c r="G49" s="136">
        <f>(4808400/1.16)-G50</f>
        <v>3977082.4137931038</v>
      </c>
      <c r="H49" s="136">
        <f>(3964800/1.16)-H50</f>
        <v>3299406.034482759</v>
      </c>
      <c r="I49" s="136">
        <f>SUM(I44:I48)</f>
        <v>15489959.310344828</v>
      </c>
      <c r="J49" s="136">
        <f t="shared" si="9"/>
        <v>2212851.330049261</v>
      </c>
    </row>
    <row r="50" spans="1:10" x14ac:dyDescent="0.25">
      <c r="A50" s="10" t="s">
        <v>31</v>
      </c>
      <c r="B50" s="263">
        <f t="shared" ref="B50:H50" si="14">2155*B31</f>
        <v>38790</v>
      </c>
      <c r="C50" s="139">
        <f t="shared" si="14"/>
        <v>43100</v>
      </c>
      <c r="D50" s="139">
        <f t="shared" si="14"/>
        <v>25860</v>
      </c>
      <c r="E50" s="139">
        <f t="shared" si="14"/>
        <v>60340</v>
      </c>
      <c r="F50" s="139">
        <f t="shared" si="14"/>
        <v>114215</v>
      </c>
      <c r="G50" s="139">
        <f t="shared" si="14"/>
        <v>168090</v>
      </c>
      <c r="H50" s="139">
        <f t="shared" si="14"/>
        <v>118525</v>
      </c>
      <c r="I50" s="139">
        <f>I31*2155</f>
        <v>568920</v>
      </c>
      <c r="J50" s="139">
        <f>2155*J31</f>
        <v>81274.28571428571</v>
      </c>
    </row>
    <row r="51" spans="1:10" x14ac:dyDescent="0.25">
      <c r="A51" s="37" t="s">
        <v>32</v>
      </c>
      <c r="B51" s="411">
        <f t="shared" ref="B51:J51" si="15">B49+B50</f>
        <v>980086.20689655177</v>
      </c>
      <c r="C51" s="40">
        <f t="shared" si="15"/>
        <v>1313534.4827586208</v>
      </c>
      <c r="D51" s="40">
        <f t="shared" si="15"/>
        <v>863103.44827586215</v>
      </c>
      <c r="E51" s="40">
        <f t="shared" si="15"/>
        <v>1656982.7586206899</v>
      </c>
      <c r="F51" s="40">
        <f t="shared" si="15"/>
        <v>3682068.9655172415</v>
      </c>
      <c r="G51" s="40">
        <f t="shared" si="15"/>
        <v>4145172.4137931038</v>
      </c>
      <c r="H51" s="40">
        <f t="shared" si="15"/>
        <v>3417931.034482759</v>
      </c>
      <c r="I51" s="40">
        <f t="shared" si="15"/>
        <v>16058879.310344828</v>
      </c>
      <c r="J51" s="40">
        <f t="shared" si="15"/>
        <v>2294125.6157635469</v>
      </c>
    </row>
    <row r="52" spans="1:10" x14ac:dyDescent="0.25">
      <c r="A52" s="10" t="s">
        <v>33</v>
      </c>
      <c r="B52" s="413">
        <f t="shared" ref="B52:J52" si="16">B51*16%</f>
        <v>156813.79310344829</v>
      </c>
      <c r="C52" s="42">
        <f t="shared" si="16"/>
        <v>210165.51724137933</v>
      </c>
      <c r="D52" s="42">
        <f t="shared" si="16"/>
        <v>138096.55172413794</v>
      </c>
      <c r="E52" s="42">
        <f t="shared" si="16"/>
        <v>265117.24137931038</v>
      </c>
      <c r="F52" s="42">
        <f t="shared" si="16"/>
        <v>589131.03448275861</v>
      </c>
      <c r="G52" s="42">
        <f t="shared" si="16"/>
        <v>663227.58620689658</v>
      </c>
      <c r="H52" s="42">
        <f t="shared" si="16"/>
        <v>546868.96551724139</v>
      </c>
      <c r="I52" s="42">
        <f t="shared" si="16"/>
        <v>2569420.6896551726</v>
      </c>
      <c r="J52" s="42">
        <f t="shared" si="16"/>
        <v>367060.09852216754</v>
      </c>
    </row>
    <row r="53" spans="1:10" x14ac:dyDescent="0.25">
      <c r="A53" s="43" t="s">
        <v>34</v>
      </c>
      <c r="B53" s="422">
        <f t="shared" ref="B53:I53" si="17">B51+B52</f>
        <v>1136900</v>
      </c>
      <c r="C53" s="315">
        <f t="shared" si="17"/>
        <v>1523700</v>
      </c>
      <c r="D53" s="315">
        <f t="shared" si="17"/>
        <v>1001200.0000000001</v>
      </c>
      <c r="E53" s="315">
        <f t="shared" si="17"/>
        <v>1922100.0000000002</v>
      </c>
      <c r="F53" s="315">
        <f t="shared" si="17"/>
        <v>4271200</v>
      </c>
      <c r="G53" s="315">
        <f t="shared" si="17"/>
        <v>4808400</v>
      </c>
      <c r="H53" s="315">
        <f t="shared" si="17"/>
        <v>3964800.0000000005</v>
      </c>
      <c r="I53" s="315">
        <f t="shared" si="17"/>
        <v>18628300</v>
      </c>
      <c r="J53" s="315">
        <f>+$I53/7</f>
        <v>2661185.7142857141</v>
      </c>
    </row>
    <row r="55" spans="1:10" ht="26.25" x14ac:dyDescent="0.25">
      <c r="A55" s="85"/>
      <c r="B55" s="1002" t="s">
        <v>355</v>
      </c>
      <c r="C55" s="1002"/>
      <c r="D55" s="1002"/>
      <c r="E55" s="1002"/>
      <c r="F55" s="1002"/>
      <c r="G55" s="1002"/>
      <c r="H55" s="1002"/>
      <c r="I55" s="1002"/>
      <c r="J55" s="85"/>
    </row>
    <row r="56" spans="1:10" ht="15.75" x14ac:dyDescent="0.25">
      <c r="A56" s="72" t="s">
        <v>2</v>
      </c>
      <c r="B56" s="429" t="s">
        <v>329</v>
      </c>
      <c r="C56" s="51" t="s">
        <v>330</v>
      </c>
      <c r="D56" s="349" t="s">
        <v>331</v>
      </c>
      <c r="E56" s="51" t="s">
        <v>332</v>
      </c>
      <c r="F56" s="51" t="s">
        <v>333</v>
      </c>
      <c r="G56" s="349" t="s">
        <v>334</v>
      </c>
      <c r="H56" s="349" t="s">
        <v>335</v>
      </c>
      <c r="I56" s="153" t="s">
        <v>10</v>
      </c>
      <c r="J56" s="51" t="s">
        <v>77</v>
      </c>
    </row>
    <row r="57" spans="1:10" x14ac:dyDescent="0.25">
      <c r="A57" s="503" t="s">
        <v>11</v>
      </c>
      <c r="B57" s="431">
        <f>28+7+5</f>
        <v>40</v>
      </c>
      <c r="C57" s="432">
        <f>28+13+7</f>
        <v>48</v>
      </c>
      <c r="D57" s="432">
        <f>41+17+7</f>
        <v>65</v>
      </c>
      <c r="E57" s="432">
        <f>73+47+12</f>
        <v>132</v>
      </c>
      <c r="F57" s="432">
        <f>70+49+9</f>
        <v>128</v>
      </c>
      <c r="G57" s="432">
        <f>99+55+22</f>
        <v>176</v>
      </c>
      <c r="H57" s="432">
        <f>72+29+17</f>
        <v>118</v>
      </c>
      <c r="I57" s="432">
        <f t="shared" ref="I57:I62" si="18">SUM(B57:H57)</f>
        <v>707</v>
      </c>
      <c r="J57" s="504">
        <f t="shared" ref="J57:J63" si="19">+$I57/7</f>
        <v>101</v>
      </c>
    </row>
    <row r="58" spans="1:10" x14ac:dyDescent="0.25">
      <c r="A58" s="10" t="s">
        <v>12</v>
      </c>
      <c r="B58" s="233">
        <v>17</v>
      </c>
      <c r="C58" s="13">
        <v>17</v>
      </c>
      <c r="D58" s="13">
        <v>22</v>
      </c>
      <c r="E58" s="13">
        <v>84</v>
      </c>
      <c r="F58" s="13">
        <v>58</v>
      </c>
      <c r="G58" s="13">
        <v>79</v>
      </c>
      <c r="H58" s="13">
        <v>57</v>
      </c>
      <c r="I58" s="13">
        <f t="shared" si="18"/>
        <v>334</v>
      </c>
      <c r="J58" s="60">
        <f t="shared" si="19"/>
        <v>47.714285714285715</v>
      </c>
    </row>
    <row r="59" spans="1:10" x14ac:dyDescent="0.25">
      <c r="A59" s="10" t="s">
        <v>13</v>
      </c>
      <c r="B59" s="233">
        <v>0</v>
      </c>
      <c r="C59" s="13">
        <v>0</v>
      </c>
      <c r="D59" s="13">
        <v>0</v>
      </c>
      <c r="E59" s="13">
        <v>1</v>
      </c>
      <c r="F59" s="13">
        <v>0</v>
      </c>
      <c r="G59" s="13">
        <v>1</v>
      </c>
      <c r="H59" s="13">
        <v>2</v>
      </c>
      <c r="I59" s="13">
        <f t="shared" si="18"/>
        <v>4</v>
      </c>
      <c r="J59" s="60">
        <f t="shared" si="19"/>
        <v>0.5714285714285714</v>
      </c>
    </row>
    <row r="60" spans="1:10" x14ac:dyDescent="0.25">
      <c r="A60" s="10" t="s">
        <v>14</v>
      </c>
      <c r="B60" s="233">
        <v>9</v>
      </c>
      <c r="C60" s="13">
        <v>24</v>
      </c>
      <c r="D60" s="13">
        <v>30</v>
      </c>
      <c r="E60" s="13">
        <v>25</v>
      </c>
      <c r="F60" s="13">
        <v>36</v>
      </c>
      <c r="G60" s="13">
        <v>40</v>
      </c>
      <c r="H60" s="13">
        <v>23</v>
      </c>
      <c r="I60" s="13">
        <f t="shared" si="18"/>
        <v>187</v>
      </c>
      <c r="J60" s="60">
        <f t="shared" si="19"/>
        <v>26.714285714285715</v>
      </c>
    </row>
    <row r="61" spans="1:10" x14ac:dyDescent="0.25">
      <c r="A61" s="10" t="s">
        <v>15</v>
      </c>
      <c r="B61" s="233">
        <v>4</v>
      </c>
      <c r="C61" s="13">
        <v>1</v>
      </c>
      <c r="D61" s="13">
        <v>5</v>
      </c>
      <c r="E61" s="13">
        <v>1</v>
      </c>
      <c r="F61" s="13">
        <v>7</v>
      </c>
      <c r="G61" s="13">
        <v>3</v>
      </c>
      <c r="H61" s="13">
        <v>7</v>
      </c>
      <c r="I61" s="13">
        <f t="shared" si="18"/>
        <v>28</v>
      </c>
      <c r="J61" s="60">
        <f t="shared" si="19"/>
        <v>4</v>
      </c>
    </row>
    <row r="62" spans="1:10" x14ac:dyDescent="0.25">
      <c r="A62" s="10" t="s">
        <v>16</v>
      </c>
      <c r="B62" s="233">
        <v>1</v>
      </c>
      <c r="C62" s="13">
        <v>0</v>
      </c>
      <c r="D62" s="13">
        <v>0</v>
      </c>
      <c r="E62" s="13">
        <v>0</v>
      </c>
      <c r="F62" s="13">
        <v>0</v>
      </c>
      <c r="G62" s="13">
        <v>0</v>
      </c>
      <c r="H62" s="13">
        <v>0</v>
      </c>
      <c r="I62" s="13">
        <f t="shared" si="18"/>
        <v>1</v>
      </c>
      <c r="J62" s="60">
        <f t="shared" si="19"/>
        <v>0.14285714285714285</v>
      </c>
    </row>
    <row r="63" spans="1:10" x14ac:dyDescent="0.25">
      <c r="A63" s="15" t="s">
        <v>17</v>
      </c>
      <c r="B63" s="102">
        <f t="shared" ref="B63:I63" si="20">SUM(B58:B62)</f>
        <v>31</v>
      </c>
      <c r="C63" s="79">
        <f t="shared" si="20"/>
        <v>42</v>
      </c>
      <c r="D63" s="79">
        <f t="shared" si="20"/>
        <v>57</v>
      </c>
      <c r="E63" s="79">
        <f t="shared" si="20"/>
        <v>111</v>
      </c>
      <c r="F63" s="79">
        <f t="shared" si="20"/>
        <v>101</v>
      </c>
      <c r="G63" s="79">
        <f t="shared" si="20"/>
        <v>123</v>
      </c>
      <c r="H63" s="79">
        <f t="shared" si="20"/>
        <v>89</v>
      </c>
      <c r="I63" s="79">
        <f t="shared" si="20"/>
        <v>554</v>
      </c>
      <c r="J63" s="319">
        <f t="shared" si="19"/>
        <v>79.142857142857139</v>
      </c>
    </row>
    <row r="64" spans="1:10" x14ac:dyDescent="0.25">
      <c r="A64" s="10" t="s">
        <v>18</v>
      </c>
      <c r="B64" s="406">
        <v>0.64</v>
      </c>
      <c r="C64" s="19">
        <v>0.49</v>
      </c>
      <c r="D64" s="19">
        <v>0.54</v>
      </c>
      <c r="E64" s="19">
        <v>0.83</v>
      </c>
      <c r="F64" s="19">
        <v>0.66</v>
      </c>
      <c r="G64" s="19">
        <v>0.7</v>
      </c>
      <c r="H64" s="19">
        <v>0.67</v>
      </c>
      <c r="I64" s="19">
        <f>I71/I76</f>
        <v>0.68228437160201738</v>
      </c>
      <c r="J64" s="19">
        <f>J71/J76</f>
        <v>0.68228437160201749</v>
      </c>
    </row>
    <row r="65" spans="1:10" x14ac:dyDescent="0.25">
      <c r="A65" s="10" t="s">
        <v>19</v>
      </c>
      <c r="B65" s="406">
        <v>0</v>
      </c>
      <c r="C65" s="19">
        <v>0</v>
      </c>
      <c r="D65" s="19">
        <v>0</v>
      </c>
      <c r="E65" s="19">
        <v>0.01</v>
      </c>
      <c r="F65" s="19">
        <v>0</v>
      </c>
      <c r="G65" s="19">
        <v>0.01</v>
      </c>
      <c r="H65" s="19">
        <v>0.03</v>
      </c>
      <c r="I65" s="19">
        <f>I72/I76</f>
        <v>9.1521064775378653E-3</v>
      </c>
      <c r="J65" s="19">
        <f>J72/J76</f>
        <v>9.1521064775378653E-3</v>
      </c>
    </row>
    <row r="66" spans="1:10" x14ac:dyDescent="0.25">
      <c r="A66" s="10" t="s">
        <v>20</v>
      </c>
      <c r="B66" s="406">
        <v>0.24</v>
      </c>
      <c r="C66" s="19">
        <v>0.49</v>
      </c>
      <c r="D66" s="19">
        <v>0.35</v>
      </c>
      <c r="E66" s="19">
        <v>0.15</v>
      </c>
      <c r="F66" s="19">
        <v>0.28000000000000003</v>
      </c>
      <c r="G66" s="19">
        <v>0.26</v>
      </c>
      <c r="H66" s="19">
        <v>0.24</v>
      </c>
      <c r="I66" s="19">
        <f>I73/I76</f>
        <v>0.26132171199472409</v>
      </c>
      <c r="J66" s="19">
        <f>J73/J76</f>
        <v>0.26132171199472409</v>
      </c>
    </row>
    <row r="67" spans="1:10" x14ac:dyDescent="0.25">
      <c r="A67" s="10" t="s">
        <v>21</v>
      </c>
      <c r="B67" s="406">
        <v>0.06</v>
      </c>
      <c r="C67" s="19">
        <v>0.02</v>
      </c>
      <c r="D67" s="19">
        <v>0.11</v>
      </c>
      <c r="E67" s="19">
        <v>0.01</v>
      </c>
      <c r="F67" s="19">
        <v>0.06</v>
      </c>
      <c r="G67" s="19">
        <v>0.03</v>
      </c>
      <c r="H67" s="19">
        <v>0.06</v>
      </c>
      <c r="I67" s="19">
        <f>I74/I76</f>
        <v>4.4191377303612799E-2</v>
      </c>
      <c r="J67" s="19">
        <f>J74/J76</f>
        <v>4.4191377303612805E-2</v>
      </c>
    </row>
    <row r="68" spans="1:10" x14ac:dyDescent="0.25">
      <c r="A68" s="10" t="s">
        <v>22</v>
      </c>
      <c r="B68" s="406">
        <v>0.06</v>
      </c>
      <c r="C68" s="19">
        <v>0</v>
      </c>
      <c r="D68" s="19">
        <v>0</v>
      </c>
      <c r="E68" s="19">
        <v>0</v>
      </c>
      <c r="F68" s="19">
        <v>0</v>
      </c>
      <c r="G68" s="19">
        <v>0</v>
      </c>
      <c r="H68" s="19">
        <v>0</v>
      </c>
      <c r="I68" s="19">
        <f>I75/I76</f>
        <v>3.0504326221079997E-3</v>
      </c>
      <c r="J68" s="19">
        <f>J75/J76</f>
        <v>3.0504326221080002E-3</v>
      </c>
    </row>
    <row r="69" spans="1:10" x14ac:dyDescent="0.25">
      <c r="A69" s="24" t="s">
        <v>23</v>
      </c>
      <c r="B69" s="409">
        <f t="shared" ref="B69:J69" si="21">B80/B63</f>
        <v>33935.483870967742</v>
      </c>
      <c r="C69" s="131">
        <f t="shared" si="21"/>
        <v>32273.809523809523</v>
      </c>
      <c r="D69" s="131">
        <f t="shared" si="21"/>
        <v>28400</v>
      </c>
      <c r="E69" s="131">
        <f t="shared" si="21"/>
        <v>35854.954954954956</v>
      </c>
      <c r="F69" s="131">
        <f t="shared" si="21"/>
        <v>41454.455445544561</v>
      </c>
      <c r="G69" s="131">
        <f t="shared" si="21"/>
        <v>42547.154471544716</v>
      </c>
      <c r="H69" s="131">
        <f t="shared" si="21"/>
        <v>36683.146067415728</v>
      </c>
      <c r="I69" s="131">
        <f t="shared" si="21"/>
        <v>37348.736462093846</v>
      </c>
      <c r="J69" s="131">
        <f t="shared" si="21"/>
        <v>37348.736462093853</v>
      </c>
    </row>
    <row r="70" spans="1:10" x14ac:dyDescent="0.25">
      <c r="A70" s="24" t="s">
        <v>24</v>
      </c>
      <c r="B70" s="409">
        <f t="shared" ref="B70:J70" si="22">B80/B57</f>
        <v>26300</v>
      </c>
      <c r="C70" s="131">
        <f t="shared" si="22"/>
        <v>28239.583333333332</v>
      </c>
      <c r="D70" s="131">
        <f t="shared" si="22"/>
        <v>24904.615384615383</v>
      </c>
      <c r="E70" s="131">
        <f t="shared" si="22"/>
        <v>30150.75757575758</v>
      </c>
      <c r="F70" s="131">
        <f t="shared" si="22"/>
        <v>32710.156250000004</v>
      </c>
      <c r="G70" s="131">
        <f t="shared" si="22"/>
        <v>29734.659090909092</v>
      </c>
      <c r="H70" s="131">
        <f t="shared" si="22"/>
        <v>27667.796610169491</v>
      </c>
      <c r="I70" s="131">
        <f t="shared" si="22"/>
        <v>29266.195190947656</v>
      </c>
      <c r="J70" s="131">
        <f t="shared" si="22"/>
        <v>29266.195190947656</v>
      </c>
    </row>
    <row r="71" spans="1:10" x14ac:dyDescent="0.25">
      <c r="A71" s="10" t="s">
        <v>25</v>
      </c>
      <c r="B71" s="255">
        <f t="shared" ref="B71:H71" si="23">B76*B64</f>
        <v>556967.39310344832</v>
      </c>
      <c r="C71" s="133">
        <f t="shared" si="23"/>
        <v>554630.74655172415</v>
      </c>
      <c r="D71" s="133">
        <f t="shared" si="23"/>
        <v>727977.91034482769</v>
      </c>
      <c r="E71" s="133">
        <f t="shared" si="23"/>
        <v>2697440.4689655174</v>
      </c>
      <c r="F71" s="133">
        <f t="shared" si="23"/>
        <v>2299708.3241379312</v>
      </c>
      <c r="G71" s="133">
        <f t="shared" si="23"/>
        <v>3038854.3620689651</v>
      </c>
      <c r="H71" s="133">
        <f t="shared" si="23"/>
        <v>1803403.9982758621</v>
      </c>
      <c r="I71" s="133">
        <f>SUM(B71:H71)</f>
        <v>11678983.203448273</v>
      </c>
      <c r="J71" s="133">
        <f t="shared" ref="J71:J76" si="24">+$I71/7</f>
        <v>1668426.171921182</v>
      </c>
    </row>
    <row r="72" spans="1:10" x14ac:dyDescent="0.25">
      <c r="A72" s="10" t="s">
        <v>26</v>
      </c>
      <c r="B72" s="255">
        <f t="shared" ref="B72:H72" si="25">B76*B65</f>
        <v>0</v>
      </c>
      <c r="C72" s="133">
        <f t="shared" si="25"/>
        <v>0</v>
      </c>
      <c r="D72" s="133">
        <f t="shared" si="25"/>
        <v>0</v>
      </c>
      <c r="E72" s="133">
        <f t="shared" si="25"/>
        <v>32499.282758620695</v>
      </c>
      <c r="F72" s="133">
        <f t="shared" si="25"/>
        <v>0</v>
      </c>
      <c r="G72" s="133">
        <f t="shared" si="25"/>
        <v>43412.205172413793</v>
      </c>
      <c r="H72" s="133">
        <f t="shared" si="25"/>
        <v>80749.432758620693</v>
      </c>
      <c r="I72" s="133">
        <f>SUM(B72:H72)</f>
        <v>156660.92068965518</v>
      </c>
      <c r="J72" s="133">
        <f t="shared" si="24"/>
        <v>22380.131527093596</v>
      </c>
    </row>
    <row r="73" spans="1:10" x14ac:dyDescent="0.25">
      <c r="A73" s="10" t="s">
        <v>27</v>
      </c>
      <c r="B73" s="255">
        <f t="shared" ref="B73:H73" si="26">B76*B66</f>
        <v>208862.77241379311</v>
      </c>
      <c r="C73" s="133">
        <f t="shared" si="26"/>
        <v>554630.74655172415</v>
      </c>
      <c r="D73" s="133">
        <f t="shared" si="26"/>
        <v>471837.53448275861</v>
      </c>
      <c r="E73" s="133">
        <f t="shared" si="26"/>
        <v>487489.24137931038</v>
      </c>
      <c r="F73" s="133">
        <f t="shared" si="26"/>
        <v>975633.83448275877</v>
      </c>
      <c r="G73" s="133">
        <f t="shared" si="26"/>
        <v>1128717.3344827585</v>
      </c>
      <c r="H73" s="133">
        <f t="shared" si="26"/>
        <v>645995.46206896554</v>
      </c>
      <c r="I73" s="133">
        <f>SUM(B73:H73)</f>
        <v>4473166.9258620692</v>
      </c>
      <c r="J73" s="133">
        <f t="shared" si="24"/>
        <v>639023.84655172413</v>
      </c>
    </row>
    <row r="74" spans="1:10" x14ac:dyDescent="0.25">
      <c r="A74" s="10" t="s">
        <v>28</v>
      </c>
      <c r="B74" s="255">
        <f t="shared" ref="B74:H74" si="27">B76*B67</f>
        <v>52215.693103448277</v>
      </c>
      <c r="C74" s="133">
        <f t="shared" si="27"/>
        <v>22637.989655172416</v>
      </c>
      <c r="D74" s="133">
        <f t="shared" si="27"/>
        <v>148291.79655172414</v>
      </c>
      <c r="E74" s="133">
        <f t="shared" si="27"/>
        <v>32499.282758620695</v>
      </c>
      <c r="F74" s="133">
        <f t="shared" si="27"/>
        <v>209064.3931034483</v>
      </c>
      <c r="G74" s="133">
        <f t="shared" si="27"/>
        <v>130236.61551724137</v>
      </c>
      <c r="H74" s="133">
        <f t="shared" si="27"/>
        <v>161498.86551724139</v>
      </c>
      <c r="I74" s="133">
        <f>SUM(B74:H74)</f>
        <v>756444.63620689663</v>
      </c>
      <c r="J74" s="133">
        <f t="shared" si="24"/>
        <v>108063.5194581281</v>
      </c>
    </row>
    <row r="75" spans="1:10" x14ac:dyDescent="0.25">
      <c r="A75" s="10" t="s">
        <v>29</v>
      </c>
      <c r="B75" s="255">
        <f t="shared" ref="B75:H75" si="28">B76*B68</f>
        <v>52215.693103448277</v>
      </c>
      <c r="C75" s="133">
        <f t="shared" si="28"/>
        <v>0</v>
      </c>
      <c r="D75" s="133">
        <f t="shared" si="28"/>
        <v>0</v>
      </c>
      <c r="E75" s="133">
        <f t="shared" si="28"/>
        <v>0</v>
      </c>
      <c r="F75" s="133">
        <f t="shared" si="28"/>
        <v>0</v>
      </c>
      <c r="G75" s="133">
        <f t="shared" si="28"/>
        <v>0</v>
      </c>
      <c r="H75" s="133">
        <f t="shared" si="28"/>
        <v>0</v>
      </c>
      <c r="I75" s="133">
        <f>SUM(B75:H75)</f>
        <v>52215.693103448277</v>
      </c>
      <c r="J75" s="133">
        <f t="shared" si="24"/>
        <v>7459.3847290640397</v>
      </c>
    </row>
    <row r="76" spans="1:10" x14ac:dyDescent="0.25">
      <c r="A76" s="33" t="s">
        <v>30</v>
      </c>
      <c r="B76" s="410">
        <f>(1052000/1.16)-B77</f>
        <v>870261.55172413797</v>
      </c>
      <c r="C76" s="410">
        <f>(1355500/1.16)-C77</f>
        <v>1131899.4827586208</v>
      </c>
      <c r="D76" s="410">
        <f>(1618800/1.16)-D77</f>
        <v>1348107.2413793104</v>
      </c>
      <c r="E76" s="410">
        <f>(3979900/1.16)-E77</f>
        <v>3249928.2758620693</v>
      </c>
      <c r="F76" s="410">
        <f>(4186900/1.16)-F77</f>
        <v>3484406.5517241382</v>
      </c>
      <c r="G76" s="410">
        <f>(5233300/1.16)-G77</f>
        <v>4341220.5172413792</v>
      </c>
      <c r="H76" s="410">
        <f>(3264800/1.16)-H77</f>
        <v>2691647.7586206896</v>
      </c>
      <c r="I76" s="136">
        <f>SUM(I71:I75)</f>
        <v>17117471.37931034</v>
      </c>
      <c r="J76" s="136">
        <f t="shared" si="24"/>
        <v>2445353.0541871912</v>
      </c>
    </row>
    <row r="77" spans="1:10" x14ac:dyDescent="0.25">
      <c r="A77" s="10" t="s">
        <v>31</v>
      </c>
      <c r="B77" s="263">
        <f t="shared" ref="B77:H77" si="29">2155*B58</f>
        <v>36635</v>
      </c>
      <c r="C77" s="139">
        <f t="shared" si="29"/>
        <v>36635</v>
      </c>
      <c r="D77" s="139">
        <f t="shared" si="29"/>
        <v>47410</v>
      </c>
      <c r="E77" s="139">
        <f t="shared" si="29"/>
        <v>181020</v>
      </c>
      <c r="F77" s="139">
        <f t="shared" si="29"/>
        <v>124990</v>
      </c>
      <c r="G77" s="139">
        <f t="shared" si="29"/>
        <v>170245</v>
      </c>
      <c r="H77" s="139">
        <f t="shared" si="29"/>
        <v>122835</v>
      </c>
      <c r="I77" s="139">
        <f>I58*2155</f>
        <v>719770</v>
      </c>
      <c r="J77" s="139">
        <f>2155*J58</f>
        <v>102824.28571428571</v>
      </c>
    </row>
    <row r="78" spans="1:10" x14ac:dyDescent="0.25">
      <c r="A78" s="37" t="s">
        <v>32</v>
      </c>
      <c r="B78" s="411">
        <f t="shared" ref="B78:J78" si="30">B76+B77</f>
        <v>906896.55172413797</v>
      </c>
      <c r="C78" s="40">
        <f t="shared" si="30"/>
        <v>1168534.4827586208</v>
      </c>
      <c r="D78" s="40">
        <f t="shared" si="30"/>
        <v>1395517.2413793104</v>
      </c>
      <c r="E78" s="40">
        <f t="shared" si="30"/>
        <v>3430948.2758620693</v>
      </c>
      <c r="F78" s="40">
        <f t="shared" si="30"/>
        <v>3609396.5517241382</v>
      </c>
      <c r="G78" s="40">
        <f t="shared" si="30"/>
        <v>4511465.5172413792</v>
      </c>
      <c r="H78" s="40">
        <f t="shared" si="30"/>
        <v>2814482.7586206896</v>
      </c>
      <c r="I78" s="40">
        <f t="shared" si="30"/>
        <v>17837241.37931034</v>
      </c>
      <c r="J78" s="40">
        <f t="shared" si="30"/>
        <v>2548177.3399014771</v>
      </c>
    </row>
    <row r="79" spans="1:10" x14ac:dyDescent="0.25">
      <c r="A79" s="10" t="s">
        <v>33</v>
      </c>
      <c r="B79" s="413">
        <f t="shared" ref="B79:J79" si="31">B78*16%</f>
        <v>145103.44827586209</v>
      </c>
      <c r="C79" s="42">
        <f t="shared" si="31"/>
        <v>186965.51724137933</v>
      </c>
      <c r="D79" s="42">
        <f t="shared" si="31"/>
        <v>223282.75862068965</v>
      </c>
      <c r="E79" s="42">
        <f t="shared" si="31"/>
        <v>548951.72413793113</v>
      </c>
      <c r="F79" s="42">
        <f t="shared" si="31"/>
        <v>577503.44827586215</v>
      </c>
      <c r="G79" s="42">
        <f t="shared" si="31"/>
        <v>721834.48275862064</v>
      </c>
      <c r="H79" s="42">
        <f t="shared" si="31"/>
        <v>450317.24137931038</v>
      </c>
      <c r="I79" s="42">
        <f t="shared" si="31"/>
        <v>2853958.6206896543</v>
      </c>
      <c r="J79" s="42">
        <f t="shared" si="31"/>
        <v>407708.37438423635</v>
      </c>
    </row>
    <row r="80" spans="1:10" x14ac:dyDescent="0.25">
      <c r="A80" s="43" t="s">
        <v>34</v>
      </c>
      <c r="B80" s="422">
        <f t="shared" ref="B80:I80" si="32">B78+B79</f>
        <v>1052000</v>
      </c>
      <c r="C80" s="315">
        <f t="shared" si="32"/>
        <v>1355500</v>
      </c>
      <c r="D80" s="315">
        <f t="shared" si="32"/>
        <v>1618800</v>
      </c>
      <c r="E80" s="315">
        <f t="shared" si="32"/>
        <v>3979900.0000000005</v>
      </c>
      <c r="F80" s="315">
        <f t="shared" si="32"/>
        <v>4186900.0000000005</v>
      </c>
      <c r="G80" s="315">
        <f t="shared" si="32"/>
        <v>5233300</v>
      </c>
      <c r="H80" s="315">
        <f t="shared" si="32"/>
        <v>3264800</v>
      </c>
      <c r="I80" s="315">
        <f t="shared" si="32"/>
        <v>20691199.999999993</v>
      </c>
      <c r="J80" s="315">
        <f>+$I80/7</f>
        <v>2955885.7142857132</v>
      </c>
    </row>
    <row r="81" spans="1:51" ht="15.75" thickBot="1" x14ac:dyDescent="0.3">
      <c r="K81"/>
      <c r="L81"/>
      <c r="M81"/>
      <c r="N81"/>
      <c r="O81"/>
      <c r="P81"/>
      <c r="Q81"/>
      <c r="R81"/>
      <c r="S81"/>
      <c r="T81"/>
      <c r="U81"/>
      <c r="V81"/>
      <c r="W81"/>
      <c r="X81"/>
      <c r="Y81"/>
      <c r="Z81"/>
      <c r="AA81"/>
      <c r="AB81"/>
      <c r="AC81"/>
      <c r="AD81"/>
      <c r="AE81"/>
      <c r="AF81"/>
      <c r="AY81" s="465"/>
    </row>
    <row r="82" spans="1:51" ht="27" thickBot="1" x14ac:dyDescent="0.3">
      <c r="A82" s="85"/>
      <c r="B82" s="1002" t="s">
        <v>356</v>
      </c>
      <c r="C82" s="1002"/>
      <c r="D82" s="1002"/>
      <c r="E82" s="1002"/>
      <c r="F82" s="1002"/>
      <c r="G82" s="1002"/>
      <c r="H82" s="1002"/>
      <c r="I82" s="1002"/>
      <c r="J82" s="85"/>
      <c r="K82"/>
      <c r="L82"/>
      <c r="M82"/>
      <c r="N82"/>
      <c r="O82"/>
      <c r="P82"/>
      <c r="Q82"/>
      <c r="R82"/>
      <c r="S82"/>
      <c r="T82"/>
      <c r="U82"/>
      <c r="V82"/>
      <c r="W82"/>
      <c r="X82"/>
      <c r="Y82"/>
      <c r="Z82"/>
      <c r="AA82"/>
      <c r="AB82"/>
      <c r="AC82"/>
      <c r="AD82"/>
      <c r="AE82"/>
      <c r="AF82"/>
      <c r="AY82" s="465"/>
    </row>
    <row r="83" spans="1:51" ht="15.75" x14ac:dyDescent="0.25">
      <c r="A83" s="614" t="s">
        <v>2</v>
      </c>
      <c r="B83" s="615" t="s">
        <v>337</v>
      </c>
      <c r="C83" s="616" t="s">
        <v>338</v>
      </c>
      <c r="D83" s="617" t="s">
        <v>339</v>
      </c>
      <c r="E83" s="616" t="s">
        <v>340</v>
      </c>
      <c r="F83" s="616" t="s">
        <v>341</v>
      </c>
      <c r="G83" s="617" t="s">
        <v>342</v>
      </c>
      <c r="H83" s="617" t="s">
        <v>343</v>
      </c>
      <c r="I83" s="618" t="s">
        <v>10</v>
      </c>
      <c r="J83" s="619" t="s">
        <v>77</v>
      </c>
      <c r="K83"/>
      <c r="L83"/>
      <c r="M83"/>
      <c r="N83"/>
      <c r="O83"/>
      <c r="P83"/>
      <c r="Q83"/>
      <c r="R83"/>
      <c r="S83"/>
      <c r="T83"/>
      <c r="U83"/>
      <c r="V83"/>
      <c r="W83"/>
      <c r="X83"/>
      <c r="Y83"/>
      <c r="Z83"/>
      <c r="AA83"/>
      <c r="AB83"/>
      <c r="AC83"/>
      <c r="AD83"/>
      <c r="AE83"/>
      <c r="AF83"/>
      <c r="AY83" s="465"/>
    </row>
    <row r="84" spans="1:51" x14ac:dyDescent="0.25">
      <c r="A84" s="620" t="s">
        <v>11</v>
      </c>
      <c r="B84" s="431">
        <f>39+10+6</f>
        <v>55</v>
      </c>
      <c r="C84" s="432">
        <f>26+9+5</f>
        <v>40</v>
      </c>
      <c r="D84" s="432">
        <f>31+12+2</f>
        <v>45</v>
      </c>
      <c r="E84" s="432">
        <f>40+12+4</f>
        <v>56</v>
      </c>
      <c r="F84" s="432">
        <f>81+30+17</f>
        <v>128</v>
      </c>
      <c r="G84" s="432">
        <f>88+35+19</f>
        <v>142</v>
      </c>
      <c r="H84" s="432">
        <f>92+39+13</f>
        <v>144</v>
      </c>
      <c r="I84" s="432">
        <f t="shared" ref="I84:I89" si="33">SUM(B84:H84)</f>
        <v>610</v>
      </c>
      <c r="J84" s="621">
        <f t="shared" ref="J84:J90" si="34">+$I84/7</f>
        <v>87.142857142857139</v>
      </c>
      <c r="K84"/>
      <c r="L84"/>
      <c r="M84"/>
      <c r="N84"/>
      <c r="O84"/>
      <c r="P84"/>
      <c r="Q84"/>
      <c r="R84"/>
      <c r="S84"/>
      <c r="T84"/>
      <c r="U84"/>
      <c r="V84"/>
      <c r="W84"/>
      <c r="X84"/>
      <c r="Y84"/>
      <c r="Z84"/>
      <c r="AA84"/>
      <c r="AB84"/>
      <c r="AC84"/>
      <c r="AD84"/>
      <c r="AE84"/>
      <c r="AF84"/>
      <c r="AY84" s="465"/>
    </row>
    <row r="85" spans="1:51" x14ac:dyDescent="0.25">
      <c r="A85" s="622" t="s">
        <v>12</v>
      </c>
      <c r="B85" s="233">
        <v>18</v>
      </c>
      <c r="C85" s="13">
        <v>16</v>
      </c>
      <c r="D85" s="13">
        <v>16</v>
      </c>
      <c r="E85" s="13">
        <v>25</v>
      </c>
      <c r="F85" s="13">
        <v>53</v>
      </c>
      <c r="G85" s="13">
        <v>52</v>
      </c>
      <c r="H85" s="13">
        <v>77</v>
      </c>
      <c r="I85" s="13">
        <f t="shared" si="33"/>
        <v>257</v>
      </c>
      <c r="J85" s="623">
        <f t="shared" si="34"/>
        <v>36.714285714285715</v>
      </c>
      <c r="K85"/>
      <c r="L85"/>
      <c r="M85"/>
      <c r="N85"/>
      <c r="O85"/>
      <c r="P85"/>
      <c r="Q85"/>
      <c r="R85"/>
      <c r="S85"/>
      <c r="T85"/>
      <c r="U85"/>
      <c r="V85"/>
      <c r="W85"/>
      <c r="X85"/>
      <c r="Y85"/>
      <c r="Z85"/>
      <c r="AA85"/>
      <c r="AB85"/>
      <c r="AC85"/>
      <c r="AD85"/>
      <c r="AE85"/>
      <c r="AF85"/>
      <c r="AY85" s="465"/>
    </row>
    <row r="86" spans="1:51" x14ac:dyDescent="0.25">
      <c r="A86" s="622" t="s">
        <v>13</v>
      </c>
      <c r="B86" s="233">
        <v>1</v>
      </c>
      <c r="C86" s="13">
        <v>1</v>
      </c>
      <c r="D86" s="13">
        <v>0</v>
      </c>
      <c r="E86" s="13">
        <v>1</v>
      </c>
      <c r="F86" s="13">
        <v>1</v>
      </c>
      <c r="G86" s="13">
        <v>2</v>
      </c>
      <c r="H86" s="13">
        <v>1</v>
      </c>
      <c r="I86" s="13">
        <f t="shared" si="33"/>
        <v>7</v>
      </c>
      <c r="J86" s="623">
        <f t="shared" si="34"/>
        <v>1</v>
      </c>
      <c r="K86"/>
      <c r="L86"/>
      <c r="M86"/>
      <c r="N86"/>
      <c r="O86"/>
      <c r="P86"/>
      <c r="Q86"/>
      <c r="R86"/>
      <c r="S86"/>
      <c r="T86"/>
      <c r="U86"/>
      <c r="V86"/>
      <c r="W86"/>
      <c r="X86"/>
      <c r="Y86"/>
      <c r="Z86"/>
      <c r="AA86"/>
      <c r="AB86"/>
      <c r="AC86"/>
      <c r="AD86"/>
      <c r="AE86"/>
      <c r="AF86"/>
      <c r="AY86" s="465"/>
    </row>
    <row r="87" spans="1:51" x14ac:dyDescent="0.25">
      <c r="A87" s="622" t="s">
        <v>14</v>
      </c>
      <c r="B87" s="233">
        <v>18</v>
      </c>
      <c r="C87" s="13">
        <v>11</v>
      </c>
      <c r="D87" s="13">
        <v>17</v>
      </c>
      <c r="E87" s="13">
        <v>15</v>
      </c>
      <c r="F87" s="13">
        <v>46</v>
      </c>
      <c r="G87" s="13">
        <v>35</v>
      </c>
      <c r="H87" s="13">
        <v>26</v>
      </c>
      <c r="I87" s="13">
        <f t="shared" si="33"/>
        <v>168</v>
      </c>
      <c r="J87" s="623">
        <f t="shared" si="34"/>
        <v>24</v>
      </c>
      <c r="K87"/>
      <c r="L87"/>
      <c r="M87"/>
      <c r="N87"/>
      <c r="O87"/>
      <c r="P87"/>
      <c r="Q87"/>
      <c r="R87"/>
      <c r="S87"/>
      <c r="T87"/>
      <c r="U87"/>
      <c r="V87"/>
      <c r="W87"/>
      <c r="X87"/>
      <c r="Y87"/>
      <c r="Z87"/>
      <c r="AA87"/>
      <c r="AB87"/>
      <c r="AC87"/>
      <c r="AD87"/>
      <c r="AE87"/>
      <c r="AF87"/>
      <c r="AY87" s="465"/>
    </row>
    <row r="88" spans="1:51" x14ac:dyDescent="0.25">
      <c r="A88" s="622" t="s">
        <v>15</v>
      </c>
      <c r="B88" s="233">
        <v>3</v>
      </c>
      <c r="C88" s="13">
        <v>2</v>
      </c>
      <c r="D88" s="13">
        <v>2</v>
      </c>
      <c r="E88" s="13">
        <v>5</v>
      </c>
      <c r="F88" s="13">
        <v>5</v>
      </c>
      <c r="G88" s="13">
        <v>11</v>
      </c>
      <c r="H88" s="13">
        <v>2</v>
      </c>
      <c r="I88" s="13">
        <f t="shared" si="33"/>
        <v>30</v>
      </c>
      <c r="J88" s="623">
        <f t="shared" si="34"/>
        <v>4.2857142857142856</v>
      </c>
      <c r="K88"/>
      <c r="L88"/>
      <c r="M88"/>
      <c r="N88"/>
      <c r="O88"/>
      <c r="P88"/>
      <c r="Q88"/>
      <c r="R88"/>
      <c r="S88"/>
      <c r="T88"/>
      <c r="U88"/>
      <c r="V88"/>
      <c r="W88"/>
      <c r="X88"/>
      <c r="Y88"/>
      <c r="Z88"/>
      <c r="AA88"/>
      <c r="AB88"/>
      <c r="AC88"/>
      <c r="AD88"/>
      <c r="AE88"/>
      <c r="AF88"/>
      <c r="AY88" s="465"/>
    </row>
    <row r="89" spans="1:51" x14ac:dyDescent="0.25">
      <c r="A89" s="622" t="s">
        <v>16</v>
      </c>
      <c r="B89" s="233">
        <v>0</v>
      </c>
      <c r="C89" s="13">
        <v>2</v>
      </c>
      <c r="D89" s="13">
        <v>0</v>
      </c>
      <c r="E89" s="13">
        <v>0</v>
      </c>
      <c r="F89" s="13">
        <v>0</v>
      </c>
      <c r="G89" s="13">
        <v>0</v>
      </c>
      <c r="H89" s="13">
        <v>0</v>
      </c>
      <c r="I89" s="13">
        <f t="shared" si="33"/>
        <v>2</v>
      </c>
      <c r="J89" s="623">
        <f t="shared" si="34"/>
        <v>0.2857142857142857</v>
      </c>
      <c r="K89"/>
      <c r="L89"/>
      <c r="M89"/>
      <c r="N89"/>
      <c r="O89"/>
      <c r="P89"/>
      <c r="Q89"/>
      <c r="R89"/>
      <c r="S89"/>
      <c r="T89"/>
      <c r="U89"/>
      <c r="V89"/>
      <c r="W89"/>
      <c r="X89"/>
      <c r="Y89"/>
      <c r="Z89"/>
      <c r="AA89"/>
      <c r="AB89"/>
      <c r="AC89"/>
      <c r="AD89"/>
      <c r="AE89"/>
      <c r="AF89"/>
      <c r="AY89" s="465"/>
    </row>
    <row r="90" spans="1:51" x14ac:dyDescent="0.25">
      <c r="A90" s="624" t="s">
        <v>17</v>
      </c>
      <c r="B90" s="102">
        <f t="shared" ref="B90:I90" si="35">SUM(B85:B89)</f>
        <v>40</v>
      </c>
      <c r="C90" s="79">
        <f t="shared" si="35"/>
        <v>32</v>
      </c>
      <c r="D90" s="79">
        <f t="shared" si="35"/>
        <v>35</v>
      </c>
      <c r="E90" s="79">
        <f t="shared" si="35"/>
        <v>46</v>
      </c>
      <c r="F90" s="79">
        <f t="shared" si="35"/>
        <v>105</v>
      </c>
      <c r="G90" s="79">
        <f t="shared" si="35"/>
        <v>100</v>
      </c>
      <c r="H90" s="79">
        <f t="shared" si="35"/>
        <v>106</v>
      </c>
      <c r="I90" s="79">
        <f t="shared" si="35"/>
        <v>464</v>
      </c>
      <c r="J90" s="625">
        <f t="shared" si="34"/>
        <v>66.285714285714292</v>
      </c>
      <c r="K90"/>
      <c r="L90"/>
      <c r="M90"/>
      <c r="N90"/>
      <c r="O90"/>
      <c r="P90"/>
      <c r="Q90"/>
      <c r="R90"/>
      <c r="S90"/>
      <c r="T90"/>
      <c r="U90"/>
      <c r="V90"/>
      <c r="W90"/>
      <c r="X90"/>
      <c r="Y90"/>
      <c r="Z90"/>
      <c r="AA90"/>
      <c r="AB90"/>
      <c r="AC90"/>
      <c r="AD90"/>
      <c r="AE90"/>
      <c r="AF90"/>
      <c r="AY90" s="465"/>
    </row>
    <row r="91" spans="1:51" x14ac:dyDescent="0.25">
      <c r="A91" s="622" t="s">
        <v>18</v>
      </c>
      <c r="B91" s="406">
        <v>0.59</v>
      </c>
      <c r="C91" s="19">
        <v>0.64</v>
      </c>
      <c r="D91" s="19">
        <v>0.62</v>
      </c>
      <c r="E91" s="19">
        <v>0.56000000000000005</v>
      </c>
      <c r="F91" s="19">
        <v>0.56000000000000005</v>
      </c>
      <c r="G91" s="19">
        <v>0.57999999999999996</v>
      </c>
      <c r="H91" s="19">
        <v>0.73</v>
      </c>
      <c r="I91" s="19">
        <f>I98/I103</f>
        <v>0.62765569423067324</v>
      </c>
      <c r="J91" s="626">
        <f>J98/J103</f>
        <v>0.62765569423067324</v>
      </c>
      <c r="K91"/>
      <c r="L91"/>
      <c r="M91"/>
      <c r="N91"/>
      <c r="O91"/>
      <c r="P91"/>
      <c r="Q91"/>
      <c r="R91"/>
      <c r="S91"/>
      <c r="T91"/>
      <c r="U91"/>
      <c r="V91"/>
      <c r="W91"/>
      <c r="X91"/>
      <c r="Y91"/>
      <c r="Z91"/>
      <c r="AA91"/>
      <c r="AB91"/>
      <c r="AC91"/>
      <c r="AD91"/>
      <c r="AE91"/>
      <c r="AF91"/>
      <c r="AY91" s="465"/>
    </row>
    <row r="92" spans="1:51" x14ac:dyDescent="0.25">
      <c r="A92" s="622" t="s">
        <v>19</v>
      </c>
      <c r="B92" s="406">
        <v>0.02</v>
      </c>
      <c r="C92" s="19">
        <v>0.01</v>
      </c>
      <c r="D92" s="19">
        <v>0</v>
      </c>
      <c r="E92" s="19">
        <v>0.05</v>
      </c>
      <c r="F92" s="19">
        <v>0.01</v>
      </c>
      <c r="G92" s="19">
        <v>0.02</v>
      </c>
      <c r="H92" s="19">
        <v>0.01</v>
      </c>
      <c r="I92" s="19">
        <f>I99/I103</f>
        <v>1.3481909538865664E-2</v>
      </c>
      <c r="J92" s="626">
        <f>J99/J103</f>
        <v>1.3481909538865664E-2</v>
      </c>
      <c r="K92"/>
      <c r="L92"/>
      <c r="M92"/>
      <c r="N92"/>
      <c r="O92"/>
      <c r="P92"/>
      <c r="Q92"/>
      <c r="R92"/>
      <c r="S92"/>
      <c r="T92"/>
      <c r="U92"/>
      <c r="V92"/>
      <c r="W92"/>
      <c r="X92"/>
      <c r="Y92"/>
      <c r="Z92"/>
      <c r="AA92"/>
      <c r="AB92"/>
      <c r="AC92"/>
      <c r="AD92"/>
      <c r="AE92"/>
      <c r="AF92"/>
      <c r="AY92" s="465"/>
    </row>
    <row r="93" spans="1:51" x14ac:dyDescent="0.25">
      <c r="A93" s="622" t="s">
        <v>20</v>
      </c>
      <c r="B93" s="406">
        <v>0.34</v>
      </c>
      <c r="C93" s="19">
        <v>0.24</v>
      </c>
      <c r="D93" s="19">
        <v>0.34</v>
      </c>
      <c r="E93" s="19">
        <v>0.34</v>
      </c>
      <c r="F93" s="19">
        <v>0.39</v>
      </c>
      <c r="G93" s="19">
        <v>0.33</v>
      </c>
      <c r="H93" s="19">
        <v>0.25</v>
      </c>
      <c r="I93" s="19">
        <f>I100/I103</f>
        <v>0.28668208535357781</v>
      </c>
      <c r="J93" s="626">
        <f>J100/J103</f>
        <v>0.28668208535357781</v>
      </c>
      <c r="K93"/>
      <c r="L93"/>
      <c r="M93"/>
      <c r="N93"/>
      <c r="O93"/>
      <c r="P93"/>
      <c r="Q93"/>
      <c r="R93"/>
      <c r="S93"/>
      <c r="T93"/>
      <c r="U93"/>
      <c r="V93"/>
      <c r="W93"/>
      <c r="X93"/>
      <c r="Y93"/>
      <c r="Z93"/>
      <c r="AA93"/>
      <c r="AB93"/>
      <c r="AC93"/>
      <c r="AD93"/>
      <c r="AE93"/>
      <c r="AF93"/>
      <c r="AY93" s="465"/>
    </row>
    <row r="94" spans="1:51" x14ac:dyDescent="0.25">
      <c r="A94" s="622" t="s">
        <v>21</v>
      </c>
      <c r="B94" s="406">
        <v>0.05</v>
      </c>
      <c r="C94" s="19">
        <v>0.06</v>
      </c>
      <c r="D94" s="19">
        <v>0.04</v>
      </c>
      <c r="E94" s="19">
        <v>0.05</v>
      </c>
      <c r="F94" s="19">
        <v>0.04</v>
      </c>
      <c r="G94" s="19">
        <v>7.0000000000000007E-2</v>
      </c>
      <c r="H94" s="19">
        <v>0.01</v>
      </c>
      <c r="I94" s="19">
        <f>I101/I103</f>
        <v>4.9612784569510932E-2</v>
      </c>
      <c r="J94" s="626">
        <f>J101/J103</f>
        <v>4.9612784569510932E-2</v>
      </c>
      <c r="K94"/>
      <c r="L94"/>
      <c r="M94"/>
      <c r="N94"/>
      <c r="O94"/>
      <c r="P94"/>
      <c r="Q94"/>
      <c r="R94"/>
      <c r="S94"/>
      <c r="T94"/>
      <c r="U94"/>
      <c r="V94"/>
      <c r="W94"/>
      <c r="X94"/>
      <c r="Y94"/>
      <c r="Z94"/>
      <c r="AA94"/>
      <c r="AB94"/>
      <c r="AC94"/>
      <c r="AD94"/>
      <c r="AE94"/>
      <c r="AF94"/>
      <c r="AY94" s="465"/>
    </row>
    <row r="95" spans="1:51" x14ac:dyDescent="0.25">
      <c r="A95" s="622" t="s">
        <v>22</v>
      </c>
      <c r="B95" s="406">
        <v>0</v>
      </c>
      <c r="C95" s="19">
        <v>0.05</v>
      </c>
      <c r="D95" s="19">
        <v>0</v>
      </c>
      <c r="E95" s="19">
        <v>0</v>
      </c>
      <c r="F95" s="19">
        <v>0</v>
      </c>
      <c r="G95" s="19">
        <v>0</v>
      </c>
      <c r="H95" s="19">
        <v>0</v>
      </c>
      <c r="I95" s="19">
        <f>I102/I103</f>
        <v>2.2567526307372375E-2</v>
      </c>
      <c r="J95" s="626">
        <f>J102/J103</f>
        <v>2.2567526307372372E-2</v>
      </c>
      <c r="K95"/>
      <c r="L95"/>
      <c r="M95"/>
      <c r="N95"/>
      <c r="O95"/>
      <c r="P95"/>
      <c r="Q95"/>
      <c r="R95"/>
      <c r="S95"/>
      <c r="T95"/>
      <c r="U95"/>
      <c r="V95"/>
      <c r="W95"/>
      <c r="X95"/>
      <c r="Y95"/>
      <c r="Z95"/>
      <c r="AA95"/>
      <c r="AB95"/>
      <c r="AC95"/>
      <c r="AD95"/>
      <c r="AE95"/>
      <c r="AF95"/>
      <c r="AY95" s="465"/>
    </row>
    <row r="96" spans="1:51" x14ac:dyDescent="0.25">
      <c r="A96" s="627" t="s">
        <v>23</v>
      </c>
      <c r="B96" s="409">
        <f t="shared" ref="B96:J96" si="36">B107/B90</f>
        <v>36235.000000000007</v>
      </c>
      <c r="C96" s="131">
        <f t="shared" si="36"/>
        <v>396067.54204999999</v>
      </c>
      <c r="D96" s="131">
        <f t="shared" si="36"/>
        <v>42817.142857142855</v>
      </c>
      <c r="E96" s="131">
        <f t="shared" si="36"/>
        <v>35215.217391304352</v>
      </c>
      <c r="F96" s="131">
        <f t="shared" si="36"/>
        <v>33208.571428571435</v>
      </c>
      <c r="G96" s="131">
        <f t="shared" si="36"/>
        <v>37011</v>
      </c>
      <c r="H96" s="131">
        <f t="shared" si="36"/>
        <v>39663.207547169812</v>
      </c>
      <c r="I96" s="131">
        <f t="shared" si="36"/>
        <v>61711.985658620695</v>
      </c>
      <c r="J96" s="628">
        <f t="shared" si="36"/>
        <v>61711.985658620688</v>
      </c>
      <c r="K96"/>
      <c r="L96"/>
      <c r="M96"/>
      <c r="N96"/>
      <c r="O96"/>
      <c r="P96"/>
      <c r="Q96"/>
      <c r="R96"/>
      <c r="S96"/>
      <c r="T96"/>
      <c r="U96"/>
      <c r="V96"/>
      <c r="W96"/>
      <c r="X96"/>
      <c r="Y96"/>
      <c r="Z96"/>
      <c r="AA96"/>
      <c r="AB96"/>
      <c r="AC96"/>
      <c r="AD96"/>
      <c r="AE96"/>
      <c r="AF96"/>
      <c r="AY96" s="465"/>
    </row>
    <row r="97" spans="1:51" x14ac:dyDescent="0.25">
      <c r="A97" s="627" t="s">
        <v>24</v>
      </c>
      <c r="B97" s="409">
        <f t="shared" ref="B97:J97" si="37">B107/B84</f>
        <v>26352.727272727276</v>
      </c>
      <c r="C97" s="131">
        <f t="shared" si="37"/>
        <v>316854.03363999998</v>
      </c>
      <c r="D97" s="131">
        <f t="shared" si="37"/>
        <v>33302.222222222219</v>
      </c>
      <c r="E97" s="131">
        <f t="shared" si="37"/>
        <v>28926.785714285717</v>
      </c>
      <c r="F97" s="131">
        <f t="shared" si="37"/>
        <v>27241.406250000004</v>
      </c>
      <c r="G97" s="131">
        <f t="shared" si="37"/>
        <v>26064.084507042255</v>
      </c>
      <c r="H97" s="131">
        <f t="shared" si="37"/>
        <v>29196.527777777777</v>
      </c>
      <c r="I97" s="131">
        <f t="shared" si="37"/>
        <v>46941.575976393447</v>
      </c>
      <c r="J97" s="628">
        <f t="shared" si="37"/>
        <v>46941.575976393447</v>
      </c>
      <c r="K97"/>
      <c r="L97"/>
      <c r="M97"/>
      <c r="N97"/>
      <c r="O97"/>
      <c r="P97"/>
      <c r="Q97"/>
      <c r="R97"/>
      <c r="S97"/>
      <c r="T97"/>
      <c r="U97"/>
      <c r="V97"/>
      <c r="W97"/>
      <c r="X97"/>
      <c r="Y97"/>
      <c r="Z97"/>
      <c r="AA97"/>
      <c r="AB97"/>
      <c r="AC97"/>
      <c r="AD97"/>
      <c r="AE97"/>
      <c r="AF97"/>
      <c r="AY97" s="465"/>
    </row>
    <row r="98" spans="1:51" x14ac:dyDescent="0.25">
      <c r="A98" s="622" t="s">
        <v>25</v>
      </c>
      <c r="B98" s="255">
        <f t="shared" ref="B98:H98" si="38">B103*B91</f>
        <v>714308.72758620698</v>
      </c>
      <c r="C98" s="133">
        <f t="shared" si="38"/>
        <v>6970573.5424000006</v>
      </c>
      <c r="D98" s="133">
        <f t="shared" si="38"/>
        <v>779598.26206896559</v>
      </c>
      <c r="E98" s="133">
        <f t="shared" si="38"/>
        <v>751850.68965517252</v>
      </c>
      <c r="F98" s="133">
        <f t="shared" si="38"/>
        <v>1619370.6344827591</v>
      </c>
      <c r="G98" s="133">
        <f t="shared" si="38"/>
        <v>1785555.2</v>
      </c>
      <c r="H98" s="133">
        <f t="shared" si="38"/>
        <v>2524676.9327586209</v>
      </c>
      <c r="I98" s="133">
        <f>SUM(B98:H98)</f>
        <v>15145933.988951724</v>
      </c>
      <c r="J98" s="629">
        <f t="shared" ref="J98:J103" si="39">+$I98/7</f>
        <v>2163704.8555645319</v>
      </c>
      <c r="K98"/>
      <c r="L98"/>
      <c r="M98"/>
      <c r="N98"/>
      <c r="O98"/>
      <c r="P98"/>
      <c r="Q98"/>
      <c r="R98"/>
      <c r="S98"/>
      <c r="T98"/>
      <c r="U98"/>
      <c r="V98"/>
      <c r="W98"/>
      <c r="X98"/>
      <c r="Y98"/>
      <c r="Z98"/>
      <c r="AA98"/>
      <c r="AB98"/>
      <c r="AC98"/>
      <c r="AD98"/>
      <c r="AE98"/>
      <c r="AF98"/>
      <c r="AY98" s="465"/>
    </row>
    <row r="99" spans="1:51" x14ac:dyDescent="0.25">
      <c r="A99" s="622" t="s">
        <v>26</v>
      </c>
      <c r="B99" s="255">
        <f t="shared" ref="B99:H99" si="40">B103*B92</f>
        <v>24213.855172413798</v>
      </c>
      <c r="C99" s="133">
        <f t="shared" si="40"/>
        <v>108915.21160000001</v>
      </c>
      <c r="D99" s="133">
        <f t="shared" si="40"/>
        <v>0</v>
      </c>
      <c r="E99" s="133">
        <f t="shared" si="40"/>
        <v>67129.525862068971</v>
      </c>
      <c r="F99" s="133">
        <f t="shared" si="40"/>
        <v>28917.332758620694</v>
      </c>
      <c r="G99" s="133">
        <f t="shared" si="40"/>
        <v>61570.868965517249</v>
      </c>
      <c r="H99" s="133">
        <f t="shared" si="40"/>
        <v>34584.615517241386</v>
      </c>
      <c r="I99" s="133">
        <f>SUM(B99:H99)</f>
        <v>325331.40987586207</v>
      </c>
      <c r="J99" s="629">
        <f t="shared" si="39"/>
        <v>46475.915696551725</v>
      </c>
      <c r="K99"/>
      <c r="L99"/>
      <c r="M99"/>
      <c r="N99"/>
      <c r="O99"/>
      <c r="P99"/>
      <c r="Q99"/>
      <c r="R99"/>
      <c r="S99"/>
      <c r="T99"/>
      <c r="U99"/>
      <c r="V99"/>
      <c r="W99"/>
      <c r="X99"/>
      <c r="Y99"/>
      <c r="Z99"/>
      <c r="AA99"/>
      <c r="AB99"/>
      <c r="AC99"/>
      <c r="AD99"/>
      <c r="AE99"/>
      <c r="AF99"/>
      <c r="AY99" s="465"/>
    </row>
    <row r="100" spans="1:51" x14ac:dyDescent="0.25">
      <c r="A100" s="622" t="s">
        <v>27</v>
      </c>
      <c r="B100" s="255">
        <f t="shared" ref="B100:H100" si="41">B103*B93</f>
        <v>411635.53793103457</v>
      </c>
      <c r="C100" s="133">
        <f t="shared" si="41"/>
        <v>2613965.0784</v>
      </c>
      <c r="D100" s="133">
        <f t="shared" si="41"/>
        <v>427521.62758620695</v>
      </c>
      <c r="E100" s="133">
        <f t="shared" si="41"/>
        <v>456480.77586206904</v>
      </c>
      <c r="F100" s="133">
        <f t="shared" si="41"/>
        <v>1127775.977586207</v>
      </c>
      <c r="G100" s="133">
        <f t="shared" si="41"/>
        <v>1015919.3379310346</v>
      </c>
      <c r="H100" s="133">
        <f t="shared" si="41"/>
        <v>864615.38793103455</v>
      </c>
      <c r="I100" s="133">
        <f>SUM(B100:H100)</f>
        <v>6917913.7232275875</v>
      </c>
      <c r="J100" s="629">
        <f t="shared" si="39"/>
        <v>988273.38903251255</v>
      </c>
      <c r="K100"/>
      <c r="L100"/>
      <c r="M100"/>
      <c r="N100"/>
      <c r="O100"/>
      <c r="P100"/>
      <c r="Q100"/>
      <c r="R100"/>
      <c r="S100"/>
      <c r="T100"/>
      <c r="U100"/>
      <c r="V100"/>
      <c r="W100"/>
      <c r="X100"/>
      <c r="Y100"/>
      <c r="Z100"/>
      <c r="AA100"/>
      <c r="AB100"/>
      <c r="AC100"/>
      <c r="AD100"/>
      <c r="AE100"/>
      <c r="AF100"/>
      <c r="AY100" s="465"/>
    </row>
    <row r="101" spans="1:51" x14ac:dyDescent="0.25">
      <c r="A101" s="622" t="s">
        <v>28</v>
      </c>
      <c r="B101" s="255">
        <f t="shared" ref="B101:H101" si="42">B103*B94</f>
        <v>60534.637931034493</v>
      </c>
      <c r="C101" s="133">
        <f t="shared" si="42"/>
        <v>653491.2696</v>
      </c>
      <c r="D101" s="133">
        <f t="shared" si="42"/>
        <v>50296.662068965517</v>
      </c>
      <c r="E101" s="133">
        <f t="shared" si="42"/>
        <v>67129.525862068971</v>
      </c>
      <c r="F101" s="133">
        <f t="shared" si="42"/>
        <v>115669.33103448278</v>
      </c>
      <c r="G101" s="133">
        <f t="shared" si="42"/>
        <v>215498.04137931037</v>
      </c>
      <c r="H101" s="133">
        <f t="shared" si="42"/>
        <v>34584.615517241386</v>
      </c>
      <c r="I101" s="133">
        <f>SUM(B101:H101)</f>
        <v>1197204.0833931034</v>
      </c>
      <c r="J101" s="629">
        <f t="shared" si="39"/>
        <v>171029.15477044336</v>
      </c>
      <c r="K101"/>
      <c r="L101"/>
      <c r="M101"/>
      <c r="N101"/>
      <c r="O101"/>
      <c r="P101"/>
      <c r="Q101"/>
      <c r="R101"/>
      <c r="S101"/>
      <c r="T101"/>
      <c r="U101"/>
      <c r="V101"/>
      <c r="W101"/>
      <c r="X101"/>
      <c r="Y101"/>
      <c r="Z101"/>
      <c r="AA101"/>
      <c r="AB101"/>
      <c r="AC101"/>
      <c r="AD101"/>
      <c r="AE101"/>
      <c r="AF101"/>
      <c r="AY101" s="465"/>
    </row>
    <row r="102" spans="1:51" x14ac:dyDescent="0.25">
      <c r="A102" s="622" t="s">
        <v>29</v>
      </c>
      <c r="B102" s="255">
        <f t="shared" ref="B102:H102" si="43">B103*B95</f>
        <v>0</v>
      </c>
      <c r="C102" s="133">
        <f t="shared" si="43"/>
        <v>544576.05800000008</v>
      </c>
      <c r="D102" s="133">
        <f t="shared" si="43"/>
        <v>0</v>
      </c>
      <c r="E102" s="133">
        <f t="shared" si="43"/>
        <v>0</v>
      </c>
      <c r="F102" s="133">
        <f t="shared" si="43"/>
        <v>0</v>
      </c>
      <c r="G102" s="133">
        <f t="shared" si="43"/>
        <v>0</v>
      </c>
      <c r="H102" s="133">
        <f t="shared" si="43"/>
        <v>0</v>
      </c>
      <c r="I102" s="133">
        <f>SUM(B102:H102)</f>
        <v>544576.05800000008</v>
      </c>
      <c r="J102" s="629">
        <f t="shared" si="39"/>
        <v>77796.579714285719</v>
      </c>
      <c r="K102"/>
      <c r="L102"/>
      <c r="M102"/>
      <c r="N102"/>
      <c r="O102"/>
      <c r="P102"/>
      <c r="Q102"/>
      <c r="R102"/>
      <c r="S102"/>
      <c r="T102"/>
      <c r="U102"/>
      <c r="V102"/>
      <c r="W102"/>
      <c r="X102"/>
      <c r="Y102"/>
      <c r="Z102"/>
      <c r="AA102"/>
      <c r="AB102"/>
      <c r="AC102"/>
      <c r="AD102"/>
      <c r="AE102"/>
      <c r="AF102"/>
      <c r="AY102" s="465"/>
    </row>
    <row r="103" spans="1:51" x14ac:dyDescent="0.25">
      <c r="A103" s="630" t="s">
        <v>30</v>
      </c>
      <c r="B103" s="410">
        <f>(1449400/1.16)-B104</f>
        <v>1210692.7586206899</v>
      </c>
      <c r="C103" s="410">
        <f>(10926001.16)-C104</f>
        <v>10891521.16</v>
      </c>
      <c r="D103" s="410">
        <f>(1498600/1.16)-D104</f>
        <v>1257416.551724138</v>
      </c>
      <c r="E103" s="410">
        <f>(1619900/1.16)-E104</f>
        <v>1342590.5172413795</v>
      </c>
      <c r="F103" s="410">
        <f>(3486900/1.16)-F104</f>
        <v>2891733.2758620693</v>
      </c>
      <c r="G103" s="410">
        <f>(3701100/1.16)-G104</f>
        <v>3078543.4482758623</v>
      </c>
      <c r="H103" s="410">
        <f>(4204300/1.16)-H104</f>
        <v>3458461.5517241382</v>
      </c>
      <c r="I103" s="136">
        <f>SUM(I98:I102)</f>
        <v>24130959.263448276</v>
      </c>
      <c r="J103" s="631">
        <f t="shared" si="39"/>
        <v>3447279.8947783252</v>
      </c>
      <c r="K103"/>
      <c r="L103"/>
      <c r="M103"/>
      <c r="N103"/>
      <c r="O103"/>
      <c r="P103"/>
      <c r="Q103"/>
      <c r="R103"/>
      <c r="S103"/>
      <c r="T103"/>
      <c r="U103"/>
      <c r="V103"/>
      <c r="W103"/>
      <c r="X103"/>
      <c r="Y103"/>
      <c r="Z103"/>
      <c r="AA103"/>
      <c r="AB103"/>
      <c r="AC103"/>
      <c r="AD103"/>
      <c r="AE103"/>
      <c r="AF103"/>
      <c r="AY103" s="465"/>
    </row>
    <row r="104" spans="1:51" x14ac:dyDescent="0.25">
      <c r="A104" s="622" t="s">
        <v>31</v>
      </c>
      <c r="B104" s="263">
        <f t="shared" ref="B104:H104" si="44">2155*B85</f>
        <v>38790</v>
      </c>
      <c r="C104" s="139">
        <f t="shared" si="44"/>
        <v>34480</v>
      </c>
      <c r="D104" s="139">
        <f t="shared" si="44"/>
        <v>34480</v>
      </c>
      <c r="E104" s="139">
        <f t="shared" si="44"/>
        <v>53875</v>
      </c>
      <c r="F104" s="139">
        <f t="shared" si="44"/>
        <v>114215</v>
      </c>
      <c r="G104" s="139">
        <f t="shared" si="44"/>
        <v>112060</v>
      </c>
      <c r="H104" s="139">
        <f t="shared" si="44"/>
        <v>165935</v>
      </c>
      <c r="I104" s="139">
        <f>I85*2155</f>
        <v>553835</v>
      </c>
      <c r="J104" s="632">
        <f>2155*J85</f>
        <v>79119.28571428571</v>
      </c>
      <c r="K104"/>
      <c r="L104"/>
      <c r="M104"/>
      <c r="N104"/>
      <c r="O104"/>
      <c r="P104"/>
      <c r="Q104"/>
      <c r="R104"/>
      <c r="S104"/>
      <c r="T104"/>
      <c r="U104"/>
      <c r="V104"/>
      <c r="W104"/>
      <c r="X104"/>
      <c r="Y104"/>
      <c r="Z104"/>
      <c r="AA104"/>
      <c r="AB104"/>
      <c r="AC104"/>
      <c r="AD104"/>
      <c r="AE104"/>
      <c r="AF104"/>
      <c r="AY104" s="465"/>
    </row>
    <row r="105" spans="1:51" x14ac:dyDescent="0.25">
      <c r="A105" s="633" t="s">
        <v>32</v>
      </c>
      <c r="B105" s="411">
        <f t="shared" ref="B105:J105" si="45">B103+B104</f>
        <v>1249482.7586206899</v>
      </c>
      <c r="C105" s="40">
        <f t="shared" si="45"/>
        <v>10926001.16</v>
      </c>
      <c r="D105" s="40">
        <f t="shared" si="45"/>
        <v>1291896.551724138</v>
      </c>
      <c r="E105" s="40">
        <f t="shared" si="45"/>
        <v>1396465.5172413795</v>
      </c>
      <c r="F105" s="40">
        <f t="shared" si="45"/>
        <v>3005948.2758620693</v>
      </c>
      <c r="G105" s="40">
        <f t="shared" si="45"/>
        <v>3190603.4482758623</v>
      </c>
      <c r="H105" s="40">
        <f t="shared" si="45"/>
        <v>3624396.5517241382</v>
      </c>
      <c r="I105" s="40">
        <f t="shared" si="45"/>
        <v>24684794.263448276</v>
      </c>
      <c r="J105" s="634">
        <f t="shared" si="45"/>
        <v>3526399.1804926111</v>
      </c>
      <c r="K105"/>
      <c r="L105"/>
      <c r="M105"/>
      <c r="N105"/>
      <c r="O105"/>
      <c r="P105"/>
      <c r="Q105"/>
      <c r="R105"/>
      <c r="S105"/>
      <c r="T105"/>
      <c r="U105"/>
      <c r="V105"/>
      <c r="W105"/>
      <c r="X105"/>
      <c r="Y105"/>
      <c r="Z105"/>
      <c r="AA105"/>
      <c r="AB105"/>
      <c r="AC105"/>
      <c r="AD105"/>
      <c r="AE105"/>
      <c r="AF105"/>
      <c r="AY105" s="465"/>
    </row>
    <row r="106" spans="1:51" x14ac:dyDescent="0.25">
      <c r="A106" s="622" t="s">
        <v>33</v>
      </c>
      <c r="B106" s="413">
        <f t="shared" ref="B106:J106" si="46">B105*16%</f>
        <v>199917.24137931038</v>
      </c>
      <c r="C106" s="42">
        <f t="shared" si="46"/>
        <v>1748160.1856</v>
      </c>
      <c r="D106" s="42">
        <f t="shared" si="46"/>
        <v>206703.44827586209</v>
      </c>
      <c r="E106" s="42">
        <f t="shared" si="46"/>
        <v>223434.48275862072</v>
      </c>
      <c r="F106" s="42">
        <f t="shared" si="46"/>
        <v>480951.72413793113</v>
      </c>
      <c r="G106" s="42">
        <f t="shared" si="46"/>
        <v>510496.55172413797</v>
      </c>
      <c r="H106" s="42">
        <f t="shared" si="46"/>
        <v>579903.44827586215</v>
      </c>
      <c r="I106" s="42">
        <f t="shared" si="46"/>
        <v>3949567.082151724</v>
      </c>
      <c r="J106" s="635">
        <f t="shared" si="46"/>
        <v>564223.86887881777</v>
      </c>
      <c r="K106"/>
      <c r="L106"/>
      <c r="M106"/>
      <c r="N106"/>
      <c r="O106"/>
      <c r="P106"/>
      <c r="Q106"/>
      <c r="R106"/>
      <c r="S106"/>
      <c r="T106"/>
      <c r="U106"/>
      <c r="V106"/>
      <c r="W106"/>
      <c r="X106"/>
      <c r="Y106"/>
      <c r="Z106"/>
      <c r="AA106"/>
      <c r="AB106"/>
      <c r="AC106"/>
      <c r="AD106"/>
      <c r="AE106"/>
      <c r="AF106"/>
      <c r="AY106" s="465"/>
    </row>
    <row r="107" spans="1:51" ht="15.75" thickBot="1" x14ac:dyDescent="0.3">
      <c r="A107" s="636" t="s">
        <v>34</v>
      </c>
      <c r="B107" s="637">
        <f t="shared" ref="B107:I107" si="47">B105+B106</f>
        <v>1449400.0000000002</v>
      </c>
      <c r="C107" s="638">
        <f t="shared" si="47"/>
        <v>12674161.3456</v>
      </c>
      <c r="D107" s="638">
        <f t="shared" si="47"/>
        <v>1498600</v>
      </c>
      <c r="E107" s="638">
        <f t="shared" si="47"/>
        <v>1619900.0000000002</v>
      </c>
      <c r="F107" s="638">
        <f t="shared" si="47"/>
        <v>3486900.0000000005</v>
      </c>
      <c r="G107" s="638">
        <f t="shared" si="47"/>
        <v>3701100</v>
      </c>
      <c r="H107" s="638">
        <f t="shared" si="47"/>
        <v>4204300</v>
      </c>
      <c r="I107" s="638">
        <f t="shared" si="47"/>
        <v>28634361.345600002</v>
      </c>
      <c r="J107" s="639">
        <f>+$I107/7</f>
        <v>4090623.0493714288</v>
      </c>
      <c r="K107"/>
      <c r="L107"/>
      <c r="M107"/>
      <c r="N107"/>
      <c r="O107"/>
      <c r="P107"/>
      <c r="Q107"/>
      <c r="R107"/>
      <c r="S107"/>
      <c r="T107"/>
      <c r="U107"/>
      <c r="V107"/>
      <c r="W107"/>
      <c r="X107"/>
      <c r="Y107"/>
      <c r="Z107"/>
      <c r="AA107"/>
      <c r="AB107"/>
      <c r="AC107"/>
      <c r="AD107"/>
      <c r="AE107"/>
      <c r="AF107"/>
      <c r="AY107" s="465"/>
    </row>
    <row r="108" spans="1:51" ht="15.75" thickBot="1" x14ac:dyDescent="0.3">
      <c r="K108"/>
      <c r="L108"/>
      <c r="M108"/>
      <c r="N108"/>
      <c r="O108"/>
      <c r="P108"/>
      <c r="Q108"/>
      <c r="R108"/>
      <c r="S108"/>
      <c r="T108"/>
      <c r="U108"/>
      <c r="V108"/>
      <c r="W108"/>
      <c r="X108"/>
      <c r="Y108"/>
      <c r="Z108"/>
      <c r="AA108"/>
      <c r="AB108"/>
      <c r="AC108"/>
      <c r="AD108"/>
      <c r="AE108"/>
      <c r="AF108"/>
      <c r="AY108" s="465"/>
    </row>
    <row r="109" spans="1:51" ht="27" thickBot="1" x14ac:dyDescent="0.3">
      <c r="A109" s="85"/>
      <c r="B109" s="1002" t="s">
        <v>357</v>
      </c>
      <c r="C109" s="1002"/>
      <c r="D109" s="1002"/>
      <c r="E109" s="1002"/>
      <c r="F109" s="1002"/>
      <c r="G109" s="1002"/>
      <c r="H109" s="1002"/>
      <c r="I109" s="1002"/>
      <c r="J109" s="85"/>
      <c r="K109"/>
      <c r="L109"/>
      <c r="M109"/>
      <c r="N109"/>
      <c r="O109"/>
      <c r="P109"/>
      <c r="Q109"/>
      <c r="R109"/>
      <c r="S109"/>
      <c r="T109"/>
      <c r="U109"/>
      <c r="V109"/>
      <c r="W109"/>
      <c r="X109"/>
      <c r="Y109"/>
      <c r="Z109"/>
      <c r="AA109"/>
      <c r="AB109"/>
      <c r="AC109"/>
      <c r="AD109"/>
      <c r="AE109"/>
      <c r="AF109"/>
      <c r="AY109" s="465"/>
    </row>
    <row r="110" spans="1:51" ht="15.75" x14ac:dyDescent="0.25">
      <c r="A110" s="614" t="s">
        <v>2</v>
      </c>
      <c r="B110" s="615" t="s">
        <v>345</v>
      </c>
      <c r="C110" s="616" t="s">
        <v>346</v>
      </c>
      <c r="D110" s="617" t="s">
        <v>347</v>
      </c>
      <c r="E110" s="616" t="s">
        <v>348</v>
      </c>
      <c r="F110" s="616" t="s">
        <v>349</v>
      </c>
      <c r="G110" s="617" t="s">
        <v>350</v>
      </c>
      <c r="H110" s="617" t="s">
        <v>351</v>
      </c>
      <c r="I110" s="618" t="s">
        <v>10</v>
      </c>
      <c r="J110" s="619" t="s">
        <v>77</v>
      </c>
      <c r="K110"/>
      <c r="L110"/>
      <c r="M110"/>
      <c r="N110"/>
      <c r="O110"/>
      <c r="P110"/>
      <c r="Q110"/>
      <c r="R110"/>
      <c r="S110"/>
      <c r="T110"/>
      <c r="U110"/>
      <c r="V110"/>
      <c r="W110"/>
      <c r="X110"/>
      <c r="Y110"/>
      <c r="Z110"/>
      <c r="AA110"/>
      <c r="AB110"/>
      <c r="AC110"/>
      <c r="AD110"/>
      <c r="AE110"/>
      <c r="AF110"/>
      <c r="AY110" s="465"/>
    </row>
    <row r="111" spans="1:51" x14ac:dyDescent="0.25">
      <c r="A111" s="620" t="s">
        <v>11</v>
      </c>
      <c r="B111" s="431">
        <f>27+7</f>
        <v>34</v>
      </c>
      <c r="C111" s="432">
        <f>32+9+2</f>
        <v>43</v>
      </c>
      <c r="D111" s="505">
        <f>38+9+3</f>
        <v>50</v>
      </c>
      <c r="E111" s="432">
        <f>20+16+4</f>
        <v>40</v>
      </c>
      <c r="F111" s="432">
        <f>84+30+18</f>
        <v>132</v>
      </c>
      <c r="G111" s="432">
        <f>89+60+17</f>
        <v>166</v>
      </c>
      <c r="H111" s="432">
        <f>102+49+25</f>
        <v>176</v>
      </c>
      <c r="I111" s="432">
        <f t="shared" ref="I111:I116" si="48">SUM(B111:H111)</f>
        <v>641</v>
      </c>
      <c r="J111" s="621">
        <f t="shared" ref="J111:J117" si="49">+$I111/7</f>
        <v>91.571428571428569</v>
      </c>
      <c r="K111"/>
      <c r="L111"/>
      <c r="M111"/>
      <c r="N111"/>
      <c r="O111"/>
      <c r="P111"/>
      <c r="Q111"/>
      <c r="R111"/>
      <c r="S111"/>
      <c r="T111"/>
      <c r="U111"/>
      <c r="V111"/>
      <c r="W111"/>
      <c r="X111"/>
      <c r="Y111"/>
      <c r="Z111"/>
      <c r="AA111"/>
      <c r="AB111"/>
      <c r="AC111"/>
      <c r="AD111"/>
      <c r="AE111"/>
      <c r="AF111"/>
      <c r="AY111" s="465"/>
    </row>
    <row r="112" spans="1:51" x14ac:dyDescent="0.25">
      <c r="A112" s="622" t="s">
        <v>12</v>
      </c>
      <c r="B112" s="233">
        <v>16</v>
      </c>
      <c r="C112" s="13">
        <v>18</v>
      </c>
      <c r="D112" s="13">
        <v>24</v>
      </c>
      <c r="E112" s="13">
        <v>20</v>
      </c>
      <c r="F112" s="13">
        <v>54</v>
      </c>
      <c r="G112" s="13">
        <v>83</v>
      </c>
      <c r="H112" s="13">
        <v>82</v>
      </c>
      <c r="I112" s="13">
        <f t="shared" si="48"/>
        <v>297</v>
      </c>
      <c r="J112" s="623">
        <f t="shared" si="49"/>
        <v>42.428571428571431</v>
      </c>
      <c r="K112"/>
      <c r="L112"/>
      <c r="M112"/>
      <c r="N112"/>
      <c r="O112"/>
      <c r="P112"/>
      <c r="Q112"/>
      <c r="R112"/>
      <c r="S112"/>
      <c r="T112"/>
      <c r="U112"/>
      <c r="V112"/>
      <c r="W112"/>
      <c r="X112"/>
      <c r="Y112"/>
      <c r="Z112"/>
      <c r="AA112"/>
      <c r="AB112"/>
      <c r="AC112"/>
      <c r="AD112"/>
      <c r="AE112"/>
      <c r="AF112"/>
      <c r="AY112" s="465"/>
    </row>
    <row r="113" spans="1:51" x14ac:dyDescent="0.25">
      <c r="A113" s="622" t="s">
        <v>13</v>
      </c>
      <c r="B113" s="233">
        <v>2</v>
      </c>
      <c r="C113" s="13">
        <v>0</v>
      </c>
      <c r="D113" s="13">
        <v>0</v>
      </c>
      <c r="E113" s="13">
        <v>0</v>
      </c>
      <c r="F113" s="13">
        <v>1</v>
      </c>
      <c r="G113" s="13">
        <v>2</v>
      </c>
      <c r="H113" s="13">
        <v>1</v>
      </c>
      <c r="I113" s="13">
        <f t="shared" si="48"/>
        <v>6</v>
      </c>
      <c r="J113" s="623">
        <f t="shared" si="49"/>
        <v>0.8571428571428571</v>
      </c>
      <c r="K113"/>
      <c r="L113"/>
      <c r="M113"/>
      <c r="N113"/>
      <c r="O113"/>
      <c r="P113"/>
      <c r="Q113"/>
      <c r="R113"/>
      <c r="S113"/>
      <c r="T113"/>
      <c r="U113"/>
      <c r="V113"/>
      <c r="W113"/>
      <c r="X113"/>
      <c r="Y113"/>
      <c r="Z113"/>
      <c r="AA113"/>
      <c r="AB113"/>
      <c r="AC113"/>
      <c r="AD113"/>
      <c r="AE113"/>
      <c r="AF113"/>
      <c r="AY113" s="465"/>
    </row>
    <row r="114" spans="1:51" x14ac:dyDescent="0.25">
      <c r="A114" s="622" t="s">
        <v>14</v>
      </c>
      <c r="B114" s="233">
        <v>14</v>
      </c>
      <c r="C114" s="13">
        <v>10</v>
      </c>
      <c r="D114" s="13">
        <v>19</v>
      </c>
      <c r="E114" s="13">
        <v>15</v>
      </c>
      <c r="F114" s="13">
        <v>37</v>
      </c>
      <c r="G114" s="13">
        <v>41</v>
      </c>
      <c r="H114" s="13">
        <v>40</v>
      </c>
      <c r="I114" s="13">
        <f t="shared" si="48"/>
        <v>176</v>
      </c>
      <c r="J114" s="623">
        <f t="shared" si="49"/>
        <v>25.142857142857142</v>
      </c>
      <c r="K114"/>
      <c r="L114"/>
      <c r="M114"/>
      <c r="N114"/>
      <c r="O114"/>
      <c r="P114"/>
      <c r="Q114"/>
      <c r="R114"/>
      <c r="S114"/>
      <c r="T114"/>
      <c r="U114"/>
      <c r="V114"/>
      <c r="W114"/>
      <c r="X114"/>
      <c r="Y114"/>
      <c r="Z114"/>
      <c r="AA114"/>
      <c r="AB114"/>
      <c r="AC114"/>
      <c r="AD114"/>
      <c r="AE114"/>
      <c r="AF114"/>
      <c r="AY114" s="465"/>
    </row>
    <row r="115" spans="1:51" x14ac:dyDescent="0.25">
      <c r="A115" s="622" t="s">
        <v>15</v>
      </c>
      <c r="B115" s="233">
        <v>2</v>
      </c>
      <c r="C115" s="13">
        <v>3</v>
      </c>
      <c r="D115" s="13">
        <v>2</v>
      </c>
      <c r="E115" s="13">
        <v>1</v>
      </c>
      <c r="F115" s="13">
        <v>8</v>
      </c>
      <c r="G115" s="13">
        <v>3</v>
      </c>
      <c r="H115" s="13">
        <v>8</v>
      </c>
      <c r="I115" s="13">
        <f t="shared" si="48"/>
        <v>27</v>
      </c>
      <c r="J115" s="623">
        <f t="shared" si="49"/>
        <v>3.8571428571428572</v>
      </c>
      <c r="K115"/>
      <c r="L115"/>
      <c r="M115"/>
      <c r="N115"/>
      <c r="O115"/>
      <c r="P115"/>
      <c r="Q115"/>
      <c r="R115"/>
      <c r="S115"/>
      <c r="T115"/>
      <c r="U115"/>
      <c r="V115"/>
      <c r="W115"/>
      <c r="X115"/>
      <c r="Y115"/>
      <c r="Z115"/>
      <c r="AA115"/>
      <c r="AB115"/>
      <c r="AC115"/>
      <c r="AD115"/>
      <c r="AE115"/>
      <c r="AF115"/>
      <c r="AY115" s="465"/>
    </row>
    <row r="116" spans="1:51" x14ac:dyDescent="0.25">
      <c r="A116" s="622" t="s">
        <v>16</v>
      </c>
      <c r="B116" s="233">
        <v>0</v>
      </c>
      <c r="C116" s="13">
        <v>0</v>
      </c>
      <c r="D116" s="13">
        <v>0</v>
      </c>
      <c r="E116" s="13">
        <v>0</v>
      </c>
      <c r="F116" s="13">
        <v>0</v>
      </c>
      <c r="G116" s="13">
        <v>1</v>
      </c>
      <c r="H116" s="13">
        <v>0</v>
      </c>
      <c r="I116" s="13">
        <f t="shared" si="48"/>
        <v>1</v>
      </c>
      <c r="J116" s="623">
        <f t="shared" si="49"/>
        <v>0.14285714285714285</v>
      </c>
      <c r="K116"/>
      <c r="L116"/>
      <c r="M116"/>
      <c r="N116"/>
      <c r="O116"/>
      <c r="P116"/>
      <c r="Q116"/>
      <c r="R116"/>
      <c r="S116"/>
      <c r="T116"/>
      <c r="U116"/>
      <c r="V116"/>
      <c r="W116"/>
      <c r="X116"/>
      <c r="Y116"/>
      <c r="Z116"/>
      <c r="AA116"/>
      <c r="AB116"/>
      <c r="AC116"/>
      <c r="AD116"/>
      <c r="AE116"/>
      <c r="AF116"/>
      <c r="AY116" s="465"/>
    </row>
    <row r="117" spans="1:51" x14ac:dyDescent="0.25">
      <c r="A117" s="624" t="s">
        <v>17</v>
      </c>
      <c r="B117" s="102">
        <f t="shared" ref="B117:H117" si="50">SUM(B112:B116)</f>
        <v>34</v>
      </c>
      <c r="C117" s="79">
        <f t="shared" si="50"/>
        <v>31</v>
      </c>
      <c r="D117" s="79">
        <f t="shared" si="50"/>
        <v>45</v>
      </c>
      <c r="E117" s="79">
        <f t="shared" si="50"/>
        <v>36</v>
      </c>
      <c r="F117" s="79">
        <f t="shared" si="50"/>
        <v>100</v>
      </c>
      <c r="G117" s="79">
        <f t="shared" si="50"/>
        <v>130</v>
      </c>
      <c r="H117" s="79">
        <f t="shared" si="50"/>
        <v>131</v>
      </c>
      <c r="I117" s="79">
        <f>SUM(I112:I116)</f>
        <v>507</v>
      </c>
      <c r="J117" s="625">
        <f t="shared" si="49"/>
        <v>72.428571428571431</v>
      </c>
      <c r="K117"/>
      <c r="L117"/>
      <c r="M117"/>
      <c r="N117"/>
      <c r="O117"/>
      <c r="P117"/>
      <c r="Q117"/>
      <c r="R117"/>
      <c r="S117"/>
      <c r="T117"/>
      <c r="U117"/>
      <c r="V117"/>
      <c r="W117"/>
      <c r="X117"/>
      <c r="Y117"/>
      <c r="Z117"/>
      <c r="AA117"/>
      <c r="AB117"/>
      <c r="AC117"/>
      <c r="AD117"/>
      <c r="AE117"/>
      <c r="AF117"/>
      <c r="AY117" s="465"/>
    </row>
    <row r="118" spans="1:51" x14ac:dyDescent="0.25">
      <c r="A118" s="622" t="s">
        <v>18</v>
      </c>
      <c r="B118" s="406">
        <v>0.66</v>
      </c>
      <c r="C118" s="19">
        <v>0.6</v>
      </c>
      <c r="D118" s="19">
        <v>0.67</v>
      </c>
      <c r="E118" s="19">
        <v>0.67</v>
      </c>
      <c r="F118" s="19">
        <v>0.63</v>
      </c>
      <c r="G118" s="19">
        <v>0.67</v>
      </c>
      <c r="H118" s="19">
        <v>0.67</v>
      </c>
      <c r="I118" s="19">
        <f>I125/I130</f>
        <v>0.6570596494371358</v>
      </c>
      <c r="J118" s="626">
        <f>J125/J130</f>
        <v>0.65705964943713591</v>
      </c>
      <c r="K118"/>
      <c r="L118"/>
      <c r="M118"/>
      <c r="N118"/>
      <c r="O118"/>
      <c r="P118"/>
      <c r="Q118"/>
      <c r="R118"/>
      <c r="S118"/>
      <c r="T118"/>
      <c r="U118"/>
      <c r="V118"/>
      <c r="W118"/>
      <c r="X118"/>
      <c r="Y118"/>
      <c r="Z118"/>
      <c r="AA118"/>
      <c r="AB118"/>
      <c r="AC118"/>
      <c r="AD118"/>
      <c r="AE118"/>
      <c r="AF118"/>
      <c r="AY118" s="465"/>
    </row>
    <row r="119" spans="1:51" x14ac:dyDescent="0.25">
      <c r="A119" s="622" t="s">
        <v>19</v>
      </c>
      <c r="B119" s="406">
        <v>0.02</v>
      </c>
      <c r="C119" s="19">
        <v>0</v>
      </c>
      <c r="D119" s="19">
        <v>0</v>
      </c>
      <c r="E119" s="19">
        <v>0</v>
      </c>
      <c r="F119" s="19">
        <v>0.01</v>
      </c>
      <c r="G119" s="19">
        <v>0.02</v>
      </c>
      <c r="H119" s="19">
        <v>0.01</v>
      </c>
      <c r="I119" s="19">
        <f>I126/I130</f>
        <v>1.115753595134886E-2</v>
      </c>
      <c r="J119" s="626">
        <f>J126/J130</f>
        <v>1.115753595134886E-2</v>
      </c>
      <c r="K119"/>
      <c r="L119"/>
      <c r="M119"/>
      <c r="N119"/>
      <c r="O119"/>
      <c r="P119"/>
      <c r="Q119"/>
      <c r="R119"/>
      <c r="S119"/>
      <c r="T119"/>
      <c r="U119"/>
      <c r="V119"/>
      <c r="W119"/>
      <c r="X119"/>
      <c r="Y119"/>
      <c r="Z119"/>
      <c r="AA119"/>
      <c r="AB119"/>
      <c r="AC119"/>
      <c r="AD119"/>
      <c r="AE119"/>
      <c r="AF119"/>
      <c r="AY119" s="465"/>
    </row>
    <row r="120" spans="1:51" x14ac:dyDescent="0.25">
      <c r="A120" s="622" t="s">
        <v>20</v>
      </c>
      <c r="B120" s="406">
        <v>0.26</v>
      </c>
      <c r="C120" s="19">
        <v>0.34</v>
      </c>
      <c r="D120" s="19">
        <v>0.28999999999999998</v>
      </c>
      <c r="E120" s="19">
        <v>0.32</v>
      </c>
      <c r="F120" s="19">
        <v>0.3</v>
      </c>
      <c r="G120" s="19">
        <v>0.27</v>
      </c>
      <c r="H120" s="19">
        <v>0.28000000000000003</v>
      </c>
      <c r="I120" s="19">
        <f>I127/I130</f>
        <v>0.28736130545287836</v>
      </c>
      <c r="J120" s="626">
        <f>J127/J130</f>
        <v>0.28736130545287841</v>
      </c>
      <c r="K120"/>
      <c r="L120"/>
      <c r="M120"/>
      <c r="N120"/>
      <c r="O120"/>
      <c r="P120"/>
      <c r="Q120"/>
      <c r="R120"/>
      <c r="S120"/>
      <c r="T120"/>
      <c r="U120"/>
      <c r="V120"/>
      <c r="W120"/>
      <c r="X120"/>
      <c r="Y120"/>
      <c r="Z120"/>
      <c r="AA120"/>
      <c r="AB120"/>
      <c r="AC120"/>
      <c r="AD120"/>
      <c r="AE120"/>
      <c r="AF120"/>
      <c r="AY120" s="465"/>
    </row>
    <row r="121" spans="1:51" x14ac:dyDescent="0.25">
      <c r="A121" s="622" t="s">
        <v>21</v>
      </c>
      <c r="B121" s="406">
        <v>0.06</v>
      </c>
      <c r="C121" s="19">
        <v>0.06</v>
      </c>
      <c r="D121" s="19">
        <v>0.04</v>
      </c>
      <c r="E121" s="19">
        <v>0.01</v>
      </c>
      <c r="F121" s="19">
        <v>0.06</v>
      </c>
      <c r="G121" s="19">
        <v>0.02</v>
      </c>
      <c r="H121" s="19">
        <v>0.04</v>
      </c>
      <c r="I121" s="19">
        <f>I128/I130</f>
        <v>3.8992734945210848E-2</v>
      </c>
      <c r="J121" s="626">
        <f>J128/J130</f>
        <v>3.8992734945210855E-2</v>
      </c>
      <c r="K121"/>
      <c r="L121"/>
      <c r="M121"/>
      <c r="N121"/>
      <c r="O121"/>
      <c r="P121"/>
      <c r="Q121"/>
      <c r="R121"/>
      <c r="S121"/>
      <c r="T121"/>
      <c r="U121"/>
      <c r="V121"/>
      <c r="W121"/>
      <c r="X121"/>
      <c r="Y121"/>
      <c r="Z121"/>
      <c r="AA121"/>
      <c r="AB121"/>
      <c r="AC121"/>
      <c r="AD121"/>
      <c r="AE121"/>
      <c r="AF121"/>
      <c r="AY121" s="465"/>
    </row>
    <row r="122" spans="1:51" x14ac:dyDescent="0.25">
      <c r="A122" s="622" t="s">
        <v>22</v>
      </c>
      <c r="B122" s="406">
        <v>0</v>
      </c>
      <c r="C122" s="19">
        <v>0</v>
      </c>
      <c r="D122" s="19">
        <v>0</v>
      </c>
      <c r="E122" s="19">
        <v>0</v>
      </c>
      <c r="F122" s="19">
        <v>0</v>
      </c>
      <c r="G122" s="19">
        <v>0.02</v>
      </c>
      <c r="H122" s="19">
        <v>0</v>
      </c>
      <c r="I122" s="19">
        <f>I129/I130</f>
        <v>5.428774213425993E-3</v>
      </c>
      <c r="J122" s="626">
        <f>J129/J130</f>
        <v>5.4287742134259938E-3</v>
      </c>
      <c r="K122"/>
      <c r="L122"/>
      <c r="M122"/>
      <c r="N122"/>
      <c r="O122"/>
      <c r="P122"/>
      <c r="Q122"/>
      <c r="R122"/>
      <c r="S122"/>
      <c r="T122"/>
      <c r="U122"/>
      <c r="V122"/>
      <c r="W122"/>
      <c r="X122"/>
      <c r="Y122"/>
      <c r="Z122"/>
      <c r="AA122"/>
      <c r="AB122"/>
      <c r="AC122"/>
      <c r="AD122"/>
      <c r="AE122"/>
      <c r="AF122"/>
      <c r="AY122" s="465"/>
    </row>
    <row r="123" spans="1:51" x14ac:dyDescent="0.25">
      <c r="A123" s="627" t="s">
        <v>23</v>
      </c>
      <c r="B123" s="409">
        <f t="shared" ref="B123:J123" si="51">B134/B117</f>
        <v>26458.823529411766</v>
      </c>
      <c r="C123" s="131">
        <f t="shared" si="51"/>
        <v>36461.290322580644</v>
      </c>
      <c r="D123" s="131">
        <f t="shared" si="51"/>
        <v>33668.888888888891</v>
      </c>
      <c r="E123" s="131">
        <f t="shared" si="51"/>
        <v>32286.111111111109</v>
      </c>
      <c r="F123" s="131">
        <f t="shared" si="51"/>
        <v>38248.000000000007</v>
      </c>
      <c r="G123" s="131">
        <f t="shared" si="51"/>
        <v>39056.153846153844</v>
      </c>
      <c r="H123" s="131">
        <f t="shared" si="51"/>
        <v>38731.297709923667</v>
      </c>
      <c r="I123" s="131">
        <f t="shared" si="51"/>
        <v>36850.493096646947</v>
      </c>
      <c r="J123" s="628">
        <f t="shared" si="51"/>
        <v>36850.493096646947</v>
      </c>
      <c r="K123"/>
      <c r="L123"/>
      <c r="M123"/>
      <c r="N123"/>
      <c r="O123"/>
      <c r="P123"/>
      <c r="Q123"/>
      <c r="R123"/>
      <c r="S123"/>
      <c r="T123"/>
      <c r="U123"/>
      <c r="V123"/>
      <c r="W123"/>
      <c r="X123"/>
      <c r="Y123"/>
      <c r="Z123"/>
      <c r="AA123"/>
      <c r="AB123"/>
      <c r="AC123"/>
      <c r="AD123"/>
      <c r="AE123"/>
      <c r="AF123"/>
      <c r="AY123" s="465"/>
    </row>
    <row r="124" spans="1:51" x14ac:dyDescent="0.25">
      <c r="A124" s="627" t="s">
        <v>24</v>
      </c>
      <c r="B124" s="409">
        <f t="shared" ref="B124:J124" si="52">B134/B111</f>
        <v>26458.823529411766</v>
      </c>
      <c r="C124" s="131">
        <f t="shared" si="52"/>
        <v>26286.046511627908</v>
      </c>
      <c r="D124" s="131">
        <f t="shared" si="52"/>
        <v>30302</v>
      </c>
      <c r="E124" s="131">
        <f t="shared" si="52"/>
        <v>29057.5</v>
      </c>
      <c r="F124" s="131">
        <f t="shared" si="52"/>
        <v>28975.75757575758</v>
      </c>
      <c r="G124" s="131">
        <f t="shared" si="52"/>
        <v>30586.144578313251</v>
      </c>
      <c r="H124" s="131">
        <f t="shared" si="52"/>
        <v>28828.409090909092</v>
      </c>
      <c r="I124" s="131">
        <f t="shared" si="52"/>
        <v>29146.957878315137</v>
      </c>
      <c r="J124" s="628">
        <f t="shared" si="52"/>
        <v>29146.957878315137</v>
      </c>
      <c r="K124"/>
      <c r="L124"/>
      <c r="M124"/>
      <c r="N124"/>
      <c r="O124"/>
      <c r="P124"/>
      <c r="Q124"/>
      <c r="R124"/>
      <c r="S124"/>
      <c r="T124"/>
      <c r="U124"/>
      <c r="V124"/>
      <c r="W124"/>
      <c r="X124"/>
      <c r="Y124"/>
      <c r="Z124"/>
      <c r="AA124"/>
      <c r="AB124"/>
      <c r="AC124"/>
      <c r="AD124"/>
      <c r="AE124"/>
      <c r="AF124"/>
      <c r="AY124" s="465"/>
    </row>
    <row r="125" spans="1:51" x14ac:dyDescent="0.25">
      <c r="A125" s="622" t="s">
        <v>25</v>
      </c>
      <c r="B125" s="255">
        <f t="shared" ref="B125:H125" si="53">B130*B118</f>
        <v>489084.57931034488</v>
      </c>
      <c r="C125" s="133">
        <f t="shared" si="53"/>
        <v>561363.93103448278</v>
      </c>
      <c r="D125" s="133">
        <f t="shared" si="53"/>
        <v>840448.46206896554</v>
      </c>
      <c r="E125" s="133">
        <f t="shared" si="53"/>
        <v>642451.44827586215</v>
      </c>
      <c r="F125" s="133">
        <f t="shared" si="53"/>
        <v>2003948.9689655176</v>
      </c>
      <c r="G125" s="133">
        <f t="shared" si="53"/>
        <v>2812738.8982758624</v>
      </c>
      <c r="H125" s="133">
        <f t="shared" si="53"/>
        <v>2812161.1965517243</v>
      </c>
      <c r="I125" s="133">
        <f>SUM(B125:H125)</f>
        <v>10162197.48448276</v>
      </c>
      <c r="J125" s="629">
        <f t="shared" ref="J125:J130" si="54">+$I125/7</f>
        <v>1451742.4977832513</v>
      </c>
      <c r="K125"/>
      <c r="L125"/>
      <c r="M125"/>
      <c r="N125"/>
      <c r="O125"/>
      <c r="P125"/>
      <c r="Q125"/>
      <c r="R125"/>
      <c r="S125"/>
      <c r="T125"/>
      <c r="U125"/>
      <c r="V125"/>
      <c r="W125"/>
      <c r="X125"/>
      <c r="Y125"/>
      <c r="Z125"/>
      <c r="AA125"/>
      <c r="AB125"/>
      <c r="AC125"/>
      <c r="AD125"/>
      <c r="AE125"/>
      <c r="AF125"/>
      <c r="AY125" s="465"/>
    </row>
    <row r="126" spans="1:51" x14ac:dyDescent="0.25">
      <c r="A126" s="622" t="s">
        <v>26</v>
      </c>
      <c r="B126" s="255">
        <f t="shared" ref="B126:H126" si="55">B130*B119</f>
        <v>14820.744827586208</v>
      </c>
      <c r="C126" s="133">
        <f t="shared" si="55"/>
        <v>0</v>
      </c>
      <c r="D126" s="133">
        <f t="shared" si="55"/>
        <v>0</v>
      </c>
      <c r="E126" s="133">
        <f t="shared" si="55"/>
        <v>0</v>
      </c>
      <c r="F126" s="133">
        <f t="shared" si="55"/>
        <v>31808.713793103452</v>
      </c>
      <c r="G126" s="133">
        <f t="shared" si="55"/>
        <v>83962.355172413794</v>
      </c>
      <c r="H126" s="133">
        <f t="shared" si="55"/>
        <v>41972.555172413791</v>
      </c>
      <c r="I126" s="133">
        <f>SUM(B126:H126)</f>
        <v>172564.36896551726</v>
      </c>
      <c r="J126" s="629">
        <f t="shared" si="54"/>
        <v>24652.05270935961</v>
      </c>
      <c r="K126"/>
      <c r="L126"/>
      <c r="M126"/>
      <c r="N126"/>
      <c r="O126"/>
      <c r="P126"/>
      <c r="Q126"/>
      <c r="R126"/>
      <c r="S126"/>
      <c r="T126"/>
      <c r="U126"/>
      <c r="V126"/>
      <c r="W126"/>
      <c r="X126"/>
      <c r="Y126"/>
      <c r="Z126"/>
      <c r="AA126"/>
      <c r="AB126"/>
      <c r="AC126"/>
      <c r="AD126"/>
      <c r="AE126"/>
      <c r="AF126"/>
      <c r="AY126" s="465"/>
    </row>
    <row r="127" spans="1:51" x14ac:dyDescent="0.25">
      <c r="A127" s="622" t="s">
        <v>27</v>
      </c>
      <c r="B127" s="255">
        <f t="shared" ref="B127:H127" si="56">B130*B120</f>
        <v>192669.68275862071</v>
      </c>
      <c r="C127" s="133">
        <f t="shared" si="56"/>
        <v>318106.22758620692</v>
      </c>
      <c r="D127" s="133">
        <f t="shared" si="56"/>
        <v>363776.19999999995</v>
      </c>
      <c r="E127" s="133">
        <f t="shared" si="56"/>
        <v>306842.4827586207</v>
      </c>
      <c r="F127" s="133">
        <f t="shared" si="56"/>
        <v>954261.41379310354</v>
      </c>
      <c r="G127" s="133">
        <f t="shared" si="56"/>
        <v>1133491.7948275863</v>
      </c>
      <c r="H127" s="133">
        <f t="shared" si="56"/>
        <v>1175231.5448275863</v>
      </c>
      <c r="I127" s="133">
        <f>SUM(B127:H127)</f>
        <v>4444379.3465517238</v>
      </c>
      <c r="J127" s="629">
        <f t="shared" si="54"/>
        <v>634911.33522167488</v>
      </c>
      <c r="K127"/>
      <c r="L127"/>
      <c r="M127"/>
      <c r="N127"/>
      <c r="O127"/>
      <c r="P127"/>
      <c r="Q127"/>
      <c r="R127"/>
      <c r="S127"/>
      <c r="T127"/>
      <c r="U127"/>
      <c r="V127"/>
      <c r="W127"/>
      <c r="X127"/>
      <c r="Y127"/>
      <c r="Z127"/>
      <c r="AA127"/>
      <c r="AB127"/>
      <c r="AC127"/>
      <c r="AD127"/>
      <c r="AE127"/>
      <c r="AF127"/>
      <c r="AY127" s="465"/>
    </row>
    <row r="128" spans="1:51" x14ac:dyDescent="0.25">
      <c r="A128" s="622" t="s">
        <v>28</v>
      </c>
      <c r="B128" s="255">
        <f t="shared" ref="B128:H128" si="57">B130*B121</f>
        <v>44462.23448275862</v>
      </c>
      <c r="C128" s="133">
        <f t="shared" si="57"/>
        <v>56136.393103448274</v>
      </c>
      <c r="D128" s="133">
        <f t="shared" si="57"/>
        <v>50176.027586206896</v>
      </c>
      <c r="E128" s="133">
        <f t="shared" si="57"/>
        <v>9588.8275862068967</v>
      </c>
      <c r="F128" s="133">
        <f t="shared" si="57"/>
        <v>190852.28275862071</v>
      </c>
      <c r="G128" s="133">
        <f t="shared" si="57"/>
        <v>83962.355172413794</v>
      </c>
      <c r="H128" s="133">
        <f t="shared" si="57"/>
        <v>167890.22068965517</v>
      </c>
      <c r="I128" s="133">
        <f>SUM(B128:H128)</f>
        <v>603068.34137931047</v>
      </c>
      <c r="J128" s="629">
        <f t="shared" si="54"/>
        <v>86152.620197044351</v>
      </c>
      <c r="K128"/>
      <c r="L128"/>
      <c r="M128"/>
      <c r="N128"/>
      <c r="O128"/>
      <c r="P128"/>
      <c r="Q128"/>
      <c r="R128"/>
      <c r="S128"/>
      <c r="T128"/>
      <c r="U128"/>
      <c r="V128"/>
      <c r="W128"/>
      <c r="X128"/>
      <c r="Y128"/>
      <c r="Z128"/>
      <c r="AA128"/>
      <c r="AB128"/>
      <c r="AC128"/>
      <c r="AD128"/>
      <c r="AE128"/>
      <c r="AF128"/>
      <c r="AY128" s="465"/>
    </row>
    <row r="129" spans="1:51" x14ac:dyDescent="0.25">
      <c r="A129" s="622" t="s">
        <v>29</v>
      </c>
      <c r="B129" s="255">
        <f t="shared" ref="B129:H129" si="58">B130*B122</f>
        <v>0</v>
      </c>
      <c r="C129" s="133">
        <f t="shared" si="58"/>
        <v>0</v>
      </c>
      <c r="D129" s="133">
        <f t="shared" si="58"/>
        <v>0</v>
      </c>
      <c r="E129" s="133">
        <f t="shared" si="58"/>
        <v>0</v>
      </c>
      <c r="F129" s="133">
        <f t="shared" si="58"/>
        <v>0</v>
      </c>
      <c r="G129" s="133">
        <f t="shared" si="58"/>
        <v>83962.355172413794</v>
      </c>
      <c r="H129" s="133">
        <f t="shared" si="58"/>
        <v>0</v>
      </c>
      <c r="I129" s="133">
        <f>SUM(B129:H129)</f>
        <v>83962.355172413794</v>
      </c>
      <c r="J129" s="629">
        <f t="shared" si="54"/>
        <v>11994.622167487685</v>
      </c>
      <c r="K129"/>
      <c r="L129"/>
      <c r="M129"/>
      <c r="N129"/>
      <c r="O129"/>
      <c r="P129"/>
      <c r="Q129"/>
      <c r="R129"/>
      <c r="S129"/>
      <c r="T129"/>
      <c r="U129"/>
      <c r="V129"/>
      <c r="W129"/>
      <c r="X129"/>
      <c r="Y129"/>
      <c r="Z129"/>
      <c r="AA129"/>
      <c r="AB129"/>
      <c r="AC129"/>
      <c r="AD129"/>
      <c r="AE129"/>
      <c r="AF129"/>
      <c r="AY129" s="465"/>
    </row>
    <row r="130" spans="1:51" x14ac:dyDescent="0.25">
      <c r="A130" s="630" t="s">
        <v>30</v>
      </c>
      <c r="B130" s="410">
        <f>(899600/1.16)-B131</f>
        <v>741037.24137931038</v>
      </c>
      <c r="C130" s="410">
        <f>(1130300/1.16)-C131</f>
        <v>935606.55172413797</v>
      </c>
      <c r="D130" s="410">
        <f>(1515100/1.16)-D131</f>
        <v>1254400.6896551724</v>
      </c>
      <c r="E130" s="410">
        <f>(1162300/1.16)-E131</f>
        <v>958882.75862068974</v>
      </c>
      <c r="F130" s="410">
        <f>(3824800/1.16)-F131</f>
        <v>3180871.3793103453</v>
      </c>
      <c r="G130" s="410">
        <f>(5077300/1.16)-G131</f>
        <v>4198117.7586206896</v>
      </c>
      <c r="H130" s="410">
        <f>(5073800/1.16)-H131</f>
        <v>4197255.5172413792</v>
      </c>
      <c r="I130" s="136">
        <f>SUM(I125:I129)</f>
        <v>15466171.896551726</v>
      </c>
      <c r="J130" s="631">
        <f t="shared" si="54"/>
        <v>2209453.1280788179</v>
      </c>
      <c r="K130"/>
      <c r="L130"/>
      <c r="M130"/>
      <c r="N130"/>
      <c r="O130"/>
      <c r="P130"/>
      <c r="Q130"/>
      <c r="R130"/>
      <c r="S130"/>
      <c r="T130"/>
      <c r="U130"/>
      <c r="V130"/>
      <c r="W130"/>
      <c r="X130"/>
      <c r="Y130"/>
      <c r="Z130"/>
      <c r="AA130"/>
      <c r="AB130"/>
      <c r="AC130"/>
      <c r="AD130"/>
      <c r="AE130"/>
      <c r="AF130"/>
      <c r="AY130" s="465"/>
    </row>
    <row r="131" spans="1:51" x14ac:dyDescent="0.25">
      <c r="A131" s="622" t="s">
        <v>31</v>
      </c>
      <c r="B131" s="263">
        <f t="shared" ref="B131:H131" si="59">2155*B112</f>
        <v>34480</v>
      </c>
      <c r="C131" s="139">
        <f t="shared" si="59"/>
        <v>38790</v>
      </c>
      <c r="D131" s="139">
        <f t="shared" si="59"/>
        <v>51720</v>
      </c>
      <c r="E131" s="139">
        <f t="shared" si="59"/>
        <v>43100</v>
      </c>
      <c r="F131" s="139">
        <f t="shared" si="59"/>
        <v>116370</v>
      </c>
      <c r="G131" s="139">
        <f t="shared" si="59"/>
        <v>178865</v>
      </c>
      <c r="H131" s="139">
        <f t="shared" si="59"/>
        <v>176710</v>
      </c>
      <c r="I131" s="139">
        <f>I112*2155</f>
        <v>640035</v>
      </c>
      <c r="J131" s="632">
        <f>2155*J112</f>
        <v>91433.571428571435</v>
      </c>
      <c r="K131"/>
      <c r="L131"/>
      <c r="M131"/>
      <c r="N131"/>
      <c r="O131"/>
      <c r="P131"/>
      <c r="Q131"/>
      <c r="R131"/>
      <c r="S131"/>
      <c r="T131"/>
      <c r="U131"/>
      <c r="V131"/>
      <c r="W131"/>
      <c r="X131"/>
      <c r="Y131"/>
      <c r="Z131"/>
      <c r="AA131"/>
      <c r="AB131"/>
      <c r="AC131"/>
      <c r="AD131"/>
      <c r="AE131"/>
      <c r="AF131"/>
      <c r="AY131" s="465"/>
    </row>
    <row r="132" spans="1:51" x14ac:dyDescent="0.25">
      <c r="A132" s="633" t="s">
        <v>32</v>
      </c>
      <c r="B132" s="411">
        <f t="shared" ref="B132:J132" si="60">B130+B131</f>
        <v>775517.24137931038</v>
      </c>
      <c r="C132" s="40">
        <f t="shared" si="60"/>
        <v>974396.55172413797</v>
      </c>
      <c r="D132" s="40">
        <f t="shared" si="60"/>
        <v>1306120.6896551724</v>
      </c>
      <c r="E132" s="40">
        <f t="shared" si="60"/>
        <v>1001982.7586206897</v>
      </c>
      <c r="F132" s="40">
        <f t="shared" si="60"/>
        <v>3297241.3793103453</v>
      </c>
      <c r="G132" s="40">
        <f t="shared" si="60"/>
        <v>4376982.7586206896</v>
      </c>
      <c r="H132" s="40">
        <f t="shared" si="60"/>
        <v>4373965.5172413792</v>
      </c>
      <c r="I132" s="40">
        <f t="shared" si="60"/>
        <v>16106206.896551726</v>
      </c>
      <c r="J132" s="634">
        <f t="shared" si="60"/>
        <v>2300886.6995073892</v>
      </c>
      <c r="K132"/>
      <c r="L132"/>
      <c r="M132"/>
      <c r="N132"/>
      <c r="O132"/>
      <c r="P132"/>
      <c r="Q132"/>
      <c r="R132"/>
      <c r="S132"/>
      <c r="T132"/>
      <c r="U132"/>
      <c r="V132"/>
      <c r="W132"/>
      <c r="X132"/>
      <c r="Y132"/>
      <c r="Z132"/>
      <c r="AA132"/>
      <c r="AB132"/>
      <c r="AC132"/>
      <c r="AD132"/>
      <c r="AE132"/>
      <c r="AF132"/>
      <c r="AY132" s="465"/>
    </row>
    <row r="133" spans="1:51" x14ac:dyDescent="0.25">
      <c r="A133" s="622" t="s">
        <v>33</v>
      </c>
      <c r="B133" s="413">
        <f t="shared" ref="B133:J133" si="61">B132*16%</f>
        <v>124082.75862068967</v>
      </c>
      <c r="C133" s="42">
        <f t="shared" si="61"/>
        <v>155903.44827586209</v>
      </c>
      <c r="D133" s="42">
        <f t="shared" si="61"/>
        <v>208979.31034482759</v>
      </c>
      <c r="E133" s="42">
        <f t="shared" si="61"/>
        <v>160317.24137931035</v>
      </c>
      <c r="F133" s="42">
        <f t="shared" si="61"/>
        <v>527558.6206896553</v>
      </c>
      <c r="G133" s="42">
        <f t="shared" si="61"/>
        <v>700317.24137931038</v>
      </c>
      <c r="H133" s="42">
        <f t="shared" si="61"/>
        <v>699834.48275862064</v>
      </c>
      <c r="I133" s="42">
        <f t="shared" si="61"/>
        <v>2576993.1034482764</v>
      </c>
      <c r="J133" s="635">
        <f t="shared" si="61"/>
        <v>368141.87192118226</v>
      </c>
      <c r="K133"/>
      <c r="L133"/>
      <c r="M133"/>
      <c r="N133"/>
      <c r="O133"/>
      <c r="P133"/>
      <c r="Q133"/>
      <c r="R133"/>
      <c r="S133"/>
      <c r="T133"/>
      <c r="U133"/>
      <c r="V133"/>
      <c r="W133"/>
      <c r="X133"/>
      <c r="Y133"/>
      <c r="Z133"/>
      <c r="AA133"/>
      <c r="AB133"/>
      <c r="AC133"/>
      <c r="AD133"/>
      <c r="AE133"/>
      <c r="AF133"/>
      <c r="AY133" s="465"/>
    </row>
    <row r="134" spans="1:51" ht="15.75" thickBot="1" x14ac:dyDescent="0.3">
      <c r="A134" s="636" t="s">
        <v>34</v>
      </c>
      <c r="B134" s="637">
        <f t="shared" ref="B134:I134" si="62">B132+B133</f>
        <v>899600</v>
      </c>
      <c r="C134" s="638">
        <f t="shared" si="62"/>
        <v>1130300</v>
      </c>
      <c r="D134" s="638">
        <f t="shared" si="62"/>
        <v>1515100</v>
      </c>
      <c r="E134" s="638">
        <f t="shared" si="62"/>
        <v>1162300</v>
      </c>
      <c r="F134" s="638">
        <f t="shared" si="62"/>
        <v>3824800.0000000005</v>
      </c>
      <c r="G134" s="638">
        <f t="shared" si="62"/>
        <v>5077300</v>
      </c>
      <c r="H134" s="638">
        <f t="shared" si="62"/>
        <v>5073800</v>
      </c>
      <c r="I134" s="638">
        <f t="shared" si="62"/>
        <v>18683200.000000004</v>
      </c>
      <c r="J134" s="639">
        <f>+$I134/7</f>
        <v>2669028.5714285718</v>
      </c>
      <c r="K134"/>
      <c r="L134"/>
      <c r="M134"/>
      <c r="N134"/>
      <c r="O134"/>
      <c r="P134"/>
      <c r="Q134"/>
      <c r="R134"/>
      <c r="S134"/>
      <c r="T134"/>
      <c r="U134"/>
      <c r="V134"/>
      <c r="W134"/>
      <c r="X134"/>
      <c r="Y134"/>
      <c r="Z134"/>
      <c r="AA134"/>
      <c r="AB134"/>
      <c r="AC134"/>
      <c r="AD134"/>
      <c r="AE134"/>
      <c r="AF134"/>
      <c r="AY134" s="465"/>
    </row>
    <row r="135" spans="1:51" ht="15.75" thickBot="1" x14ac:dyDescent="0.3">
      <c r="K135"/>
      <c r="L135"/>
      <c r="M135"/>
      <c r="N135"/>
      <c r="O135"/>
      <c r="P135"/>
      <c r="Q135"/>
      <c r="R135"/>
      <c r="S135"/>
      <c r="T135"/>
      <c r="U135"/>
      <c r="V135"/>
      <c r="W135"/>
      <c r="X135"/>
      <c r="Y135"/>
      <c r="Z135"/>
      <c r="AA135"/>
      <c r="AB135"/>
      <c r="AC135"/>
      <c r="AD135"/>
      <c r="AE135"/>
      <c r="AF135"/>
      <c r="AY135" s="465"/>
    </row>
    <row r="136" spans="1:51" ht="27" thickBot="1" x14ac:dyDescent="0.3">
      <c r="A136" s="85"/>
      <c r="B136" s="1002" t="s">
        <v>69</v>
      </c>
      <c r="C136" s="1002"/>
      <c r="D136" s="1002"/>
      <c r="E136" s="1002"/>
      <c r="F136" s="1002"/>
      <c r="G136" s="1002"/>
      <c r="H136" s="1002"/>
      <c r="I136" s="1002"/>
      <c r="J136" s="85"/>
      <c r="K136"/>
      <c r="L136"/>
      <c r="M136"/>
      <c r="N136"/>
      <c r="O136"/>
      <c r="P136"/>
      <c r="Q136"/>
      <c r="R136"/>
      <c r="S136"/>
      <c r="T136"/>
      <c r="U136"/>
      <c r="V136"/>
      <c r="W136"/>
      <c r="X136"/>
      <c r="Y136"/>
      <c r="Z136"/>
      <c r="AA136"/>
      <c r="AB136"/>
      <c r="AC136"/>
      <c r="AD136"/>
      <c r="AE136"/>
      <c r="AF136"/>
      <c r="AY136" s="465"/>
    </row>
    <row r="137" spans="1:51" ht="15.75" x14ac:dyDescent="0.25">
      <c r="A137" s="614" t="s">
        <v>2</v>
      </c>
      <c r="B137" s="615" t="s">
        <v>600</v>
      </c>
      <c r="C137" s="616" t="s">
        <v>601</v>
      </c>
      <c r="D137" s="617" t="s">
        <v>602</v>
      </c>
      <c r="E137" s="616" t="s">
        <v>603</v>
      </c>
      <c r="F137" s="616" t="s">
        <v>604</v>
      </c>
      <c r="G137" s="617" t="s">
        <v>605</v>
      </c>
      <c r="H137" s="617" t="s">
        <v>606</v>
      </c>
      <c r="I137" s="618" t="s">
        <v>10</v>
      </c>
      <c r="J137" s="619" t="s">
        <v>77</v>
      </c>
      <c r="K137"/>
      <c r="L137"/>
      <c r="M137"/>
      <c r="N137"/>
      <c r="O137"/>
      <c r="P137"/>
      <c r="Q137"/>
      <c r="R137"/>
      <c r="S137"/>
      <c r="T137"/>
      <c r="U137"/>
      <c r="V137"/>
      <c r="W137"/>
      <c r="X137"/>
      <c r="Y137"/>
      <c r="Z137"/>
      <c r="AA137"/>
      <c r="AB137"/>
      <c r="AC137"/>
      <c r="AD137"/>
      <c r="AE137"/>
      <c r="AF137"/>
      <c r="AY137" s="465"/>
    </row>
    <row r="138" spans="1:51" x14ac:dyDescent="0.25">
      <c r="A138" s="620" t="s">
        <v>11</v>
      </c>
      <c r="B138" s="431">
        <f>19+10+6</f>
        <v>35</v>
      </c>
      <c r="C138" s="432">
        <f>17+16+3</f>
        <v>36</v>
      </c>
      <c r="D138" s="505">
        <f>36+17+6</f>
        <v>59</v>
      </c>
      <c r="E138" s="432">
        <f>37+15+8</f>
        <v>60</v>
      </c>
      <c r="F138" s="432">
        <f>76+35+12</f>
        <v>123</v>
      </c>
      <c r="G138" s="432">
        <f>98+44+8</f>
        <v>150</v>
      </c>
      <c r="H138" s="432">
        <f>75+47+19</f>
        <v>141</v>
      </c>
      <c r="I138" s="432">
        <f t="shared" ref="I138:I143" si="63">SUM(B138:H138)</f>
        <v>604</v>
      </c>
      <c r="J138" s="621">
        <f t="shared" ref="J138:J144" si="64">+$I138/7</f>
        <v>86.285714285714292</v>
      </c>
      <c r="K138"/>
      <c r="L138"/>
      <c r="M138"/>
      <c r="N138"/>
      <c r="O138"/>
      <c r="P138"/>
      <c r="Q138"/>
      <c r="R138"/>
      <c r="S138"/>
      <c r="T138"/>
      <c r="U138"/>
      <c r="V138"/>
      <c r="W138"/>
      <c r="X138"/>
      <c r="Y138"/>
      <c r="Z138"/>
      <c r="AA138"/>
      <c r="AB138"/>
      <c r="AC138"/>
      <c r="AD138"/>
      <c r="AE138"/>
      <c r="AF138"/>
      <c r="AY138" s="465"/>
    </row>
    <row r="139" spans="1:51" x14ac:dyDescent="0.25">
      <c r="A139" s="622" t="s">
        <v>12</v>
      </c>
      <c r="B139" s="233">
        <v>13</v>
      </c>
      <c r="C139" s="13">
        <v>15</v>
      </c>
      <c r="D139" s="13">
        <v>27</v>
      </c>
      <c r="E139" s="13">
        <v>26</v>
      </c>
      <c r="F139" s="13">
        <v>56</v>
      </c>
      <c r="G139" s="13">
        <v>78</v>
      </c>
      <c r="H139" s="13">
        <v>72</v>
      </c>
      <c r="I139" s="13">
        <f t="shared" si="63"/>
        <v>287</v>
      </c>
      <c r="J139" s="623">
        <f t="shared" si="64"/>
        <v>41</v>
      </c>
      <c r="K139"/>
      <c r="L139"/>
      <c r="M139"/>
      <c r="N139"/>
      <c r="O139"/>
      <c r="P139"/>
      <c r="Q139"/>
      <c r="R139"/>
      <c r="S139"/>
      <c r="T139"/>
      <c r="U139"/>
      <c r="V139"/>
      <c r="W139"/>
      <c r="X139"/>
      <c r="Y139"/>
      <c r="Z139"/>
      <c r="AA139"/>
      <c r="AB139"/>
      <c r="AC139"/>
      <c r="AD139"/>
      <c r="AE139"/>
      <c r="AF139"/>
      <c r="AY139" s="465"/>
    </row>
    <row r="140" spans="1:51" x14ac:dyDescent="0.25">
      <c r="A140" s="622" t="s">
        <v>13</v>
      </c>
      <c r="B140" s="233">
        <v>0</v>
      </c>
      <c r="C140" s="13">
        <v>0</v>
      </c>
      <c r="D140" s="13">
        <v>3</v>
      </c>
      <c r="E140" s="13">
        <v>0</v>
      </c>
      <c r="F140" s="13">
        <v>0</v>
      </c>
      <c r="G140" s="13">
        <v>3</v>
      </c>
      <c r="H140" s="13">
        <v>0</v>
      </c>
      <c r="I140" s="13">
        <f t="shared" si="63"/>
        <v>6</v>
      </c>
      <c r="J140" s="623">
        <f t="shared" si="64"/>
        <v>0.8571428571428571</v>
      </c>
      <c r="K140"/>
      <c r="L140"/>
      <c r="M140"/>
      <c r="N140"/>
      <c r="O140"/>
      <c r="P140"/>
      <c r="Q140"/>
      <c r="R140"/>
      <c r="S140"/>
      <c r="T140"/>
      <c r="U140"/>
      <c r="V140"/>
      <c r="W140"/>
      <c r="X140"/>
      <c r="Y140"/>
      <c r="Z140"/>
      <c r="AA140"/>
      <c r="AB140"/>
      <c r="AC140"/>
      <c r="AD140"/>
      <c r="AE140"/>
      <c r="AF140"/>
      <c r="AY140" s="465"/>
    </row>
    <row r="141" spans="1:51" x14ac:dyDescent="0.25">
      <c r="A141" s="622" t="s">
        <v>14</v>
      </c>
      <c r="B141" s="233">
        <v>18</v>
      </c>
      <c r="C141" s="13">
        <v>12</v>
      </c>
      <c r="D141" s="13">
        <v>22</v>
      </c>
      <c r="E141" s="13">
        <v>20</v>
      </c>
      <c r="F141" s="13">
        <v>29</v>
      </c>
      <c r="G141" s="13">
        <v>35</v>
      </c>
      <c r="H141" s="13">
        <v>29</v>
      </c>
      <c r="I141" s="13">
        <f t="shared" si="63"/>
        <v>165</v>
      </c>
      <c r="J141" s="623">
        <f t="shared" si="64"/>
        <v>23.571428571428573</v>
      </c>
      <c r="K141"/>
      <c r="L141"/>
      <c r="M141"/>
      <c r="N141"/>
      <c r="O141"/>
      <c r="P141"/>
      <c r="Q141"/>
      <c r="R141"/>
      <c r="S141"/>
      <c r="T141"/>
      <c r="U141"/>
      <c r="V141"/>
      <c r="W141"/>
      <c r="X141"/>
      <c r="Y141"/>
      <c r="Z141"/>
      <c r="AA141"/>
      <c r="AB141"/>
      <c r="AC141"/>
      <c r="AD141"/>
      <c r="AE141"/>
      <c r="AF141"/>
      <c r="AY141" s="465"/>
    </row>
    <row r="142" spans="1:51" x14ac:dyDescent="0.25">
      <c r="A142" s="622" t="s">
        <v>15</v>
      </c>
      <c r="B142" s="233">
        <v>1</v>
      </c>
      <c r="C142" s="13">
        <v>6</v>
      </c>
      <c r="D142" s="13">
        <v>1</v>
      </c>
      <c r="E142" s="13">
        <v>1</v>
      </c>
      <c r="F142" s="13">
        <v>9</v>
      </c>
      <c r="G142" s="13">
        <v>3</v>
      </c>
      <c r="H142" s="13">
        <v>5</v>
      </c>
      <c r="I142" s="13">
        <f t="shared" si="63"/>
        <v>26</v>
      </c>
      <c r="J142" s="623">
        <f t="shared" si="64"/>
        <v>3.7142857142857144</v>
      </c>
      <c r="K142"/>
      <c r="L142"/>
      <c r="M142"/>
      <c r="N142"/>
      <c r="O142"/>
      <c r="P142"/>
      <c r="Q142"/>
      <c r="R142"/>
      <c r="S142"/>
      <c r="T142"/>
      <c r="U142"/>
      <c r="V142"/>
      <c r="W142"/>
      <c r="X142"/>
      <c r="Y142"/>
      <c r="Z142"/>
      <c r="AA142"/>
      <c r="AB142"/>
      <c r="AC142"/>
      <c r="AD142"/>
      <c r="AE142"/>
      <c r="AF142"/>
      <c r="AY142" s="465"/>
    </row>
    <row r="143" spans="1:51" x14ac:dyDescent="0.25">
      <c r="A143" s="622" t="s">
        <v>16</v>
      </c>
      <c r="B143" s="233">
        <v>0</v>
      </c>
      <c r="C143" s="13">
        <v>0</v>
      </c>
      <c r="D143" s="13">
        <v>0</v>
      </c>
      <c r="E143" s="13">
        <v>0</v>
      </c>
      <c r="F143" s="13">
        <v>0</v>
      </c>
      <c r="G143" s="13">
        <v>0</v>
      </c>
      <c r="H143" s="13">
        <v>0</v>
      </c>
      <c r="I143" s="13">
        <f t="shared" si="63"/>
        <v>0</v>
      </c>
      <c r="J143" s="623">
        <f t="shared" si="64"/>
        <v>0</v>
      </c>
      <c r="K143"/>
      <c r="L143"/>
      <c r="M143"/>
      <c r="N143"/>
      <c r="O143"/>
      <c r="P143"/>
      <c r="Q143"/>
      <c r="R143"/>
      <c r="S143"/>
      <c r="T143"/>
      <c r="U143"/>
      <c r="V143"/>
      <c r="W143"/>
      <c r="X143"/>
      <c r="Y143"/>
      <c r="Z143"/>
      <c r="AA143"/>
      <c r="AB143"/>
      <c r="AC143"/>
      <c r="AD143"/>
      <c r="AE143"/>
      <c r="AF143"/>
      <c r="AY143" s="465"/>
    </row>
    <row r="144" spans="1:51" x14ac:dyDescent="0.25">
      <c r="A144" s="624" t="s">
        <v>17</v>
      </c>
      <c r="B144" s="102">
        <f t="shared" ref="B144:H144" si="65">SUM(B139:B143)</f>
        <v>32</v>
      </c>
      <c r="C144" s="79">
        <f t="shared" si="65"/>
        <v>33</v>
      </c>
      <c r="D144" s="79">
        <f t="shared" si="65"/>
        <v>53</v>
      </c>
      <c r="E144" s="79">
        <f t="shared" si="65"/>
        <v>47</v>
      </c>
      <c r="F144" s="79">
        <f t="shared" si="65"/>
        <v>94</v>
      </c>
      <c r="G144" s="79">
        <f t="shared" si="65"/>
        <v>119</v>
      </c>
      <c r="H144" s="79">
        <f t="shared" si="65"/>
        <v>106</v>
      </c>
      <c r="I144" s="79">
        <f>SUM(I139:I143)</f>
        <v>484</v>
      </c>
      <c r="J144" s="625">
        <f t="shared" si="64"/>
        <v>69.142857142857139</v>
      </c>
      <c r="K144"/>
      <c r="L144"/>
      <c r="M144"/>
      <c r="N144"/>
      <c r="O144"/>
      <c r="P144"/>
      <c r="Q144"/>
      <c r="R144"/>
      <c r="S144"/>
      <c r="T144"/>
      <c r="U144"/>
      <c r="V144"/>
      <c r="W144"/>
      <c r="X144"/>
      <c r="Y144"/>
      <c r="Z144"/>
      <c r="AA144"/>
      <c r="AB144"/>
      <c r="AC144"/>
      <c r="AD144"/>
      <c r="AE144"/>
      <c r="AF144"/>
      <c r="AY144" s="465"/>
    </row>
    <row r="145" spans="1:51" x14ac:dyDescent="0.25">
      <c r="A145" s="622" t="s">
        <v>18</v>
      </c>
      <c r="B145" s="406">
        <v>0.47</v>
      </c>
      <c r="C145" s="19">
        <v>0.59</v>
      </c>
      <c r="D145" s="19">
        <v>0.61</v>
      </c>
      <c r="E145" s="19">
        <v>0.62</v>
      </c>
      <c r="F145" s="19">
        <v>0.64</v>
      </c>
      <c r="G145" s="19">
        <v>0.69</v>
      </c>
      <c r="H145" s="19">
        <v>0.69</v>
      </c>
      <c r="I145" s="19">
        <f>I152/I157</f>
        <v>0.64778105842590317</v>
      </c>
      <c r="J145" s="626">
        <f>J152/J157</f>
        <v>0.64778105842590317</v>
      </c>
      <c r="K145"/>
      <c r="L145"/>
      <c r="M145"/>
      <c r="N145"/>
      <c r="O145"/>
      <c r="P145"/>
      <c r="Q145"/>
      <c r="R145"/>
      <c r="S145"/>
      <c r="T145"/>
      <c r="U145"/>
      <c r="V145"/>
      <c r="W145"/>
      <c r="X145"/>
      <c r="Y145"/>
      <c r="Z145"/>
      <c r="AA145"/>
      <c r="AB145"/>
      <c r="AC145"/>
      <c r="AD145"/>
      <c r="AE145"/>
      <c r="AF145"/>
      <c r="AY145" s="465"/>
    </row>
    <row r="146" spans="1:51" x14ac:dyDescent="0.25">
      <c r="A146" s="622" t="s">
        <v>19</v>
      </c>
      <c r="B146" s="406">
        <v>0</v>
      </c>
      <c r="C146" s="19">
        <v>0</v>
      </c>
      <c r="D146" s="19">
        <v>7.0000000000000007E-2</v>
      </c>
      <c r="E146" s="19">
        <v>0</v>
      </c>
      <c r="F146" s="19">
        <v>0</v>
      </c>
      <c r="G146" s="19">
        <v>0.02</v>
      </c>
      <c r="H146" s="19">
        <v>0</v>
      </c>
      <c r="I146" s="19">
        <f>I153/I157</f>
        <v>1.2921804458811277E-2</v>
      </c>
      <c r="J146" s="626">
        <f>J153/J157</f>
        <v>1.2921804458811277E-2</v>
      </c>
      <c r="K146"/>
      <c r="L146"/>
      <c r="M146"/>
      <c r="N146"/>
      <c r="O146"/>
      <c r="P146"/>
      <c r="Q146"/>
      <c r="R146"/>
      <c r="S146"/>
      <c r="T146"/>
      <c r="U146"/>
      <c r="V146"/>
      <c r="W146"/>
      <c r="X146"/>
      <c r="Y146"/>
      <c r="Z146"/>
      <c r="AA146"/>
      <c r="AB146"/>
      <c r="AC146"/>
      <c r="AD146"/>
      <c r="AE146"/>
      <c r="AF146"/>
      <c r="AY146" s="465"/>
    </row>
    <row r="147" spans="1:51" x14ac:dyDescent="0.25">
      <c r="A147" s="622" t="s">
        <v>20</v>
      </c>
      <c r="B147" s="406">
        <v>0.5</v>
      </c>
      <c r="C147" s="19">
        <v>0.3</v>
      </c>
      <c r="D147" s="19">
        <v>0.28999999999999998</v>
      </c>
      <c r="E147" s="19">
        <v>0.34</v>
      </c>
      <c r="F147" s="19">
        <v>0.25</v>
      </c>
      <c r="G147" s="19">
        <v>0.28000000000000003</v>
      </c>
      <c r="H147" s="19">
        <v>0.26</v>
      </c>
      <c r="I147" s="19">
        <f>I154/I157</f>
        <v>0.28747021930962674</v>
      </c>
      <c r="J147" s="626">
        <f>J154/J157</f>
        <v>0.2874702193096268</v>
      </c>
      <c r="K147"/>
      <c r="L147"/>
      <c r="M147"/>
      <c r="N147"/>
      <c r="O147"/>
      <c r="P147"/>
      <c r="Q147"/>
      <c r="R147"/>
      <c r="S147"/>
      <c r="T147"/>
      <c r="U147"/>
      <c r="V147"/>
      <c r="W147"/>
      <c r="X147"/>
      <c r="Y147"/>
      <c r="Z147"/>
      <c r="AA147"/>
      <c r="AB147"/>
      <c r="AC147"/>
      <c r="AD147"/>
      <c r="AE147"/>
      <c r="AF147"/>
      <c r="AY147" s="465"/>
    </row>
    <row r="148" spans="1:51" x14ac:dyDescent="0.25">
      <c r="A148" s="622" t="s">
        <v>21</v>
      </c>
      <c r="B148" s="406">
        <v>0.03</v>
      </c>
      <c r="C148" s="19">
        <v>0.11</v>
      </c>
      <c r="D148" s="19">
        <v>0.03</v>
      </c>
      <c r="E148" s="19">
        <v>0.04</v>
      </c>
      <c r="F148" s="19">
        <v>0.11</v>
      </c>
      <c r="G148" s="19">
        <v>0.01</v>
      </c>
      <c r="H148" s="19">
        <v>0.05</v>
      </c>
      <c r="I148" s="19">
        <f>I155/I157</f>
        <v>5.1826917805658776E-2</v>
      </c>
      <c r="J148" s="626">
        <f>J155/J157</f>
        <v>5.1826917805658776E-2</v>
      </c>
      <c r="K148"/>
      <c r="L148"/>
      <c r="M148"/>
      <c r="N148"/>
      <c r="O148"/>
      <c r="P148"/>
      <c r="Q148"/>
      <c r="R148"/>
      <c r="S148"/>
      <c r="T148"/>
      <c r="U148"/>
      <c r="V148"/>
      <c r="W148"/>
      <c r="X148"/>
      <c r="Y148"/>
      <c r="Z148"/>
      <c r="AA148"/>
      <c r="AB148"/>
      <c r="AC148"/>
      <c r="AD148"/>
      <c r="AE148"/>
      <c r="AF148"/>
      <c r="AY148" s="465"/>
    </row>
    <row r="149" spans="1:51" x14ac:dyDescent="0.25">
      <c r="A149" s="622" t="s">
        <v>22</v>
      </c>
      <c r="B149" s="406">
        <v>0</v>
      </c>
      <c r="C149" s="19">
        <v>0</v>
      </c>
      <c r="D149" s="19">
        <v>0</v>
      </c>
      <c r="E149" s="19">
        <v>0</v>
      </c>
      <c r="F149" s="19">
        <v>0</v>
      </c>
      <c r="G149" s="19">
        <v>0</v>
      </c>
      <c r="H149" s="19">
        <v>0</v>
      </c>
      <c r="I149" s="19">
        <f>I156/I157</f>
        <v>0</v>
      </c>
      <c r="J149" s="626">
        <f>J156/J157</f>
        <v>0</v>
      </c>
      <c r="K149"/>
      <c r="L149"/>
      <c r="M149"/>
      <c r="N149"/>
      <c r="O149"/>
      <c r="P149"/>
      <c r="Q149"/>
      <c r="R149"/>
      <c r="S149"/>
      <c r="T149"/>
      <c r="U149"/>
      <c r="V149"/>
      <c r="W149"/>
      <c r="X149"/>
      <c r="Y149"/>
      <c r="Z149"/>
      <c r="AA149"/>
      <c r="AB149"/>
      <c r="AC149"/>
      <c r="AD149"/>
      <c r="AE149"/>
      <c r="AF149"/>
      <c r="AY149" s="465"/>
    </row>
    <row r="150" spans="1:51" x14ac:dyDescent="0.25">
      <c r="A150" s="627" t="s">
        <v>23</v>
      </c>
      <c r="B150" s="409">
        <f t="shared" ref="B150:J150" si="66">B161/B144</f>
        <v>25781.25</v>
      </c>
      <c r="C150" s="131">
        <f t="shared" si="66"/>
        <v>31772.727272727272</v>
      </c>
      <c r="D150" s="131">
        <f t="shared" si="66"/>
        <v>36483.018867924526</v>
      </c>
      <c r="E150" s="131">
        <f t="shared" si="66"/>
        <v>34580.851063829788</v>
      </c>
      <c r="F150" s="131">
        <f t="shared" si="66"/>
        <v>39315.957446808512</v>
      </c>
      <c r="G150" s="131">
        <f t="shared" si="66"/>
        <v>38283.193277310922</v>
      </c>
      <c r="H150" s="131">
        <f t="shared" si="66"/>
        <v>36717.92452830189</v>
      </c>
      <c r="I150" s="131">
        <f t="shared" si="66"/>
        <v>36313.842975206622</v>
      </c>
      <c r="J150" s="628">
        <f t="shared" si="66"/>
        <v>36313.842975206622</v>
      </c>
      <c r="K150"/>
      <c r="L150"/>
      <c r="M150"/>
      <c r="N150"/>
      <c r="O150"/>
      <c r="P150"/>
      <c r="Q150"/>
      <c r="R150"/>
      <c r="S150"/>
      <c r="T150"/>
      <c r="U150"/>
      <c r="V150"/>
      <c r="W150"/>
      <c r="X150"/>
      <c r="Y150"/>
      <c r="Z150"/>
      <c r="AA150"/>
      <c r="AB150"/>
      <c r="AC150"/>
      <c r="AD150"/>
      <c r="AE150"/>
      <c r="AF150"/>
      <c r="AY150" s="465"/>
    </row>
    <row r="151" spans="1:51" x14ac:dyDescent="0.25">
      <c r="A151" s="627" t="s">
        <v>24</v>
      </c>
      <c r="B151" s="409">
        <f t="shared" ref="B151:J151" si="67">B161/B138</f>
        <v>23571.428571428572</v>
      </c>
      <c r="C151" s="131">
        <f t="shared" si="67"/>
        <v>29125</v>
      </c>
      <c r="D151" s="131">
        <f t="shared" si="67"/>
        <v>32772.881355932201</v>
      </c>
      <c r="E151" s="131">
        <f t="shared" si="67"/>
        <v>27088.333333333332</v>
      </c>
      <c r="F151" s="131">
        <f t="shared" si="67"/>
        <v>30046.341463414639</v>
      </c>
      <c r="G151" s="131">
        <f t="shared" si="67"/>
        <v>30371.333333333332</v>
      </c>
      <c r="H151" s="131">
        <f t="shared" si="67"/>
        <v>27603.546099290779</v>
      </c>
      <c r="I151" s="131">
        <f t="shared" si="67"/>
        <v>29099.172185430471</v>
      </c>
      <c r="J151" s="628">
        <f t="shared" si="67"/>
        <v>29099.172185430467</v>
      </c>
      <c r="K151"/>
      <c r="L151"/>
      <c r="M151"/>
      <c r="N151"/>
      <c r="O151"/>
      <c r="P151"/>
      <c r="Q151"/>
      <c r="R151"/>
      <c r="S151"/>
      <c r="T151"/>
      <c r="U151"/>
      <c r="V151"/>
      <c r="W151"/>
      <c r="X151"/>
      <c r="Y151"/>
      <c r="Z151"/>
      <c r="AA151"/>
      <c r="AB151"/>
      <c r="AC151"/>
      <c r="AD151"/>
      <c r="AE151"/>
      <c r="AF151"/>
      <c r="AY151" s="465"/>
    </row>
    <row r="152" spans="1:51" x14ac:dyDescent="0.25">
      <c r="A152" s="622" t="s">
        <v>25</v>
      </c>
      <c r="B152" s="255">
        <f t="shared" ref="B152:H152" si="68">B157*B145</f>
        <v>321100.19137931033</v>
      </c>
      <c r="C152" s="133">
        <f t="shared" si="68"/>
        <v>514217.04310344823</v>
      </c>
      <c r="D152" s="133">
        <f t="shared" si="68"/>
        <v>981314.0465517242</v>
      </c>
      <c r="E152" s="133">
        <f t="shared" si="68"/>
        <v>833956.22758620686</v>
      </c>
      <c r="F152" s="133">
        <f t="shared" si="68"/>
        <v>1961771.6965517243</v>
      </c>
      <c r="G152" s="133">
        <f t="shared" si="68"/>
        <v>2593873.9344827584</v>
      </c>
      <c r="H152" s="133">
        <f t="shared" si="68"/>
        <v>2208068.0482758619</v>
      </c>
      <c r="I152" s="133">
        <f>SUM(B152:H152)</f>
        <v>9414301.1879310347</v>
      </c>
      <c r="J152" s="629">
        <f t="shared" ref="J152:J157" si="69">+$I152/7</f>
        <v>1344900.1697044335</v>
      </c>
      <c r="K152"/>
      <c r="L152"/>
      <c r="M152"/>
      <c r="N152"/>
      <c r="O152"/>
      <c r="P152"/>
      <c r="Q152"/>
      <c r="R152"/>
      <c r="S152"/>
      <c r="T152"/>
      <c r="U152"/>
      <c r="V152"/>
      <c r="W152"/>
      <c r="X152"/>
      <c r="Y152"/>
      <c r="Z152"/>
      <c r="AA152"/>
      <c r="AB152"/>
      <c r="AC152"/>
      <c r="AD152"/>
      <c r="AE152"/>
      <c r="AF152"/>
      <c r="AY152" s="465"/>
    </row>
    <row r="153" spans="1:51" x14ac:dyDescent="0.25">
      <c r="A153" s="622" t="s">
        <v>26</v>
      </c>
      <c r="B153" s="255">
        <f t="shared" ref="B153:H153" si="70">B157*B146</f>
        <v>0</v>
      </c>
      <c r="C153" s="133">
        <f t="shared" si="70"/>
        <v>0</v>
      </c>
      <c r="D153" s="133">
        <f t="shared" si="70"/>
        <v>112609.80862068967</v>
      </c>
      <c r="E153" s="133">
        <f t="shared" si="70"/>
        <v>0</v>
      </c>
      <c r="F153" s="133">
        <f t="shared" si="70"/>
        <v>0</v>
      </c>
      <c r="G153" s="133">
        <f t="shared" si="70"/>
        <v>75184.751724137939</v>
      </c>
      <c r="H153" s="133">
        <f t="shared" si="70"/>
        <v>0</v>
      </c>
      <c r="I153" s="133">
        <f>SUM(B153:H153)</f>
        <v>187794.56034482759</v>
      </c>
      <c r="J153" s="629">
        <f t="shared" si="69"/>
        <v>26827.79433497537</v>
      </c>
      <c r="K153"/>
      <c r="L153"/>
      <c r="M153"/>
      <c r="N153"/>
      <c r="O153"/>
      <c r="P153"/>
      <c r="Q153"/>
      <c r="R153"/>
      <c r="S153"/>
      <c r="T153"/>
      <c r="U153"/>
      <c r="V153"/>
      <c r="W153"/>
      <c r="X153"/>
      <c r="Y153"/>
      <c r="Z153"/>
      <c r="AA153"/>
      <c r="AB153"/>
      <c r="AC153"/>
      <c r="AD153"/>
      <c r="AE153"/>
      <c r="AF153"/>
      <c r="AY153" s="465"/>
    </row>
    <row r="154" spans="1:51" x14ac:dyDescent="0.25">
      <c r="A154" s="622" t="s">
        <v>27</v>
      </c>
      <c r="B154" s="255">
        <f t="shared" ref="B154:H154" si="71">B157*B147</f>
        <v>341595.94827586209</v>
      </c>
      <c r="C154" s="133">
        <f t="shared" si="71"/>
        <v>261466.29310344826</v>
      </c>
      <c r="D154" s="133">
        <f t="shared" si="71"/>
        <v>466526.35</v>
      </c>
      <c r="E154" s="133">
        <f t="shared" si="71"/>
        <v>457330.83448275866</v>
      </c>
      <c r="F154" s="133">
        <f t="shared" si="71"/>
        <v>766317.06896551733</v>
      </c>
      <c r="G154" s="133">
        <f t="shared" si="71"/>
        <v>1052586.5241379312</v>
      </c>
      <c r="H154" s="133">
        <f t="shared" si="71"/>
        <v>832025.6413793104</v>
      </c>
      <c r="I154" s="133">
        <f>SUM(B154:H154)</f>
        <v>4177848.6603448284</v>
      </c>
      <c r="J154" s="629">
        <f t="shared" si="69"/>
        <v>596835.52290640411</v>
      </c>
      <c r="K154"/>
      <c r="L154"/>
      <c r="M154"/>
      <c r="N154"/>
      <c r="O154"/>
      <c r="P154"/>
      <c r="Q154"/>
      <c r="R154"/>
      <c r="S154"/>
      <c r="T154"/>
      <c r="U154"/>
      <c r="V154"/>
      <c r="W154"/>
      <c r="X154"/>
      <c r="Y154"/>
      <c r="Z154"/>
      <c r="AA154"/>
      <c r="AB154"/>
      <c r="AC154"/>
      <c r="AD154"/>
      <c r="AE154"/>
      <c r="AF154"/>
      <c r="AY154" s="465"/>
    </row>
    <row r="155" spans="1:51" x14ac:dyDescent="0.25">
      <c r="A155" s="622" t="s">
        <v>28</v>
      </c>
      <c r="B155" s="255">
        <f t="shared" ref="B155:H155" si="72">B157*B148</f>
        <v>20495.756896551724</v>
      </c>
      <c r="C155" s="133">
        <f t="shared" si="72"/>
        <v>95870.974137931029</v>
      </c>
      <c r="D155" s="133">
        <f t="shared" si="72"/>
        <v>48261.346551724135</v>
      </c>
      <c r="E155" s="133">
        <f t="shared" si="72"/>
        <v>53803.627586206894</v>
      </c>
      <c r="F155" s="133">
        <f t="shared" si="72"/>
        <v>337179.51034482761</v>
      </c>
      <c r="G155" s="133">
        <f t="shared" si="72"/>
        <v>37592.37586206897</v>
      </c>
      <c r="H155" s="133">
        <f t="shared" si="72"/>
        <v>160004.93103448278</v>
      </c>
      <c r="I155" s="133">
        <f>SUM(B155:H155)</f>
        <v>753208.52241379314</v>
      </c>
      <c r="J155" s="629">
        <f t="shared" si="69"/>
        <v>107601.21748768473</v>
      </c>
      <c r="K155"/>
      <c r="L155"/>
      <c r="M155"/>
      <c r="N155"/>
      <c r="O155"/>
      <c r="P155"/>
      <c r="Q155"/>
      <c r="R155"/>
      <c r="S155"/>
      <c r="T155"/>
      <c r="U155"/>
      <c r="V155"/>
      <c r="W155"/>
      <c r="X155"/>
      <c r="Y155"/>
      <c r="Z155"/>
      <c r="AA155"/>
      <c r="AB155"/>
      <c r="AC155"/>
      <c r="AD155"/>
      <c r="AE155"/>
      <c r="AF155"/>
      <c r="AY155" s="465"/>
    </row>
    <row r="156" spans="1:51" x14ac:dyDescent="0.25">
      <c r="A156" s="622" t="s">
        <v>29</v>
      </c>
      <c r="B156" s="255">
        <f t="shared" ref="B156:H156" si="73">B157*B149</f>
        <v>0</v>
      </c>
      <c r="C156" s="133">
        <f t="shared" si="73"/>
        <v>0</v>
      </c>
      <c r="D156" s="133">
        <f t="shared" si="73"/>
        <v>0</v>
      </c>
      <c r="E156" s="133">
        <f t="shared" si="73"/>
        <v>0</v>
      </c>
      <c r="F156" s="133">
        <f t="shared" si="73"/>
        <v>0</v>
      </c>
      <c r="G156" s="133">
        <f t="shared" si="73"/>
        <v>0</v>
      </c>
      <c r="H156" s="133">
        <f t="shared" si="73"/>
        <v>0</v>
      </c>
      <c r="I156" s="133">
        <f>SUM(B156:H156)</f>
        <v>0</v>
      </c>
      <c r="J156" s="629">
        <f t="shared" si="69"/>
        <v>0</v>
      </c>
      <c r="K156"/>
      <c r="L156"/>
      <c r="M156"/>
      <c r="N156"/>
      <c r="O156"/>
      <c r="P156"/>
      <c r="Q156"/>
      <c r="R156"/>
      <c r="S156"/>
      <c r="T156"/>
      <c r="U156"/>
      <c r="V156"/>
      <c r="W156"/>
      <c r="X156"/>
      <c r="Y156"/>
      <c r="Z156"/>
      <c r="AA156"/>
      <c r="AB156"/>
      <c r="AC156"/>
      <c r="AD156"/>
      <c r="AE156"/>
      <c r="AF156"/>
      <c r="AY156" s="465"/>
    </row>
    <row r="157" spans="1:51" x14ac:dyDescent="0.25">
      <c r="A157" s="630" t="s">
        <v>30</v>
      </c>
      <c r="B157" s="410">
        <f>(825000/1.16)-B158</f>
        <v>683191.89655172417</v>
      </c>
      <c r="C157" s="410">
        <f>(1048500/1.16)-C158</f>
        <v>871554.31034482759</v>
      </c>
      <c r="D157" s="410">
        <f>(1933600/1.16)-D158</f>
        <v>1608711.551724138</v>
      </c>
      <c r="E157" s="410">
        <f>(1625300/1.16)-E158</f>
        <v>1345090.6896551724</v>
      </c>
      <c r="F157" s="410">
        <f>(3695700/1.16)-F158</f>
        <v>3065268.2758620693</v>
      </c>
      <c r="G157" s="410">
        <f>(4555700/1.16)-G158</f>
        <v>3759237.5862068967</v>
      </c>
      <c r="H157" s="410">
        <f>(3892100/1.16)-H158</f>
        <v>3200098.6206896552</v>
      </c>
      <c r="I157" s="136">
        <f>SUM(I152:I156)</f>
        <v>14533152.931034485</v>
      </c>
      <c r="J157" s="631">
        <f t="shared" si="69"/>
        <v>2076164.7044334977</v>
      </c>
      <c r="K157"/>
      <c r="L157"/>
      <c r="M157"/>
      <c r="N157"/>
      <c r="O157"/>
      <c r="P157"/>
      <c r="Q157"/>
      <c r="R157"/>
      <c r="S157"/>
      <c r="T157"/>
      <c r="U157"/>
      <c r="V157"/>
      <c r="W157"/>
      <c r="X157"/>
      <c r="Y157"/>
      <c r="Z157"/>
      <c r="AA157"/>
      <c r="AB157"/>
      <c r="AC157"/>
      <c r="AD157"/>
      <c r="AE157"/>
      <c r="AF157"/>
      <c r="AY157" s="465"/>
    </row>
    <row r="158" spans="1:51" x14ac:dyDescent="0.25">
      <c r="A158" s="622" t="s">
        <v>31</v>
      </c>
      <c r="B158" s="263">
        <f t="shared" ref="B158:H158" si="74">2155*B139</f>
        <v>28015</v>
      </c>
      <c r="C158" s="139">
        <f t="shared" si="74"/>
        <v>32325</v>
      </c>
      <c r="D158" s="139">
        <f t="shared" si="74"/>
        <v>58185</v>
      </c>
      <c r="E158" s="139">
        <f t="shared" si="74"/>
        <v>56030</v>
      </c>
      <c r="F158" s="139">
        <f t="shared" si="74"/>
        <v>120680</v>
      </c>
      <c r="G158" s="139">
        <f t="shared" si="74"/>
        <v>168090</v>
      </c>
      <c r="H158" s="139">
        <f t="shared" si="74"/>
        <v>155160</v>
      </c>
      <c r="I158" s="139">
        <f>I139*2155</f>
        <v>618485</v>
      </c>
      <c r="J158" s="632">
        <f>2155*J139</f>
        <v>88355</v>
      </c>
      <c r="K158"/>
      <c r="L158"/>
      <c r="M158"/>
      <c r="N158"/>
      <c r="O158"/>
      <c r="P158"/>
      <c r="Q158"/>
      <c r="R158"/>
      <c r="S158"/>
      <c r="T158"/>
      <c r="U158"/>
      <c r="V158"/>
      <c r="W158"/>
      <c r="X158"/>
      <c r="Y158"/>
      <c r="Z158"/>
      <c r="AA158"/>
      <c r="AB158"/>
      <c r="AC158"/>
      <c r="AD158"/>
      <c r="AE158"/>
      <c r="AF158"/>
      <c r="AY158" s="465"/>
    </row>
    <row r="159" spans="1:51" x14ac:dyDescent="0.25">
      <c r="A159" s="633" t="s">
        <v>32</v>
      </c>
      <c r="B159" s="411">
        <f t="shared" ref="B159:J159" si="75">B157+B158</f>
        <v>711206.89655172417</v>
      </c>
      <c r="C159" s="40">
        <f t="shared" si="75"/>
        <v>903879.31034482759</v>
      </c>
      <c r="D159" s="40">
        <f t="shared" si="75"/>
        <v>1666896.551724138</v>
      </c>
      <c r="E159" s="40">
        <f t="shared" si="75"/>
        <v>1401120.6896551724</v>
      </c>
      <c r="F159" s="40">
        <f t="shared" si="75"/>
        <v>3185948.2758620693</v>
      </c>
      <c r="G159" s="40">
        <f t="shared" si="75"/>
        <v>3927327.5862068967</v>
      </c>
      <c r="H159" s="40">
        <f t="shared" si="75"/>
        <v>3355258.6206896552</v>
      </c>
      <c r="I159" s="40">
        <f t="shared" si="75"/>
        <v>15151637.931034485</v>
      </c>
      <c r="J159" s="634">
        <f t="shared" si="75"/>
        <v>2164519.704433498</v>
      </c>
      <c r="K159"/>
      <c r="L159"/>
      <c r="M159"/>
      <c r="N159"/>
      <c r="O159"/>
      <c r="P159"/>
      <c r="Q159"/>
      <c r="R159"/>
      <c r="S159"/>
      <c r="T159"/>
      <c r="U159"/>
      <c r="V159"/>
      <c r="W159"/>
      <c r="X159"/>
      <c r="Y159"/>
      <c r="Z159"/>
      <c r="AA159"/>
      <c r="AB159"/>
      <c r="AC159"/>
      <c r="AD159"/>
      <c r="AE159"/>
      <c r="AF159"/>
      <c r="AY159" s="465"/>
    </row>
    <row r="160" spans="1:51" x14ac:dyDescent="0.25">
      <c r="A160" s="622" t="s">
        <v>33</v>
      </c>
      <c r="B160" s="413">
        <f t="shared" ref="B160:J160" si="76">B159*16%</f>
        <v>113793.10344827587</v>
      </c>
      <c r="C160" s="42">
        <f t="shared" si="76"/>
        <v>144620.68965517241</v>
      </c>
      <c r="D160" s="42">
        <f t="shared" si="76"/>
        <v>266703.44827586209</v>
      </c>
      <c r="E160" s="42">
        <f t="shared" si="76"/>
        <v>224179.31034482759</v>
      </c>
      <c r="F160" s="42">
        <f t="shared" si="76"/>
        <v>509751.72413793113</v>
      </c>
      <c r="G160" s="42">
        <f t="shared" si="76"/>
        <v>628372.41379310354</v>
      </c>
      <c r="H160" s="42">
        <f t="shared" si="76"/>
        <v>536841.37931034481</v>
      </c>
      <c r="I160" s="42">
        <f t="shared" si="76"/>
        <v>2424262.0689655175</v>
      </c>
      <c r="J160" s="635">
        <f t="shared" si="76"/>
        <v>346323.15270935971</v>
      </c>
      <c r="K160"/>
      <c r="L160"/>
      <c r="M160"/>
      <c r="N160"/>
      <c r="O160"/>
      <c r="P160"/>
      <c r="Q160"/>
      <c r="R160"/>
      <c r="S160"/>
      <c r="T160"/>
      <c r="U160"/>
      <c r="V160"/>
      <c r="W160"/>
      <c r="X160"/>
      <c r="Y160"/>
      <c r="Z160"/>
      <c r="AA160"/>
      <c r="AB160"/>
      <c r="AC160"/>
      <c r="AD160"/>
      <c r="AE160"/>
      <c r="AF160"/>
      <c r="AY160" s="465"/>
    </row>
    <row r="161" spans="1:51" ht="15.75" thickBot="1" x14ac:dyDescent="0.3">
      <c r="A161" s="636" t="s">
        <v>34</v>
      </c>
      <c r="B161" s="637">
        <f t="shared" ref="B161:I161" si="77">B159+B160</f>
        <v>825000</v>
      </c>
      <c r="C161" s="638">
        <f t="shared" si="77"/>
        <v>1048500</v>
      </c>
      <c r="D161" s="638">
        <f t="shared" si="77"/>
        <v>1933600</v>
      </c>
      <c r="E161" s="638">
        <f t="shared" si="77"/>
        <v>1625300</v>
      </c>
      <c r="F161" s="638">
        <f t="shared" si="77"/>
        <v>3695700.0000000005</v>
      </c>
      <c r="G161" s="638">
        <f t="shared" si="77"/>
        <v>4555700</v>
      </c>
      <c r="H161" s="638">
        <f t="shared" si="77"/>
        <v>3892100</v>
      </c>
      <c r="I161" s="638">
        <f t="shared" si="77"/>
        <v>17575900.000000004</v>
      </c>
      <c r="J161" s="639">
        <f>+$I161/7</f>
        <v>2510842.8571428577</v>
      </c>
      <c r="K161"/>
      <c r="L161"/>
      <c r="M161"/>
      <c r="N161"/>
      <c r="O161"/>
      <c r="P161"/>
      <c r="Q161"/>
      <c r="R161"/>
      <c r="S161"/>
      <c r="T161"/>
      <c r="U161"/>
      <c r="V161"/>
      <c r="W161"/>
      <c r="X161"/>
      <c r="Y161"/>
      <c r="Z161"/>
      <c r="AA161"/>
      <c r="AB161"/>
      <c r="AC161"/>
      <c r="AD161"/>
      <c r="AE161"/>
      <c r="AF161"/>
      <c r="AY161" s="465"/>
    </row>
    <row r="162" spans="1:51" ht="15.75" thickBot="1" x14ac:dyDescent="0.3">
      <c r="K162"/>
      <c r="L162"/>
      <c r="M162"/>
      <c r="N162"/>
      <c r="O162"/>
      <c r="P162"/>
      <c r="Q162"/>
      <c r="R162"/>
      <c r="S162"/>
      <c r="T162"/>
      <c r="U162"/>
      <c r="V162"/>
      <c r="W162"/>
      <c r="X162"/>
      <c r="Y162"/>
      <c r="Z162"/>
      <c r="AA162"/>
      <c r="AB162"/>
      <c r="AC162"/>
      <c r="AD162"/>
      <c r="AE162"/>
      <c r="AF162"/>
      <c r="AY162" s="465"/>
    </row>
    <row r="163" spans="1:51" ht="27" thickBot="1" x14ac:dyDescent="0.3">
      <c r="A163" s="85"/>
      <c r="B163" s="1002" t="s">
        <v>358</v>
      </c>
      <c r="C163" s="1002"/>
      <c r="D163" s="1002"/>
      <c r="E163" s="1002"/>
      <c r="F163" s="1002"/>
      <c r="G163" s="1002"/>
      <c r="H163" s="1002"/>
      <c r="I163" s="1002"/>
      <c r="J163" s="85"/>
      <c r="K163"/>
      <c r="L163"/>
      <c r="M163"/>
      <c r="N163"/>
      <c r="O163"/>
      <c r="P163"/>
      <c r="Q163"/>
      <c r="R163"/>
      <c r="S163"/>
      <c r="T163"/>
      <c r="U163"/>
      <c r="V163"/>
      <c r="W163"/>
      <c r="X163"/>
      <c r="Y163"/>
      <c r="Z163"/>
      <c r="AA163"/>
      <c r="AB163"/>
      <c r="AC163"/>
      <c r="AD163"/>
      <c r="AE163"/>
      <c r="AF163"/>
      <c r="AY163" s="465"/>
    </row>
    <row r="164" spans="1:51" ht="15.75" x14ac:dyDescent="0.25">
      <c r="A164" s="614" t="s">
        <v>2</v>
      </c>
      <c r="B164" s="615" t="s">
        <v>608</v>
      </c>
      <c r="C164" s="616" t="s">
        <v>609</v>
      </c>
      <c r="D164" s="617" t="s">
        <v>610</v>
      </c>
      <c r="E164" s="616" t="s">
        <v>611</v>
      </c>
      <c r="F164" s="616" t="s">
        <v>612</v>
      </c>
      <c r="G164" s="617" t="s">
        <v>613</v>
      </c>
      <c r="H164" s="617" t="s">
        <v>614</v>
      </c>
      <c r="I164" s="618" t="s">
        <v>10</v>
      </c>
      <c r="J164" s="619" t="s">
        <v>77</v>
      </c>
      <c r="K164"/>
      <c r="L164"/>
      <c r="M164"/>
      <c r="N164"/>
      <c r="O164"/>
      <c r="P164"/>
      <c r="Q164"/>
      <c r="R164"/>
      <c r="S164"/>
      <c r="T164"/>
      <c r="U164"/>
      <c r="V164"/>
      <c r="W164"/>
      <c r="X164"/>
      <c r="Y164"/>
      <c r="Z164"/>
      <c r="AA164"/>
      <c r="AB164"/>
      <c r="AC164"/>
      <c r="AD164"/>
      <c r="AE164"/>
      <c r="AF164"/>
      <c r="AY164" s="465"/>
    </row>
    <row r="165" spans="1:51" x14ac:dyDescent="0.25">
      <c r="A165" s="620" t="s">
        <v>11</v>
      </c>
      <c r="B165" s="431">
        <f>32+7</f>
        <v>39</v>
      </c>
      <c r="C165" s="432">
        <f>30+10+2</f>
        <v>42</v>
      </c>
      <c r="D165" s="505">
        <f>35+19+5</f>
        <v>59</v>
      </c>
      <c r="E165" s="432">
        <f>33+12+4</f>
        <v>49</v>
      </c>
      <c r="F165" s="432">
        <f>73+47+13</f>
        <v>133</v>
      </c>
      <c r="G165" s="432">
        <f>76+42+16</f>
        <v>134</v>
      </c>
      <c r="H165" s="432">
        <f>54+48+22</f>
        <v>124</v>
      </c>
      <c r="I165" s="432">
        <f t="shared" ref="I165:I170" si="78">SUM(B165:H165)</f>
        <v>580</v>
      </c>
      <c r="J165" s="621">
        <f t="shared" ref="J165:J171" si="79">+$I165/7</f>
        <v>82.857142857142861</v>
      </c>
      <c r="K165"/>
      <c r="L165"/>
      <c r="M165"/>
      <c r="N165"/>
      <c r="O165"/>
      <c r="P165"/>
      <c r="Q165"/>
      <c r="R165"/>
      <c r="S165"/>
      <c r="T165"/>
      <c r="U165"/>
      <c r="V165"/>
      <c r="W165"/>
      <c r="X165"/>
      <c r="Y165"/>
      <c r="Z165"/>
      <c r="AA165"/>
      <c r="AB165"/>
      <c r="AC165"/>
      <c r="AD165"/>
      <c r="AE165"/>
      <c r="AF165"/>
      <c r="AY165" s="465"/>
    </row>
    <row r="166" spans="1:51" x14ac:dyDescent="0.25">
      <c r="A166" s="622" t="s">
        <v>12</v>
      </c>
      <c r="B166" s="233">
        <v>23</v>
      </c>
      <c r="C166" s="13">
        <v>21</v>
      </c>
      <c r="D166" s="13">
        <v>28</v>
      </c>
      <c r="E166" s="13">
        <v>20</v>
      </c>
      <c r="F166" s="13">
        <v>65</v>
      </c>
      <c r="G166" s="13">
        <v>62</v>
      </c>
      <c r="H166" s="13">
        <v>63</v>
      </c>
      <c r="I166" s="13">
        <f t="shared" si="78"/>
        <v>282</v>
      </c>
      <c r="J166" s="623">
        <f t="shared" si="79"/>
        <v>40.285714285714285</v>
      </c>
      <c r="K166"/>
      <c r="L166"/>
      <c r="M166"/>
      <c r="N166"/>
      <c r="O166"/>
      <c r="P166"/>
      <c r="Q166"/>
      <c r="R166"/>
      <c r="S166"/>
      <c r="T166"/>
      <c r="U166"/>
      <c r="V166"/>
      <c r="W166"/>
      <c r="X166"/>
      <c r="Y166"/>
      <c r="Z166"/>
      <c r="AA166"/>
      <c r="AB166"/>
      <c r="AC166"/>
      <c r="AD166"/>
      <c r="AE166"/>
      <c r="AF166"/>
      <c r="AY166" s="465"/>
    </row>
    <row r="167" spans="1:51" x14ac:dyDescent="0.25">
      <c r="A167" s="622" t="s">
        <v>13</v>
      </c>
      <c r="B167" s="233">
        <v>0</v>
      </c>
      <c r="C167" s="13">
        <v>0</v>
      </c>
      <c r="D167" s="13">
        <v>2</v>
      </c>
      <c r="E167" s="13">
        <v>0</v>
      </c>
      <c r="F167" s="13">
        <v>2</v>
      </c>
      <c r="G167" s="13">
        <v>1</v>
      </c>
      <c r="H167" s="13">
        <v>2</v>
      </c>
      <c r="I167" s="13">
        <f t="shared" si="78"/>
        <v>7</v>
      </c>
      <c r="J167" s="623">
        <f t="shared" si="79"/>
        <v>1</v>
      </c>
      <c r="K167"/>
      <c r="L167"/>
      <c r="M167"/>
      <c r="N167"/>
      <c r="O167"/>
      <c r="P167"/>
      <c r="Q167"/>
      <c r="R167"/>
      <c r="S167"/>
      <c r="T167"/>
      <c r="U167"/>
      <c r="V167"/>
      <c r="W167"/>
      <c r="X167"/>
      <c r="Y167"/>
      <c r="Z167"/>
      <c r="AA167"/>
      <c r="AB167"/>
      <c r="AC167"/>
      <c r="AD167"/>
      <c r="AE167"/>
      <c r="AF167"/>
      <c r="AY167" s="465"/>
    </row>
    <row r="168" spans="1:51" x14ac:dyDescent="0.25">
      <c r="A168" s="622" t="s">
        <v>14</v>
      </c>
      <c r="B168" s="233">
        <v>11</v>
      </c>
      <c r="C168" s="13">
        <v>13</v>
      </c>
      <c r="D168" s="13">
        <v>16</v>
      </c>
      <c r="E168" s="13">
        <v>16</v>
      </c>
      <c r="F168" s="13">
        <v>35</v>
      </c>
      <c r="G168" s="13">
        <v>34</v>
      </c>
      <c r="H168" s="13">
        <v>28</v>
      </c>
      <c r="I168" s="13">
        <f t="shared" si="78"/>
        <v>153</v>
      </c>
      <c r="J168" s="623">
        <f t="shared" si="79"/>
        <v>21.857142857142858</v>
      </c>
      <c r="K168"/>
      <c r="L168"/>
      <c r="M168"/>
      <c r="N168"/>
      <c r="O168"/>
      <c r="P168"/>
      <c r="Q168"/>
      <c r="R168"/>
      <c r="S168"/>
      <c r="T168"/>
      <c r="U168"/>
      <c r="V168"/>
      <c r="W168"/>
      <c r="X168"/>
      <c r="Y168"/>
      <c r="Z168"/>
      <c r="AA168"/>
      <c r="AB168"/>
      <c r="AC168"/>
      <c r="AD168"/>
      <c r="AE168"/>
      <c r="AF168"/>
      <c r="AY168" s="465"/>
    </row>
    <row r="169" spans="1:51" x14ac:dyDescent="0.25">
      <c r="A169" s="622" t="s">
        <v>15</v>
      </c>
      <c r="B169" s="233">
        <v>1</v>
      </c>
      <c r="C169" s="13">
        <v>0</v>
      </c>
      <c r="D169" s="13">
        <v>1</v>
      </c>
      <c r="E169" s="13">
        <v>4</v>
      </c>
      <c r="F169" s="13">
        <v>8</v>
      </c>
      <c r="G169" s="13">
        <v>6</v>
      </c>
      <c r="H169" s="13">
        <v>5</v>
      </c>
      <c r="I169" s="13">
        <f t="shared" si="78"/>
        <v>25</v>
      </c>
      <c r="J169" s="623">
        <f t="shared" si="79"/>
        <v>3.5714285714285716</v>
      </c>
      <c r="K169"/>
      <c r="L169"/>
      <c r="M169"/>
      <c r="N169"/>
      <c r="O169"/>
      <c r="P169"/>
      <c r="Q169"/>
      <c r="R169"/>
      <c r="S169"/>
      <c r="T169"/>
      <c r="U169"/>
      <c r="V169"/>
      <c r="W169"/>
      <c r="X169"/>
      <c r="Y169"/>
      <c r="Z169"/>
      <c r="AA169"/>
      <c r="AB169"/>
      <c r="AC169"/>
      <c r="AD169"/>
      <c r="AE169"/>
      <c r="AF169"/>
      <c r="AY169" s="465"/>
    </row>
    <row r="170" spans="1:51" x14ac:dyDescent="0.25">
      <c r="A170" s="622" t="s">
        <v>16</v>
      </c>
      <c r="B170" s="233">
        <v>0</v>
      </c>
      <c r="C170" s="13">
        <v>0</v>
      </c>
      <c r="D170" s="13">
        <v>0</v>
      </c>
      <c r="E170" s="13">
        <v>0</v>
      </c>
      <c r="F170" s="13">
        <v>0</v>
      </c>
      <c r="G170" s="13">
        <v>0</v>
      </c>
      <c r="H170" s="13">
        <v>0</v>
      </c>
      <c r="I170" s="13">
        <f t="shared" si="78"/>
        <v>0</v>
      </c>
      <c r="J170" s="623">
        <f t="shared" si="79"/>
        <v>0</v>
      </c>
      <c r="K170"/>
      <c r="L170"/>
      <c r="M170"/>
      <c r="N170"/>
      <c r="O170"/>
      <c r="P170"/>
      <c r="Q170"/>
      <c r="R170"/>
      <c r="S170"/>
      <c r="T170"/>
      <c r="U170"/>
      <c r="V170"/>
      <c r="W170"/>
      <c r="X170"/>
      <c r="Y170"/>
      <c r="Z170"/>
      <c r="AA170"/>
      <c r="AB170"/>
      <c r="AC170"/>
      <c r="AD170"/>
      <c r="AE170"/>
      <c r="AF170"/>
      <c r="AY170" s="465"/>
    </row>
    <row r="171" spans="1:51" x14ac:dyDescent="0.25">
      <c r="A171" s="624" t="s">
        <v>17</v>
      </c>
      <c r="B171" s="102">
        <f t="shared" ref="B171:H171" si="80">SUM(B166:B170)</f>
        <v>35</v>
      </c>
      <c r="C171" s="79">
        <f t="shared" si="80"/>
        <v>34</v>
      </c>
      <c r="D171" s="79">
        <f t="shared" si="80"/>
        <v>47</v>
      </c>
      <c r="E171" s="79">
        <f t="shared" si="80"/>
        <v>40</v>
      </c>
      <c r="F171" s="79">
        <f t="shared" si="80"/>
        <v>110</v>
      </c>
      <c r="G171" s="79">
        <f t="shared" si="80"/>
        <v>103</v>
      </c>
      <c r="H171" s="79">
        <f t="shared" si="80"/>
        <v>98</v>
      </c>
      <c r="I171" s="79">
        <f>SUM(I166:I170)</f>
        <v>467</v>
      </c>
      <c r="J171" s="625">
        <f t="shared" si="79"/>
        <v>66.714285714285708</v>
      </c>
      <c r="K171"/>
      <c r="L171"/>
      <c r="M171"/>
      <c r="N171"/>
      <c r="O171"/>
      <c r="P171"/>
      <c r="Q171"/>
      <c r="R171"/>
      <c r="S171"/>
      <c r="T171"/>
      <c r="U171"/>
      <c r="V171"/>
      <c r="W171"/>
      <c r="X171"/>
      <c r="Y171"/>
      <c r="Z171"/>
      <c r="AA171"/>
      <c r="AB171"/>
      <c r="AC171"/>
      <c r="AD171"/>
      <c r="AE171"/>
      <c r="AF171"/>
      <c r="AY171" s="465"/>
    </row>
    <row r="172" spans="1:51" x14ac:dyDescent="0.25">
      <c r="A172" s="622" t="s">
        <v>18</v>
      </c>
      <c r="B172" s="406">
        <v>0.76</v>
      </c>
      <c r="C172" s="19">
        <v>0.76</v>
      </c>
      <c r="D172" s="19">
        <v>0.67</v>
      </c>
      <c r="E172" s="19">
        <v>0.65</v>
      </c>
      <c r="F172" s="19">
        <v>0.59</v>
      </c>
      <c r="G172" s="19">
        <v>0.65</v>
      </c>
      <c r="H172" s="19">
        <v>0.64</v>
      </c>
      <c r="I172" s="19">
        <f>I179/I184</f>
        <v>0.65125259425639181</v>
      </c>
      <c r="J172" s="626">
        <f>J179/J184</f>
        <v>0.65125259425639181</v>
      </c>
      <c r="K172"/>
      <c r="L172"/>
      <c r="M172"/>
      <c r="N172"/>
      <c r="O172"/>
      <c r="P172"/>
      <c r="Q172"/>
      <c r="R172"/>
      <c r="S172"/>
      <c r="T172"/>
      <c r="U172"/>
      <c r="V172"/>
      <c r="W172"/>
      <c r="X172"/>
      <c r="Y172"/>
      <c r="Z172"/>
      <c r="AA172"/>
      <c r="AB172"/>
      <c r="AC172"/>
      <c r="AD172"/>
      <c r="AE172"/>
      <c r="AF172"/>
      <c r="AY172" s="465"/>
    </row>
    <row r="173" spans="1:51" x14ac:dyDescent="0.25">
      <c r="A173" s="622" t="s">
        <v>19</v>
      </c>
      <c r="B173" s="406">
        <v>0</v>
      </c>
      <c r="C173" s="19">
        <v>0</v>
      </c>
      <c r="D173" s="19">
        <v>0.02</v>
      </c>
      <c r="E173" s="19">
        <v>0</v>
      </c>
      <c r="F173" s="19">
        <v>0.03</v>
      </c>
      <c r="G173" s="19">
        <v>0</v>
      </c>
      <c r="H173" s="19">
        <v>0.01</v>
      </c>
      <c r="I173" s="19">
        <f>I180/I184</f>
        <v>1.1379274337243811E-2</v>
      </c>
      <c r="J173" s="626">
        <f>J180/J184</f>
        <v>1.1379274337243811E-2</v>
      </c>
      <c r="K173"/>
      <c r="L173"/>
      <c r="M173"/>
      <c r="N173"/>
      <c r="O173"/>
      <c r="P173"/>
      <c r="Q173"/>
      <c r="R173"/>
      <c r="S173"/>
      <c r="T173"/>
      <c r="U173"/>
      <c r="V173"/>
      <c r="W173"/>
      <c r="X173"/>
      <c r="Y173"/>
      <c r="Z173"/>
      <c r="AA173"/>
      <c r="AB173"/>
      <c r="AC173"/>
      <c r="AD173"/>
      <c r="AE173"/>
      <c r="AF173"/>
      <c r="AY173" s="465"/>
    </row>
    <row r="174" spans="1:51" x14ac:dyDescent="0.25">
      <c r="A174" s="622" t="s">
        <v>20</v>
      </c>
      <c r="B174" s="406">
        <v>0.21</v>
      </c>
      <c r="C174" s="19">
        <v>0.24</v>
      </c>
      <c r="D174" s="19">
        <v>0.28999999999999998</v>
      </c>
      <c r="E174" s="19">
        <v>0.28000000000000003</v>
      </c>
      <c r="F174" s="19">
        <v>0.33</v>
      </c>
      <c r="G174" s="19">
        <v>0.31</v>
      </c>
      <c r="H174" s="19">
        <v>0.27</v>
      </c>
      <c r="I174" s="19">
        <f>I181/I184</f>
        <v>0.28970293131258129</v>
      </c>
      <c r="J174" s="626">
        <f>J181/J184</f>
        <v>0.28970293131258129</v>
      </c>
      <c r="K174"/>
      <c r="L174"/>
      <c r="M174"/>
      <c r="N174"/>
      <c r="O174"/>
      <c r="P174"/>
      <c r="Q174"/>
      <c r="R174"/>
      <c r="S174"/>
      <c r="T174"/>
      <c r="U174"/>
      <c r="V174"/>
      <c r="W174"/>
      <c r="X174"/>
      <c r="Y174"/>
      <c r="Z174"/>
      <c r="AA174"/>
      <c r="AB174"/>
      <c r="AC174"/>
      <c r="AD174"/>
      <c r="AE174"/>
      <c r="AF174"/>
      <c r="AY174" s="465"/>
    </row>
    <row r="175" spans="1:51" x14ac:dyDescent="0.25">
      <c r="A175" s="622" t="s">
        <v>21</v>
      </c>
      <c r="B175" s="406">
        <v>0.03</v>
      </c>
      <c r="C175" s="19">
        <v>0</v>
      </c>
      <c r="D175" s="19">
        <v>0.02</v>
      </c>
      <c r="E175" s="19">
        <v>7.0000000000000007E-2</v>
      </c>
      <c r="F175" s="19">
        <v>0.05</v>
      </c>
      <c r="G175" s="19">
        <v>0.04</v>
      </c>
      <c r="H175" s="19">
        <v>0.08</v>
      </c>
      <c r="I175" s="19">
        <f>I182/I184</f>
        <v>4.7665200093782951E-2</v>
      </c>
      <c r="J175" s="626">
        <f>J182/J184</f>
        <v>4.7665200093782951E-2</v>
      </c>
      <c r="K175"/>
      <c r="L175"/>
      <c r="M175"/>
      <c r="N175"/>
      <c r="O175"/>
      <c r="P175"/>
      <c r="Q175"/>
      <c r="R175"/>
      <c r="S175"/>
      <c r="T175"/>
      <c r="U175"/>
      <c r="V175"/>
      <c r="W175"/>
      <c r="X175"/>
      <c r="Y175"/>
      <c r="Z175"/>
      <c r="AA175"/>
      <c r="AB175"/>
      <c r="AC175"/>
      <c r="AD175"/>
      <c r="AE175"/>
      <c r="AF175"/>
      <c r="AY175" s="465"/>
    </row>
    <row r="176" spans="1:51" x14ac:dyDescent="0.25">
      <c r="A176" s="622" t="s">
        <v>22</v>
      </c>
      <c r="B176" s="406">
        <v>0</v>
      </c>
      <c r="C176" s="19">
        <v>0</v>
      </c>
      <c r="D176" s="19">
        <v>0</v>
      </c>
      <c r="E176" s="19">
        <v>0</v>
      </c>
      <c r="F176" s="19">
        <v>0</v>
      </c>
      <c r="G176" s="19">
        <v>0</v>
      </c>
      <c r="H176" s="19">
        <v>0</v>
      </c>
      <c r="I176" s="19">
        <f>I183/I184</f>
        <v>0</v>
      </c>
      <c r="J176" s="626">
        <f>J183/J184</f>
        <v>0</v>
      </c>
      <c r="K176"/>
      <c r="L176"/>
      <c r="M176"/>
      <c r="N176"/>
      <c r="O176"/>
      <c r="P176"/>
      <c r="Q176"/>
      <c r="R176"/>
      <c r="S176"/>
      <c r="T176"/>
      <c r="U176"/>
      <c r="V176"/>
      <c r="W176"/>
      <c r="X176"/>
      <c r="Y176"/>
      <c r="Z176"/>
      <c r="AA176"/>
      <c r="AB176"/>
      <c r="AC176"/>
      <c r="AD176"/>
      <c r="AE176"/>
      <c r="AF176"/>
      <c r="AY176" s="465"/>
    </row>
    <row r="177" spans="1:51" x14ac:dyDescent="0.25">
      <c r="A177" s="627" t="s">
        <v>23</v>
      </c>
      <c r="B177" s="409">
        <f t="shared" ref="B177:J177" si="81">B188/B171</f>
        <v>34831.42857142858</v>
      </c>
      <c r="C177" s="131">
        <f t="shared" si="81"/>
        <v>35264.705882352944</v>
      </c>
      <c r="D177" s="131">
        <f t="shared" si="81"/>
        <v>41042.553191489358</v>
      </c>
      <c r="E177" s="131">
        <f t="shared" si="81"/>
        <v>38292.5</v>
      </c>
      <c r="F177" s="131">
        <f t="shared" si="81"/>
        <v>37163.636363636368</v>
      </c>
      <c r="G177" s="131">
        <f t="shared" si="81"/>
        <v>36668.932038834959</v>
      </c>
      <c r="H177" s="131">
        <f t="shared" si="81"/>
        <v>36983.673469387759</v>
      </c>
      <c r="I177" s="131">
        <f t="shared" si="81"/>
        <v>37190.792291220561</v>
      </c>
      <c r="J177" s="628">
        <f t="shared" si="81"/>
        <v>37190.792291220569</v>
      </c>
      <c r="K177"/>
      <c r="L177"/>
      <c r="M177"/>
      <c r="N177"/>
      <c r="O177"/>
      <c r="P177"/>
      <c r="Q177"/>
      <c r="R177"/>
      <c r="S177"/>
      <c r="T177"/>
      <c r="U177"/>
      <c r="V177"/>
      <c r="W177"/>
      <c r="X177"/>
      <c r="Y177"/>
      <c r="Z177"/>
      <c r="AA177"/>
      <c r="AB177"/>
      <c r="AC177"/>
      <c r="AD177"/>
      <c r="AE177"/>
      <c r="AF177"/>
      <c r="AY177" s="465"/>
    </row>
    <row r="178" spans="1:51" x14ac:dyDescent="0.25">
      <c r="A178" s="627" t="s">
        <v>24</v>
      </c>
      <c r="B178" s="409">
        <f t="shared" ref="B178:J178" si="82">B188/B165</f>
        <v>31258.974358974367</v>
      </c>
      <c r="C178" s="131">
        <f t="shared" si="82"/>
        <v>28547.619047619046</v>
      </c>
      <c r="D178" s="131">
        <f t="shared" si="82"/>
        <v>32694.915254237287</v>
      </c>
      <c r="E178" s="131">
        <f t="shared" si="82"/>
        <v>31259.183673469386</v>
      </c>
      <c r="F178" s="131">
        <f t="shared" si="82"/>
        <v>30736.84210526316</v>
      </c>
      <c r="G178" s="131">
        <f t="shared" si="82"/>
        <v>28185.820895522393</v>
      </c>
      <c r="H178" s="131">
        <f t="shared" si="82"/>
        <v>29229.032258064519</v>
      </c>
      <c r="I178" s="131">
        <f t="shared" si="82"/>
        <v>29945.000000000007</v>
      </c>
      <c r="J178" s="628">
        <f t="shared" si="82"/>
        <v>29945.000000000004</v>
      </c>
      <c r="K178"/>
      <c r="L178"/>
      <c r="M178"/>
      <c r="N178"/>
      <c r="O178"/>
      <c r="P178"/>
      <c r="Q178"/>
      <c r="R178"/>
      <c r="S178"/>
      <c r="T178"/>
      <c r="U178"/>
      <c r="V178"/>
      <c r="W178"/>
      <c r="X178"/>
      <c r="Y178"/>
      <c r="Z178"/>
      <c r="AA178"/>
      <c r="AB178"/>
      <c r="AC178"/>
      <c r="AD178"/>
      <c r="AE178"/>
      <c r="AF178"/>
      <c r="AY178" s="465"/>
    </row>
    <row r="179" spans="1:51" x14ac:dyDescent="0.25">
      <c r="A179" s="622" t="s">
        <v>25</v>
      </c>
      <c r="B179" s="255">
        <f t="shared" ref="B179:H179" si="83">B184*B172</f>
        <v>761051.2896551725</v>
      </c>
      <c r="C179" s="133">
        <f t="shared" si="83"/>
        <v>751157.92413793108</v>
      </c>
      <c r="D179" s="133">
        <f t="shared" si="83"/>
        <v>1073735.9931034483</v>
      </c>
      <c r="E179" s="133">
        <f t="shared" si="83"/>
        <v>830265.17241379316</v>
      </c>
      <c r="F179" s="133">
        <f t="shared" si="83"/>
        <v>1996597.1293103448</v>
      </c>
      <c r="G179" s="133">
        <f t="shared" si="83"/>
        <v>2029519.879310345</v>
      </c>
      <c r="H179" s="133">
        <f t="shared" si="83"/>
        <v>1912779.3655172416</v>
      </c>
      <c r="I179" s="133">
        <f>SUM(B179:H179)</f>
        <v>9355106.7534482777</v>
      </c>
      <c r="J179" s="629">
        <f t="shared" ref="J179:J184" si="84">+$I179/7</f>
        <v>1336443.8219211826</v>
      </c>
      <c r="K179"/>
      <c r="L179"/>
      <c r="M179"/>
      <c r="N179"/>
      <c r="O179"/>
      <c r="P179"/>
      <c r="Q179"/>
      <c r="R179"/>
      <c r="S179"/>
      <c r="T179"/>
      <c r="U179"/>
      <c r="V179"/>
      <c r="W179"/>
      <c r="X179"/>
      <c r="Y179"/>
      <c r="Z179"/>
      <c r="AA179"/>
      <c r="AB179"/>
      <c r="AC179"/>
      <c r="AD179"/>
      <c r="AE179"/>
      <c r="AF179"/>
      <c r="AY179" s="465"/>
    </row>
    <row r="180" spans="1:51" x14ac:dyDescent="0.25">
      <c r="A180" s="622" t="s">
        <v>26</v>
      </c>
      <c r="B180" s="255">
        <f t="shared" ref="B180:H180" si="85">B184*B173</f>
        <v>0</v>
      </c>
      <c r="C180" s="133">
        <f t="shared" si="85"/>
        <v>0</v>
      </c>
      <c r="D180" s="133">
        <f t="shared" si="85"/>
        <v>32051.820689655175</v>
      </c>
      <c r="E180" s="133">
        <f t="shared" si="85"/>
        <v>0</v>
      </c>
      <c r="F180" s="133">
        <f t="shared" si="85"/>
        <v>101521.88793103449</v>
      </c>
      <c r="G180" s="133">
        <f t="shared" si="85"/>
        <v>0</v>
      </c>
      <c r="H180" s="133">
        <f t="shared" si="85"/>
        <v>29887.177586206901</v>
      </c>
      <c r="I180" s="133">
        <f>SUM(B180:H180)</f>
        <v>163460.88620689657</v>
      </c>
      <c r="J180" s="629">
        <f t="shared" si="84"/>
        <v>23351.555172413795</v>
      </c>
      <c r="K180"/>
      <c r="L180"/>
      <c r="M180"/>
      <c r="N180"/>
      <c r="O180"/>
      <c r="P180"/>
      <c r="Q180"/>
      <c r="R180"/>
      <c r="S180"/>
      <c r="T180"/>
      <c r="U180"/>
      <c r="V180"/>
      <c r="W180"/>
      <c r="X180"/>
      <c r="Y180"/>
      <c r="Z180"/>
      <c r="AA180"/>
      <c r="AB180"/>
      <c r="AC180"/>
      <c r="AD180"/>
      <c r="AE180"/>
      <c r="AF180"/>
      <c r="AY180" s="465"/>
    </row>
    <row r="181" spans="1:51" x14ac:dyDescent="0.25">
      <c r="A181" s="622" t="s">
        <v>27</v>
      </c>
      <c r="B181" s="255">
        <f t="shared" ref="B181:H181" si="86">B184*B174</f>
        <v>210290.4879310345</v>
      </c>
      <c r="C181" s="133">
        <f t="shared" si="86"/>
        <v>237207.76551724141</v>
      </c>
      <c r="D181" s="133">
        <f t="shared" si="86"/>
        <v>464751.4</v>
      </c>
      <c r="E181" s="133">
        <f t="shared" si="86"/>
        <v>357652.68965517246</v>
      </c>
      <c r="F181" s="133">
        <f t="shared" si="86"/>
        <v>1116740.7672413795</v>
      </c>
      <c r="G181" s="133">
        <f t="shared" si="86"/>
        <v>967924.86551724153</v>
      </c>
      <c r="H181" s="133">
        <f t="shared" si="86"/>
        <v>806953.79482758639</v>
      </c>
      <c r="I181" s="133">
        <f>SUM(B181:H181)</f>
        <v>4161521.770689656</v>
      </c>
      <c r="J181" s="629">
        <f t="shared" si="84"/>
        <v>594503.11009852227</v>
      </c>
      <c r="K181"/>
      <c r="L181"/>
      <c r="M181"/>
      <c r="N181"/>
      <c r="O181"/>
      <c r="P181"/>
      <c r="Q181"/>
      <c r="R181"/>
      <c r="S181"/>
      <c r="T181"/>
      <c r="U181"/>
      <c r="V181"/>
      <c r="W181"/>
      <c r="X181"/>
      <c r="Y181"/>
      <c r="Z181"/>
      <c r="AA181"/>
      <c r="AB181"/>
      <c r="AC181"/>
      <c r="AD181"/>
      <c r="AE181"/>
      <c r="AF181"/>
      <c r="AY181" s="465"/>
    </row>
    <row r="182" spans="1:51" x14ac:dyDescent="0.25">
      <c r="A182" s="622" t="s">
        <v>28</v>
      </c>
      <c r="B182" s="255">
        <f t="shared" ref="B182:H182" si="87">B184*B175</f>
        <v>30041.498275862072</v>
      </c>
      <c r="C182" s="133">
        <f t="shared" si="87"/>
        <v>0</v>
      </c>
      <c r="D182" s="133">
        <f t="shared" si="87"/>
        <v>32051.820689655175</v>
      </c>
      <c r="E182" s="133">
        <f t="shared" si="87"/>
        <v>89413.172413793116</v>
      </c>
      <c r="F182" s="133">
        <f t="shared" si="87"/>
        <v>169203.14655172417</v>
      </c>
      <c r="G182" s="133">
        <f t="shared" si="87"/>
        <v>124893.53103448277</v>
      </c>
      <c r="H182" s="133">
        <f t="shared" si="87"/>
        <v>239097.42068965521</v>
      </c>
      <c r="I182" s="133">
        <f>SUM(B182:H182)</f>
        <v>684700.58965517255</v>
      </c>
      <c r="J182" s="629">
        <f t="shared" si="84"/>
        <v>97814.369950738939</v>
      </c>
      <c r="K182"/>
      <c r="L182"/>
      <c r="M182"/>
      <c r="N182"/>
      <c r="O182"/>
      <c r="P182"/>
      <c r="Q182"/>
      <c r="R182"/>
      <c r="S182"/>
      <c r="T182"/>
      <c r="U182"/>
      <c r="V182"/>
      <c r="W182"/>
      <c r="X182"/>
      <c r="Y182"/>
      <c r="Z182"/>
      <c r="AA182"/>
      <c r="AB182"/>
      <c r="AC182"/>
      <c r="AD182"/>
      <c r="AE182"/>
      <c r="AF182"/>
      <c r="AY182" s="465"/>
    </row>
    <row r="183" spans="1:51" x14ac:dyDescent="0.25">
      <c r="A183" s="622" t="s">
        <v>29</v>
      </c>
      <c r="B183" s="255">
        <f t="shared" ref="B183:H183" si="88">B184*B176</f>
        <v>0</v>
      </c>
      <c r="C183" s="133">
        <f t="shared" si="88"/>
        <v>0</v>
      </c>
      <c r="D183" s="133">
        <f t="shared" si="88"/>
        <v>0</v>
      </c>
      <c r="E183" s="133">
        <f t="shared" si="88"/>
        <v>0</v>
      </c>
      <c r="F183" s="133">
        <f t="shared" si="88"/>
        <v>0</v>
      </c>
      <c r="G183" s="133">
        <f t="shared" si="88"/>
        <v>0</v>
      </c>
      <c r="H183" s="133">
        <f t="shared" si="88"/>
        <v>0</v>
      </c>
      <c r="I183" s="133">
        <f>SUM(B183:H183)</f>
        <v>0</v>
      </c>
      <c r="J183" s="629">
        <f t="shared" si="84"/>
        <v>0</v>
      </c>
      <c r="K183"/>
      <c r="L183"/>
      <c r="M183"/>
      <c r="N183"/>
      <c r="O183"/>
      <c r="P183"/>
      <c r="Q183"/>
      <c r="R183"/>
      <c r="S183"/>
      <c r="T183"/>
      <c r="U183"/>
      <c r="V183"/>
      <c r="W183"/>
      <c r="X183"/>
      <c r="Y183"/>
      <c r="Z183"/>
      <c r="AA183"/>
      <c r="AB183"/>
      <c r="AC183"/>
      <c r="AD183"/>
      <c r="AE183"/>
      <c r="AF183"/>
      <c r="AY183" s="465"/>
    </row>
    <row r="184" spans="1:51" x14ac:dyDescent="0.25">
      <c r="A184" s="630" t="s">
        <v>30</v>
      </c>
      <c r="B184" s="410">
        <f>(1219100/1.16)-B185</f>
        <v>1001383.2758620691</v>
      </c>
      <c r="C184" s="410">
        <f>(1199000/1.16)-C185</f>
        <v>988365.68965517252</v>
      </c>
      <c r="D184" s="410">
        <f>(1929000/1.16)-D185</f>
        <v>1602591.0344827587</v>
      </c>
      <c r="E184" s="410">
        <f>(1531700/1.16)-E185</f>
        <v>1277331.0344827587</v>
      </c>
      <c r="F184" s="410">
        <f>(4088000/1.16)-F185</f>
        <v>3384062.931034483</v>
      </c>
      <c r="G184" s="410">
        <f>(3776900/1.16)-G185</f>
        <v>3122338.2758620693</v>
      </c>
      <c r="H184" s="410">
        <f>(3624400/1.16)-H185</f>
        <v>2988717.7586206901</v>
      </c>
      <c r="I184" s="136">
        <f>SUM(I179:I183)</f>
        <v>14364790.000000004</v>
      </c>
      <c r="J184" s="631">
        <f t="shared" si="84"/>
        <v>2052112.8571428577</v>
      </c>
      <c r="K184"/>
      <c r="L184"/>
      <c r="M184"/>
      <c r="N184"/>
      <c r="O184"/>
      <c r="P184"/>
      <c r="Q184"/>
      <c r="R184"/>
      <c r="S184"/>
      <c r="T184"/>
      <c r="U184"/>
      <c r="V184"/>
      <c r="W184"/>
      <c r="X184"/>
      <c r="Y184"/>
      <c r="Z184"/>
      <c r="AA184"/>
      <c r="AB184"/>
      <c r="AC184"/>
      <c r="AD184"/>
      <c r="AE184"/>
      <c r="AF184"/>
      <c r="AY184" s="465"/>
    </row>
    <row r="185" spans="1:51" x14ac:dyDescent="0.25">
      <c r="A185" s="622" t="s">
        <v>31</v>
      </c>
      <c r="B185" s="263">
        <f t="shared" ref="B185:H185" si="89">2155*B166</f>
        <v>49565</v>
      </c>
      <c r="C185" s="139">
        <f t="shared" si="89"/>
        <v>45255</v>
      </c>
      <c r="D185" s="139">
        <f t="shared" si="89"/>
        <v>60340</v>
      </c>
      <c r="E185" s="139">
        <f t="shared" si="89"/>
        <v>43100</v>
      </c>
      <c r="F185" s="139">
        <f t="shared" si="89"/>
        <v>140075</v>
      </c>
      <c r="G185" s="139">
        <f t="shared" si="89"/>
        <v>133610</v>
      </c>
      <c r="H185" s="139">
        <f t="shared" si="89"/>
        <v>135765</v>
      </c>
      <c r="I185" s="139">
        <f>I166*2155</f>
        <v>607710</v>
      </c>
      <c r="J185" s="632">
        <f>2155*J166</f>
        <v>86815.71428571429</v>
      </c>
      <c r="K185"/>
      <c r="L185"/>
      <c r="M185"/>
      <c r="N185"/>
      <c r="O185"/>
      <c r="P185"/>
      <c r="Q185"/>
      <c r="R185"/>
      <c r="S185"/>
      <c r="T185"/>
      <c r="U185"/>
      <c r="V185"/>
      <c r="W185"/>
      <c r="X185"/>
      <c r="Y185"/>
      <c r="Z185"/>
      <c r="AA185"/>
      <c r="AB185"/>
      <c r="AC185"/>
      <c r="AD185"/>
      <c r="AE185"/>
      <c r="AF185"/>
      <c r="AY185" s="465"/>
    </row>
    <row r="186" spans="1:51" x14ac:dyDescent="0.25">
      <c r="A186" s="633" t="s">
        <v>32</v>
      </c>
      <c r="B186" s="411">
        <f t="shared" ref="B186:J186" si="90">B184+B185</f>
        <v>1050948.2758620691</v>
      </c>
      <c r="C186" s="40">
        <f t="shared" si="90"/>
        <v>1033620.6896551725</v>
      </c>
      <c r="D186" s="40">
        <f t="shared" si="90"/>
        <v>1662931.0344827587</v>
      </c>
      <c r="E186" s="40">
        <f t="shared" si="90"/>
        <v>1320431.0344827587</v>
      </c>
      <c r="F186" s="40">
        <f t="shared" si="90"/>
        <v>3524137.931034483</v>
      </c>
      <c r="G186" s="40">
        <f t="shared" si="90"/>
        <v>3255948.2758620693</v>
      </c>
      <c r="H186" s="40">
        <f t="shared" si="90"/>
        <v>3124482.7586206901</v>
      </c>
      <c r="I186" s="40">
        <f t="shared" si="90"/>
        <v>14972500.000000004</v>
      </c>
      <c r="J186" s="634">
        <f t="shared" si="90"/>
        <v>2138928.5714285718</v>
      </c>
      <c r="K186"/>
      <c r="L186"/>
      <c r="M186"/>
      <c r="N186"/>
      <c r="O186"/>
      <c r="P186"/>
      <c r="Q186"/>
      <c r="R186"/>
      <c r="S186"/>
      <c r="T186"/>
      <c r="U186"/>
      <c r="V186"/>
      <c r="W186"/>
      <c r="X186"/>
      <c r="Y186"/>
      <c r="Z186"/>
      <c r="AA186"/>
      <c r="AB186"/>
      <c r="AC186"/>
      <c r="AD186"/>
      <c r="AE186"/>
      <c r="AF186"/>
      <c r="AY186" s="465"/>
    </row>
    <row r="187" spans="1:51" x14ac:dyDescent="0.25">
      <c r="A187" s="622" t="s">
        <v>33</v>
      </c>
      <c r="B187" s="413">
        <f t="shared" ref="B187:J187" si="91">B186*16%</f>
        <v>168151.72413793107</v>
      </c>
      <c r="C187" s="42">
        <f t="shared" si="91"/>
        <v>165379.31034482759</v>
      </c>
      <c r="D187" s="42">
        <f t="shared" si="91"/>
        <v>266068.96551724139</v>
      </c>
      <c r="E187" s="42">
        <f t="shared" si="91"/>
        <v>211268.96551724139</v>
      </c>
      <c r="F187" s="42">
        <f t="shared" si="91"/>
        <v>563862.06896551733</v>
      </c>
      <c r="G187" s="42">
        <f t="shared" si="91"/>
        <v>520951.72413793113</v>
      </c>
      <c r="H187" s="42">
        <f t="shared" si="91"/>
        <v>499917.24137931044</v>
      </c>
      <c r="I187" s="42">
        <f t="shared" si="91"/>
        <v>2395600.0000000005</v>
      </c>
      <c r="J187" s="635">
        <f t="shared" si="91"/>
        <v>342228.57142857148</v>
      </c>
      <c r="K187"/>
      <c r="L187"/>
      <c r="M187"/>
      <c r="N187"/>
      <c r="O187"/>
      <c r="P187"/>
      <c r="Q187"/>
      <c r="R187"/>
      <c r="S187"/>
      <c r="T187"/>
      <c r="U187"/>
      <c r="V187"/>
      <c r="W187"/>
      <c r="X187"/>
      <c r="Y187"/>
      <c r="Z187"/>
      <c r="AA187"/>
      <c r="AB187"/>
      <c r="AC187"/>
      <c r="AD187"/>
      <c r="AE187"/>
      <c r="AF187"/>
      <c r="AY187" s="465"/>
    </row>
    <row r="188" spans="1:51" ht="15.75" thickBot="1" x14ac:dyDescent="0.3">
      <c r="A188" s="636" t="s">
        <v>34</v>
      </c>
      <c r="B188" s="637">
        <f t="shared" ref="B188:I188" si="92">B186+B187</f>
        <v>1219100.0000000002</v>
      </c>
      <c r="C188" s="638">
        <f t="shared" si="92"/>
        <v>1199000</v>
      </c>
      <c r="D188" s="638">
        <f t="shared" si="92"/>
        <v>1929000</v>
      </c>
      <c r="E188" s="638">
        <f t="shared" si="92"/>
        <v>1531700</v>
      </c>
      <c r="F188" s="638">
        <f t="shared" si="92"/>
        <v>4088000.0000000005</v>
      </c>
      <c r="G188" s="638">
        <f t="shared" si="92"/>
        <v>3776900.0000000005</v>
      </c>
      <c r="H188" s="638">
        <f t="shared" si="92"/>
        <v>3624400.0000000005</v>
      </c>
      <c r="I188" s="638">
        <f t="shared" si="92"/>
        <v>17368100.000000004</v>
      </c>
      <c r="J188" s="639">
        <f>+$I188/7</f>
        <v>2481157.1428571432</v>
      </c>
      <c r="K188"/>
      <c r="L188"/>
      <c r="M188"/>
      <c r="N188"/>
      <c r="O188"/>
      <c r="P188"/>
      <c r="Q188"/>
      <c r="R188"/>
      <c r="S188"/>
      <c r="T188"/>
      <c r="U188"/>
      <c r="V188"/>
      <c r="W188"/>
      <c r="X188"/>
      <c r="Y188"/>
      <c r="Z188"/>
      <c r="AA188"/>
      <c r="AB188"/>
      <c r="AC188"/>
      <c r="AD188"/>
      <c r="AE188"/>
      <c r="AF188"/>
      <c r="AY188" s="465"/>
    </row>
    <row r="189" spans="1:51" ht="15.75" thickBot="1" x14ac:dyDescent="0.3">
      <c r="K189"/>
      <c r="L189"/>
      <c r="M189"/>
      <c r="N189"/>
      <c r="O189"/>
      <c r="P189"/>
      <c r="Q189"/>
      <c r="R189"/>
      <c r="S189"/>
      <c r="T189"/>
      <c r="U189"/>
      <c r="V189"/>
      <c r="W189"/>
      <c r="X189"/>
      <c r="Y189"/>
      <c r="Z189"/>
      <c r="AA189"/>
      <c r="AB189"/>
      <c r="AC189"/>
      <c r="AD189"/>
      <c r="AE189"/>
      <c r="AF189"/>
      <c r="AY189" s="465"/>
    </row>
    <row r="190" spans="1:51" ht="27" thickBot="1" x14ac:dyDescent="0.3">
      <c r="A190" s="85"/>
      <c r="B190" s="1002" t="s">
        <v>359</v>
      </c>
      <c r="C190" s="1002"/>
      <c r="D190" s="1002"/>
      <c r="E190" s="1002"/>
      <c r="F190" s="1002"/>
      <c r="G190" s="1002"/>
      <c r="H190" s="1002"/>
      <c r="I190" s="1002"/>
      <c r="J190" s="85"/>
      <c r="K190"/>
      <c r="L190"/>
      <c r="M190"/>
      <c r="N190"/>
      <c r="O190"/>
      <c r="P190"/>
      <c r="Q190"/>
      <c r="R190"/>
      <c r="S190"/>
      <c r="T190"/>
      <c r="U190"/>
      <c r="V190"/>
      <c r="W190"/>
      <c r="X190"/>
      <c r="Y190"/>
      <c r="Z190"/>
      <c r="AA190"/>
      <c r="AB190"/>
      <c r="AC190"/>
      <c r="AD190"/>
      <c r="AE190"/>
      <c r="AF190"/>
      <c r="AY190" s="465"/>
    </row>
    <row r="191" spans="1:51" ht="15.75" x14ac:dyDescent="0.25">
      <c r="A191" s="614" t="s">
        <v>2</v>
      </c>
      <c r="B191" s="615" t="s">
        <v>185</v>
      </c>
      <c r="C191" s="616" t="s">
        <v>186</v>
      </c>
      <c r="D191" s="617" t="s">
        <v>187</v>
      </c>
      <c r="E191" s="616" t="s">
        <v>188</v>
      </c>
      <c r="F191" s="616" t="s">
        <v>189</v>
      </c>
      <c r="G191" s="617" t="s">
        <v>190</v>
      </c>
      <c r="H191" s="617" t="s">
        <v>191</v>
      </c>
      <c r="I191" s="618" t="s">
        <v>10</v>
      </c>
      <c r="J191" s="619" t="s">
        <v>77</v>
      </c>
      <c r="K191"/>
      <c r="L191"/>
      <c r="M191"/>
      <c r="N191"/>
      <c r="O191"/>
      <c r="P191"/>
      <c r="Q191"/>
      <c r="R191"/>
      <c r="S191"/>
      <c r="T191"/>
      <c r="U191"/>
      <c r="V191"/>
      <c r="W191"/>
      <c r="X191"/>
      <c r="Y191"/>
      <c r="Z191"/>
      <c r="AA191"/>
      <c r="AB191"/>
      <c r="AC191"/>
      <c r="AD191"/>
      <c r="AE191"/>
      <c r="AF191"/>
      <c r="AY191" s="465"/>
    </row>
    <row r="192" spans="1:51" x14ac:dyDescent="0.25">
      <c r="A192" s="620" t="s">
        <v>11</v>
      </c>
      <c r="B192" s="431">
        <f>31+10+6</f>
        <v>47</v>
      </c>
      <c r="C192" s="432">
        <f>40+26+6</f>
        <v>72</v>
      </c>
      <c r="D192" s="505">
        <f>36+17+15</f>
        <v>68</v>
      </c>
      <c r="E192" s="432">
        <f>46+15+6</f>
        <v>67</v>
      </c>
      <c r="F192" s="432">
        <f>42+32+8</f>
        <v>82</v>
      </c>
      <c r="G192" s="432">
        <f>69+44+13</f>
        <v>126</v>
      </c>
      <c r="H192" s="432">
        <f>62+50+16</f>
        <v>128</v>
      </c>
      <c r="I192" s="432">
        <f t="shared" ref="I192:I197" si="93">SUM(B192:H192)</f>
        <v>590</v>
      </c>
      <c r="J192" s="621">
        <f t="shared" ref="J192:J198" si="94">+$I192/7</f>
        <v>84.285714285714292</v>
      </c>
      <c r="K192"/>
      <c r="L192"/>
      <c r="M192"/>
      <c r="N192"/>
      <c r="O192"/>
      <c r="P192"/>
      <c r="Q192"/>
      <c r="R192"/>
      <c r="S192"/>
      <c r="T192"/>
      <c r="U192"/>
      <c r="V192"/>
      <c r="W192"/>
      <c r="X192"/>
      <c r="Y192"/>
      <c r="Z192"/>
      <c r="AA192"/>
      <c r="AB192"/>
      <c r="AC192"/>
      <c r="AD192"/>
      <c r="AE192"/>
      <c r="AF192"/>
      <c r="AY192" s="465"/>
    </row>
    <row r="193" spans="1:51" x14ac:dyDescent="0.25">
      <c r="A193" s="622" t="s">
        <v>12</v>
      </c>
      <c r="B193" s="233">
        <v>15</v>
      </c>
      <c r="C193" s="13">
        <v>40</v>
      </c>
      <c r="D193" s="13">
        <v>28</v>
      </c>
      <c r="E193" s="13">
        <v>27</v>
      </c>
      <c r="F193" s="13">
        <v>38</v>
      </c>
      <c r="G193" s="13">
        <v>58</v>
      </c>
      <c r="H193" s="13">
        <v>51</v>
      </c>
      <c r="I193" s="13">
        <f t="shared" si="93"/>
        <v>257</v>
      </c>
      <c r="J193" s="623">
        <f t="shared" si="94"/>
        <v>36.714285714285715</v>
      </c>
      <c r="K193"/>
      <c r="L193"/>
      <c r="M193"/>
      <c r="N193"/>
      <c r="O193"/>
      <c r="P193"/>
      <c r="Q193"/>
      <c r="R193"/>
      <c r="S193"/>
      <c r="T193"/>
      <c r="U193"/>
      <c r="V193"/>
      <c r="W193"/>
      <c r="X193"/>
      <c r="Y193"/>
      <c r="Z193"/>
      <c r="AA193"/>
      <c r="AB193"/>
      <c r="AC193"/>
      <c r="AD193"/>
      <c r="AE193"/>
      <c r="AF193"/>
      <c r="AY193" s="465"/>
    </row>
    <row r="194" spans="1:51" x14ac:dyDescent="0.25">
      <c r="A194" s="622" t="s">
        <v>13</v>
      </c>
      <c r="B194" s="233">
        <v>0</v>
      </c>
      <c r="C194" s="13">
        <v>0</v>
      </c>
      <c r="D194" s="13">
        <v>0</v>
      </c>
      <c r="E194" s="13">
        <v>0</v>
      </c>
      <c r="F194" s="13">
        <v>0</v>
      </c>
      <c r="G194" s="13">
        <v>3</v>
      </c>
      <c r="H194" s="13">
        <v>1</v>
      </c>
      <c r="I194" s="13">
        <f t="shared" si="93"/>
        <v>4</v>
      </c>
      <c r="J194" s="623">
        <f t="shared" si="94"/>
        <v>0.5714285714285714</v>
      </c>
      <c r="K194"/>
      <c r="L194"/>
      <c r="M194"/>
      <c r="N194"/>
      <c r="O194"/>
      <c r="P194"/>
      <c r="Q194"/>
      <c r="R194"/>
      <c r="S194"/>
      <c r="T194"/>
      <c r="U194"/>
      <c r="V194"/>
      <c r="W194"/>
      <c r="X194"/>
      <c r="Y194"/>
      <c r="Z194"/>
      <c r="AA194"/>
      <c r="AB194"/>
      <c r="AC194"/>
      <c r="AD194"/>
      <c r="AE194"/>
      <c r="AF194"/>
      <c r="AY194" s="465"/>
    </row>
    <row r="195" spans="1:51" x14ac:dyDescent="0.25">
      <c r="A195" s="622" t="s">
        <v>14</v>
      </c>
      <c r="B195" s="233">
        <v>22</v>
      </c>
      <c r="C195" s="13">
        <v>17</v>
      </c>
      <c r="D195" s="13">
        <v>18</v>
      </c>
      <c r="E195" s="13">
        <v>17</v>
      </c>
      <c r="F195" s="13">
        <v>26</v>
      </c>
      <c r="G195" s="13">
        <v>40</v>
      </c>
      <c r="H195" s="13">
        <v>42</v>
      </c>
      <c r="I195" s="13">
        <f t="shared" si="93"/>
        <v>182</v>
      </c>
      <c r="J195" s="623">
        <f t="shared" si="94"/>
        <v>26</v>
      </c>
      <c r="K195"/>
      <c r="L195"/>
      <c r="M195"/>
      <c r="N195"/>
      <c r="O195"/>
      <c r="P195"/>
      <c r="Q195"/>
      <c r="R195"/>
      <c r="S195"/>
      <c r="T195"/>
      <c r="U195"/>
      <c r="V195"/>
      <c r="W195"/>
      <c r="X195"/>
      <c r="Y195"/>
      <c r="Z195"/>
      <c r="AA195"/>
      <c r="AB195"/>
      <c r="AC195"/>
      <c r="AD195"/>
      <c r="AE195"/>
      <c r="AF195"/>
      <c r="AY195" s="465"/>
    </row>
    <row r="196" spans="1:51" x14ac:dyDescent="0.25">
      <c r="A196" s="622" t="s">
        <v>15</v>
      </c>
      <c r="B196" s="233">
        <v>1</v>
      </c>
      <c r="C196" s="13">
        <v>0</v>
      </c>
      <c r="D196" s="13">
        <v>0</v>
      </c>
      <c r="E196" s="13">
        <v>5</v>
      </c>
      <c r="F196" s="13">
        <v>1</v>
      </c>
      <c r="G196" s="13">
        <v>1</v>
      </c>
      <c r="H196" s="13">
        <v>3</v>
      </c>
      <c r="I196" s="13">
        <f t="shared" si="93"/>
        <v>11</v>
      </c>
      <c r="J196" s="623">
        <f t="shared" si="94"/>
        <v>1.5714285714285714</v>
      </c>
      <c r="K196"/>
      <c r="L196"/>
      <c r="M196"/>
      <c r="N196"/>
      <c r="O196"/>
      <c r="P196"/>
      <c r="Q196"/>
      <c r="R196"/>
      <c r="S196"/>
      <c r="T196"/>
      <c r="U196"/>
      <c r="V196"/>
      <c r="W196"/>
      <c r="X196"/>
      <c r="Y196"/>
      <c r="Z196"/>
      <c r="AA196"/>
      <c r="AB196"/>
      <c r="AC196"/>
      <c r="AD196"/>
      <c r="AE196"/>
      <c r="AF196"/>
      <c r="AY196" s="465"/>
    </row>
    <row r="197" spans="1:51" x14ac:dyDescent="0.25">
      <c r="A197" s="622" t="s">
        <v>16</v>
      </c>
      <c r="B197" s="233">
        <v>0</v>
      </c>
      <c r="C197" s="13">
        <v>0</v>
      </c>
      <c r="D197" s="13">
        <v>0</v>
      </c>
      <c r="E197" s="13">
        <v>0</v>
      </c>
      <c r="F197" s="13">
        <v>0</v>
      </c>
      <c r="G197" s="13">
        <v>0</v>
      </c>
      <c r="H197" s="13">
        <v>1</v>
      </c>
      <c r="I197" s="13">
        <f t="shared" si="93"/>
        <v>1</v>
      </c>
      <c r="J197" s="623">
        <f t="shared" si="94"/>
        <v>0.14285714285714285</v>
      </c>
      <c r="K197"/>
      <c r="L197"/>
      <c r="M197"/>
      <c r="N197"/>
      <c r="O197"/>
      <c r="P197"/>
      <c r="Q197"/>
      <c r="R197"/>
      <c r="S197"/>
      <c r="T197"/>
      <c r="U197"/>
      <c r="V197"/>
      <c r="W197"/>
      <c r="X197"/>
      <c r="Y197"/>
      <c r="Z197"/>
      <c r="AA197"/>
      <c r="AB197"/>
      <c r="AC197"/>
      <c r="AD197"/>
      <c r="AE197"/>
      <c r="AF197"/>
      <c r="AY197" s="465"/>
    </row>
    <row r="198" spans="1:51" x14ac:dyDescent="0.25">
      <c r="A198" s="624" t="s">
        <v>17</v>
      </c>
      <c r="B198" s="102">
        <f t="shared" ref="B198:H198" si="95">SUM(B193:B197)</f>
        <v>38</v>
      </c>
      <c r="C198" s="79">
        <f t="shared" si="95"/>
        <v>57</v>
      </c>
      <c r="D198" s="79">
        <f t="shared" si="95"/>
        <v>46</v>
      </c>
      <c r="E198" s="79">
        <f t="shared" si="95"/>
        <v>49</v>
      </c>
      <c r="F198" s="79">
        <f t="shared" si="95"/>
        <v>65</v>
      </c>
      <c r="G198" s="79">
        <f t="shared" si="95"/>
        <v>102</v>
      </c>
      <c r="H198" s="79">
        <f t="shared" si="95"/>
        <v>98</v>
      </c>
      <c r="I198" s="79">
        <f>SUM(I193:I197)</f>
        <v>455</v>
      </c>
      <c r="J198" s="625">
        <f t="shared" si="94"/>
        <v>65</v>
      </c>
      <c r="K198"/>
      <c r="L198"/>
      <c r="M198"/>
      <c r="N198"/>
      <c r="O198"/>
      <c r="P198"/>
      <c r="Q198"/>
      <c r="R198"/>
      <c r="S198"/>
      <c r="T198"/>
      <c r="U198"/>
      <c r="V198"/>
      <c r="W198"/>
      <c r="X198"/>
      <c r="Y198"/>
      <c r="Z198"/>
      <c r="AA198"/>
      <c r="AB198"/>
      <c r="AC198"/>
      <c r="AD198"/>
      <c r="AE198"/>
      <c r="AF198"/>
      <c r="AY198" s="465"/>
    </row>
    <row r="199" spans="1:51" x14ac:dyDescent="0.25">
      <c r="A199" s="622" t="s">
        <v>18</v>
      </c>
      <c r="B199" s="406">
        <v>0.54</v>
      </c>
      <c r="C199" s="19">
        <v>0.79</v>
      </c>
      <c r="D199" s="19">
        <v>0.68</v>
      </c>
      <c r="E199" s="19">
        <v>0.67</v>
      </c>
      <c r="F199" s="19">
        <v>0.61</v>
      </c>
      <c r="G199" s="19">
        <v>0.64</v>
      </c>
      <c r="H199" s="19">
        <v>0.52</v>
      </c>
      <c r="I199" s="19">
        <f>I206/I211</f>
        <v>0.62819790846138723</v>
      </c>
      <c r="J199" s="626">
        <f>J206/J211</f>
        <v>0.62819790846138723</v>
      </c>
      <c r="K199"/>
      <c r="L199"/>
      <c r="M199"/>
      <c r="N199"/>
      <c r="O199"/>
      <c r="P199"/>
      <c r="Q199"/>
      <c r="R199"/>
      <c r="S199"/>
      <c r="T199"/>
      <c r="U199"/>
      <c r="V199"/>
      <c r="W199"/>
      <c r="X199"/>
      <c r="Y199"/>
      <c r="Z199"/>
      <c r="AA199"/>
      <c r="AB199"/>
      <c r="AC199"/>
      <c r="AD199"/>
      <c r="AE199"/>
      <c r="AF199"/>
      <c r="AY199" s="465"/>
    </row>
    <row r="200" spans="1:51" x14ac:dyDescent="0.25">
      <c r="A200" s="622" t="s">
        <v>19</v>
      </c>
      <c r="B200" s="406">
        <v>0</v>
      </c>
      <c r="C200" s="19">
        <v>0</v>
      </c>
      <c r="D200" s="19">
        <v>0</v>
      </c>
      <c r="E200" s="19">
        <v>0</v>
      </c>
      <c r="F200" s="19">
        <v>0</v>
      </c>
      <c r="G200" s="19">
        <v>0.04</v>
      </c>
      <c r="H200" s="19">
        <v>0.01</v>
      </c>
      <c r="I200" s="19">
        <f>I207/I211</f>
        <v>1.0893299438861028E-2</v>
      </c>
      <c r="J200" s="626">
        <f>J207/J211</f>
        <v>1.0893299438861028E-2</v>
      </c>
      <c r="K200"/>
      <c r="L200"/>
      <c r="M200"/>
      <c r="N200"/>
      <c r="O200"/>
      <c r="P200"/>
      <c r="Q200"/>
      <c r="R200"/>
      <c r="S200"/>
      <c r="T200"/>
      <c r="U200"/>
      <c r="V200"/>
      <c r="W200"/>
      <c r="X200"/>
      <c r="Y200"/>
      <c r="Z200"/>
      <c r="AA200"/>
      <c r="AB200"/>
      <c r="AC200"/>
      <c r="AD200"/>
      <c r="AE200"/>
      <c r="AF200"/>
      <c r="AY200" s="465"/>
    </row>
    <row r="201" spans="1:51" x14ac:dyDescent="0.25">
      <c r="A201" s="622" t="s">
        <v>20</v>
      </c>
      <c r="B201" s="406">
        <v>0.45</v>
      </c>
      <c r="C201" s="19">
        <v>0.21</v>
      </c>
      <c r="D201" s="19">
        <v>0.32</v>
      </c>
      <c r="E201" s="19">
        <v>0.25</v>
      </c>
      <c r="F201" s="19">
        <v>0.38</v>
      </c>
      <c r="G201" s="19">
        <v>0.32</v>
      </c>
      <c r="H201" s="19">
        <v>0.43</v>
      </c>
      <c r="I201" s="19">
        <f>I208/I211</f>
        <v>0.34071933296649159</v>
      </c>
      <c r="J201" s="626">
        <f>J208/J211</f>
        <v>0.34071933296649159</v>
      </c>
      <c r="K201"/>
      <c r="L201"/>
      <c r="M201"/>
      <c r="N201"/>
      <c r="O201"/>
      <c r="P201"/>
      <c r="Q201"/>
      <c r="R201"/>
      <c r="S201"/>
      <c r="T201"/>
      <c r="U201"/>
      <c r="V201"/>
      <c r="W201"/>
      <c r="X201"/>
      <c r="Y201"/>
      <c r="Z201"/>
      <c r="AA201"/>
      <c r="AB201"/>
      <c r="AC201"/>
      <c r="AD201"/>
      <c r="AE201"/>
      <c r="AF201"/>
      <c r="AY201" s="465"/>
    </row>
    <row r="202" spans="1:51" x14ac:dyDescent="0.25">
      <c r="A202" s="622" t="s">
        <v>21</v>
      </c>
      <c r="B202" s="406">
        <v>0.01</v>
      </c>
      <c r="C202" s="19">
        <v>0</v>
      </c>
      <c r="D202" s="19">
        <v>0</v>
      </c>
      <c r="E202" s="19">
        <v>0.08</v>
      </c>
      <c r="F202" s="19">
        <v>0.01</v>
      </c>
      <c r="G202" s="19">
        <v>0</v>
      </c>
      <c r="H202" s="19">
        <v>0.03</v>
      </c>
      <c r="I202" s="19">
        <f>I209/I211</f>
        <v>1.795286143887944E-2</v>
      </c>
      <c r="J202" s="626">
        <f>J209/J211</f>
        <v>1.7952861438879437E-2</v>
      </c>
      <c r="K202"/>
      <c r="L202"/>
      <c r="M202"/>
      <c r="N202"/>
      <c r="O202"/>
      <c r="P202"/>
      <c r="Q202"/>
      <c r="R202"/>
      <c r="S202"/>
      <c r="T202"/>
      <c r="U202"/>
      <c r="V202"/>
      <c r="W202"/>
      <c r="X202"/>
      <c r="Y202"/>
      <c r="Z202"/>
      <c r="AA202"/>
      <c r="AB202"/>
      <c r="AC202"/>
      <c r="AD202"/>
      <c r="AE202"/>
      <c r="AF202"/>
      <c r="AY202" s="465"/>
    </row>
    <row r="203" spans="1:51" x14ac:dyDescent="0.25">
      <c r="A203" s="622" t="s">
        <v>22</v>
      </c>
      <c r="B203" s="406">
        <v>0</v>
      </c>
      <c r="C203" s="19">
        <v>0</v>
      </c>
      <c r="D203" s="19">
        <v>0</v>
      </c>
      <c r="E203" s="19">
        <v>0</v>
      </c>
      <c r="F203" s="19">
        <v>0</v>
      </c>
      <c r="G203" s="19">
        <v>0</v>
      </c>
      <c r="H203" s="19">
        <v>0.01</v>
      </c>
      <c r="I203" s="19">
        <f>I210/I211</f>
        <v>2.2365976943806401E-3</v>
      </c>
      <c r="J203" s="626">
        <f>J210/J211</f>
        <v>2.2365976943806401E-3</v>
      </c>
      <c r="K203"/>
      <c r="L203"/>
      <c r="M203"/>
      <c r="N203"/>
      <c r="O203"/>
      <c r="P203"/>
      <c r="Q203"/>
      <c r="R203"/>
      <c r="S203"/>
      <c r="T203"/>
      <c r="U203"/>
      <c r="V203"/>
      <c r="W203"/>
      <c r="X203"/>
      <c r="Y203"/>
      <c r="Z203"/>
      <c r="AA203"/>
      <c r="AB203"/>
      <c r="AC203"/>
      <c r="AD203"/>
      <c r="AE203"/>
      <c r="AF203"/>
      <c r="AY203" s="465"/>
    </row>
    <row r="204" spans="1:51" x14ac:dyDescent="0.25">
      <c r="A204" s="627" t="s">
        <v>23</v>
      </c>
      <c r="B204" s="409">
        <f t="shared" ref="B204:J204" si="96">B215/B198</f>
        <v>34357.894736842107</v>
      </c>
      <c r="C204" s="131">
        <f t="shared" si="96"/>
        <v>39573.684210526313</v>
      </c>
      <c r="D204" s="131">
        <f t="shared" si="96"/>
        <v>40676.086956521736</v>
      </c>
      <c r="E204" s="131">
        <f t="shared" si="96"/>
        <v>40904.081632653069</v>
      </c>
      <c r="F204" s="131">
        <f t="shared" si="96"/>
        <v>37818.461538461546</v>
      </c>
      <c r="G204" s="131">
        <f t="shared" si="96"/>
        <v>37514.705882352944</v>
      </c>
      <c r="H204" s="131">
        <f t="shared" si="96"/>
        <v>40124.489795918365</v>
      </c>
      <c r="I204" s="131">
        <f t="shared" si="96"/>
        <v>38799.120879120885</v>
      </c>
      <c r="J204" s="628">
        <f t="shared" si="96"/>
        <v>38799.120879120892</v>
      </c>
      <c r="K204"/>
      <c r="L204"/>
      <c r="M204"/>
      <c r="N204"/>
      <c r="O204"/>
      <c r="P204"/>
      <c r="Q204"/>
      <c r="R204"/>
      <c r="S204"/>
      <c r="T204"/>
      <c r="U204"/>
      <c r="V204"/>
      <c r="W204"/>
      <c r="X204"/>
      <c r="Y204"/>
      <c r="Z204"/>
      <c r="AA204"/>
      <c r="AB204"/>
      <c r="AC204"/>
      <c r="AD204"/>
      <c r="AE204"/>
      <c r="AF204"/>
      <c r="AY204" s="465"/>
    </row>
    <row r="205" spans="1:51" x14ac:dyDescent="0.25">
      <c r="A205" s="627" t="s">
        <v>24</v>
      </c>
      <c r="B205" s="409">
        <f t="shared" ref="B205:J205" si="97">B215/B192</f>
        <v>27778.723404255321</v>
      </c>
      <c r="C205" s="131">
        <f t="shared" si="97"/>
        <v>31329.166666666668</v>
      </c>
      <c r="D205" s="131">
        <f t="shared" si="97"/>
        <v>27516.176470588234</v>
      </c>
      <c r="E205" s="131">
        <f t="shared" si="97"/>
        <v>29914.925373134331</v>
      </c>
      <c r="F205" s="131">
        <f t="shared" si="97"/>
        <v>29978.04878048781</v>
      </c>
      <c r="G205" s="131">
        <f t="shared" si="97"/>
        <v>30369.047619047622</v>
      </c>
      <c r="H205" s="131">
        <f t="shared" si="97"/>
        <v>30720.3125</v>
      </c>
      <c r="I205" s="131">
        <f t="shared" si="97"/>
        <v>29921.355932203394</v>
      </c>
      <c r="J205" s="628">
        <f t="shared" si="97"/>
        <v>29921.355932203394</v>
      </c>
      <c r="K205"/>
      <c r="L205"/>
      <c r="M205"/>
      <c r="N205"/>
      <c r="O205"/>
      <c r="P205"/>
      <c r="Q205"/>
      <c r="R205"/>
      <c r="S205"/>
      <c r="T205"/>
      <c r="U205"/>
      <c r="V205"/>
      <c r="W205"/>
      <c r="X205"/>
      <c r="Y205"/>
      <c r="Z205"/>
      <c r="AA205"/>
      <c r="AB205"/>
      <c r="AC205"/>
      <c r="AD205"/>
      <c r="AE205"/>
      <c r="AF205"/>
      <c r="AY205" s="465"/>
    </row>
    <row r="206" spans="1:51" x14ac:dyDescent="0.25">
      <c r="A206" s="622" t="s">
        <v>25</v>
      </c>
      <c r="B206" s="255">
        <f t="shared" ref="B206:H206" si="98">B211*B199</f>
        <v>590323.81034482759</v>
      </c>
      <c r="C206" s="133">
        <f t="shared" si="98"/>
        <v>1468111.4827586208</v>
      </c>
      <c r="D206" s="133">
        <f t="shared" si="98"/>
        <v>1055820.5241379312</v>
      </c>
      <c r="E206" s="133">
        <f t="shared" si="98"/>
        <v>1118672.0844827588</v>
      </c>
      <c r="F206" s="133">
        <f t="shared" si="98"/>
        <v>1242721.2379310345</v>
      </c>
      <c r="G206" s="133">
        <f t="shared" si="98"/>
        <v>2031178.8137931037</v>
      </c>
      <c r="H206" s="133">
        <f t="shared" si="98"/>
        <v>1705559.7448275862</v>
      </c>
      <c r="I206" s="133">
        <f>SUM(B206:H206)</f>
        <v>9212387.6982758641</v>
      </c>
      <c r="J206" s="629">
        <f t="shared" ref="J206:J211" si="99">+$I206/7</f>
        <v>1316055.3854679805</v>
      </c>
      <c r="K206"/>
      <c r="L206"/>
      <c r="M206"/>
      <c r="N206"/>
      <c r="O206"/>
      <c r="P206"/>
      <c r="Q206"/>
      <c r="R206"/>
      <c r="S206"/>
      <c r="T206"/>
      <c r="U206"/>
      <c r="V206"/>
      <c r="W206"/>
      <c r="X206"/>
      <c r="Y206"/>
      <c r="Z206"/>
      <c r="AA206"/>
      <c r="AB206"/>
      <c r="AC206"/>
      <c r="AD206"/>
      <c r="AE206"/>
      <c r="AF206"/>
      <c r="AY206" s="465"/>
    </row>
    <row r="207" spans="1:51" x14ac:dyDescent="0.25">
      <c r="A207" s="622" t="s">
        <v>26</v>
      </c>
      <c r="B207" s="255">
        <f t="shared" ref="B207:H207" si="100">B211*B200</f>
        <v>0</v>
      </c>
      <c r="C207" s="133">
        <f t="shared" si="100"/>
        <v>0</v>
      </c>
      <c r="D207" s="133">
        <f t="shared" si="100"/>
        <v>0</v>
      </c>
      <c r="E207" s="133">
        <f t="shared" si="100"/>
        <v>0</v>
      </c>
      <c r="F207" s="133">
        <f t="shared" si="100"/>
        <v>0</v>
      </c>
      <c r="G207" s="133">
        <f t="shared" si="100"/>
        <v>126948.67586206898</v>
      </c>
      <c r="H207" s="133">
        <f t="shared" si="100"/>
        <v>32799.225862068968</v>
      </c>
      <c r="I207" s="133">
        <f>SUM(B207:H207)</f>
        <v>159747.90172413795</v>
      </c>
      <c r="J207" s="629">
        <f t="shared" si="99"/>
        <v>22821.128817733992</v>
      </c>
      <c r="K207"/>
      <c r="L207"/>
      <c r="M207"/>
      <c r="N207"/>
      <c r="O207"/>
      <c r="P207"/>
      <c r="Q207"/>
      <c r="R207"/>
      <c r="S207"/>
      <c r="T207"/>
      <c r="U207"/>
      <c r="V207"/>
      <c r="W207"/>
      <c r="X207"/>
      <c r="Y207"/>
      <c r="Z207"/>
      <c r="AA207"/>
      <c r="AB207"/>
      <c r="AC207"/>
      <c r="AD207"/>
      <c r="AE207"/>
      <c r="AF207"/>
      <c r="AY207" s="465"/>
    </row>
    <row r="208" spans="1:51" x14ac:dyDescent="0.25">
      <c r="A208" s="622" t="s">
        <v>27</v>
      </c>
      <c r="B208" s="255">
        <f t="shared" ref="B208:H208" si="101">B211*B201</f>
        <v>491936.50862068968</v>
      </c>
      <c r="C208" s="133">
        <f t="shared" si="101"/>
        <v>390257.4827586207</v>
      </c>
      <c r="D208" s="133">
        <f t="shared" si="101"/>
        <v>496856.71724137932</v>
      </c>
      <c r="E208" s="133">
        <f t="shared" si="101"/>
        <v>417414.95689655177</v>
      </c>
      <c r="F208" s="133">
        <f t="shared" si="101"/>
        <v>774154.21379310358</v>
      </c>
      <c r="G208" s="133">
        <f t="shared" si="101"/>
        <v>1015589.4068965518</v>
      </c>
      <c r="H208" s="133">
        <f t="shared" si="101"/>
        <v>1410366.7120689657</v>
      </c>
      <c r="I208" s="133">
        <f>SUM(B208:H208)</f>
        <v>4996575.998275863</v>
      </c>
      <c r="J208" s="629">
        <f t="shared" si="99"/>
        <v>713796.57118226611</v>
      </c>
      <c r="K208"/>
      <c r="L208"/>
      <c r="M208"/>
      <c r="N208"/>
      <c r="O208"/>
      <c r="P208"/>
      <c r="Q208"/>
      <c r="R208"/>
      <c r="S208"/>
      <c r="T208"/>
      <c r="U208"/>
      <c r="V208"/>
      <c r="W208"/>
      <c r="X208"/>
      <c r="Y208"/>
      <c r="Z208"/>
      <c r="AA208"/>
      <c r="AB208"/>
      <c r="AC208"/>
      <c r="AD208"/>
      <c r="AE208"/>
      <c r="AF208"/>
      <c r="AY208" s="465"/>
    </row>
    <row r="209" spans="1:51" x14ac:dyDescent="0.25">
      <c r="A209" s="622" t="s">
        <v>28</v>
      </c>
      <c r="B209" s="255">
        <f t="shared" ref="B209:H209" si="102">B211*B202</f>
        <v>10931.922413793103</v>
      </c>
      <c r="C209" s="133">
        <f t="shared" si="102"/>
        <v>0</v>
      </c>
      <c r="D209" s="133">
        <f t="shared" si="102"/>
        <v>0</v>
      </c>
      <c r="E209" s="133">
        <f t="shared" si="102"/>
        <v>133572.78620689656</v>
      </c>
      <c r="F209" s="133">
        <f t="shared" si="102"/>
        <v>20372.479310344832</v>
      </c>
      <c r="G209" s="133">
        <f t="shared" si="102"/>
        <v>0</v>
      </c>
      <c r="H209" s="133">
        <f t="shared" si="102"/>
        <v>98397.677586206904</v>
      </c>
      <c r="I209" s="133">
        <f>SUM(B209:H209)</f>
        <v>263274.86551724141</v>
      </c>
      <c r="J209" s="629">
        <f t="shared" si="99"/>
        <v>37610.695073891628</v>
      </c>
      <c r="K209"/>
      <c r="L209"/>
      <c r="M209"/>
      <c r="N209"/>
      <c r="O209"/>
      <c r="P209"/>
      <c r="Q209"/>
      <c r="R209"/>
      <c r="S209"/>
      <c r="T209"/>
      <c r="U209"/>
      <c r="V209"/>
      <c r="W209"/>
      <c r="X209"/>
      <c r="Y209"/>
      <c r="Z209"/>
      <c r="AA209"/>
      <c r="AB209"/>
      <c r="AC209"/>
      <c r="AD209"/>
      <c r="AE209"/>
      <c r="AF209"/>
      <c r="AY209" s="465"/>
    </row>
    <row r="210" spans="1:51" x14ac:dyDescent="0.25">
      <c r="A210" s="622" t="s">
        <v>29</v>
      </c>
      <c r="B210" s="255">
        <f t="shared" ref="B210:H210" si="103">B211*B203</f>
        <v>0</v>
      </c>
      <c r="C210" s="133">
        <f t="shared" si="103"/>
        <v>0</v>
      </c>
      <c r="D210" s="133">
        <f t="shared" si="103"/>
        <v>0</v>
      </c>
      <c r="E210" s="133">
        <f t="shared" si="103"/>
        <v>0</v>
      </c>
      <c r="F210" s="133">
        <f t="shared" si="103"/>
        <v>0</v>
      </c>
      <c r="G210" s="133">
        <f t="shared" si="103"/>
        <v>0</v>
      </c>
      <c r="H210" s="133">
        <f t="shared" si="103"/>
        <v>32799.225862068968</v>
      </c>
      <c r="I210" s="133">
        <f>SUM(B210:H210)</f>
        <v>32799.225862068968</v>
      </c>
      <c r="J210" s="629">
        <f t="shared" si="99"/>
        <v>4685.6036945812812</v>
      </c>
      <c r="K210"/>
      <c r="L210"/>
      <c r="M210"/>
      <c r="N210"/>
      <c r="O210"/>
      <c r="P210"/>
      <c r="Q210"/>
      <c r="R210"/>
      <c r="S210"/>
      <c r="T210"/>
      <c r="U210"/>
      <c r="V210"/>
      <c r="W210"/>
      <c r="X210"/>
      <c r="Y210"/>
      <c r="Z210"/>
      <c r="AA210"/>
      <c r="AB210"/>
      <c r="AC210"/>
      <c r="AD210"/>
      <c r="AE210"/>
      <c r="AF210"/>
      <c r="AY210" s="465"/>
    </row>
    <row r="211" spans="1:51" x14ac:dyDescent="0.25">
      <c r="A211" s="630" t="s">
        <v>30</v>
      </c>
      <c r="B211" s="410">
        <f>(1305600/1.16)-B212</f>
        <v>1093192.2413793104</v>
      </c>
      <c r="C211" s="410">
        <f>(2255700/1.16)-C212</f>
        <v>1858368.9655172415</v>
      </c>
      <c r="D211" s="410">
        <f>(1871100/1.16)-D212</f>
        <v>1552677.2413793104</v>
      </c>
      <c r="E211" s="410">
        <f>(2004300/1.16)-E212</f>
        <v>1669659.8275862071</v>
      </c>
      <c r="F211" s="410">
        <f>(2458200/1.16)-F212</f>
        <v>2037247.931034483</v>
      </c>
      <c r="G211" s="410">
        <f>(3826500/1.16)-G212</f>
        <v>3173716.8965517245</v>
      </c>
      <c r="H211" s="410">
        <f>(3932200/1.16)-H212</f>
        <v>3279922.5862068967</v>
      </c>
      <c r="I211" s="136">
        <f>SUM(I206:I210)</f>
        <v>14664785.689655175</v>
      </c>
      <c r="J211" s="631">
        <f t="shared" si="99"/>
        <v>2094969.3842364536</v>
      </c>
      <c r="K211"/>
      <c r="L211"/>
      <c r="M211"/>
      <c r="N211"/>
      <c r="O211"/>
      <c r="P211"/>
      <c r="Q211"/>
      <c r="R211"/>
      <c r="S211"/>
      <c r="T211"/>
      <c r="U211"/>
      <c r="V211"/>
      <c r="W211"/>
      <c r="X211"/>
      <c r="Y211"/>
      <c r="Z211"/>
      <c r="AA211"/>
      <c r="AB211"/>
      <c r="AC211"/>
      <c r="AD211"/>
      <c r="AE211"/>
      <c r="AF211"/>
      <c r="AY211" s="465"/>
    </row>
    <row r="212" spans="1:51" x14ac:dyDescent="0.25">
      <c r="A212" s="622" t="s">
        <v>31</v>
      </c>
      <c r="B212" s="263">
        <f t="shared" ref="B212:H212" si="104">2155*B193</f>
        <v>32325</v>
      </c>
      <c r="C212" s="139">
        <f t="shared" si="104"/>
        <v>86200</v>
      </c>
      <c r="D212" s="139">
        <f t="shared" si="104"/>
        <v>60340</v>
      </c>
      <c r="E212" s="139">
        <f t="shared" si="104"/>
        <v>58185</v>
      </c>
      <c r="F212" s="139">
        <f t="shared" si="104"/>
        <v>81890</v>
      </c>
      <c r="G212" s="139">
        <f t="shared" si="104"/>
        <v>124990</v>
      </c>
      <c r="H212" s="139">
        <f t="shared" si="104"/>
        <v>109905</v>
      </c>
      <c r="I212" s="139">
        <f>I193*2155</f>
        <v>553835</v>
      </c>
      <c r="J212" s="632">
        <f>2155*J193</f>
        <v>79119.28571428571</v>
      </c>
      <c r="K212"/>
      <c r="L212"/>
      <c r="M212"/>
      <c r="N212"/>
      <c r="O212"/>
      <c r="P212"/>
      <c r="Q212"/>
      <c r="R212"/>
      <c r="S212"/>
      <c r="T212"/>
      <c r="U212"/>
      <c r="V212"/>
      <c r="W212"/>
      <c r="X212"/>
      <c r="Y212"/>
      <c r="Z212"/>
      <c r="AA212"/>
      <c r="AB212"/>
      <c r="AC212"/>
      <c r="AD212"/>
      <c r="AE212"/>
      <c r="AF212"/>
      <c r="AY212" s="465"/>
    </row>
    <row r="213" spans="1:51" x14ac:dyDescent="0.25">
      <c r="A213" s="633" t="s">
        <v>32</v>
      </c>
      <c r="B213" s="411">
        <f t="shared" ref="B213:J213" si="105">B211+B212</f>
        <v>1125517.2413793104</v>
      </c>
      <c r="C213" s="40">
        <f t="shared" si="105"/>
        <v>1944568.9655172415</v>
      </c>
      <c r="D213" s="40">
        <f t="shared" si="105"/>
        <v>1613017.2413793104</v>
      </c>
      <c r="E213" s="40">
        <f t="shared" si="105"/>
        <v>1727844.8275862071</v>
      </c>
      <c r="F213" s="40">
        <f t="shared" si="105"/>
        <v>2119137.931034483</v>
      </c>
      <c r="G213" s="40">
        <f t="shared" si="105"/>
        <v>3298706.8965517245</v>
      </c>
      <c r="H213" s="40">
        <f t="shared" si="105"/>
        <v>3389827.5862068967</v>
      </c>
      <c r="I213" s="40">
        <f t="shared" si="105"/>
        <v>15218620.689655175</v>
      </c>
      <c r="J213" s="634">
        <f t="shared" si="105"/>
        <v>2174088.6699507395</v>
      </c>
      <c r="K213"/>
      <c r="L213"/>
      <c r="M213"/>
      <c r="N213"/>
      <c r="O213"/>
      <c r="P213"/>
      <c r="Q213"/>
      <c r="R213"/>
      <c r="S213"/>
      <c r="T213"/>
      <c r="U213"/>
      <c r="V213"/>
      <c r="W213"/>
      <c r="X213"/>
      <c r="Y213"/>
      <c r="Z213"/>
      <c r="AA213"/>
      <c r="AB213"/>
      <c r="AC213"/>
      <c r="AD213"/>
      <c r="AE213"/>
      <c r="AF213"/>
      <c r="AY213" s="465"/>
    </row>
    <row r="214" spans="1:51" x14ac:dyDescent="0.25">
      <c r="A214" s="622" t="s">
        <v>33</v>
      </c>
      <c r="B214" s="413">
        <f t="shared" ref="B214:J214" si="106">B213*16%</f>
        <v>180082.75862068965</v>
      </c>
      <c r="C214" s="42">
        <f t="shared" si="106"/>
        <v>311131.03448275867</v>
      </c>
      <c r="D214" s="42">
        <f t="shared" si="106"/>
        <v>258082.75862068965</v>
      </c>
      <c r="E214" s="42">
        <f t="shared" si="106"/>
        <v>276455.17241379316</v>
      </c>
      <c r="F214" s="42">
        <f t="shared" si="106"/>
        <v>339062.06896551728</v>
      </c>
      <c r="G214" s="42">
        <f t="shared" si="106"/>
        <v>527793.10344827594</v>
      </c>
      <c r="H214" s="42">
        <f t="shared" si="106"/>
        <v>542372.41379310354</v>
      </c>
      <c r="I214" s="42">
        <f t="shared" si="106"/>
        <v>2434979.3103448283</v>
      </c>
      <c r="J214" s="635">
        <f t="shared" si="106"/>
        <v>347854.18719211832</v>
      </c>
      <c r="K214"/>
      <c r="L214"/>
      <c r="M214"/>
      <c r="N214"/>
      <c r="O214"/>
      <c r="P214"/>
      <c r="Q214"/>
      <c r="R214"/>
      <c r="S214"/>
      <c r="T214"/>
      <c r="U214"/>
      <c r="V214"/>
      <c r="W214"/>
      <c r="X214"/>
      <c r="Y214"/>
      <c r="Z214"/>
      <c r="AA214"/>
      <c r="AB214"/>
      <c r="AC214"/>
      <c r="AD214"/>
      <c r="AE214"/>
      <c r="AF214"/>
      <c r="AY214" s="465"/>
    </row>
    <row r="215" spans="1:51" ht="15.75" thickBot="1" x14ac:dyDescent="0.3">
      <c r="A215" s="636" t="s">
        <v>34</v>
      </c>
      <c r="B215" s="637">
        <f t="shared" ref="B215:I215" si="107">B213+B214</f>
        <v>1305600</v>
      </c>
      <c r="C215" s="638">
        <f t="shared" si="107"/>
        <v>2255700</v>
      </c>
      <c r="D215" s="638">
        <f t="shared" si="107"/>
        <v>1871100</v>
      </c>
      <c r="E215" s="638">
        <f t="shared" si="107"/>
        <v>2004300.0000000002</v>
      </c>
      <c r="F215" s="638">
        <f t="shared" si="107"/>
        <v>2458200.0000000005</v>
      </c>
      <c r="G215" s="638">
        <f t="shared" si="107"/>
        <v>3826500.0000000005</v>
      </c>
      <c r="H215" s="638">
        <f t="shared" si="107"/>
        <v>3932200</v>
      </c>
      <c r="I215" s="638">
        <f t="shared" si="107"/>
        <v>17653600.000000004</v>
      </c>
      <c r="J215" s="639">
        <f>+$I215/7</f>
        <v>2521942.8571428577</v>
      </c>
      <c r="K215"/>
      <c r="L215"/>
      <c r="M215"/>
      <c r="N215"/>
      <c r="O215"/>
      <c r="P215"/>
      <c r="Q215"/>
      <c r="R215"/>
      <c r="S215"/>
      <c r="T215"/>
      <c r="U215"/>
      <c r="V215"/>
      <c r="W215"/>
      <c r="X215"/>
      <c r="Y215"/>
      <c r="Z215"/>
      <c r="AA215"/>
      <c r="AB215"/>
      <c r="AC215"/>
      <c r="AD215"/>
      <c r="AE215"/>
      <c r="AF215"/>
      <c r="AY215" s="465"/>
    </row>
    <row r="216" spans="1:51" ht="15.75" thickBot="1" x14ac:dyDescent="0.3">
      <c r="K216"/>
      <c r="L216"/>
      <c r="M216"/>
      <c r="N216"/>
      <c r="O216"/>
      <c r="P216"/>
      <c r="Q216"/>
      <c r="R216"/>
      <c r="S216"/>
      <c r="T216"/>
      <c r="U216"/>
      <c r="V216"/>
      <c r="W216"/>
      <c r="X216"/>
      <c r="Y216"/>
      <c r="Z216"/>
      <c r="AA216"/>
      <c r="AB216"/>
      <c r="AC216"/>
      <c r="AD216"/>
      <c r="AE216"/>
      <c r="AF216"/>
      <c r="AY216" s="465"/>
    </row>
    <row r="217" spans="1:51" ht="27" thickBot="1" x14ac:dyDescent="0.3">
      <c r="A217" s="85"/>
      <c r="B217" s="1002" t="s">
        <v>98</v>
      </c>
      <c r="C217" s="1002"/>
      <c r="D217" s="1002"/>
      <c r="E217" s="1002"/>
      <c r="F217" s="1002"/>
      <c r="G217" s="1002"/>
      <c r="H217" s="1002"/>
      <c r="I217" s="1002"/>
      <c r="J217" s="85"/>
      <c r="K217"/>
      <c r="L217"/>
      <c r="M217"/>
      <c r="N217"/>
      <c r="O217"/>
      <c r="P217"/>
      <c r="Q217"/>
      <c r="R217"/>
      <c r="S217"/>
      <c r="T217"/>
      <c r="U217"/>
      <c r="V217"/>
      <c r="W217"/>
      <c r="X217"/>
      <c r="Y217"/>
      <c r="Z217"/>
      <c r="AA217"/>
      <c r="AB217"/>
      <c r="AC217"/>
      <c r="AD217"/>
      <c r="AE217"/>
      <c r="AF217"/>
      <c r="AY217" s="465"/>
    </row>
    <row r="218" spans="1:51" ht="15.75" x14ac:dyDescent="0.25">
      <c r="A218" s="614" t="s">
        <v>2</v>
      </c>
      <c r="B218" s="615" t="s">
        <v>193</v>
      </c>
      <c r="C218" s="616" t="s">
        <v>194</v>
      </c>
      <c r="D218" s="617" t="s">
        <v>195</v>
      </c>
      <c r="E218" s="616" t="s">
        <v>196</v>
      </c>
      <c r="F218" s="616" t="s">
        <v>197</v>
      </c>
      <c r="G218" s="617" t="s">
        <v>198</v>
      </c>
      <c r="H218" s="617" t="s">
        <v>199</v>
      </c>
      <c r="I218" s="618" t="s">
        <v>10</v>
      </c>
      <c r="J218" s="619" t="s">
        <v>77</v>
      </c>
      <c r="K218"/>
      <c r="L218"/>
      <c r="M218"/>
      <c r="N218"/>
      <c r="O218"/>
      <c r="P218"/>
      <c r="Q218"/>
      <c r="R218"/>
      <c r="S218"/>
      <c r="T218"/>
      <c r="U218"/>
      <c r="V218"/>
      <c r="W218"/>
      <c r="X218"/>
      <c r="Y218"/>
      <c r="Z218"/>
      <c r="AA218"/>
      <c r="AB218"/>
      <c r="AC218"/>
      <c r="AD218"/>
      <c r="AE218"/>
      <c r="AF218"/>
      <c r="AY218" s="465"/>
    </row>
    <row r="219" spans="1:51" x14ac:dyDescent="0.25">
      <c r="A219" s="620" t="s">
        <v>11</v>
      </c>
      <c r="B219" s="431">
        <f>84+39+18</f>
        <v>141</v>
      </c>
      <c r="C219" s="432">
        <f>39+6+3</f>
        <v>48</v>
      </c>
      <c r="D219" s="505">
        <f>34+11+8</f>
        <v>53</v>
      </c>
      <c r="E219" s="432">
        <f>33+14+3</f>
        <v>50</v>
      </c>
      <c r="F219" s="432">
        <f>75+53+11</f>
        <v>139</v>
      </c>
      <c r="G219" s="432">
        <f>72+58+15</f>
        <v>145</v>
      </c>
      <c r="H219" s="432">
        <f>68+47+25</f>
        <v>140</v>
      </c>
      <c r="I219" s="432">
        <f t="shared" ref="I219:I224" si="108">SUM(B219:H219)</f>
        <v>716</v>
      </c>
      <c r="J219" s="621">
        <f t="shared" ref="J219:J225" si="109">+$I219/7</f>
        <v>102.28571428571429</v>
      </c>
      <c r="K219"/>
      <c r="L219"/>
      <c r="M219"/>
      <c r="N219"/>
      <c r="O219"/>
      <c r="P219"/>
      <c r="Q219"/>
      <c r="R219"/>
      <c r="S219"/>
      <c r="T219"/>
      <c r="U219"/>
      <c r="V219"/>
      <c r="W219"/>
      <c r="X219"/>
      <c r="Y219"/>
      <c r="Z219"/>
      <c r="AA219"/>
      <c r="AB219"/>
      <c r="AC219"/>
      <c r="AD219"/>
      <c r="AE219"/>
      <c r="AF219"/>
      <c r="AY219" s="465"/>
    </row>
    <row r="220" spans="1:51" x14ac:dyDescent="0.25">
      <c r="A220" s="622" t="s">
        <v>12</v>
      </c>
      <c r="B220" s="233">
        <v>81</v>
      </c>
      <c r="C220" s="13">
        <v>17</v>
      </c>
      <c r="D220" s="13">
        <v>22</v>
      </c>
      <c r="E220" s="13">
        <v>23</v>
      </c>
      <c r="F220" s="13">
        <v>72</v>
      </c>
      <c r="G220" s="13">
        <v>72</v>
      </c>
      <c r="H220" s="13">
        <v>77</v>
      </c>
      <c r="I220" s="13">
        <f t="shared" si="108"/>
        <v>364</v>
      </c>
      <c r="J220" s="623">
        <f t="shared" si="109"/>
        <v>52</v>
      </c>
      <c r="K220"/>
      <c r="L220"/>
      <c r="M220"/>
      <c r="N220"/>
      <c r="O220"/>
      <c r="P220"/>
      <c r="Q220"/>
      <c r="R220"/>
      <c r="S220"/>
      <c r="T220"/>
      <c r="U220"/>
      <c r="V220"/>
      <c r="W220"/>
      <c r="X220"/>
      <c r="Y220"/>
      <c r="Z220"/>
      <c r="AA220"/>
      <c r="AB220"/>
      <c r="AC220"/>
      <c r="AD220"/>
      <c r="AE220"/>
      <c r="AF220"/>
      <c r="AY220" s="465"/>
    </row>
    <row r="221" spans="1:51" x14ac:dyDescent="0.25">
      <c r="A221" s="622" t="s">
        <v>13</v>
      </c>
      <c r="B221" s="233">
        <v>3</v>
      </c>
      <c r="C221" s="13">
        <v>0</v>
      </c>
      <c r="D221" s="13">
        <v>0</v>
      </c>
      <c r="E221" s="13">
        <v>0</v>
      </c>
      <c r="F221" s="13">
        <v>2</v>
      </c>
      <c r="G221" s="13">
        <v>1</v>
      </c>
      <c r="H221" s="13">
        <v>1</v>
      </c>
      <c r="I221" s="13">
        <f t="shared" si="108"/>
        <v>7</v>
      </c>
      <c r="J221" s="623">
        <f t="shared" si="109"/>
        <v>1</v>
      </c>
      <c r="K221"/>
      <c r="L221"/>
      <c r="M221"/>
      <c r="N221"/>
      <c r="O221"/>
      <c r="P221"/>
      <c r="Q221"/>
      <c r="R221"/>
      <c r="S221"/>
      <c r="T221"/>
      <c r="U221"/>
      <c r="V221"/>
      <c r="W221"/>
      <c r="X221"/>
      <c r="Y221"/>
      <c r="Z221"/>
      <c r="AA221"/>
      <c r="AB221"/>
      <c r="AC221"/>
      <c r="AD221"/>
      <c r="AE221"/>
      <c r="AF221"/>
      <c r="AY221" s="465"/>
    </row>
    <row r="222" spans="1:51" x14ac:dyDescent="0.25">
      <c r="A222" s="622" t="s">
        <v>14</v>
      </c>
      <c r="B222" s="233">
        <v>23</v>
      </c>
      <c r="C222" s="13">
        <v>15</v>
      </c>
      <c r="D222" s="13">
        <v>17</v>
      </c>
      <c r="E222" s="13">
        <v>21</v>
      </c>
      <c r="F222" s="13">
        <v>39</v>
      </c>
      <c r="G222" s="13">
        <v>27</v>
      </c>
      <c r="H222" s="13">
        <v>17</v>
      </c>
      <c r="I222" s="13">
        <f t="shared" si="108"/>
        <v>159</v>
      </c>
      <c r="J222" s="623">
        <f t="shared" si="109"/>
        <v>22.714285714285715</v>
      </c>
      <c r="K222"/>
      <c r="L222"/>
      <c r="M222"/>
      <c r="N222"/>
      <c r="O222"/>
      <c r="P222"/>
      <c r="Q222"/>
      <c r="R222"/>
      <c r="S222"/>
      <c r="T222"/>
      <c r="U222"/>
      <c r="V222"/>
      <c r="W222"/>
      <c r="X222"/>
      <c r="Y222"/>
      <c r="Z222"/>
      <c r="AA222"/>
      <c r="AB222"/>
      <c r="AC222"/>
      <c r="AD222"/>
      <c r="AE222"/>
      <c r="AF222"/>
      <c r="AY222" s="465"/>
    </row>
    <row r="223" spans="1:51" x14ac:dyDescent="0.25">
      <c r="A223" s="622" t="s">
        <v>15</v>
      </c>
      <c r="B223" s="233">
        <v>0</v>
      </c>
      <c r="C223" s="13">
        <v>4</v>
      </c>
      <c r="D223" s="13">
        <v>3</v>
      </c>
      <c r="E223" s="13">
        <v>2</v>
      </c>
      <c r="F223" s="13">
        <v>4</v>
      </c>
      <c r="G223" s="13">
        <v>5</v>
      </c>
      <c r="H223" s="13">
        <v>5</v>
      </c>
      <c r="I223" s="13">
        <f t="shared" si="108"/>
        <v>23</v>
      </c>
      <c r="J223" s="623">
        <f t="shared" si="109"/>
        <v>3.2857142857142856</v>
      </c>
      <c r="K223"/>
      <c r="L223"/>
      <c r="M223"/>
      <c r="N223"/>
      <c r="O223"/>
      <c r="P223"/>
      <c r="Q223"/>
      <c r="R223"/>
      <c r="S223"/>
      <c r="T223"/>
      <c r="U223"/>
      <c r="V223"/>
      <c r="W223"/>
      <c r="X223"/>
      <c r="Y223"/>
      <c r="Z223"/>
      <c r="AA223"/>
      <c r="AB223"/>
      <c r="AC223"/>
      <c r="AD223"/>
      <c r="AE223"/>
      <c r="AF223"/>
      <c r="AY223" s="465"/>
    </row>
    <row r="224" spans="1:51" x14ac:dyDescent="0.25">
      <c r="A224" s="622" t="s">
        <v>16</v>
      </c>
      <c r="B224" s="233">
        <v>0</v>
      </c>
      <c r="C224" s="13">
        <v>0</v>
      </c>
      <c r="D224" s="13">
        <v>0</v>
      </c>
      <c r="E224" s="13">
        <v>3</v>
      </c>
      <c r="F224" s="13">
        <v>0</v>
      </c>
      <c r="G224" s="13">
        <v>0</v>
      </c>
      <c r="H224" s="13">
        <v>0</v>
      </c>
      <c r="I224" s="13">
        <f t="shared" si="108"/>
        <v>3</v>
      </c>
      <c r="J224" s="623">
        <f t="shared" si="109"/>
        <v>0.42857142857142855</v>
      </c>
      <c r="K224"/>
      <c r="L224"/>
      <c r="M224"/>
      <c r="N224"/>
      <c r="O224"/>
      <c r="P224"/>
      <c r="Q224"/>
      <c r="R224"/>
      <c r="S224"/>
      <c r="T224"/>
      <c r="U224"/>
      <c r="V224"/>
      <c r="W224"/>
      <c r="X224"/>
      <c r="Y224"/>
      <c r="Z224"/>
      <c r="AA224"/>
      <c r="AB224"/>
      <c r="AC224"/>
      <c r="AD224"/>
      <c r="AE224"/>
      <c r="AF224"/>
      <c r="AY224" s="465"/>
    </row>
    <row r="225" spans="1:51" x14ac:dyDescent="0.25">
      <c r="A225" s="624" t="s">
        <v>17</v>
      </c>
      <c r="B225" s="102">
        <f t="shared" ref="B225:H225" si="110">SUM(B220:B224)</f>
        <v>107</v>
      </c>
      <c r="C225" s="79">
        <f t="shared" si="110"/>
        <v>36</v>
      </c>
      <c r="D225" s="79">
        <f t="shared" si="110"/>
        <v>42</v>
      </c>
      <c r="E225" s="79">
        <f t="shared" si="110"/>
        <v>49</v>
      </c>
      <c r="F225" s="79">
        <f t="shared" si="110"/>
        <v>117</v>
      </c>
      <c r="G225" s="79">
        <f t="shared" si="110"/>
        <v>105</v>
      </c>
      <c r="H225" s="79">
        <f t="shared" si="110"/>
        <v>100</v>
      </c>
      <c r="I225" s="79">
        <f>SUM(I220:I224)</f>
        <v>556</v>
      </c>
      <c r="J225" s="625">
        <f t="shared" si="109"/>
        <v>79.428571428571431</v>
      </c>
      <c r="K225"/>
      <c r="L225"/>
      <c r="M225"/>
      <c r="N225"/>
      <c r="O225"/>
      <c r="P225"/>
      <c r="Q225"/>
      <c r="R225"/>
      <c r="S225"/>
      <c r="T225"/>
      <c r="U225"/>
      <c r="V225"/>
      <c r="W225"/>
      <c r="X225"/>
      <c r="Y225"/>
      <c r="Z225"/>
      <c r="AA225"/>
      <c r="AB225"/>
      <c r="AC225"/>
      <c r="AD225"/>
      <c r="AE225"/>
      <c r="AF225"/>
      <c r="AY225" s="465"/>
    </row>
    <row r="226" spans="1:51" x14ac:dyDescent="0.25">
      <c r="A226" s="622" t="s">
        <v>18</v>
      </c>
      <c r="B226" s="406">
        <v>0.82</v>
      </c>
      <c r="C226" s="19">
        <v>0.64</v>
      </c>
      <c r="D226" s="19">
        <v>0.65</v>
      </c>
      <c r="E226" s="19">
        <v>0.54</v>
      </c>
      <c r="F226" s="19">
        <v>0.7</v>
      </c>
      <c r="G226" s="19">
        <v>0.71</v>
      </c>
      <c r="H226" s="19">
        <v>0.83</v>
      </c>
      <c r="I226" s="19">
        <f>I233/I238</f>
        <v>0.73317981313474223</v>
      </c>
      <c r="J226" s="626">
        <f>J233/J238</f>
        <v>0.73317981313474223</v>
      </c>
      <c r="K226"/>
      <c r="L226"/>
      <c r="M226"/>
      <c r="N226"/>
      <c r="O226"/>
      <c r="P226"/>
      <c r="Q226"/>
      <c r="R226"/>
      <c r="S226"/>
      <c r="T226"/>
      <c r="U226"/>
      <c r="V226"/>
      <c r="W226"/>
      <c r="X226"/>
      <c r="Y226"/>
      <c r="Z226"/>
      <c r="AA226"/>
      <c r="AB226"/>
      <c r="AC226"/>
      <c r="AD226"/>
      <c r="AE226"/>
      <c r="AF226"/>
      <c r="AY226" s="465"/>
    </row>
    <row r="227" spans="1:51" x14ac:dyDescent="0.25">
      <c r="A227" s="622" t="s">
        <v>19</v>
      </c>
      <c r="B227" s="406">
        <v>0.01</v>
      </c>
      <c r="C227" s="19">
        <v>0</v>
      </c>
      <c r="D227" s="19">
        <v>0</v>
      </c>
      <c r="E227" s="19">
        <v>0</v>
      </c>
      <c r="F227" s="19">
        <v>0.01</v>
      </c>
      <c r="G227" s="19">
        <v>0.01</v>
      </c>
      <c r="H227" s="19">
        <v>0.01</v>
      </c>
      <c r="I227" s="19">
        <f>I234/I238</f>
        <v>8.0375488000582734E-3</v>
      </c>
      <c r="J227" s="626">
        <f>J234/J238</f>
        <v>8.0375488000582734E-3</v>
      </c>
      <c r="K227"/>
      <c r="L227"/>
      <c r="M227"/>
      <c r="N227"/>
      <c r="O227"/>
      <c r="P227"/>
      <c r="Q227"/>
      <c r="R227"/>
      <c r="S227"/>
      <c r="T227"/>
      <c r="U227"/>
      <c r="V227"/>
      <c r="W227"/>
      <c r="X227"/>
      <c r="Y227"/>
      <c r="Z227"/>
      <c r="AA227"/>
      <c r="AB227"/>
      <c r="AC227"/>
      <c r="AD227"/>
      <c r="AE227"/>
      <c r="AF227"/>
      <c r="AY227" s="465"/>
    </row>
    <row r="228" spans="1:51" x14ac:dyDescent="0.25">
      <c r="A228" s="622" t="s">
        <v>20</v>
      </c>
      <c r="B228" s="406">
        <v>0.17</v>
      </c>
      <c r="C228" s="19">
        <v>0.26</v>
      </c>
      <c r="D228" s="19">
        <v>0.3</v>
      </c>
      <c r="E228" s="19">
        <v>0.34</v>
      </c>
      <c r="F228" s="19">
        <v>0.25</v>
      </c>
      <c r="G228" s="19">
        <v>0.25</v>
      </c>
      <c r="H228" s="19">
        <v>0.13</v>
      </c>
      <c r="I228" s="19">
        <f>I235/I238</f>
        <v>0.22053584662335662</v>
      </c>
      <c r="J228" s="626">
        <f>J235/J238</f>
        <v>0.22053584662335665</v>
      </c>
      <c r="K228"/>
      <c r="L228"/>
      <c r="M228"/>
      <c r="N228"/>
      <c r="O228"/>
      <c r="P228"/>
      <c r="Q228"/>
      <c r="R228"/>
      <c r="S228"/>
      <c r="T228"/>
      <c r="U228"/>
      <c r="V228"/>
      <c r="W228"/>
      <c r="X228"/>
      <c r="Y228"/>
      <c r="Z228"/>
      <c r="AA228"/>
      <c r="AB228"/>
      <c r="AC228"/>
      <c r="AD228"/>
      <c r="AE228"/>
      <c r="AF228"/>
      <c r="AY228" s="465"/>
    </row>
    <row r="229" spans="1:51" x14ac:dyDescent="0.25">
      <c r="A229" s="622" t="s">
        <v>21</v>
      </c>
      <c r="B229" s="406">
        <v>0</v>
      </c>
      <c r="C229" s="19">
        <v>0.1</v>
      </c>
      <c r="D229" s="19">
        <v>0.05</v>
      </c>
      <c r="E229" s="19">
        <v>0.03</v>
      </c>
      <c r="F229" s="19">
        <v>0.04</v>
      </c>
      <c r="G229" s="19">
        <v>0.03</v>
      </c>
      <c r="H229" s="19">
        <v>0.03</v>
      </c>
      <c r="I229" s="19">
        <f>I236/I238</f>
        <v>3.2081646497852806E-2</v>
      </c>
      <c r="J229" s="626">
        <f>J236/J238</f>
        <v>3.2081646497852806E-2</v>
      </c>
      <c r="K229"/>
      <c r="L229"/>
      <c r="M229"/>
      <c r="N229"/>
      <c r="O229"/>
      <c r="P229"/>
      <c r="Q229"/>
      <c r="R229"/>
      <c r="S229"/>
      <c r="T229"/>
      <c r="U229"/>
      <c r="V229"/>
      <c r="W229"/>
      <c r="X229"/>
      <c r="Y229"/>
      <c r="Z229"/>
      <c r="AA229"/>
      <c r="AB229"/>
      <c r="AC229"/>
      <c r="AD229"/>
      <c r="AE229"/>
      <c r="AF229"/>
      <c r="AY229" s="465"/>
    </row>
    <row r="230" spans="1:51" x14ac:dyDescent="0.25">
      <c r="A230" s="622" t="s">
        <v>22</v>
      </c>
      <c r="B230" s="406">
        <v>0</v>
      </c>
      <c r="C230" s="19">
        <v>0</v>
      </c>
      <c r="D230" s="19">
        <v>0</v>
      </c>
      <c r="E230" s="19">
        <v>0.09</v>
      </c>
      <c r="F230" s="19">
        <v>0</v>
      </c>
      <c r="G230" s="19">
        <v>0</v>
      </c>
      <c r="H230" s="19">
        <v>0</v>
      </c>
      <c r="I230" s="19">
        <f>I237/I238</f>
        <v>6.1651449439900996E-3</v>
      </c>
      <c r="J230" s="626">
        <f>J237/J238</f>
        <v>6.1651449439901005E-3</v>
      </c>
      <c r="K230"/>
      <c r="L230"/>
      <c r="M230"/>
      <c r="N230"/>
      <c r="O230"/>
      <c r="P230"/>
      <c r="Q230"/>
      <c r="R230"/>
      <c r="S230"/>
      <c r="T230"/>
      <c r="U230"/>
      <c r="V230"/>
      <c r="W230"/>
      <c r="X230"/>
      <c r="Y230"/>
      <c r="Z230"/>
      <c r="AA230"/>
      <c r="AB230"/>
      <c r="AC230"/>
      <c r="AD230"/>
      <c r="AE230"/>
      <c r="AF230"/>
      <c r="AY230" s="465"/>
    </row>
    <row r="231" spans="1:51" x14ac:dyDescent="0.25">
      <c r="A231" s="627" t="s">
        <v>23</v>
      </c>
      <c r="B231" s="409">
        <f t="shared" ref="B231:J231" si="111">B242/B225</f>
        <v>37173.831775700935</v>
      </c>
      <c r="C231" s="131">
        <f t="shared" si="111"/>
        <v>36013.888888888891</v>
      </c>
      <c r="D231" s="131">
        <f t="shared" si="111"/>
        <v>32383.333333333332</v>
      </c>
      <c r="E231" s="131">
        <f t="shared" si="111"/>
        <v>29179.5918367347</v>
      </c>
      <c r="F231" s="131">
        <f t="shared" si="111"/>
        <v>36643.589743589742</v>
      </c>
      <c r="G231" s="131">
        <f t="shared" si="111"/>
        <v>41140</v>
      </c>
      <c r="H231" s="131">
        <f t="shared" si="111"/>
        <v>42721</v>
      </c>
      <c r="I231" s="131">
        <f t="shared" si="111"/>
        <v>37667.446043165466</v>
      </c>
      <c r="J231" s="628">
        <f t="shared" si="111"/>
        <v>37667.446043165466</v>
      </c>
      <c r="K231"/>
      <c r="L231"/>
      <c r="M231"/>
      <c r="N231"/>
      <c r="O231"/>
      <c r="P231"/>
      <c r="Q231"/>
      <c r="R231"/>
      <c r="S231"/>
      <c r="T231"/>
      <c r="U231"/>
      <c r="V231"/>
      <c r="W231"/>
      <c r="X231"/>
      <c r="Y231"/>
      <c r="Z231"/>
      <c r="AA231"/>
      <c r="AB231"/>
      <c r="AC231"/>
      <c r="AD231"/>
      <c r="AE231"/>
      <c r="AF231"/>
      <c r="AY231" s="465"/>
    </row>
    <row r="232" spans="1:51" x14ac:dyDescent="0.25">
      <c r="A232" s="627" t="s">
        <v>24</v>
      </c>
      <c r="B232" s="409">
        <f t="shared" ref="B232:J232" si="112">B242/B219</f>
        <v>28209.929078014189</v>
      </c>
      <c r="C232" s="131">
        <f t="shared" si="112"/>
        <v>27010.416666666668</v>
      </c>
      <c r="D232" s="131">
        <f t="shared" si="112"/>
        <v>25662.264150943396</v>
      </c>
      <c r="E232" s="131">
        <f t="shared" si="112"/>
        <v>28596.000000000004</v>
      </c>
      <c r="F232" s="131">
        <f t="shared" si="112"/>
        <v>30843.884892086331</v>
      </c>
      <c r="G232" s="131">
        <f t="shared" si="112"/>
        <v>29791.03448275862</v>
      </c>
      <c r="H232" s="131">
        <f t="shared" si="112"/>
        <v>30515</v>
      </c>
      <c r="I232" s="131">
        <f t="shared" si="112"/>
        <v>29250.139664804468</v>
      </c>
      <c r="J232" s="628">
        <f t="shared" si="112"/>
        <v>29250.139664804468</v>
      </c>
      <c r="K232"/>
      <c r="L232"/>
      <c r="M232"/>
      <c r="N232"/>
      <c r="O232"/>
      <c r="P232"/>
      <c r="Q232"/>
      <c r="R232"/>
      <c r="S232"/>
      <c r="T232"/>
      <c r="U232"/>
      <c r="V232"/>
      <c r="W232"/>
      <c r="X232"/>
      <c r="Y232"/>
      <c r="Z232"/>
      <c r="AA232"/>
      <c r="AB232"/>
      <c r="AC232"/>
      <c r="AD232"/>
      <c r="AE232"/>
      <c r="AF232"/>
      <c r="AY232" s="465"/>
    </row>
    <row r="233" spans="1:51" x14ac:dyDescent="0.25">
      <c r="A233" s="622" t="s">
        <v>25</v>
      </c>
      <c r="B233" s="255">
        <f t="shared" ref="B233:H233" si="113">B238*B226</f>
        <v>2668616.624137931</v>
      </c>
      <c r="C233" s="133">
        <f t="shared" si="113"/>
        <v>691863.9448275863</v>
      </c>
      <c r="D233" s="133">
        <f t="shared" si="113"/>
        <v>731308.5</v>
      </c>
      <c r="E233" s="133">
        <f t="shared" si="113"/>
        <v>638831.45172413811</v>
      </c>
      <c r="F233" s="133">
        <f t="shared" si="113"/>
        <v>2478551.7931034486</v>
      </c>
      <c r="G233" s="133">
        <f t="shared" si="113"/>
        <v>2533790.7103448277</v>
      </c>
      <c r="H233" s="133">
        <f t="shared" si="113"/>
        <v>2919035.1568965516</v>
      </c>
      <c r="I233" s="133">
        <f>SUM(B233:H233)</f>
        <v>12661998.181034485</v>
      </c>
      <c r="J233" s="629">
        <f t="shared" ref="J233:J238" si="114">+$I233/7</f>
        <v>1808856.8830049264</v>
      </c>
      <c r="K233"/>
      <c r="L233"/>
      <c r="M233"/>
      <c r="N233"/>
      <c r="O233"/>
      <c r="P233"/>
      <c r="Q233"/>
      <c r="R233"/>
      <c r="S233"/>
      <c r="T233"/>
      <c r="U233"/>
      <c r="V233"/>
      <c r="W233"/>
      <c r="X233"/>
      <c r="Y233"/>
      <c r="Z233"/>
      <c r="AA233"/>
      <c r="AB233"/>
      <c r="AC233"/>
      <c r="AD233"/>
      <c r="AE233"/>
      <c r="AF233"/>
      <c r="AY233" s="465"/>
    </row>
    <row r="234" spans="1:51" x14ac:dyDescent="0.25">
      <c r="A234" s="622" t="s">
        <v>26</v>
      </c>
      <c r="B234" s="255">
        <f t="shared" ref="B234:H234" si="115">B238*B227</f>
        <v>32544.105172413798</v>
      </c>
      <c r="C234" s="133">
        <f t="shared" si="115"/>
        <v>0</v>
      </c>
      <c r="D234" s="133">
        <f t="shared" si="115"/>
        <v>0</v>
      </c>
      <c r="E234" s="133">
        <f t="shared" si="115"/>
        <v>0</v>
      </c>
      <c r="F234" s="133">
        <f t="shared" si="115"/>
        <v>35407.882758620697</v>
      </c>
      <c r="G234" s="133">
        <f t="shared" si="115"/>
        <v>35687.193103448277</v>
      </c>
      <c r="H234" s="133">
        <f t="shared" si="115"/>
        <v>35169.098275862074</v>
      </c>
      <c r="I234" s="133">
        <f>SUM(B234:H234)</f>
        <v>138808.27931034486</v>
      </c>
      <c r="J234" s="629">
        <f t="shared" si="114"/>
        <v>19829.754187192124</v>
      </c>
      <c r="K234"/>
      <c r="L234"/>
      <c r="M234"/>
      <c r="N234"/>
      <c r="O234"/>
      <c r="P234"/>
      <c r="Q234"/>
      <c r="R234"/>
      <c r="S234"/>
      <c r="T234"/>
      <c r="U234"/>
      <c r="V234"/>
      <c r="W234"/>
      <c r="X234"/>
      <c r="Y234"/>
      <c r="Z234"/>
      <c r="AA234"/>
      <c r="AB234"/>
      <c r="AC234"/>
      <c r="AD234"/>
      <c r="AE234"/>
      <c r="AF234"/>
      <c r="AY234" s="465"/>
    </row>
    <row r="235" spans="1:51" x14ac:dyDescent="0.25">
      <c r="A235" s="622" t="s">
        <v>27</v>
      </c>
      <c r="B235" s="255">
        <f t="shared" ref="B235:H235" si="116">B238*B228</f>
        <v>553249.78793103457</v>
      </c>
      <c r="C235" s="133">
        <f t="shared" si="116"/>
        <v>281069.72758620692</v>
      </c>
      <c r="D235" s="133">
        <f t="shared" si="116"/>
        <v>337527</v>
      </c>
      <c r="E235" s="133">
        <f t="shared" si="116"/>
        <v>402227.21034482768</v>
      </c>
      <c r="F235" s="133">
        <f t="shared" si="116"/>
        <v>885197.06896551733</v>
      </c>
      <c r="G235" s="133">
        <f t="shared" si="116"/>
        <v>892179.82758620696</v>
      </c>
      <c r="H235" s="133">
        <f t="shared" si="116"/>
        <v>457198.27758620691</v>
      </c>
      <c r="I235" s="133">
        <f>SUM(B235:H235)</f>
        <v>3808648.9000000004</v>
      </c>
      <c r="J235" s="629">
        <f t="shared" si="114"/>
        <v>544092.70000000007</v>
      </c>
      <c r="K235"/>
      <c r="L235"/>
      <c r="M235"/>
      <c r="N235"/>
      <c r="O235"/>
      <c r="P235"/>
      <c r="Q235"/>
      <c r="R235"/>
      <c r="S235"/>
      <c r="T235"/>
      <c r="U235"/>
      <c r="V235"/>
      <c r="W235"/>
      <c r="X235"/>
      <c r="Y235"/>
      <c r="Z235"/>
      <c r="AA235"/>
      <c r="AB235"/>
      <c r="AC235"/>
      <c r="AD235"/>
      <c r="AE235"/>
      <c r="AF235"/>
      <c r="AY235" s="465"/>
    </row>
    <row r="236" spans="1:51" x14ac:dyDescent="0.25">
      <c r="A236" s="622" t="s">
        <v>28</v>
      </c>
      <c r="B236" s="255">
        <f t="shared" ref="B236:H236" si="117">B238*B229</f>
        <v>0</v>
      </c>
      <c r="C236" s="133">
        <f t="shared" si="117"/>
        <v>108103.74137931036</v>
      </c>
      <c r="D236" s="133">
        <f t="shared" si="117"/>
        <v>56254.5</v>
      </c>
      <c r="E236" s="133">
        <f t="shared" si="117"/>
        <v>35490.636206896554</v>
      </c>
      <c r="F236" s="133">
        <f t="shared" si="117"/>
        <v>141631.53103448279</v>
      </c>
      <c r="G236" s="133">
        <f t="shared" si="117"/>
        <v>107061.57931034484</v>
      </c>
      <c r="H236" s="133">
        <f t="shared" si="117"/>
        <v>105507.29482758621</v>
      </c>
      <c r="I236" s="133">
        <f>SUM(B236:H236)</f>
        <v>554049.2827586208</v>
      </c>
      <c r="J236" s="629">
        <f t="shared" si="114"/>
        <v>79149.897536945835</v>
      </c>
      <c r="K236"/>
      <c r="L236"/>
      <c r="M236"/>
      <c r="N236"/>
      <c r="O236"/>
      <c r="P236"/>
      <c r="Q236"/>
      <c r="R236"/>
      <c r="S236"/>
      <c r="T236"/>
      <c r="U236"/>
      <c r="V236"/>
      <c r="W236"/>
      <c r="X236"/>
      <c r="Y236"/>
      <c r="Z236"/>
      <c r="AA236"/>
      <c r="AB236"/>
      <c r="AC236"/>
      <c r="AD236"/>
      <c r="AE236"/>
      <c r="AF236"/>
      <c r="AY236" s="465"/>
    </row>
    <row r="237" spans="1:51" x14ac:dyDescent="0.25">
      <c r="A237" s="622" t="s">
        <v>29</v>
      </c>
      <c r="B237" s="255">
        <f t="shared" ref="B237:H237" si="118">B238*B230</f>
        <v>0</v>
      </c>
      <c r="C237" s="133">
        <f t="shared" si="118"/>
        <v>0</v>
      </c>
      <c r="D237" s="133">
        <f t="shared" si="118"/>
        <v>0</v>
      </c>
      <c r="E237" s="133">
        <f t="shared" si="118"/>
        <v>106471.90862068966</v>
      </c>
      <c r="F237" s="133">
        <f t="shared" si="118"/>
        <v>0</v>
      </c>
      <c r="G237" s="133">
        <f t="shared" si="118"/>
        <v>0</v>
      </c>
      <c r="H237" s="133">
        <f t="shared" si="118"/>
        <v>0</v>
      </c>
      <c r="I237" s="133">
        <f>SUM(B237:H237)</f>
        <v>106471.90862068966</v>
      </c>
      <c r="J237" s="629">
        <f t="shared" si="114"/>
        <v>15210.272660098522</v>
      </c>
      <c r="K237"/>
      <c r="L237"/>
      <c r="M237"/>
      <c r="N237"/>
      <c r="O237"/>
      <c r="P237"/>
      <c r="Q237"/>
      <c r="R237"/>
      <c r="S237"/>
      <c r="T237"/>
      <c r="U237"/>
      <c r="V237"/>
      <c r="W237"/>
      <c r="X237"/>
      <c r="Y237"/>
      <c r="Z237"/>
      <c r="AA237"/>
      <c r="AB237"/>
      <c r="AC237"/>
      <c r="AD237"/>
      <c r="AE237"/>
      <c r="AF237"/>
      <c r="AY237" s="465"/>
    </row>
    <row r="238" spans="1:51" x14ac:dyDescent="0.25">
      <c r="A238" s="630" t="s">
        <v>30</v>
      </c>
      <c r="B238" s="410">
        <f>(3977600/1.16)-B239</f>
        <v>3254410.5172413797</v>
      </c>
      <c r="C238" s="410">
        <f>(1296500/1.16)-C239</f>
        <v>1081037.4137931035</v>
      </c>
      <c r="D238" s="410">
        <f>(1360100/1.16)-D239</f>
        <v>1125090</v>
      </c>
      <c r="E238" s="410">
        <f>(1429800/1.16)-E239</f>
        <v>1183021.2068965519</v>
      </c>
      <c r="F238" s="410">
        <f>(4287300/1.16)-F239</f>
        <v>3540788.2758620693</v>
      </c>
      <c r="G238" s="410">
        <f>(4319700/1.16)-G239</f>
        <v>3568719.3103448278</v>
      </c>
      <c r="H238" s="410">
        <f>(4272100/1.16)-H239</f>
        <v>3516909.8275862071</v>
      </c>
      <c r="I238" s="136">
        <f>SUM(I233:I237)</f>
        <v>17269976.55172414</v>
      </c>
      <c r="J238" s="631">
        <f t="shared" si="114"/>
        <v>2467139.5073891627</v>
      </c>
      <c r="K238"/>
      <c r="L238"/>
      <c r="M238"/>
      <c r="N238"/>
      <c r="O238"/>
      <c r="P238"/>
      <c r="Q238"/>
      <c r="R238"/>
      <c r="S238"/>
      <c r="T238"/>
      <c r="U238"/>
      <c r="V238"/>
      <c r="W238"/>
      <c r="X238"/>
      <c r="Y238"/>
      <c r="Z238"/>
      <c r="AA238"/>
      <c r="AB238"/>
      <c r="AC238"/>
      <c r="AD238"/>
      <c r="AE238"/>
      <c r="AF238"/>
      <c r="AY238" s="465"/>
    </row>
    <row r="239" spans="1:51" x14ac:dyDescent="0.25">
      <c r="A239" s="622" t="s">
        <v>31</v>
      </c>
      <c r="B239" s="263">
        <f t="shared" ref="B239:H239" si="119">2155*B220</f>
        <v>174555</v>
      </c>
      <c r="C239" s="139">
        <f t="shared" si="119"/>
        <v>36635</v>
      </c>
      <c r="D239" s="139">
        <f t="shared" si="119"/>
        <v>47410</v>
      </c>
      <c r="E239" s="139">
        <f t="shared" si="119"/>
        <v>49565</v>
      </c>
      <c r="F239" s="139">
        <f t="shared" si="119"/>
        <v>155160</v>
      </c>
      <c r="G239" s="139">
        <f t="shared" si="119"/>
        <v>155160</v>
      </c>
      <c r="H239" s="139">
        <f t="shared" si="119"/>
        <v>165935</v>
      </c>
      <c r="I239" s="139">
        <f>I220*2155</f>
        <v>784420</v>
      </c>
      <c r="J239" s="632">
        <f>2155*J220</f>
        <v>112060</v>
      </c>
      <c r="K239"/>
      <c r="L239"/>
      <c r="M239"/>
      <c r="N239"/>
      <c r="O239"/>
      <c r="P239"/>
      <c r="Q239"/>
      <c r="R239"/>
      <c r="S239"/>
      <c r="T239"/>
      <c r="U239"/>
      <c r="V239"/>
      <c r="W239"/>
      <c r="X239"/>
      <c r="Y239"/>
      <c r="Z239"/>
      <c r="AA239"/>
      <c r="AB239"/>
      <c r="AC239"/>
      <c r="AD239"/>
      <c r="AE239"/>
      <c r="AF239"/>
      <c r="AY239" s="465"/>
    </row>
    <row r="240" spans="1:51" x14ac:dyDescent="0.25">
      <c r="A240" s="633" t="s">
        <v>32</v>
      </c>
      <c r="B240" s="411">
        <f t="shared" ref="B240:J240" si="120">B238+B239</f>
        <v>3428965.5172413797</v>
      </c>
      <c r="C240" s="40">
        <f t="shared" si="120"/>
        <v>1117672.4137931035</v>
      </c>
      <c r="D240" s="40">
        <f t="shared" si="120"/>
        <v>1172500</v>
      </c>
      <c r="E240" s="40">
        <f t="shared" si="120"/>
        <v>1232586.2068965519</v>
      </c>
      <c r="F240" s="40">
        <f t="shared" si="120"/>
        <v>3695948.2758620693</v>
      </c>
      <c r="G240" s="40">
        <f t="shared" si="120"/>
        <v>3723879.3103448278</v>
      </c>
      <c r="H240" s="40">
        <f t="shared" si="120"/>
        <v>3682844.8275862071</v>
      </c>
      <c r="I240" s="40">
        <f t="shared" si="120"/>
        <v>18054396.55172414</v>
      </c>
      <c r="J240" s="634">
        <f t="shared" si="120"/>
        <v>2579199.5073891627</v>
      </c>
      <c r="K240"/>
      <c r="L240"/>
      <c r="M240"/>
      <c r="N240"/>
      <c r="O240"/>
      <c r="P240"/>
      <c r="Q240"/>
      <c r="R240"/>
      <c r="S240"/>
      <c r="T240"/>
      <c r="U240"/>
      <c r="V240"/>
      <c r="W240"/>
      <c r="X240"/>
      <c r="Y240"/>
      <c r="Z240"/>
      <c r="AA240"/>
      <c r="AB240"/>
      <c r="AC240"/>
      <c r="AD240"/>
      <c r="AE240"/>
      <c r="AF240"/>
      <c r="AY240" s="465"/>
    </row>
    <row r="241" spans="1:51" x14ac:dyDescent="0.25">
      <c r="A241" s="622" t="s">
        <v>33</v>
      </c>
      <c r="B241" s="413">
        <f t="shared" ref="B241:J241" si="121">B240*16%</f>
        <v>548634.48275862075</v>
      </c>
      <c r="C241" s="42">
        <f t="shared" si="121"/>
        <v>178827.58620689658</v>
      </c>
      <c r="D241" s="42">
        <f t="shared" si="121"/>
        <v>187600</v>
      </c>
      <c r="E241" s="42">
        <f t="shared" si="121"/>
        <v>197213.79310344832</v>
      </c>
      <c r="F241" s="42">
        <f t="shared" si="121"/>
        <v>591351.72413793113</v>
      </c>
      <c r="G241" s="42">
        <f t="shared" si="121"/>
        <v>595820.68965517252</v>
      </c>
      <c r="H241" s="42">
        <f t="shared" si="121"/>
        <v>589255.17241379316</v>
      </c>
      <c r="I241" s="42">
        <f t="shared" si="121"/>
        <v>2888703.4482758623</v>
      </c>
      <c r="J241" s="635">
        <f t="shared" si="121"/>
        <v>412671.92118226603</v>
      </c>
      <c r="K241"/>
      <c r="L241"/>
      <c r="M241"/>
      <c r="N241"/>
      <c r="O241"/>
      <c r="P241"/>
      <c r="Q241"/>
      <c r="R241"/>
      <c r="S241"/>
      <c r="T241"/>
      <c r="U241"/>
      <c r="V241"/>
      <c r="W241"/>
      <c r="X241"/>
      <c r="Y241"/>
      <c r="Z241"/>
      <c r="AA241"/>
      <c r="AB241"/>
      <c r="AC241"/>
      <c r="AD241"/>
      <c r="AE241"/>
      <c r="AF241"/>
      <c r="AY241" s="465"/>
    </row>
    <row r="242" spans="1:51" ht="15.75" thickBot="1" x14ac:dyDescent="0.3">
      <c r="A242" s="636" t="s">
        <v>34</v>
      </c>
      <c r="B242" s="637">
        <f t="shared" ref="B242:I242" si="122">B240+B241</f>
        <v>3977600.0000000005</v>
      </c>
      <c r="C242" s="638">
        <f t="shared" si="122"/>
        <v>1296500</v>
      </c>
      <c r="D242" s="638">
        <f t="shared" si="122"/>
        <v>1360100</v>
      </c>
      <c r="E242" s="638">
        <f t="shared" si="122"/>
        <v>1429800.0000000002</v>
      </c>
      <c r="F242" s="638">
        <f t="shared" si="122"/>
        <v>4287300</v>
      </c>
      <c r="G242" s="638">
        <f t="shared" si="122"/>
        <v>4319700</v>
      </c>
      <c r="H242" s="638">
        <f t="shared" si="122"/>
        <v>4272100</v>
      </c>
      <c r="I242" s="638">
        <f t="shared" si="122"/>
        <v>20943100</v>
      </c>
      <c r="J242" s="639">
        <f>+$I242/7</f>
        <v>2991871.4285714286</v>
      </c>
      <c r="K242"/>
      <c r="L242"/>
      <c r="M242"/>
      <c r="N242"/>
      <c r="O242"/>
      <c r="P242"/>
      <c r="Q242"/>
      <c r="R242"/>
      <c r="S242"/>
      <c r="T242"/>
      <c r="U242"/>
      <c r="V242"/>
      <c r="W242"/>
      <c r="X242"/>
      <c r="Y242"/>
      <c r="Z242"/>
      <c r="AA242"/>
      <c r="AB242"/>
      <c r="AC242"/>
      <c r="AD242"/>
      <c r="AE242"/>
      <c r="AF242"/>
      <c r="AY242" s="465"/>
    </row>
    <row r="243" spans="1:51" ht="15.75" thickBot="1" x14ac:dyDescent="0.3">
      <c r="K243"/>
      <c r="L243"/>
      <c r="M243"/>
      <c r="N243"/>
      <c r="O243"/>
      <c r="P243"/>
      <c r="Q243"/>
      <c r="R243"/>
      <c r="S243"/>
      <c r="T243"/>
      <c r="U243"/>
      <c r="V243"/>
      <c r="W243"/>
      <c r="X243"/>
      <c r="Y243"/>
      <c r="Z243"/>
      <c r="AA243"/>
      <c r="AB243"/>
      <c r="AC243"/>
      <c r="AD243"/>
      <c r="AE243"/>
      <c r="AF243"/>
      <c r="AY243" s="465"/>
    </row>
    <row r="244" spans="1:51" ht="27" thickBot="1" x14ac:dyDescent="0.3">
      <c r="A244" s="85"/>
      <c r="B244" s="1002" t="s">
        <v>106</v>
      </c>
      <c r="C244" s="1002"/>
      <c r="D244" s="1002"/>
      <c r="E244" s="1002"/>
      <c r="F244" s="1002"/>
      <c r="G244" s="1002"/>
      <c r="H244" s="1002"/>
      <c r="I244" s="1002"/>
      <c r="J244" s="85"/>
      <c r="K244"/>
      <c r="L244"/>
      <c r="M244"/>
      <c r="N244"/>
      <c r="O244"/>
      <c r="P244"/>
      <c r="Q244"/>
      <c r="R244"/>
      <c r="S244"/>
      <c r="T244"/>
      <c r="U244"/>
      <c r="V244"/>
      <c r="W244"/>
      <c r="X244"/>
      <c r="Y244"/>
      <c r="Z244"/>
      <c r="AA244"/>
      <c r="AB244"/>
      <c r="AC244"/>
      <c r="AD244"/>
      <c r="AE244"/>
      <c r="AF244"/>
      <c r="AY244" s="465"/>
    </row>
    <row r="245" spans="1:51" ht="15.75" x14ac:dyDescent="0.25">
      <c r="A245" s="614" t="s">
        <v>2</v>
      </c>
      <c r="B245" s="615" t="s">
        <v>201</v>
      </c>
      <c r="C245" s="616" t="s">
        <v>202</v>
      </c>
      <c r="D245" s="617" t="s">
        <v>203</v>
      </c>
      <c r="E245" s="616" t="s">
        <v>204</v>
      </c>
      <c r="F245" s="616" t="s">
        <v>205</v>
      </c>
      <c r="G245" s="617" t="s">
        <v>206</v>
      </c>
      <c r="H245" s="617" t="s">
        <v>207</v>
      </c>
      <c r="I245" s="618" t="s">
        <v>10</v>
      </c>
      <c r="J245" s="619" t="s">
        <v>77</v>
      </c>
      <c r="K245"/>
      <c r="L245"/>
      <c r="M245"/>
      <c r="N245"/>
      <c r="O245"/>
      <c r="P245"/>
      <c r="Q245"/>
      <c r="R245"/>
      <c r="S245"/>
      <c r="T245"/>
      <c r="U245"/>
      <c r="V245"/>
      <c r="W245"/>
      <c r="X245"/>
      <c r="Y245"/>
      <c r="Z245"/>
      <c r="AA245"/>
      <c r="AB245"/>
      <c r="AC245"/>
      <c r="AD245"/>
      <c r="AE245"/>
      <c r="AF245"/>
      <c r="AY245" s="465"/>
    </row>
    <row r="246" spans="1:51" x14ac:dyDescent="0.25">
      <c r="A246" s="620" t="s">
        <v>11</v>
      </c>
      <c r="B246" s="431">
        <f>23+10+5</f>
        <v>38</v>
      </c>
      <c r="C246" s="432">
        <f>27+23+3</f>
        <v>53</v>
      </c>
      <c r="D246" s="505">
        <f>33+17+2</f>
        <v>52</v>
      </c>
      <c r="E246" s="432">
        <f>39+14+5</f>
        <v>58</v>
      </c>
      <c r="F246" s="432">
        <f>78+29+13</f>
        <v>120</v>
      </c>
      <c r="G246" s="432">
        <f>173+54+21</f>
        <v>248</v>
      </c>
      <c r="H246" s="432">
        <f>88+34+15</f>
        <v>137</v>
      </c>
      <c r="I246" s="432">
        <f t="shared" ref="I246:I251" si="123">SUM(B246:H246)</f>
        <v>706</v>
      </c>
      <c r="J246" s="621">
        <f t="shared" ref="J246:J252" si="124">+$I246/7</f>
        <v>100.85714285714286</v>
      </c>
      <c r="K246"/>
      <c r="L246"/>
      <c r="M246"/>
      <c r="N246"/>
      <c r="O246"/>
      <c r="P246"/>
      <c r="Q246"/>
      <c r="R246"/>
      <c r="S246"/>
      <c r="T246"/>
      <c r="U246"/>
      <c r="V246"/>
      <c r="W246"/>
      <c r="X246"/>
      <c r="Y246"/>
      <c r="Z246"/>
      <c r="AA246"/>
      <c r="AB246"/>
      <c r="AC246"/>
      <c r="AD246"/>
      <c r="AE246"/>
      <c r="AF246"/>
      <c r="AY246" s="465"/>
    </row>
    <row r="247" spans="1:51" x14ac:dyDescent="0.25">
      <c r="A247" s="622" t="s">
        <v>12</v>
      </c>
      <c r="B247" s="233">
        <v>17</v>
      </c>
      <c r="C247" s="13">
        <v>25</v>
      </c>
      <c r="D247" s="13">
        <v>22</v>
      </c>
      <c r="E247" s="13">
        <v>28</v>
      </c>
      <c r="F247" s="13">
        <v>45</v>
      </c>
      <c r="G247" s="13">
        <v>70</v>
      </c>
      <c r="H247" s="13">
        <v>67</v>
      </c>
      <c r="I247" s="13">
        <f t="shared" si="123"/>
        <v>274</v>
      </c>
      <c r="J247" s="623">
        <f t="shared" si="124"/>
        <v>39.142857142857146</v>
      </c>
      <c r="K247"/>
      <c r="L247"/>
      <c r="M247"/>
      <c r="N247"/>
      <c r="O247"/>
      <c r="P247"/>
      <c r="Q247"/>
      <c r="R247"/>
      <c r="S247"/>
      <c r="T247"/>
      <c r="U247"/>
      <c r="V247"/>
      <c r="W247"/>
      <c r="X247"/>
      <c r="Y247"/>
      <c r="Z247"/>
      <c r="AA247"/>
      <c r="AB247"/>
      <c r="AC247"/>
      <c r="AD247"/>
      <c r="AE247"/>
      <c r="AF247"/>
      <c r="AY247" s="465"/>
    </row>
    <row r="248" spans="1:51" x14ac:dyDescent="0.25">
      <c r="A248" s="622" t="s">
        <v>13</v>
      </c>
      <c r="B248" s="233">
        <v>1</v>
      </c>
      <c r="C248" s="13">
        <v>0</v>
      </c>
      <c r="D248" s="13">
        <v>0</v>
      </c>
      <c r="E248" s="13">
        <v>0</v>
      </c>
      <c r="F248" s="13">
        <v>4</v>
      </c>
      <c r="G248" s="13">
        <v>0</v>
      </c>
      <c r="H248" s="13">
        <v>0</v>
      </c>
      <c r="I248" s="13">
        <f t="shared" si="123"/>
        <v>5</v>
      </c>
      <c r="J248" s="623">
        <f t="shared" si="124"/>
        <v>0.7142857142857143</v>
      </c>
      <c r="K248"/>
      <c r="L248"/>
      <c r="M248"/>
      <c r="N248"/>
      <c r="O248"/>
      <c r="P248"/>
      <c r="Q248"/>
      <c r="R248"/>
      <c r="S248"/>
      <c r="T248"/>
      <c r="U248"/>
      <c r="V248"/>
      <c r="W248"/>
      <c r="X248"/>
      <c r="Y248"/>
      <c r="Z248"/>
      <c r="AA248"/>
      <c r="AB248"/>
      <c r="AC248"/>
      <c r="AD248"/>
      <c r="AE248"/>
      <c r="AF248"/>
      <c r="AY248" s="465"/>
    </row>
    <row r="249" spans="1:51" x14ac:dyDescent="0.25">
      <c r="A249" s="622" t="s">
        <v>14</v>
      </c>
      <c r="B249" s="233">
        <v>14</v>
      </c>
      <c r="C249" s="13">
        <v>24</v>
      </c>
      <c r="D249" s="13">
        <v>19</v>
      </c>
      <c r="E249" s="13">
        <v>10</v>
      </c>
      <c r="F249" s="13">
        <v>26</v>
      </c>
      <c r="G249" s="13">
        <v>36</v>
      </c>
      <c r="H249" s="13">
        <v>20</v>
      </c>
      <c r="I249" s="13">
        <f t="shared" si="123"/>
        <v>149</v>
      </c>
      <c r="J249" s="623">
        <f t="shared" si="124"/>
        <v>21.285714285714285</v>
      </c>
      <c r="K249"/>
      <c r="L249"/>
      <c r="M249"/>
      <c r="N249"/>
      <c r="O249"/>
      <c r="P249"/>
      <c r="Q249"/>
      <c r="R249"/>
      <c r="S249"/>
      <c r="T249"/>
      <c r="U249"/>
      <c r="V249"/>
      <c r="W249"/>
      <c r="X249"/>
      <c r="Y249"/>
      <c r="Z249"/>
      <c r="AA249"/>
      <c r="AB249"/>
      <c r="AC249"/>
      <c r="AD249"/>
      <c r="AE249"/>
      <c r="AF249"/>
      <c r="AY249" s="465"/>
    </row>
    <row r="250" spans="1:51" x14ac:dyDescent="0.25">
      <c r="A250" s="622" t="s">
        <v>15</v>
      </c>
      <c r="B250" s="233">
        <v>4</v>
      </c>
      <c r="C250" s="13">
        <v>1</v>
      </c>
      <c r="D250" s="13">
        <v>1</v>
      </c>
      <c r="E250" s="13">
        <v>4</v>
      </c>
      <c r="F250" s="13">
        <v>9</v>
      </c>
      <c r="G250" s="13">
        <v>6</v>
      </c>
      <c r="H250" s="13">
        <v>11</v>
      </c>
      <c r="I250" s="13">
        <f t="shared" si="123"/>
        <v>36</v>
      </c>
      <c r="J250" s="623">
        <f t="shared" si="124"/>
        <v>5.1428571428571432</v>
      </c>
      <c r="K250"/>
      <c r="L250"/>
      <c r="M250"/>
      <c r="N250"/>
      <c r="O250"/>
      <c r="P250"/>
      <c r="Q250"/>
      <c r="R250"/>
      <c r="S250"/>
      <c r="T250"/>
      <c r="U250"/>
      <c r="V250"/>
      <c r="W250"/>
      <c r="X250"/>
      <c r="Y250"/>
      <c r="Z250"/>
      <c r="AA250"/>
      <c r="AB250"/>
      <c r="AC250"/>
      <c r="AD250"/>
      <c r="AE250"/>
      <c r="AF250"/>
      <c r="AY250" s="465"/>
    </row>
    <row r="251" spans="1:51" x14ac:dyDescent="0.25">
      <c r="A251" s="622" t="s">
        <v>16</v>
      </c>
      <c r="B251" s="233">
        <v>0</v>
      </c>
      <c r="C251" s="13">
        <v>0</v>
      </c>
      <c r="D251" s="13">
        <v>0</v>
      </c>
      <c r="E251" s="13">
        <v>0</v>
      </c>
      <c r="F251" s="13">
        <v>0</v>
      </c>
      <c r="G251" s="13">
        <v>0</v>
      </c>
      <c r="H251" s="13">
        <v>0</v>
      </c>
      <c r="I251" s="13">
        <f t="shared" si="123"/>
        <v>0</v>
      </c>
      <c r="J251" s="623">
        <f t="shared" si="124"/>
        <v>0</v>
      </c>
      <c r="K251"/>
      <c r="L251"/>
      <c r="M251"/>
      <c r="N251"/>
      <c r="O251"/>
      <c r="P251"/>
      <c r="Q251"/>
      <c r="R251"/>
      <c r="S251"/>
      <c r="T251"/>
      <c r="U251"/>
      <c r="V251"/>
      <c r="W251"/>
      <c r="X251"/>
      <c r="Y251"/>
      <c r="Z251"/>
      <c r="AA251"/>
      <c r="AB251"/>
      <c r="AC251"/>
      <c r="AD251"/>
      <c r="AE251"/>
      <c r="AF251"/>
      <c r="AY251" s="465"/>
    </row>
    <row r="252" spans="1:51" x14ac:dyDescent="0.25">
      <c r="A252" s="624" t="s">
        <v>17</v>
      </c>
      <c r="B252" s="102">
        <f t="shared" ref="B252:H252" si="125">SUM(B247:B251)</f>
        <v>36</v>
      </c>
      <c r="C252" s="79">
        <f t="shared" si="125"/>
        <v>50</v>
      </c>
      <c r="D252" s="79">
        <f t="shared" si="125"/>
        <v>42</v>
      </c>
      <c r="E252" s="79">
        <f t="shared" si="125"/>
        <v>42</v>
      </c>
      <c r="F252" s="79">
        <f t="shared" si="125"/>
        <v>84</v>
      </c>
      <c r="G252" s="79">
        <f t="shared" si="125"/>
        <v>112</v>
      </c>
      <c r="H252" s="79">
        <f t="shared" si="125"/>
        <v>98</v>
      </c>
      <c r="I252" s="79">
        <f>SUM(I247:I251)</f>
        <v>464</v>
      </c>
      <c r="J252" s="625">
        <f t="shared" si="124"/>
        <v>66.285714285714292</v>
      </c>
      <c r="K252"/>
      <c r="L252"/>
      <c r="M252"/>
      <c r="N252"/>
      <c r="O252"/>
      <c r="P252"/>
      <c r="Q252"/>
      <c r="R252"/>
      <c r="S252"/>
      <c r="T252"/>
      <c r="U252"/>
      <c r="V252"/>
      <c r="W252"/>
      <c r="X252"/>
      <c r="Y252"/>
      <c r="Z252"/>
      <c r="AA252"/>
      <c r="AB252"/>
      <c r="AC252"/>
      <c r="AD252"/>
      <c r="AE252"/>
      <c r="AF252"/>
      <c r="AY252" s="465"/>
    </row>
    <row r="253" spans="1:51" x14ac:dyDescent="0.25">
      <c r="A253" s="622" t="s">
        <v>18</v>
      </c>
      <c r="B253" s="406">
        <v>0.56000000000000005</v>
      </c>
      <c r="C253" s="19">
        <v>0.59</v>
      </c>
      <c r="D253" s="19">
        <v>0.65</v>
      </c>
      <c r="E253" s="19">
        <v>0.75</v>
      </c>
      <c r="F253" s="19">
        <v>0.67</v>
      </c>
      <c r="G253" s="19">
        <v>0.35</v>
      </c>
      <c r="H253" s="19">
        <v>0.73</v>
      </c>
      <c r="I253" s="19">
        <f>I260/I265</f>
        <v>0.54652161416795131</v>
      </c>
      <c r="J253" s="626">
        <f>J260/J265</f>
        <v>0.54652161416795142</v>
      </c>
      <c r="K253"/>
      <c r="L253"/>
      <c r="M253"/>
      <c r="N253"/>
      <c r="O253"/>
      <c r="P253"/>
      <c r="Q253"/>
      <c r="R253"/>
      <c r="S253"/>
      <c r="T253"/>
      <c r="U253"/>
      <c r="V253"/>
      <c r="W253"/>
      <c r="X253"/>
      <c r="Y253"/>
      <c r="Z253"/>
      <c r="AA253"/>
      <c r="AB253"/>
      <c r="AC253"/>
      <c r="AD253"/>
      <c r="AE253"/>
      <c r="AF253"/>
      <c r="AY253" s="465"/>
    </row>
    <row r="254" spans="1:51" x14ac:dyDescent="0.25">
      <c r="A254" s="622" t="s">
        <v>19</v>
      </c>
      <c r="B254" s="406">
        <v>0</v>
      </c>
      <c r="C254" s="19">
        <v>0</v>
      </c>
      <c r="D254" s="19">
        <v>0</v>
      </c>
      <c r="E254" s="19">
        <v>0</v>
      </c>
      <c r="F254" s="19">
        <v>0.04</v>
      </c>
      <c r="G254" s="19">
        <v>0</v>
      </c>
      <c r="H254" s="19">
        <v>0</v>
      </c>
      <c r="I254" s="19">
        <f>I261/I265</f>
        <v>6.1345158297599909E-3</v>
      </c>
      <c r="J254" s="626">
        <f>J261/J265</f>
        <v>6.1345158297599909E-3</v>
      </c>
      <c r="K254"/>
      <c r="L254"/>
      <c r="M254"/>
      <c r="N254"/>
      <c r="O254"/>
      <c r="P254"/>
      <c r="Q254"/>
      <c r="R254"/>
      <c r="S254"/>
      <c r="T254"/>
      <c r="U254"/>
      <c r="V254"/>
      <c r="W254"/>
      <c r="X254"/>
      <c r="Y254"/>
      <c r="Z254"/>
      <c r="AA254"/>
      <c r="AB254"/>
      <c r="AC254"/>
      <c r="AD254"/>
      <c r="AE254"/>
      <c r="AF254"/>
      <c r="AY254" s="465"/>
    </row>
    <row r="255" spans="1:51" x14ac:dyDescent="0.25">
      <c r="A255" s="622" t="s">
        <v>20</v>
      </c>
      <c r="B255" s="406">
        <v>0.38</v>
      </c>
      <c r="C255" s="19">
        <v>0.39</v>
      </c>
      <c r="D255" s="19">
        <v>0.31</v>
      </c>
      <c r="E255" s="19">
        <v>0.18</v>
      </c>
      <c r="F255" s="19">
        <v>0.2</v>
      </c>
      <c r="G255" s="19">
        <v>0.63</v>
      </c>
      <c r="H255" s="19">
        <v>0.18</v>
      </c>
      <c r="I255" s="19">
        <f>I262/I265</f>
        <v>0.39678327207847497</v>
      </c>
      <c r="J255" s="626">
        <f>J262/J265</f>
        <v>0.39678327207847502</v>
      </c>
      <c r="K255"/>
      <c r="L255"/>
      <c r="M255"/>
      <c r="N255"/>
      <c r="O255"/>
      <c r="P255"/>
      <c r="Q255"/>
      <c r="R255"/>
      <c r="S255"/>
      <c r="T255"/>
      <c r="U255"/>
      <c r="V255"/>
      <c r="W255"/>
      <c r="X255"/>
      <c r="Y255"/>
      <c r="Z255"/>
      <c r="AA255"/>
      <c r="AB255"/>
      <c r="AC255"/>
      <c r="AD255"/>
      <c r="AE255"/>
      <c r="AF255"/>
      <c r="AY255" s="465"/>
    </row>
    <row r="256" spans="1:51" x14ac:dyDescent="0.25">
      <c r="A256" s="622" t="s">
        <v>21</v>
      </c>
      <c r="B256" s="406">
        <v>0.06</v>
      </c>
      <c r="C256" s="19">
        <v>0.02</v>
      </c>
      <c r="D256" s="19">
        <v>0.04</v>
      </c>
      <c r="E256" s="19">
        <v>7.0000000000000007E-2</v>
      </c>
      <c r="F256" s="19">
        <v>0.09</v>
      </c>
      <c r="G256" s="19">
        <v>0.02</v>
      </c>
      <c r="H256" s="19">
        <v>0.09</v>
      </c>
      <c r="I256" s="19">
        <f>I263/I265</f>
        <v>5.0560597923813691E-2</v>
      </c>
      <c r="J256" s="626">
        <f>J263/J265</f>
        <v>5.0560597923813698E-2</v>
      </c>
      <c r="K256"/>
      <c r="L256"/>
      <c r="M256"/>
      <c r="N256"/>
      <c r="O256"/>
      <c r="P256"/>
      <c r="Q256"/>
      <c r="R256"/>
      <c r="S256"/>
      <c r="T256"/>
      <c r="U256"/>
      <c r="V256"/>
      <c r="W256"/>
      <c r="X256"/>
      <c r="Y256"/>
      <c r="Z256"/>
      <c r="AA256"/>
      <c r="AB256"/>
      <c r="AC256"/>
      <c r="AD256"/>
      <c r="AE256"/>
      <c r="AF256"/>
      <c r="AY256" s="465"/>
    </row>
    <row r="257" spans="1:51" x14ac:dyDescent="0.25">
      <c r="A257" s="622" t="s">
        <v>22</v>
      </c>
      <c r="B257" s="406">
        <v>0</v>
      </c>
      <c r="C257" s="19">
        <v>0</v>
      </c>
      <c r="D257" s="19">
        <v>0</v>
      </c>
      <c r="E257" s="19">
        <v>0</v>
      </c>
      <c r="F257" s="19">
        <v>0</v>
      </c>
      <c r="G257" s="19">
        <v>0</v>
      </c>
      <c r="H257" s="19">
        <v>0</v>
      </c>
      <c r="I257" s="19">
        <f>I264/I265</f>
        <v>0</v>
      </c>
      <c r="J257" s="626">
        <f>J264/J265</f>
        <v>0</v>
      </c>
      <c r="K257"/>
      <c r="L257"/>
      <c r="M257"/>
      <c r="N257"/>
      <c r="O257"/>
      <c r="P257"/>
      <c r="Q257"/>
      <c r="R257"/>
      <c r="S257"/>
      <c r="T257"/>
      <c r="U257"/>
      <c r="V257"/>
      <c r="W257"/>
      <c r="X257"/>
      <c r="Y257"/>
      <c r="Z257"/>
      <c r="AA257"/>
      <c r="AB257"/>
      <c r="AC257"/>
      <c r="AD257"/>
      <c r="AE257"/>
      <c r="AF257"/>
      <c r="AY257" s="465"/>
    </row>
    <row r="258" spans="1:51" x14ac:dyDescent="0.25">
      <c r="A258" s="627" t="s">
        <v>23</v>
      </c>
      <c r="B258" s="409">
        <f t="shared" ref="B258:J258" si="126">B269/B252</f>
        <v>26361.111111111113</v>
      </c>
      <c r="C258" s="131">
        <f t="shared" si="126"/>
        <v>30868</v>
      </c>
      <c r="D258" s="131">
        <f t="shared" si="126"/>
        <v>38007.142857142855</v>
      </c>
      <c r="E258" s="131">
        <f t="shared" si="126"/>
        <v>40050.000000000007</v>
      </c>
      <c r="F258" s="131">
        <f t="shared" si="126"/>
        <v>40366.666666666664</v>
      </c>
      <c r="G258" s="131">
        <f t="shared" si="126"/>
        <v>78462.5</v>
      </c>
      <c r="H258" s="131">
        <f t="shared" si="126"/>
        <v>41956.122448979593</v>
      </c>
      <c r="I258" s="131">
        <f t="shared" si="126"/>
        <v>47545.474137931036</v>
      </c>
      <c r="J258" s="628">
        <f t="shared" si="126"/>
        <v>47545.474137931029</v>
      </c>
      <c r="K258"/>
      <c r="L258"/>
      <c r="M258"/>
      <c r="N258"/>
      <c r="O258"/>
      <c r="P258"/>
      <c r="Q258"/>
      <c r="R258"/>
      <c r="S258"/>
      <c r="T258"/>
      <c r="U258"/>
      <c r="V258"/>
      <c r="W258"/>
      <c r="X258"/>
      <c r="Y258"/>
      <c r="Z258"/>
      <c r="AA258"/>
      <c r="AB258"/>
      <c r="AC258"/>
      <c r="AD258"/>
      <c r="AE258"/>
      <c r="AF258"/>
      <c r="AY258" s="465"/>
    </row>
    <row r="259" spans="1:51" x14ac:dyDescent="0.25">
      <c r="A259" s="627" t="s">
        <v>24</v>
      </c>
      <c r="B259" s="409">
        <f t="shared" ref="B259:J259" si="127">B269/B246</f>
        <v>24973.68421052632</v>
      </c>
      <c r="C259" s="131">
        <f t="shared" si="127"/>
        <v>29120.754716981133</v>
      </c>
      <c r="D259" s="131">
        <f t="shared" si="127"/>
        <v>30698.076923076922</v>
      </c>
      <c r="E259" s="131">
        <f t="shared" si="127"/>
        <v>29001.72413793104</v>
      </c>
      <c r="F259" s="131">
        <f t="shared" si="127"/>
        <v>28256.666666666668</v>
      </c>
      <c r="G259" s="131">
        <f t="shared" si="127"/>
        <v>35434.677419354841</v>
      </c>
      <c r="H259" s="131">
        <f t="shared" si="127"/>
        <v>30012.408759124086</v>
      </c>
      <c r="I259" s="131">
        <f t="shared" si="127"/>
        <v>31248.016997167138</v>
      </c>
      <c r="J259" s="628">
        <f t="shared" si="127"/>
        <v>31248.016997167135</v>
      </c>
      <c r="K259"/>
      <c r="L259"/>
      <c r="M259"/>
      <c r="N259"/>
      <c r="O259"/>
      <c r="P259"/>
      <c r="Q259"/>
      <c r="R259"/>
      <c r="S259"/>
      <c r="T259"/>
      <c r="U259"/>
      <c r="V259"/>
      <c r="W259"/>
      <c r="X259"/>
      <c r="Y259"/>
      <c r="Z259"/>
      <c r="AA259"/>
      <c r="AB259"/>
      <c r="AC259"/>
      <c r="AD259"/>
      <c r="AE259"/>
      <c r="AF259"/>
      <c r="AY259" s="465"/>
    </row>
    <row r="260" spans="1:51" x14ac:dyDescent="0.25">
      <c r="A260" s="622" t="s">
        <v>25</v>
      </c>
      <c r="B260" s="255">
        <f t="shared" ref="B260:H260" si="128">B265*B253</f>
        <v>437622.33103448286</v>
      </c>
      <c r="C260" s="133">
        <f t="shared" si="128"/>
        <v>753218.92241379304</v>
      </c>
      <c r="D260" s="133">
        <f t="shared" si="128"/>
        <v>863661.94827586215</v>
      </c>
      <c r="E260" s="133">
        <f t="shared" si="128"/>
        <v>1042309.6551724139</v>
      </c>
      <c r="F260" s="133">
        <f t="shared" si="128"/>
        <v>1893506.0603448278</v>
      </c>
      <c r="G260" s="133">
        <f t="shared" si="128"/>
        <v>2598693.8793103448</v>
      </c>
      <c r="H260" s="133">
        <f t="shared" si="128"/>
        <v>2482134.294827586</v>
      </c>
      <c r="I260" s="133">
        <f>SUM(B260:H260)</f>
        <v>10071147.091379311</v>
      </c>
      <c r="J260" s="629">
        <f t="shared" ref="J260:J265" si="129">+$I260/7</f>
        <v>1438735.2987684731</v>
      </c>
      <c r="K260"/>
      <c r="L260"/>
      <c r="M260"/>
      <c r="N260"/>
      <c r="O260"/>
      <c r="P260"/>
      <c r="Q260"/>
      <c r="R260"/>
      <c r="S260"/>
      <c r="T260"/>
      <c r="U260"/>
      <c r="V260"/>
      <c r="W260"/>
      <c r="X260"/>
      <c r="Y260"/>
      <c r="Z260"/>
      <c r="AA260"/>
      <c r="AB260"/>
      <c r="AC260"/>
      <c r="AD260"/>
      <c r="AE260"/>
      <c r="AF260"/>
      <c r="AY260" s="465"/>
    </row>
    <row r="261" spans="1:51" x14ac:dyDescent="0.25">
      <c r="A261" s="622" t="s">
        <v>26</v>
      </c>
      <c r="B261" s="255">
        <f t="shared" ref="B261:H261" si="130">B265*B254</f>
        <v>0</v>
      </c>
      <c r="C261" s="133">
        <f t="shared" si="130"/>
        <v>0</v>
      </c>
      <c r="D261" s="133">
        <f t="shared" si="130"/>
        <v>0</v>
      </c>
      <c r="E261" s="133">
        <f t="shared" si="130"/>
        <v>0</v>
      </c>
      <c r="F261" s="133">
        <f t="shared" si="130"/>
        <v>113045.13793103449</v>
      </c>
      <c r="G261" s="133">
        <f t="shared" si="130"/>
        <v>0</v>
      </c>
      <c r="H261" s="133">
        <f t="shared" si="130"/>
        <v>0</v>
      </c>
      <c r="I261" s="133">
        <f>SUM(B261:H261)</f>
        <v>113045.13793103449</v>
      </c>
      <c r="J261" s="629">
        <f t="shared" si="129"/>
        <v>16149.305418719214</v>
      </c>
      <c r="K261"/>
      <c r="L261"/>
      <c r="M261"/>
      <c r="N261"/>
      <c r="O261"/>
      <c r="P261"/>
      <c r="Q261"/>
      <c r="R261"/>
      <c r="S261"/>
      <c r="T261"/>
      <c r="U261"/>
      <c r="V261"/>
      <c r="W261"/>
      <c r="X261"/>
      <c r="Y261"/>
      <c r="Z261"/>
      <c r="AA261"/>
      <c r="AB261"/>
      <c r="AC261"/>
      <c r="AD261"/>
      <c r="AE261"/>
      <c r="AF261"/>
      <c r="AY261" s="465"/>
    </row>
    <row r="262" spans="1:51" x14ac:dyDescent="0.25">
      <c r="A262" s="622" t="s">
        <v>27</v>
      </c>
      <c r="B262" s="255">
        <f t="shared" ref="B262:H262" si="131">B265*B255</f>
        <v>296958.01034482761</v>
      </c>
      <c r="C262" s="133">
        <f t="shared" si="131"/>
        <v>497890.47413793107</v>
      </c>
      <c r="D262" s="133">
        <f t="shared" si="131"/>
        <v>411900.31379310344</v>
      </c>
      <c r="E262" s="133">
        <f t="shared" si="131"/>
        <v>250154.31724137932</v>
      </c>
      <c r="F262" s="133">
        <f t="shared" si="131"/>
        <v>565225.68965517252</v>
      </c>
      <c r="G262" s="133">
        <f t="shared" si="131"/>
        <v>4677648.9827586208</v>
      </c>
      <c r="H262" s="133">
        <f t="shared" si="131"/>
        <v>612033.11379310349</v>
      </c>
      <c r="I262" s="133">
        <f>SUM(B262:H262)</f>
        <v>7311810.9017241374</v>
      </c>
      <c r="J262" s="629">
        <f t="shared" si="129"/>
        <v>1044544.4145320196</v>
      </c>
      <c r="K262"/>
      <c r="L262"/>
      <c r="M262"/>
      <c r="N262"/>
      <c r="O262"/>
      <c r="P262"/>
      <c r="Q262"/>
      <c r="R262"/>
      <c r="S262"/>
      <c r="T262"/>
      <c r="U262"/>
      <c r="V262"/>
      <c r="W262"/>
      <c r="X262"/>
      <c r="Y262"/>
      <c r="Z262"/>
      <c r="AA262"/>
      <c r="AB262"/>
      <c r="AC262"/>
      <c r="AD262"/>
      <c r="AE262"/>
      <c r="AF262"/>
      <c r="AY262" s="465"/>
    </row>
    <row r="263" spans="1:51" x14ac:dyDescent="0.25">
      <c r="A263" s="622" t="s">
        <v>28</v>
      </c>
      <c r="B263" s="255">
        <f t="shared" ref="B263:H263" si="132">B265*B256</f>
        <v>46888.106896551726</v>
      </c>
      <c r="C263" s="133">
        <f t="shared" si="132"/>
        <v>25532.844827586207</v>
      </c>
      <c r="D263" s="133">
        <f t="shared" si="132"/>
        <v>53148.427586206897</v>
      </c>
      <c r="E263" s="133">
        <f t="shared" si="132"/>
        <v>97282.234482758635</v>
      </c>
      <c r="F263" s="133">
        <f t="shared" si="132"/>
        <v>254351.56034482759</v>
      </c>
      <c r="G263" s="133">
        <f t="shared" si="132"/>
        <v>148496.79310344829</v>
      </c>
      <c r="H263" s="133">
        <f t="shared" si="132"/>
        <v>306016.55689655175</v>
      </c>
      <c r="I263" s="133">
        <f>SUM(B263:H263)</f>
        <v>931716.52413793118</v>
      </c>
      <c r="J263" s="629">
        <f t="shared" si="129"/>
        <v>133102.36059113304</v>
      </c>
      <c r="K263"/>
      <c r="L263"/>
      <c r="M263"/>
      <c r="N263"/>
      <c r="O263"/>
      <c r="P263"/>
      <c r="Q263"/>
      <c r="R263"/>
      <c r="S263"/>
      <c r="T263"/>
      <c r="U263"/>
      <c r="V263"/>
      <c r="W263"/>
      <c r="X263"/>
      <c r="Y263"/>
      <c r="Z263"/>
      <c r="AA263"/>
      <c r="AB263"/>
      <c r="AC263"/>
      <c r="AD263"/>
      <c r="AE263"/>
      <c r="AF263"/>
      <c r="AY263" s="465"/>
    </row>
    <row r="264" spans="1:51" x14ac:dyDescent="0.25">
      <c r="A264" s="622" t="s">
        <v>29</v>
      </c>
      <c r="B264" s="255">
        <f t="shared" ref="B264:H264" si="133">B265*B257</f>
        <v>0</v>
      </c>
      <c r="C264" s="133">
        <f t="shared" si="133"/>
        <v>0</v>
      </c>
      <c r="D264" s="133">
        <f t="shared" si="133"/>
        <v>0</v>
      </c>
      <c r="E264" s="133">
        <f t="shared" si="133"/>
        <v>0</v>
      </c>
      <c r="F264" s="133">
        <f t="shared" si="133"/>
        <v>0</v>
      </c>
      <c r="G264" s="133">
        <f t="shared" si="133"/>
        <v>0</v>
      </c>
      <c r="H264" s="133">
        <f t="shared" si="133"/>
        <v>0</v>
      </c>
      <c r="I264" s="133">
        <f>SUM(B264:H264)</f>
        <v>0</v>
      </c>
      <c r="J264" s="629">
        <f t="shared" si="129"/>
        <v>0</v>
      </c>
      <c r="K264"/>
      <c r="L264"/>
      <c r="M264"/>
      <c r="N264"/>
      <c r="O264"/>
      <c r="P264"/>
      <c r="Q264"/>
      <c r="R264"/>
      <c r="S264"/>
      <c r="T264"/>
      <c r="U264"/>
      <c r="V264"/>
      <c r="W264"/>
      <c r="X264"/>
      <c r="Y264"/>
      <c r="Z264"/>
      <c r="AA264"/>
      <c r="AB264"/>
      <c r="AC264"/>
      <c r="AD264"/>
      <c r="AE264"/>
      <c r="AF264"/>
      <c r="AY264" s="465"/>
    </row>
    <row r="265" spans="1:51" x14ac:dyDescent="0.25">
      <c r="A265" s="630" t="s">
        <v>30</v>
      </c>
      <c r="B265" s="410">
        <f>(949000/1.16)-B266</f>
        <v>781468.44827586215</v>
      </c>
      <c r="C265" s="410">
        <f>(1543400/1.16)-C266</f>
        <v>1276642.2413793104</v>
      </c>
      <c r="D265" s="410">
        <f>(1596300/1.16)-D266</f>
        <v>1328710.6896551724</v>
      </c>
      <c r="E265" s="410">
        <f>(1682100/1.16)-E266</f>
        <v>1389746.2068965519</v>
      </c>
      <c r="F265" s="410">
        <f>(3390800/1.16)-F266</f>
        <v>2826128.4482758623</v>
      </c>
      <c r="G265" s="410">
        <f>(8787800/1.16)-G266</f>
        <v>7424839.6551724141</v>
      </c>
      <c r="H265" s="410">
        <f>(4111700/1.16)-H266</f>
        <v>3400183.9655172415</v>
      </c>
      <c r="I265" s="136">
        <f>SUM(I260:I264)</f>
        <v>18427719.655172415</v>
      </c>
      <c r="J265" s="631">
        <f t="shared" si="129"/>
        <v>2632531.3793103448</v>
      </c>
      <c r="K265"/>
      <c r="L265"/>
      <c r="M265"/>
      <c r="N265"/>
      <c r="O265"/>
      <c r="P265"/>
      <c r="Q265"/>
      <c r="R265"/>
      <c r="S265"/>
      <c r="T265"/>
      <c r="U265"/>
      <c r="V265"/>
      <c r="W265"/>
      <c r="X265"/>
      <c r="Y265"/>
      <c r="Z265"/>
      <c r="AA265"/>
      <c r="AB265"/>
      <c r="AC265"/>
      <c r="AD265"/>
      <c r="AE265"/>
      <c r="AF265"/>
      <c r="AY265" s="465"/>
    </row>
    <row r="266" spans="1:51" x14ac:dyDescent="0.25">
      <c r="A266" s="622" t="s">
        <v>31</v>
      </c>
      <c r="B266" s="263">
        <f t="shared" ref="B266:H266" si="134">2155*B247</f>
        <v>36635</v>
      </c>
      <c r="C266" s="139">
        <f t="shared" si="134"/>
        <v>53875</v>
      </c>
      <c r="D266" s="139">
        <f t="shared" si="134"/>
        <v>47410</v>
      </c>
      <c r="E266" s="139">
        <f t="shared" si="134"/>
        <v>60340</v>
      </c>
      <c r="F266" s="139">
        <f t="shared" si="134"/>
        <v>96975</v>
      </c>
      <c r="G266" s="139">
        <f t="shared" si="134"/>
        <v>150850</v>
      </c>
      <c r="H266" s="139">
        <f t="shared" si="134"/>
        <v>144385</v>
      </c>
      <c r="I266" s="139">
        <f>I247*2155</f>
        <v>590470</v>
      </c>
      <c r="J266" s="632">
        <f>2155*J247</f>
        <v>84352.857142857145</v>
      </c>
      <c r="K266"/>
      <c r="L266"/>
      <c r="M266"/>
      <c r="N266"/>
      <c r="O266"/>
      <c r="P266"/>
      <c r="Q266"/>
      <c r="R266"/>
      <c r="S266"/>
      <c r="T266"/>
      <c r="U266"/>
      <c r="V266"/>
      <c r="W266"/>
      <c r="X266"/>
      <c r="Y266"/>
      <c r="Z266"/>
      <c r="AA266"/>
      <c r="AB266"/>
      <c r="AC266"/>
      <c r="AD266"/>
      <c r="AE266"/>
      <c r="AF266"/>
      <c r="AY266" s="465"/>
    </row>
    <row r="267" spans="1:51" x14ac:dyDescent="0.25">
      <c r="A267" s="633" t="s">
        <v>32</v>
      </c>
      <c r="B267" s="411">
        <f t="shared" ref="B267:J267" si="135">B265+B266</f>
        <v>818103.44827586215</v>
      </c>
      <c r="C267" s="40">
        <f t="shared" si="135"/>
        <v>1330517.2413793104</v>
      </c>
      <c r="D267" s="40">
        <f t="shared" si="135"/>
        <v>1376120.6896551724</v>
      </c>
      <c r="E267" s="40">
        <f t="shared" si="135"/>
        <v>1450086.2068965519</v>
      </c>
      <c r="F267" s="40">
        <f t="shared" si="135"/>
        <v>2923103.4482758623</v>
      </c>
      <c r="G267" s="40">
        <f t="shared" si="135"/>
        <v>7575689.6551724141</v>
      </c>
      <c r="H267" s="40">
        <f t="shared" si="135"/>
        <v>3544568.9655172415</v>
      </c>
      <c r="I267" s="40">
        <f t="shared" si="135"/>
        <v>19018189.655172415</v>
      </c>
      <c r="J267" s="634">
        <f t="shared" si="135"/>
        <v>2716884.2364532021</v>
      </c>
      <c r="K267"/>
      <c r="L267"/>
      <c r="M267"/>
      <c r="N267"/>
      <c r="O267"/>
      <c r="P267"/>
      <c r="Q267"/>
      <c r="R267"/>
      <c r="S267"/>
      <c r="T267"/>
      <c r="U267"/>
      <c r="V267"/>
      <c r="W267"/>
      <c r="X267"/>
      <c r="Y267"/>
      <c r="Z267"/>
      <c r="AA267"/>
      <c r="AB267"/>
      <c r="AC267"/>
      <c r="AD267"/>
      <c r="AE267"/>
      <c r="AF267"/>
      <c r="AY267" s="465"/>
    </row>
    <row r="268" spans="1:51" x14ac:dyDescent="0.25">
      <c r="A268" s="622" t="s">
        <v>33</v>
      </c>
      <c r="B268" s="413">
        <f t="shared" ref="B268:J268" si="136">B267*16%</f>
        <v>130896.55172413794</v>
      </c>
      <c r="C268" s="42">
        <f t="shared" si="136"/>
        <v>212882.75862068965</v>
      </c>
      <c r="D268" s="42">
        <f t="shared" si="136"/>
        <v>220179.31034482759</v>
      </c>
      <c r="E268" s="42">
        <f t="shared" si="136"/>
        <v>232013.79310344832</v>
      </c>
      <c r="F268" s="42">
        <f t="shared" si="136"/>
        <v>467696.55172413797</v>
      </c>
      <c r="G268" s="42">
        <f t="shared" si="136"/>
        <v>1212110.3448275863</v>
      </c>
      <c r="H268" s="42">
        <f t="shared" si="136"/>
        <v>567131.03448275861</v>
      </c>
      <c r="I268" s="42">
        <f t="shared" si="136"/>
        <v>3042910.3448275863</v>
      </c>
      <c r="J268" s="635">
        <f t="shared" si="136"/>
        <v>434701.47783251235</v>
      </c>
      <c r="K268"/>
      <c r="L268"/>
      <c r="M268"/>
      <c r="N268"/>
      <c r="O268"/>
      <c r="P268"/>
      <c r="Q268"/>
      <c r="R268"/>
      <c r="S268"/>
      <c r="T268"/>
      <c r="U268"/>
      <c r="V268"/>
      <c r="W268"/>
      <c r="X268"/>
      <c r="Y268"/>
      <c r="Z268"/>
      <c r="AA268"/>
      <c r="AB268"/>
      <c r="AC268"/>
      <c r="AD268"/>
      <c r="AE268"/>
      <c r="AF268"/>
      <c r="AY268" s="465"/>
    </row>
    <row r="269" spans="1:51" ht="15.75" thickBot="1" x14ac:dyDescent="0.3">
      <c r="A269" s="636" t="s">
        <v>34</v>
      </c>
      <c r="B269" s="637">
        <f t="shared" ref="B269:I269" si="137">B267+B268</f>
        <v>949000.00000000012</v>
      </c>
      <c r="C269" s="638">
        <f t="shared" si="137"/>
        <v>1543400</v>
      </c>
      <c r="D269" s="638">
        <f t="shared" si="137"/>
        <v>1596300</v>
      </c>
      <c r="E269" s="638">
        <f t="shared" si="137"/>
        <v>1682100.0000000002</v>
      </c>
      <c r="F269" s="638">
        <f t="shared" si="137"/>
        <v>3390800</v>
      </c>
      <c r="G269" s="638">
        <f t="shared" si="137"/>
        <v>8787800</v>
      </c>
      <c r="H269" s="638">
        <f t="shared" si="137"/>
        <v>4111700</v>
      </c>
      <c r="I269" s="638">
        <f t="shared" si="137"/>
        <v>22061100</v>
      </c>
      <c r="J269" s="639">
        <f>+$I269/7</f>
        <v>3151585.7142857141</v>
      </c>
      <c r="K269"/>
      <c r="L269"/>
      <c r="M269"/>
      <c r="N269"/>
      <c r="O269"/>
      <c r="P269"/>
      <c r="Q269"/>
      <c r="R269"/>
      <c r="S269"/>
      <c r="T269"/>
      <c r="U269"/>
      <c r="V269"/>
      <c r="W269"/>
      <c r="X269"/>
      <c r="Y269"/>
      <c r="Z269"/>
      <c r="AA269"/>
      <c r="AB269"/>
      <c r="AC269"/>
      <c r="AD269"/>
      <c r="AE269"/>
      <c r="AF269"/>
      <c r="AY269" s="465"/>
    </row>
    <row r="270" spans="1:51" ht="15.75" thickBot="1" x14ac:dyDescent="0.3">
      <c r="K270"/>
      <c r="L270"/>
      <c r="M270"/>
      <c r="N270"/>
      <c r="O270"/>
      <c r="P270"/>
      <c r="Q270"/>
      <c r="R270"/>
      <c r="S270"/>
      <c r="T270"/>
      <c r="U270"/>
      <c r="V270"/>
      <c r="W270"/>
      <c r="X270"/>
      <c r="Y270"/>
      <c r="Z270"/>
      <c r="AA270"/>
      <c r="AB270"/>
      <c r="AC270"/>
      <c r="AD270"/>
      <c r="AE270"/>
      <c r="AF270"/>
      <c r="AY270" s="465"/>
    </row>
    <row r="271" spans="1:51" ht="27" thickBot="1" x14ac:dyDescent="0.3">
      <c r="A271" s="85"/>
      <c r="B271" s="1002" t="s">
        <v>114</v>
      </c>
      <c r="C271" s="1002"/>
      <c r="D271" s="1002"/>
      <c r="E271" s="1002"/>
      <c r="F271" s="1002"/>
      <c r="G271" s="1002"/>
      <c r="H271" s="1002"/>
      <c r="I271" s="1002"/>
      <c r="J271" s="85"/>
      <c r="K271"/>
      <c r="L271"/>
      <c r="M271"/>
      <c r="N271"/>
      <c r="O271"/>
      <c r="P271"/>
      <c r="Q271"/>
      <c r="R271"/>
      <c r="S271"/>
      <c r="T271"/>
      <c r="U271"/>
      <c r="V271"/>
      <c r="W271"/>
      <c r="X271"/>
      <c r="Y271"/>
      <c r="Z271"/>
      <c r="AA271"/>
      <c r="AB271"/>
      <c r="AC271"/>
      <c r="AD271"/>
      <c r="AE271"/>
      <c r="AF271"/>
      <c r="AY271" s="465"/>
    </row>
    <row r="272" spans="1:51" ht="15.75" x14ac:dyDescent="0.25">
      <c r="A272" s="614" t="s">
        <v>2</v>
      </c>
      <c r="B272" s="615" t="s">
        <v>209</v>
      </c>
      <c r="C272" s="616" t="s">
        <v>242</v>
      </c>
      <c r="D272" s="617" t="s">
        <v>243</v>
      </c>
      <c r="E272" s="616" t="s">
        <v>244</v>
      </c>
      <c r="F272" s="616" t="s">
        <v>245</v>
      </c>
      <c r="G272" s="617" t="s">
        <v>246</v>
      </c>
      <c r="H272" s="617" t="s">
        <v>247</v>
      </c>
      <c r="I272" s="618" t="s">
        <v>10</v>
      </c>
      <c r="J272" s="619" t="s">
        <v>77</v>
      </c>
      <c r="K272"/>
      <c r="L272"/>
      <c r="M272"/>
      <c r="N272"/>
      <c r="O272"/>
      <c r="P272"/>
      <c r="Q272"/>
      <c r="R272"/>
      <c r="S272"/>
      <c r="T272"/>
      <c r="U272"/>
      <c r="V272"/>
      <c r="W272"/>
      <c r="X272"/>
      <c r="Y272"/>
      <c r="Z272"/>
      <c r="AA272"/>
      <c r="AB272"/>
      <c r="AC272"/>
      <c r="AD272"/>
      <c r="AE272"/>
      <c r="AF272"/>
      <c r="AY272" s="465"/>
    </row>
    <row r="273" spans="1:51" x14ac:dyDescent="0.25">
      <c r="A273" s="620" t="s">
        <v>11</v>
      </c>
      <c r="B273" s="431">
        <f>38+19+6</f>
        <v>63</v>
      </c>
      <c r="C273" s="432">
        <f>36+11+5</f>
        <v>52</v>
      </c>
      <c r="D273" s="505">
        <f>37+16+6</f>
        <v>59</v>
      </c>
      <c r="E273" s="432">
        <f>18+8+2</f>
        <v>28</v>
      </c>
      <c r="F273" s="432">
        <f>63+33+13</f>
        <v>109</v>
      </c>
      <c r="G273" s="432">
        <f>66+48+13</f>
        <v>127</v>
      </c>
      <c r="H273" s="432">
        <f>64+63+15</f>
        <v>142</v>
      </c>
      <c r="I273" s="432">
        <f t="shared" ref="I273:I278" si="138">SUM(B273:H273)</f>
        <v>580</v>
      </c>
      <c r="J273" s="621">
        <f t="shared" ref="J273:J279" si="139">+$I273/7</f>
        <v>82.857142857142861</v>
      </c>
      <c r="K273"/>
      <c r="L273"/>
      <c r="M273"/>
      <c r="N273"/>
      <c r="O273"/>
      <c r="P273"/>
      <c r="Q273"/>
      <c r="R273"/>
      <c r="S273"/>
      <c r="T273"/>
      <c r="U273"/>
      <c r="V273"/>
      <c r="W273"/>
      <c r="X273"/>
      <c r="Y273"/>
      <c r="Z273"/>
      <c r="AA273"/>
      <c r="AB273"/>
      <c r="AC273"/>
      <c r="AD273"/>
      <c r="AE273"/>
      <c r="AF273"/>
      <c r="AY273" s="465"/>
    </row>
    <row r="274" spans="1:51" x14ac:dyDescent="0.25">
      <c r="A274" s="622" t="s">
        <v>12</v>
      </c>
      <c r="B274" s="233">
        <v>32</v>
      </c>
      <c r="C274" s="13">
        <v>19</v>
      </c>
      <c r="D274" s="13">
        <v>22</v>
      </c>
      <c r="E274" s="13">
        <v>13</v>
      </c>
      <c r="F274" s="13">
        <v>61</v>
      </c>
      <c r="G274" s="13">
        <v>58</v>
      </c>
      <c r="H274" s="13">
        <v>77</v>
      </c>
      <c r="I274" s="13">
        <f t="shared" si="138"/>
        <v>282</v>
      </c>
      <c r="J274" s="623">
        <f t="shared" si="139"/>
        <v>40.285714285714285</v>
      </c>
      <c r="K274"/>
      <c r="L274"/>
      <c r="M274"/>
      <c r="N274"/>
      <c r="O274"/>
      <c r="P274"/>
      <c r="Q274"/>
      <c r="R274"/>
      <c r="S274"/>
      <c r="T274"/>
      <c r="U274"/>
      <c r="V274"/>
      <c r="W274"/>
      <c r="X274"/>
      <c r="Y274"/>
      <c r="Z274"/>
      <c r="AA274"/>
      <c r="AB274"/>
      <c r="AC274"/>
      <c r="AD274"/>
      <c r="AE274"/>
      <c r="AF274"/>
      <c r="AY274" s="465"/>
    </row>
    <row r="275" spans="1:51" x14ac:dyDescent="0.25">
      <c r="A275" s="622" t="s">
        <v>13</v>
      </c>
      <c r="B275" s="233">
        <v>0</v>
      </c>
      <c r="C275" s="13">
        <v>1</v>
      </c>
      <c r="D275" s="13">
        <v>0</v>
      </c>
      <c r="E275" s="13">
        <v>1</v>
      </c>
      <c r="F275" s="13">
        <v>0</v>
      </c>
      <c r="G275" s="13">
        <v>1</v>
      </c>
      <c r="H275" s="13">
        <v>3</v>
      </c>
      <c r="I275" s="13">
        <f t="shared" si="138"/>
        <v>6</v>
      </c>
      <c r="J275" s="623">
        <f t="shared" si="139"/>
        <v>0.8571428571428571</v>
      </c>
      <c r="K275"/>
      <c r="L275"/>
      <c r="M275"/>
      <c r="N275"/>
      <c r="O275"/>
      <c r="P275"/>
      <c r="Q275"/>
      <c r="R275"/>
      <c r="S275"/>
      <c r="T275"/>
      <c r="U275"/>
      <c r="V275"/>
      <c r="W275"/>
      <c r="X275"/>
      <c r="Y275"/>
      <c r="Z275"/>
      <c r="AA275"/>
      <c r="AB275"/>
      <c r="AC275"/>
      <c r="AD275"/>
      <c r="AE275"/>
      <c r="AF275"/>
      <c r="AY275" s="465"/>
    </row>
    <row r="276" spans="1:51" x14ac:dyDescent="0.25">
      <c r="A276" s="622" t="s">
        <v>14</v>
      </c>
      <c r="B276" s="233">
        <v>17</v>
      </c>
      <c r="C276" s="13">
        <v>18</v>
      </c>
      <c r="D276" s="13">
        <v>25</v>
      </c>
      <c r="E276" s="13">
        <v>10</v>
      </c>
      <c r="F276" s="13">
        <v>24</v>
      </c>
      <c r="G276" s="13">
        <v>39</v>
      </c>
      <c r="H276" s="13">
        <v>31</v>
      </c>
      <c r="I276" s="13">
        <f t="shared" si="138"/>
        <v>164</v>
      </c>
      <c r="J276" s="623">
        <f t="shared" si="139"/>
        <v>23.428571428571427</v>
      </c>
      <c r="K276"/>
      <c r="L276"/>
      <c r="M276"/>
      <c r="N276"/>
      <c r="O276"/>
      <c r="P276"/>
      <c r="Q276"/>
      <c r="R276"/>
      <c r="S276"/>
      <c r="T276"/>
      <c r="U276"/>
      <c r="V276"/>
      <c r="W276"/>
      <c r="X276"/>
      <c r="Y276"/>
      <c r="Z276"/>
      <c r="AA276"/>
      <c r="AB276"/>
      <c r="AC276"/>
      <c r="AD276"/>
      <c r="AE276"/>
      <c r="AF276"/>
      <c r="AY276" s="465"/>
    </row>
    <row r="277" spans="1:51" x14ac:dyDescent="0.25">
      <c r="A277" s="622" t="s">
        <v>15</v>
      </c>
      <c r="B277" s="233">
        <v>3</v>
      </c>
      <c r="C277" s="13">
        <v>1</v>
      </c>
      <c r="D277" s="13">
        <v>1</v>
      </c>
      <c r="E277" s="13">
        <v>2</v>
      </c>
      <c r="F277" s="13">
        <v>6</v>
      </c>
      <c r="G277" s="13">
        <v>2</v>
      </c>
      <c r="H277" s="13">
        <v>6</v>
      </c>
      <c r="I277" s="13">
        <f t="shared" si="138"/>
        <v>21</v>
      </c>
      <c r="J277" s="623">
        <f t="shared" si="139"/>
        <v>3</v>
      </c>
      <c r="K277"/>
      <c r="L277"/>
      <c r="M277"/>
      <c r="N277"/>
      <c r="O277"/>
      <c r="P277"/>
      <c r="Q277"/>
      <c r="R277"/>
      <c r="S277"/>
      <c r="T277"/>
      <c r="U277"/>
      <c r="V277"/>
      <c r="W277"/>
      <c r="X277"/>
      <c r="Y277"/>
      <c r="Z277"/>
      <c r="AA277"/>
      <c r="AB277"/>
      <c r="AC277"/>
      <c r="AD277"/>
      <c r="AE277"/>
      <c r="AF277"/>
      <c r="AY277" s="465"/>
    </row>
    <row r="278" spans="1:51" x14ac:dyDescent="0.25">
      <c r="A278" s="622" t="s">
        <v>16</v>
      </c>
      <c r="B278" s="233">
        <v>0</v>
      </c>
      <c r="C278" s="13">
        <v>0</v>
      </c>
      <c r="D278" s="13">
        <v>0</v>
      </c>
      <c r="E278" s="13">
        <v>0</v>
      </c>
      <c r="F278" s="13">
        <v>0</v>
      </c>
      <c r="G278" s="13">
        <v>0</v>
      </c>
      <c r="H278" s="13">
        <v>0</v>
      </c>
      <c r="I278" s="13">
        <f t="shared" si="138"/>
        <v>0</v>
      </c>
      <c r="J278" s="623">
        <f t="shared" si="139"/>
        <v>0</v>
      </c>
      <c r="K278"/>
      <c r="L278"/>
      <c r="M278"/>
      <c r="N278"/>
      <c r="O278"/>
      <c r="P278"/>
      <c r="Q278"/>
      <c r="R278"/>
      <c r="S278"/>
      <c r="T278"/>
      <c r="U278"/>
      <c r="V278"/>
      <c r="W278"/>
      <c r="X278"/>
      <c r="Y278"/>
      <c r="Z278"/>
      <c r="AA278"/>
      <c r="AB278"/>
      <c r="AC278"/>
      <c r="AD278"/>
      <c r="AE278"/>
      <c r="AF278"/>
      <c r="AY278" s="465"/>
    </row>
    <row r="279" spans="1:51" x14ac:dyDescent="0.25">
      <c r="A279" s="624" t="s">
        <v>17</v>
      </c>
      <c r="B279" s="102">
        <f t="shared" ref="B279:H279" si="140">SUM(B274:B278)</f>
        <v>52</v>
      </c>
      <c r="C279" s="79">
        <f t="shared" si="140"/>
        <v>39</v>
      </c>
      <c r="D279" s="79">
        <f t="shared" si="140"/>
        <v>48</v>
      </c>
      <c r="E279" s="79">
        <f t="shared" si="140"/>
        <v>26</v>
      </c>
      <c r="F279" s="79">
        <f t="shared" si="140"/>
        <v>91</v>
      </c>
      <c r="G279" s="79">
        <f t="shared" si="140"/>
        <v>100</v>
      </c>
      <c r="H279" s="79">
        <f t="shared" si="140"/>
        <v>117</v>
      </c>
      <c r="I279" s="79">
        <f>SUM(I274:I278)</f>
        <v>473</v>
      </c>
      <c r="J279" s="625">
        <f t="shared" si="139"/>
        <v>67.571428571428569</v>
      </c>
      <c r="K279"/>
      <c r="L279"/>
      <c r="M279"/>
      <c r="N279"/>
      <c r="O279"/>
      <c r="P279"/>
      <c r="Q279"/>
      <c r="R279"/>
      <c r="S279"/>
      <c r="T279"/>
      <c r="U279"/>
      <c r="V279"/>
      <c r="W279"/>
      <c r="X279"/>
      <c r="Y279"/>
      <c r="Z279"/>
      <c r="AA279"/>
      <c r="AB279"/>
      <c r="AC279"/>
      <c r="AD279"/>
      <c r="AE279"/>
      <c r="AF279"/>
      <c r="AY279" s="465"/>
    </row>
    <row r="280" spans="1:51" x14ac:dyDescent="0.25">
      <c r="A280" s="622" t="s">
        <v>18</v>
      </c>
      <c r="B280" s="406">
        <v>0.7</v>
      </c>
      <c r="C280" s="19">
        <v>0.61</v>
      </c>
      <c r="D280" s="19">
        <v>0.66</v>
      </c>
      <c r="E280" s="19">
        <v>0.63</v>
      </c>
      <c r="F280" s="19">
        <v>0.74</v>
      </c>
      <c r="G280" s="19">
        <v>0.64</v>
      </c>
      <c r="H280" s="19">
        <v>0.68</v>
      </c>
      <c r="I280" s="19">
        <f>I287/I292</f>
        <v>0.67531860041123792</v>
      </c>
      <c r="J280" s="626">
        <f>J287/J292</f>
        <v>0.67531860041123803</v>
      </c>
      <c r="K280"/>
      <c r="L280"/>
      <c r="M280"/>
      <c r="N280"/>
      <c r="O280"/>
      <c r="P280"/>
      <c r="Q280"/>
      <c r="R280"/>
      <c r="S280"/>
      <c r="T280"/>
      <c r="U280"/>
      <c r="V280"/>
      <c r="W280"/>
      <c r="X280"/>
      <c r="Y280"/>
      <c r="Z280"/>
      <c r="AA280"/>
      <c r="AB280"/>
      <c r="AC280"/>
      <c r="AD280"/>
      <c r="AE280"/>
      <c r="AF280"/>
      <c r="AY280" s="465"/>
    </row>
    <row r="281" spans="1:51" x14ac:dyDescent="0.25">
      <c r="A281" s="622" t="s">
        <v>19</v>
      </c>
      <c r="B281" s="406">
        <v>0</v>
      </c>
      <c r="C281" s="19">
        <v>0.01</v>
      </c>
      <c r="D281" s="19">
        <v>0</v>
      </c>
      <c r="E281" s="19">
        <v>0.02</v>
      </c>
      <c r="F281" s="19">
        <v>0</v>
      </c>
      <c r="G281" s="19">
        <v>0</v>
      </c>
      <c r="H281" s="19">
        <v>0.02</v>
      </c>
      <c r="I281" s="19">
        <f>I288/I292</f>
        <v>6.7787382173970555E-3</v>
      </c>
      <c r="J281" s="626">
        <f>J288/J292</f>
        <v>6.7787382173970555E-3</v>
      </c>
      <c r="K281"/>
      <c r="L281"/>
      <c r="M281"/>
      <c r="N281"/>
      <c r="O281"/>
      <c r="P281"/>
      <c r="Q281"/>
      <c r="R281"/>
      <c r="S281"/>
      <c r="T281"/>
      <c r="U281"/>
      <c r="V281"/>
      <c r="W281"/>
      <c r="X281"/>
      <c r="Y281"/>
      <c r="Z281"/>
      <c r="AA281"/>
      <c r="AB281"/>
      <c r="AC281"/>
      <c r="AD281"/>
      <c r="AE281"/>
      <c r="AF281"/>
      <c r="AY281" s="465"/>
    </row>
    <row r="282" spans="1:51" x14ac:dyDescent="0.25">
      <c r="A282" s="622" t="s">
        <v>20</v>
      </c>
      <c r="B282" s="406">
        <v>0.27</v>
      </c>
      <c r="C282" s="19">
        <v>0.36</v>
      </c>
      <c r="D282" s="19">
        <v>0.33</v>
      </c>
      <c r="E282" s="19">
        <v>0.28000000000000003</v>
      </c>
      <c r="F282" s="19">
        <v>0.22</v>
      </c>
      <c r="G282" s="19">
        <v>0.34</v>
      </c>
      <c r="H282" s="19">
        <v>0.25</v>
      </c>
      <c r="I282" s="19">
        <f>I289/I292</f>
        <v>0.28405275312320444</v>
      </c>
      <c r="J282" s="626">
        <f>J289/J292</f>
        <v>0.28405275312320438</v>
      </c>
      <c r="K282"/>
      <c r="L282"/>
      <c r="M282"/>
      <c r="N282"/>
      <c r="O282"/>
      <c r="P282"/>
      <c r="Q282"/>
      <c r="R282"/>
      <c r="S282"/>
      <c r="T282"/>
      <c r="U282"/>
      <c r="V282"/>
      <c r="W282"/>
      <c r="X282"/>
      <c r="Y282"/>
      <c r="Z282"/>
      <c r="AA282"/>
      <c r="AB282"/>
      <c r="AC282"/>
      <c r="AD282"/>
      <c r="AE282"/>
      <c r="AF282"/>
      <c r="AY282" s="465"/>
    </row>
    <row r="283" spans="1:51" x14ac:dyDescent="0.25">
      <c r="A283" s="622" t="s">
        <v>21</v>
      </c>
      <c r="B283" s="406">
        <v>0.03</v>
      </c>
      <c r="C283" s="19">
        <v>0.02</v>
      </c>
      <c r="D283" s="19">
        <v>0.01</v>
      </c>
      <c r="E283" s="19">
        <v>7.0000000000000007E-2</v>
      </c>
      <c r="F283" s="19">
        <v>0.04</v>
      </c>
      <c r="G283" s="19">
        <v>0.02</v>
      </c>
      <c r="H283" s="19">
        <v>0.05</v>
      </c>
      <c r="I283" s="19">
        <f>I290/I292</f>
        <v>3.3849908248160573E-2</v>
      </c>
      <c r="J283" s="626">
        <f>J290/J292</f>
        <v>3.3849908248160573E-2</v>
      </c>
      <c r="K283"/>
      <c r="L283"/>
      <c r="M283"/>
      <c r="N283"/>
      <c r="O283"/>
      <c r="P283"/>
      <c r="Q283"/>
      <c r="R283"/>
      <c r="S283"/>
      <c r="T283"/>
      <c r="U283"/>
      <c r="V283"/>
      <c r="W283"/>
      <c r="X283"/>
      <c r="Y283"/>
      <c r="Z283"/>
      <c r="AA283"/>
      <c r="AB283"/>
      <c r="AC283"/>
      <c r="AD283"/>
      <c r="AE283"/>
      <c r="AF283"/>
      <c r="AY283" s="465"/>
    </row>
    <row r="284" spans="1:51" x14ac:dyDescent="0.25">
      <c r="A284" s="622" t="s">
        <v>22</v>
      </c>
      <c r="B284" s="406">
        <v>0</v>
      </c>
      <c r="C284" s="19">
        <v>0</v>
      </c>
      <c r="D284" s="19">
        <v>0</v>
      </c>
      <c r="E284" s="19">
        <v>0</v>
      </c>
      <c r="F284" s="19">
        <v>0</v>
      </c>
      <c r="G284" s="19">
        <v>0</v>
      </c>
      <c r="H284" s="19">
        <v>0</v>
      </c>
      <c r="I284" s="19">
        <f>I291/I292</f>
        <v>0</v>
      </c>
      <c r="J284" s="626">
        <f>J291/J292</f>
        <v>0</v>
      </c>
      <c r="K284"/>
      <c r="L284"/>
      <c r="M284"/>
      <c r="N284"/>
      <c r="O284"/>
      <c r="P284"/>
      <c r="Q284"/>
      <c r="R284"/>
      <c r="S284"/>
      <c r="T284"/>
      <c r="U284"/>
      <c r="V284"/>
      <c r="W284"/>
      <c r="X284"/>
      <c r="Y284"/>
      <c r="Z284"/>
      <c r="AA284"/>
      <c r="AB284"/>
      <c r="AC284"/>
      <c r="AD284"/>
      <c r="AE284"/>
      <c r="AF284"/>
      <c r="AY284" s="465"/>
    </row>
    <row r="285" spans="1:51" x14ac:dyDescent="0.25">
      <c r="A285" s="627" t="s">
        <v>23</v>
      </c>
      <c r="B285" s="409">
        <f t="shared" ref="B285:J285" si="141">B296/B279</f>
        <v>37394.230769230766</v>
      </c>
      <c r="C285" s="131">
        <f t="shared" si="141"/>
        <v>34823.076923076922</v>
      </c>
      <c r="D285" s="131">
        <f t="shared" si="141"/>
        <v>35427.083333333336</v>
      </c>
      <c r="E285" s="131">
        <f t="shared" si="141"/>
        <v>29773.076923076922</v>
      </c>
      <c r="F285" s="131">
        <f t="shared" si="141"/>
        <v>36530.769230769234</v>
      </c>
      <c r="G285" s="131">
        <f t="shared" si="141"/>
        <v>37243</v>
      </c>
      <c r="H285" s="131">
        <f t="shared" si="141"/>
        <v>37543.589743589742</v>
      </c>
      <c r="I285" s="131">
        <f t="shared" si="141"/>
        <v>36402.536997885836</v>
      </c>
      <c r="J285" s="628">
        <f t="shared" si="141"/>
        <v>36402.536997885836</v>
      </c>
      <c r="K285"/>
      <c r="L285"/>
      <c r="M285"/>
      <c r="N285"/>
      <c r="O285"/>
      <c r="P285"/>
      <c r="Q285"/>
      <c r="R285"/>
      <c r="S285"/>
      <c r="T285"/>
      <c r="U285"/>
      <c r="V285"/>
      <c r="W285"/>
      <c r="X285"/>
      <c r="Y285"/>
      <c r="Z285"/>
      <c r="AA285"/>
      <c r="AB285"/>
      <c r="AC285"/>
      <c r="AD285"/>
      <c r="AE285"/>
      <c r="AF285"/>
      <c r="AY285" s="465"/>
    </row>
    <row r="286" spans="1:51" x14ac:dyDescent="0.25">
      <c r="A286" s="627" t="s">
        <v>24</v>
      </c>
      <c r="B286" s="409">
        <f t="shared" ref="B286:J286" si="142">B296/B273</f>
        <v>30865.079365079364</v>
      </c>
      <c r="C286" s="131">
        <f t="shared" si="142"/>
        <v>26117.307692307691</v>
      </c>
      <c r="D286" s="131">
        <f t="shared" si="142"/>
        <v>28822.03389830509</v>
      </c>
      <c r="E286" s="131">
        <f t="shared" si="142"/>
        <v>27646.428571428572</v>
      </c>
      <c r="F286" s="131">
        <f t="shared" si="142"/>
        <v>30498.16513761468</v>
      </c>
      <c r="G286" s="131">
        <f t="shared" si="142"/>
        <v>29325.196850393702</v>
      </c>
      <c r="H286" s="131">
        <f t="shared" si="142"/>
        <v>30933.802816901407</v>
      </c>
      <c r="I286" s="131">
        <f t="shared" si="142"/>
        <v>29686.896551724138</v>
      </c>
      <c r="J286" s="628">
        <f t="shared" si="142"/>
        <v>29686.896551724138</v>
      </c>
      <c r="K286"/>
      <c r="L286"/>
      <c r="M286"/>
      <c r="N286"/>
      <c r="O286"/>
      <c r="P286"/>
      <c r="Q286"/>
      <c r="R286"/>
      <c r="S286"/>
      <c r="T286"/>
      <c r="U286"/>
      <c r="V286"/>
      <c r="W286"/>
      <c r="X286"/>
      <c r="Y286"/>
      <c r="Z286"/>
      <c r="AA286"/>
      <c r="AB286"/>
      <c r="AC286"/>
      <c r="AD286"/>
      <c r="AE286"/>
      <c r="AF286"/>
      <c r="AY286" s="465"/>
    </row>
    <row r="287" spans="1:51" x14ac:dyDescent="0.25">
      <c r="A287" s="622" t="s">
        <v>25</v>
      </c>
      <c r="B287" s="255">
        <f t="shared" ref="B287:H287" si="143">B292*B280</f>
        <v>1125133.1724137932</v>
      </c>
      <c r="C287" s="133">
        <f t="shared" si="143"/>
        <v>689196.82586206903</v>
      </c>
      <c r="D287" s="133">
        <f t="shared" si="143"/>
        <v>936235.26206896571</v>
      </c>
      <c r="E287" s="133">
        <f t="shared" si="143"/>
        <v>402766.92931034486</v>
      </c>
      <c r="F287" s="133">
        <f t="shared" si="143"/>
        <v>2023397.4379310345</v>
      </c>
      <c r="G287" s="133">
        <f t="shared" si="143"/>
        <v>1974792.6068965518</v>
      </c>
      <c r="H287" s="133">
        <f t="shared" si="143"/>
        <v>2462136.613793104</v>
      </c>
      <c r="I287" s="133">
        <f>SUM(B287:H287)</f>
        <v>9613658.8482758626</v>
      </c>
      <c r="J287" s="629">
        <f t="shared" ref="J287:J292" si="144">+$I287/7</f>
        <v>1373379.8354679805</v>
      </c>
      <c r="K287"/>
      <c r="L287"/>
      <c r="M287"/>
      <c r="N287"/>
      <c r="O287"/>
      <c r="P287"/>
      <c r="Q287"/>
      <c r="R287"/>
      <c r="S287"/>
      <c r="T287"/>
      <c r="U287"/>
      <c r="V287"/>
      <c r="W287"/>
      <c r="X287"/>
      <c r="Y287"/>
      <c r="Z287"/>
      <c r="AA287"/>
      <c r="AB287"/>
      <c r="AC287"/>
      <c r="AD287"/>
      <c r="AE287"/>
      <c r="AF287"/>
      <c r="AY287" s="465"/>
    </row>
    <row r="288" spans="1:51" x14ac:dyDescent="0.25">
      <c r="A288" s="622" t="s">
        <v>26</v>
      </c>
      <c r="B288" s="255">
        <f t="shared" ref="B288:H288" si="145">B292*B281</f>
        <v>0</v>
      </c>
      <c r="C288" s="133">
        <f t="shared" si="145"/>
        <v>11298.308620689655</v>
      </c>
      <c r="D288" s="133">
        <f t="shared" si="145"/>
        <v>0</v>
      </c>
      <c r="E288" s="133">
        <f t="shared" si="145"/>
        <v>12786.251724137932</v>
      </c>
      <c r="F288" s="133">
        <f t="shared" si="145"/>
        <v>0</v>
      </c>
      <c r="G288" s="133">
        <f t="shared" si="145"/>
        <v>0</v>
      </c>
      <c r="H288" s="133">
        <f t="shared" si="145"/>
        <v>72415.782758620699</v>
      </c>
      <c r="I288" s="133">
        <f>SUM(B288:H288)</f>
        <v>96500.343103448278</v>
      </c>
      <c r="J288" s="629">
        <f t="shared" si="144"/>
        <v>13785.763300492612</v>
      </c>
      <c r="K288"/>
      <c r="L288"/>
      <c r="M288"/>
      <c r="N288"/>
      <c r="O288"/>
      <c r="P288"/>
      <c r="Q288"/>
      <c r="R288"/>
      <c r="S288"/>
      <c r="T288"/>
      <c r="U288"/>
      <c r="V288"/>
      <c r="W288"/>
      <c r="X288"/>
      <c r="Y288"/>
      <c r="Z288"/>
      <c r="AA288"/>
      <c r="AB288"/>
      <c r="AC288"/>
      <c r="AD288"/>
      <c r="AE288"/>
      <c r="AF288"/>
      <c r="AY288" s="465"/>
    </row>
    <row r="289" spans="1:51" x14ac:dyDescent="0.25">
      <c r="A289" s="622" t="s">
        <v>27</v>
      </c>
      <c r="B289" s="255">
        <f t="shared" ref="B289:H289" si="146">B292*B282</f>
        <v>433979.93793103454</v>
      </c>
      <c r="C289" s="133">
        <f t="shared" si="146"/>
        <v>406739.11034482758</v>
      </c>
      <c r="D289" s="133">
        <f t="shared" si="146"/>
        <v>468117.63103448285</v>
      </c>
      <c r="E289" s="133">
        <f t="shared" si="146"/>
        <v>179007.52413793106</v>
      </c>
      <c r="F289" s="133">
        <f t="shared" si="146"/>
        <v>601550.58965517243</v>
      </c>
      <c r="G289" s="133">
        <f t="shared" si="146"/>
        <v>1049108.5724137933</v>
      </c>
      <c r="H289" s="133">
        <f t="shared" si="146"/>
        <v>905197.28448275873</v>
      </c>
      <c r="I289" s="133">
        <f>SUM(B289:H289)</f>
        <v>4043700.6500000004</v>
      </c>
      <c r="J289" s="629">
        <f t="shared" si="144"/>
        <v>577671.52142857143</v>
      </c>
      <c r="K289"/>
      <c r="L289"/>
      <c r="M289"/>
      <c r="N289"/>
      <c r="O289"/>
      <c r="P289"/>
      <c r="Q289"/>
      <c r="R289"/>
      <c r="S289"/>
      <c r="T289"/>
      <c r="U289"/>
      <c r="V289"/>
      <c r="W289"/>
      <c r="X289"/>
      <c r="Y289"/>
      <c r="Z289"/>
      <c r="AA289"/>
      <c r="AB289"/>
      <c r="AC289"/>
      <c r="AD289"/>
      <c r="AE289"/>
      <c r="AF289"/>
      <c r="AY289" s="465"/>
    </row>
    <row r="290" spans="1:51" x14ac:dyDescent="0.25">
      <c r="A290" s="622" t="s">
        <v>28</v>
      </c>
      <c r="B290" s="255">
        <f t="shared" ref="B290:H290" si="147">B292*B283</f>
        <v>48219.99310344828</v>
      </c>
      <c r="C290" s="133">
        <f t="shared" si="147"/>
        <v>22596.61724137931</v>
      </c>
      <c r="D290" s="133">
        <f t="shared" si="147"/>
        <v>14185.382758620692</v>
      </c>
      <c r="E290" s="133">
        <f t="shared" si="147"/>
        <v>44751.881034482765</v>
      </c>
      <c r="F290" s="133">
        <f t="shared" si="147"/>
        <v>109372.83448275863</v>
      </c>
      <c r="G290" s="133">
        <f t="shared" si="147"/>
        <v>61712.268965517243</v>
      </c>
      <c r="H290" s="133">
        <f t="shared" si="147"/>
        <v>181039.45689655177</v>
      </c>
      <c r="I290" s="133">
        <f>SUM(B290:H290)</f>
        <v>481878.43448275869</v>
      </c>
      <c r="J290" s="629">
        <f t="shared" si="144"/>
        <v>68839.776354679809</v>
      </c>
      <c r="K290"/>
      <c r="L290"/>
      <c r="M290"/>
      <c r="N290"/>
      <c r="O290"/>
      <c r="P290"/>
      <c r="Q290"/>
      <c r="R290"/>
      <c r="S290"/>
      <c r="T290"/>
      <c r="U290"/>
      <c r="V290"/>
      <c r="W290"/>
      <c r="X290"/>
      <c r="Y290"/>
      <c r="Z290"/>
      <c r="AA290"/>
      <c r="AB290"/>
      <c r="AC290"/>
      <c r="AD290"/>
      <c r="AE290"/>
      <c r="AF290"/>
      <c r="AY290" s="465"/>
    </row>
    <row r="291" spans="1:51" x14ac:dyDescent="0.25">
      <c r="A291" s="622" t="s">
        <v>29</v>
      </c>
      <c r="B291" s="255">
        <f t="shared" ref="B291:H291" si="148">B292*B284</f>
        <v>0</v>
      </c>
      <c r="C291" s="133">
        <f t="shared" si="148"/>
        <v>0</v>
      </c>
      <c r="D291" s="133">
        <f t="shared" si="148"/>
        <v>0</v>
      </c>
      <c r="E291" s="133">
        <f t="shared" si="148"/>
        <v>0</v>
      </c>
      <c r="F291" s="133">
        <f t="shared" si="148"/>
        <v>0</v>
      </c>
      <c r="G291" s="133">
        <f t="shared" si="148"/>
        <v>0</v>
      </c>
      <c r="H291" s="133">
        <f t="shared" si="148"/>
        <v>0</v>
      </c>
      <c r="I291" s="133">
        <f>SUM(B291:H291)</f>
        <v>0</v>
      </c>
      <c r="J291" s="629">
        <f t="shared" si="144"/>
        <v>0</v>
      </c>
      <c r="K291"/>
      <c r="L291"/>
      <c r="M291"/>
      <c r="N291"/>
      <c r="O291"/>
      <c r="P291"/>
      <c r="Q291"/>
      <c r="R291"/>
      <c r="S291"/>
      <c r="T291"/>
      <c r="U291"/>
      <c r="V291"/>
      <c r="W291"/>
      <c r="X291"/>
      <c r="Y291"/>
      <c r="Z291"/>
      <c r="AA291"/>
      <c r="AB291"/>
      <c r="AC291"/>
      <c r="AD291"/>
      <c r="AE291"/>
      <c r="AF291"/>
      <c r="AY291" s="465"/>
    </row>
    <row r="292" spans="1:51" x14ac:dyDescent="0.25">
      <c r="A292" s="630" t="s">
        <v>30</v>
      </c>
      <c r="B292" s="410">
        <f>(1944500/1.16)-B293</f>
        <v>1607333.1034482759</v>
      </c>
      <c r="C292" s="410">
        <f>(1358100/1.16)-C293</f>
        <v>1129830.8620689656</v>
      </c>
      <c r="D292" s="410">
        <f>(1700500/1.16)-D293</f>
        <v>1418538.2758620691</v>
      </c>
      <c r="E292" s="410">
        <f>(774100/1.16)-E293</f>
        <v>639312.58620689658</v>
      </c>
      <c r="F292" s="410">
        <f>(3324300/1.16)-F293</f>
        <v>2734320.8620689656</v>
      </c>
      <c r="G292" s="410">
        <f>(3724300/1.16)-G293</f>
        <v>3085613.4482758623</v>
      </c>
      <c r="H292" s="410">
        <f>(4392600/1.16)-H293</f>
        <v>3620789.1379310349</v>
      </c>
      <c r="I292" s="136">
        <f>SUM(I287:I291)</f>
        <v>14235738.27586207</v>
      </c>
      <c r="J292" s="631">
        <f t="shared" si="144"/>
        <v>2033676.8965517243</v>
      </c>
      <c r="K292"/>
      <c r="L292"/>
      <c r="M292"/>
      <c r="N292"/>
      <c r="O292"/>
      <c r="P292"/>
      <c r="Q292"/>
      <c r="R292"/>
      <c r="S292"/>
      <c r="T292"/>
      <c r="U292"/>
      <c r="V292"/>
      <c r="W292"/>
      <c r="X292"/>
      <c r="Y292"/>
      <c r="Z292"/>
      <c r="AA292"/>
      <c r="AB292"/>
      <c r="AC292"/>
      <c r="AD292"/>
      <c r="AE292"/>
      <c r="AF292"/>
      <c r="AY292" s="465"/>
    </row>
    <row r="293" spans="1:51" x14ac:dyDescent="0.25">
      <c r="A293" s="622" t="s">
        <v>31</v>
      </c>
      <c r="B293" s="263">
        <f t="shared" ref="B293:H293" si="149">2155*B274</f>
        <v>68960</v>
      </c>
      <c r="C293" s="139">
        <f t="shared" si="149"/>
        <v>40945</v>
      </c>
      <c r="D293" s="139">
        <f t="shared" si="149"/>
        <v>47410</v>
      </c>
      <c r="E293" s="139">
        <f t="shared" si="149"/>
        <v>28015</v>
      </c>
      <c r="F293" s="139">
        <f t="shared" si="149"/>
        <v>131455</v>
      </c>
      <c r="G293" s="139">
        <f t="shared" si="149"/>
        <v>124990</v>
      </c>
      <c r="H293" s="139">
        <f t="shared" si="149"/>
        <v>165935</v>
      </c>
      <c r="I293" s="139">
        <f>I274*2155</f>
        <v>607710</v>
      </c>
      <c r="J293" s="632">
        <f>2155*J274</f>
        <v>86815.71428571429</v>
      </c>
      <c r="K293"/>
      <c r="L293"/>
      <c r="M293"/>
      <c r="N293"/>
      <c r="O293"/>
      <c r="P293"/>
      <c r="Q293"/>
      <c r="R293"/>
      <c r="S293"/>
      <c r="T293"/>
      <c r="U293"/>
      <c r="V293"/>
      <c r="W293"/>
      <c r="X293"/>
      <c r="Y293"/>
      <c r="Z293"/>
      <c r="AA293"/>
      <c r="AB293"/>
      <c r="AC293"/>
      <c r="AD293"/>
      <c r="AE293"/>
      <c r="AF293"/>
      <c r="AY293" s="465"/>
    </row>
    <row r="294" spans="1:51" x14ac:dyDescent="0.25">
      <c r="A294" s="633" t="s">
        <v>32</v>
      </c>
      <c r="B294" s="411">
        <f t="shared" ref="B294:J294" si="150">B292+B293</f>
        <v>1676293.1034482759</v>
      </c>
      <c r="C294" s="40">
        <f t="shared" si="150"/>
        <v>1170775.8620689656</v>
      </c>
      <c r="D294" s="40">
        <f t="shared" si="150"/>
        <v>1465948.2758620691</v>
      </c>
      <c r="E294" s="40">
        <f t="shared" si="150"/>
        <v>667327.58620689658</v>
      </c>
      <c r="F294" s="40">
        <f t="shared" si="150"/>
        <v>2865775.8620689656</v>
      </c>
      <c r="G294" s="40">
        <f t="shared" si="150"/>
        <v>3210603.4482758623</v>
      </c>
      <c r="H294" s="40">
        <f t="shared" si="150"/>
        <v>3786724.1379310349</v>
      </c>
      <c r="I294" s="40">
        <f t="shared" si="150"/>
        <v>14843448.27586207</v>
      </c>
      <c r="J294" s="634">
        <f t="shared" si="150"/>
        <v>2120492.6108374386</v>
      </c>
      <c r="K294"/>
      <c r="L294"/>
      <c r="M294"/>
      <c r="N294"/>
      <c r="O294"/>
      <c r="P294"/>
      <c r="Q294"/>
      <c r="R294"/>
      <c r="S294"/>
      <c r="T294"/>
      <c r="U294"/>
      <c r="V294"/>
      <c r="W294"/>
      <c r="X294"/>
      <c r="Y294"/>
      <c r="Z294"/>
      <c r="AA294"/>
      <c r="AB294"/>
      <c r="AC294"/>
      <c r="AD294"/>
      <c r="AE294"/>
      <c r="AF294"/>
      <c r="AY294" s="465"/>
    </row>
    <row r="295" spans="1:51" x14ac:dyDescent="0.25">
      <c r="A295" s="622" t="s">
        <v>33</v>
      </c>
      <c r="B295" s="413">
        <f t="shared" ref="B295:J295" si="151">B294*16%</f>
        <v>268206.89655172417</v>
      </c>
      <c r="C295" s="42">
        <f t="shared" si="151"/>
        <v>187324.13793103449</v>
      </c>
      <c r="D295" s="42">
        <f t="shared" si="151"/>
        <v>234551.72413793107</v>
      </c>
      <c r="E295" s="42">
        <f t="shared" si="151"/>
        <v>106772.41379310345</v>
      </c>
      <c r="F295" s="42">
        <f t="shared" si="151"/>
        <v>458524.13793103449</v>
      </c>
      <c r="G295" s="42">
        <f t="shared" si="151"/>
        <v>513696.55172413797</v>
      </c>
      <c r="H295" s="42">
        <f t="shared" si="151"/>
        <v>605875.86206896557</v>
      </c>
      <c r="I295" s="42">
        <f t="shared" si="151"/>
        <v>2374951.7241379311</v>
      </c>
      <c r="J295" s="635">
        <f t="shared" si="151"/>
        <v>339278.8177339902</v>
      </c>
      <c r="K295"/>
      <c r="L295"/>
      <c r="M295"/>
      <c r="N295"/>
      <c r="O295"/>
      <c r="P295"/>
      <c r="Q295"/>
      <c r="R295"/>
      <c r="S295"/>
      <c r="T295"/>
      <c r="U295"/>
      <c r="V295"/>
      <c r="W295"/>
      <c r="X295"/>
      <c r="Y295"/>
      <c r="Z295"/>
      <c r="AA295"/>
      <c r="AB295"/>
      <c r="AC295"/>
      <c r="AD295"/>
      <c r="AE295"/>
      <c r="AF295"/>
      <c r="AY295" s="465"/>
    </row>
    <row r="296" spans="1:51" ht="15.75" thickBot="1" x14ac:dyDescent="0.3">
      <c r="A296" s="636" t="s">
        <v>34</v>
      </c>
      <c r="B296" s="637">
        <f t="shared" ref="B296:I296" si="152">B294+B295</f>
        <v>1944500</v>
      </c>
      <c r="C296" s="638">
        <f t="shared" si="152"/>
        <v>1358100</v>
      </c>
      <c r="D296" s="638">
        <f t="shared" si="152"/>
        <v>1700500.0000000002</v>
      </c>
      <c r="E296" s="638">
        <f t="shared" si="152"/>
        <v>774100</v>
      </c>
      <c r="F296" s="638">
        <f t="shared" si="152"/>
        <v>3324300</v>
      </c>
      <c r="G296" s="638">
        <f t="shared" si="152"/>
        <v>3724300</v>
      </c>
      <c r="H296" s="638">
        <f t="shared" si="152"/>
        <v>4392600</v>
      </c>
      <c r="I296" s="638">
        <f t="shared" si="152"/>
        <v>17218400</v>
      </c>
      <c r="J296" s="639">
        <f>+$I296/7</f>
        <v>2459771.4285714286</v>
      </c>
      <c r="K296"/>
      <c r="L296"/>
      <c r="M296"/>
      <c r="N296"/>
      <c r="O296"/>
      <c r="P296"/>
      <c r="Q296"/>
      <c r="R296"/>
      <c r="S296"/>
      <c r="T296"/>
      <c r="U296"/>
      <c r="V296"/>
      <c r="W296"/>
      <c r="X296"/>
      <c r="Y296"/>
      <c r="Z296"/>
      <c r="AA296"/>
      <c r="AB296"/>
      <c r="AC296"/>
      <c r="AD296"/>
      <c r="AE296"/>
      <c r="AF296"/>
      <c r="AY296" s="465"/>
    </row>
    <row r="297" spans="1:51" ht="15.75" thickBot="1" x14ac:dyDescent="0.3">
      <c r="K297"/>
      <c r="L297"/>
      <c r="M297"/>
      <c r="N297"/>
      <c r="O297"/>
      <c r="P297"/>
      <c r="Q297"/>
      <c r="R297"/>
      <c r="S297"/>
      <c r="T297"/>
      <c r="U297"/>
      <c r="V297"/>
      <c r="W297"/>
      <c r="X297"/>
      <c r="Y297"/>
      <c r="Z297"/>
      <c r="AA297"/>
      <c r="AB297"/>
      <c r="AC297"/>
      <c r="AD297"/>
      <c r="AE297"/>
      <c r="AF297"/>
      <c r="AY297" s="465"/>
    </row>
    <row r="298" spans="1:51" ht="27" thickBot="1" x14ac:dyDescent="0.3">
      <c r="A298" s="85"/>
      <c r="B298" s="1002" t="s">
        <v>122</v>
      </c>
      <c r="C298" s="1002"/>
      <c r="D298" s="1002"/>
      <c r="E298" s="1002"/>
      <c r="F298" s="1002"/>
      <c r="G298" s="1002"/>
      <c r="H298" s="1002"/>
      <c r="I298" s="1002"/>
      <c r="J298" s="85"/>
      <c r="K298"/>
      <c r="L298"/>
      <c r="M298"/>
      <c r="N298"/>
      <c r="O298"/>
      <c r="P298"/>
      <c r="Q298"/>
      <c r="R298"/>
      <c r="S298"/>
      <c r="T298"/>
      <c r="U298"/>
      <c r="V298"/>
      <c r="W298"/>
      <c r="X298"/>
      <c r="Y298"/>
      <c r="Z298"/>
      <c r="AA298"/>
      <c r="AB298"/>
      <c r="AC298"/>
      <c r="AD298"/>
      <c r="AE298"/>
      <c r="AF298"/>
      <c r="AY298" s="465"/>
    </row>
    <row r="299" spans="1:51" ht="15.75" x14ac:dyDescent="0.25">
      <c r="A299" s="614" t="s">
        <v>2</v>
      </c>
      <c r="B299" s="615" t="s">
        <v>249</v>
      </c>
      <c r="C299" s="616" t="s">
        <v>250</v>
      </c>
      <c r="D299" s="617" t="s">
        <v>251</v>
      </c>
      <c r="E299" s="616" t="s">
        <v>220</v>
      </c>
      <c r="F299" s="616" t="s">
        <v>221</v>
      </c>
      <c r="G299" s="617" t="s">
        <v>222</v>
      </c>
      <c r="H299" s="617" t="s">
        <v>223</v>
      </c>
      <c r="I299" s="618" t="s">
        <v>10</v>
      </c>
      <c r="J299" s="619" t="s">
        <v>77</v>
      </c>
      <c r="K299"/>
      <c r="L299"/>
      <c r="M299"/>
      <c r="N299"/>
      <c r="O299"/>
      <c r="P299"/>
      <c r="Q299"/>
      <c r="R299"/>
      <c r="S299"/>
      <c r="T299"/>
      <c r="U299"/>
      <c r="V299"/>
      <c r="W299"/>
      <c r="X299"/>
      <c r="Y299"/>
      <c r="Z299"/>
      <c r="AA299"/>
      <c r="AB299"/>
      <c r="AC299"/>
      <c r="AD299"/>
      <c r="AE299"/>
      <c r="AF299"/>
      <c r="AY299" s="465"/>
    </row>
    <row r="300" spans="1:51" x14ac:dyDescent="0.25">
      <c r="A300" s="620" t="s">
        <v>11</v>
      </c>
      <c r="B300" s="431">
        <f>59+32+8</f>
        <v>99</v>
      </c>
      <c r="C300" s="432">
        <f>20+13+4</f>
        <v>37</v>
      </c>
      <c r="D300" s="505">
        <f>24+8+4</f>
        <v>36</v>
      </c>
      <c r="E300" s="432">
        <f>36+22+5</f>
        <v>63</v>
      </c>
      <c r="F300" s="432">
        <f>91+45+17</f>
        <v>153</v>
      </c>
      <c r="G300" s="432">
        <f>74+39+19</f>
        <v>132</v>
      </c>
      <c r="H300" s="432">
        <f>51+38+17</f>
        <v>106</v>
      </c>
      <c r="I300" s="432">
        <f t="shared" ref="I300:I305" si="153">SUM(B300:H300)</f>
        <v>626</v>
      </c>
      <c r="J300" s="621">
        <f t="shared" ref="J300:J306" si="154">+$I300/7</f>
        <v>89.428571428571431</v>
      </c>
      <c r="K300"/>
      <c r="L300"/>
      <c r="M300"/>
      <c r="N300"/>
      <c r="O300"/>
      <c r="P300"/>
      <c r="Q300"/>
      <c r="R300"/>
      <c r="S300"/>
      <c r="T300"/>
      <c r="U300"/>
      <c r="V300"/>
      <c r="W300"/>
      <c r="X300"/>
      <c r="Y300"/>
      <c r="Z300"/>
      <c r="AA300"/>
      <c r="AB300"/>
      <c r="AC300"/>
      <c r="AD300"/>
      <c r="AE300"/>
      <c r="AF300"/>
      <c r="AY300" s="465"/>
    </row>
    <row r="301" spans="1:51" x14ac:dyDescent="0.25">
      <c r="A301" s="622" t="s">
        <v>12</v>
      </c>
      <c r="B301" s="233">
        <v>59</v>
      </c>
      <c r="C301" s="13">
        <v>17</v>
      </c>
      <c r="D301" s="13">
        <v>20</v>
      </c>
      <c r="E301" s="13">
        <v>35</v>
      </c>
      <c r="F301" s="13">
        <v>81</v>
      </c>
      <c r="G301" s="13">
        <v>60</v>
      </c>
      <c r="H301" s="13">
        <v>61</v>
      </c>
      <c r="I301" s="13">
        <f t="shared" si="153"/>
        <v>333</v>
      </c>
      <c r="J301" s="623">
        <f t="shared" si="154"/>
        <v>47.571428571428569</v>
      </c>
      <c r="K301"/>
      <c r="L301"/>
      <c r="M301"/>
      <c r="N301"/>
      <c r="O301"/>
      <c r="P301"/>
      <c r="Q301"/>
      <c r="R301"/>
      <c r="S301"/>
      <c r="T301"/>
      <c r="U301"/>
      <c r="V301"/>
      <c r="W301"/>
      <c r="X301"/>
      <c r="Y301"/>
      <c r="Z301"/>
      <c r="AA301"/>
      <c r="AB301"/>
      <c r="AC301"/>
      <c r="AD301"/>
      <c r="AE301"/>
      <c r="AF301"/>
      <c r="AY301" s="465"/>
    </row>
    <row r="302" spans="1:51" x14ac:dyDescent="0.25">
      <c r="A302" s="622" t="s">
        <v>13</v>
      </c>
      <c r="B302" s="233">
        <v>0</v>
      </c>
      <c r="C302" s="13">
        <v>0</v>
      </c>
      <c r="D302" s="13">
        <v>0</v>
      </c>
      <c r="E302" s="13">
        <v>0</v>
      </c>
      <c r="F302" s="13">
        <v>2</v>
      </c>
      <c r="G302" s="13">
        <v>1</v>
      </c>
      <c r="H302" s="13">
        <v>0</v>
      </c>
      <c r="I302" s="13">
        <f t="shared" si="153"/>
        <v>3</v>
      </c>
      <c r="J302" s="623">
        <f t="shared" si="154"/>
        <v>0.42857142857142855</v>
      </c>
      <c r="K302"/>
      <c r="L302"/>
      <c r="M302"/>
      <c r="N302"/>
      <c r="O302"/>
      <c r="P302"/>
      <c r="Q302"/>
      <c r="R302"/>
      <c r="S302"/>
      <c r="T302"/>
      <c r="U302"/>
      <c r="V302"/>
      <c r="W302"/>
      <c r="X302"/>
      <c r="Y302"/>
      <c r="Z302"/>
      <c r="AA302"/>
      <c r="AB302"/>
      <c r="AC302"/>
      <c r="AD302"/>
      <c r="AE302"/>
      <c r="AF302"/>
      <c r="AY302" s="465"/>
    </row>
    <row r="303" spans="1:51" x14ac:dyDescent="0.25">
      <c r="A303" s="622" t="s">
        <v>14</v>
      </c>
      <c r="B303" s="233">
        <v>18</v>
      </c>
      <c r="C303" s="13">
        <v>13</v>
      </c>
      <c r="D303" s="13">
        <v>9</v>
      </c>
      <c r="E303" s="13">
        <v>16</v>
      </c>
      <c r="F303" s="13">
        <v>25</v>
      </c>
      <c r="G303" s="13">
        <v>24</v>
      </c>
      <c r="H303" s="13">
        <v>22</v>
      </c>
      <c r="I303" s="13">
        <f t="shared" si="153"/>
        <v>127</v>
      </c>
      <c r="J303" s="623">
        <f t="shared" si="154"/>
        <v>18.142857142857142</v>
      </c>
      <c r="K303"/>
      <c r="L303"/>
      <c r="M303"/>
      <c r="N303"/>
      <c r="O303"/>
      <c r="P303"/>
      <c r="Q303"/>
      <c r="R303"/>
      <c r="S303"/>
      <c r="T303"/>
      <c r="U303"/>
      <c r="V303"/>
      <c r="W303"/>
      <c r="X303"/>
      <c r="Y303"/>
      <c r="Z303"/>
      <c r="AA303"/>
      <c r="AB303"/>
      <c r="AC303"/>
      <c r="AD303"/>
      <c r="AE303"/>
      <c r="AF303"/>
      <c r="AY303" s="465"/>
    </row>
    <row r="304" spans="1:51" x14ac:dyDescent="0.25">
      <c r="A304" s="622" t="s">
        <v>15</v>
      </c>
      <c r="B304" s="233">
        <v>3</v>
      </c>
      <c r="C304" s="13">
        <v>1</v>
      </c>
      <c r="D304" s="13">
        <v>0</v>
      </c>
      <c r="E304" s="13">
        <v>0</v>
      </c>
      <c r="F304" s="13">
        <v>3</v>
      </c>
      <c r="G304" s="13">
        <v>4</v>
      </c>
      <c r="H304" s="13">
        <v>2</v>
      </c>
      <c r="I304" s="13">
        <f t="shared" si="153"/>
        <v>13</v>
      </c>
      <c r="J304" s="623">
        <f t="shared" si="154"/>
        <v>1.8571428571428572</v>
      </c>
      <c r="K304"/>
      <c r="L304"/>
      <c r="M304"/>
      <c r="N304"/>
      <c r="O304"/>
      <c r="P304"/>
      <c r="Q304"/>
      <c r="R304"/>
      <c r="S304"/>
      <c r="T304"/>
      <c r="U304"/>
      <c r="V304"/>
      <c r="W304"/>
      <c r="X304"/>
      <c r="Y304"/>
      <c r="Z304"/>
      <c r="AA304"/>
      <c r="AB304"/>
      <c r="AC304"/>
      <c r="AD304"/>
      <c r="AE304"/>
      <c r="AF304"/>
      <c r="AY304" s="465"/>
    </row>
    <row r="305" spans="1:51" x14ac:dyDescent="0.25">
      <c r="A305" s="622" t="s">
        <v>16</v>
      </c>
      <c r="B305" s="233">
        <v>0</v>
      </c>
      <c r="C305" s="13">
        <v>0</v>
      </c>
      <c r="D305" s="13">
        <v>0</v>
      </c>
      <c r="E305" s="13">
        <v>0</v>
      </c>
      <c r="F305" s="13">
        <v>0</v>
      </c>
      <c r="G305" s="13">
        <v>0</v>
      </c>
      <c r="H305" s="13">
        <v>0</v>
      </c>
      <c r="I305" s="13">
        <f t="shared" si="153"/>
        <v>0</v>
      </c>
      <c r="J305" s="623">
        <f t="shared" si="154"/>
        <v>0</v>
      </c>
      <c r="K305"/>
      <c r="L305"/>
      <c r="M305"/>
      <c r="N305"/>
      <c r="O305"/>
      <c r="P305"/>
      <c r="Q305"/>
      <c r="R305"/>
      <c r="S305"/>
      <c r="T305"/>
      <c r="U305"/>
      <c r="V305"/>
      <c r="W305"/>
      <c r="X305"/>
      <c r="Y305"/>
      <c r="Z305"/>
      <c r="AA305"/>
      <c r="AB305"/>
      <c r="AC305"/>
      <c r="AD305"/>
      <c r="AE305"/>
      <c r="AF305"/>
      <c r="AY305" s="465"/>
    </row>
    <row r="306" spans="1:51" x14ac:dyDescent="0.25">
      <c r="A306" s="624" t="s">
        <v>17</v>
      </c>
      <c r="B306" s="102">
        <f t="shared" ref="B306:H306" si="155">SUM(B301:B305)</f>
        <v>80</v>
      </c>
      <c r="C306" s="79">
        <f t="shared" si="155"/>
        <v>31</v>
      </c>
      <c r="D306" s="79">
        <f t="shared" si="155"/>
        <v>29</v>
      </c>
      <c r="E306" s="79">
        <f t="shared" si="155"/>
        <v>51</v>
      </c>
      <c r="F306" s="79">
        <f t="shared" si="155"/>
        <v>111</v>
      </c>
      <c r="G306" s="79">
        <f t="shared" si="155"/>
        <v>89</v>
      </c>
      <c r="H306" s="79">
        <f t="shared" si="155"/>
        <v>85</v>
      </c>
      <c r="I306" s="79">
        <f>SUM(I301:I305)</f>
        <v>476</v>
      </c>
      <c r="J306" s="625">
        <f t="shared" si="154"/>
        <v>68</v>
      </c>
      <c r="K306"/>
      <c r="L306"/>
      <c r="M306"/>
      <c r="N306"/>
      <c r="O306"/>
      <c r="P306"/>
      <c r="Q306"/>
      <c r="R306"/>
      <c r="S306"/>
      <c r="T306"/>
      <c r="U306"/>
      <c r="V306"/>
      <c r="W306"/>
      <c r="X306"/>
      <c r="Y306"/>
      <c r="Z306"/>
      <c r="AA306"/>
      <c r="AB306"/>
      <c r="AC306"/>
      <c r="AD306"/>
      <c r="AE306"/>
      <c r="AF306"/>
      <c r="AY306" s="465"/>
    </row>
    <row r="307" spans="1:51" x14ac:dyDescent="0.25">
      <c r="A307" s="622" t="s">
        <v>18</v>
      </c>
      <c r="B307" s="406">
        <v>0.76</v>
      </c>
      <c r="C307" s="19">
        <v>0.62</v>
      </c>
      <c r="D307" s="19">
        <v>0.75</v>
      </c>
      <c r="E307" s="19">
        <v>0.79</v>
      </c>
      <c r="F307" s="19">
        <v>0.82</v>
      </c>
      <c r="G307" s="19">
        <v>0.72</v>
      </c>
      <c r="H307" s="19">
        <v>0.75</v>
      </c>
      <c r="I307" s="19">
        <f>I314/I319</f>
        <v>0.75964659365012799</v>
      </c>
      <c r="J307" s="626">
        <f>J314/J319</f>
        <v>0.7596465936501281</v>
      </c>
      <c r="K307"/>
      <c r="L307"/>
      <c r="M307"/>
      <c r="N307"/>
      <c r="O307"/>
      <c r="P307"/>
      <c r="Q307"/>
      <c r="R307"/>
      <c r="S307"/>
      <c r="T307"/>
      <c r="U307"/>
      <c r="V307"/>
      <c r="W307"/>
      <c r="X307"/>
      <c r="Y307"/>
      <c r="Z307"/>
      <c r="AA307"/>
      <c r="AB307"/>
      <c r="AC307"/>
      <c r="AD307"/>
      <c r="AE307"/>
      <c r="AF307"/>
      <c r="AY307" s="465"/>
    </row>
    <row r="308" spans="1:51" x14ac:dyDescent="0.25">
      <c r="A308" s="622" t="s">
        <v>19</v>
      </c>
      <c r="B308" s="406">
        <v>0</v>
      </c>
      <c r="C308" s="19">
        <v>0</v>
      </c>
      <c r="D308" s="19">
        <v>0</v>
      </c>
      <c r="E308" s="19">
        <v>0</v>
      </c>
      <c r="F308" s="19">
        <v>0.01</v>
      </c>
      <c r="G308" s="19">
        <v>0.01</v>
      </c>
      <c r="H308" s="19">
        <v>0</v>
      </c>
      <c r="I308" s="19">
        <f>I315/I319</f>
        <v>4.4553580313764175E-3</v>
      </c>
      <c r="J308" s="626">
        <f>J315/J319</f>
        <v>4.4553580313764175E-3</v>
      </c>
      <c r="K308"/>
      <c r="L308"/>
      <c r="M308"/>
      <c r="N308"/>
      <c r="O308"/>
      <c r="P308"/>
      <c r="Q308"/>
      <c r="R308"/>
      <c r="S308"/>
      <c r="T308"/>
      <c r="U308"/>
      <c r="V308"/>
      <c r="W308"/>
      <c r="X308"/>
      <c r="Y308"/>
      <c r="Z308"/>
      <c r="AA308"/>
      <c r="AB308"/>
      <c r="AC308"/>
      <c r="AD308"/>
      <c r="AE308"/>
      <c r="AF308"/>
      <c r="AY308" s="465"/>
    </row>
    <row r="309" spans="1:51" x14ac:dyDescent="0.25">
      <c r="A309" s="622" t="s">
        <v>20</v>
      </c>
      <c r="B309" s="406">
        <v>0.21</v>
      </c>
      <c r="C309" s="19">
        <v>0.34</v>
      </c>
      <c r="D309" s="19">
        <v>0.25</v>
      </c>
      <c r="E309" s="19">
        <v>0.21</v>
      </c>
      <c r="F309" s="19">
        <v>0.15</v>
      </c>
      <c r="G309" s="19">
        <v>0.25</v>
      </c>
      <c r="H309" s="19">
        <v>0.23</v>
      </c>
      <c r="I309" s="19">
        <f>I316/I319</f>
        <v>0.21633451187065891</v>
      </c>
      <c r="J309" s="626">
        <f>J316/J319</f>
        <v>0.21633451187065891</v>
      </c>
      <c r="K309"/>
      <c r="L309"/>
      <c r="M309"/>
      <c r="N309"/>
      <c r="O309"/>
      <c r="P309"/>
      <c r="Q309"/>
      <c r="R309"/>
      <c r="S309"/>
      <c r="T309"/>
      <c r="U309"/>
      <c r="V309"/>
      <c r="W309"/>
      <c r="X309"/>
      <c r="Y309"/>
      <c r="Z309"/>
      <c r="AA309"/>
      <c r="AB309"/>
      <c r="AC309"/>
      <c r="AD309"/>
      <c r="AE309"/>
      <c r="AF309"/>
      <c r="AY309" s="465"/>
    </row>
    <row r="310" spans="1:51" x14ac:dyDescent="0.25">
      <c r="A310" s="622" t="s">
        <v>21</v>
      </c>
      <c r="B310" s="406">
        <v>0.03</v>
      </c>
      <c r="C310" s="19">
        <v>0.04</v>
      </c>
      <c r="D310" s="19">
        <v>0</v>
      </c>
      <c r="E310" s="19">
        <v>0</v>
      </c>
      <c r="F310" s="19">
        <v>0.02</v>
      </c>
      <c r="G310" s="19">
        <v>0.02</v>
      </c>
      <c r="H310" s="19">
        <v>0.02</v>
      </c>
      <c r="I310" s="19">
        <f>I317/I319</f>
        <v>1.9563536447836587E-2</v>
      </c>
      <c r="J310" s="626">
        <f>J317/J319</f>
        <v>1.9563536447836587E-2</v>
      </c>
      <c r="K310"/>
      <c r="L310"/>
      <c r="M310"/>
      <c r="N310"/>
      <c r="O310"/>
      <c r="P310"/>
      <c r="Q310"/>
      <c r="R310"/>
      <c r="S310"/>
      <c r="T310"/>
      <c r="U310"/>
      <c r="V310"/>
      <c r="W310"/>
      <c r="X310"/>
      <c r="Y310"/>
      <c r="Z310"/>
      <c r="AA310"/>
      <c r="AB310"/>
      <c r="AC310"/>
      <c r="AD310"/>
      <c r="AE310"/>
      <c r="AF310"/>
      <c r="AY310" s="465"/>
    </row>
    <row r="311" spans="1:51" x14ac:dyDescent="0.25">
      <c r="A311" s="622" t="s">
        <v>22</v>
      </c>
      <c r="B311" s="406">
        <v>0</v>
      </c>
      <c r="C311" s="19">
        <v>0</v>
      </c>
      <c r="D311" s="19">
        <v>0</v>
      </c>
      <c r="E311" s="19">
        <v>0</v>
      </c>
      <c r="F311" s="19">
        <v>0</v>
      </c>
      <c r="G311" s="19">
        <v>0</v>
      </c>
      <c r="H311" s="19">
        <v>0</v>
      </c>
      <c r="I311" s="19">
        <f>I318/I319</f>
        <v>0</v>
      </c>
      <c r="J311" s="626">
        <f>J318/J319</f>
        <v>0</v>
      </c>
      <c r="K311"/>
      <c r="L311"/>
      <c r="M311"/>
      <c r="N311"/>
      <c r="O311"/>
      <c r="P311"/>
      <c r="Q311"/>
      <c r="R311"/>
      <c r="S311"/>
      <c r="T311"/>
      <c r="U311"/>
      <c r="V311"/>
      <c r="W311"/>
      <c r="X311"/>
      <c r="Y311"/>
      <c r="Z311"/>
      <c r="AA311"/>
      <c r="AB311"/>
      <c r="AC311"/>
      <c r="AD311"/>
      <c r="AE311"/>
      <c r="AF311"/>
      <c r="AY311" s="465"/>
    </row>
    <row r="312" spans="1:51" x14ac:dyDescent="0.25">
      <c r="A312" s="627" t="s">
        <v>23</v>
      </c>
      <c r="B312" s="409">
        <f t="shared" ref="B312:J312" si="156">B323/B306</f>
        <v>37241.25</v>
      </c>
      <c r="C312" s="131">
        <f t="shared" si="156"/>
        <v>31825.806451612902</v>
      </c>
      <c r="D312" s="131">
        <f t="shared" si="156"/>
        <v>36910.34482758621</v>
      </c>
      <c r="E312" s="131">
        <f t="shared" si="156"/>
        <v>35509.803921568629</v>
      </c>
      <c r="F312" s="131">
        <f t="shared" si="156"/>
        <v>40590.090090090089</v>
      </c>
      <c r="G312" s="131">
        <f t="shared" si="156"/>
        <v>41400.000000000007</v>
      </c>
      <c r="H312" s="131">
        <f t="shared" si="156"/>
        <v>39841.176470588238</v>
      </c>
      <c r="I312" s="131">
        <f t="shared" si="156"/>
        <v>38705.672268907569</v>
      </c>
      <c r="J312" s="628">
        <f t="shared" si="156"/>
        <v>38705.672268907576</v>
      </c>
      <c r="K312"/>
      <c r="L312"/>
      <c r="M312"/>
      <c r="N312"/>
      <c r="O312"/>
      <c r="P312"/>
      <c r="Q312"/>
      <c r="R312"/>
      <c r="S312"/>
      <c r="T312"/>
      <c r="U312"/>
      <c r="V312"/>
      <c r="W312"/>
      <c r="X312"/>
      <c r="Y312"/>
      <c r="Z312"/>
      <c r="AA312"/>
      <c r="AB312"/>
      <c r="AC312"/>
      <c r="AD312"/>
      <c r="AE312"/>
      <c r="AF312"/>
      <c r="AY312" s="465"/>
    </row>
    <row r="313" spans="1:51" x14ac:dyDescent="0.25">
      <c r="A313" s="627" t="s">
        <v>24</v>
      </c>
      <c r="B313" s="409">
        <f t="shared" ref="B313:J313" si="157">B323/B300</f>
        <v>30093.939393939392</v>
      </c>
      <c r="C313" s="131">
        <f t="shared" si="157"/>
        <v>26664.864864864863</v>
      </c>
      <c r="D313" s="131">
        <f t="shared" si="157"/>
        <v>29733.333333333332</v>
      </c>
      <c r="E313" s="131">
        <f t="shared" si="157"/>
        <v>28746.031746031749</v>
      </c>
      <c r="F313" s="131">
        <f t="shared" si="157"/>
        <v>29447.712418300653</v>
      </c>
      <c r="G313" s="131">
        <f t="shared" si="157"/>
        <v>27913.636363636368</v>
      </c>
      <c r="H313" s="131">
        <f t="shared" si="157"/>
        <v>31948.113207547176</v>
      </c>
      <c r="I313" s="131">
        <f t="shared" si="157"/>
        <v>29431.150159744415</v>
      </c>
      <c r="J313" s="628">
        <f t="shared" si="157"/>
        <v>29431.150159744415</v>
      </c>
      <c r="K313"/>
      <c r="L313"/>
      <c r="M313"/>
      <c r="N313"/>
      <c r="O313"/>
      <c r="P313"/>
      <c r="Q313"/>
      <c r="R313"/>
      <c r="S313"/>
      <c r="T313"/>
      <c r="U313"/>
      <c r="V313"/>
      <c r="W313"/>
      <c r="X313"/>
      <c r="Y313"/>
      <c r="Z313"/>
      <c r="AA313"/>
      <c r="AB313"/>
      <c r="AC313"/>
      <c r="AD313"/>
      <c r="AE313"/>
      <c r="AF313"/>
      <c r="AY313" s="465"/>
    </row>
    <row r="314" spans="1:51" x14ac:dyDescent="0.25">
      <c r="A314" s="622" t="s">
        <v>25</v>
      </c>
      <c r="B314" s="255">
        <f t="shared" ref="B314:H314" si="158">B319*B307</f>
        <v>1855324.9724137932</v>
      </c>
      <c r="C314" s="133">
        <f t="shared" si="158"/>
        <v>504606.98965517245</v>
      </c>
      <c r="D314" s="133">
        <f t="shared" si="158"/>
        <v>659743.96551724139</v>
      </c>
      <c r="E314" s="133">
        <f t="shared" si="158"/>
        <v>1173767.6982758623</v>
      </c>
      <c r="F314" s="133">
        <f t="shared" si="158"/>
        <v>3041787.3137931032</v>
      </c>
      <c r="G314" s="133">
        <f t="shared" si="158"/>
        <v>2193897.1034482759</v>
      </c>
      <c r="H314" s="133">
        <f t="shared" si="158"/>
        <v>2090956.1637931038</v>
      </c>
      <c r="I314" s="133">
        <f>SUM(B314:H314)</f>
        <v>11520084.206896553</v>
      </c>
      <c r="J314" s="629">
        <f t="shared" ref="J314:J319" si="159">+$I314/7</f>
        <v>1645726.3152709361</v>
      </c>
      <c r="K314"/>
      <c r="L314"/>
      <c r="M314"/>
      <c r="N314"/>
      <c r="O314"/>
      <c r="P314"/>
      <c r="Q314"/>
      <c r="R314"/>
      <c r="S314"/>
      <c r="T314"/>
      <c r="U314"/>
      <c r="V314"/>
      <c r="W314"/>
      <c r="X314"/>
      <c r="Y314"/>
      <c r="Z314"/>
      <c r="AA314"/>
      <c r="AB314"/>
      <c r="AC314"/>
      <c r="AD314"/>
      <c r="AE314"/>
      <c r="AF314"/>
      <c r="AY314" s="465"/>
    </row>
    <row r="315" spans="1:51" x14ac:dyDescent="0.25">
      <c r="A315" s="622" t="s">
        <v>26</v>
      </c>
      <c r="B315" s="255">
        <f t="shared" ref="B315:H315" si="160">B319*B308</f>
        <v>0</v>
      </c>
      <c r="C315" s="133">
        <f t="shared" si="160"/>
        <v>0</v>
      </c>
      <c r="D315" s="133">
        <f t="shared" si="160"/>
        <v>0</v>
      </c>
      <c r="E315" s="133">
        <f t="shared" si="160"/>
        <v>0</v>
      </c>
      <c r="F315" s="133">
        <f t="shared" si="160"/>
        <v>37094.967241379309</v>
      </c>
      <c r="G315" s="133">
        <f t="shared" si="160"/>
        <v>30470.793103448279</v>
      </c>
      <c r="H315" s="133">
        <f t="shared" si="160"/>
        <v>0</v>
      </c>
      <c r="I315" s="133">
        <f>SUM(B315:H315)</f>
        <v>67565.760344827591</v>
      </c>
      <c r="J315" s="629">
        <f t="shared" si="159"/>
        <v>9652.251477832513</v>
      </c>
      <c r="K315"/>
      <c r="L315"/>
      <c r="M315"/>
      <c r="N315"/>
      <c r="O315"/>
      <c r="P315"/>
      <c r="Q315"/>
      <c r="R315"/>
      <c r="S315"/>
      <c r="T315"/>
      <c r="U315"/>
      <c r="V315"/>
      <c r="W315"/>
      <c r="X315"/>
      <c r="Y315"/>
      <c r="Z315"/>
      <c r="AA315"/>
      <c r="AB315"/>
      <c r="AC315"/>
      <c r="AD315"/>
      <c r="AE315"/>
      <c r="AF315"/>
      <c r="AY315" s="465"/>
    </row>
    <row r="316" spans="1:51" x14ac:dyDescent="0.25">
      <c r="A316" s="622" t="s">
        <v>27</v>
      </c>
      <c r="B316" s="255">
        <f t="shared" ref="B316:H316" si="161">B319*B309</f>
        <v>512655.58448275866</v>
      </c>
      <c r="C316" s="133">
        <f t="shared" si="161"/>
        <v>276719.96206896554</v>
      </c>
      <c r="D316" s="133">
        <f t="shared" si="161"/>
        <v>219914.6551724138</v>
      </c>
      <c r="E316" s="133">
        <f t="shared" si="161"/>
        <v>312014.19827586209</v>
      </c>
      <c r="F316" s="133">
        <f t="shared" si="161"/>
        <v>556424.50862068962</v>
      </c>
      <c r="G316" s="133">
        <f t="shared" si="161"/>
        <v>761769.82758620696</v>
      </c>
      <c r="H316" s="133">
        <f t="shared" si="161"/>
        <v>641226.55689655186</v>
      </c>
      <c r="I316" s="133">
        <f>SUM(B316:H316)</f>
        <v>3280725.2931034486</v>
      </c>
      <c r="J316" s="629">
        <f t="shared" si="159"/>
        <v>468675.04187192122</v>
      </c>
      <c r="K316"/>
      <c r="L316"/>
      <c r="M316"/>
      <c r="N316"/>
      <c r="O316"/>
      <c r="P316"/>
      <c r="Q316"/>
      <c r="R316"/>
      <c r="S316"/>
      <c r="T316"/>
      <c r="U316"/>
      <c r="V316"/>
      <c r="W316"/>
      <c r="X316"/>
      <c r="Y316"/>
      <c r="Z316"/>
      <c r="AA316"/>
      <c r="AB316"/>
      <c r="AC316"/>
      <c r="AD316"/>
      <c r="AE316"/>
      <c r="AF316"/>
      <c r="AY316" s="465"/>
    </row>
    <row r="317" spans="1:51" x14ac:dyDescent="0.25">
      <c r="A317" s="622" t="s">
        <v>28</v>
      </c>
      <c r="B317" s="255">
        <f t="shared" ref="B317:H317" si="162">B319*B310</f>
        <v>73236.512068965516</v>
      </c>
      <c r="C317" s="133">
        <f t="shared" si="162"/>
        <v>32555.289655172415</v>
      </c>
      <c r="D317" s="133">
        <f t="shared" si="162"/>
        <v>0</v>
      </c>
      <c r="E317" s="133">
        <f t="shared" si="162"/>
        <v>0</v>
      </c>
      <c r="F317" s="133">
        <f t="shared" si="162"/>
        <v>74189.934482758617</v>
      </c>
      <c r="G317" s="133">
        <f t="shared" si="162"/>
        <v>60941.586206896558</v>
      </c>
      <c r="H317" s="133">
        <f t="shared" si="162"/>
        <v>55758.831034482762</v>
      </c>
      <c r="I317" s="133">
        <f>SUM(B317:H317)</f>
        <v>296682.15344827587</v>
      </c>
      <c r="J317" s="629">
        <f t="shared" si="159"/>
        <v>42383.164778325125</v>
      </c>
      <c r="K317"/>
      <c r="L317"/>
      <c r="M317"/>
      <c r="N317"/>
      <c r="O317"/>
      <c r="P317"/>
      <c r="Q317"/>
      <c r="R317"/>
      <c r="S317"/>
      <c r="T317"/>
      <c r="U317"/>
      <c r="V317"/>
      <c r="W317"/>
      <c r="X317"/>
      <c r="Y317"/>
      <c r="Z317"/>
      <c r="AA317"/>
      <c r="AB317"/>
      <c r="AC317"/>
      <c r="AD317"/>
      <c r="AE317"/>
      <c r="AF317"/>
      <c r="AY317" s="465"/>
    </row>
    <row r="318" spans="1:51" x14ac:dyDescent="0.25">
      <c r="A318" s="622" t="s">
        <v>29</v>
      </c>
      <c r="B318" s="255">
        <f t="shared" ref="B318:H318" si="163">B319*B311</f>
        <v>0</v>
      </c>
      <c r="C318" s="133">
        <f t="shared" si="163"/>
        <v>0</v>
      </c>
      <c r="D318" s="133">
        <f t="shared" si="163"/>
        <v>0</v>
      </c>
      <c r="E318" s="133">
        <f t="shared" si="163"/>
        <v>0</v>
      </c>
      <c r="F318" s="133">
        <f t="shared" si="163"/>
        <v>0</v>
      </c>
      <c r="G318" s="133">
        <f t="shared" si="163"/>
        <v>0</v>
      </c>
      <c r="H318" s="133">
        <f t="shared" si="163"/>
        <v>0</v>
      </c>
      <c r="I318" s="133">
        <f>SUM(B318:H318)</f>
        <v>0</v>
      </c>
      <c r="J318" s="629">
        <f t="shared" si="159"/>
        <v>0</v>
      </c>
      <c r="K318"/>
      <c r="L318"/>
      <c r="M318"/>
      <c r="N318"/>
      <c r="O318"/>
      <c r="P318"/>
      <c r="Q318"/>
      <c r="R318"/>
      <c r="S318"/>
      <c r="T318"/>
      <c r="U318"/>
      <c r="V318"/>
      <c r="W318"/>
      <c r="X318"/>
      <c r="Y318"/>
      <c r="Z318"/>
      <c r="AA318"/>
      <c r="AB318"/>
      <c r="AC318"/>
      <c r="AD318"/>
      <c r="AE318"/>
      <c r="AF318"/>
      <c r="AY318" s="465"/>
    </row>
    <row r="319" spans="1:51" x14ac:dyDescent="0.25">
      <c r="A319" s="630" t="s">
        <v>30</v>
      </c>
      <c r="B319" s="410">
        <f>(2979300/1.16)-B320</f>
        <v>2441217.0689655175</v>
      </c>
      <c r="C319" s="410">
        <f>(986600/1.16)-C320</f>
        <v>813882.24137931038</v>
      </c>
      <c r="D319" s="410">
        <f>(1070400/1.16)-D320</f>
        <v>879658.62068965519</v>
      </c>
      <c r="E319" s="410">
        <f>(1811000/1.16)-E320</f>
        <v>1485781.8965517243</v>
      </c>
      <c r="F319" s="410">
        <f>(4505500/1.16)-F320</f>
        <v>3709496.7241379311</v>
      </c>
      <c r="G319" s="410">
        <f>(3684600/1.16)-G320</f>
        <v>3047079.3103448278</v>
      </c>
      <c r="H319" s="410">
        <f>(3386500/1.16)-H320</f>
        <v>2787941.5517241382</v>
      </c>
      <c r="I319" s="136">
        <f>SUM(I314:I318)</f>
        <v>15165057.413793106</v>
      </c>
      <c r="J319" s="631">
        <f t="shared" si="159"/>
        <v>2166436.773399015</v>
      </c>
      <c r="K319"/>
      <c r="L319"/>
      <c r="M319"/>
      <c r="N319"/>
      <c r="O319"/>
      <c r="P319"/>
      <c r="Q319"/>
      <c r="R319"/>
      <c r="S319"/>
      <c r="T319"/>
      <c r="U319"/>
      <c r="V319"/>
      <c r="W319"/>
      <c r="X319"/>
      <c r="Y319"/>
      <c r="Z319"/>
      <c r="AA319"/>
      <c r="AB319"/>
      <c r="AC319"/>
      <c r="AD319"/>
      <c r="AE319"/>
      <c r="AF319"/>
      <c r="AY319" s="465"/>
    </row>
    <row r="320" spans="1:51" x14ac:dyDescent="0.25">
      <c r="A320" s="622" t="s">
        <v>31</v>
      </c>
      <c r="B320" s="263">
        <f t="shared" ref="B320:H320" si="164">2155*B301</f>
        <v>127145</v>
      </c>
      <c r="C320" s="139">
        <f t="shared" si="164"/>
        <v>36635</v>
      </c>
      <c r="D320" s="139">
        <f t="shared" si="164"/>
        <v>43100</v>
      </c>
      <c r="E320" s="139">
        <f t="shared" si="164"/>
        <v>75425</v>
      </c>
      <c r="F320" s="139">
        <f t="shared" si="164"/>
        <v>174555</v>
      </c>
      <c r="G320" s="139">
        <f t="shared" si="164"/>
        <v>129300</v>
      </c>
      <c r="H320" s="139">
        <f t="shared" si="164"/>
        <v>131455</v>
      </c>
      <c r="I320" s="139">
        <f>I301*2155</f>
        <v>717615</v>
      </c>
      <c r="J320" s="632">
        <f>2155*J301</f>
        <v>102516.42857142857</v>
      </c>
      <c r="K320"/>
      <c r="L320"/>
      <c r="M320"/>
      <c r="N320"/>
      <c r="O320"/>
      <c r="P320"/>
      <c r="Q320"/>
      <c r="R320"/>
      <c r="S320"/>
      <c r="T320"/>
      <c r="U320"/>
      <c r="V320"/>
      <c r="W320"/>
      <c r="X320"/>
      <c r="Y320"/>
      <c r="Z320"/>
      <c r="AA320"/>
      <c r="AB320"/>
      <c r="AC320"/>
      <c r="AD320"/>
      <c r="AE320"/>
      <c r="AF320"/>
      <c r="AY320" s="465"/>
    </row>
    <row r="321" spans="1:51" x14ac:dyDescent="0.25">
      <c r="A321" s="633" t="s">
        <v>32</v>
      </c>
      <c r="B321" s="411">
        <f t="shared" ref="B321:J321" si="165">B319+B320</f>
        <v>2568362.0689655175</v>
      </c>
      <c r="C321" s="40">
        <f t="shared" si="165"/>
        <v>850517.24137931038</v>
      </c>
      <c r="D321" s="40">
        <f t="shared" si="165"/>
        <v>922758.62068965519</v>
      </c>
      <c r="E321" s="40">
        <f t="shared" si="165"/>
        <v>1561206.8965517243</v>
      </c>
      <c r="F321" s="40">
        <f t="shared" si="165"/>
        <v>3884051.7241379311</v>
      </c>
      <c r="G321" s="40">
        <f t="shared" si="165"/>
        <v>3176379.3103448278</v>
      </c>
      <c r="H321" s="40">
        <f t="shared" si="165"/>
        <v>2919396.5517241382</v>
      </c>
      <c r="I321" s="40">
        <f t="shared" si="165"/>
        <v>15882672.413793106</v>
      </c>
      <c r="J321" s="634">
        <f t="shared" si="165"/>
        <v>2268953.2019704436</v>
      </c>
      <c r="K321"/>
      <c r="L321"/>
      <c r="M321"/>
      <c r="N321"/>
      <c r="O321"/>
      <c r="P321"/>
      <c r="Q321"/>
      <c r="R321"/>
      <c r="S321"/>
      <c r="T321"/>
      <c r="U321"/>
      <c r="V321"/>
      <c r="W321"/>
      <c r="X321"/>
      <c r="Y321"/>
      <c r="Z321"/>
      <c r="AA321"/>
      <c r="AB321"/>
      <c r="AC321"/>
      <c r="AD321"/>
      <c r="AE321"/>
      <c r="AF321"/>
      <c r="AY321" s="465"/>
    </row>
    <row r="322" spans="1:51" x14ac:dyDescent="0.25">
      <c r="A322" s="622" t="s">
        <v>33</v>
      </c>
      <c r="B322" s="413">
        <f t="shared" ref="B322:J322" si="166">B321*16%</f>
        <v>410937.93103448278</v>
      </c>
      <c r="C322" s="42">
        <f t="shared" si="166"/>
        <v>136082.75862068965</v>
      </c>
      <c r="D322" s="42">
        <f t="shared" si="166"/>
        <v>147641.37931034484</v>
      </c>
      <c r="E322" s="42">
        <f t="shared" si="166"/>
        <v>249793.10344827588</v>
      </c>
      <c r="F322" s="42">
        <f t="shared" si="166"/>
        <v>621448.27586206899</v>
      </c>
      <c r="G322" s="42">
        <f t="shared" si="166"/>
        <v>508220.68965517246</v>
      </c>
      <c r="H322" s="42">
        <f t="shared" si="166"/>
        <v>467103.44827586215</v>
      </c>
      <c r="I322" s="42">
        <f t="shared" si="166"/>
        <v>2541227.5862068972</v>
      </c>
      <c r="J322" s="635">
        <f t="shared" si="166"/>
        <v>363032.51231527096</v>
      </c>
      <c r="K322"/>
      <c r="L322"/>
      <c r="M322"/>
      <c r="N322"/>
      <c r="O322"/>
      <c r="P322"/>
      <c r="Q322"/>
      <c r="R322"/>
      <c r="S322"/>
      <c r="T322"/>
      <c r="U322"/>
      <c r="V322"/>
      <c r="W322"/>
      <c r="X322"/>
      <c r="Y322"/>
      <c r="Z322"/>
      <c r="AA322"/>
      <c r="AB322"/>
      <c r="AC322"/>
      <c r="AD322"/>
      <c r="AE322"/>
      <c r="AF322"/>
      <c r="AY322" s="465"/>
    </row>
    <row r="323" spans="1:51" ht="15.75" thickBot="1" x14ac:dyDescent="0.3">
      <c r="A323" s="636" t="s">
        <v>34</v>
      </c>
      <c r="B323" s="637">
        <f t="shared" ref="B323:I323" si="167">B321+B322</f>
        <v>2979300</v>
      </c>
      <c r="C323" s="638">
        <f t="shared" si="167"/>
        <v>986600</v>
      </c>
      <c r="D323" s="638">
        <f t="shared" si="167"/>
        <v>1070400</v>
      </c>
      <c r="E323" s="638">
        <f t="shared" si="167"/>
        <v>1811000.0000000002</v>
      </c>
      <c r="F323" s="638">
        <f t="shared" si="167"/>
        <v>4505500</v>
      </c>
      <c r="G323" s="638">
        <f t="shared" si="167"/>
        <v>3684600.0000000005</v>
      </c>
      <c r="H323" s="638">
        <f t="shared" si="167"/>
        <v>3386500.0000000005</v>
      </c>
      <c r="I323" s="638">
        <f t="shared" si="167"/>
        <v>18423900.000000004</v>
      </c>
      <c r="J323" s="639">
        <f>+$I323/7</f>
        <v>2631985.714285715</v>
      </c>
      <c r="K323"/>
      <c r="L323"/>
      <c r="M323"/>
      <c r="N323"/>
      <c r="O323"/>
      <c r="P323"/>
      <c r="Q323"/>
      <c r="R323"/>
      <c r="S323"/>
      <c r="T323"/>
      <c r="U323"/>
      <c r="V323"/>
      <c r="W323"/>
      <c r="X323"/>
      <c r="Y323"/>
      <c r="Z323"/>
      <c r="AA323"/>
      <c r="AB323"/>
      <c r="AC323"/>
      <c r="AD323"/>
      <c r="AE323"/>
      <c r="AF323"/>
      <c r="AY323" s="465"/>
    </row>
    <row r="324" spans="1:51" ht="15.75" thickBot="1" x14ac:dyDescent="0.3">
      <c r="K324"/>
      <c r="L324"/>
      <c r="M324"/>
      <c r="N324"/>
      <c r="O324"/>
      <c r="P324"/>
      <c r="Q324"/>
      <c r="R324"/>
      <c r="S324"/>
      <c r="T324"/>
      <c r="U324"/>
      <c r="V324"/>
      <c r="W324"/>
      <c r="X324"/>
      <c r="Y324"/>
      <c r="Z324"/>
      <c r="AA324"/>
      <c r="AB324"/>
      <c r="AC324"/>
      <c r="AD324"/>
      <c r="AE324"/>
      <c r="AF324"/>
      <c r="AY324" s="465"/>
    </row>
    <row r="325" spans="1:51" ht="27" thickBot="1" x14ac:dyDescent="0.3">
      <c r="A325" s="85"/>
      <c r="B325" s="1002" t="s">
        <v>130</v>
      </c>
      <c r="C325" s="1002"/>
      <c r="D325" s="1002"/>
      <c r="E325" s="1002"/>
      <c r="F325" s="1002"/>
      <c r="G325" s="1002"/>
      <c r="H325" s="1002"/>
      <c r="I325" s="1002"/>
      <c r="J325" s="85"/>
      <c r="K325"/>
      <c r="L325"/>
      <c r="M325"/>
      <c r="N325"/>
      <c r="O325"/>
      <c r="P325"/>
      <c r="Q325"/>
      <c r="R325"/>
      <c r="S325"/>
      <c r="T325"/>
      <c r="U325"/>
      <c r="V325"/>
      <c r="W325"/>
      <c r="X325"/>
      <c r="Y325"/>
      <c r="Z325"/>
      <c r="AA325"/>
      <c r="AB325"/>
      <c r="AC325"/>
      <c r="AD325"/>
      <c r="AE325"/>
      <c r="AF325"/>
      <c r="AY325" s="465"/>
    </row>
    <row r="326" spans="1:51" ht="15.75" x14ac:dyDescent="0.25">
      <c r="A326" s="614" t="s">
        <v>2</v>
      </c>
      <c r="B326" s="615" t="s">
        <v>225</v>
      </c>
      <c r="C326" s="616" t="s">
        <v>226</v>
      </c>
      <c r="D326" s="617" t="s">
        <v>227</v>
      </c>
      <c r="E326" s="616" t="s">
        <v>228</v>
      </c>
      <c r="F326" s="616" t="s">
        <v>229</v>
      </c>
      <c r="G326" s="617" t="s">
        <v>230</v>
      </c>
      <c r="H326" s="617" t="s">
        <v>231</v>
      </c>
      <c r="I326" s="618" t="s">
        <v>10</v>
      </c>
      <c r="J326" s="619" t="s">
        <v>77</v>
      </c>
      <c r="K326"/>
      <c r="L326"/>
      <c r="M326"/>
      <c r="N326"/>
      <c r="O326"/>
      <c r="P326"/>
      <c r="Q326"/>
      <c r="R326"/>
      <c r="S326"/>
      <c r="T326"/>
      <c r="U326"/>
      <c r="V326"/>
      <c r="W326"/>
      <c r="X326"/>
      <c r="Y326"/>
      <c r="Z326"/>
      <c r="AA326"/>
      <c r="AB326"/>
      <c r="AC326"/>
      <c r="AD326"/>
      <c r="AE326"/>
      <c r="AF326"/>
      <c r="AY326" s="465"/>
    </row>
    <row r="327" spans="1:51" x14ac:dyDescent="0.25">
      <c r="A327" s="620" t="s">
        <v>11</v>
      </c>
      <c r="B327" s="431">
        <f>96+40+17</f>
        <v>153</v>
      </c>
      <c r="C327" s="432">
        <f>19+11+6</f>
        <v>36</v>
      </c>
      <c r="D327" s="505">
        <f>27+17+12</f>
        <v>56</v>
      </c>
      <c r="E327" s="432">
        <f>27+15+3</f>
        <v>45</v>
      </c>
      <c r="F327" s="432">
        <f>74+27+13</f>
        <v>114</v>
      </c>
      <c r="G327" s="432">
        <f>80+54+20</f>
        <v>154</v>
      </c>
      <c r="H327" s="432">
        <f>84+44+16</f>
        <v>144</v>
      </c>
      <c r="I327" s="432">
        <f t="shared" ref="I327:I332" si="168">SUM(B327:H327)</f>
        <v>702</v>
      </c>
      <c r="J327" s="621">
        <f t="shared" ref="J327:J333" si="169">+$I327/7</f>
        <v>100.28571428571429</v>
      </c>
      <c r="K327"/>
      <c r="L327"/>
      <c r="M327"/>
      <c r="N327"/>
      <c r="O327"/>
      <c r="P327"/>
      <c r="Q327"/>
      <c r="R327"/>
      <c r="S327"/>
      <c r="T327"/>
      <c r="U327"/>
      <c r="V327"/>
      <c r="W327"/>
      <c r="X327"/>
      <c r="Y327"/>
      <c r="Z327"/>
      <c r="AA327"/>
      <c r="AB327"/>
      <c r="AC327"/>
      <c r="AD327"/>
      <c r="AE327"/>
      <c r="AF327"/>
      <c r="AY327" s="465"/>
    </row>
    <row r="328" spans="1:51" x14ac:dyDescent="0.25">
      <c r="A328" s="622" t="s">
        <v>12</v>
      </c>
      <c r="B328" s="233">
        <v>93</v>
      </c>
      <c r="C328" s="13">
        <v>18</v>
      </c>
      <c r="D328" s="13">
        <v>21</v>
      </c>
      <c r="E328" s="13">
        <v>22</v>
      </c>
      <c r="F328" s="13">
        <v>59</v>
      </c>
      <c r="G328" s="13">
        <v>88</v>
      </c>
      <c r="H328" s="13">
        <v>80</v>
      </c>
      <c r="I328" s="13">
        <f t="shared" si="168"/>
        <v>381</v>
      </c>
      <c r="J328" s="623">
        <f t="shared" si="169"/>
        <v>54.428571428571431</v>
      </c>
      <c r="K328"/>
      <c r="L328"/>
      <c r="M328"/>
      <c r="N328"/>
      <c r="O328"/>
      <c r="P328"/>
      <c r="Q328"/>
      <c r="R328"/>
      <c r="S328"/>
      <c r="T328"/>
      <c r="U328"/>
      <c r="V328"/>
      <c r="W328"/>
      <c r="X328"/>
      <c r="Y328"/>
      <c r="Z328"/>
      <c r="AA328"/>
      <c r="AB328"/>
      <c r="AC328"/>
      <c r="AD328"/>
      <c r="AE328"/>
      <c r="AF328"/>
      <c r="AY328" s="465"/>
    </row>
    <row r="329" spans="1:51" x14ac:dyDescent="0.25">
      <c r="A329" s="622" t="s">
        <v>13</v>
      </c>
      <c r="B329" s="233">
        <v>0</v>
      </c>
      <c r="C329" s="13">
        <v>0</v>
      </c>
      <c r="D329" s="13">
        <v>0</v>
      </c>
      <c r="E329" s="13">
        <v>0</v>
      </c>
      <c r="F329" s="13">
        <v>0</v>
      </c>
      <c r="G329" s="13">
        <v>4</v>
      </c>
      <c r="H329" s="13">
        <v>3</v>
      </c>
      <c r="I329" s="13">
        <f t="shared" si="168"/>
        <v>7</v>
      </c>
      <c r="J329" s="623">
        <f t="shared" si="169"/>
        <v>1</v>
      </c>
      <c r="K329"/>
      <c r="L329"/>
      <c r="M329"/>
      <c r="N329"/>
      <c r="O329"/>
      <c r="P329"/>
      <c r="Q329"/>
      <c r="R329"/>
      <c r="S329"/>
      <c r="T329"/>
      <c r="U329"/>
      <c r="V329"/>
      <c r="W329"/>
      <c r="X329"/>
      <c r="Y329"/>
      <c r="Z329"/>
      <c r="AA329"/>
      <c r="AB329"/>
      <c r="AC329"/>
      <c r="AD329"/>
      <c r="AE329"/>
      <c r="AF329"/>
      <c r="AY329" s="465"/>
    </row>
    <row r="330" spans="1:51" x14ac:dyDescent="0.25">
      <c r="A330" s="622" t="s">
        <v>14</v>
      </c>
      <c r="B330" s="233">
        <v>9</v>
      </c>
      <c r="C330" s="13">
        <v>8</v>
      </c>
      <c r="D330" s="13">
        <v>18</v>
      </c>
      <c r="E330" s="13">
        <v>13</v>
      </c>
      <c r="F330" s="13">
        <v>16</v>
      </c>
      <c r="G330" s="13">
        <v>25</v>
      </c>
      <c r="H330" s="13">
        <v>24</v>
      </c>
      <c r="I330" s="13">
        <f t="shared" si="168"/>
        <v>113</v>
      </c>
      <c r="J330" s="623">
        <f t="shared" si="169"/>
        <v>16.142857142857142</v>
      </c>
      <c r="K330"/>
      <c r="L330"/>
      <c r="M330"/>
      <c r="N330"/>
      <c r="O330"/>
      <c r="P330"/>
      <c r="Q330"/>
      <c r="R330"/>
      <c r="S330"/>
      <c r="T330"/>
      <c r="U330"/>
      <c r="V330"/>
      <c r="W330"/>
      <c r="X330"/>
      <c r="Y330"/>
      <c r="Z330"/>
      <c r="AA330"/>
      <c r="AB330"/>
      <c r="AC330"/>
      <c r="AD330"/>
      <c r="AE330"/>
      <c r="AF330"/>
      <c r="AY330" s="465"/>
    </row>
    <row r="331" spans="1:51" x14ac:dyDescent="0.25">
      <c r="A331" s="622" t="s">
        <v>15</v>
      </c>
      <c r="B331" s="233">
        <v>5</v>
      </c>
      <c r="C331" s="13">
        <v>1</v>
      </c>
      <c r="D331" s="13">
        <v>0</v>
      </c>
      <c r="E331" s="13">
        <v>2</v>
      </c>
      <c r="F331" s="13">
        <v>2</v>
      </c>
      <c r="G331" s="13">
        <v>3</v>
      </c>
      <c r="H331" s="13">
        <v>4</v>
      </c>
      <c r="I331" s="13">
        <f t="shared" si="168"/>
        <v>17</v>
      </c>
      <c r="J331" s="623">
        <f t="shared" si="169"/>
        <v>2.4285714285714284</v>
      </c>
      <c r="K331"/>
      <c r="L331"/>
      <c r="M331"/>
      <c r="N331"/>
      <c r="O331"/>
      <c r="P331"/>
      <c r="Q331"/>
      <c r="R331"/>
      <c r="S331"/>
      <c r="T331"/>
      <c r="U331"/>
      <c r="V331"/>
      <c r="W331"/>
      <c r="X331"/>
      <c r="Y331"/>
      <c r="Z331"/>
      <c r="AA331"/>
      <c r="AB331"/>
      <c r="AC331"/>
      <c r="AD331"/>
      <c r="AE331"/>
      <c r="AF331"/>
      <c r="AY331" s="465"/>
    </row>
    <row r="332" spans="1:51" x14ac:dyDescent="0.25">
      <c r="A332" s="622" t="s">
        <v>16</v>
      </c>
      <c r="B332" s="233">
        <v>0</v>
      </c>
      <c r="C332" s="13">
        <v>0</v>
      </c>
      <c r="D332" s="13">
        <v>1</v>
      </c>
      <c r="E332" s="13">
        <v>0</v>
      </c>
      <c r="F332" s="13">
        <v>0</v>
      </c>
      <c r="G332" s="13">
        <v>0</v>
      </c>
      <c r="H332" s="13">
        <v>0</v>
      </c>
      <c r="I332" s="13">
        <f t="shared" si="168"/>
        <v>1</v>
      </c>
      <c r="J332" s="623">
        <f t="shared" si="169"/>
        <v>0.14285714285714285</v>
      </c>
      <c r="K332"/>
      <c r="L332"/>
      <c r="M332"/>
      <c r="N332"/>
      <c r="O332"/>
      <c r="P332"/>
      <c r="Q332"/>
      <c r="R332"/>
      <c r="S332"/>
      <c r="T332"/>
      <c r="U332"/>
      <c r="V332"/>
      <c r="W332"/>
      <c r="X332"/>
      <c r="Y332"/>
      <c r="Z332"/>
      <c r="AA332"/>
      <c r="AB332"/>
      <c r="AC332"/>
      <c r="AD332"/>
      <c r="AE332"/>
      <c r="AF332"/>
      <c r="AY332" s="465"/>
    </row>
    <row r="333" spans="1:51" x14ac:dyDescent="0.25">
      <c r="A333" s="624" t="s">
        <v>17</v>
      </c>
      <c r="B333" s="102">
        <f t="shared" ref="B333:H333" si="170">SUM(B328:B332)</f>
        <v>107</v>
      </c>
      <c r="C333" s="79">
        <f t="shared" si="170"/>
        <v>27</v>
      </c>
      <c r="D333" s="79">
        <f t="shared" si="170"/>
        <v>40</v>
      </c>
      <c r="E333" s="79">
        <f t="shared" si="170"/>
        <v>37</v>
      </c>
      <c r="F333" s="79">
        <f t="shared" si="170"/>
        <v>77</v>
      </c>
      <c r="G333" s="79">
        <f t="shared" si="170"/>
        <v>120</v>
      </c>
      <c r="H333" s="79">
        <f t="shared" si="170"/>
        <v>111</v>
      </c>
      <c r="I333" s="79">
        <f>SUM(I328:I332)</f>
        <v>519</v>
      </c>
      <c r="J333" s="625">
        <f t="shared" si="169"/>
        <v>74.142857142857139</v>
      </c>
      <c r="K333"/>
      <c r="L333"/>
      <c r="M333"/>
      <c r="N333"/>
      <c r="O333"/>
      <c r="P333"/>
      <c r="Q333"/>
      <c r="R333"/>
      <c r="S333"/>
      <c r="T333"/>
      <c r="U333"/>
      <c r="V333"/>
      <c r="W333"/>
      <c r="X333"/>
      <c r="Y333"/>
      <c r="Z333"/>
      <c r="AA333"/>
      <c r="AB333"/>
      <c r="AC333"/>
      <c r="AD333"/>
      <c r="AE333"/>
      <c r="AF333"/>
      <c r="AY333" s="465"/>
    </row>
    <row r="334" spans="1:51" x14ac:dyDescent="0.25">
      <c r="A334" s="622" t="s">
        <v>18</v>
      </c>
      <c r="B334" s="406">
        <v>0.92</v>
      </c>
      <c r="C334" s="19">
        <v>0.72</v>
      </c>
      <c r="D334" s="19">
        <v>0.62</v>
      </c>
      <c r="E334" s="19">
        <v>0.62</v>
      </c>
      <c r="F334" s="19">
        <v>0.84</v>
      </c>
      <c r="G334" s="19">
        <v>0.79</v>
      </c>
      <c r="H334" s="19">
        <v>0.75</v>
      </c>
      <c r="I334" s="19">
        <f>I341/I346</f>
        <v>0.78772757822600259</v>
      </c>
      <c r="J334" s="626">
        <f>J341/J346</f>
        <v>0.78772757822600259</v>
      </c>
      <c r="K334"/>
      <c r="L334"/>
      <c r="M334"/>
      <c r="N334"/>
      <c r="O334"/>
      <c r="P334"/>
      <c r="Q334"/>
      <c r="R334"/>
      <c r="S334"/>
      <c r="T334"/>
      <c r="U334"/>
      <c r="V334"/>
      <c r="W334"/>
      <c r="X334"/>
      <c r="Y334"/>
      <c r="Z334"/>
      <c r="AA334"/>
      <c r="AB334"/>
      <c r="AC334"/>
      <c r="AD334"/>
      <c r="AE334"/>
      <c r="AF334"/>
      <c r="AY334" s="465"/>
    </row>
    <row r="335" spans="1:51" x14ac:dyDescent="0.25">
      <c r="A335" s="622" t="s">
        <v>19</v>
      </c>
      <c r="B335" s="406">
        <v>0</v>
      </c>
      <c r="C335" s="19">
        <v>0</v>
      </c>
      <c r="D335" s="19">
        <v>0</v>
      </c>
      <c r="E335" s="19">
        <v>0</v>
      </c>
      <c r="F335" s="19">
        <v>0</v>
      </c>
      <c r="G335" s="19">
        <v>0.02</v>
      </c>
      <c r="H335" s="19">
        <v>0.02</v>
      </c>
      <c r="I335" s="19">
        <f>I342/I346</f>
        <v>8.5877564955186732E-3</v>
      </c>
      <c r="J335" s="626">
        <f>J342/J346</f>
        <v>8.5877564955186732E-3</v>
      </c>
      <c r="K335"/>
      <c r="L335"/>
      <c r="M335"/>
      <c r="N335"/>
      <c r="O335"/>
      <c r="P335"/>
      <c r="Q335"/>
      <c r="R335"/>
      <c r="S335"/>
      <c r="T335"/>
      <c r="U335"/>
      <c r="V335"/>
      <c r="W335"/>
      <c r="X335"/>
      <c r="Y335"/>
      <c r="Z335"/>
      <c r="AA335"/>
      <c r="AB335"/>
      <c r="AC335"/>
      <c r="AD335"/>
      <c r="AE335"/>
      <c r="AF335"/>
      <c r="AY335" s="465"/>
    </row>
    <row r="336" spans="1:51" x14ac:dyDescent="0.25">
      <c r="A336" s="622" t="s">
        <v>20</v>
      </c>
      <c r="B336" s="406">
        <v>0.06</v>
      </c>
      <c r="C336" s="19">
        <v>0.25</v>
      </c>
      <c r="D336" s="19">
        <v>0.37</v>
      </c>
      <c r="E336" s="19">
        <v>0.36</v>
      </c>
      <c r="F336" s="19">
        <v>0.15</v>
      </c>
      <c r="G336" s="19">
        <v>0.17</v>
      </c>
      <c r="H336" s="19">
        <v>0.19</v>
      </c>
      <c r="I336" s="19">
        <f>I343/I346</f>
        <v>0.18158307418476144</v>
      </c>
      <c r="J336" s="626">
        <f>J343/J346</f>
        <v>0.18158307418476144</v>
      </c>
      <c r="K336"/>
      <c r="L336"/>
      <c r="M336"/>
      <c r="N336"/>
      <c r="O336"/>
      <c r="P336"/>
      <c r="Q336"/>
      <c r="R336"/>
      <c r="S336"/>
      <c r="T336"/>
      <c r="U336"/>
      <c r="V336"/>
      <c r="W336"/>
      <c r="X336"/>
      <c r="Y336"/>
      <c r="Z336"/>
      <c r="AA336"/>
      <c r="AB336"/>
      <c r="AC336"/>
      <c r="AD336"/>
      <c r="AE336"/>
      <c r="AF336"/>
      <c r="AY336" s="465"/>
    </row>
    <row r="337" spans="1:51" x14ac:dyDescent="0.25">
      <c r="A337" s="622" t="s">
        <v>21</v>
      </c>
      <c r="B337" s="406">
        <v>0.02</v>
      </c>
      <c r="C337" s="19">
        <v>0.03</v>
      </c>
      <c r="D337" s="19">
        <v>0</v>
      </c>
      <c r="E337" s="19">
        <v>0.02</v>
      </c>
      <c r="F337" s="19">
        <v>0.01</v>
      </c>
      <c r="G337" s="19">
        <v>0.02</v>
      </c>
      <c r="H337" s="19">
        <v>0.04</v>
      </c>
      <c r="I337" s="19">
        <f>I344/I346</f>
        <v>2.1279553850041006E-2</v>
      </c>
      <c r="J337" s="626">
        <f>J344/J346</f>
        <v>2.1279553850041006E-2</v>
      </c>
      <c r="K337"/>
      <c r="L337"/>
      <c r="M337"/>
      <c r="N337"/>
      <c r="O337"/>
      <c r="P337"/>
      <c r="Q337"/>
      <c r="R337"/>
      <c r="S337"/>
      <c r="T337"/>
      <c r="U337"/>
      <c r="V337"/>
      <c r="W337"/>
      <c r="X337"/>
      <c r="Y337"/>
      <c r="Z337"/>
      <c r="AA337"/>
      <c r="AB337"/>
      <c r="AC337"/>
      <c r="AD337"/>
      <c r="AE337"/>
      <c r="AF337"/>
      <c r="AY337" s="465"/>
    </row>
    <row r="338" spans="1:51" x14ac:dyDescent="0.25">
      <c r="A338" s="622" t="s">
        <v>22</v>
      </c>
      <c r="B338" s="406">
        <v>0</v>
      </c>
      <c r="C338" s="19">
        <v>0</v>
      </c>
      <c r="D338" s="19">
        <v>0.01</v>
      </c>
      <c r="E338" s="19">
        <v>0</v>
      </c>
      <c r="F338" s="19">
        <v>0</v>
      </c>
      <c r="G338" s="19">
        <v>0</v>
      </c>
      <c r="H338" s="19">
        <v>0</v>
      </c>
      <c r="I338" s="19">
        <f>I345/I346</f>
        <v>8.2203724367606681E-4</v>
      </c>
      <c r="J338" s="626">
        <f>J345/J346</f>
        <v>8.2203724367606681E-4</v>
      </c>
      <c r="K338"/>
      <c r="L338"/>
      <c r="M338"/>
      <c r="N338"/>
      <c r="O338"/>
      <c r="P338"/>
      <c r="Q338"/>
      <c r="R338"/>
      <c r="S338"/>
      <c r="T338"/>
      <c r="U338"/>
      <c r="V338"/>
      <c r="W338"/>
      <c r="X338"/>
      <c r="Y338"/>
      <c r="Z338"/>
      <c r="AA338"/>
      <c r="AB338"/>
      <c r="AC338"/>
      <c r="AD338"/>
      <c r="AE338"/>
      <c r="AF338"/>
      <c r="AY338" s="465"/>
    </row>
    <row r="339" spans="1:51" x14ac:dyDescent="0.25">
      <c r="A339" s="627" t="s">
        <v>23</v>
      </c>
      <c r="B339" s="409">
        <f t="shared" ref="B339:J339" si="171">B350/B333</f>
        <v>40009.345794392524</v>
      </c>
      <c r="C339" s="131">
        <f t="shared" si="171"/>
        <v>36362.962962962964</v>
      </c>
      <c r="D339" s="131">
        <f t="shared" si="171"/>
        <v>41735</v>
      </c>
      <c r="E339" s="131">
        <f t="shared" si="171"/>
        <v>38367.567567567567</v>
      </c>
      <c r="F339" s="131">
        <f t="shared" si="171"/>
        <v>44211.688311688311</v>
      </c>
      <c r="G339" s="131">
        <f t="shared" si="171"/>
        <v>38587.5</v>
      </c>
      <c r="H339" s="131">
        <f t="shared" si="171"/>
        <v>38155.855855855858</v>
      </c>
      <c r="I339" s="131">
        <f t="shared" si="171"/>
        <v>39733.911368015419</v>
      </c>
      <c r="J339" s="628">
        <f t="shared" si="171"/>
        <v>39733.911368015426</v>
      </c>
      <c r="K339"/>
      <c r="L339"/>
      <c r="M339"/>
      <c r="N339"/>
      <c r="O339"/>
      <c r="P339"/>
      <c r="Q339"/>
      <c r="R339"/>
      <c r="S339"/>
      <c r="T339"/>
      <c r="U339"/>
      <c r="V339"/>
      <c r="W339"/>
      <c r="X339"/>
      <c r="Y339"/>
      <c r="Z339"/>
      <c r="AA339"/>
      <c r="AB339"/>
      <c r="AC339"/>
      <c r="AD339"/>
      <c r="AE339"/>
      <c r="AF339"/>
      <c r="AY339" s="465"/>
    </row>
    <row r="340" spans="1:51" x14ac:dyDescent="0.25">
      <c r="A340" s="627" t="s">
        <v>24</v>
      </c>
      <c r="B340" s="409">
        <f t="shared" ref="B340:J340" si="172">B350/B327</f>
        <v>27980.392156862745</v>
      </c>
      <c r="C340" s="131">
        <f t="shared" si="172"/>
        <v>27272.222222222223</v>
      </c>
      <c r="D340" s="131">
        <f t="shared" si="172"/>
        <v>29810.714285714286</v>
      </c>
      <c r="E340" s="131">
        <f t="shared" si="172"/>
        <v>31546.666666666668</v>
      </c>
      <c r="F340" s="131">
        <f t="shared" si="172"/>
        <v>29862.280701754386</v>
      </c>
      <c r="G340" s="131">
        <f t="shared" si="172"/>
        <v>30068.18181818182</v>
      </c>
      <c r="H340" s="131">
        <f t="shared" si="172"/>
        <v>29411.805555555555</v>
      </c>
      <c r="I340" s="131">
        <f t="shared" si="172"/>
        <v>29375.925925925931</v>
      </c>
      <c r="J340" s="628">
        <f t="shared" si="172"/>
        <v>29375.925925925931</v>
      </c>
      <c r="K340"/>
      <c r="L340"/>
      <c r="M340"/>
      <c r="N340"/>
      <c r="O340"/>
      <c r="P340"/>
      <c r="Q340"/>
      <c r="R340"/>
      <c r="S340"/>
      <c r="T340"/>
      <c r="U340"/>
      <c r="V340"/>
      <c r="W340"/>
      <c r="X340"/>
      <c r="Y340"/>
      <c r="Z340"/>
      <c r="AA340"/>
      <c r="AB340"/>
      <c r="AC340"/>
      <c r="AD340"/>
      <c r="AE340"/>
      <c r="AF340"/>
      <c r="AY340" s="465"/>
    </row>
    <row r="341" spans="1:51" x14ac:dyDescent="0.25">
      <c r="A341" s="622" t="s">
        <v>25</v>
      </c>
      <c r="B341" s="255">
        <f t="shared" ref="B341:H341" si="173">B346*B334</f>
        <v>3210894.0620689658</v>
      </c>
      <c r="C341" s="133">
        <f t="shared" si="173"/>
        <v>581464.3034482759</v>
      </c>
      <c r="D341" s="133">
        <f t="shared" si="173"/>
        <v>864207.41724137927</v>
      </c>
      <c r="E341" s="133">
        <f t="shared" si="173"/>
        <v>729357.52413793106</v>
      </c>
      <c r="F341" s="133">
        <f t="shared" si="173"/>
        <v>2358380.9586206893</v>
      </c>
      <c r="G341" s="133">
        <f t="shared" si="173"/>
        <v>3003714.5724137933</v>
      </c>
      <c r="H341" s="133">
        <f t="shared" si="173"/>
        <v>2609040.5172413792</v>
      </c>
      <c r="I341" s="133">
        <f>SUM(B341:H341)</f>
        <v>13357059.355172414</v>
      </c>
      <c r="J341" s="629">
        <f t="shared" ref="J341:J346" si="174">+$I341/7</f>
        <v>1908151.3364532019</v>
      </c>
      <c r="K341"/>
      <c r="L341"/>
      <c r="M341"/>
      <c r="N341"/>
      <c r="O341"/>
      <c r="P341"/>
      <c r="Q341"/>
      <c r="R341"/>
      <c r="S341"/>
      <c r="T341"/>
      <c r="U341"/>
      <c r="V341"/>
      <c r="W341"/>
      <c r="X341"/>
      <c r="Y341"/>
      <c r="Z341"/>
      <c r="AA341"/>
      <c r="AB341"/>
      <c r="AC341"/>
      <c r="AD341"/>
      <c r="AE341"/>
      <c r="AF341"/>
      <c r="AY341" s="465"/>
    </row>
    <row r="342" spans="1:51" x14ac:dyDescent="0.25">
      <c r="A342" s="622" t="s">
        <v>26</v>
      </c>
      <c r="B342" s="255">
        <f t="shared" ref="B342:H342" si="175">B346*B335</f>
        <v>0</v>
      </c>
      <c r="C342" s="133">
        <f t="shared" si="175"/>
        <v>0</v>
      </c>
      <c r="D342" s="133">
        <f t="shared" si="175"/>
        <v>0</v>
      </c>
      <c r="E342" s="133">
        <f t="shared" si="175"/>
        <v>0</v>
      </c>
      <c r="F342" s="133">
        <f t="shared" si="175"/>
        <v>0</v>
      </c>
      <c r="G342" s="133">
        <f t="shared" si="175"/>
        <v>76043.406896551722</v>
      </c>
      <c r="H342" s="133">
        <f t="shared" si="175"/>
        <v>69574.413793103449</v>
      </c>
      <c r="I342" s="133">
        <f>SUM(B342:H342)</f>
        <v>145617.82068965517</v>
      </c>
      <c r="J342" s="629">
        <f t="shared" si="174"/>
        <v>20802.545812807883</v>
      </c>
      <c r="K342"/>
      <c r="L342"/>
      <c r="M342"/>
      <c r="N342"/>
      <c r="O342"/>
      <c r="P342"/>
      <c r="Q342"/>
      <c r="R342"/>
      <c r="S342"/>
      <c r="T342"/>
      <c r="U342"/>
      <c r="V342"/>
      <c r="W342"/>
      <c r="X342"/>
      <c r="Y342"/>
      <c r="Z342"/>
      <c r="AA342"/>
      <c r="AB342"/>
      <c r="AC342"/>
      <c r="AD342"/>
      <c r="AE342"/>
      <c r="AF342"/>
      <c r="AY342" s="465"/>
    </row>
    <row r="343" spans="1:51" x14ac:dyDescent="0.25">
      <c r="A343" s="622" t="s">
        <v>27</v>
      </c>
      <c r="B343" s="255">
        <f t="shared" ref="B343:H343" si="176">B346*B336</f>
        <v>209406.13448275861</v>
      </c>
      <c r="C343" s="133">
        <f t="shared" si="176"/>
        <v>201897.3275862069</v>
      </c>
      <c r="D343" s="133">
        <f t="shared" si="176"/>
        <v>515736.68448275863</v>
      </c>
      <c r="E343" s="133">
        <f t="shared" si="176"/>
        <v>423497.91724137933</v>
      </c>
      <c r="F343" s="133">
        <f t="shared" si="176"/>
        <v>421139.45689655171</v>
      </c>
      <c r="G343" s="133">
        <f t="shared" si="176"/>
        <v>646368.95862068969</v>
      </c>
      <c r="H343" s="133">
        <f t="shared" si="176"/>
        <v>660956.93103448278</v>
      </c>
      <c r="I343" s="133">
        <f>SUM(B343:H343)</f>
        <v>3079003.4103448279</v>
      </c>
      <c r="J343" s="629">
        <f t="shared" si="174"/>
        <v>439857.63004926115</v>
      </c>
      <c r="K343"/>
      <c r="L343"/>
      <c r="M343"/>
      <c r="N343"/>
      <c r="O343"/>
      <c r="P343"/>
      <c r="Q343"/>
      <c r="R343"/>
      <c r="S343"/>
      <c r="T343"/>
      <c r="U343"/>
      <c r="V343"/>
      <c r="W343"/>
      <c r="X343"/>
      <c r="Y343"/>
      <c r="Z343"/>
      <c r="AA343"/>
      <c r="AB343"/>
      <c r="AC343"/>
      <c r="AD343"/>
      <c r="AE343"/>
      <c r="AF343"/>
      <c r="AY343" s="465"/>
    </row>
    <row r="344" spans="1:51" x14ac:dyDescent="0.25">
      <c r="A344" s="622" t="s">
        <v>28</v>
      </c>
      <c r="B344" s="255">
        <f t="shared" ref="B344:H344" si="177">B346*B337</f>
        <v>69802.044827586215</v>
      </c>
      <c r="C344" s="133">
        <f t="shared" si="177"/>
        <v>24227.679310344825</v>
      </c>
      <c r="D344" s="133">
        <f t="shared" si="177"/>
        <v>0</v>
      </c>
      <c r="E344" s="133">
        <f t="shared" si="177"/>
        <v>23527.662068965521</v>
      </c>
      <c r="F344" s="133">
        <f t="shared" si="177"/>
        <v>28075.963793103449</v>
      </c>
      <c r="G344" s="133">
        <f t="shared" si="177"/>
        <v>76043.406896551722</v>
      </c>
      <c r="H344" s="133">
        <f t="shared" si="177"/>
        <v>139148.8275862069</v>
      </c>
      <c r="I344" s="133">
        <f>SUM(B344:H344)</f>
        <v>360825.58448275866</v>
      </c>
      <c r="J344" s="629">
        <f t="shared" si="174"/>
        <v>51546.512068965523</v>
      </c>
      <c r="K344"/>
      <c r="L344"/>
      <c r="M344"/>
      <c r="N344"/>
      <c r="O344"/>
      <c r="P344"/>
      <c r="Q344"/>
      <c r="R344"/>
      <c r="S344"/>
      <c r="T344"/>
      <c r="U344"/>
      <c r="V344"/>
      <c r="W344"/>
      <c r="X344"/>
      <c r="Y344"/>
      <c r="Z344"/>
      <c r="AA344"/>
      <c r="AB344"/>
      <c r="AC344"/>
      <c r="AD344"/>
      <c r="AE344"/>
      <c r="AF344"/>
      <c r="AY344" s="465"/>
    </row>
    <row r="345" spans="1:51" x14ac:dyDescent="0.25">
      <c r="A345" s="622" t="s">
        <v>29</v>
      </c>
      <c r="B345" s="255">
        <f t="shared" ref="B345:H345" si="178">B346*B338</f>
        <v>0</v>
      </c>
      <c r="C345" s="133">
        <f t="shared" si="178"/>
        <v>0</v>
      </c>
      <c r="D345" s="133">
        <f t="shared" si="178"/>
        <v>13938.829310344829</v>
      </c>
      <c r="E345" s="133">
        <f t="shared" si="178"/>
        <v>0</v>
      </c>
      <c r="F345" s="133">
        <f t="shared" si="178"/>
        <v>0</v>
      </c>
      <c r="G345" s="133">
        <f t="shared" si="178"/>
        <v>0</v>
      </c>
      <c r="H345" s="133">
        <f t="shared" si="178"/>
        <v>0</v>
      </c>
      <c r="I345" s="133">
        <f>SUM(B345:H345)</f>
        <v>13938.829310344829</v>
      </c>
      <c r="J345" s="629">
        <f t="shared" si="174"/>
        <v>1991.2613300492612</v>
      </c>
      <c r="K345"/>
      <c r="L345"/>
      <c r="M345"/>
      <c r="N345"/>
      <c r="O345"/>
      <c r="P345"/>
      <c r="Q345"/>
      <c r="R345"/>
      <c r="S345"/>
      <c r="T345"/>
      <c r="U345"/>
      <c r="V345"/>
      <c r="W345"/>
      <c r="X345"/>
      <c r="Y345"/>
      <c r="Z345"/>
      <c r="AA345"/>
      <c r="AB345"/>
      <c r="AC345"/>
      <c r="AD345"/>
      <c r="AE345"/>
      <c r="AF345"/>
      <c r="AY345" s="465"/>
    </row>
    <row r="346" spans="1:51" x14ac:dyDescent="0.25">
      <c r="A346" s="630" t="s">
        <v>30</v>
      </c>
      <c r="B346" s="410">
        <f>(4281000/1.16)-B347</f>
        <v>3490102.2413793104</v>
      </c>
      <c r="C346" s="410">
        <f>(981800/1.16)-C347</f>
        <v>807589.31034482759</v>
      </c>
      <c r="D346" s="410">
        <f>(1669400/1.16)-D347</f>
        <v>1393882.9310344828</v>
      </c>
      <c r="E346" s="410">
        <f>(1419600/1.16)-E347</f>
        <v>1176383.1034482759</v>
      </c>
      <c r="F346" s="410">
        <f>(3404300/1.16)-F347</f>
        <v>2807596.3793103448</v>
      </c>
      <c r="G346" s="410">
        <f>(4630500/1.16)-G347</f>
        <v>3802170.3448275863</v>
      </c>
      <c r="H346" s="410">
        <f>(4235300/1.16)-H347</f>
        <v>3478720.6896551726</v>
      </c>
      <c r="I346" s="136">
        <f>SUM(I341:I345)</f>
        <v>16956445.000000004</v>
      </c>
      <c r="J346" s="631">
        <f t="shared" si="174"/>
        <v>2422349.2857142864</v>
      </c>
      <c r="K346"/>
      <c r="L346"/>
      <c r="M346"/>
      <c r="N346"/>
      <c r="O346"/>
      <c r="P346"/>
      <c r="Q346"/>
      <c r="R346"/>
      <c r="S346"/>
      <c r="T346"/>
      <c r="U346"/>
      <c r="V346"/>
      <c r="W346"/>
      <c r="X346"/>
      <c r="Y346"/>
      <c r="Z346"/>
      <c r="AA346"/>
      <c r="AB346"/>
      <c r="AC346"/>
      <c r="AD346"/>
      <c r="AE346"/>
      <c r="AF346"/>
      <c r="AY346" s="465"/>
    </row>
    <row r="347" spans="1:51" x14ac:dyDescent="0.25">
      <c r="A347" s="622" t="s">
        <v>31</v>
      </c>
      <c r="B347" s="263">
        <f t="shared" ref="B347:H347" si="179">2155*B328</f>
        <v>200415</v>
      </c>
      <c r="C347" s="139">
        <f t="shared" si="179"/>
        <v>38790</v>
      </c>
      <c r="D347" s="139">
        <f t="shared" si="179"/>
        <v>45255</v>
      </c>
      <c r="E347" s="139">
        <f t="shared" si="179"/>
        <v>47410</v>
      </c>
      <c r="F347" s="139">
        <f t="shared" si="179"/>
        <v>127145</v>
      </c>
      <c r="G347" s="139">
        <f t="shared" si="179"/>
        <v>189640</v>
      </c>
      <c r="H347" s="139">
        <f t="shared" si="179"/>
        <v>172400</v>
      </c>
      <c r="I347" s="139">
        <f>I328*2155</f>
        <v>821055</v>
      </c>
      <c r="J347" s="632">
        <f>2155*J328</f>
        <v>117293.57142857143</v>
      </c>
      <c r="K347"/>
      <c r="L347"/>
      <c r="M347"/>
      <c r="N347"/>
      <c r="O347"/>
      <c r="P347"/>
      <c r="Q347"/>
      <c r="R347"/>
      <c r="S347"/>
      <c r="T347"/>
      <c r="U347"/>
      <c r="V347"/>
      <c r="W347"/>
      <c r="X347"/>
      <c r="Y347"/>
      <c r="Z347"/>
      <c r="AA347"/>
      <c r="AB347"/>
      <c r="AC347"/>
      <c r="AD347"/>
      <c r="AE347"/>
      <c r="AF347"/>
      <c r="AY347" s="465"/>
    </row>
    <row r="348" spans="1:51" x14ac:dyDescent="0.25">
      <c r="A348" s="633" t="s">
        <v>32</v>
      </c>
      <c r="B348" s="411">
        <f t="shared" ref="B348:J348" si="180">B346+B347</f>
        <v>3690517.2413793104</v>
      </c>
      <c r="C348" s="40">
        <f t="shared" si="180"/>
        <v>846379.31034482759</v>
      </c>
      <c r="D348" s="40">
        <f t="shared" si="180"/>
        <v>1439137.9310344828</v>
      </c>
      <c r="E348" s="40">
        <f t="shared" si="180"/>
        <v>1223793.1034482759</v>
      </c>
      <c r="F348" s="40">
        <f t="shared" si="180"/>
        <v>2934741.3793103448</v>
      </c>
      <c r="G348" s="40">
        <f t="shared" si="180"/>
        <v>3991810.3448275863</v>
      </c>
      <c r="H348" s="40">
        <f t="shared" si="180"/>
        <v>3651120.6896551726</v>
      </c>
      <c r="I348" s="40">
        <f t="shared" si="180"/>
        <v>17777500.000000004</v>
      </c>
      <c r="J348" s="634">
        <f t="shared" si="180"/>
        <v>2539642.8571428577</v>
      </c>
      <c r="K348"/>
      <c r="L348"/>
      <c r="M348"/>
      <c r="N348"/>
      <c r="O348"/>
      <c r="P348"/>
      <c r="Q348"/>
      <c r="R348"/>
      <c r="S348"/>
      <c r="T348"/>
      <c r="U348"/>
      <c r="V348"/>
      <c r="W348"/>
      <c r="X348"/>
      <c r="Y348"/>
      <c r="Z348"/>
      <c r="AA348"/>
      <c r="AB348"/>
      <c r="AC348"/>
      <c r="AD348"/>
      <c r="AE348"/>
      <c r="AF348"/>
      <c r="AY348" s="465"/>
    </row>
    <row r="349" spans="1:51" x14ac:dyDescent="0.25">
      <c r="A349" s="622" t="s">
        <v>33</v>
      </c>
      <c r="B349" s="413">
        <f t="shared" ref="B349:J349" si="181">B348*16%</f>
        <v>590482.75862068962</v>
      </c>
      <c r="C349" s="42">
        <f t="shared" si="181"/>
        <v>135420.68965517241</v>
      </c>
      <c r="D349" s="42">
        <f t="shared" si="181"/>
        <v>230262.06896551725</v>
      </c>
      <c r="E349" s="42">
        <f t="shared" si="181"/>
        <v>195806.89655172414</v>
      </c>
      <c r="F349" s="42">
        <f t="shared" si="181"/>
        <v>469558.62068965519</v>
      </c>
      <c r="G349" s="42">
        <f t="shared" si="181"/>
        <v>638689.6551724138</v>
      </c>
      <c r="H349" s="42">
        <f t="shared" si="181"/>
        <v>584179.31034482759</v>
      </c>
      <c r="I349" s="42">
        <f t="shared" si="181"/>
        <v>2844400.0000000005</v>
      </c>
      <c r="J349" s="635">
        <f t="shared" si="181"/>
        <v>406342.85714285728</v>
      </c>
      <c r="K349"/>
      <c r="L349"/>
      <c r="M349"/>
      <c r="N349"/>
      <c r="O349"/>
      <c r="P349"/>
      <c r="Q349"/>
      <c r="R349"/>
      <c r="S349"/>
      <c r="T349"/>
      <c r="U349"/>
      <c r="V349"/>
      <c r="W349"/>
      <c r="X349"/>
      <c r="Y349"/>
      <c r="Z349"/>
      <c r="AA349"/>
      <c r="AB349"/>
      <c r="AC349"/>
      <c r="AD349"/>
      <c r="AE349"/>
      <c r="AF349"/>
      <c r="AY349" s="465"/>
    </row>
    <row r="350" spans="1:51" ht="15.75" thickBot="1" x14ac:dyDescent="0.3">
      <c r="A350" s="636" t="s">
        <v>34</v>
      </c>
      <c r="B350" s="637">
        <f t="shared" ref="B350:I350" si="182">B348+B349</f>
        <v>4281000</v>
      </c>
      <c r="C350" s="638">
        <f t="shared" si="182"/>
        <v>981800</v>
      </c>
      <c r="D350" s="638">
        <f t="shared" si="182"/>
        <v>1669400</v>
      </c>
      <c r="E350" s="638">
        <f t="shared" si="182"/>
        <v>1419600</v>
      </c>
      <c r="F350" s="638">
        <f t="shared" si="182"/>
        <v>3404300</v>
      </c>
      <c r="G350" s="638">
        <f t="shared" si="182"/>
        <v>4630500</v>
      </c>
      <c r="H350" s="638">
        <f t="shared" si="182"/>
        <v>4235300</v>
      </c>
      <c r="I350" s="638">
        <f t="shared" si="182"/>
        <v>20621900.000000004</v>
      </c>
      <c r="J350" s="639">
        <f>+$I350/7</f>
        <v>2945985.714285715</v>
      </c>
      <c r="K350"/>
      <c r="L350"/>
      <c r="M350"/>
      <c r="N350"/>
      <c r="O350"/>
      <c r="P350"/>
      <c r="Q350"/>
      <c r="R350"/>
      <c r="S350"/>
      <c r="T350"/>
      <c r="U350"/>
      <c r="V350"/>
      <c r="W350"/>
      <c r="X350"/>
      <c r="Y350"/>
      <c r="Z350"/>
      <c r="AA350"/>
      <c r="AB350"/>
      <c r="AC350"/>
      <c r="AD350"/>
      <c r="AE350"/>
      <c r="AF350"/>
      <c r="AY350" s="465"/>
    </row>
    <row r="351" spans="1:51" ht="15.75" thickBot="1" x14ac:dyDescent="0.3">
      <c r="K351"/>
      <c r="L351"/>
      <c r="M351"/>
      <c r="N351"/>
      <c r="O351"/>
      <c r="P351"/>
      <c r="Q351"/>
      <c r="R351"/>
      <c r="S351"/>
      <c r="T351"/>
      <c r="U351"/>
      <c r="V351"/>
      <c r="W351"/>
      <c r="X351"/>
      <c r="Y351"/>
      <c r="Z351"/>
      <c r="AA351"/>
      <c r="AB351"/>
      <c r="AC351"/>
      <c r="AD351"/>
      <c r="AE351"/>
      <c r="AF351"/>
      <c r="AY351" s="465"/>
    </row>
    <row r="352" spans="1:51" ht="27" thickBot="1" x14ac:dyDescent="0.3">
      <c r="A352" s="85"/>
      <c r="B352" s="1002" t="s">
        <v>138</v>
      </c>
      <c r="C352" s="1002"/>
      <c r="D352" s="1002"/>
      <c r="E352" s="1002"/>
      <c r="F352" s="1002"/>
      <c r="G352" s="1002"/>
      <c r="H352" s="1002"/>
      <c r="I352" s="1002"/>
      <c r="J352" s="85"/>
      <c r="K352"/>
      <c r="L352"/>
      <c r="M352"/>
      <c r="N352"/>
      <c r="O352"/>
      <c r="P352"/>
      <c r="Q352"/>
      <c r="R352"/>
      <c r="S352"/>
      <c r="T352"/>
      <c r="U352"/>
      <c r="V352"/>
      <c r="W352"/>
      <c r="X352"/>
      <c r="Y352"/>
      <c r="Z352"/>
      <c r="AA352"/>
      <c r="AB352"/>
      <c r="AC352"/>
      <c r="AD352"/>
      <c r="AE352"/>
      <c r="AF352"/>
      <c r="AY352" s="465"/>
    </row>
    <row r="353" spans="1:51" ht="15.75" x14ac:dyDescent="0.25">
      <c r="A353" s="614" t="s">
        <v>2</v>
      </c>
      <c r="B353" s="706" t="s">
        <v>233</v>
      </c>
      <c r="C353" s="641" t="s">
        <v>234</v>
      </c>
      <c r="D353" s="641" t="s">
        <v>235</v>
      </c>
      <c r="E353" s="641" t="s">
        <v>236</v>
      </c>
      <c r="F353" s="641" t="s">
        <v>237</v>
      </c>
      <c r="G353" s="641" t="s">
        <v>238</v>
      </c>
      <c r="H353" s="641" t="s">
        <v>239</v>
      </c>
      <c r="I353" s="618" t="s">
        <v>10</v>
      </c>
      <c r="J353" s="619" t="s">
        <v>77</v>
      </c>
      <c r="K353"/>
      <c r="L353"/>
      <c r="M353"/>
      <c r="N353"/>
      <c r="O353"/>
      <c r="P353"/>
      <c r="Q353"/>
      <c r="R353"/>
      <c r="S353"/>
      <c r="T353"/>
      <c r="U353"/>
      <c r="V353"/>
      <c r="W353"/>
      <c r="X353"/>
      <c r="Y353"/>
      <c r="Z353"/>
      <c r="AA353"/>
      <c r="AB353"/>
      <c r="AC353"/>
      <c r="AD353"/>
      <c r="AE353"/>
      <c r="AF353"/>
      <c r="AY353" s="465"/>
    </row>
    <row r="354" spans="1:51" x14ac:dyDescent="0.25">
      <c r="A354" s="620" t="s">
        <v>11</v>
      </c>
      <c r="B354" s="431">
        <f>30+15+7</f>
        <v>52</v>
      </c>
      <c r="C354" s="432">
        <f>33+28+12</f>
        <v>73</v>
      </c>
      <c r="D354" s="505">
        <f>35+11+4</f>
        <v>50</v>
      </c>
      <c r="E354" s="432">
        <f>32+17+6</f>
        <v>55</v>
      </c>
      <c r="F354" s="432">
        <f>89+39+14</f>
        <v>142</v>
      </c>
      <c r="G354" s="432">
        <f>84+48+15</f>
        <v>147</v>
      </c>
      <c r="H354" s="432">
        <f>76+34+9</f>
        <v>119</v>
      </c>
      <c r="I354" s="432">
        <f t="shared" ref="I354:I359" si="183">SUM(B354:H354)</f>
        <v>638</v>
      </c>
      <c r="J354" s="621">
        <f t="shared" ref="J354:J360" si="184">+$I354/7</f>
        <v>91.142857142857139</v>
      </c>
      <c r="K354"/>
      <c r="L354"/>
      <c r="M354"/>
      <c r="N354"/>
      <c r="O354"/>
      <c r="P354"/>
      <c r="Q354"/>
      <c r="R354"/>
      <c r="S354"/>
      <c r="T354"/>
      <c r="U354"/>
      <c r="V354"/>
      <c r="W354"/>
      <c r="X354"/>
      <c r="Y354"/>
      <c r="Z354"/>
      <c r="AA354"/>
      <c r="AB354"/>
      <c r="AC354"/>
      <c r="AD354"/>
      <c r="AE354"/>
      <c r="AF354"/>
      <c r="AY354" s="465"/>
    </row>
    <row r="355" spans="1:51" x14ac:dyDescent="0.25">
      <c r="A355" s="622" t="s">
        <v>12</v>
      </c>
      <c r="B355" s="233">
        <v>23</v>
      </c>
      <c r="C355" s="13">
        <v>31</v>
      </c>
      <c r="D355" s="13">
        <v>23</v>
      </c>
      <c r="E355" s="13">
        <v>29</v>
      </c>
      <c r="F355" s="13">
        <v>70</v>
      </c>
      <c r="G355" s="13">
        <v>71</v>
      </c>
      <c r="H355" s="13">
        <v>61</v>
      </c>
      <c r="I355" s="13">
        <f t="shared" si="183"/>
        <v>308</v>
      </c>
      <c r="J355" s="623">
        <f t="shared" si="184"/>
        <v>44</v>
      </c>
      <c r="K355"/>
      <c r="L355"/>
      <c r="M355"/>
      <c r="N355"/>
      <c r="O355"/>
      <c r="P355"/>
      <c r="Q355"/>
      <c r="R355"/>
      <c r="S355"/>
      <c r="T355"/>
      <c r="U355"/>
      <c r="V355"/>
      <c r="W355"/>
      <c r="X355"/>
      <c r="Y355"/>
      <c r="Z355"/>
      <c r="AA355"/>
      <c r="AB355"/>
      <c r="AC355"/>
      <c r="AD355"/>
      <c r="AE355"/>
      <c r="AF355"/>
      <c r="AY355" s="465"/>
    </row>
    <row r="356" spans="1:51" x14ac:dyDescent="0.25">
      <c r="A356" s="622" t="s">
        <v>13</v>
      </c>
      <c r="B356" s="233">
        <v>0</v>
      </c>
      <c r="C356" s="13">
        <v>0</v>
      </c>
      <c r="D356" s="13">
        <v>0</v>
      </c>
      <c r="E356" s="13">
        <v>0</v>
      </c>
      <c r="F356" s="13">
        <v>1</v>
      </c>
      <c r="G356" s="13">
        <v>0</v>
      </c>
      <c r="H356" s="13">
        <v>0</v>
      </c>
      <c r="I356" s="13">
        <f t="shared" si="183"/>
        <v>1</v>
      </c>
      <c r="J356" s="623">
        <f t="shared" si="184"/>
        <v>0.14285714285714285</v>
      </c>
      <c r="K356"/>
      <c r="L356"/>
      <c r="M356"/>
      <c r="N356"/>
      <c r="O356"/>
      <c r="P356"/>
      <c r="Q356"/>
      <c r="R356"/>
      <c r="S356"/>
      <c r="T356"/>
      <c r="U356"/>
      <c r="V356"/>
      <c r="W356"/>
      <c r="X356"/>
      <c r="Y356"/>
      <c r="Z356"/>
      <c r="AA356"/>
      <c r="AB356"/>
      <c r="AC356"/>
      <c r="AD356"/>
      <c r="AE356"/>
      <c r="AF356"/>
      <c r="AY356" s="465"/>
    </row>
    <row r="357" spans="1:51" x14ac:dyDescent="0.25">
      <c r="A357" s="622" t="s">
        <v>14</v>
      </c>
      <c r="B357" s="233">
        <v>17</v>
      </c>
      <c r="C357" s="13">
        <v>23</v>
      </c>
      <c r="D357" s="13">
        <v>15</v>
      </c>
      <c r="E357" s="13">
        <v>11</v>
      </c>
      <c r="F357" s="13">
        <v>22</v>
      </c>
      <c r="G357" s="13">
        <v>30</v>
      </c>
      <c r="H357" s="13">
        <v>37</v>
      </c>
      <c r="I357" s="13">
        <f t="shared" si="183"/>
        <v>155</v>
      </c>
      <c r="J357" s="623">
        <f t="shared" si="184"/>
        <v>22.142857142857142</v>
      </c>
      <c r="K357"/>
      <c r="L357"/>
      <c r="M357"/>
      <c r="N357"/>
      <c r="O357"/>
      <c r="P357"/>
      <c r="Q357"/>
      <c r="R357"/>
      <c r="S357"/>
      <c r="T357"/>
      <c r="U357"/>
      <c r="V357"/>
      <c r="W357"/>
      <c r="X357"/>
      <c r="Y357"/>
      <c r="Z357"/>
      <c r="AA357"/>
      <c r="AB357"/>
      <c r="AC357"/>
      <c r="AD357"/>
      <c r="AE357"/>
      <c r="AF357"/>
      <c r="AY357" s="465"/>
    </row>
    <row r="358" spans="1:51" x14ac:dyDescent="0.25">
      <c r="A358" s="622" t="s">
        <v>15</v>
      </c>
      <c r="B358" s="233">
        <v>3</v>
      </c>
      <c r="C358" s="13">
        <v>1</v>
      </c>
      <c r="D358" s="13">
        <v>1</v>
      </c>
      <c r="E358" s="13">
        <v>2</v>
      </c>
      <c r="F358" s="13">
        <v>5</v>
      </c>
      <c r="G358" s="13">
        <v>7</v>
      </c>
      <c r="H358" s="13">
        <v>0</v>
      </c>
      <c r="I358" s="13">
        <f t="shared" si="183"/>
        <v>19</v>
      </c>
      <c r="J358" s="623">
        <f t="shared" si="184"/>
        <v>2.7142857142857144</v>
      </c>
      <c r="K358"/>
      <c r="L358"/>
      <c r="M358"/>
      <c r="N358"/>
      <c r="O358"/>
      <c r="P358"/>
      <c r="Q358"/>
      <c r="R358"/>
      <c r="S358"/>
      <c r="T358"/>
      <c r="U358"/>
      <c r="V358"/>
      <c r="W358"/>
      <c r="X358"/>
      <c r="Y358"/>
      <c r="Z358"/>
      <c r="AA358"/>
      <c r="AB358"/>
      <c r="AC358"/>
      <c r="AD358"/>
      <c r="AE358"/>
      <c r="AF358"/>
      <c r="AY358" s="465"/>
    </row>
    <row r="359" spans="1:51" x14ac:dyDescent="0.25">
      <c r="A359" s="622" t="s">
        <v>16</v>
      </c>
      <c r="B359" s="233">
        <v>0</v>
      </c>
      <c r="C359" s="13">
        <v>0</v>
      </c>
      <c r="D359" s="13">
        <v>0</v>
      </c>
      <c r="E359" s="13">
        <v>0</v>
      </c>
      <c r="F359" s="13">
        <v>0</v>
      </c>
      <c r="G359" s="13">
        <v>0</v>
      </c>
      <c r="H359" s="13">
        <v>1</v>
      </c>
      <c r="I359" s="13">
        <f t="shared" si="183"/>
        <v>1</v>
      </c>
      <c r="J359" s="623">
        <f t="shared" si="184"/>
        <v>0.14285714285714285</v>
      </c>
      <c r="K359"/>
      <c r="L359"/>
      <c r="M359"/>
      <c r="N359"/>
      <c r="O359"/>
      <c r="P359"/>
      <c r="Q359"/>
      <c r="R359"/>
      <c r="S359"/>
      <c r="T359"/>
      <c r="U359"/>
      <c r="V359"/>
      <c r="W359"/>
      <c r="X359"/>
      <c r="Y359"/>
      <c r="Z359"/>
      <c r="AA359"/>
      <c r="AB359"/>
      <c r="AC359"/>
      <c r="AD359"/>
      <c r="AE359"/>
      <c r="AF359"/>
      <c r="AY359" s="465"/>
    </row>
    <row r="360" spans="1:51" x14ac:dyDescent="0.25">
      <c r="A360" s="624" t="s">
        <v>17</v>
      </c>
      <c r="B360" s="102">
        <f t="shared" ref="B360:H360" si="185">SUM(B355:B359)</f>
        <v>43</v>
      </c>
      <c r="C360" s="79">
        <f t="shared" si="185"/>
        <v>55</v>
      </c>
      <c r="D360" s="79">
        <f t="shared" si="185"/>
        <v>39</v>
      </c>
      <c r="E360" s="79">
        <f t="shared" si="185"/>
        <v>42</v>
      </c>
      <c r="F360" s="79">
        <f t="shared" si="185"/>
        <v>98</v>
      </c>
      <c r="G360" s="79">
        <f t="shared" si="185"/>
        <v>108</v>
      </c>
      <c r="H360" s="79">
        <f t="shared" si="185"/>
        <v>99</v>
      </c>
      <c r="I360" s="79">
        <f>SUM(I355:I359)</f>
        <v>484</v>
      </c>
      <c r="J360" s="625">
        <f t="shared" si="184"/>
        <v>69.142857142857139</v>
      </c>
      <c r="K360"/>
      <c r="L360"/>
      <c r="M360"/>
      <c r="N360"/>
      <c r="O360"/>
      <c r="P360"/>
      <c r="Q360"/>
      <c r="R360"/>
      <c r="S360"/>
      <c r="T360"/>
      <c r="U360"/>
      <c r="V360"/>
      <c r="W360"/>
      <c r="X360"/>
      <c r="Y360"/>
      <c r="Z360"/>
      <c r="AA360"/>
      <c r="AB360"/>
      <c r="AC360"/>
      <c r="AD360"/>
      <c r="AE360"/>
      <c r="AF360"/>
      <c r="AY360" s="465"/>
    </row>
    <row r="361" spans="1:51" x14ac:dyDescent="0.25">
      <c r="A361" s="622" t="s">
        <v>18</v>
      </c>
      <c r="B361" s="406">
        <v>0.63</v>
      </c>
      <c r="C361" s="19">
        <v>0.65</v>
      </c>
      <c r="D361" s="19">
        <v>0.68</v>
      </c>
      <c r="E361" s="19">
        <v>0.75</v>
      </c>
      <c r="F361" s="19">
        <v>0.77</v>
      </c>
      <c r="G361" s="19">
        <v>0.72</v>
      </c>
      <c r="H361" s="19">
        <v>0.66</v>
      </c>
      <c r="I361" s="19">
        <f>I368/I373</f>
        <v>0.70430367430296714</v>
      </c>
      <c r="J361" s="626">
        <f>J368/J373</f>
        <v>0.70430367430296725</v>
      </c>
      <c r="K361"/>
      <c r="L361"/>
      <c r="M361"/>
      <c r="N361"/>
      <c r="O361"/>
      <c r="P361"/>
      <c r="Q361"/>
      <c r="R361"/>
      <c r="S361"/>
      <c r="T361"/>
      <c r="U361"/>
      <c r="V361"/>
      <c r="W361"/>
      <c r="X361"/>
      <c r="Y361"/>
      <c r="Z361"/>
      <c r="AA361"/>
      <c r="AB361"/>
      <c r="AC361"/>
      <c r="AD361"/>
      <c r="AE361"/>
      <c r="AF361"/>
      <c r="AY361" s="465"/>
    </row>
    <row r="362" spans="1:51" x14ac:dyDescent="0.25">
      <c r="A362" s="622" t="s">
        <v>19</v>
      </c>
      <c r="B362" s="406">
        <v>0</v>
      </c>
      <c r="C362" s="19">
        <v>0</v>
      </c>
      <c r="D362" s="19">
        <v>0</v>
      </c>
      <c r="E362" s="19">
        <v>0</v>
      </c>
      <c r="F362" s="19">
        <v>0.03</v>
      </c>
      <c r="G362" s="19">
        <v>0</v>
      </c>
      <c r="H362" s="19">
        <v>0</v>
      </c>
      <c r="I362" s="19">
        <f>I369/I373</f>
        <v>6.587253165757821E-3</v>
      </c>
      <c r="J362" s="626">
        <f>J369/J373</f>
        <v>6.587253165757821E-3</v>
      </c>
      <c r="K362"/>
      <c r="L362"/>
      <c r="M362"/>
      <c r="N362"/>
      <c r="O362"/>
      <c r="P362"/>
      <c r="Q362"/>
      <c r="R362"/>
      <c r="S362"/>
      <c r="T362"/>
      <c r="U362"/>
      <c r="V362"/>
      <c r="W362"/>
      <c r="X362"/>
      <c r="Y362"/>
      <c r="Z362"/>
      <c r="AA362"/>
      <c r="AB362"/>
      <c r="AC362"/>
      <c r="AD362"/>
      <c r="AE362"/>
      <c r="AF362"/>
      <c r="AY362" s="465"/>
    </row>
    <row r="363" spans="1:51" x14ac:dyDescent="0.25">
      <c r="A363" s="622" t="s">
        <v>20</v>
      </c>
      <c r="B363" s="406">
        <v>0.33</v>
      </c>
      <c r="C363" s="19">
        <v>0.33</v>
      </c>
      <c r="D363" s="19">
        <v>0.3</v>
      </c>
      <c r="E363" s="19">
        <v>0.18</v>
      </c>
      <c r="F363" s="19">
        <v>0.15</v>
      </c>
      <c r="G363" s="19">
        <v>0.22</v>
      </c>
      <c r="H363" s="19">
        <v>0.33</v>
      </c>
      <c r="I363" s="19">
        <f>I370/I373</f>
        <v>0.24922758942118392</v>
      </c>
      <c r="J363" s="626">
        <f>J370/J373</f>
        <v>0.24922758942118392</v>
      </c>
      <c r="K363"/>
      <c r="L363"/>
      <c r="M363"/>
      <c r="N363"/>
      <c r="O363"/>
      <c r="P363"/>
      <c r="Q363"/>
      <c r="R363"/>
      <c r="S363"/>
      <c r="T363"/>
      <c r="U363"/>
      <c r="V363"/>
      <c r="W363"/>
      <c r="X363"/>
      <c r="Y363"/>
      <c r="Z363"/>
      <c r="AA363"/>
      <c r="AB363"/>
      <c r="AC363"/>
      <c r="AD363"/>
      <c r="AE363"/>
      <c r="AF363"/>
      <c r="AY363" s="465"/>
    </row>
    <row r="364" spans="1:51" x14ac:dyDescent="0.25">
      <c r="A364" s="622" t="s">
        <v>21</v>
      </c>
      <c r="B364" s="406">
        <v>0.04</v>
      </c>
      <c r="C364" s="19">
        <v>0.02</v>
      </c>
      <c r="D364" s="19">
        <v>0.02</v>
      </c>
      <c r="E364" s="19">
        <v>7.0000000000000007E-2</v>
      </c>
      <c r="F364" s="19">
        <v>0.05</v>
      </c>
      <c r="G364" s="19">
        <v>0.06</v>
      </c>
      <c r="H364" s="19">
        <v>0</v>
      </c>
      <c r="I364" s="19">
        <f>I371/I373</f>
        <v>3.7888851467583619E-2</v>
      </c>
      <c r="J364" s="626">
        <f>J371/J373</f>
        <v>3.7888851467583626E-2</v>
      </c>
      <c r="K364"/>
      <c r="L364"/>
      <c r="M364"/>
      <c r="N364"/>
      <c r="O364"/>
      <c r="P364"/>
      <c r="Q364"/>
      <c r="R364"/>
      <c r="S364"/>
      <c r="T364"/>
      <c r="U364"/>
      <c r="V364"/>
      <c r="W364"/>
      <c r="X364"/>
      <c r="Y364"/>
      <c r="Z364"/>
      <c r="AA364"/>
      <c r="AB364"/>
      <c r="AC364"/>
      <c r="AD364"/>
      <c r="AE364"/>
      <c r="AF364"/>
      <c r="AY364" s="465"/>
    </row>
    <row r="365" spans="1:51" x14ac:dyDescent="0.25">
      <c r="A365" s="622" t="s">
        <v>22</v>
      </c>
      <c r="B365" s="406">
        <v>0</v>
      </c>
      <c r="C365" s="19">
        <v>0</v>
      </c>
      <c r="D365" s="19">
        <v>0</v>
      </c>
      <c r="E365" s="19">
        <v>0</v>
      </c>
      <c r="F365" s="19">
        <v>0</v>
      </c>
      <c r="G365" s="19">
        <v>0</v>
      </c>
      <c r="H365" s="19">
        <v>0.01</v>
      </c>
      <c r="I365" s="19">
        <f>I372/I373</f>
        <v>1.9926316425075015E-3</v>
      </c>
      <c r="J365" s="626">
        <f>J372/J373</f>
        <v>1.992631642507502E-3</v>
      </c>
      <c r="K365"/>
      <c r="L365"/>
      <c r="M365"/>
      <c r="N365"/>
      <c r="O365"/>
      <c r="P365"/>
      <c r="Q365"/>
      <c r="R365"/>
      <c r="S365"/>
      <c r="T365"/>
      <c r="U365"/>
      <c r="V365"/>
      <c r="W365"/>
      <c r="X365"/>
      <c r="Y365"/>
      <c r="Z365"/>
      <c r="AA365"/>
      <c r="AB365"/>
      <c r="AC365"/>
      <c r="AD365"/>
      <c r="AE365"/>
      <c r="AF365"/>
      <c r="AY365" s="465"/>
    </row>
    <row r="366" spans="1:51" x14ac:dyDescent="0.25">
      <c r="A366" s="627" t="s">
        <v>23</v>
      </c>
      <c r="B366" s="409">
        <f t="shared" ref="B366:J366" si="186">B377/B360</f>
        <v>31216.279069767443</v>
      </c>
      <c r="C366" s="131">
        <f t="shared" si="186"/>
        <v>36421.818181818184</v>
      </c>
      <c r="D366" s="131">
        <f t="shared" si="186"/>
        <v>34305.128205128203</v>
      </c>
      <c r="E366" s="131">
        <f t="shared" si="186"/>
        <v>36857.142857142862</v>
      </c>
      <c r="F366" s="131">
        <f t="shared" si="186"/>
        <v>40982.65306122449</v>
      </c>
      <c r="G366" s="131">
        <f t="shared" si="186"/>
        <v>40514.814814814818</v>
      </c>
      <c r="H366" s="131">
        <f t="shared" si="186"/>
        <v>36744.444444444453</v>
      </c>
      <c r="I366" s="131">
        <f t="shared" si="186"/>
        <v>37729.338842975209</v>
      </c>
      <c r="J366" s="628">
        <f t="shared" si="186"/>
        <v>37729.338842975209</v>
      </c>
      <c r="K366"/>
      <c r="L366"/>
      <c r="M366"/>
      <c r="N366"/>
      <c r="O366"/>
      <c r="P366"/>
      <c r="Q366"/>
      <c r="R366"/>
      <c r="S366"/>
      <c r="T366"/>
      <c r="U366"/>
      <c r="V366"/>
      <c r="W366"/>
      <c r="X366"/>
      <c r="Y366"/>
      <c r="Z366"/>
      <c r="AA366"/>
      <c r="AB366"/>
      <c r="AC366"/>
      <c r="AD366"/>
      <c r="AE366"/>
      <c r="AF366"/>
      <c r="AY366" s="465"/>
    </row>
    <row r="367" spans="1:51" x14ac:dyDescent="0.25">
      <c r="A367" s="627" t="s">
        <v>24</v>
      </c>
      <c r="B367" s="409">
        <f t="shared" ref="B367:J367" si="187">B377/B354</f>
        <v>25813.461538461539</v>
      </c>
      <c r="C367" s="131">
        <f t="shared" si="187"/>
        <v>27441.095890410958</v>
      </c>
      <c r="D367" s="131">
        <f t="shared" si="187"/>
        <v>26758</v>
      </c>
      <c r="E367" s="131">
        <f t="shared" si="187"/>
        <v>28145.454545454551</v>
      </c>
      <c r="F367" s="131">
        <f t="shared" si="187"/>
        <v>28283.802816901407</v>
      </c>
      <c r="G367" s="131">
        <f t="shared" si="187"/>
        <v>29765.986394557822</v>
      </c>
      <c r="H367" s="131">
        <f t="shared" si="187"/>
        <v>30568.907563025215</v>
      </c>
      <c r="I367" s="131">
        <f t="shared" si="187"/>
        <v>28622.257053291534</v>
      </c>
      <c r="J367" s="628">
        <f t="shared" si="187"/>
        <v>28622.257053291538</v>
      </c>
      <c r="K367"/>
      <c r="L367"/>
      <c r="M367"/>
      <c r="N367"/>
      <c r="O367"/>
      <c r="P367"/>
      <c r="Q367"/>
      <c r="R367"/>
      <c r="S367"/>
      <c r="T367"/>
      <c r="U367"/>
      <c r="V367"/>
      <c r="W367"/>
      <c r="X367"/>
      <c r="Y367"/>
      <c r="Z367"/>
      <c r="AA367"/>
      <c r="AB367"/>
      <c r="AC367"/>
      <c r="AD367"/>
      <c r="AE367"/>
      <c r="AF367"/>
      <c r="AY367" s="465"/>
    </row>
    <row r="368" spans="1:51" x14ac:dyDescent="0.25">
      <c r="A368" s="622" t="s">
        <v>25</v>
      </c>
      <c r="B368" s="255">
        <f t="shared" ref="B368:H368" si="188">B373*B361</f>
        <v>694028.89862068975</v>
      </c>
      <c r="C368" s="133">
        <f t="shared" si="188"/>
        <v>1073840.6586206898</v>
      </c>
      <c r="D368" s="133">
        <f t="shared" si="188"/>
        <v>746531.24689655181</v>
      </c>
      <c r="E368" s="133">
        <f t="shared" si="188"/>
        <v>948357.56896551745</v>
      </c>
      <c r="F368" s="133">
        <f t="shared" si="188"/>
        <v>2535877.6413793103</v>
      </c>
      <c r="G368" s="133">
        <f t="shared" si="188"/>
        <v>2592485.975172414</v>
      </c>
      <c r="H368" s="133">
        <f t="shared" si="188"/>
        <v>1972538.2220689659</v>
      </c>
      <c r="I368" s="133">
        <f>SUM(B368:H368)</f>
        <v>10563660.211724138</v>
      </c>
      <c r="J368" s="629">
        <f t="shared" ref="J368:J373" si="189">+$I368/7</f>
        <v>1509094.3159605912</v>
      </c>
      <c r="K368"/>
      <c r="L368"/>
      <c r="M368"/>
      <c r="N368"/>
      <c r="O368"/>
      <c r="P368"/>
      <c r="Q368"/>
      <c r="R368"/>
      <c r="S368"/>
      <c r="T368"/>
      <c r="U368"/>
      <c r="V368"/>
      <c r="W368"/>
      <c r="X368"/>
      <c r="Y368"/>
      <c r="Z368"/>
      <c r="AA368"/>
      <c r="AB368"/>
      <c r="AC368"/>
      <c r="AD368"/>
      <c r="AE368"/>
      <c r="AF368"/>
      <c r="AY368" s="465"/>
    </row>
    <row r="369" spans="1:51" x14ac:dyDescent="0.25">
      <c r="A369" s="622" t="s">
        <v>26</v>
      </c>
      <c r="B369" s="255">
        <f t="shared" ref="B369:H369" si="190">B373*B362</f>
        <v>0</v>
      </c>
      <c r="C369" s="133">
        <f t="shared" si="190"/>
        <v>0</v>
      </c>
      <c r="D369" s="133">
        <f t="shared" si="190"/>
        <v>0</v>
      </c>
      <c r="E369" s="133">
        <f t="shared" si="190"/>
        <v>0</v>
      </c>
      <c r="F369" s="133">
        <f t="shared" si="190"/>
        <v>98800.427586206904</v>
      </c>
      <c r="G369" s="133">
        <f t="shared" si="190"/>
        <v>0</v>
      </c>
      <c r="H369" s="133">
        <f t="shared" si="190"/>
        <v>0</v>
      </c>
      <c r="I369" s="133">
        <f>SUM(B369:H369)</f>
        <v>98800.427586206904</v>
      </c>
      <c r="J369" s="629">
        <f t="shared" si="189"/>
        <v>14114.346798029557</v>
      </c>
      <c r="K369"/>
      <c r="L369"/>
      <c r="M369"/>
      <c r="N369"/>
      <c r="O369"/>
      <c r="P369"/>
      <c r="Q369"/>
      <c r="R369"/>
      <c r="S369"/>
      <c r="T369"/>
      <c r="U369"/>
      <c r="V369"/>
      <c r="W369"/>
      <c r="X369"/>
      <c r="Y369"/>
      <c r="Z369"/>
      <c r="AA369"/>
      <c r="AB369"/>
      <c r="AC369"/>
      <c r="AD369"/>
      <c r="AE369"/>
      <c r="AF369"/>
      <c r="AY369" s="465"/>
    </row>
    <row r="370" spans="1:51" x14ac:dyDescent="0.25">
      <c r="A370" s="622" t="s">
        <v>27</v>
      </c>
      <c r="B370" s="255">
        <f t="shared" ref="B370:H370" si="191">B373*B363</f>
        <v>363538.94689655176</v>
      </c>
      <c r="C370" s="133">
        <f t="shared" si="191"/>
        <v>545180.64206896559</v>
      </c>
      <c r="D370" s="133">
        <f t="shared" si="191"/>
        <v>329352.02068965515</v>
      </c>
      <c r="E370" s="133">
        <f t="shared" si="191"/>
        <v>227605.81655172416</v>
      </c>
      <c r="F370" s="133">
        <f t="shared" si="191"/>
        <v>494002.13793103449</v>
      </c>
      <c r="G370" s="133">
        <f t="shared" si="191"/>
        <v>792148.49241379311</v>
      </c>
      <c r="H370" s="133">
        <f t="shared" si="191"/>
        <v>986269.11103448295</v>
      </c>
      <c r="I370" s="133">
        <f>SUM(B370:H370)</f>
        <v>3738097.1675862074</v>
      </c>
      <c r="J370" s="629">
        <f t="shared" si="189"/>
        <v>534013.88108374388</v>
      </c>
      <c r="K370"/>
      <c r="L370"/>
      <c r="M370"/>
      <c r="N370"/>
      <c r="O370"/>
      <c r="P370"/>
      <c r="Q370"/>
      <c r="R370"/>
      <c r="S370"/>
      <c r="T370"/>
      <c r="U370"/>
      <c r="V370"/>
      <c r="W370"/>
      <c r="X370"/>
      <c r="Y370"/>
      <c r="Z370"/>
      <c r="AA370"/>
      <c r="AB370"/>
      <c r="AC370"/>
      <c r="AD370"/>
      <c r="AE370"/>
      <c r="AF370"/>
      <c r="AY370" s="465"/>
    </row>
    <row r="371" spans="1:51" x14ac:dyDescent="0.25">
      <c r="A371" s="622" t="s">
        <v>28</v>
      </c>
      <c r="B371" s="255">
        <f t="shared" ref="B371:H371" si="192">B373*B364</f>
        <v>44065.326896551727</v>
      </c>
      <c r="C371" s="133">
        <f t="shared" si="192"/>
        <v>33041.251034482761</v>
      </c>
      <c r="D371" s="133">
        <f t="shared" si="192"/>
        <v>21956.801379310346</v>
      </c>
      <c r="E371" s="133">
        <f t="shared" si="192"/>
        <v>88513.373103448292</v>
      </c>
      <c r="F371" s="133">
        <f t="shared" si="192"/>
        <v>164667.37931034484</v>
      </c>
      <c r="G371" s="133">
        <f t="shared" si="192"/>
        <v>216040.49793103448</v>
      </c>
      <c r="H371" s="133">
        <f t="shared" si="192"/>
        <v>0</v>
      </c>
      <c r="I371" s="133">
        <f>SUM(B371:H371)</f>
        <v>568284.62965517235</v>
      </c>
      <c r="J371" s="629">
        <f t="shared" si="189"/>
        <v>81183.518522167476</v>
      </c>
      <c r="K371"/>
      <c r="L371"/>
      <c r="M371"/>
      <c r="N371"/>
      <c r="O371"/>
      <c r="P371"/>
      <c r="Q371"/>
      <c r="R371"/>
      <c r="S371"/>
      <c r="T371"/>
      <c r="U371"/>
      <c r="V371"/>
      <c r="W371"/>
      <c r="X371"/>
      <c r="Y371"/>
      <c r="Z371"/>
      <c r="AA371"/>
      <c r="AB371"/>
      <c r="AC371"/>
      <c r="AD371"/>
      <c r="AE371"/>
      <c r="AF371"/>
      <c r="AY371" s="465"/>
    </row>
    <row r="372" spans="1:51" x14ac:dyDescent="0.25">
      <c r="A372" s="622" t="s">
        <v>29</v>
      </c>
      <c r="B372" s="255">
        <f t="shared" ref="B372:H372" si="193">B373*B365</f>
        <v>0</v>
      </c>
      <c r="C372" s="133">
        <f t="shared" si="193"/>
        <v>0</v>
      </c>
      <c r="D372" s="133">
        <f t="shared" si="193"/>
        <v>0</v>
      </c>
      <c r="E372" s="133">
        <f t="shared" si="193"/>
        <v>0</v>
      </c>
      <c r="F372" s="133">
        <f t="shared" si="193"/>
        <v>0</v>
      </c>
      <c r="G372" s="133">
        <f t="shared" si="193"/>
        <v>0</v>
      </c>
      <c r="H372" s="133">
        <f t="shared" si="193"/>
        <v>29886.942758620695</v>
      </c>
      <c r="I372" s="133">
        <f>SUM(B372:H372)</f>
        <v>29886.942758620695</v>
      </c>
      <c r="J372" s="629">
        <f t="shared" si="189"/>
        <v>4269.5632512315278</v>
      </c>
      <c r="K372"/>
      <c r="L372"/>
      <c r="M372"/>
      <c r="N372"/>
      <c r="O372"/>
      <c r="P372"/>
      <c r="Q372"/>
      <c r="R372"/>
      <c r="S372"/>
      <c r="T372"/>
      <c r="U372"/>
      <c r="V372"/>
      <c r="W372"/>
      <c r="X372"/>
      <c r="Y372"/>
      <c r="Z372"/>
      <c r="AA372"/>
      <c r="AB372"/>
      <c r="AC372"/>
      <c r="AD372"/>
      <c r="AE372"/>
      <c r="AF372"/>
      <c r="AY372" s="465"/>
    </row>
    <row r="373" spans="1:51" x14ac:dyDescent="0.25">
      <c r="A373" s="630" t="s">
        <v>30</v>
      </c>
      <c r="B373" s="410">
        <f>(1342300/1.16)-B374</f>
        <v>1101633.1724137932</v>
      </c>
      <c r="C373" s="410">
        <f>(2003200/1.16)-C374</f>
        <v>1652062.551724138</v>
      </c>
      <c r="D373" s="410">
        <f>(1337900/1.16)-D374</f>
        <v>1097840.0689655172</v>
      </c>
      <c r="E373" s="410">
        <f>(1548000/1.16)-E374</f>
        <v>1264476.7586206899</v>
      </c>
      <c r="F373" s="410">
        <f>(4016300/1.16)-F374</f>
        <v>3293347.5862068967</v>
      </c>
      <c r="G373" s="410">
        <f>(4375600/1.16)-G374</f>
        <v>3600674.9655172415</v>
      </c>
      <c r="H373" s="410">
        <f>(3637700/1.16)-H374</f>
        <v>2988694.2758620693</v>
      </c>
      <c r="I373" s="136">
        <f>SUM(I368:I372)</f>
        <v>14998729.379310345</v>
      </c>
      <c r="J373" s="631">
        <f t="shared" si="189"/>
        <v>2142675.6256157635</v>
      </c>
      <c r="K373"/>
      <c r="L373"/>
      <c r="M373"/>
      <c r="N373"/>
      <c r="O373"/>
      <c r="P373"/>
      <c r="Q373"/>
      <c r="R373"/>
      <c r="S373"/>
      <c r="T373"/>
      <c r="U373"/>
      <c r="V373"/>
      <c r="W373"/>
      <c r="X373"/>
      <c r="Y373"/>
      <c r="Z373"/>
      <c r="AA373"/>
      <c r="AB373"/>
      <c r="AC373"/>
      <c r="AD373"/>
      <c r="AE373"/>
      <c r="AF373"/>
      <c r="AY373" s="465"/>
    </row>
    <row r="374" spans="1:51" x14ac:dyDescent="0.25">
      <c r="A374" s="622" t="s">
        <v>31</v>
      </c>
      <c r="B374" s="263">
        <f t="shared" ref="B374:H374" si="194">2414*B355</f>
        <v>55522</v>
      </c>
      <c r="C374" s="139">
        <f t="shared" si="194"/>
        <v>74834</v>
      </c>
      <c r="D374" s="139">
        <f t="shared" si="194"/>
        <v>55522</v>
      </c>
      <c r="E374" s="139">
        <f t="shared" si="194"/>
        <v>70006</v>
      </c>
      <c r="F374" s="139">
        <f t="shared" si="194"/>
        <v>168980</v>
      </c>
      <c r="G374" s="139">
        <f t="shared" si="194"/>
        <v>171394</v>
      </c>
      <c r="H374" s="139">
        <f t="shared" si="194"/>
        <v>147254</v>
      </c>
      <c r="I374" s="139">
        <f>I355*2414</f>
        <v>743512</v>
      </c>
      <c r="J374" s="632">
        <f>2155*J355</f>
        <v>94820</v>
      </c>
      <c r="K374"/>
      <c r="L374"/>
      <c r="M374"/>
      <c r="N374"/>
      <c r="O374"/>
      <c r="P374"/>
      <c r="Q374"/>
      <c r="R374"/>
      <c r="S374"/>
      <c r="T374"/>
      <c r="U374"/>
      <c r="V374"/>
      <c r="W374"/>
      <c r="X374"/>
      <c r="Y374"/>
      <c r="Z374"/>
      <c r="AA374"/>
      <c r="AB374"/>
      <c r="AC374"/>
      <c r="AD374"/>
      <c r="AE374"/>
      <c r="AF374"/>
      <c r="AY374" s="465"/>
    </row>
    <row r="375" spans="1:51" x14ac:dyDescent="0.25">
      <c r="A375" s="633" t="s">
        <v>32</v>
      </c>
      <c r="B375" s="411">
        <f t="shared" ref="B375:J375" si="195">B373+B374</f>
        <v>1157155.1724137932</v>
      </c>
      <c r="C375" s="40">
        <f t="shared" si="195"/>
        <v>1726896.551724138</v>
      </c>
      <c r="D375" s="40">
        <f t="shared" si="195"/>
        <v>1153362.0689655172</v>
      </c>
      <c r="E375" s="40">
        <f t="shared" si="195"/>
        <v>1334482.7586206899</v>
      </c>
      <c r="F375" s="40">
        <f t="shared" si="195"/>
        <v>3462327.5862068967</v>
      </c>
      <c r="G375" s="40">
        <f t="shared" si="195"/>
        <v>3772068.9655172415</v>
      </c>
      <c r="H375" s="40">
        <f t="shared" si="195"/>
        <v>3135948.2758620693</v>
      </c>
      <c r="I375" s="40">
        <f t="shared" si="195"/>
        <v>15742241.379310345</v>
      </c>
      <c r="J375" s="634">
        <f t="shared" si="195"/>
        <v>2237495.6256157635</v>
      </c>
      <c r="K375"/>
      <c r="L375"/>
      <c r="M375"/>
      <c r="N375"/>
      <c r="O375"/>
      <c r="P375"/>
      <c r="Q375"/>
      <c r="R375"/>
      <c r="S375"/>
      <c r="T375"/>
      <c r="U375"/>
      <c r="V375"/>
      <c r="W375"/>
      <c r="X375"/>
      <c r="Y375"/>
      <c r="Z375"/>
      <c r="AA375"/>
      <c r="AB375"/>
      <c r="AC375"/>
      <c r="AD375"/>
      <c r="AE375"/>
      <c r="AF375"/>
      <c r="AY375" s="465"/>
    </row>
    <row r="376" spans="1:51" x14ac:dyDescent="0.25">
      <c r="A376" s="622" t="s">
        <v>33</v>
      </c>
      <c r="B376" s="413">
        <f t="shared" ref="B376:J376" si="196">B375*16%</f>
        <v>185144.8275862069</v>
      </c>
      <c r="C376" s="42">
        <f t="shared" si="196"/>
        <v>276303.44827586209</v>
      </c>
      <c r="D376" s="42">
        <f t="shared" si="196"/>
        <v>184537.93103448275</v>
      </c>
      <c r="E376" s="42">
        <f t="shared" si="196"/>
        <v>213517.24137931038</v>
      </c>
      <c r="F376" s="42">
        <f t="shared" si="196"/>
        <v>553972.41379310354</v>
      </c>
      <c r="G376" s="42">
        <f t="shared" si="196"/>
        <v>603531.03448275861</v>
      </c>
      <c r="H376" s="42">
        <f t="shared" si="196"/>
        <v>501751.72413793113</v>
      </c>
      <c r="I376" s="42">
        <f t="shared" si="196"/>
        <v>2518758.6206896552</v>
      </c>
      <c r="J376" s="635">
        <f t="shared" si="196"/>
        <v>357999.30009852216</v>
      </c>
      <c r="K376"/>
      <c r="L376"/>
      <c r="M376"/>
      <c r="N376"/>
      <c r="O376"/>
      <c r="P376"/>
      <c r="Q376"/>
      <c r="R376"/>
      <c r="S376"/>
      <c r="T376"/>
      <c r="U376"/>
      <c r="V376"/>
      <c r="W376"/>
      <c r="X376"/>
      <c r="Y376"/>
      <c r="Z376"/>
      <c r="AA376"/>
      <c r="AB376"/>
      <c r="AC376"/>
      <c r="AD376"/>
      <c r="AE376"/>
      <c r="AF376"/>
      <c r="AY376" s="465"/>
    </row>
    <row r="377" spans="1:51" ht="15.75" thickBot="1" x14ac:dyDescent="0.3">
      <c r="A377" s="636" t="s">
        <v>34</v>
      </c>
      <c r="B377" s="637">
        <f t="shared" ref="B377:I377" si="197">B375+B376</f>
        <v>1342300</v>
      </c>
      <c r="C377" s="638">
        <f t="shared" si="197"/>
        <v>2003200</v>
      </c>
      <c r="D377" s="638">
        <f t="shared" si="197"/>
        <v>1337900</v>
      </c>
      <c r="E377" s="638">
        <f t="shared" si="197"/>
        <v>1548000.0000000002</v>
      </c>
      <c r="F377" s="638">
        <f t="shared" si="197"/>
        <v>4016300</v>
      </c>
      <c r="G377" s="638">
        <f t="shared" si="197"/>
        <v>4375600</v>
      </c>
      <c r="H377" s="638">
        <f t="shared" si="197"/>
        <v>3637700.0000000005</v>
      </c>
      <c r="I377" s="638">
        <f t="shared" si="197"/>
        <v>18261000</v>
      </c>
      <c r="J377" s="639">
        <f>+$I377/7</f>
        <v>2608714.2857142859</v>
      </c>
      <c r="K377"/>
      <c r="L377"/>
      <c r="M377"/>
      <c r="N377"/>
      <c r="O377"/>
      <c r="P377"/>
      <c r="Q377"/>
      <c r="R377"/>
      <c r="S377"/>
      <c r="T377"/>
      <c r="U377"/>
      <c r="V377"/>
      <c r="W377"/>
      <c r="X377"/>
      <c r="Y377"/>
      <c r="Z377"/>
      <c r="AA377"/>
      <c r="AB377"/>
      <c r="AC377"/>
      <c r="AD377"/>
      <c r="AE377"/>
      <c r="AF377"/>
      <c r="AY377" s="465"/>
    </row>
    <row r="378" spans="1:51" ht="15.75" thickBot="1" x14ac:dyDescent="0.3">
      <c r="K378"/>
      <c r="L378"/>
      <c r="M378"/>
      <c r="N378"/>
      <c r="O378"/>
      <c r="P378"/>
      <c r="Q378"/>
      <c r="R378"/>
      <c r="S378"/>
      <c r="T378"/>
      <c r="U378"/>
      <c r="V378"/>
      <c r="W378"/>
      <c r="X378"/>
      <c r="Y378"/>
      <c r="Z378"/>
      <c r="AA378"/>
      <c r="AB378"/>
      <c r="AC378"/>
      <c r="AD378"/>
      <c r="AE378"/>
      <c r="AF378"/>
      <c r="AY378" s="465"/>
    </row>
    <row r="379" spans="1:51" ht="27" thickBot="1" x14ac:dyDescent="0.3">
      <c r="A379" s="85"/>
      <c r="B379" s="1002" t="s">
        <v>146</v>
      </c>
      <c r="C379" s="1002"/>
      <c r="D379" s="1002"/>
      <c r="E379" s="1002"/>
      <c r="F379" s="1002"/>
      <c r="G379" s="1002"/>
      <c r="H379" s="1002"/>
      <c r="I379" s="1002"/>
      <c r="J379" s="85"/>
      <c r="K379"/>
      <c r="L379"/>
      <c r="M379"/>
      <c r="N379"/>
      <c r="O379"/>
      <c r="P379"/>
      <c r="Q379"/>
      <c r="R379"/>
      <c r="S379"/>
      <c r="T379"/>
      <c r="U379"/>
      <c r="V379"/>
      <c r="W379"/>
      <c r="X379"/>
      <c r="Y379"/>
      <c r="Z379"/>
      <c r="AA379"/>
      <c r="AB379"/>
      <c r="AC379"/>
      <c r="AD379"/>
      <c r="AE379"/>
      <c r="AF379"/>
      <c r="AY379" s="465"/>
    </row>
    <row r="380" spans="1:51" ht="15.75" x14ac:dyDescent="0.25">
      <c r="A380" s="614" t="s">
        <v>2</v>
      </c>
      <c r="B380" s="706" t="s">
        <v>241</v>
      </c>
      <c r="C380" s="641" t="s">
        <v>255</v>
      </c>
      <c r="D380" s="641" t="s">
        <v>256</v>
      </c>
      <c r="E380" s="641" t="s">
        <v>324</v>
      </c>
      <c r="F380" s="641" t="s">
        <v>325</v>
      </c>
      <c r="G380" s="641" t="s">
        <v>326</v>
      </c>
      <c r="H380" s="641" t="s">
        <v>327</v>
      </c>
      <c r="I380" s="618" t="s">
        <v>10</v>
      </c>
      <c r="J380" s="619" t="s">
        <v>77</v>
      </c>
      <c r="K380"/>
      <c r="L380"/>
      <c r="M380"/>
      <c r="N380"/>
      <c r="O380"/>
      <c r="P380"/>
      <c r="Q380"/>
      <c r="R380"/>
      <c r="S380"/>
      <c r="T380"/>
      <c r="U380"/>
      <c r="V380"/>
      <c r="W380"/>
      <c r="X380"/>
      <c r="Y380"/>
      <c r="Z380"/>
      <c r="AA380"/>
      <c r="AB380"/>
      <c r="AC380"/>
      <c r="AD380"/>
      <c r="AE380"/>
      <c r="AF380"/>
      <c r="AY380" s="465"/>
    </row>
    <row r="381" spans="1:51" x14ac:dyDescent="0.25">
      <c r="A381" s="620" t="s">
        <v>11</v>
      </c>
      <c r="B381" s="431">
        <f>42+17+11</f>
        <v>70</v>
      </c>
      <c r="C381" s="432">
        <f>70+22+9</f>
        <v>101</v>
      </c>
      <c r="D381" s="505">
        <f>70+28+9</f>
        <v>107</v>
      </c>
      <c r="E381" s="432">
        <f>97+27+9</f>
        <v>133</v>
      </c>
      <c r="F381" s="432">
        <f>117+40+19</f>
        <v>176</v>
      </c>
      <c r="G381" s="432">
        <f>112+56+25</f>
        <v>193</v>
      </c>
      <c r="H381" s="432">
        <f>90+50+20</f>
        <v>160</v>
      </c>
      <c r="I381" s="432">
        <f t="shared" ref="I381:I386" si="198">SUM(B381:H381)</f>
        <v>940</v>
      </c>
      <c r="J381" s="621">
        <f t="shared" ref="J381:J387" si="199">+$I381/7</f>
        <v>134.28571428571428</v>
      </c>
      <c r="K381"/>
      <c r="L381"/>
      <c r="M381"/>
      <c r="N381"/>
      <c r="O381"/>
      <c r="P381"/>
      <c r="Q381"/>
      <c r="R381"/>
      <c r="S381"/>
      <c r="T381"/>
      <c r="U381"/>
      <c r="V381"/>
      <c r="W381"/>
      <c r="X381"/>
      <c r="Y381"/>
      <c r="Z381"/>
      <c r="AA381"/>
      <c r="AB381"/>
      <c r="AC381"/>
      <c r="AD381"/>
      <c r="AE381"/>
      <c r="AF381"/>
      <c r="AY381" s="465"/>
    </row>
    <row r="382" spans="1:51" x14ac:dyDescent="0.25">
      <c r="A382" s="622" t="s">
        <v>12</v>
      </c>
      <c r="B382" s="233">
        <v>27</v>
      </c>
      <c r="C382" s="13">
        <v>24</v>
      </c>
      <c r="D382" s="13">
        <v>37</v>
      </c>
      <c r="E382" s="13">
        <v>39</v>
      </c>
      <c r="F382" s="13">
        <v>70</v>
      </c>
      <c r="G382" s="320">
        <v>84</v>
      </c>
      <c r="H382" s="13">
        <v>95</v>
      </c>
      <c r="I382" s="13">
        <f t="shared" si="198"/>
        <v>376</v>
      </c>
      <c r="J382" s="623">
        <f t="shared" si="199"/>
        <v>53.714285714285715</v>
      </c>
      <c r="K382"/>
      <c r="L382"/>
      <c r="M382"/>
      <c r="N382"/>
      <c r="O382"/>
      <c r="P382"/>
      <c r="Q382"/>
      <c r="R382"/>
      <c r="S382"/>
      <c r="T382"/>
      <c r="U382"/>
      <c r="V382"/>
      <c r="W382"/>
      <c r="X382"/>
      <c r="Y382"/>
      <c r="Z382"/>
      <c r="AA382"/>
      <c r="AB382"/>
      <c r="AC382"/>
      <c r="AD382"/>
      <c r="AE382"/>
      <c r="AF382"/>
      <c r="AY382" s="465"/>
    </row>
    <row r="383" spans="1:51" x14ac:dyDescent="0.25">
      <c r="A383" s="622" t="s">
        <v>13</v>
      </c>
      <c r="B383" s="233">
        <v>1</v>
      </c>
      <c r="C383" s="13">
        <v>0</v>
      </c>
      <c r="D383" s="13">
        <v>1</v>
      </c>
      <c r="E383" s="13">
        <v>1</v>
      </c>
      <c r="F383" s="13">
        <v>0</v>
      </c>
      <c r="G383" s="13">
        <v>1</v>
      </c>
      <c r="H383" s="13">
        <v>2</v>
      </c>
      <c r="I383" s="13">
        <f t="shared" si="198"/>
        <v>6</v>
      </c>
      <c r="J383" s="623">
        <f t="shared" si="199"/>
        <v>0.8571428571428571</v>
      </c>
      <c r="K383"/>
      <c r="L383"/>
      <c r="M383"/>
      <c r="N383"/>
      <c r="O383"/>
      <c r="P383"/>
      <c r="Q383"/>
      <c r="R383"/>
      <c r="S383"/>
      <c r="T383"/>
      <c r="U383"/>
      <c r="V383"/>
      <c r="W383"/>
      <c r="X383"/>
      <c r="Y383"/>
      <c r="Z383"/>
      <c r="AA383"/>
      <c r="AB383"/>
      <c r="AC383"/>
      <c r="AD383"/>
      <c r="AE383"/>
      <c r="AF383"/>
      <c r="AY383" s="465"/>
    </row>
    <row r="384" spans="1:51" x14ac:dyDescent="0.25">
      <c r="A384" s="622" t="s">
        <v>14</v>
      </c>
      <c r="B384" s="233">
        <v>15</v>
      </c>
      <c r="C384" s="13">
        <v>16</v>
      </c>
      <c r="D384" s="13">
        <v>23</v>
      </c>
      <c r="E384" s="13">
        <v>24</v>
      </c>
      <c r="F384" s="13">
        <v>28</v>
      </c>
      <c r="G384" s="13">
        <v>54</v>
      </c>
      <c r="H384" s="13">
        <v>21</v>
      </c>
      <c r="I384" s="13">
        <f t="shared" si="198"/>
        <v>181</v>
      </c>
      <c r="J384" s="623">
        <f t="shared" si="199"/>
        <v>25.857142857142858</v>
      </c>
      <c r="K384"/>
      <c r="L384"/>
      <c r="M384"/>
      <c r="N384"/>
      <c r="O384"/>
      <c r="P384"/>
      <c r="Q384"/>
      <c r="R384"/>
      <c r="S384"/>
      <c r="T384"/>
      <c r="U384"/>
      <c r="V384"/>
      <c r="W384"/>
      <c r="X384"/>
      <c r="Y384"/>
      <c r="Z384"/>
      <c r="AA384"/>
      <c r="AB384"/>
      <c r="AC384"/>
      <c r="AD384"/>
      <c r="AE384"/>
      <c r="AF384"/>
      <c r="AY384" s="465"/>
    </row>
    <row r="385" spans="1:51" x14ac:dyDescent="0.25">
      <c r="A385" s="622" t="s">
        <v>15</v>
      </c>
      <c r="B385" s="233">
        <v>4</v>
      </c>
      <c r="C385" s="13">
        <v>2</v>
      </c>
      <c r="D385" s="13">
        <v>4</v>
      </c>
      <c r="E385" s="13">
        <v>0</v>
      </c>
      <c r="F385" s="13">
        <v>2</v>
      </c>
      <c r="G385" s="13">
        <v>3</v>
      </c>
      <c r="H385" s="13">
        <v>5</v>
      </c>
      <c r="I385" s="13">
        <f t="shared" si="198"/>
        <v>20</v>
      </c>
      <c r="J385" s="623">
        <f t="shared" si="199"/>
        <v>2.8571428571428572</v>
      </c>
      <c r="K385"/>
      <c r="L385"/>
      <c r="M385"/>
      <c r="N385"/>
      <c r="O385"/>
      <c r="P385"/>
      <c r="Q385"/>
      <c r="R385"/>
      <c r="S385"/>
      <c r="T385"/>
      <c r="U385"/>
      <c r="V385"/>
      <c r="W385"/>
      <c r="X385"/>
      <c r="Y385"/>
      <c r="Z385"/>
      <c r="AA385"/>
      <c r="AB385"/>
      <c r="AC385"/>
      <c r="AD385"/>
      <c r="AE385"/>
      <c r="AF385"/>
      <c r="AY385" s="465"/>
    </row>
    <row r="386" spans="1:51" x14ac:dyDescent="0.25">
      <c r="A386" s="622" t="s">
        <v>16</v>
      </c>
      <c r="B386" s="233">
        <v>1</v>
      </c>
      <c r="C386" s="13">
        <v>0</v>
      </c>
      <c r="D386" s="13">
        <v>0</v>
      </c>
      <c r="E386" s="13">
        <v>0</v>
      </c>
      <c r="F386" s="13">
        <v>0</v>
      </c>
      <c r="G386" s="13">
        <v>1</v>
      </c>
      <c r="H386" s="13">
        <v>0</v>
      </c>
      <c r="I386" s="13">
        <f t="shared" si="198"/>
        <v>2</v>
      </c>
      <c r="J386" s="623">
        <f t="shared" si="199"/>
        <v>0.2857142857142857</v>
      </c>
      <c r="K386"/>
      <c r="L386"/>
      <c r="M386"/>
      <c r="N386"/>
      <c r="O386"/>
      <c r="P386"/>
      <c r="Q386"/>
      <c r="R386"/>
      <c r="S386"/>
      <c r="T386"/>
      <c r="U386"/>
      <c r="V386"/>
      <c r="W386"/>
      <c r="X386"/>
      <c r="Y386"/>
      <c r="Z386"/>
      <c r="AA386"/>
      <c r="AB386"/>
      <c r="AC386"/>
      <c r="AD386"/>
      <c r="AE386"/>
      <c r="AF386"/>
      <c r="AY386" s="465"/>
    </row>
    <row r="387" spans="1:51" x14ac:dyDescent="0.25">
      <c r="A387" s="624" t="s">
        <v>17</v>
      </c>
      <c r="B387" s="102">
        <f t="shared" ref="B387:H387" si="200">SUM(B382:B386)</f>
        <v>48</v>
      </c>
      <c r="C387" s="79">
        <f t="shared" si="200"/>
        <v>42</v>
      </c>
      <c r="D387" s="79">
        <f t="shared" si="200"/>
        <v>65</v>
      </c>
      <c r="E387" s="79">
        <f t="shared" si="200"/>
        <v>64</v>
      </c>
      <c r="F387" s="79">
        <f t="shared" si="200"/>
        <v>100</v>
      </c>
      <c r="G387" s="79">
        <f t="shared" si="200"/>
        <v>143</v>
      </c>
      <c r="H387" s="79">
        <f t="shared" si="200"/>
        <v>123</v>
      </c>
      <c r="I387" s="79">
        <f>SUM(I382:I386)</f>
        <v>585</v>
      </c>
      <c r="J387" s="625">
        <f t="shared" si="199"/>
        <v>83.571428571428569</v>
      </c>
      <c r="K387"/>
      <c r="L387"/>
      <c r="M387"/>
      <c r="N387"/>
      <c r="O387"/>
      <c r="P387"/>
      <c r="Q387"/>
      <c r="R387"/>
      <c r="S387"/>
      <c r="T387"/>
      <c r="U387"/>
      <c r="V387"/>
      <c r="W387"/>
      <c r="X387"/>
      <c r="Y387"/>
      <c r="Z387"/>
      <c r="AA387"/>
      <c r="AB387"/>
      <c r="AC387"/>
      <c r="AD387"/>
      <c r="AE387"/>
      <c r="AF387"/>
      <c r="AY387" s="465"/>
    </row>
    <row r="388" spans="1:51" x14ac:dyDescent="0.25">
      <c r="A388" s="622" t="s">
        <v>18</v>
      </c>
      <c r="B388" s="406">
        <v>0.63</v>
      </c>
      <c r="C388" s="19">
        <v>0.4</v>
      </c>
      <c r="D388" s="19">
        <v>0.51</v>
      </c>
      <c r="E388" s="19">
        <v>0.55000000000000004</v>
      </c>
      <c r="F388" s="19">
        <v>0.69</v>
      </c>
      <c r="G388" s="19">
        <v>0.66</v>
      </c>
      <c r="H388" s="19">
        <v>0.83</v>
      </c>
      <c r="I388" s="19">
        <f>I395/I400</f>
        <v>0.63935501722782306</v>
      </c>
      <c r="J388" s="626">
        <f>J395/J400</f>
        <v>0.63935501722782306</v>
      </c>
      <c r="K388"/>
      <c r="L388"/>
      <c r="M388"/>
      <c r="N388"/>
      <c r="O388"/>
      <c r="P388"/>
      <c r="Q388"/>
      <c r="R388"/>
      <c r="S388"/>
      <c r="T388"/>
      <c r="U388"/>
      <c r="V388"/>
      <c r="W388"/>
      <c r="X388"/>
      <c r="Y388"/>
      <c r="Z388"/>
      <c r="AA388"/>
      <c r="AB388"/>
      <c r="AC388"/>
      <c r="AD388"/>
      <c r="AE388"/>
      <c r="AF388"/>
      <c r="AY388" s="465"/>
    </row>
    <row r="389" spans="1:51" x14ac:dyDescent="0.25">
      <c r="A389" s="622" t="s">
        <v>19</v>
      </c>
      <c r="B389" s="406">
        <v>7.0000000000000007E-2</v>
      </c>
      <c r="C389" s="19">
        <v>0</v>
      </c>
      <c r="D389" s="19">
        <v>0.03</v>
      </c>
      <c r="E389" s="19">
        <v>0.01</v>
      </c>
      <c r="F389" s="19">
        <v>0</v>
      </c>
      <c r="G389" s="19">
        <v>0.01</v>
      </c>
      <c r="H389" s="19">
        <v>0</v>
      </c>
      <c r="I389" s="19">
        <f>I396/I400</f>
        <v>1.2210932449659748E-2</v>
      </c>
      <c r="J389" s="626">
        <f>J396/J400</f>
        <v>1.2210932449659749E-2</v>
      </c>
      <c r="K389"/>
      <c r="L389"/>
      <c r="M389"/>
      <c r="N389"/>
      <c r="O389"/>
      <c r="P389"/>
      <c r="Q389"/>
      <c r="R389"/>
      <c r="S389"/>
      <c r="T389"/>
      <c r="U389"/>
      <c r="V389"/>
      <c r="W389"/>
      <c r="X389"/>
      <c r="Y389"/>
      <c r="Z389"/>
      <c r="AA389"/>
      <c r="AB389"/>
      <c r="AC389"/>
      <c r="AD389"/>
      <c r="AE389"/>
      <c r="AF389"/>
      <c r="AY389" s="465"/>
    </row>
    <row r="390" spans="1:51" x14ac:dyDescent="0.25">
      <c r="A390" s="622" t="s">
        <v>20</v>
      </c>
      <c r="B390" s="406">
        <v>0.21</v>
      </c>
      <c r="C390" s="19">
        <v>0.56999999999999995</v>
      </c>
      <c r="D390" s="19">
        <v>0.4</v>
      </c>
      <c r="E390" s="19">
        <v>0.44</v>
      </c>
      <c r="F390" s="19">
        <v>0.3</v>
      </c>
      <c r="G390" s="19">
        <v>0.31</v>
      </c>
      <c r="H390" s="19">
        <v>0.13</v>
      </c>
      <c r="I390" s="19">
        <f>I397/I400</f>
        <v>0.31849176335461388</v>
      </c>
      <c r="J390" s="626">
        <f>J397/J400</f>
        <v>0.31849176335461388</v>
      </c>
      <c r="K390"/>
      <c r="L390"/>
      <c r="M390"/>
      <c r="N390"/>
      <c r="O390"/>
      <c r="P390"/>
      <c r="Q390"/>
      <c r="R390"/>
      <c r="S390"/>
      <c r="T390"/>
      <c r="U390"/>
      <c r="V390"/>
      <c r="W390"/>
      <c r="X390"/>
      <c r="Y390"/>
      <c r="Z390"/>
      <c r="AA390"/>
      <c r="AB390"/>
      <c r="AC390"/>
      <c r="AD390"/>
      <c r="AE390"/>
      <c r="AF390"/>
      <c r="AY390" s="465"/>
    </row>
    <row r="391" spans="1:51" x14ac:dyDescent="0.25">
      <c r="A391" s="622" t="s">
        <v>21</v>
      </c>
      <c r="B391" s="406">
        <v>0.05</v>
      </c>
      <c r="C391" s="19">
        <v>0.03</v>
      </c>
      <c r="D391" s="19">
        <v>0.06</v>
      </c>
      <c r="E391" s="19">
        <v>0</v>
      </c>
      <c r="F391" s="19">
        <v>0.01</v>
      </c>
      <c r="G391" s="19">
        <v>0.01</v>
      </c>
      <c r="H391" s="19">
        <v>0.04</v>
      </c>
      <c r="I391" s="19">
        <f>I398/I400</f>
        <v>2.4548926137725652E-2</v>
      </c>
      <c r="J391" s="626">
        <f>J398/J400</f>
        <v>2.4548926137725652E-2</v>
      </c>
      <c r="K391"/>
      <c r="L391"/>
      <c r="M391"/>
      <c r="N391"/>
      <c r="O391"/>
      <c r="P391"/>
      <c r="Q391"/>
      <c r="R391"/>
      <c r="S391"/>
      <c r="T391"/>
      <c r="U391"/>
      <c r="V391"/>
      <c r="W391"/>
      <c r="X391"/>
      <c r="Y391"/>
      <c r="Z391"/>
      <c r="AA391"/>
      <c r="AB391"/>
      <c r="AC391"/>
      <c r="AD391"/>
      <c r="AE391"/>
      <c r="AF391"/>
      <c r="AY391" s="465"/>
    </row>
    <row r="392" spans="1:51" x14ac:dyDescent="0.25">
      <c r="A392" s="622" t="s">
        <v>22</v>
      </c>
      <c r="B392" s="406">
        <v>0.04</v>
      </c>
      <c r="C392" s="19">
        <v>0</v>
      </c>
      <c r="D392" s="19">
        <v>0</v>
      </c>
      <c r="E392" s="19">
        <v>0</v>
      </c>
      <c r="F392" s="19">
        <v>0</v>
      </c>
      <c r="G392" s="19">
        <v>0.01</v>
      </c>
      <c r="H392" s="19">
        <v>0</v>
      </c>
      <c r="I392" s="19">
        <f>I399/I400</f>
        <v>5.3933608301776938E-3</v>
      </c>
      <c r="J392" s="626">
        <f>J399/J400</f>
        <v>5.3933608301776938E-3</v>
      </c>
      <c r="K392"/>
      <c r="L392"/>
      <c r="M392"/>
      <c r="N392"/>
      <c r="O392"/>
      <c r="P392"/>
      <c r="Q392"/>
      <c r="R392"/>
      <c r="S392"/>
      <c r="T392"/>
      <c r="U392"/>
      <c r="V392"/>
      <c r="W392"/>
      <c r="X392"/>
      <c r="Y392"/>
      <c r="Z392"/>
      <c r="AA392"/>
      <c r="AB392"/>
      <c r="AC392"/>
      <c r="AD392"/>
      <c r="AE392"/>
      <c r="AF392"/>
      <c r="AY392" s="465"/>
    </row>
    <row r="393" spans="1:51" x14ac:dyDescent="0.25">
      <c r="A393" s="627" t="s">
        <v>23</v>
      </c>
      <c r="B393" s="409">
        <f t="shared" ref="B393:J393" si="201">B404/B387</f>
        <v>39731.25</v>
      </c>
      <c r="C393" s="131">
        <f t="shared" si="201"/>
        <v>54907.142857142855</v>
      </c>
      <c r="D393" s="131">
        <f t="shared" si="201"/>
        <v>40047.692307692305</v>
      </c>
      <c r="E393" s="131">
        <f t="shared" si="201"/>
        <v>49173.4375</v>
      </c>
      <c r="F393" s="131">
        <f t="shared" si="201"/>
        <v>44306</v>
      </c>
      <c r="G393" s="131">
        <f t="shared" si="201"/>
        <v>39099.3006993007</v>
      </c>
      <c r="H393" s="131">
        <f t="shared" si="201"/>
        <v>37249.593495934969</v>
      </c>
      <c r="I393" s="131">
        <f t="shared" si="201"/>
        <v>41994.700854700852</v>
      </c>
      <c r="J393" s="628">
        <f t="shared" si="201"/>
        <v>41994.700854700852</v>
      </c>
      <c r="K393"/>
      <c r="L393"/>
      <c r="M393"/>
      <c r="N393"/>
      <c r="O393"/>
      <c r="P393"/>
      <c r="Q393"/>
      <c r="R393"/>
      <c r="S393"/>
      <c r="T393"/>
      <c r="U393"/>
      <c r="V393"/>
      <c r="W393"/>
      <c r="X393"/>
      <c r="Y393"/>
      <c r="Z393"/>
      <c r="AA393"/>
      <c r="AB393"/>
      <c r="AC393"/>
      <c r="AD393"/>
      <c r="AE393"/>
      <c r="AF393"/>
      <c r="AY393" s="465"/>
    </row>
    <row r="394" spans="1:51" x14ac:dyDescent="0.25">
      <c r="A394" s="627" t="s">
        <v>24</v>
      </c>
      <c r="B394" s="409">
        <f t="shared" ref="B394:J394" si="202">B404/B381</f>
        <v>27244.285714285714</v>
      </c>
      <c r="C394" s="131">
        <f t="shared" si="202"/>
        <v>22832.673267326732</v>
      </c>
      <c r="D394" s="131">
        <f t="shared" si="202"/>
        <v>24328.037383177569</v>
      </c>
      <c r="E394" s="131">
        <f t="shared" si="202"/>
        <v>23662.406015037595</v>
      </c>
      <c r="F394" s="131">
        <f t="shared" si="202"/>
        <v>25173.863636363636</v>
      </c>
      <c r="G394" s="131">
        <f t="shared" si="202"/>
        <v>28969.948186528498</v>
      </c>
      <c r="H394" s="131">
        <f t="shared" si="202"/>
        <v>28635.625000000007</v>
      </c>
      <c r="I394" s="131">
        <f t="shared" si="202"/>
        <v>26135</v>
      </c>
      <c r="J394" s="628">
        <f t="shared" si="202"/>
        <v>26135</v>
      </c>
      <c r="K394"/>
      <c r="L394"/>
      <c r="M394"/>
      <c r="N394"/>
      <c r="O394"/>
      <c r="P394"/>
      <c r="Q394"/>
      <c r="R394"/>
      <c r="S394"/>
      <c r="T394"/>
      <c r="U394"/>
      <c r="V394"/>
      <c r="W394"/>
      <c r="X394"/>
      <c r="Y394"/>
      <c r="Z394"/>
      <c r="AA394"/>
      <c r="AB394"/>
      <c r="AC394"/>
      <c r="AD394"/>
      <c r="AE394"/>
      <c r="AF394"/>
      <c r="AY394" s="465"/>
    </row>
    <row r="395" spans="1:51" x14ac:dyDescent="0.25">
      <c r="A395" s="622" t="s">
        <v>25</v>
      </c>
      <c r="B395" s="255">
        <f t="shared" ref="B395:H395" si="203">B400*B388</f>
        <v>994690.44620689657</v>
      </c>
      <c r="C395" s="133">
        <f t="shared" si="203"/>
        <v>772032.49655172415</v>
      </c>
      <c r="D395" s="133">
        <f t="shared" si="203"/>
        <v>1098914.1993103449</v>
      </c>
      <c r="E395" s="133">
        <f t="shared" si="203"/>
        <v>1440379.1827586207</v>
      </c>
      <c r="F395" s="133">
        <f t="shared" si="203"/>
        <v>2518846.9034482758</v>
      </c>
      <c r="G395" s="133">
        <f t="shared" si="203"/>
        <v>3047367.8400000003</v>
      </c>
      <c r="H395" s="133">
        <f t="shared" si="203"/>
        <v>3087941.4448275864</v>
      </c>
      <c r="I395" s="133">
        <f>SUM(B395:H395)</f>
        <v>12960172.513103448</v>
      </c>
      <c r="J395" s="629">
        <f t="shared" ref="J395:J400" si="204">+$I395/7</f>
        <v>1851453.2161576354</v>
      </c>
      <c r="K395"/>
      <c r="L395"/>
      <c r="M395"/>
      <c r="N395"/>
      <c r="O395"/>
      <c r="P395"/>
      <c r="Q395"/>
      <c r="R395"/>
      <c r="S395"/>
      <c r="T395"/>
      <c r="U395"/>
      <c r="V395"/>
      <c r="W395"/>
      <c r="X395"/>
      <c r="Y395"/>
      <c r="Z395"/>
      <c r="AA395"/>
      <c r="AB395"/>
      <c r="AC395"/>
      <c r="AD395"/>
      <c r="AE395"/>
      <c r="AF395"/>
      <c r="AY395" s="465"/>
    </row>
    <row r="396" spans="1:51" x14ac:dyDescent="0.25">
      <c r="A396" s="622" t="s">
        <v>26</v>
      </c>
      <c r="B396" s="255">
        <f t="shared" ref="B396:H396" si="205">B400*B389</f>
        <v>110521.1606896552</v>
      </c>
      <c r="C396" s="133">
        <f t="shared" si="205"/>
        <v>0</v>
      </c>
      <c r="D396" s="133">
        <f t="shared" si="205"/>
        <v>64642.011724137934</v>
      </c>
      <c r="E396" s="133">
        <f t="shared" si="205"/>
        <v>26188.712413793106</v>
      </c>
      <c r="F396" s="133">
        <f t="shared" si="205"/>
        <v>0</v>
      </c>
      <c r="G396" s="133">
        <f t="shared" si="205"/>
        <v>46172.24</v>
      </c>
      <c r="H396" s="133">
        <f t="shared" si="205"/>
        <v>0</v>
      </c>
      <c r="I396" s="133">
        <f>SUM(B396:H396)</f>
        <v>247524.12482758623</v>
      </c>
      <c r="J396" s="629">
        <f t="shared" si="204"/>
        <v>35360.589261083747</v>
      </c>
      <c r="K396"/>
      <c r="L396"/>
      <c r="M396"/>
      <c r="N396"/>
      <c r="O396"/>
      <c r="P396"/>
      <c r="Q396"/>
      <c r="R396"/>
      <c r="S396"/>
      <c r="T396"/>
      <c r="U396"/>
      <c r="V396"/>
      <c r="W396"/>
      <c r="X396"/>
      <c r="Y396"/>
      <c r="Z396"/>
      <c r="AA396"/>
      <c r="AB396"/>
      <c r="AC396"/>
      <c r="AD396"/>
      <c r="AE396"/>
      <c r="AF396"/>
      <c r="AY396" s="465"/>
    </row>
    <row r="397" spans="1:51" x14ac:dyDescent="0.25">
      <c r="A397" s="622" t="s">
        <v>27</v>
      </c>
      <c r="B397" s="255">
        <f t="shared" ref="B397:H397" si="206">B400*B390</f>
        <v>331563.4820689655</v>
      </c>
      <c r="C397" s="133">
        <f t="shared" si="206"/>
        <v>1100146.3075862068</v>
      </c>
      <c r="D397" s="133">
        <f t="shared" si="206"/>
        <v>861893.48965517245</v>
      </c>
      <c r="E397" s="133">
        <f t="shared" si="206"/>
        <v>1152303.3462068965</v>
      </c>
      <c r="F397" s="133">
        <f t="shared" si="206"/>
        <v>1095150.8275862071</v>
      </c>
      <c r="G397" s="133">
        <f t="shared" si="206"/>
        <v>1431339.44</v>
      </c>
      <c r="H397" s="133">
        <f t="shared" si="206"/>
        <v>483653.4793103449</v>
      </c>
      <c r="I397" s="133">
        <f>SUM(B397:H397)</f>
        <v>6456050.3724137936</v>
      </c>
      <c r="J397" s="629">
        <f t="shared" si="204"/>
        <v>922292.91034482769</v>
      </c>
      <c r="K397"/>
      <c r="L397"/>
      <c r="M397"/>
      <c r="N397"/>
      <c r="O397"/>
      <c r="P397"/>
      <c r="Q397"/>
      <c r="R397"/>
      <c r="S397"/>
      <c r="T397"/>
      <c r="U397"/>
      <c r="V397"/>
      <c r="W397"/>
      <c r="X397"/>
      <c r="Y397"/>
      <c r="Z397"/>
      <c r="AA397"/>
      <c r="AB397"/>
      <c r="AC397"/>
      <c r="AD397"/>
      <c r="AE397"/>
      <c r="AF397"/>
      <c r="AY397" s="465"/>
    </row>
    <row r="398" spans="1:51" x14ac:dyDescent="0.25">
      <c r="A398" s="622" t="s">
        <v>28</v>
      </c>
      <c r="B398" s="255">
        <f t="shared" ref="B398:H398" si="207">B400*B391</f>
        <v>78943.686206896557</v>
      </c>
      <c r="C398" s="133">
        <f t="shared" si="207"/>
        <v>57902.43724137931</v>
      </c>
      <c r="D398" s="133">
        <f t="shared" si="207"/>
        <v>129284.02344827587</v>
      </c>
      <c r="E398" s="133">
        <f t="shared" si="207"/>
        <v>0</v>
      </c>
      <c r="F398" s="133">
        <f t="shared" si="207"/>
        <v>36505.027586206903</v>
      </c>
      <c r="G398" s="133">
        <f t="shared" si="207"/>
        <v>46172.24</v>
      </c>
      <c r="H398" s="133">
        <f t="shared" si="207"/>
        <v>148816.45517241381</v>
      </c>
      <c r="I398" s="133">
        <f>SUM(B398:H398)</f>
        <v>497623.86965517246</v>
      </c>
      <c r="J398" s="629">
        <f t="shared" si="204"/>
        <v>71089.124236453208</v>
      </c>
      <c r="K398"/>
      <c r="L398"/>
      <c r="M398"/>
      <c r="N398"/>
      <c r="O398"/>
      <c r="P398"/>
      <c r="Q398"/>
      <c r="R398"/>
      <c r="S398"/>
      <c r="T398"/>
      <c r="U398"/>
      <c r="V398"/>
      <c r="W398"/>
      <c r="X398"/>
      <c r="Y398"/>
      <c r="Z398"/>
      <c r="AA398"/>
      <c r="AB398"/>
      <c r="AC398"/>
      <c r="AD398"/>
      <c r="AE398"/>
      <c r="AF398"/>
      <c r="AY398" s="465"/>
    </row>
    <row r="399" spans="1:51" x14ac:dyDescent="0.25">
      <c r="A399" s="622" t="s">
        <v>29</v>
      </c>
      <c r="B399" s="255">
        <f t="shared" ref="B399:H399" si="208">B400*B392</f>
        <v>63154.948965517244</v>
      </c>
      <c r="C399" s="727">
        <f t="shared" si="208"/>
        <v>0</v>
      </c>
      <c r="D399" s="727">
        <f t="shared" si="208"/>
        <v>0</v>
      </c>
      <c r="E399" s="727">
        <f t="shared" si="208"/>
        <v>0</v>
      </c>
      <c r="F399" s="727">
        <f t="shared" si="208"/>
        <v>0</v>
      </c>
      <c r="G399" s="727">
        <f t="shared" si="208"/>
        <v>46172.24</v>
      </c>
      <c r="H399" s="727">
        <f t="shared" si="208"/>
        <v>0</v>
      </c>
      <c r="I399" s="133">
        <f>SUM(B399:H399)</f>
        <v>109327.18896551724</v>
      </c>
      <c r="J399" s="629">
        <f t="shared" si="204"/>
        <v>15618.169852216748</v>
      </c>
      <c r="K399"/>
      <c r="L399"/>
      <c r="M399"/>
      <c r="N399"/>
      <c r="O399"/>
      <c r="P399"/>
      <c r="Q399"/>
      <c r="R399"/>
      <c r="S399"/>
      <c r="T399"/>
      <c r="U399"/>
      <c r="V399"/>
      <c r="W399"/>
      <c r="X399"/>
      <c r="Y399"/>
      <c r="Z399"/>
      <c r="AA399"/>
      <c r="AB399"/>
      <c r="AC399"/>
      <c r="AD399"/>
      <c r="AE399"/>
      <c r="AF399"/>
      <c r="AY399" s="465"/>
    </row>
    <row r="400" spans="1:51" x14ac:dyDescent="0.25">
      <c r="A400" s="630" t="s">
        <v>30</v>
      </c>
      <c r="B400" s="726">
        <f>(1907100/1.16)-B401</f>
        <v>1578873.7241379311</v>
      </c>
      <c r="C400" s="729">
        <f>(2306100/1.16)-C401</f>
        <v>1930081.2413793104</v>
      </c>
      <c r="D400" s="729">
        <f>(2603100/1.16)-D401</f>
        <v>2154733.7241379311</v>
      </c>
      <c r="E400" s="729">
        <f>(3147100/1.16)-E401</f>
        <v>2618871.2413793104</v>
      </c>
      <c r="F400" s="729">
        <f>(4430600/1.16)-F401</f>
        <v>3650502.7586206901</v>
      </c>
      <c r="G400" s="729">
        <f>(5591200/1.16)-G401</f>
        <v>4617224</v>
      </c>
      <c r="H400" s="729">
        <f>(4581700/1.16)-H401</f>
        <v>3720411.3793103453</v>
      </c>
      <c r="I400" s="137">
        <f>SUM(I395:I399)</f>
        <v>20270698.068965517</v>
      </c>
      <c r="J400" s="631">
        <f t="shared" si="204"/>
        <v>2895814.0098522166</v>
      </c>
      <c r="K400"/>
      <c r="L400"/>
      <c r="M400"/>
      <c r="N400"/>
      <c r="O400"/>
      <c r="P400"/>
      <c r="Q400"/>
      <c r="R400"/>
      <c r="S400"/>
      <c r="T400"/>
      <c r="U400"/>
      <c r="V400"/>
      <c r="W400"/>
      <c r="X400"/>
      <c r="Y400"/>
      <c r="Z400"/>
      <c r="AA400"/>
      <c r="AB400"/>
      <c r="AC400"/>
      <c r="AD400"/>
      <c r="AE400"/>
      <c r="AF400"/>
      <c r="AY400" s="465"/>
    </row>
    <row r="401" spans="1:51" x14ac:dyDescent="0.25">
      <c r="A401" s="622" t="s">
        <v>31</v>
      </c>
      <c r="B401" s="263">
        <f t="shared" ref="B401:H401" si="209">2414*B382</f>
        <v>65178</v>
      </c>
      <c r="C401" s="728">
        <f t="shared" si="209"/>
        <v>57936</v>
      </c>
      <c r="D401" s="728">
        <f t="shared" si="209"/>
        <v>89318</v>
      </c>
      <c r="E401" s="728">
        <f t="shared" si="209"/>
        <v>94146</v>
      </c>
      <c r="F401" s="728">
        <f t="shared" si="209"/>
        <v>168980</v>
      </c>
      <c r="G401" s="728">
        <f t="shared" si="209"/>
        <v>202776</v>
      </c>
      <c r="H401" s="728">
        <f t="shared" si="209"/>
        <v>229330</v>
      </c>
      <c r="I401" s="139">
        <f>I382*2414</f>
        <v>907664</v>
      </c>
      <c r="J401" s="632">
        <f>2155*J382</f>
        <v>115754.28571428571</v>
      </c>
      <c r="K401"/>
      <c r="L401"/>
      <c r="M401"/>
      <c r="N401"/>
      <c r="O401"/>
      <c r="P401"/>
      <c r="Q401"/>
      <c r="R401"/>
      <c r="S401"/>
      <c r="T401"/>
      <c r="U401"/>
      <c r="V401"/>
      <c r="W401"/>
      <c r="X401"/>
      <c r="Y401"/>
      <c r="Z401"/>
      <c r="AA401"/>
      <c r="AB401"/>
      <c r="AC401"/>
      <c r="AD401"/>
      <c r="AE401"/>
      <c r="AF401"/>
      <c r="AY401" s="465"/>
    </row>
    <row r="402" spans="1:51" x14ac:dyDescent="0.25">
      <c r="A402" s="633" t="s">
        <v>32</v>
      </c>
      <c r="B402" s="411">
        <f t="shared" ref="B402:J402" si="210">B400+B401</f>
        <v>1644051.7241379311</v>
      </c>
      <c r="C402" s="40">
        <f t="shared" si="210"/>
        <v>1988017.2413793104</v>
      </c>
      <c r="D402" s="40">
        <f t="shared" si="210"/>
        <v>2244051.7241379311</v>
      </c>
      <c r="E402" s="40">
        <f t="shared" si="210"/>
        <v>2713017.2413793104</v>
      </c>
      <c r="F402" s="40">
        <f t="shared" si="210"/>
        <v>3819482.7586206901</v>
      </c>
      <c r="G402" s="40">
        <f t="shared" si="210"/>
        <v>4820000</v>
      </c>
      <c r="H402" s="40">
        <f t="shared" si="210"/>
        <v>3949741.3793103453</v>
      </c>
      <c r="I402" s="40">
        <f t="shared" si="210"/>
        <v>21178362.068965517</v>
      </c>
      <c r="J402" s="634">
        <f t="shared" si="210"/>
        <v>3011568.2955665025</v>
      </c>
      <c r="K402"/>
      <c r="L402"/>
      <c r="M402"/>
      <c r="N402"/>
      <c r="O402"/>
      <c r="P402"/>
      <c r="Q402"/>
      <c r="R402"/>
      <c r="S402"/>
      <c r="T402"/>
      <c r="U402"/>
      <c r="V402"/>
      <c r="W402"/>
      <c r="X402"/>
      <c r="Y402"/>
      <c r="Z402"/>
      <c r="AA402"/>
      <c r="AB402"/>
      <c r="AC402"/>
      <c r="AD402"/>
      <c r="AE402"/>
      <c r="AF402"/>
      <c r="AY402" s="465"/>
    </row>
    <row r="403" spans="1:51" x14ac:dyDescent="0.25">
      <c r="A403" s="622" t="s">
        <v>33</v>
      </c>
      <c r="B403" s="413">
        <f t="shared" ref="B403:J403" si="211">B402*16%</f>
        <v>263048.27586206899</v>
      </c>
      <c r="C403" s="42">
        <f t="shared" si="211"/>
        <v>318082.75862068968</v>
      </c>
      <c r="D403" s="42">
        <f t="shared" si="211"/>
        <v>359048.27586206899</v>
      </c>
      <c r="E403" s="42">
        <f t="shared" si="211"/>
        <v>434082.75862068968</v>
      </c>
      <c r="F403" s="42">
        <f t="shared" si="211"/>
        <v>611117.24137931038</v>
      </c>
      <c r="G403" s="42">
        <f t="shared" si="211"/>
        <v>771200</v>
      </c>
      <c r="H403" s="42">
        <f t="shared" si="211"/>
        <v>631958.6206896553</v>
      </c>
      <c r="I403" s="42">
        <f t="shared" si="211"/>
        <v>3388537.931034483</v>
      </c>
      <c r="J403" s="635">
        <f t="shared" si="211"/>
        <v>481850.92729064042</v>
      </c>
      <c r="K403"/>
      <c r="L403"/>
      <c r="M403"/>
      <c r="N403"/>
      <c r="O403"/>
      <c r="P403"/>
      <c r="Q403"/>
      <c r="R403"/>
      <c r="S403"/>
      <c r="T403"/>
      <c r="U403"/>
      <c r="V403"/>
      <c r="W403"/>
      <c r="X403"/>
      <c r="Y403"/>
      <c r="Z403"/>
      <c r="AA403"/>
      <c r="AB403"/>
      <c r="AC403"/>
      <c r="AD403"/>
      <c r="AE403"/>
      <c r="AF403"/>
      <c r="AY403" s="465"/>
    </row>
    <row r="404" spans="1:51" ht="15.75" thickBot="1" x14ac:dyDescent="0.3">
      <c r="A404" s="636" t="s">
        <v>34</v>
      </c>
      <c r="B404" s="637">
        <f t="shared" ref="B404:I404" si="212">B402+B403</f>
        <v>1907100</v>
      </c>
      <c r="C404" s="638">
        <f t="shared" si="212"/>
        <v>2306100</v>
      </c>
      <c r="D404" s="638">
        <f t="shared" si="212"/>
        <v>2603100</v>
      </c>
      <c r="E404" s="638">
        <f t="shared" si="212"/>
        <v>3147100</v>
      </c>
      <c r="F404" s="638">
        <f t="shared" si="212"/>
        <v>4430600</v>
      </c>
      <c r="G404" s="638">
        <f t="shared" si="212"/>
        <v>5591200</v>
      </c>
      <c r="H404" s="638">
        <f t="shared" si="212"/>
        <v>4581700.0000000009</v>
      </c>
      <c r="I404" s="638">
        <f t="shared" si="212"/>
        <v>24566900</v>
      </c>
      <c r="J404" s="639">
        <f>+$I404/7</f>
        <v>3509557.1428571427</v>
      </c>
      <c r="K404"/>
      <c r="L404"/>
      <c r="M404"/>
      <c r="N404"/>
      <c r="O404"/>
      <c r="P404"/>
      <c r="Q404"/>
      <c r="R404"/>
      <c r="S404"/>
      <c r="T404"/>
      <c r="U404"/>
      <c r="V404"/>
      <c r="W404"/>
      <c r="X404"/>
      <c r="Y404"/>
      <c r="Z404"/>
      <c r="AA404"/>
      <c r="AB404"/>
      <c r="AC404"/>
      <c r="AD404"/>
      <c r="AE404"/>
      <c r="AF404"/>
      <c r="AY404" s="465"/>
    </row>
    <row r="405" spans="1:51" ht="15.75" thickBot="1" x14ac:dyDescent="0.3">
      <c r="K405"/>
      <c r="L405"/>
      <c r="M405"/>
      <c r="N405"/>
      <c r="O405"/>
      <c r="P405"/>
      <c r="Q405"/>
      <c r="R405"/>
      <c r="S405"/>
      <c r="T405"/>
      <c r="U405"/>
      <c r="V405"/>
      <c r="W405"/>
      <c r="X405"/>
      <c r="Y405"/>
      <c r="Z405"/>
      <c r="AA405"/>
      <c r="AB405"/>
      <c r="AC405"/>
      <c r="AD405"/>
      <c r="AE405"/>
      <c r="AF405"/>
      <c r="AY405" s="465"/>
    </row>
    <row r="406" spans="1:51" ht="27" thickBot="1" x14ac:dyDescent="0.3">
      <c r="A406" s="85"/>
      <c r="B406" s="1002" t="s">
        <v>154</v>
      </c>
      <c r="C406" s="1002"/>
      <c r="D406" s="1002"/>
      <c r="E406" s="1002"/>
      <c r="F406" s="1002"/>
      <c r="G406" s="1002"/>
      <c r="H406" s="1002"/>
      <c r="I406" s="1002"/>
      <c r="J406" s="85"/>
      <c r="K406"/>
      <c r="L406"/>
      <c r="M406"/>
      <c r="N406"/>
      <c r="O406"/>
      <c r="P406"/>
      <c r="Q406"/>
      <c r="R406"/>
      <c r="S406"/>
      <c r="T406"/>
      <c r="U406"/>
      <c r="V406"/>
      <c r="W406"/>
      <c r="X406"/>
      <c r="Y406"/>
      <c r="Z406"/>
      <c r="AA406"/>
      <c r="AB406"/>
      <c r="AC406"/>
      <c r="AD406"/>
      <c r="AE406"/>
      <c r="AF406"/>
      <c r="AY406" s="465"/>
    </row>
    <row r="407" spans="1:51" ht="15.75" x14ac:dyDescent="0.25">
      <c r="A407" s="614" t="s">
        <v>2</v>
      </c>
      <c r="B407" s="706" t="s">
        <v>329</v>
      </c>
      <c r="C407" s="617" t="s">
        <v>330</v>
      </c>
      <c r="D407" s="617" t="s">
        <v>331</v>
      </c>
      <c r="E407" s="617" t="s">
        <v>332</v>
      </c>
      <c r="F407" s="617" t="s">
        <v>333</v>
      </c>
      <c r="G407" s="617" t="s">
        <v>334</v>
      </c>
      <c r="H407" s="617" t="s">
        <v>335</v>
      </c>
      <c r="I407" s="618" t="s">
        <v>10</v>
      </c>
      <c r="J407" s="619" t="s">
        <v>77</v>
      </c>
      <c r="K407"/>
      <c r="L407"/>
      <c r="M407"/>
      <c r="N407"/>
      <c r="O407"/>
      <c r="P407"/>
      <c r="Q407"/>
      <c r="R407"/>
      <c r="S407"/>
      <c r="T407"/>
      <c r="U407"/>
      <c r="V407"/>
      <c r="W407"/>
      <c r="X407"/>
      <c r="Y407"/>
      <c r="Z407"/>
      <c r="AA407"/>
      <c r="AB407"/>
      <c r="AC407"/>
      <c r="AD407"/>
      <c r="AE407"/>
      <c r="AF407"/>
      <c r="AY407" s="465"/>
    </row>
    <row r="408" spans="1:51" x14ac:dyDescent="0.25">
      <c r="A408" s="620" t="s">
        <v>11</v>
      </c>
      <c r="B408" s="433">
        <f>24+19+4</f>
        <v>47</v>
      </c>
      <c r="C408" s="673">
        <f>29+15+11</f>
        <v>55</v>
      </c>
      <c r="D408" s="739">
        <f>82+35+9</f>
        <v>126</v>
      </c>
      <c r="E408" s="673">
        <f>91+51+17</f>
        <v>159</v>
      </c>
      <c r="F408" s="673">
        <f>69+45+13</f>
        <v>127</v>
      </c>
      <c r="G408" s="673">
        <f>85+57+21</f>
        <v>163</v>
      </c>
      <c r="H408" s="673">
        <f>74+40+19</f>
        <v>133</v>
      </c>
      <c r="I408" s="673">
        <f t="shared" ref="I408:I413" si="213">SUM(B408:H408)</f>
        <v>810</v>
      </c>
      <c r="J408" s="621">
        <f t="shared" ref="J408:J414" si="214">+$I408/7</f>
        <v>115.71428571428571</v>
      </c>
      <c r="K408"/>
      <c r="L408"/>
      <c r="M408"/>
      <c r="N408"/>
      <c r="O408"/>
      <c r="P408"/>
      <c r="Q408"/>
      <c r="R408"/>
      <c r="S408"/>
      <c r="T408"/>
      <c r="U408"/>
      <c r="V408"/>
      <c r="W408"/>
      <c r="X408"/>
      <c r="Y408"/>
      <c r="Z408"/>
      <c r="AA408"/>
      <c r="AB408"/>
      <c r="AC408"/>
      <c r="AD408"/>
      <c r="AE408"/>
      <c r="AF408"/>
      <c r="AY408" s="465"/>
    </row>
    <row r="409" spans="1:51" x14ac:dyDescent="0.25">
      <c r="A409" s="622" t="s">
        <v>12</v>
      </c>
      <c r="B409" s="233">
        <v>29</v>
      </c>
      <c r="C409" s="671">
        <v>26</v>
      </c>
      <c r="D409" s="671">
        <v>49</v>
      </c>
      <c r="E409" s="671">
        <v>59</v>
      </c>
      <c r="F409" s="671">
        <v>44</v>
      </c>
      <c r="G409" s="675">
        <v>62</v>
      </c>
      <c r="H409" s="671">
        <v>71</v>
      </c>
      <c r="I409" s="671">
        <f t="shared" si="213"/>
        <v>340</v>
      </c>
      <c r="J409" s="623">
        <f t="shared" si="214"/>
        <v>48.571428571428569</v>
      </c>
      <c r="K409"/>
      <c r="L409"/>
      <c r="M409"/>
      <c r="N409"/>
      <c r="O409"/>
      <c r="P409"/>
      <c r="Q409"/>
      <c r="R409"/>
      <c r="S409"/>
      <c r="T409"/>
      <c r="U409"/>
      <c r="V409"/>
      <c r="W409"/>
      <c r="X409"/>
      <c r="Y409"/>
      <c r="Z409"/>
      <c r="AA409"/>
      <c r="AB409"/>
      <c r="AC409"/>
      <c r="AD409"/>
      <c r="AE409"/>
      <c r="AF409"/>
      <c r="AY409" s="465"/>
    </row>
    <row r="410" spans="1:51" x14ac:dyDescent="0.25">
      <c r="A410" s="622" t="s">
        <v>13</v>
      </c>
      <c r="B410" s="233">
        <v>0</v>
      </c>
      <c r="C410" s="13">
        <v>0</v>
      </c>
      <c r="D410" s="13">
        <v>0</v>
      </c>
      <c r="E410" s="13">
        <v>0</v>
      </c>
      <c r="F410" s="13">
        <v>1</v>
      </c>
      <c r="G410" s="13">
        <v>2</v>
      </c>
      <c r="H410" s="13">
        <v>1</v>
      </c>
      <c r="I410" s="13">
        <f t="shared" si="213"/>
        <v>4</v>
      </c>
      <c r="J410" s="623">
        <f t="shared" si="214"/>
        <v>0.5714285714285714</v>
      </c>
      <c r="K410"/>
      <c r="L410"/>
      <c r="M410"/>
      <c r="N410"/>
      <c r="O410"/>
      <c r="P410"/>
      <c r="Q410"/>
      <c r="R410"/>
      <c r="S410"/>
      <c r="T410"/>
      <c r="U410"/>
      <c r="V410"/>
      <c r="W410"/>
      <c r="X410"/>
      <c r="Y410"/>
      <c r="Z410"/>
      <c r="AA410"/>
      <c r="AB410"/>
      <c r="AC410"/>
      <c r="AD410"/>
      <c r="AE410"/>
      <c r="AF410"/>
      <c r="AY410" s="465"/>
    </row>
    <row r="411" spans="1:51" x14ac:dyDescent="0.25">
      <c r="A411" s="622" t="s">
        <v>14</v>
      </c>
      <c r="B411" s="233">
        <v>14</v>
      </c>
      <c r="C411" s="13">
        <v>16</v>
      </c>
      <c r="D411" s="13">
        <v>25</v>
      </c>
      <c r="E411" s="13">
        <v>46</v>
      </c>
      <c r="F411" s="13">
        <v>59</v>
      </c>
      <c r="G411" s="13">
        <v>60</v>
      </c>
      <c r="H411" s="13">
        <v>27</v>
      </c>
      <c r="I411" s="13">
        <f t="shared" si="213"/>
        <v>247</v>
      </c>
      <c r="J411" s="623">
        <f t="shared" si="214"/>
        <v>35.285714285714285</v>
      </c>
      <c r="K411"/>
      <c r="L411"/>
      <c r="M411"/>
      <c r="N411"/>
      <c r="O411"/>
      <c r="P411"/>
      <c r="Q411"/>
      <c r="R411"/>
      <c r="S411"/>
      <c r="T411"/>
      <c r="U411"/>
      <c r="V411"/>
      <c r="W411"/>
      <c r="X411"/>
      <c r="Y411"/>
      <c r="Z411"/>
      <c r="AA411"/>
      <c r="AB411"/>
      <c r="AC411"/>
      <c r="AD411"/>
      <c r="AE411"/>
      <c r="AF411"/>
      <c r="AY411" s="465"/>
    </row>
    <row r="412" spans="1:51" x14ac:dyDescent="0.25">
      <c r="A412" s="622" t="s">
        <v>15</v>
      </c>
      <c r="B412" s="233">
        <v>0</v>
      </c>
      <c r="C412" s="13">
        <v>2</v>
      </c>
      <c r="D412" s="13">
        <v>12</v>
      </c>
      <c r="E412" s="13">
        <v>10</v>
      </c>
      <c r="F412" s="13">
        <v>2</v>
      </c>
      <c r="G412" s="13">
        <v>7</v>
      </c>
      <c r="H412" s="13">
        <v>2</v>
      </c>
      <c r="I412" s="13">
        <f t="shared" si="213"/>
        <v>35</v>
      </c>
      <c r="J412" s="623">
        <f t="shared" si="214"/>
        <v>5</v>
      </c>
      <c r="K412"/>
      <c r="L412"/>
      <c r="M412"/>
      <c r="N412"/>
      <c r="O412"/>
      <c r="P412"/>
      <c r="Q412"/>
      <c r="R412"/>
      <c r="S412"/>
      <c r="T412"/>
      <c r="U412"/>
      <c r="V412"/>
      <c r="W412"/>
      <c r="X412"/>
      <c r="Y412"/>
      <c r="Z412"/>
      <c r="AA412"/>
      <c r="AB412"/>
      <c r="AC412"/>
      <c r="AD412"/>
      <c r="AE412"/>
      <c r="AF412"/>
      <c r="AY412" s="465"/>
    </row>
    <row r="413" spans="1:51" x14ac:dyDescent="0.25">
      <c r="A413" s="622" t="s">
        <v>16</v>
      </c>
      <c r="B413" s="233">
        <v>0</v>
      </c>
      <c r="C413" s="13">
        <v>0</v>
      </c>
      <c r="D413" s="13">
        <v>0</v>
      </c>
      <c r="E413" s="13">
        <v>0</v>
      </c>
      <c r="F413" s="13">
        <v>0</v>
      </c>
      <c r="G413" s="13">
        <v>0</v>
      </c>
      <c r="H413" s="13">
        <v>0</v>
      </c>
      <c r="I413" s="13">
        <f t="shared" si="213"/>
        <v>0</v>
      </c>
      <c r="J413" s="623">
        <f t="shared" si="214"/>
        <v>0</v>
      </c>
      <c r="K413"/>
      <c r="L413"/>
      <c r="M413"/>
      <c r="N413"/>
      <c r="O413"/>
      <c r="P413"/>
      <c r="Q413"/>
      <c r="R413"/>
      <c r="S413"/>
      <c r="T413"/>
      <c r="U413"/>
      <c r="V413"/>
      <c r="W413"/>
      <c r="X413"/>
      <c r="Y413"/>
      <c r="Z413"/>
      <c r="AA413"/>
      <c r="AB413"/>
      <c r="AC413"/>
      <c r="AD413"/>
      <c r="AE413"/>
      <c r="AF413"/>
      <c r="AY413" s="465"/>
    </row>
    <row r="414" spans="1:51" x14ac:dyDescent="0.25">
      <c r="A414" s="624" t="s">
        <v>17</v>
      </c>
      <c r="B414" s="102">
        <f t="shared" ref="B414:H414" si="215">SUM(B409:B413)</f>
        <v>43</v>
      </c>
      <c r="C414" s="79">
        <f t="shared" si="215"/>
        <v>44</v>
      </c>
      <c r="D414" s="79">
        <f t="shared" si="215"/>
        <v>86</v>
      </c>
      <c r="E414" s="79">
        <f t="shared" si="215"/>
        <v>115</v>
      </c>
      <c r="F414" s="79">
        <f t="shared" si="215"/>
        <v>106</v>
      </c>
      <c r="G414" s="79">
        <f t="shared" si="215"/>
        <v>131</v>
      </c>
      <c r="H414" s="79">
        <f t="shared" si="215"/>
        <v>101</v>
      </c>
      <c r="I414" s="79">
        <f>SUM(I409:I413)</f>
        <v>626</v>
      </c>
      <c r="J414" s="625">
        <f t="shared" si="214"/>
        <v>89.428571428571431</v>
      </c>
      <c r="K414"/>
      <c r="L414"/>
      <c r="M414"/>
      <c r="N414"/>
      <c r="O414"/>
      <c r="P414"/>
      <c r="Q414"/>
      <c r="R414"/>
      <c r="S414"/>
      <c r="T414"/>
      <c r="U414"/>
      <c r="V414"/>
      <c r="W414"/>
      <c r="X414"/>
      <c r="Y414"/>
      <c r="Z414"/>
      <c r="AA414"/>
      <c r="AB414"/>
      <c r="AC414"/>
      <c r="AD414"/>
      <c r="AE414"/>
      <c r="AF414"/>
      <c r="AY414" s="465"/>
    </row>
    <row r="415" spans="1:51" x14ac:dyDescent="0.25">
      <c r="A415" s="622" t="s">
        <v>18</v>
      </c>
      <c r="B415" s="406">
        <v>0.78</v>
      </c>
      <c r="C415" s="19">
        <v>0.68</v>
      </c>
      <c r="D415" s="19">
        <v>0.68</v>
      </c>
      <c r="E415" s="19">
        <v>0.55000000000000004</v>
      </c>
      <c r="F415" s="19">
        <v>0.44</v>
      </c>
      <c r="G415" s="19">
        <v>0.54</v>
      </c>
      <c r="H415" s="19">
        <v>0.77</v>
      </c>
      <c r="I415" s="19">
        <f>I422/I427</f>
        <v>0.60577929690662535</v>
      </c>
      <c r="J415" s="626">
        <f>J422/J427</f>
        <v>0.60577929690662535</v>
      </c>
      <c r="K415"/>
      <c r="L415"/>
      <c r="M415"/>
      <c r="N415"/>
      <c r="O415"/>
      <c r="P415"/>
      <c r="Q415"/>
      <c r="R415"/>
      <c r="S415"/>
      <c r="T415"/>
      <c r="U415"/>
      <c r="V415"/>
      <c r="W415"/>
      <c r="X415"/>
      <c r="Y415"/>
      <c r="Z415"/>
      <c r="AA415"/>
      <c r="AB415"/>
      <c r="AC415"/>
      <c r="AD415"/>
      <c r="AE415"/>
      <c r="AF415"/>
      <c r="AY415" s="465"/>
    </row>
    <row r="416" spans="1:51" x14ac:dyDescent="0.25">
      <c r="A416" s="622" t="s">
        <v>19</v>
      </c>
      <c r="B416" s="406">
        <v>0</v>
      </c>
      <c r="C416" s="19">
        <v>0</v>
      </c>
      <c r="D416" s="19">
        <v>0</v>
      </c>
      <c r="E416" s="19">
        <v>0</v>
      </c>
      <c r="F416" s="19">
        <v>0.01</v>
      </c>
      <c r="G416" s="19">
        <v>0.01</v>
      </c>
      <c r="H416" s="19">
        <v>0</v>
      </c>
      <c r="I416" s="19">
        <f>I423/I427</f>
        <v>3.7460710263475579E-3</v>
      </c>
      <c r="J416" s="626">
        <f>J423/J427</f>
        <v>3.7460710263475584E-3</v>
      </c>
      <c r="K416"/>
      <c r="L416"/>
      <c r="M416"/>
      <c r="N416"/>
      <c r="O416"/>
      <c r="P416"/>
      <c r="Q416"/>
      <c r="R416"/>
      <c r="S416"/>
      <c r="T416"/>
      <c r="U416"/>
      <c r="V416"/>
      <c r="W416"/>
      <c r="X416"/>
      <c r="Y416"/>
      <c r="Z416"/>
      <c r="AA416"/>
      <c r="AB416"/>
      <c r="AC416"/>
      <c r="AD416"/>
      <c r="AE416"/>
      <c r="AF416"/>
      <c r="AY416" s="465"/>
    </row>
    <row r="417" spans="1:51" x14ac:dyDescent="0.25">
      <c r="A417" s="622" t="s">
        <v>20</v>
      </c>
      <c r="B417" s="406">
        <v>0.22</v>
      </c>
      <c r="C417" s="19">
        <v>0.3</v>
      </c>
      <c r="D417" s="19">
        <v>0.21</v>
      </c>
      <c r="E417" s="19">
        <v>0.38</v>
      </c>
      <c r="F417" s="19">
        <v>0.54</v>
      </c>
      <c r="G417" s="19">
        <v>0.41</v>
      </c>
      <c r="H417" s="19">
        <v>0.21</v>
      </c>
      <c r="I417" s="19">
        <f>I424/I427</f>
        <v>0.34556134370423824</v>
      </c>
      <c r="J417" s="626">
        <f>J424/J427</f>
        <v>0.34556134370423824</v>
      </c>
      <c r="K417"/>
      <c r="L417"/>
      <c r="M417"/>
      <c r="N417"/>
      <c r="O417"/>
      <c r="P417"/>
      <c r="Q417"/>
      <c r="R417"/>
      <c r="S417"/>
      <c r="T417"/>
      <c r="U417"/>
      <c r="V417"/>
      <c r="W417"/>
      <c r="X417"/>
      <c r="Y417"/>
      <c r="Z417"/>
      <c r="AA417"/>
      <c r="AB417"/>
      <c r="AC417"/>
      <c r="AD417"/>
      <c r="AE417"/>
      <c r="AF417"/>
      <c r="AY417" s="465"/>
    </row>
    <row r="418" spans="1:51" x14ac:dyDescent="0.25">
      <c r="A418" s="622" t="s">
        <v>21</v>
      </c>
      <c r="B418" s="406">
        <v>0</v>
      </c>
      <c r="C418" s="19">
        <v>0.02</v>
      </c>
      <c r="D418" s="19">
        <v>0.11</v>
      </c>
      <c r="E418" s="19">
        <v>7.0000000000000007E-2</v>
      </c>
      <c r="F418" s="19">
        <v>0.01</v>
      </c>
      <c r="G418" s="19">
        <v>0.04</v>
      </c>
      <c r="H418" s="19">
        <v>0.02</v>
      </c>
      <c r="I418" s="19">
        <f>I425/I427</f>
        <v>4.4913288362788885E-2</v>
      </c>
      <c r="J418" s="626">
        <f>J425/J427</f>
        <v>4.4913288362788892E-2</v>
      </c>
      <c r="K418"/>
      <c r="L418"/>
      <c r="M418"/>
      <c r="N418"/>
      <c r="O418"/>
      <c r="P418"/>
      <c r="Q418"/>
      <c r="R418"/>
      <c r="S418"/>
      <c r="T418"/>
      <c r="U418"/>
      <c r="V418"/>
      <c r="W418"/>
      <c r="X418"/>
      <c r="Y418"/>
      <c r="Z418"/>
      <c r="AA418"/>
      <c r="AB418"/>
      <c r="AC418"/>
      <c r="AD418"/>
      <c r="AE418"/>
      <c r="AF418"/>
      <c r="AY418" s="465"/>
    </row>
    <row r="419" spans="1:51" x14ac:dyDescent="0.25">
      <c r="A419" s="622" t="s">
        <v>22</v>
      </c>
      <c r="B419" s="406">
        <v>0</v>
      </c>
      <c r="C419" s="19">
        <v>0</v>
      </c>
      <c r="D419" s="19">
        <v>0</v>
      </c>
      <c r="E419" s="19">
        <v>0</v>
      </c>
      <c r="F419" s="19">
        <v>0</v>
      </c>
      <c r="G419" s="19">
        <v>0</v>
      </c>
      <c r="H419" s="19">
        <v>0</v>
      </c>
      <c r="I419" s="19">
        <f>I426/I427</f>
        <v>0</v>
      </c>
      <c r="J419" s="626">
        <f>J426/J427</f>
        <v>0</v>
      </c>
      <c r="K419"/>
      <c r="L419"/>
      <c r="M419"/>
      <c r="N419"/>
      <c r="O419"/>
      <c r="P419"/>
      <c r="Q419"/>
      <c r="R419"/>
      <c r="S419"/>
      <c r="T419"/>
      <c r="U419"/>
      <c r="V419"/>
      <c r="W419"/>
      <c r="X419"/>
      <c r="Y419"/>
      <c r="Z419"/>
      <c r="AA419"/>
      <c r="AB419"/>
      <c r="AC419"/>
      <c r="AD419"/>
      <c r="AE419"/>
      <c r="AF419"/>
      <c r="AY419" s="465"/>
    </row>
    <row r="420" spans="1:51" x14ac:dyDescent="0.25">
      <c r="A420" s="627" t="s">
        <v>23</v>
      </c>
      <c r="B420" s="409">
        <f t="shared" ref="B420:J420" si="216">B431/B414</f>
        <v>31637.20930232558</v>
      </c>
      <c r="C420" s="131">
        <f t="shared" si="216"/>
        <v>32770.454545454544</v>
      </c>
      <c r="D420" s="131">
        <f t="shared" si="216"/>
        <v>43954.651162790702</v>
      </c>
      <c r="E420" s="131">
        <f t="shared" si="216"/>
        <v>37741.739130434784</v>
      </c>
      <c r="F420" s="131">
        <f t="shared" si="216"/>
        <v>38710.377358490565</v>
      </c>
      <c r="G420" s="131">
        <f t="shared" si="216"/>
        <v>35226.717557251912</v>
      </c>
      <c r="H420" s="131">
        <f t="shared" si="216"/>
        <v>37538.61386138614</v>
      </c>
      <c r="I420" s="131">
        <f t="shared" si="216"/>
        <v>37431.469648562306</v>
      </c>
      <c r="J420" s="628">
        <f t="shared" si="216"/>
        <v>37431.469648562306</v>
      </c>
      <c r="K420"/>
      <c r="L420"/>
      <c r="M420"/>
      <c r="N420"/>
      <c r="O420"/>
      <c r="P420"/>
      <c r="Q420"/>
      <c r="R420"/>
      <c r="S420"/>
      <c r="T420"/>
      <c r="U420"/>
      <c r="V420"/>
      <c r="W420"/>
      <c r="X420"/>
      <c r="Y420"/>
      <c r="Z420"/>
      <c r="AA420"/>
      <c r="AB420"/>
      <c r="AC420"/>
      <c r="AD420"/>
      <c r="AE420"/>
      <c r="AF420"/>
      <c r="AY420" s="465"/>
    </row>
    <row r="421" spans="1:51" x14ac:dyDescent="0.25">
      <c r="A421" s="627" t="s">
        <v>24</v>
      </c>
      <c r="B421" s="409">
        <f t="shared" ref="B421:J421" si="217">B431/B408</f>
        <v>28944.680851063829</v>
      </c>
      <c r="C421" s="131">
        <f t="shared" si="217"/>
        <v>26216.363636363636</v>
      </c>
      <c r="D421" s="131">
        <f t="shared" si="217"/>
        <v>30000.793650793654</v>
      </c>
      <c r="E421" s="131">
        <f t="shared" si="217"/>
        <v>27297.484276729559</v>
      </c>
      <c r="F421" s="131">
        <f t="shared" si="217"/>
        <v>32309.448818897639</v>
      </c>
      <c r="G421" s="131">
        <f t="shared" si="217"/>
        <v>28311.042944785277</v>
      </c>
      <c r="H421" s="131">
        <f t="shared" si="217"/>
        <v>28506.766917293236</v>
      </c>
      <c r="I421" s="131">
        <f t="shared" si="217"/>
        <v>28928.518518518522</v>
      </c>
      <c r="J421" s="628">
        <f t="shared" si="217"/>
        <v>28928.518518518526</v>
      </c>
      <c r="K421"/>
      <c r="L421"/>
      <c r="M421"/>
      <c r="N421"/>
      <c r="O421"/>
      <c r="P421"/>
      <c r="Q421"/>
      <c r="R421"/>
      <c r="S421"/>
      <c r="T421"/>
      <c r="U421"/>
      <c r="V421"/>
      <c r="W421"/>
      <c r="X421"/>
      <c r="Y421"/>
      <c r="Z421"/>
      <c r="AA421"/>
      <c r="AB421"/>
      <c r="AC421"/>
      <c r="AD421"/>
      <c r="AE421"/>
      <c r="AF421"/>
      <c r="AY421" s="465"/>
    </row>
    <row r="422" spans="1:51" x14ac:dyDescent="0.25">
      <c r="A422" s="622" t="s">
        <v>25</v>
      </c>
      <c r="B422" s="255">
        <f t="shared" ref="B422:H422" si="218">B427*B415</f>
        <v>860147.04413793108</v>
      </c>
      <c r="C422" s="133">
        <f t="shared" si="218"/>
        <v>802572.20413793111</v>
      </c>
      <c r="D422" s="133">
        <f t="shared" si="218"/>
        <v>2135486.2096551727</v>
      </c>
      <c r="E422" s="133">
        <f t="shared" si="218"/>
        <v>1979566.5620689658</v>
      </c>
      <c r="F422" s="133">
        <f t="shared" si="218"/>
        <v>1509689.0979310346</v>
      </c>
      <c r="G422" s="133">
        <f t="shared" si="218"/>
        <v>2067401.6937931038</v>
      </c>
      <c r="H422" s="133">
        <f t="shared" si="218"/>
        <v>2384731.7924137935</v>
      </c>
      <c r="I422" s="133">
        <f>SUM(B422:H422)</f>
        <v>11739594.604137933</v>
      </c>
      <c r="J422" s="629">
        <f t="shared" ref="J422:J427" si="219">+$I422/7</f>
        <v>1677084.943448276</v>
      </c>
      <c r="K422"/>
      <c r="L422"/>
      <c r="M422"/>
      <c r="N422"/>
      <c r="O422"/>
      <c r="P422"/>
      <c r="Q422"/>
      <c r="R422"/>
      <c r="S422"/>
      <c r="T422"/>
      <c r="U422"/>
      <c r="V422"/>
      <c r="W422"/>
      <c r="X422"/>
      <c r="Y422"/>
      <c r="Z422"/>
      <c r="AA422"/>
      <c r="AB422"/>
      <c r="AC422"/>
      <c r="AD422"/>
      <c r="AE422"/>
      <c r="AF422"/>
      <c r="AY422" s="465"/>
    </row>
    <row r="423" spans="1:51" x14ac:dyDescent="0.25">
      <c r="A423" s="622" t="s">
        <v>26</v>
      </c>
      <c r="B423" s="255">
        <f t="shared" ref="B423:H423" si="220">B427*B416</f>
        <v>0</v>
      </c>
      <c r="C423" s="133">
        <f t="shared" si="220"/>
        <v>0</v>
      </c>
      <c r="D423" s="133">
        <f t="shared" si="220"/>
        <v>0</v>
      </c>
      <c r="E423" s="133">
        <f t="shared" si="220"/>
        <v>0</v>
      </c>
      <c r="F423" s="133">
        <f t="shared" si="220"/>
        <v>34311.115862068968</v>
      </c>
      <c r="G423" s="133">
        <f t="shared" si="220"/>
        <v>38285.216551724145</v>
      </c>
      <c r="H423" s="133">
        <f t="shared" si="220"/>
        <v>0</v>
      </c>
      <c r="I423" s="133">
        <f>SUM(B423:H423)</f>
        <v>72596.332413793105</v>
      </c>
      <c r="J423" s="629">
        <f t="shared" si="219"/>
        <v>10370.904630541872</v>
      </c>
      <c r="K423"/>
      <c r="L423"/>
      <c r="M423"/>
      <c r="N423"/>
      <c r="O423"/>
      <c r="P423"/>
      <c r="Q423"/>
      <c r="R423"/>
      <c r="S423"/>
      <c r="T423"/>
      <c r="U423"/>
      <c r="V423"/>
      <c r="W423"/>
      <c r="X423"/>
      <c r="Y423"/>
      <c r="Z423"/>
      <c r="AA423"/>
      <c r="AB423"/>
      <c r="AC423"/>
      <c r="AD423"/>
      <c r="AE423"/>
      <c r="AF423"/>
      <c r="AY423" s="465"/>
    </row>
    <row r="424" spans="1:51" x14ac:dyDescent="0.25">
      <c r="A424" s="622" t="s">
        <v>27</v>
      </c>
      <c r="B424" s="255">
        <f t="shared" ref="B424:H424" si="221">B427*B417</f>
        <v>242605.57655172414</v>
      </c>
      <c r="C424" s="133">
        <f t="shared" si="221"/>
        <v>354075.97241379309</v>
      </c>
      <c r="D424" s="133">
        <f t="shared" si="221"/>
        <v>659488.38827586209</v>
      </c>
      <c r="E424" s="133">
        <f t="shared" si="221"/>
        <v>1367700.5337931036</v>
      </c>
      <c r="F424" s="133">
        <f t="shared" si="221"/>
        <v>1852800.2565517244</v>
      </c>
      <c r="G424" s="133">
        <f t="shared" si="221"/>
        <v>1569693.8786206897</v>
      </c>
      <c r="H424" s="133">
        <f t="shared" si="221"/>
        <v>650381.39793103456</v>
      </c>
      <c r="I424" s="133">
        <f>SUM(B424:H424)</f>
        <v>6696746.0041379323</v>
      </c>
      <c r="J424" s="629">
        <f t="shared" si="219"/>
        <v>956678.00059113314</v>
      </c>
      <c r="K424"/>
      <c r="L424"/>
      <c r="M424"/>
      <c r="N424"/>
      <c r="O424"/>
      <c r="P424"/>
      <c r="Q424"/>
      <c r="R424"/>
      <c r="S424"/>
      <c r="T424"/>
      <c r="U424"/>
      <c r="V424"/>
      <c r="W424"/>
      <c r="X424"/>
      <c r="Y424"/>
      <c r="Z424"/>
      <c r="AA424"/>
      <c r="AB424"/>
      <c r="AC424"/>
      <c r="AD424"/>
      <c r="AE424"/>
      <c r="AF424"/>
      <c r="AY424" s="465"/>
    </row>
    <row r="425" spans="1:51" x14ac:dyDescent="0.25">
      <c r="A425" s="622" t="s">
        <v>28</v>
      </c>
      <c r="B425" s="255">
        <f t="shared" ref="B425:H425" si="222">B427*B418</f>
        <v>0</v>
      </c>
      <c r="C425" s="133">
        <f t="shared" si="222"/>
        <v>23605.064827586208</v>
      </c>
      <c r="D425" s="133">
        <f t="shared" si="222"/>
        <v>345446.29862068972</v>
      </c>
      <c r="E425" s="133">
        <f t="shared" si="222"/>
        <v>251944.83517241385</v>
      </c>
      <c r="F425" s="133">
        <f t="shared" si="222"/>
        <v>34311.115862068968</v>
      </c>
      <c r="G425" s="133">
        <f t="shared" si="222"/>
        <v>153140.86620689658</v>
      </c>
      <c r="H425" s="133">
        <f t="shared" si="222"/>
        <v>61941.085517241387</v>
      </c>
      <c r="I425" s="133">
        <f>SUM(B425:H425)</f>
        <v>870389.26620689675</v>
      </c>
      <c r="J425" s="629">
        <f t="shared" si="219"/>
        <v>124341.3237438424</v>
      </c>
      <c r="K425"/>
      <c r="L425"/>
      <c r="M425"/>
      <c r="N425"/>
      <c r="O425"/>
      <c r="P425"/>
      <c r="Q425"/>
      <c r="R425"/>
      <c r="S425"/>
      <c r="T425"/>
      <c r="U425"/>
      <c r="V425"/>
      <c r="W425"/>
      <c r="X425"/>
      <c r="Y425"/>
      <c r="Z425"/>
      <c r="AA425"/>
      <c r="AB425"/>
      <c r="AC425"/>
      <c r="AD425"/>
      <c r="AE425"/>
      <c r="AF425"/>
      <c r="AY425" s="465"/>
    </row>
    <row r="426" spans="1:51" x14ac:dyDescent="0.25">
      <c r="A426" s="622" t="s">
        <v>29</v>
      </c>
      <c r="B426" s="255">
        <f t="shared" ref="B426:H426" si="223">B427*B419</f>
        <v>0</v>
      </c>
      <c r="C426" s="727">
        <f t="shared" si="223"/>
        <v>0</v>
      </c>
      <c r="D426" s="727">
        <f t="shared" si="223"/>
        <v>0</v>
      </c>
      <c r="E426" s="727">
        <f t="shared" si="223"/>
        <v>0</v>
      </c>
      <c r="F426" s="727">
        <f t="shared" si="223"/>
        <v>0</v>
      </c>
      <c r="G426" s="727">
        <f t="shared" si="223"/>
        <v>0</v>
      </c>
      <c r="H426" s="727">
        <f t="shared" si="223"/>
        <v>0</v>
      </c>
      <c r="I426" s="133">
        <f>SUM(B426:H426)</f>
        <v>0</v>
      </c>
      <c r="J426" s="629">
        <f t="shared" si="219"/>
        <v>0</v>
      </c>
      <c r="K426"/>
      <c r="L426"/>
      <c r="M426"/>
      <c r="N426"/>
      <c r="O426"/>
      <c r="P426"/>
      <c r="Q426"/>
      <c r="R426"/>
      <c r="S426"/>
      <c r="T426"/>
      <c r="U426"/>
      <c r="V426"/>
      <c r="W426"/>
      <c r="X426"/>
      <c r="Y426"/>
      <c r="Z426"/>
      <c r="AA426"/>
      <c r="AB426"/>
      <c r="AC426"/>
      <c r="AD426"/>
      <c r="AE426"/>
      <c r="AF426"/>
      <c r="AY426" s="465"/>
    </row>
    <row r="427" spans="1:51" x14ac:dyDescent="0.25">
      <c r="A427" s="630" t="s">
        <v>30</v>
      </c>
      <c r="B427" s="726">
        <f>(1360400/1.16)-B428</f>
        <v>1102752.6206896552</v>
      </c>
      <c r="C427" s="729">
        <f>(1441900/1.16)-C428</f>
        <v>1180253.2413793104</v>
      </c>
      <c r="D427" s="729">
        <f>(3780100/1.16)-D428</f>
        <v>3140420.8965517245</v>
      </c>
      <c r="E427" s="729">
        <f>(4340300/1.16)-E428</f>
        <v>3599211.931034483</v>
      </c>
      <c r="F427" s="729">
        <f>(4103300/1.16)-F428</f>
        <v>3431111.5862068967</v>
      </c>
      <c r="G427" s="729">
        <f>(4614700/1.16)-G428</f>
        <v>3828521.6551724141</v>
      </c>
      <c r="H427" s="729">
        <f>(3791400/1.16)-H428</f>
        <v>3097054.2758620693</v>
      </c>
      <c r="I427" s="137">
        <f>SUM(I422:I426)</f>
        <v>19379326.206896555</v>
      </c>
      <c r="J427" s="631">
        <f t="shared" si="219"/>
        <v>2768475.1724137934</v>
      </c>
      <c r="K427"/>
      <c r="L427"/>
      <c r="M427"/>
      <c r="N427"/>
      <c r="O427"/>
      <c r="P427"/>
      <c r="Q427"/>
      <c r="R427"/>
      <c r="S427"/>
      <c r="T427"/>
      <c r="U427"/>
      <c r="V427"/>
      <c r="W427"/>
      <c r="X427"/>
      <c r="Y427"/>
      <c r="Z427"/>
      <c r="AA427"/>
      <c r="AB427"/>
      <c r="AC427"/>
      <c r="AD427"/>
      <c r="AE427"/>
      <c r="AF427"/>
      <c r="AY427" s="465"/>
    </row>
    <row r="428" spans="1:51" x14ac:dyDescent="0.25">
      <c r="A428" s="622" t="s">
        <v>31</v>
      </c>
      <c r="B428" s="263">
        <f t="shared" ref="B428:H428" si="224">2414*B409</f>
        <v>70006</v>
      </c>
      <c r="C428" s="728">
        <f t="shared" si="224"/>
        <v>62764</v>
      </c>
      <c r="D428" s="728">
        <f t="shared" si="224"/>
        <v>118286</v>
      </c>
      <c r="E428" s="728">
        <f t="shared" si="224"/>
        <v>142426</v>
      </c>
      <c r="F428" s="728">
        <f t="shared" si="224"/>
        <v>106216</v>
      </c>
      <c r="G428" s="728">
        <f t="shared" si="224"/>
        <v>149668</v>
      </c>
      <c r="H428" s="728">
        <f t="shared" si="224"/>
        <v>171394</v>
      </c>
      <c r="I428" s="139">
        <f>I409*2414</f>
        <v>820760</v>
      </c>
      <c r="J428" s="632">
        <f>2155*J409</f>
        <v>104671.42857142857</v>
      </c>
      <c r="K428"/>
      <c r="L428"/>
      <c r="M428"/>
      <c r="N428"/>
      <c r="O428"/>
      <c r="P428"/>
      <c r="Q428"/>
      <c r="R428"/>
      <c r="S428"/>
      <c r="T428"/>
      <c r="U428"/>
      <c r="V428"/>
      <c r="W428"/>
      <c r="X428"/>
      <c r="Y428"/>
      <c r="Z428"/>
      <c r="AA428"/>
      <c r="AB428"/>
      <c r="AC428"/>
      <c r="AD428"/>
      <c r="AE428"/>
      <c r="AF428"/>
      <c r="AY428" s="465"/>
    </row>
    <row r="429" spans="1:51" x14ac:dyDescent="0.25">
      <c r="A429" s="633" t="s">
        <v>32</v>
      </c>
      <c r="B429" s="411">
        <f t="shared" ref="B429:J429" si="225">B427+B428</f>
        <v>1172758.6206896552</v>
      </c>
      <c r="C429" s="40">
        <f t="shared" si="225"/>
        <v>1243017.2413793104</v>
      </c>
      <c r="D429" s="40">
        <f t="shared" si="225"/>
        <v>3258706.8965517245</v>
      </c>
      <c r="E429" s="40">
        <f t="shared" si="225"/>
        <v>3741637.931034483</v>
      </c>
      <c r="F429" s="40">
        <f t="shared" si="225"/>
        <v>3537327.5862068967</v>
      </c>
      <c r="G429" s="40">
        <f t="shared" si="225"/>
        <v>3978189.6551724141</v>
      </c>
      <c r="H429" s="40">
        <f t="shared" si="225"/>
        <v>3268448.2758620693</v>
      </c>
      <c r="I429" s="40">
        <f t="shared" si="225"/>
        <v>20200086.206896555</v>
      </c>
      <c r="J429" s="634">
        <f t="shared" si="225"/>
        <v>2873146.600985222</v>
      </c>
      <c r="K429"/>
      <c r="L429"/>
      <c r="M429"/>
      <c r="N429"/>
      <c r="O429"/>
      <c r="P429"/>
      <c r="Q429"/>
      <c r="R429"/>
      <c r="S429"/>
      <c r="T429"/>
      <c r="U429"/>
      <c r="V429"/>
      <c r="W429"/>
      <c r="X429"/>
      <c r="Y429"/>
      <c r="Z429"/>
      <c r="AA429"/>
      <c r="AB429"/>
      <c r="AC429"/>
      <c r="AD429"/>
      <c r="AE429"/>
      <c r="AF429"/>
      <c r="AY429" s="465"/>
    </row>
    <row r="430" spans="1:51" x14ac:dyDescent="0.25">
      <c r="A430" s="622" t="s">
        <v>33</v>
      </c>
      <c r="B430" s="413">
        <f t="shared" ref="B430:J430" si="226">B429*16%</f>
        <v>187641.37931034484</v>
      </c>
      <c r="C430" s="42">
        <f t="shared" si="226"/>
        <v>198882.75862068965</v>
      </c>
      <c r="D430" s="42">
        <f t="shared" si="226"/>
        <v>521393.10344827594</v>
      </c>
      <c r="E430" s="42">
        <f t="shared" si="226"/>
        <v>598662.06896551733</v>
      </c>
      <c r="F430" s="42">
        <f t="shared" si="226"/>
        <v>565972.41379310354</v>
      </c>
      <c r="G430" s="42">
        <f t="shared" si="226"/>
        <v>636510.34482758632</v>
      </c>
      <c r="H430" s="42">
        <f t="shared" si="226"/>
        <v>522951.72413793113</v>
      </c>
      <c r="I430" s="42">
        <f t="shared" si="226"/>
        <v>3232013.793103449</v>
      </c>
      <c r="J430" s="635">
        <f t="shared" si="226"/>
        <v>459703.45615763555</v>
      </c>
      <c r="K430"/>
      <c r="L430"/>
      <c r="M430"/>
      <c r="N430"/>
      <c r="O430"/>
      <c r="P430"/>
      <c r="Q430"/>
      <c r="R430"/>
      <c r="S430"/>
      <c r="T430"/>
      <c r="U430"/>
      <c r="V430"/>
      <c r="W430"/>
      <c r="X430"/>
      <c r="Y430"/>
      <c r="Z430"/>
      <c r="AA430"/>
      <c r="AB430"/>
      <c r="AC430"/>
      <c r="AD430"/>
      <c r="AE430"/>
      <c r="AF430"/>
      <c r="AY430" s="465"/>
    </row>
    <row r="431" spans="1:51" ht="15.75" thickBot="1" x14ac:dyDescent="0.3">
      <c r="A431" s="636" t="s">
        <v>34</v>
      </c>
      <c r="B431" s="637">
        <f t="shared" ref="B431:I431" si="227">B429+B430</f>
        <v>1360400</v>
      </c>
      <c r="C431" s="638">
        <f t="shared" si="227"/>
        <v>1441900</v>
      </c>
      <c r="D431" s="638">
        <f t="shared" si="227"/>
        <v>3780100.0000000005</v>
      </c>
      <c r="E431" s="638">
        <f t="shared" si="227"/>
        <v>4340300</v>
      </c>
      <c r="F431" s="638">
        <f t="shared" si="227"/>
        <v>4103300</v>
      </c>
      <c r="G431" s="638">
        <f t="shared" si="227"/>
        <v>4614700</v>
      </c>
      <c r="H431" s="638">
        <f t="shared" si="227"/>
        <v>3791400.0000000005</v>
      </c>
      <c r="I431" s="638">
        <f t="shared" si="227"/>
        <v>23432100.000000004</v>
      </c>
      <c r="J431" s="639">
        <f>+$I431/7</f>
        <v>3347442.8571428577</v>
      </c>
      <c r="K431"/>
      <c r="L431"/>
      <c r="M431"/>
      <c r="N431"/>
      <c r="O431"/>
      <c r="P431"/>
      <c r="Q431"/>
      <c r="R431"/>
      <c r="S431"/>
      <c r="T431"/>
      <c r="U431"/>
      <c r="V431"/>
      <c r="W431"/>
      <c r="X431"/>
      <c r="Y431"/>
      <c r="Z431"/>
      <c r="AA431"/>
      <c r="AB431"/>
      <c r="AC431"/>
      <c r="AD431"/>
      <c r="AE431"/>
      <c r="AF431"/>
      <c r="AY431" s="465"/>
    </row>
    <row r="432" spans="1:51" ht="15.75" thickBot="1" x14ac:dyDescent="0.3">
      <c r="K432"/>
      <c r="L432"/>
      <c r="M432"/>
      <c r="N432"/>
      <c r="O432"/>
      <c r="P432"/>
      <c r="Q432"/>
      <c r="R432"/>
      <c r="S432"/>
      <c r="T432"/>
      <c r="U432"/>
      <c r="V432"/>
      <c r="W432"/>
      <c r="X432"/>
      <c r="Y432"/>
      <c r="Z432"/>
      <c r="AA432"/>
      <c r="AB432"/>
      <c r="AC432"/>
      <c r="AD432"/>
      <c r="AE432"/>
      <c r="AF432"/>
      <c r="AY432" s="465"/>
    </row>
    <row r="433" spans="1:51" ht="27" thickBot="1" x14ac:dyDescent="0.3">
      <c r="A433" s="85"/>
      <c r="B433" s="1002" t="s">
        <v>162</v>
      </c>
      <c r="C433" s="1002"/>
      <c r="D433" s="1002"/>
      <c r="E433" s="1002"/>
      <c r="F433" s="1002"/>
      <c r="G433" s="1002"/>
      <c r="H433" s="1002"/>
      <c r="I433" s="1002"/>
      <c r="J433" s="85"/>
      <c r="K433"/>
      <c r="L433"/>
      <c r="M433"/>
      <c r="N433"/>
      <c r="O433"/>
      <c r="P433"/>
      <c r="Q433"/>
      <c r="R433"/>
      <c r="S433"/>
      <c r="T433"/>
      <c r="U433"/>
      <c r="V433"/>
      <c r="W433"/>
      <c r="X433"/>
      <c r="Y433"/>
      <c r="Z433"/>
      <c r="AA433"/>
      <c r="AB433"/>
      <c r="AC433"/>
      <c r="AD433"/>
      <c r="AE433"/>
      <c r="AF433"/>
      <c r="AY433" s="465"/>
    </row>
    <row r="434" spans="1:51" ht="15.75" x14ac:dyDescent="0.25">
      <c r="A434" s="614" t="s">
        <v>2</v>
      </c>
      <c r="B434" s="706" t="s">
        <v>337</v>
      </c>
      <c r="C434" s="617" t="s">
        <v>338</v>
      </c>
      <c r="D434" s="617" t="s">
        <v>339</v>
      </c>
      <c r="E434" s="617" t="s">
        <v>340</v>
      </c>
      <c r="F434" s="617" t="s">
        <v>341</v>
      </c>
      <c r="G434" s="617" t="s">
        <v>342</v>
      </c>
      <c r="H434" s="617" t="s">
        <v>343</v>
      </c>
      <c r="I434" s="618" t="s">
        <v>10</v>
      </c>
      <c r="J434" s="619" t="s">
        <v>77</v>
      </c>
      <c r="K434"/>
      <c r="L434"/>
      <c r="M434"/>
      <c r="N434"/>
      <c r="O434"/>
      <c r="P434"/>
      <c r="Q434"/>
      <c r="R434"/>
      <c r="S434"/>
      <c r="T434"/>
      <c r="U434"/>
      <c r="V434"/>
      <c r="W434"/>
      <c r="X434"/>
      <c r="Y434"/>
      <c r="Z434"/>
      <c r="AA434"/>
      <c r="AB434"/>
      <c r="AC434"/>
      <c r="AD434"/>
      <c r="AE434"/>
      <c r="AF434"/>
      <c r="AY434" s="465"/>
    </row>
    <row r="435" spans="1:51" x14ac:dyDescent="0.25">
      <c r="A435" s="620" t="s">
        <v>11</v>
      </c>
      <c r="B435" s="433">
        <f>27+22+6</f>
        <v>55</v>
      </c>
      <c r="C435" s="673">
        <f>50+26+9</f>
        <v>85</v>
      </c>
      <c r="D435" s="739">
        <f>43+30+7</f>
        <v>80</v>
      </c>
      <c r="E435" s="673">
        <f>49+35+5</f>
        <v>89</v>
      </c>
      <c r="F435" s="673">
        <f>101+33+10</f>
        <v>144</v>
      </c>
      <c r="G435" s="673">
        <f>75+48+19</f>
        <v>142</v>
      </c>
      <c r="H435" s="673">
        <f>65+39+22</f>
        <v>126</v>
      </c>
      <c r="I435" s="673">
        <f t="shared" ref="I435:I440" si="228">SUM(B435:H435)</f>
        <v>721</v>
      </c>
      <c r="J435" s="621">
        <f t="shared" ref="J435:J441" si="229">+$I435/7</f>
        <v>103</v>
      </c>
      <c r="K435"/>
      <c r="L435"/>
      <c r="M435"/>
      <c r="N435"/>
      <c r="O435"/>
      <c r="P435"/>
      <c r="Q435"/>
      <c r="R435"/>
      <c r="S435"/>
      <c r="T435"/>
      <c r="U435"/>
      <c r="V435"/>
      <c r="W435"/>
      <c r="X435"/>
      <c r="Y435"/>
      <c r="Z435"/>
      <c r="AA435"/>
      <c r="AB435"/>
      <c r="AC435"/>
      <c r="AD435"/>
      <c r="AE435"/>
      <c r="AF435"/>
      <c r="AY435" s="465"/>
    </row>
    <row r="436" spans="1:51" x14ac:dyDescent="0.25">
      <c r="A436" s="622" t="s">
        <v>12</v>
      </c>
      <c r="B436" s="233">
        <v>27</v>
      </c>
      <c r="C436" s="671">
        <v>31</v>
      </c>
      <c r="D436" s="671">
        <v>38</v>
      </c>
      <c r="E436" s="671">
        <v>42</v>
      </c>
      <c r="F436" s="671">
        <v>59</v>
      </c>
      <c r="G436" s="675">
        <v>56</v>
      </c>
      <c r="H436" s="671">
        <v>62</v>
      </c>
      <c r="I436" s="671">
        <f t="shared" si="228"/>
        <v>315</v>
      </c>
      <c r="J436" s="623">
        <f t="shared" si="229"/>
        <v>45</v>
      </c>
      <c r="K436"/>
      <c r="L436"/>
      <c r="M436"/>
      <c r="N436"/>
      <c r="O436"/>
      <c r="P436"/>
      <c r="Q436"/>
      <c r="R436"/>
      <c r="S436"/>
      <c r="T436"/>
      <c r="U436"/>
      <c r="V436"/>
      <c r="W436"/>
      <c r="X436"/>
      <c r="Y436"/>
      <c r="Z436"/>
      <c r="AA436"/>
      <c r="AB436"/>
      <c r="AC436"/>
      <c r="AD436"/>
      <c r="AE436"/>
      <c r="AF436"/>
      <c r="AY436" s="465"/>
    </row>
    <row r="437" spans="1:51" x14ac:dyDescent="0.25">
      <c r="A437" s="622" t="s">
        <v>13</v>
      </c>
      <c r="B437" s="233">
        <v>1</v>
      </c>
      <c r="C437" s="13">
        <v>0</v>
      </c>
      <c r="D437" s="13">
        <v>1</v>
      </c>
      <c r="E437" s="13">
        <v>1</v>
      </c>
      <c r="F437" s="13">
        <v>1</v>
      </c>
      <c r="G437" s="13">
        <v>0</v>
      </c>
      <c r="H437" s="13">
        <v>0</v>
      </c>
      <c r="I437" s="13">
        <f t="shared" si="228"/>
        <v>4</v>
      </c>
      <c r="J437" s="623">
        <f t="shared" si="229"/>
        <v>0.5714285714285714</v>
      </c>
      <c r="K437"/>
      <c r="L437"/>
      <c r="M437"/>
      <c r="N437"/>
      <c r="O437"/>
      <c r="P437"/>
      <c r="Q437"/>
      <c r="R437"/>
      <c r="S437"/>
      <c r="T437"/>
      <c r="U437"/>
      <c r="V437"/>
      <c r="W437"/>
      <c r="X437"/>
      <c r="Y437"/>
      <c r="Z437"/>
      <c r="AA437"/>
      <c r="AB437"/>
      <c r="AC437"/>
      <c r="AD437"/>
      <c r="AE437"/>
      <c r="AF437"/>
      <c r="AY437" s="465"/>
    </row>
    <row r="438" spans="1:51" x14ac:dyDescent="0.25">
      <c r="A438" s="622" t="s">
        <v>14</v>
      </c>
      <c r="B438" s="233">
        <v>13</v>
      </c>
      <c r="C438" s="13">
        <v>31</v>
      </c>
      <c r="D438" s="13">
        <v>19</v>
      </c>
      <c r="E438" s="13">
        <v>26</v>
      </c>
      <c r="F438" s="13">
        <v>34</v>
      </c>
      <c r="G438" s="13">
        <v>35</v>
      </c>
      <c r="H438" s="13">
        <v>21</v>
      </c>
      <c r="I438" s="13">
        <f t="shared" si="228"/>
        <v>179</v>
      </c>
      <c r="J438" s="623">
        <f t="shared" si="229"/>
        <v>25.571428571428573</v>
      </c>
      <c r="K438"/>
      <c r="L438"/>
      <c r="M438"/>
      <c r="N438"/>
      <c r="O438"/>
      <c r="P438"/>
      <c r="Q438"/>
      <c r="R438"/>
      <c r="S438"/>
      <c r="T438"/>
      <c r="U438"/>
      <c r="V438"/>
      <c r="W438"/>
      <c r="X438"/>
      <c r="Y438"/>
      <c r="Z438"/>
      <c r="AA438"/>
      <c r="AB438"/>
      <c r="AC438"/>
      <c r="AD438"/>
      <c r="AE438"/>
      <c r="AF438"/>
      <c r="AY438" s="465"/>
    </row>
    <row r="439" spans="1:51" x14ac:dyDescent="0.25">
      <c r="A439" s="622" t="s">
        <v>15</v>
      </c>
      <c r="B439" s="233">
        <v>2</v>
      </c>
      <c r="C439" s="13">
        <v>3</v>
      </c>
      <c r="D439" s="13">
        <v>2</v>
      </c>
      <c r="E439" s="13">
        <v>3</v>
      </c>
      <c r="F439" s="13">
        <v>5</v>
      </c>
      <c r="G439" s="13">
        <v>8</v>
      </c>
      <c r="H439" s="13">
        <v>10</v>
      </c>
      <c r="I439" s="13">
        <f t="shared" si="228"/>
        <v>33</v>
      </c>
      <c r="J439" s="623">
        <f t="shared" si="229"/>
        <v>4.7142857142857144</v>
      </c>
      <c r="K439"/>
      <c r="L439"/>
      <c r="M439"/>
      <c r="N439"/>
      <c r="O439"/>
      <c r="P439"/>
      <c r="Q439"/>
      <c r="R439"/>
      <c r="S439"/>
      <c r="T439"/>
      <c r="U439"/>
      <c r="V439"/>
      <c r="W439"/>
      <c r="X439"/>
      <c r="Y439"/>
      <c r="Z439"/>
      <c r="AA439"/>
      <c r="AB439"/>
      <c r="AC439"/>
      <c r="AD439"/>
      <c r="AE439"/>
      <c r="AF439"/>
      <c r="AY439" s="465"/>
    </row>
    <row r="440" spans="1:51" x14ac:dyDescent="0.25">
      <c r="A440" s="622" t="s">
        <v>16</v>
      </c>
      <c r="B440" s="233">
        <v>0</v>
      </c>
      <c r="C440" s="13">
        <v>1</v>
      </c>
      <c r="D440" s="13">
        <v>0</v>
      </c>
      <c r="E440" s="13">
        <v>0</v>
      </c>
      <c r="F440" s="13">
        <v>0</v>
      </c>
      <c r="G440" s="13">
        <v>0</v>
      </c>
      <c r="H440" s="13">
        <v>0</v>
      </c>
      <c r="I440" s="13">
        <f t="shared" si="228"/>
        <v>1</v>
      </c>
      <c r="J440" s="623">
        <f t="shared" si="229"/>
        <v>0.14285714285714285</v>
      </c>
      <c r="K440"/>
      <c r="L440"/>
      <c r="M440"/>
      <c r="N440"/>
      <c r="O440"/>
      <c r="P440"/>
      <c r="Q440"/>
      <c r="R440"/>
      <c r="S440"/>
      <c r="T440"/>
      <c r="U440"/>
      <c r="V440"/>
      <c r="W440"/>
      <c r="X440"/>
      <c r="Y440"/>
      <c r="Z440"/>
      <c r="AA440"/>
      <c r="AB440"/>
      <c r="AC440"/>
      <c r="AD440"/>
      <c r="AE440"/>
      <c r="AF440"/>
      <c r="AY440" s="465"/>
    </row>
    <row r="441" spans="1:51" x14ac:dyDescent="0.25">
      <c r="A441" s="624" t="s">
        <v>17</v>
      </c>
      <c r="B441" s="102">
        <f t="shared" ref="B441:H441" si="230">SUM(B436:B440)</f>
        <v>43</v>
      </c>
      <c r="C441" s="79">
        <f t="shared" si="230"/>
        <v>66</v>
      </c>
      <c r="D441" s="79">
        <f t="shared" si="230"/>
        <v>60</v>
      </c>
      <c r="E441" s="79">
        <f t="shared" si="230"/>
        <v>72</v>
      </c>
      <c r="F441" s="79">
        <f t="shared" si="230"/>
        <v>99</v>
      </c>
      <c r="G441" s="79">
        <f t="shared" si="230"/>
        <v>99</v>
      </c>
      <c r="H441" s="79">
        <f t="shared" si="230"/>
        <v>93</v>
      </c>
      <c r="I441" s="79">
        <f>SUM(I436:I440)</f>
        <v>532</v>
      </c>
      <c r="J441" s="625">
        <f t="shared" si="229"/>
        <v>76</v>
      </c>
      <c r="K441"/>
      <c r="L441"/>
      <c r="M441"/>
      <c r="N441"/>
      <c r="O441"/>
      <c r="P441"/>
      <c r="Q441"/>
      <c r="R441"/>
      <c r="S441"/>
      <c r="T441"/>
      <c r="U441"/>
      <c r="V441"/>
      <c r="W441"/>
      <c r="X441"/>
      <c r="Y441"/>
      <c r="Z441"/>
      <c r="AA441"/>
      <c r="AB441"/>
      <c r="AC441"/>
      <c r="AD441"/>
      <c r="AE441"/>
      <c r="AF441"/>
      <c r="AY441" s="465"/>
    </row>
    <row r="442" spans="1:51" x14ac:dyDescent="0.25">
      <c r="A442" s="622" t="s">
        <v>18</v>
      </c>
      <c r="B442" s="406">
        <v>0.7</v>
      </c>
      <c r="C442" s="19">
        <v>0.52</v>
      </c>
      <c r="D442" s="19">
        <v>0.68</v>
      </c>
      <c r="E442" s="19">
        <v>0.62</v>
      </c>
      <c r="F442" s="19">
        <v>0.7</v>
      </c>
      <c r="G442" s="19">
        <v>0.65</v>
      </c>
      <c r="H442" s="19">
        <v>0.74</v>
      </c>
      <c r="I442" s="19">
        <f>I449/I454</f>
        <v>0.66413246098292533</v>
      </c>
      <c r="J442" s="626">
        <f>J449/J454</f>
        <v>0.66413246098292522</v>
      </c>
      <c r="K442"/>
      <c r="L442"/>
      <c r="M442"/>
      <c r="N442"/>
      <c r="O442"/>
      <c r="P442"/>
      <c r="Q442"/>
      <c r="R442"/>
      <c r="S442"/>
      <c r="T442"/>
      <c r="U442"/>
      <c r="V442"/>
      <c r="W442"/>
      <c r="X442"/>
      <c r="Y442"/>
      <c r="Z442"/>
      <c r="AA442"/>
      <c r="AB442"/>
      <c r="AC442"/>
      <c r="AD442"/>
      <c r="AE442"/>
      <c r="AF442"/>
      <c r="AY442" s="465"/>
    </row>
    <row r="443" spans="1:51" x14ac:dyDescent="0.25">
      <c r="A443" s="622" t="s">
        <v>19</v>
      </c>
      <c r="B443" s="406">
        <v>0.01</v>
      </c>
      <c r="C443" s="19">
        <v>0</v>
      </c>
      <c r="D443" s="19">
        <v>0.05</v>
      </c>
      <c r="E443" s="19">
        <v>0.01</v>
      </c>
      <c r="F443" s="19">
        <v>0</v>
      </c>
      <c r="G443" s="19">
        <v>0</v>
      </c>
      <c r="H443" s="19">
        <v>0</v>
      </c>
      <c r="I443" s="19">
        <f>I450/I454</f>
        <v>7.6234698344948924E-3</v>
      </c>
      <c r="J443" s="626">
        <f>J450/J454</f>
        <v>7.6234698344948915E-3</v>
      </c>
      <c r="K443"/>
      <c r="L443"/>
      <c r="M443"/>
      <c r="N443"/>
      <c r="O443"/>
      <c r="P443"/>
      <c r="Q443"/>
      <c r="R443"/>
      <c r="S443"/>
      <c r="T443"/>
      <c r="U443"/>
      <c r="V443"/>
      <c r="W443"/>
      <c r="X443"/>
      <c r="Y443"/>
      <c r="Z443"/>
      <c r="AA443"/>
      <c r="AB443"/>
      <c r="AC443"/>
      <c r="AD443"/>
      <c r="AE443"/>
      <c r="AF443"/>
      <c r="AY443" s="465"/>
    </row>
    <row r="444" spans="1:51" x14ac:dyDescent="0.25">
      <c r="A444" s="622" t="s">
        <v>20</v>
      </c>
      <c r="B444" s="406">
        <v>0.25</v>
      </c>
      <c r="C444" s="19">
        <v>0.45</v>
      </c>
      <c r="D444" s="19">
        <v>0.25</v>
      </c>
      <c r="E444" s="19">
        <v>0.33</v>
      </c>
      <c r="F444" s="19">
        <v>0.25</v>
      </c>
      <c r="G444" s="19">
        <v>0.28999999999999998</v>
      </c>
      <c r="H444" s="19">
        <v>0.18</v>
      </c>
      <c r="I444" s="19">
        <f>I451/I454</f>
        <v>0.27889184152303115</v>
      </c>
      <c r="J444" s="626">
        <f>J451/J454</f>
        <v>0.27889184152303115</v>
      </c>
      <c r="K444"/>
      <c r="L444"/>
      <c r="M444"/>
      <c r="N444"/>
      <c r="O444"/>
      <c r="P444"/>
      <c r="Q444"/>
      <c r="R444"/>
      <c r="S444"/>
      <c r="T444"/>
      <c r="U444"/>
      <c r="V444"/>
      <c r="W444"/>
      <c r="X444"/>
      <c r="Y444"/>
      <c r="Z444"/>
      <c r="AA444"/>
      <c r="AB444"/>
      <c r="AC444"/>
      <c r="AD444"/>
      <c r="AE444"/>
      <c r="AF444"/>
      <c r="AY444" s="465"/>
    </row>
    <row r="445" spans="1:51" x14ac:dyDescent="0.25">
      <c r="A445" s="622" t="s">
        <v>21</v>
      </c>
      <c r="B445" s="406">
        <v>0.04</v>
      </c>
      <c r="C445" s="19">
        <v>0.02</v>
      </c>
      <c r="D445" s="19">
        <v>0.02</v>
      </c>
      <c r="E445" s="19">
        <v>0.04</v>
      </c>
      <c r="F445" s="19">
        <v>0.05</v>
      </c>
      <c r="G445" s="19">
        <v>0.06</v>
      </c>
      <c r="H445" s="19">
        <v>0.08</v>
      </c>
      <c r="I445" s="19">
        <f>I452/I454</f>
        <v>4.8210618020223174E-2</v>
      </c>
      <c r="J445" s="626">
        <f>J452/J454</f>
        <v>4.8210618020223174E-2</v>
      </c>
      <c r="K445"/>
      <c r="L445"/>
      <c r="M445"/>
      <c r="N445"/>
      <c r="O445"/>
      <c r="P445"/>
      <c r="Q445"/>
      <c r="R445"/>
      <c r="S445"/>
      <c r="T445"/>
      <c r="U445"/>
      <c r="V445"/>
      <c r="W445"/>
      <c r="X445"/>
      <c r="Y445"/>
      <c r="Z445"/>
      <c r="AA445"/>
      <c r="AB445"/>
      <c r="AC445"/>
      <c r="AD445"/>
      <c r="AE445"/>
      <c r="AF445"/>
      <c r="AY445" s="465"/>
    </row>
    <row r="446" spans="1:51" x14ac:dyDescent="0.25">
      <c r="A446" s="622" t="s">
        <v>22</v>
      </c>
      <c r="B446" s="406">
        <v>0</v>
      </c>
      <c r="C446" s="19">
        <v>0.01</v>
      </c>
      <c r="D446" s="19">
        <v>0</v>
      </c>
      <c r="E446" s="19">
        <v>0</v>
      </c>
      <c r="F446" s="19">
        <v>0</v>
      </c>
      <c r="G446" s="19">
        <v>0</v>
      </c>
      <c r="H446" s="19">
        <v>0</v>
      </c>
      <c r="I446" s="19">
        <f>I453/I454</f>
        <v>1.1416096393252733E-3</v>
      </c>
      <c r="J446" s="626">
        <f>J453/J454</f>
        <v>1.1416096393252733E-3</v>
      </c>
      <c r="K446"/>
      <c r="L446"/>
      <c r="M446"/>
      <c r="N446"/>
      <c r="O446"/>
      <c r="P446"/>
      <c r="Q446"/>
      <c r="R446"/>
      <c r="S446"/>
      <c r="T446"/>
      <c r="U446"/>
      <c r="V446"/>
      <c r="W446"/>
      <c r="X446"/>
      <c r="Y446"/>
      <c r="Z446"/>
      <c r="AA446"/>
      <c r="AB446"/>
      <c r="AC446"/>
      <c r="AD446"/>
      <c r="AE446"/>
      <c r="AF446"/>
      <c r="AY446" s="465"/>
    </row>
    <row r="447" spans="1:51" x14ac:dyDescent="0.25">
      <c r="A447" s="627" t="s">
        <v>23</v>
      </c>
      <c r="B447" s="409">
        <f t="shared" ref="B447:J447" si="231">B458/B441</f>
        <v>39476.744186046519</v>
      </c>
      <c r="C447" s="131">
        <f t="shared" si="231"/>
        <v>36239.393939393936</v>
      </c>
      <c r="D447" s="131">
        <f t="shared" si="231"/>
        <v>39170</v>
      </c>
      <c r="E447" s="131">
        <f t="shared" si="231"/>
        <v>37070.833333333343</v>
      </c>
      <c r="F447" s="131">
        <f t="shared" si="231"/>
        <v>43126.262626262629</v>
      </c>
      <c r="G447" s="131">
        <f t="shared" si="231"/>
        <v>41412.121212121216</v>
      </c>
      <c r="H447" s="131">
        <f t="shared" si="231"/>
        <v>38654.838709677417</v>
      </c>
      <c r="I447" s="131">
        <f t="shared" si="231"/>
        <v>39610.526315789481</v>
      </c>
      <c r="J447" s="628">
        <f t="shared" si="231"/>
        <v>39610.526315789481</v>
      </c>
      <c r="K447"/>
      <c r="L447"/>
      <c r="M447"/>
      <c r="N447"/>
      <c r="O447"/>
      <c r="P447"/>
      <c r="Q447"/>
      <c r="R447"/>
      <c r="S447"/>
      <c r="T447"/>
      <c r="U447"/>
      <c r="V447"/>
      <c r="W447"/>
      <c r="X447"/>
      <c r="Y447"/>
      <c r="Z447"/>
      <c r="AA447"/>
      <c r="AB447"/>
      <c r="AC447"/>
      <c r="AD447"/>
      <c r="AE447"/>
      <c r="AF447"/>
      <c r="AY447" s="465"/>
    </row>
    <row r="448" spans="1:51" x14ac:dyDescent="0.25">
      <c r="A448" s="627" t="s">
        <v>24</v>
      </c>
      <c r="B448" s="409">
        <f t="shared" ref="B448:J448" si="232">B458/B435</f>
        <v>30863.636363636368</v>
      </c>
      <c r="C448" s="131">
        <f t="shared" si="232"/>
        <v>28138.823529411766</v>
      </c>
      <c r="D448" s="131">
        <f t="shared" si="232"/>
        <v>29377.5</v>
      </c>
      <c r="E448" s="131">
        <f t="shared" si="232"/>
        <v>29989.887640449444</v>
      </c>
      <c r="F448" s="131">
        <f t="shared" si="232"/>
        <v>29649.305555555555</v>
      </c>
      <c r="G448" s="131">
        <f t="shared" si="232"/>
        <v>28871.830985915494</v>
      </c>
      <c r="H448" s="131">
        <f t="shared" si="232"/>
        <v>28530.952380952382</v>
      </c>
      <c r="I448" s="131">
        <f t="shared" si="232"/>
        <v>29227.184466019422</v>
      </c>
      <c r="J448" s="628">
        <f t="shared" si="232"/>
        <v>29227.184466019422</v>
      </c>
      <c r="K448"/>
      <c r="L448"/>
      <c r="M448"/>
      <c r="N448"/>
      <c r="O448"/>
      <c r="P448"/>
      <c r="Q448"/>
      <c r="R448"/>
      <c r="S448"/>
      <c r="T448"/>
      <c r="U448"/>
      <c r="V448"/>
      <c r="W448"/>
      <c r="X448"/>
      <c r="Y448"/>
      <c r="Z448"/>
      <c r="AA448"/>
      <c r="AB448"/>
      <c r="AC448"/>
      <c r="AD448"/>
      <c r="AE448"/>
      <c r="AF448"/>
      <c r="AY448" s="465"/>
    </row>
    <row r="449" spans="1:51" x14ac:dyDescent="0.25">
      <c r="A449" s="622" t="s">
        <v>25</v>
      </c>
      <c r="B449" s="255">
        <f t="shared" ref="B449:H449" si="233">B454*B442</f>
        <v>978728.84827586217</v>
      </c>
      <c r="C449" s="133">
        <f t="shared" si="233"/>
        <v>1033272.5268965518</v>
      </c>
      <c r="D449" s="133">
        <f t="shared" si="233"/>
        <v>1315325.6882758623</v>
      </c>
      <c r="E449" s="133">
        <f t="shared" si="233"/>
        <v>1363727.371034483</v>
      </c>
      <c r="F449" s="133">
        <f t="shared" si="233"/>
        <v>2476724.2137931036</v>
      </c>
      <c r="G449" s="133">
        <f t="shared" si="233"/>
        <v>2209432.124137931</v>
      </c>
      <c r="H449" s="133">
        <f t="shared" si="233"/>
        <v>2182543.955862069</v>
      </c>
      <c r="I449" s="133">
        <f>SUM(B449:H449)</f>
        <v>11559754.728275863</v>
      </c>
      <c r="J449" s="629">
        <f t="shared" ref="J449:J454" si="234">+$I449/7</f>
        <v>1651393.5326108376</v>
      </c>
      <c r="K449"/>
      <c r="L449"/>
      <c r="M449"/>
      <c r="N449"/>
      <c r="O449"/>
      <c r="P449"/>
      <c r="Q449"/>
      <c r="R449"/>
      <c r="S449"/>
      <c r="T449"/>
      <c r="U449"/>
      <c r="V449"/>
      <c r="W449"/>
      <c r="X449"/>
      <c r="Y449"/>
      <c r="Z449"/>
      <c r="AA449"/>
      <c r="AB449"/>
      <c r="AC449"/>
      <c r="AD449"/>
      <c r="AE449"/>
      <c r="AF449"/>
      <c r="AY449" s="465"/>
    </row>
    <row r="450" spans="1:51" x14ac:dyDescent="0.25">
      <c r="A450" s="622" t="s">
        <v>26</v>
      </c>
      <c r="B450" s="255">
        <f t="shared" ref="B450:H450" si="235">B454*B443</f>
        <v>13981.840689655175</v>
      </c>
      <c r="C450" s="133">
        <f t="shared" si="235"/>
        <v>0</v>
      </c>
      <c r="D450" s="133">
        <f t="shared" si="235"/>
        <v>96715.124137931038</v>
      </c>
      <c r="E450" s="133">
        <f t="shared" si="235"/>
        <v>21995.602758620695</v>
      </c>
      <c r="F450" s="133">
        <f t="shared" si="235"/>
        <v>0</v>
      </c>
      <c r="G450" s="133">
        <f t="shared" si="235"/>
        <v>0</v>
      </c>
      <c r="H450" s="133">
        <f t="shared" si="235"/>
        <v>0</v>
      </c>
      <c r="I450" s="133">
        <f>SUM(B450:H450)</f>
        <v>132692.56758620692</v>
      </c>
      <c r="J450" s="629">
        <f t="shared" si="234"/>
        <v>18956.081083743844</v>
      </c>
      <c r="K450"/>
      <c r="L450"/>
      <c r="M450"/>
      <c r="N450"/>
      <c r="O450"/>
      <c r="P450"/>
      <c r="Q450"/>
      <c r="R450"/>
      <c r="S450"/>
      <c r="T450"/>
      <c r="U450"/>
      <c r="V450"/>
      <c r="W450"/>
      <c r="X450"/>
      <c r="Y450"/>
      <c r="Z450"/>
      <c r="AA450"/>
      <c r="AB450"/>
      <c r="AC450"/>
      <c r="AD450"/>
      <c r="AE450"/>
      <c r="AF450"/>
      <c r="AY450" s="465"/>
    </row>
    <row r="451" spans="1:51" x14ac:dyDescent="0.25">
      <c r="A451" s="622" t="s">
        <v>27</v>
      </c>
      <c r="B451" s="255">
        <f t="shared" ref="B451:H451" si="236">B454*B444</f>
        <v>349546.01724137936</v>
      </c>
      <c r="C451" s="133">
        <f t="shared" si="236"/>
        <v>894178.1482758621</v>
      </c>
      <c r="D451" s="133">
        <f t="shared" si="236"/>
        <v>483575.62068965519</v>
      </c>
      <c r="E451" s="133">
        <f t="shared" si="236"/>
        <v>725854.89103448286</v>
      </c>
      <c r="F451" s="133">
        <f t="shared" si="236"/>
        <v>884544.36206896557</v>
      </c>
      <c r="G451" s="133">
        <f t="shared" si="236"/>
        <v>985746.64</v>
      </c>
      <c r="H451" s="133">
        <f t="shared" si="236"/>
        <v>530889.0703448276</v>
      </c>
      <c r="I451" s="133">
        <f>SUM(B451:H451)</f>
        <v>4854334.7496551722</v>
      </c>
      <c r="J451" s="629">
        <f t="shared" si="234"/>
        <v>693476.3928078817</v>
      </c>
      <c r="K451"/>
      <c r="L451"/>
      <c r="M451"/>
      <c r="N451"/>
      <c r="O451"/>
      <c r="P451"/>
      <c r="Q451"/>
      <c r="R451"/>
      <c r="S451"/>
      <c r="T451"/>
      <c r="U451"/>
      <c r="V451"/>
      <c r="W451"/>
      <c r="X451"/>
      <c r="Y451"/>
      <c r="Z451"/>
      <c r="AA451"/>
      <c r="AB451"/>
      <c r="AC451"/>
      <c r="AD451"/>
      <c r="AE451"/>
      <c r="AF451"/>
      <c r="AY451" s="465"/>
    </row>
    <row r="452" spans="1:51" x14ac:dyDescent="0.25">
      <c r="A452" s="622" t="s">
        <v>28</v>
      </c>
      <c r="B452" s="255">
        <f t="shared" ref="B452:H452" si="237">B454*B445</f>
        <v>55927.3627586207</v>
      </c>
      <c r="C452" s="133">
        <f t="shared" si="237"/>
        <v>39741.251034482761</v>
      </c>
      <c r="D452" s="133">
        <f t="shared" si="237"/>
        <v>38686.049655172414</v>
      </c>
      <c r="E452" s="133">
        <f t="shared" si="237"/>
        <v>87982.411034482779</v>
      </c>
      <c r="F452" s="133">
        <f t="shared" si="237"/>
        <v>176908.87241379311</v>
      </c>
      <c r="G452" s="133">
        <f t="shared" si="237"/>
        <v>203947.58068965518</v>
      </c>
      <c r="H452" s="133">
        <f t="shared" si="237"/>
        <v>235950.69793103449</v>
      </c>
      <c r="I452" s="133">
        <f>SUM(B452:H452)</f>
        <v>839144.2255172414</v>
      </c>
      <c r="J452" s="629">
        <f t="shared" si="234"/>
        <v>119877.74650246305</v>
      </c>
      <c r="K452"/>
      <c r="L452"/>
      <c r="M452"/>
      <c r="N452"/>
      <c r="O452"/>
      <c r="P452"/>
      <c r="Q452"/>
      <c r="R452"/>
      <c r="S452"/>
      <c r="T452"/>
      <c r="U452"/>
      <c r="V452"/>
      <c r="W452"/>
      <c r="X452"/>
      <c r="Y452"/>
      <c r="Z452"/>
      <c r="AA452"/>
      <c r="AB452"/>
      <c r="AC452"/>
      <c r="AD452"/>
      <c r="AE452"/>
      <c r="AF452"/>
      <c r="AY452" s="465"/>
    </row>
    <row r="453" spans="1:51" x14ac:dyDescent="0.25">
      <c r="A453" s="622" t="s">
        <v>29</v>
      </c>
      <c r="B453" s="255">
        <f t="shared" ref="B453:H453" si="238">B454*B446</f>
        <v>0</v>
      </c>
      <c r="C453" s="727">
        <f t="shared" si="238"/>
        <v>19870.62551724138</v>
      </c>
      <c r="D453" s="727">
        <f t="shared" si="238"/>
        <v>0</v>
      </c>
      <c r="E453" s="727">
        <f t="shared" si="238"/>
        <v>0</v>
      </c>
      <c r="F453" s="727">
        <f t="shared" si="238"/>
        <v>0</v>
      </c>
      <c r="G453" s="727">
        <f t="shared" si="238"/>
        <v>0</v>
      </c>
      <c r="H453" s="727">
        <f t="shared" si="238"/>
        <v>0</v>
      </c>
      <c r="I453" s="133">
        <f>SUM(B453:H453)</f>
        <v>19870.62551724138</v>
      </c>
      <c r="J453" s="629">
        <f t="shared" si="234"/>
        <v>2838.6607881773402</v>
      </c>
      <c r="K453"/>
      <c r="L453"/>
      <c r="M453"/>
      <c r="N453"/>
      <c r="O453"/>
      <c r="P453"/>
      <c r="Q453"/>
      <c r="R453"/>
      <c r="S453"/>
      <c r="T453"/>
      <c r="U453"/>
      <c r="V453"/>
      <c r="W453"/>
      <c r="X453"/>
      <c r="Y453"/>
      <c r="Z453"/>
      <c r="AA453"/>
      <c r="AB453"/>
      <c r="AC453"/>
      <c r="AD453"/>
      <c r="AE453"/>
      <c r="AF453"/>
      <c r="AY453" s="465"/>
    </row>
    <row r="454" spans="1:51" x14ac:dyDescent="0.25">
      <c r="A454" s="630" t="s">
        <v>30</v>
      </c>
      <c r="B454" s="726">
        <f>(1697500/1.16)-B455</f>
        <v>1398184.0689655175</v>
      </c>
      <c r="C454" s="729">
        <f>(2391800/1.16)-C455</f>
        <v>1987062.551724138</v>
      </c>
      <c r="D454" s="729">
        <f>(2350200/1.16)-D455</f>
        <v>1934302.4827586208</v>
      </c>
      <c r="E454" s="729">
        <f>(2669100/1.16)-E455</f>
        <v>2199560.2758620693</v>
      </c>
      <c r="F454" s="729">
        <f>(4269500/1.16)-F455</f>
        <v>3538177.4482758623</v>
      </c>
      <c r="G454" s="729">
        <f>(4099800/1.16)-G455</f>
        <v>3399126.3448275863</v>
      </c>
      <c r="H454" s="729">
        <f>(3594900/1.16)-H455</f>
        <v>2949383.7241379311</v>
      </c>
      <c r="I454" s="137">
        <f>SUM(I449:I453)</f>
        <v>17405796.896551728</v>
      </c>
      <c r="J454" s="631">
        <f t="shared" si="234"/>
        <v>2486542.4137931042</v>
      </c>
      <c r="K454"/>
      <c r="L454"/>
      <c r="M454"/>
      <c r="N454"/>
      <c r="O454"/>
      <c r="P454"/>
      <c r="Q454"/>
      <c r="R454"/>
      <c r="S454"/>
      <c r="T454"/>
      <c r="U454"/>
      <c r="V454"/>
      <c r="W454"/>
      <c r="X454"/>
      <c r="Y454"/>
      <c r="Z454"/>
      <c r="AA454"/>
      <c r="AB454"/>
      <c r="AC454"/>
      <c r="AD454"/>
      <c r="AE454"/>
      <c r="AF454"/>
      <c r="AY454" s="465"/>
    </row>
    <row r="455" spans="1:51" x14ac:dyDescent="0.25">
      <c r="A455" s="622" t="s">
        <v>31</v>
      </c>
      <c r="B455" s="263">
        <f t="shared" ref="B455:H455" si="239">2414*B436</f>
        <v>65178</v>
      </c>
      <c r="C455" s="728">
        <f t="shared" si="239"/>
        <v>74834</v>
      </c>
      <c r="D455" s="728">
        <f t="shared" si="239"/>
        <v>91732</v>
      </c>
      <c r="E455" s="728">
        <f t="shared" si="239"/>
        <v>101388</v>
      </c>
      <c r="F455" s="728">
        <f t="shared" si="239"/>
        <v>142426</v>
      </c>
      <c r="G455" s="728">
        <f t="shared" si="239"/>
        <v>135184</v>
      </c>
      <c r="H455" s="728">
        <f t="shared" si="239"/>
        <v>149668</v>
      </c>
      <c r="I455" s="139">
        <f>I436*2414</f>
        <v>760410</v>
      </c>
      <c r="J455" s="632">
        <f>2155*J436</f>
        <v>96975</v>
      </c>
      <c r="K455"/>
      <c r="L455"/>
      <c r="M455"/>
      <c r="N455"/>
      <c r="O455"/>
      <c r="P455"/>
      <c r="Q455"/>
      <c r="R455"/>
      <c r="S455"/>
      <c r="T455"/>
      <c r="U455"/>
      <c r="V455"/>
      <c r="W455"/>
      <c r="X455"/>
      <c r="Y455"/>
      <c r="Z455"/>
      <c r="AA455"/>
      <c r="AB455"/>
      <c r="AC455"/>
      <c r="AD455"/>
      <c r="AE455"/>
      <c r="AF455"/>
      <c r="AY455" s="465"/>
    </row>
    <row r="456" spans="1:51" x14ac:dyDescent="0.25">
      <c r="A456" s="633" t="s">
        <v>32</v>
      </c>
      <c r="B456" s="411">
        <f t="shared" ref="B456:J456" si="240">B454+B455</f>
        <v>1463362.0689655175</v>
      </c>
      <c r="C456" s="40">
        <f t="shared" si="240"/>
        <v>2061896.551724138</v>
      </c>
      <c r="D456" s="40">
        <f t="shared" si="240"/>
        <v>2026034.4827586208</v>
      </c>
      <c r="E456" s="40">
        <f t="shared" si="240"/>
        <v>2300948.2758620693</v>
      </c>
      <c r="F456" s="40">
        <f t="shared" si="240"/>
        <v>3680603.4482758623</v>
      </c>
      <c r="G456" s="40">
        <f t="shared" si="240"/>
        <v>3534310.3448275863</v>
      </c>
      <c r="H456" s="40">
        <f t="shared" si="240"/>
        <v>3099051.7241379311</v>
      </c>
      <c r="I456" s="40">
        <f t="shared" si="240"/>
        <v>18166206.896551728</v>
      </c>
      <c r="J456" s="634">
        <f t="shared" si="240"/>
        <v>2583517.4137931042</v>
      </c>
      <c r="K456"/>
      <c r="L456"/>
      <c r="M456"/>
      <c r="N456"/>
      <c r="O456"/>
      <c r="P456"/>
      <c r="Q456"/>
      <c r="R456"/>
      <c r="S456"/>
      <c r="T456"/>
      <c r="U456"/>
      <c r="V456"/>
      <c r="W456"/>
      <c r="X456"/>
      <c r="Y456"/>
      <c r="Z456"/>
      <c r="AA456"/>
      <c r="AB456"/>
      <c r="AC456"/>
      <c r="AD456"/>
      <c r="AE456"/>
      <c r="AF456"/>
      <c r="AY456" s="465"/>
    </row>
    <row r="457" spans="1:51" x14ac:dyDescent="0.25">
      <c r="A457" s="622" t="s">
        <v>33</v>
      </c>
      <c r="B457" s="413">
        <f t="shared" ref="B457:J457" si="241">B456*16%</f>
        <v>234137.93103448278</v>
      </c>
      <c r="C457" s="42">
        <f t="shared" si="241"/>
        <v>329903.44827586209</v>
      </c>
      <c r="D457" s="42">
        <f t="shared" si="241"/>
        <v>324165.5172413793</v>
      </c>
      <c r="E457" s="42">
        <f t="shared" si="241"/>
        <v>368151.72413793107</v>
      </c>
      <c r="F457" s="42">
        <f t="shared" si="241"/>
        <v>588896.55172413797</v>
      </c>
      <c r="G457" s="42">
        <f t="shared" si="241"/>
        <v>565489.6551724138</v>
      </c>
      <c r="H457" s="42">
        <f t="shared" si="241"/>
        <v>495848.27586206899</v>
      </c>
      <c r="I457" s="42">
        <f t="shared" si="241"/>
        <v>2906593.1034482764</v>
      </c>
      <c r="J457" s="635">
        <f t="shared" si="241"/>
        <v>413362.78620689671</v>
      </c>
      <c r="K457"/>
      <c r="L457"/>
      <c r="M457"/>
      <c r="N457"/>
      <c r="O457"/>
      <c r="P457"/>
      <c r="Q457"/>
      <c r="R457"/>
      <c r="S457"/>
      <c r="T457"/>
      <c r="U457"/>
      <c r="V457"/>
      <c r="W457"/>
      <c r="X457"/>
      <c r="Y457"/>
      <c r="Z457"/>
      <c r="AA457"/>
      <c r="AB457"/>
      <c r="AC457"/>
      <c r="AD457"/>
      <c r="AE457"/>
      <c r="AF457"/>
      <c r="AY457" s="465"/>
    </row>
    <row r="458" spans="1:51" ht="15.75" thickBot="1" x14ac:dyDescent="0.3">
      <c r="A458" s="636" t="s">
        <v>34</v>
      </c>
      <c r="B458" s="637">
        <f t="shared" ref="B458:I458" si="242">B456+B457</f>
        <v>1697500.0000000002</v>
      </c>
      <c r="C458" s="638">
        <f t="shared" si="242"/>
        <v>2391800</v>
      </c>
      <c r="D458" s="638">
        <f t="shared" si="242"/>
        <v>2350200</v>
      </c>
      <c r="E458" s="638">
        <f t="shared" si="242"/>
        <v>2669100.0000000005</v>
      </c>
      <c r="F458" s="638">
        <f t="shared" si="242"/>
        <v>4269500</v>
      </c>
      <c r="G458" s="638">
        <f t="shared" si="242"/>
        <v>4099800</v>
      </c>
      <c r="H458" s="638">
        <f t="shared" si="242"/>
        <v>3594900</v>
      </c>
      <c r="I458" s="638">
        <f t="shared" si="242"/>
        <v>21072800.000000004</v>
      </c>
      <c r="J458" s="639">
        <f>+$I458/7</f>
        <v>3010400.0000000005</v>
      </c>
      <c r="K458"/>
      <c r="L458"/>
      <c r="M458"/>
      <c r="N458"/>
      <c r="O458"/>
      <c r="P458"/>
      <c r="Q458"/>
      <c r="R458"/>
      <c r="S458"/>
      <c r="T458"/>
      <c r="U458"/>
      <c r="V458"/>
      <c r="W458"/>
      <c r="X458"/>
      <c r="Y458"/>
      <c r="Z458"/>
      <c r="AA458"/>
      <c r="AB458"/>
      <c r="AC458"/>
      <c r="AD458"/>
      <c r="AE458"/>
      <c r="AF458"/>
      <c r="AY458" s="465"/>
    </row>
    <row r="459" spans="1:51" ht="15.75" thickBot="1" x14ac:dyDescent="0.3">
      <c r="K459"/>
      <c r="L459"/>
      <c r="M459"/>
      <c r="N459"/>
      <c r="O459"/>
      <c r="P459"/>
      <c r="Q459"/>
      <c r="R459"/>
      <c r="S459"/>
      <c r="T459"/>
      <c r="U459"/>
      <c r="V459"/>
      <c r="W459"/>
      <c r="X459"/>
      <c r="Y459"/>
      <c r="Z459"/>
      <c r="AA459"/>
      <c r="AB459"/>
      <c r="AC459"/>
      <c r="AD459"/>
      <c r="AE459"/>
      <c r="AF459"/>
      <c r="AY459" s="465"/>
    </row>
    <row r="460" spans="1:51" ht="27" thickBot="1" x14ac:dyDescent="0.3">
      <c r="A460" s="85"/>
      <c r="B460" s="1002" t="s">
        <v>166</v>
      </c>
      <c r="C460" s="1002"/>
      <c r="D460" s="1002"/>
      <c r="E460" s="1002"/>
      <c r="F460" s="1002"/>
      <c r="G460" s="1002"/>
      <c r="H460" s="1002"/>
      <c r="I460" s="1002"/>
      <c r="J460" s="85"/>
      <c r="K460"/>
      <c r="L460"/>
      <c r="M460"/>
      <c r="N460"/>
      <c r="O460"/>
      <c r="P460"/>
      <c r="Q460"/>
      <c r="R460"/>
      <c r="S460"/>
      <c r="T460"/>
      <c r="U460"/>
      <c r="V460"/>
      <c r="W460"/>
      <c r="X460"/>
      <c r="Y460"/>
      <c r="Z460"/>
      <c r="AA460"/>
      <c r="AB460"/>
      <c r="AC460"/>
      <c r="AD460"/>
      <c r="AE460"/>
      <c r="AF460"/>
      <c r="AY460" s="465"/>
    </row>
    <row r="461" spans="1:51" ht="15.75" x14ac:dyDescent="0.25">
      <c r="A461" s="614" t="s">
        <v>2</v>
      </c>
      <c r="B461" s="706" t="s">
        <v>345</v>
      </c>
      <c r="C461" s="617" t="s">
        <v>346</v>
      </c>
      <c r="D461" s="617" t="s">
        <v>347</v>
      </c>
      <c r="E461" s="617" t="s">
        <v>348</v>
      </c>
      <c r="F461" s="617" t="s">
        <v>349</v>
      </c>
      <c r="G461" s="617" t="s">
        <v>350</v>
      </c>
      <c r="H461" s="617" t="s">
        <v>351</v>
      </c>
      <c r="I461" s="618" t="s">
        <v>10</v>
      </c>
      <c r="J461" s="619" t="s">
        <v>77</v>
      </c>
      <c r="K461"/>
      <c r="L461"/>
      <c r="M461"/>
      <c r="N461"/>
      <c r="O461"/>
      <c r="P461"/>
      <c r="Q461"/>
      <c r="R461"/>
      <c r="S461"/>
      <c r="T461"/>
      <c r="U461"/>
      <c r="V461"/>
      <c r="W461"/>
      <c r="X461"/>
      <c r="Y461"/>
      <c r="Z461"/>
      <c r="AA461"/>
      <c r="AB461"/>
      <c r="AC461"/>
      <c r="AD461"/>
      <c r="AE461"/>
      <c r="AF461"/>
      <c r="AY461" s="465"/>
    </row>
    <row r="462" spans="1:51" x14ac:dyDescent="0.25">
      <c r="A462" s="620" t="s">
        <v>11</v>
      </c>
      <c r="B462" s="433">
        <f>42+33+6</f>
        <v>81</v>
      </c>
      <c r="C462" s="673">
        <f>32+25+10</f>
        <v>67</v>
      </c>
      <c r="D462" s="739">
        <f>50+25+11</f>
        <v>86</v>
      </c>
      <c r="E462" s="673">
        <f>40+20+7</f>
        <v>67</v>
      </c>
      <c r="F462" s="673">
        <f>53+33+9</f>
        <v>95</v>
      </c>
      <c r="G462" s="673">
        <f>21+12+2</f>
        <v>35</v>
      </c>
      <c r="H462" s="673">
        <f>92+58+18</f>
        <v>168</v>
      </c>
      <c r="I462" s="673">
        <f t="shared" ref="I462:I467" si="243">SUM(B462:H462)</f>
        <v>599</v>
      </c>
      <c r="J462" s="621">
        <f t="shared" ref="J462:J468" si="244">+$I462/7</f>
        <v>85.571428571428569</v>
      </c>
      <c r="K462"/>
      <c r="L462"/>
      <c r="M462"/>
      <c r="N462"/>
      <c r="O462"/>
      <c r="P462"/>
      <c r="Q462"/>
      <c r="R462"/>
      <c r="S462"/>
      <c r="T462"/>
      <c r="U462"/>
      <c r="V462"/>
      <c r="W462"/>
      <c r="X462"/>
      <c r="Y462"/>
      <c r="Z462"/>
      <c r="AA462"/>
      <c r="AB462"/>
      <c r="AC462"/>
      <c r="AD462"/>
      <c r="AE462"/>
      <c r="AF462"/>
      <c r="AY462" s="465"/>
    </row>
    <row r="463" spans="1:51" x14ac:dyDescent="0.25">
      <c r="A463" s="622" t="s">
        <v>12</v>
      </c>
      <c r="B463" s="233">
        <v>31</v>
      </c>
      <c r="C463" s="671">
        <v>23</v>
      </c>
      <c r="D463" s="671">
        <v>25</v>
      </c>
      <c r="E463" s="671">
        <v>28</v>
      </c>
      <c r="F463" s="671">
        <v>40</v>
      </c>
      <c r="G463" s="675">
        <v>16</v>
      </c>
      <c r="H463" s="671">
        <v>64</v>
      </c>
      <c r="I463" s="671">
        <f t="shared" si="243"/>
        <v>227</v>
      </c>
      <c r="J463" s="623">
        <f t="shared" si="244"/>
        <v>32.428571428571431</v>
      </c>
      <c r="K463"/>
      <c r="L463"/>
      <c r="M463"/>
      <c r="N463"/>
      <c r="O463"/>
      <c r="P463"/>
      <c r="Q463"/>
      <c r="R463"/>
      <c r="S463"/>
      <c r="T463"/>
      <c r="U463"/>
      <c r="V463"/>
      <c r="W463"/>
      <c r="X463"/>
      <c r="Y463"/>
      <c r="Z463"/>
      <c r="AA463"/>
      <c r="AB463"/>
      <c r="AC463"/>
      <c r="AD463"/>
      <c r="AE463"/>
      <c r="AF463"/>
      <c r="AY463" s="465"/>
    </row>
    <row r="464" spans="1:51" x14ac:dyDescent="0.25">
      <c r="A464" s="622" t="s">
        <v>13</v>
      </c>
      <c r="B464" s="233">
        <v>0</v>
      </c>
      <c r="C464" s="13">
        <v>0</v>
      </c>
      <c r="D464" s="13">
        <v>2</v>
      </c>
      <c r="E464" s="13">
        <v>0</v>
      </c>
      <c r="F464" s="13">
        <v>0</v>
      </c>
      <c r="G464" s="13">
        <v>0</v>
      </c>
      <c r="H464" s="13">
        <v>0</v>
      </c>
      <c r="I464" s="13">
        <f t="shared" si="243"/>
        <v>2</v>
      </c>
      <c r="J464" s="623">
        <f t="shared" si="244"/>
        <v>0.2857142857142857</v>
      </c>
      <c r="K464"/>
      <c r="L464"/>
      <c r="M464"/>
      <c r="N464"/>
      <c r="O464"/>
      <c r="P464"/>
      <c r="Q464"/>
      <c r="R464"/>
      <c r="S464"/>
      <c r="T464"/>
      <c r="U464"/>
      <c r="V464"/>
      <c r="W464"/>
      <c r="X464"/>
      <c r="Y464"/>
      <c r="Z464"/>
      <c r="AA464"/>
      <c r="AB464"/>
      <c r="AC464"/>
      <c r="AD464"/>
      <c r="AE464"/>
      <c r="AF464"/>
      <c r="AY464" s="465"/>
    </row>
    <row r="465" spans="1:51" x14ac:dyDescent="0.25">
      <c r="A465" s="622" t="s">
        <v>14</v>
      </c>
      <c r="B465" s="233">
        <v>30</v>
      </c>
      <c r="C465" s="13">
        <v>21</v>
      </c>
      <c r="D465" s="13">
        <v>36</v>
      </c>
      <c r="E465" s="13">
        <v>30</v>
      </c>
      <c r="F465" s="13">
        <v>29</v>
      </c>
      <c r="G465" s="13">
        <v>10</v>
      </c>
      <c r="H465" s="13">
        <v>49</v>
      </c>
      <c r="I465" s="13">
        <f t="shared" si="243"/>
        <v>205</v>
      </c>
      <c r="J465" s="623">
        <f t="shared" si="244"/>
        <v>29.285714285714285</v>
      </c>
      <c r="K465"/>
      <c r="L465"/>
      <c r="M465"/>
      <c r="N465"/>
      <c r="O465"/>
      <c r="P465"/>
      <c r="Q465"/>
      <c r="R465"/>
      <c r="S465"/>
      <c r="T465"/>
      <c r="U465"/>
      <c r="V465"/>
      <c r="W465"/>
      <c r="X465"/>
      <c r="Y465"/>
      <c r="Z465"/>
      <c r="AA465"/>
      <c r="AB465"/>
      <c r="AC465"/>
      <c r="AD465"/>
      <c r="AE465"/>
      <c r="AF465"/>
      <c r="AY465" s="465"/>
    </row>
    <row r="466" spans="1:51" x14ac:dyDescent="0.25">
      <c r="A466" s="622" t="s">
        <v>15</v>
      </c>
      <c r="B466" s="233">
        <v>2</v>
      </c>
      <c r="C466" s="13">
        <v>8</v>
      </c>
      <c r="D466" s="13">
        <v>4</v>
      </c>
      <c r="E466" s="13">
        <v>3</v>
      </c>
      <c r="F466" s="13">
        <v>7</v>
      </c>
      <c r="G466" s="13">
        <v>4</v>
      </c>
      <c r="H466" s="13">
        <v>14</v>
      </c>
      <c r="I466" s="13">
        <f t="shared" si="243"/>
        <v>42</v>
      </c>
      <c r="J466" s="623">
        <f t="shared" si="244"/>
        <v>6</v>
      </c>
      <c r="K466"/>
      <c r="L466"/>
      <c r="M466"/>
      <c r="N466"/>
      <c r="O466"/>
      <c r="P466"/>
      <c r="Q466"/>
      <c r="R466"/>
      <c r="S466"/>
      <c r="T466"/>
      <c r="U466"/>
      <c r="V466"/>
      <c r="W466"/>
      <c r="X466"/>
      <c r="Y466"/>
      <c r="Z466"/>
      <c r="AA466"/>
      <c r="AB466"/>
      <c r="AC466"/>
      <c r="AD466"/>
      <c r="AE466"/>
      <c r="AF466"/>
      <c r="AY466" s="465"/>
    </row>
    <row r="467" spans="1:51" x14ac:dyDescent="0.25">
      <c r="A467" s="622" t="s">
        <v>16</v>
      </c>
      <c r="B467" s="233">
        <v>0</v>
      </c>
      <c r="C467" s="13">
        <v>0</v>
      </c>
      <c r="D467" s="13">
        <v>0</v>
      </c>
      <c r="E467" s="13">
        <v>0</v>
      </c>
      <c r="F467" s="13">
        <v>0</v>
      </c>
      <c r="G467" s="13">
        <v>0</v>
      </c>
      <c r="H467" s="13">
        <v>1</v>
      </c>
      <c r="I467" s="13">
        <f t="shared" si="243"/>
        <v>1</v>
      </c>
      <c r="J467" s="623">
        <f t="shared" si="244"/>
        <v>0.14285714285714285</v>
      </c>
      <c r="K467"/>
      <c r="L467"/>
      <c r="M467"/>
      <c r="N467"/>
      <c r="O467"/>
      <c r="P467"/>
      <c r="Q467"/>
      <c r="R467"/>
      <c r="S467"/>
      <c r="T467"/>
      <c r="U467"/>
      <c r="V467"/>
      <c r="W467"/>
      <c r="X467"/>
      <c r="Y467"/>
      <c r="Z467"/>
      <c r="AA467"/>
      <c r="AB467"/>
      <c r="AC467"/>
      <c r="AD467"/>
      <c r="AE467"/>
      <c r="AF467"/>
      <c r="AY467" s="465"/>
    </row>
    <row r="468" spans="1:51" x14ac:dyDescent="0.25">
      <c r="A468" s="624" t="s">
        <v>17</v>
      </c>
      <c r="B468" s="102">
        <f t="shared" ref="B468:H468" si="245">SUM(B463:B467)</f>
        <v>63</v>
      </c>
      <c r="C468" s="79">
        <f t="shared" si="245"/>
        <v>52</v>
      </c>
      <c r="D468" s="79">
        <f t="shared" si="245"/>
        <v>67</v>
      </c>
      <c r="E468" s="79">
        <f t="shared" si="245"/>
        <v>61</v>
      </c>
      <c r="F468" s="79">
        <f t="shared" si="245"/>
        <v>76</v>
      </c>
      <c r="G468" s="79">
        <f t="shared" si="245"/>
        <v>30</v>
      </c>
      <c r="H468" s="79">
        <f t="shared" si="245"/>
        <v>128</v>
      </c>
      <c r="I468" s="79">
        <f>SUM(I463:I467)</f>
        <v>477</v>
      </c>
      <c r="J468" s="625">
        <f t="shared" si="244"/>
        <v>68.142857142857139</v>
      </c>
      <c r="K468"/>
      <c r="L468"/>
      <c r="M468"/>
      <c r="N468"/>
      <c r="O468"/>
      <c r="P468"/>
      <c r="Q468"/>
      <c r="R468"/>
      <c r="S468"/>
      <c r="T468"/>
      <c r="U468"/>
      <c r="V468"/>
      <c r="W468"/>
      <c r="X468"/>
      <c r="Y468"/>
      <c r="Z468"/>
      <c r="AA468"/>
      <c r="AB468"/>
      <c r="AC468"/>
      <c r="AD468"/>
      <c r="AE468"/>
      <c r="AF468"/>
      <c r="AY468" s="465"/>
    </row>
    <row r="469" spans="1:51" x14ac:dyDescent="0.25">
      <c r="A469" s="622" t="s">
        <v>18</v>
      </c>
      <c r="B469" s="406">
        <v>0.56999999999999995</v>
      </c>
      <c r="C469" s="19">
        <v>0.43</v>
      </c>
      <c r="D469" s="19">
        <v>0.5</v>
      </c>
      <c r="E469" s="19">
        <v>0.54</v>
      </c>
      <c r="F469" s="19">
        <v>0.62</v>
      </c>
      <c r="G469" s="19">
        <v>0.6</v>
      </c>
      <c r="H469" s="19">
        <v>0.6</v>
      </c>
      <c r="I469" s="19">
        <f>I476/I481</f>
        <v>0.56006377690610942</v>
      </c>
      <c r="J469" s="626">
        <f>J476/J481</f>
        <v>0.56006377690610942</v>
      </c>
      <c r="K469"/>
      <c r="L469"/>
      <c r="M469"/>
      <c r="N469"/>
      <c r="O469"/>
      <c r="P469"/>
      <c r="Q469"/>
      <c r="R469"/>
      <c r="S469"/>
      <c r="T469"/>
      <c r="U469"/>
      <c r="V469"/>
      <c r="W469"/>
      <c r="X469"/>
      <c r="Y469"/>
      <c r="Z469"/>
      <c r="AA469"/>
      <c r="AB469"/>
      <c r="AC469"/>
      <c r="AD469"/>
      <c r="AE469"/>
      <c r="AF469"/>
      <c r="AY469" s="465"/>
    </row>
    <row r="470" spans="1:51" x14ac:dyDescent="0.25">
      <c r="A470" s="622" t="s">
        <v>19</v>
      </c>
      <c r="B470" s="406">
        <v>0</v>
      </c>
      <c r="C470" s="19">
        <v>0</v>
      </c>
      <c r="D470" s="19">
        <v>0.02</v>
      </c>
      <c r="E470" s="19">
        <v>0</v>
      </c>
      <c r="F470" s="19">
        <v>0</v>
      </c>
      <c r="G470" s="19">
        <v>0</v>
      </c>
      <c r="H470" s="19">
        <v>0</v>
      </c>
      <c r="I470" s="19">
        <f>I477/I481</f>
        <v>2.7803072199919744E-3</v>
      </c>
      <c r="J470" s="626">
        <f>J477/J481</f>
        <v>2.7803072199919739E-3</v>
      </c>
      <c r="K470"/>
      <c r="L470"/>
      <c r="M470"/>
      <c r="N470"/>
      <c r="O470"/>
      <c r="P470"/>
      <c r="Q470"/>
      <c r="R470"/>
      <c r="S470"/>
      <c r="T470"/>
      <c r="U470"/>
      <c r="V470"/>
      <c r="W470"/>
      <c r="X470"/>
      <c r="Y470"/>
      <c r="Z470"/>
      <c r="AA470"/>
      <c r="AB470"/>
      <c r="AC470"/>
      <c r="AD470"/>
      <c r="AE470"/>
      <c r="AF470"/>
      <c r="AY470" s="465"/>
    </row>
    <row r="471" spans="1:51" x14ac:dyDescent="0.25">
      <c r="A471" s="622" t="s">
        <v>20</v>
      </c>
      <c r="B471" s="406">
        <v>0.4</v>
      </c>
      <c r="C471" s="19">
        <v>0.43</v>
      </c>
      <c r="D471" s="19">
        <v>0.45</v>
      </c>
      <c r="E471" s="19">
        <v>0.44</v>
      </c>
      <c r="F471" s="19">
        <v>0.31</v>
      </c>
      <c r="G471" s="19">
        <v>0.28000000000000003</v>
      </c>
      <c r="H471" s="19">
        <v>0.31</v>
      </c>
      <c r="I471" s="19">
        <f>I478/I481</f>
        <v>0.36868748578324739</v>
      </c>
      <c r="J471" s="626">
        <f>J478/J481</f>
        <v>0.36868748578324734</v>
      </c>
      <c r="K471"/>
      <c r="L471"/>
      <c r="M471"/>
      <c r="N471"/>
      <c r="O471"/>
      <c r="P471"/>
      <c r="Q471"/>
      <c r="R471"/>
      <c r="S471"/>
      <c r="T471"/>
      <c r="U471"/>
      <c r="V471"/>
      <c r="W471"/>
      <c r="X471"/>
      <c r="Y471"/>
      <c r="Z471"/>
      <c r="AA471"/>
      <c r="AB471"/>
      <c r="AC471"/>
      <c r="AD471"/>
      <c r="AE471"/>
      <c r="AF471"/>
      <c r="AY471" s="465"/>
    </row>
    <row r="472" spans="1:51" x14ac:dyDescent="0.25">
      <c r="A472" s="622" t="s">
        <v>21</v>
      </c>
      <c r="B472" s="406">
        <v>0.03</v>
      </c>
      <c r="C472" s="19">
        <v>0.14000000000000001</v>
      </c>
      <c r="D472" s="19">
        <v>0.03</v>
      </c>
      <c r="E472" s="19">
        <v>0.02</v>
      </c>
      <c r="F472" s="19">
        <v>7.0000000000000007E-2</v>
      </c>
      <c r="G472" s="19">
        <v>0.12</v>
      </c>
      <c r="H472" s="19">
        <v>0.08</v>
      </c>
      <c r="I472" s="19">
        <f>I479/I481</f>
        <v>6.5716951357361747E-2</v>
      </c>
      <c r="J472" s="626">
        <f>J479/J481</f>
        <v>6.5716951357361747E-2</v>
      </c>
      <c r="K472"/>
      <c r="L472"/>
      <c r="M472"/>
      <c r="N472"/>
      <c r="O472"/>
      <c r="P472"/>
      <c r="Q472"/>
      <c r="R472"/>
      <c r="S472"/>
      <c r="T472"/>
      <c r="U472"/>
      <c r="V472"/>
      <c r="W472"/>
      <c r="X472"/>
      <c r="Y472"/>
      <c r="Z472"/>
      <c r="AA472"/>
      <c r="AB472"/>
      <c r="AC472"/>
      <c r="AD472"/>
      <c r="AE472"/>
      <c r="AF472"/>
      <c r="AY472" s="465"/>
    </row>
    <row r="473" spans="1:51" x14ac:dyDescent="0.25">
      <c r="A473" s="622" t="s">
        <v>22</v>
      </c>
      <c r="B473" s="406">
        <v>0</v>
      </c>
      <c r="C473" s="19">
        <v>0</v>
      </c>
      <c r="D473" s="19">
        <v>0</v>
      </c>
      <c r="E473" s="19">
        <v>0</v>
      </c>
      <c r="F473" s="19">
        <v>0</v>
      </c>
      <c r="G473" s="19">
        <v>0</v>
      </c>
      <c r="H473" s="19">
        <v>0.01</v>
      </c>
      <c r="I473" s="19">
        <f>I480/I481</f>
        <v>2.7514787332894213E-3</v>
      </c>
      <c r="J473" s="626">
        <f>J480/J481</f>
        <v>2.7514787332894213E-3</v>
      </c>
      <c r="K473"/>
      <c r="L473"/>
      <c r="M473"/>
      <c r="N473"/>
      <c r="O473"/>
      <c r="P473"/>
      <c r="Q473"/>
      <c r="R473"/>
      <c r="S473"/>
      <c r="T473"/>
      <c r="U473"/>
      <c r="V473"/>
      <c r="W473"/>
      <c r="X473"/>
      <c r="Y473"/>
      <c r="Z473"/>
      <c r="AA473"/>
      <c r="AB473"/>
      <c r="AC473"/>
      <c r="AD473"/>
      <c r="AE473"/>
      <c r="AF473"/>
      <c r="AY473" s="465"/>
    </row>
    <row r="474" spans="1:51" x14ac:dyDescent="0.25">
      <c r="A474" s="627" t="s">
        <v>23</v>
      </c>
      <c r="B474" s="409">
        <f t="shared" ref="B474:J474" si="246">B485/B468</f>
        <v>41615.873015873025</v>
      </c>
      <c r="C474" s="131">
        <f t="shared" si="246"/>
        <v>36288.461538461546</v>
      </c>
      <c r="D474" s="131">
        <f t="shared" si="246"/>
        <v>36889.552238805976</v>
      </c>
      <c r="E474" s="131">
        <f t="shared" si="246"/>
        <v>34039.344262295082</v>
      </c>
      <c r="F474" s="131">
        <f t="shared" si="246"/>
        <v>38317.1052631579</v>
      </c>
      <c r="G474" s="131">
        <f t="shared" si="246"/>
        <v>33663.333333333336</v>
      </c>
      <c r="H474" s="131">
        <f t="shared" si="246"/>
        <v>38535.937500000007</v>
      </c>
      <c r="I474" s="131">
        <f t="shared" si="246"/>
        <v>37550.104821802932</v>
      </c>
      <c r="J474" s="628">
        <f t="shared" si="246"/>
        <v>37550.104821802939</v>
      </c>
      <c r="K474"/>
      <c r="L474"/>
      <c r="M474"/>
      <c r="N474"/>
      <c r="O474"/>
      <c r="P474"/>
      <c r="Q474"/>
      <c r="R474"/>
      <c r="S474"/>
      <c r="T474"/>
      <c r="U474"/>
      <c r="V474"/>
      <c r="W474"/>
      <c r="X474"/>
      <c r="Y474"/>
      <c r="Z474"/>
      <c r="AA474"/>
      <c r="AB474"/>
      <c r="AC474"/>
      <c r="AD474"/>
      <c r="AE474"/>
      <c r="AF474"/>
      <c r="AY474" s="465"/>
    </row>
    <row r="475" spans="1:51" x14ac:dyDescent="0.25">
      <c r="A475" s="627" t="s">
        <v>24</v>
      </c>
      <c r="B475" s="409">
        <f t="shared" ref="B475:J475" si="247">B485/B462</f>
        <v>32367.901234567908</v>
      </c>
      <c r="C475" s="131">
        <f t="shared" si="247"/>
        <v>28164.179104477615</v>
      </c>
      <c r="D475" s="131">
        <f t="shared" si="247"/>
        <v>28739.534883720935</v>
      </c>
      <c r="E475" s="131">
        <f t="shared" si="247"/>
        <v>30991.044776119408</v>
      </c>
      <c r="F475" s="131">
        <f t="shared" si="247"/>
        <v>30653.68421052632</v>
      </c>
      <c r="G475" s="131">
        <f t="shared" si="247"/>
        <v>28854.285714285717</v>
      </c>
      <c r="H475" s="131">
        <f t="shared" si="247"/>
        <v>29360.71428571429</v>
      </c>
      <c r="I475" s="131">
        <f t="shared" si="247"/>
        <v>29902.170283806343</v>
      </c>
      <c r="J475" s="628">
        <f t="shared" si="247"/>
        <v>29902.170283806347</v>
      </c>
      <c r="K475"/>
      <c r="L475"/>
      <c r="M475"/>
      <c r="N475"/>
      <c r="O475"/>
      <c r="P475"/>
      <c r="Q475"/>
      <c r="R475"/>
      <c r="S475"/>
      <c r="T475"/>
      <c r="U475"/>
      <c r="V475"/>
      <c r="W475"/>
      <c r="X475"/>
      <c r="Y475"/>
      <c r="Z475"/>
      <c r="AA475"/>
      <c r="AB475"/>
      <c r="AC475"/>
      <c r="AD475"/>
      <c r="AE475"/>
      <c r="AF475"/>
      <c r="AY475" s="465"/>
    </row>
    <row r="476" spans="1:51" x14ac:dyDescent="0.25">
      <c r="A476" s="622" t="s">
        <v>25</v>
      </c>
      <c r="B476" s="255">
        <f t="shared" ref="B476:H476" si="248">B481*B469</f>
        <v>1245642.895862069</v>
      </c>
      <c r="C476" s="133">
        <f t="shared" si="248"/>
        <v>675616.91931034485</v>
      </c>
      <c r="D476" s="133">
        <f t="shared" si="248"/>
        <v>1035169.8275862071</v>
      </c>
      <c r="E476" s="133">
        <f t="shared" si="248"/>
        <v>930100.32000000018</v>
      </c>
      <c r="F476" s="133">
        <f t="shared" si="248"/>
        <v>1496600.0413793107</v>
      </c>
      <c r="G476" s="133">
        <f t="shared" si="248"/>
        <v>499187.66896551725</v>
      </c>
      <c r="H476" s="133">
        <f t="shared" si="248"/>
        <v>2458647.227586207</v>
      </c>
      <c r="I476" s="133">
        <f>SUM(B476:H476)</f>
        <v>8340964.9006896559</v>
      </c>
      <c r="J476" s="629">
        <f t="shared" ref="J476:J481" si="249">+$I476/7</f>
        <v>1191566.4143842366</v>
      </c>
      <c r="K476"/>
      <c r="L476"/>
      <c r="M476"/>
      <c r="N476"/>
      <c r="O476"/>
      <c r="P476"/>
      <c r="Q476"/>
      <c r="R476"/>
      <c r="S476"/>
      <c r="T476"/>
      <c r="U476"/>
      <c r="V476"/>
      <c r="W476"/>
      <c r="X476"/>
      <c r="Y476"/>
      <c r="Z476"/>
      <c r="AA476"/>
      <c r="AB476"/>
      <c r="AC476"/>
      <c r="AD476"/>
      <c r="AE476"/>
      <c r="AF476"/>
      <c r="AY476" s="465"/>
    </row>
    <row r="477" spans="1:51" x14ac:dyDescent="0.25">
      <c r="A477" s="622" t="s">
        <v>26</v>
      </c>
      <c r="B477" s="255">
        <f t="shared" ref="B477:H477" si="250">B481*B470</f>
        <v>0</v>
      </c>
      <c r="C477" s="133">
        <f t="shared" si="250"/>
        <v>0</v>
      </c>
      <c r="D477" s="133">
        <f t="shared" si="250"/>
        <v>41406.793103448283</v>
      </c>
      <c r="E477" s="133">
        <f t="shared" si="250"/>
        <v>0</v>
      </c>
      <c r="F477" s="133">
        <f t="shared" si="250"/>
        <v>0</v>
      </c>
      <c r="G477" s="133">
        <f t="shared" si="250"/>
        <v>0</v>
      </c>
      <c r="H477" s="133">
        <f t="shared" si="250"/>
        <v>0</v>
      </c>
      <c r="I477" s="133">
        <f>SUM(B477:H477)</f>
        <v>41406.793103448283</v>
      </c>
      <c r="J477" s="629">
        <f t="shared" si="249"/>
        <v>5915.2561576354692</v>
      </c>
      <c r="K477"/>
      <c r="L477"/>
      <c r="M477"/>
      <c r="N477"/>
      <c r="O477"/>
      <c r="P477"/>
      <c r="Q477"/>
      <c r="R477"/>
      <c r="S477"/>
      <c r="T477"/>
      <c r="U477"/>
      <c r="V477"/>
      <c r="W477"/>
      <c r="X477"/>
      <c r="Y477"/>
      <c r="Z477"/>
      <c r="AA477"/>
      <c r="AB477"/>
      <c r="AC477"/>
      <c r="AD477"/>
      <c r="AE477"/>
      <c r="AF477"/>
      <c r="AY477" s="465"/>
    </row>
    <row r="478" spans="1:51" x14ac:dyDescent="0.25">
      <c r="A478" s="622" t="s">
        <v>27</v>
      </c>
      <c r="B478" s="255">
        <f t="shared" ref="B478:H478" si="251">B481*B471</f>
        <v>874135.36551724153</v>
      </c>
      <c r="C478" s="133">
        <f t="shared" si="251"/>
        <v>675616.91931034485</v>
      </c>
      <c r="D478" s="133">
        <f t="shared" si="251"/>
        <v>931652.84482758644</v>
      </c>
      <c r="E478" s="133">
        <f t="shared" si="251"/>
        <v>757859.52000000014</v>
      </c>
      <c r="F478" s="133">
        <f t="shared" si="251"/>
        <v>748300.02068965533</v>
      </c>
      <c r="G478" s="133">
        <f t="shared" si="251"/>
        <v>232954.24551724142</v>
      </c>
      <c r="H478" s="133">
        <f t="shared" si="251"/>
        <v>1270301.0675862071</v>
      </c>
      <c r="I478" s="133">
        <f>SUM(B478:H478)</f>
        <v>5490819.9834482763</v>
      </c>
      <c r="J478" s="629">
        <f t="shared" si="249"/>
        <v>784402.85477832519</v>
      </c>
      <c r="K478"/>
      <c r="L478"/>
      <c r="M478"/>
      <c r="N478"/>
      <c r="O478"/>
      <c r="P478"/>
      <c r="Q478"/>
      <c r="R478"/>
      <c r="S478"/>
      <c r="T478"/>
      <c r="U478"/>
      <c r="V478"/>
      <c r="W478"/>
      <c r="X478"/>
      <c r="Y478"/>
      <c r="Z478"/>
      <c r="AA478"/>
      <c r="AB478"/>
      <c r="AC478"/>
      <c r="AD478"/>
      <c r="AE478"/>
      <c r="AF478"/>
      <c r="AY478" s="465"/>
    </row>
    <row r="479" spans="1:51" x14ac:dyDescent="0.25">
      <c r="A479" s="622" t="s">
        <v>28</v>
      </c>
      <c r="B479" s="255">
        <f t="shared" ref="B479:H479" si="252">B481*B472</f>
        <v>65560.152413793112</v>
      </c>
      <c r="C479" s="133">
        <f t="shared" si="252"/>
        <v>219968.29931034488</v>
      </c>
      <c r="D479" s="133">
        <f t="shared" si="252"/>
        <v>62110.18965517242</v>
      </c>
      <c r="E479" s="133">
        <f t="shared" si="252"/>
        <v>34448.160000000003</v>
      </c>
      <c r="F479" s="133">
        <f t="shared" si="252"/>
        <v>168970.97241379315</v>
      </c>
      <c r="G479" s="133">
        <f t="shared" si="252"/>
        <v>99837.533793103459</v>
      </c>
      <c r="H479" s="133">
        <f t="shared" si="252"/>
        <v>327819.6303448276</v>
      </c>
      <c r="I479" s="133">
        <f>SUM(B479:H479)</f>
        <v>978714.93793103471</v>
      </c>
      <c r="J479" s="629">
        <f t="shared" si="249"/>
        <v>139816.41970443353</v>
      </c>
      <c r="K479"/>
      <c r="L479"/>
      <c r="M479"/>
      <c r="N479"/>
      <c r="O479"/>
      <c r="P479"/>
      <c r="Q479"/>
      <c r="R479"/>
      <c r="S479"/>
      <c r="T479"/>
      <c r="U479"/>
      <c r="V479"/>
      <c r="W479"/>
      <c r="X479"/>
      <c r="Y479"/>
      <c r="Z479"/>
      <c r="AA479"/>
      <c r="AB479"/>
      <c r="AC479"/>
      <c r="AD479"/>
      <c r="AE479"/>
      <c r="AF479"/>
      <c r="AY479" s="465"/>
    </row>
    <row r="480" spans="1:51" x14ac:dyDescent="0.25">
      <c r="A480" s="622" t="s">
        <v>29</v>
      </c>
      <c r="B480" s="255">
        <f t="shared" ref="B480:H480" si="253">B481*B473</f>
        <v>0</v>
      </c>
      <c r="C480" s="727">
        <f t="shared" si="253"/>
        <v>0</v>
      </c>
      <c r="D480" s="727">
        <f t="shared" si="253"/>
        <v>0</v>
      </c>
      <c r="E480" s="727">
        <f t="shared" si="253"/>
        <v>0</v>
      </c>
      <c r="F480" s="727">
        <f t="shared" si="253"/>
        <v>0</v>
      </c>
      <c r="G480" s="727">
        <f t="shared" si="253"/>
        <v>0</v>
      </c>
      <c r="H480" s="727">
        <f t="shared" si="253"/>
        <v>40977.45379310345</v>
      </c>
      <c r="I480" s="133">
        <f>SUM(B480:H480)</f>
        <v>40977.45379310345</v>
      </c>
      <c r="J480" s="629">
        <f t="shared" si="249"/>
        <v>5853.9219704433499</v>
      </c>
      <c r="K480"/>
      <c r="L480"/>
      <c r="M480"/>
      <c r="N480"/>
      <c r="O480"/>
      <c r="P480"/>
      <c r="Q480"/>
      <c r="R480"/>
      <c r="S480"/>
      <c r="T480"/>
      <c r="U480"/>
      <c r="V480"/>
      <c r="W480"/>
      <c r="X480"/>
      <c r="Y480"/>
      <c r="Z480"/>
      <c r="AA480"/>
      <c r="AB480"/>
      <c r="AC480"/>
      <c r="AD480"/>
      <c r="AE480"/>
      <c r="AF480"/>
      <c r="AY480" s="465"/>
    </row>
    <row r="481" spans="1:51" x14ac:dyDescent="0.25">
      <c r="A481" s="630" t="s">
        <v>30</v>
      </c>
      <c r="B481" s="726">
        <f>(2621800/1.16)-B482</f>
        <v>2185338.4137931038</v>
      </c>
      <c r="C481" s="729">
        <f>(1887000/1.16)-C482</f>
        <v>1571202.1379310347</v>
      </c>
      <c r="D481" s="729">
        <f>(2471600/1.16)-D482</f>
        <v>2070339.6551724141</v>
      </c>
      <c r="E481" s="729">
        <f>(2076400/1.16)-E482</f>
        <v>1722408.0000000002</v>
      </c>
      <c r="F481" s="729">
        <f>(2912100/1.16)-F482</f>
        <v>2413871.034482759</v>
      </c>
      <c r="G481" s="729">
        <f>(1009900/1.16)-G482</f>
        <v>831979.44827586215</v>
      </c>
      <c r="H481" s="729">
        <f>(4932600/1.16)-H482</f>
        <v>4097745.3793103453</v>
      </c>
      <c r="I481" s="137">
        <f>SUM(I476:I480)</f>
        <v>14892884.068965519</v>
      </c>
      <c r="J481" s="631">
        <f t="shared" si="249"/>
        <v>2127554.8669950743</v>
      </c>
      <c r="K481"/>
      <c r="L481"/>
      <c r="M481"/>
      <c r="N481"/>
      <c r="O481"/>
      <c r="P481"/>
      <c r="Q481"/>
      <c r="R481"/>
      <c r="S481"/>
      <c r="T481"/>
      <c r="U481"/>
      <c r="V481"/>
      <c r="W481"/>
      <c r="X481"/>
      <c r="Y481"/>
      <c r="Z481"/>
      <c r="AA481"/>
      <c r="AB481"/>
      <c r="AC481"/>
      <c r="AD481"/>
      <c r="AE481"/>
      <c r="AF481"/>
      <c r="AY481" s="465"/>
    </row>
    <row r="482" spans="1:51" x14ac:dyDescent="0.25">
      <c r="A482" s="622" t="s">
        <v>31</v>
      </c>
      <c r="B482" s="263">
        <f t="shared" ref="B482:H482" si="254">2414*B463</f>
        <v>74834</v>
      </c>
      <c r="C482" s="728">
        <f t="shared" si="254"/>
        <v>55522</v>
      </c>
      <c r="D482" s="728">
        <f t="shared" si="254"/>
        <v>60350</v>
      </c>
      <c r="E482" s="728">
        <f t="shared" si="254"/>
        <v>67592</v>
      </c>
      <c r="F482" s="728">
        <f t="shared" si="254"/>
        <v>96560</v>
      </c>
      <c r="G482" s="728">
        <f t="shared" si="254"/>
        <v>38624</v>
      </c>
      <c r="H482" s="728">
        <f t="shared" si="254"/>
        <v>154496</v>
      </c>
      <c r="I482" s="139">
        <f>I463*2414</f>
        <v>547978</v>
      </c>
      <c r="J482" s="632">
        <f>2155*J463</f>
        <v>69883.571428571435</v>
      </c>
      <c r="K482"/>
      <c r="L482"/>
      <c r="M482"/>
      <c r="N482"/>
      <c r="O482"/>
      <c r="P482"/>
      <c r="Q482"/>
      <c r="R482"/>
      <c r="S482"/>
      <c r="T482"/>
      <c r="U482"/>
      <c r="V482"/>
      <c r="W482"/>
      <c r="X482"/>
      <c r="Y482"/>
      <c r="Z482"/>
      <c r="AA482"/>
      <c r="AB482"/>
      <c r="AC482"/>
      <c r="AD482"/>
      <c r="AE482"/>
      <c r="AF482"/>
      <c r="AY482" s="465"/>
    </row>
    <row r="483" spans="1:51" x14ac:dyDescent="0.25">
      <c r="A483" s="633" t="s">
        <v>32</v>
      </c>
      <c r="B483" s="411">
        <f t="shared" ref="B483:J483" si="255">B481+B482</f>
        <v>2260172.4137931038</v>
      </c>
      <c r="C483" s="40">
        <f t="shared" si="255"/>
        <v>1626724.1379310347</v>
      </c>
      <c r="D483" s="40">
        <f t="shared" si="255"/>
        <v>2130689.6551724141</v>
      </c>
      <c r="E483" s="40">
        <f t="shared" si="255"/>
        <v>1790000.0000000002</v>
      </c>
      <c r="F483" s="40">
        <f t="shared" si="255"/>
        <v>2510431.034482759</v>
      </c>
      <c r="G483" s="40">
        <f t="shared" si="255"/>
        <v>870603.44827586215</v>
      </c>
      <c r="H483" s="40">
        <f t="shared" si="255"/>
        <v>4252241.3793103453</v>
      </c>
      <c r="I483" s="40">
        <f t="shared" si="255"/>
        <v>15440862.068965519</v>
      </c>
      <c r="J483" s="634">
        <f t="shared" si="255"/>
        <v>2197438.4384236457</v>
      </c>
      <c r="K483"/>
      <c r="L483"/>
      <c r="M483"/>
      <c r="N483"/>
      <c r="O483"/>
      <c r="P483"/>
      <c r="Q483"/>
      <c r="R483"/>
      <c r="S483"/>
      <c r="T483"/>
      <c r="U483"/>
      <c r="V483"/>
      <c r="W483"/>
      <c r="X483"/>
      <c r="Y483"/>
      <c r="Z483"/>
      <c r="AA483"/>
      <c r="AB483"/>
      <c r="AC483"/>
      <c r="AD483"/>
      <c r="AE483"/>
      <c r="AF483"/>
      <c r="AY483" s="465"/>
    </row>
    <row r="484" spans="1:51" x14ac:dyDescent="0.25">
      <c r="A484" s="622" t="s">
        <v>33</v>
      </c>
      <c r="B484" s="413">
        <f t="shared" ref="B484:J484" si="256">B483*16%</f>
        <v>361627.58620689664</v>
      </c>
      <c r="C484" s="42">
        <f t="shared" si="256"/>
        <v>260275.86206896557</v>
      </c>
      <c r="D484" s="42">
        <f t="shared" si="256"/>
        <v>340910.34482758626</v>
      </c>
      <c r="E484" s="42">
        <f t="shared" si="256"/>
        <v>286400.00000000006</v>
      </c>
      <c r="F484" s="42">
        <f t="shared" si="256"/>
        <v>401668.96551724145</v>
      </c>
      <c r="G484" s="42">
        <f t="shared" si="256"/>
        <v>139296.55172413794</v>
      </c>
      <c r="H484" s="42">
        <f t="shared" si="256"/>
        <v>680358.6206896553</v>
      </c>
      <c r="I484" s="42">
        <f t="shared" si="256"/>
        <v>2470537.931034483</v>
      </c>
      <c r="J484" s="635">
        <f t="shared" si="256"/>
        <v>351590.15014778334</v>
      </c>
      <c r="K484"/>
      <c r="L484"/>
      <c r="M484"/>
      <c r="N484"/>
      <c r="O484"/>
      <c r="P484"/>
      <c r="Q484"/>
      <c r="R484"/>
      <c r="S484"/>
      <c r="T484"/>
      <c r="U484"/>
      <c r="V484"/>
      <c r="W484"/>
      <c r="X484"/>
      <c r="Y484"/>
      <c r="Z484"/>
      <c r="AA484"/>
      <c r="AB484"/>
      <c r="AC484"/>
      <c r="AD484"/>
      <c r="AE484"/>
      <c r="AF484"/>
      <c r="AY484" s="465"/>
    </row>
    <row r="485" spans="1:51" ht="15.75" thickBot="1" x14ac:dyDescent="0.3">
      <c r="A485" s="636" t="s">
        <v>34</v>
      </c>
      <c r="B485" s="637">
        <f t="shared" ref="B485:I485" si="257">B483+B484</f>
        <v>2621800.0000000005</v>
      </c>
      <c r="C485" s="638">
        <f t="shared" si="257"/>
        <v>1887000.0000000002</v>
      </c>
      <c r="D485" s="638">
        <f t="shared" si="257"/>
        <v>2471600.0000000005</v>
      </c>
      <c r="E485" s="638">
        <f t="shared" si="257"/>
        <v>2076400.0000000002</v>
      </c>
      <c r="F485" s="638">
        <f t="shared" si="257"/>
        <v>2912100.0000000005</v>
      </c>
      <c r="G485" s="638">
        <f t="shared" si="257"/>
        <v>1009900.0000000001</v>
      </c>
      <c r="H485" s="638">
        <f t="shared" si="257"/>
        <v>4932600.0000000009</v>
      </c>
      <c r="I485" s="638">
        <f t="shared" si="257"/>
        <v>17911400</v>
      </c>
      <c r="J485" s="639">
        <f>+$I485/7</f>
        <v>2558771.4285714286</v>
      </c>
      <c r="K485"/>
      <c r="L485"/>
      <c r="M485"/>
      <c r="N485"/>
      <c r="O485"/>
      <c r="P485"/>
      <c r="Q485"/>
      <c r="R485"/>
      <c r="S485"/>
      <c r="T485"/>
      <c r="U485"/>
      <c r="V485"/>
      <c r="W485"/>
      <c r="X485"/>
      <c r="Y485"/>
      <c r="Z485"/>
      <c r="AA485"/>
      <c r="AB485"/>
      <c r="AC485"/>
      <c r="AD485"/>
      <c r="AE485"/>
      <c r="AF485"/>
      <c r="AY485" s="465"/>
    </row>
    <row r="486" spans="1:51" ht="15.75" thickBot="1" x14ac:dyDescent="0.3">
      <c r="K486"/>
      <c r="L486"/>
      <c r="M486"/>
      <c r="N486"/>
      <c r="O486"/>
      <c r="P486"/>
      <c r="Q486"/>
      <c r="R486"/>
      <c r="S486"/>
      <c r="T486"/>
      <c r="U486"/>
      <c r="V486"/>
      <c r="W486"/>
      <c r="X486"/>
      <c r="Y486"/>
      <c r="Z486"/>
      <c r="AA486"/>
      <c r="AB486"/>
      <c r="AC486"/>
      <c r="AD486"/>
      <c r="AE486"/>
      <c r="AF486"/>
      <c r="AY486" s="465"/>
    </row>
    <row r="487" spans="1:51" ht="27" thickBot="1" x14ac:dyDescent="0.3">
      <c r="A487" s="85"/>
      <c r="B487" s="1002" t="s">
        <v>169</v>
      </c>
      <c r="C487" s="1002"/>
      <c r="D487" s="1002"/>
      <c r="E487" s="1002"/>
      <c r="F487" s="1002"/>
      <c r="G487" s="1002"/>
      <c r="H487" s="1002"/>
      <c r="I487" s="1002"/>
      <c r="J487" s="85"/>
      <c r="K487"/>
      <c r="L487"/>
      <c r="M487"/>
      <c r="N487"/>
      <c r="O487"/>
      <c r="P487"/>
      <c r="Q487"/>
      <c r="R487"/>
      <c r="S487"/>
      <c r="T487"/>
      <c r="U487"/>
      <c r="V487"/>
      <c r="W487"/>
      <c r="X487"/>
      <c r="Y487"/>
      <c r="Z487"/>
      <c r="AA487"/>
      <c r="AB487"/>
      <c r="AC487"/>
      <c r="AD487"/>
      <c r="AE487"/>
      <c r="AF487"/>
      <c r="AY487" s="465"/>
    </row>
    <row r="488" spans="1:51" ht="15.75" x14ac:dyDescent="0.25">
      <c r="A488" s="614" t="s">
        <v>2</v>
      </c>
      <c r="B488" s="706" t="s">
        <v>600</v>
      </c>
      <c r="C488" s="617" t="s">
        <v>601</v>
      </c>
      <c r="D488" s="617" t="s">
        <v>602</v>
      </c>
      <c r="E488" s="617" t="s">
        <v>603</v>
      </c>
      <c r="F488" s="617" t="s">
        <v>604</v>
      </c>
      <c r="G488" s="617" t="s">
        <v>653</v>
      </c>
      <c r="H488" s="617" t="s">
        <v>272</v>
      </c>
      <c r="I488" s="618" t="s">
        <v>10</v>
      </c>
      <c r="J488" s="619" t="s">
        <v>77</v>
      </c>
      <c r="K488"/>
      <c r="L488"/>
      <c r="M488"/>
      <c r="N488"/>
      <c r="O488"/>
      <c r="P488"/>
      <c r="Q488"/>
      <c r="R488"/>
      <c r="S488"/>
      <c r="T488"/>
      <c r="U488"/>
      <c r="V488"/>
      <c r="W488"/>
      <c r="X488"/>
      <c r="Y488"/>
      <c r="Z488"/>
      <c r="AA488"/>
      <c r="AB488"/>
      <c r="AC488"/>
      <c r="AD488"/>
      <c r="AE488"/>
      <c r="AF488"/>
      <c r="AY488" s="465"/>
    </row>
    <row r="489" spans="1:51" x14ac:dyDescent="0.25">
      <c r="A489" s="620" t="s">
        <v>11</v>
      </c>
      <c r="B489" s="433">
        <f>42+33+5</f>
        <v>80</v>
      </c>
      <c r="C489" s="673">
        <f>51+30+4</f>
        <v>85</v>
      </c>
      <c r="D489" s="739">
        <f>42+30+7</f>
        <v>79</v>
      </c>
      <c r="E489" s="673">
        <f>37+37+7</f>
        <v>81</v>
      </c>
      <c r="F489" s="673">
        <f>37+37+11</f>
        <v>85</v>
      </c>
      <c r="G489" s="673">
        <f>9+17+3</f>
        <v>29</v>
      </c>
      <c r="H489" s="673">
        <f>56+38+10</f>
        <v>104</v>
      </c>
      <c r="I489" s="673">
        <f t="shared" ref="I489:I494" si="258">SUM(B489:H489)</f>
        <v>543</v>
      </c>
      <c r="J489" s="621">
        <f t="shared" ref="J489:J495" si="259">+$I489/7</f>
        <v>77.571428571428569</v>
      </c>
      <c r="K489"/>
      <c r="L489"/>
      <c r="M489"/>
      <c r="N489"/>
      <c r="O489"/>
      <c r="P489"/>
      <c r="Q489"/>
      <c r="R489"/>
      <c r="S489"/>
      <c r="T489"/>
      <c r="U489"/>
      <c r="V489"/>
      <c r="W489"/>
      <c r="X489"/>
      <c r="Y489"/>
      <c r="Z489"/>
      <c r="AA489"/>
      <c r="AB489"/>
      <c r="AC489"/>
      <c r="AD489"/>
      <c r="AE489"/>
      <c r="AF489"/>
      <c r="AY489" s="465"/>
    </row>
    <row r="490" spans="1:51" x14ac:dyDescent="0.25">
      <c r="A490" s="622" t="s">
        <v>12</v>
      </c>
      <c r="B490" s="233">
        <v>24</v>
      </c>
      <c r="C490" s="671">
        <v>23</v>
      </c>
      <c r="D490" s="671">
        <v>28</v>
      </c>
      <c r="E490" s="671">
        <v>26</v>
      </c>
      <c r="F490" s="671">
        <v>25</v>
      </c>
      <c r="G490" s="675">
        <v>17</v>
      </c>
      <c r="H490" s="671">
        <v>49</v>
      </c>
      <c r="I490" s="671">
        <f t="shared" si="258"/>
        <v>192</v>
      </c>
      <c r="J490" s="623">
        <f t="shared" si="259"/>
        <v>27.428571428571427</v>
      </c>
      <c r="K490"/>
      <c r="L490"/>
      <c r="M490"/>
      <c r="N490"/>
      <c r="O490"/>
      <c r="P490"/>
      <c r="Q490"/>
      <c r="R490"/>
      <c r="S490"/>
      <c r="T490"/>
      <c r="U490"/>
      <c r="V490"/>
      <c r="W490"/>
      <c r="X490"/>
      <c r="Y490"/>
      <c r="Z490"/>
      <c r="AA490"/>
      <c r="AB490"/>
      <c r="AC490"/>
      <c r="AD490"/>
      <c r="AE490"/>
      <c r="AF490"/>
      <c r="AY490" s="465"/>
    </row>
    <row r="491" spans="1:51" x14ac:dyDescent="0.25">
      <c r="A491" s="622" t="s">
        <v>13</v>
      </c>
      <c r="B491" s="233">
        <v>0</v>
      </c>
      <c r="C491" s="13">
        <v>0</v>
      </c>
      <c r="D491" s="13">
        <v>0</v>
      </c>
      <c r="E491" s="13">
        <v>1</v>
      </c>
      <c r="F491" s="13">
        <v>1</v>
      </c>
      <c r="G491" s="13">
        <v>0</v>
      </c>
      <c r="H491" s="13">
        <v>0</v>
      </c>
      <c r="I491" s="13">
        <f t="shared" si="258"/>
        <v>2</v>
      </c>
      <c r="J491" s="623">
        <f t="shared" si="259"/>
        <v>0.2857142857142857</v>
      </c>
      <c r="K491"/>
      <c r="L491"/>
      <c r="M491"/>
      <c r="N491"/>
      <c r="O491"/>
      <c r="P491"/>
      <c r="Q491"/>
      <c r="R491"/>
      <c r="S491"/>
      <c r="T491"/>
      <c r="U491"/>
      <c r="V491"/>
      <c r="W491"/>
      <c r="X491"/>
      <c r="Y491"/>
      <c r="Z491"/>
      <c r="AA491"/>
      <c r="AB491"/>
      <c r="AC491"/>
      <c r="AD491"/>
      <c r="AE491"/>
      <c r="AF491"/>
      <c r="AY491" s="465"/>
    </row>
    <row r="492" spans="1:51" x14ac:dyDescent="0.25">
      <c r="A492" s="622" t="s">
        <v>14</v>
      </c>
      <c r="B492" s="233">
        <v>37</v>
      </c>
      <c r="C492" s="13">
        <v>36</v>
      </c>
      <c r="D492" s="13">
        <v>37</v>
      </c>
      <c r="E492" s="13">
        <v>35</v>
      </c>
      <c r="F492" s="13">
        <v>33</v>
      </c>
      <c r="G492" s="13">
        <v>6</v>
      </c>
      <c r="H492" s="13">
        <v>26</v>
      </c>
      <c r="I492" s="13">
        <f t="shared" si="258"/>
        <v>210</v>
      </c>
      <c r="J492" s="623">
        <f t="shared" si="259"/>
        <v>30</v>
      </c>
      <c r="K492"/>
      <c r="L492"/>
      <c r="M492"/>
      <c r="N492"/>
      <c r="O492"/>
      <c r="P492"/>
      <c r="Q492"/>
      <c r="R492"/>
      <c r="S492"/>
      <c r="T492"/>
      <c r="U492"/>
      <c r="V492"/>
      <c r="W492"/>
      <c r="X492"/>
      <c r="Y492"/>
      <c r="Z492"/>
      <c r="AA492"/>
      <c r="AB492"/>
      <c r="AC492"/>
      <c r="AD492"/>
      <c r="AE492"/>
      <c r="AF492"/>
      <c r="AY492" s="465"/>
    </row>
    <row r="493" spans="1:51" x14ac:dyDescent="0.25">
      <c r="A493" s="622" t="s">
        <v>15</v>
      </c>
      <c r="B493" s="233">
        <v>6</v>
      </c>
      <c r="C493" s="13">
        <v>2</v>
      </c>
      <c r="D493" s="13">
        <v>2</v>
      </c>
      <c r="E493" s="13">
        <v>4</v>
      </c>
      <c r="F493" s="13">
        <v>10</v>
      </c>
      <c r="G493" s="13">
        <v>1</v>
      </c>
      <c r="H493" s="13">
        <v>8</v>
      </c>
      <c r="I493" s="13">
        <f t="shared" si="258"/>
        <v>33</v>
      </c>
      <c r="J493" s="623">
        <f t="shared" si="259"/>
        <v>4.7142857142857144</v>
      </c>
      <c r="K493"/>
      <c r="L493"/>
      <c r="M493"/>
      <c r="N493"/>
      <c r="O493"/>
      <c r="P493"/>
      <c r="Q493"/>
      <c r="R493"/>
      <c r="S493"/>
      <c r="T493"/>
      <c r="U493"/>
      <c r="V493"/>
      <c r="W493"/>
      <c r="X493"/>
      <c r="Y493"/>
      <c r="Z493"/>
      <c r="AA493"/>
      <c r="AB493"/>
      <c r="AC493"/>
      <c r="AD493"/>
      <c r="AE493"/>
      <c r="AF493"/>
      <c r="AY493" s="465"/>
    </row>
    <row r="494" spans="1:51" x14ac:dyDescent="0.25">
      <c r="A494" s="622" t="s">
        <v>16</v>
      </c>
      <c r="B494" s="233">
        <v>0</v>
      </c>
      <c r="C494" s="13">
        <v>0</v>
      </c>
      <c r="D494" s="13">
        <v>0</v>
      </c>
      <c r="E494" s="13">
        <v>0</v>
      </c>
      <c r="F494" s="13">
        <v>0</v>
      </c>
      <c r="G494" s="13">
        <v>0</v>
      </c>
      <c r="H494" s="13">
        <v>0</v>
      </c>
      <c r="I494" s="13">
        <f t="shared" si="258"/>
        <v>0</v>
      </c>
      <c r="J494" s="623">
        <f t="shared" si="259"/>
        <v>0</v>
      </c>
      <c r="K494"/>
      <c r="L494"/>
      <c r="M494"/>
      <c r="N494"/>
      <c r="O494"/>
      <c r="P494"/>
      <c r="Q494"/>
      <c r="R494"/>
      <c r="S494"/>
      <c r="T494"/>
      <c r="U494"/>
      <c r="V494"/>
      <c r="W494"/>
      <c r="X494"/>
      <c r="Y494"/>
      <c r="Z494"/>
      <c r="AA494"/>
      <c r="AB494"/>
      <c r="AC494"/>
      <c r="AD494"/>
      <c r="AE494"/>
      <c r="AF494"/>
      <c r="AY494" s="465"/>
    </row>
    <row r="495" spans="1:51" x14ac:dyDescent="0.25">
      <c r="A495" s="624" t="s">
        <v>17</v>
      </c>
      <c r="B495" s="102">
        <f t="shared" ref="B495:H495" si="260">SUM(B490:B494)</f>
        <v>67</v>
      </c>
      <c r="C495" s="79">
        <f t="shared" si="260"/>
        <v>61</v>
      </c>
      <c r="D495" s="79">
        <f t="shared" si="260"/>
        <v>67</v>
      </c>
      <c r="E495" s="79">
        <f t="shared" si="260"/>
        <v>66</v>
      </c>
      <c r="F495" s="79">
        <f t="shared" si="260"/>
        <v>69</v>
      </c>
      <c r="G495" s="79">
        <f t="shared" si="260"/>
        <v>24</v>
      </c>
      <c r="H495" s="79">
        <f t="shared" si="260"/>
        <v>83</v>
      </c>
      <c r="I495" s="79">
        <f>SUM(I490:I494)</f>
        <v>437</v>
      </c>
      <c r="J495" s="625">
        <f t="shared" si="259"/>
        <v>62.428571428571431</v>
      </c>
      <c r="K495"/>
      <c r="L495"/>
      <c r="M495"/>
      <c r="N495"/>
      <c r="O495"/>
      <c r="P495"/>
      <c r="Q495"/>
      <c r="R495"/>
      <c r="S495"/>
      <c r="T495"/>
      <c r="U495"/>
      <c r="V495"/>
      <c r="W495"/>
      <c r="X495"/>
      <c r="Y495"/>
      <c r="Z495"/>
      <c r="AA495"/>
      <c r="AB495"/>
      <c r="AC495"/>
      <c r="AD495"/>
      <c r="AE495"/>
      <c r="AF495"/>
      <c r="AY495" s="465"/>
    </row>
    <row r="496" spans="1:51" x14ac:dyDescent="0.25">
      <c r="A496" s="622" t="s">
        <v>18</v>
      </c>
      <c r="B496" s="406">
        <v>0.43</v>
      </c>
      <c r="C496" s="19">
        <v>0.42</v>
      </c>
      <c r="D496" s="19">
        <v>0.44</v>
      </c>
      <c r="E496" s="19">
        <v>0.45</v>
      </c>
      <c r="F496" s="19">
        <v>0.41</v>
      </c>
      <c r="G496" s="19">
        <v>0.76</v>
      </c>
      <c r="H496" s="19">
        <v>0.62</v>
      </c>
      <c r="I496" s="19">
        <f>I503/I508</f>
        <v>0.48506812284121448</v>
      </c>
      <c r="J496" s="626">
        <f>J503/J508</f>
        <v>0.48506812284121448</v>
      </c>
      <c r="K496"/>
      <c r="L496"/>
      <c r="M496"/>
      <c r="N496"/>
      <c r="O496"/>
      <c r="P496"/>
      <c r="Q496"/>
      <c r="R496"/>
      <c r="S496"/>
      <c r="T496"/>
      <c r="U496"/>
      <c r="V496"/>
      <c r="W496"/>
      <c r="X496"/>
      <c r="Y496"/>
      <c r="Z496"/>
      <c r="AA496"/>
      <c r="AB496"/>
      <c r="AC496"/>
      <c r="AD496"/>
      <c r="AE496"/>
      <c r="AF496"/>
      <c r="AY496" s="465"/>
    </row>
    <row r="497" spans="1:51" x14ac:dyDescent="0.25">
      <c r="A497" s="622" t="s">
        <v>19</v>
      </c>
      <c r="B497" s="406">
        <v>0</v>
      </c>
      <c r="C497" s="19">
        <v>0</v>
      </c>
      <c r="D497" s="19">
        <v>0</v>
      </c>
      <c r="E497" s="19">
        <v>0.01</v>
      </c>
      <c r="F497" s="19">
        <v>0.02</v>
      </c>
      <c r="G497" s="19">
        <v>0</v>
      </c>
      <c r="H497" s="19">
        <v>0</v>
      </c>
      <c r="I497" s="19">
        <f>I504/I508</f>
        <v>4.7045099210712019E-3</v>
      </c>
      <c r="J497" s="626">
        <f>J504/J508</f>
        <v>4.7045099210712019E-3</v>
      </c>
      <c r="K497"/>
      <c r="L497"/>
      <c r="M497"/>
      <c r="N497"/>
      <c r="O497"/>
      <c r="P497"/>
      <c r="Q497"/>
      <c r="R497"/>
      <c r="S497"/>
      <c r="T497"/>
      <c r="U497"/>
      <c r="V497"/>
      <c r="W497"/>
      <c r="X497"/>
      <c r="Y497"/>
      <c r="Z497"/>
      <c r="AA497"/>
      <c r="AB497"/>
      <c r="AC497"/>
      <c r="AD497"/>
      <c r="AE497"/>
      <c r="AF497"/>
      <c r="AY497" s="465"/>
    </row>
    <row r="498" spans="1:51" x14ac:dyDescent="0.25">
      <c r="A498" s="622" t="s">
        <v>20</v>
      </c>
      <c r="B498" s="406">
        <v>0.48</v>
      </c>
      <c r="C498" s="19">
        <v>0.56000000000000005</v>
      </c>
      <c r="D498" s="19">
        <v>0.53</v>
      </c>
      <c r="E498" s="19">
        <v>0.48</v>
      </c>
      <c r="F498" s="19">
        <v>0.46</v>
      </c>
      <c r="G498" s="19">
        <v>0.19</v>
      </c>
      <c r="H498" s="19">
        <v>0.28999999999999998</v>
      </c>
      <c r="I498" s="19">
        <f>I505/I508</f>
        <v>0.44287390175133395</v>
      </c>
      <c r="J498" s="626">
        <f>J505/J508</f>
        <v>0.44287390175133395</v>
      </c>
      <c r="K498"/>
      <c r="L498"/>
      <c r="M498"/>
      <c r="N498"/>
      <c r="O498"/>
      <c r="P498"/>
      <c r="Q498"/>
      <c r="R498"/>
      <c r="S498"/>
      <c r="T498"/>
      <c r="U498"/>
      <c r="V498"/>
      <c r="W498"/>
      <c r="X498"/>
      <c r="Y498"/>
      <c r="Z498"/>
      <c r="AA498"/>
      <c r="AB498"/>
      <c r="AC498"/>
      <c r="AD498"/>
      <c r="AE498"/>
      <c r="AF498"/>
      <c r="AY498" s="465"/>
    </row>
    <row r="499" spans="1:51" x14ac:dyDescent="0.25">
      <c r="A499" s="622" t="s">
        <v>21</v>
      </c>
      <c r="B499" s="406">
        <v>0.09</v>
      </c>
      <c r="C499" s="19">
        <v>0.02</v>
      </c>
      <c r="D499" s="19">
        <v>0.03</v>
      </c>
      <c r="E499" s="19">
        <v>0.06</v>
      </c>
      <c r="F499" s="19">
        <v>0.11</v>
      </c>
      <c r="G499" s="19">
        <v>0.05</v>
      </c>
      <c r="H499" s="19">
        <v>0.09</v>
      </c>
      <c r="I499" s="19">
        <f>I506/I508</f>
        <v>6.7353465486380382E-2</v>
      </c>
      <c r="J499" s="626">
        <f>J506/J508</f>
        <v>6.7353465486380382E-2</v>
      </c>
      <c r="K499"/>
      <c r="L499"/>
      <c r="M499"/>
      <c r="N499"/>
      <c r="O499"/>
      <c r="P499"/>
      <c r="Q499"/>
      <c r="R499"/>
      <c r="S499"/>
      <c r="T499"/>
      <c r="U499"/>
      <c r="V499"/>
      <c r="W499"/>
      <c r="X499"/>
      <c r="Y499"/>
      <c r="Z499"/>
      <c r="AA499"/>
      <c r="AB499"/>
      <c r="AC499"/>
      <c r="AD499"/>
      <c r="AE499"/>
      <c r="AF499"/>
      <c r="AY499" s="465"/>
    </row>
    <row r="500" spans="1:51" x14ac:dyDescent="0.25">
      <c r="A500" s="622" t="s">
        <v>22</v>
      </c>
      <c r="B500" s="406">
        <v>0</v>
      </c>
      <c r="C500" s="19">
        <v>0</v>
      </c>
      <c r="D500" s="19">
        <v>0</v>
      </c>
      <c r="E500" s="19">
        <v>0</v>
      </c>
      <c r="F500" s="19">
        <v>0</v>
      </c>
      <c r="G500" s="19">
        <v>0</v>
      </c>
      <c r="H500" s="19">
        <v>0</v>
      </c>
      <c r="I500" s="19">
        <f>I507/I508</f>
        <v>0</v>
      </c>
      <c r="J500" s="626">
        <f>J507/J508</f>
        <v>0</v>
      </c>
      <c r="K500"/>
      <c r="L500"/>
      <c r="M500"/>
      <c r="N500"/>
      <c r="O500"/>
      <c r="P500"/>
      <c r="Q500"/>
      <c r="R500"/>
      <c r="S500"/>
      <c r="T500"/>
      <c r="U500"/>
      <c r="V500"/>
      <c r="W500"/>
      <c r="X500"/>
      <c r="Y500"/>
      <c r="Z500"/>
      <c r="AA500"/>
      <c r="AB500"/>
      <c r="AC500"/>
      <c r="AD500"/>
      <c r="AE500"/>
      <c r="AF500"/>
      <c r="AY500" s="465"/>
    </row>
    <row r="501" spans="1:51" x14ac:dyDescent="0.25">
      <c r="A501" s="627" t="s">
        <v>23</v>
      </c>
      <c r="B501" s="409">
        <f t="shared" ref="B501:J501" si="261">B512/B495</f>
        <v>35137.313432835821</v>
      </c>
      <c r="C501" s="131">
        <f t="shared" si="261"/>
        <v>40806.557377049183</v>
      </c>
      <c r="D501" s="131">
        <f t="shared" si="261"/>
        <v>33319.40298507463</v>
      </c>
      <c r="E501" s="131">
        <f t="shared" si="261"/>
        <v>36972.727272727279</v>
      </c>
      <c r="F501" s="131">
        <f t="shared" si="261"/>
        <v>37252.17391304348</v>
      </c>
      <c r="G501" s="131">
        <f t="shared" si="261"/>
        <v>38129.166666666664</v>
      </c>
      <c r="H501" s="131">
        <f t="shared" si="261"/>
        <v>38531.325301204823</v>
      </c>
      <c r="I501" s="131">
        <f t="shared" si="261"/>
        <v>37070.022883295198</v>
      </c>
      <c r="J501" s="628">
        <f t="shared" si="261"/>
        <v>37070.022883295191</v>
      </c>
      <c r="K501"/>
      <c r="L501"/>
      <c r="M501"/>
      <c r="N501"/>
      <c r="O501"/>
      <c r="P501"/>
      <c r="Q501"/>
      <c r="R501"/>
      <c r="S501"/>
      <c r="T501"/>
      <c r="U501"/>
      <c r="V501"/>
      <c r="W501"/>
      <c r="X501"/>
      <c r="Y501"/>
      <c r="Z501"/>
      <c r="AA501"/>
      <c r="AB501"/>
      <c r="AC501"/>
      <c r="AD501"/>
      <c r="AE501"/>
      <c r="AF501"/>
      <c r="AY501" s="465"/>
    </row>
    <row r="502" spans="1:51" x14ac:dyDescent="0.25">
      <c r="A502" s="627" t="s">
        <v>24</v>
      </c>
      <c r="B502" s="409">
        <f t="shared" ref="B502:J502" si="262">B512/B489</f>
        <v>29427.5</v>
      </c>
      <c r="C502" s="131">
        <f t="shared" si="262"/>
        <v>29284.705882352941</v>
      </c>
      <c r="D502" s="131">
        <f t="shared" si="262"/>
        <v>28258.227848101265</v>
      </c>
      <c r="E502" s="131">
        <f t="shared" si="262"/>
        <v>30125.925925925931</v>
      </c>
      <c r="F502" s="131">
        <f t="shared" si="262"/>
        <v>30240</v>
      </c>
      <c r="G502" s="131">
        <f t="shared" si="262"/>
        <v>31555.172413793105</v>
      </c>
      <c r="H502" s="131">
        <f t="shared" si="262"/>
        <v>30750.961538461539</v>
      </c>
      <c r="I502" s="131">
        <f t="shared" si="262"/>
        <v>29833.517495395947</v>
      </c>
      <c r="J502" s="628">
        <f t="shared" si="262"/>
        <v>29833.517495395947</v>
      </c>
      <c r="K502"/>
      <c r="L502"/>
      <c r="M502"/>
      <c r="N502"/>
      <c r="O502"/>
      <c r="P502"/>
      <c r="Q502"/>
      <c r="R502"/>
      <c r="S502"/>
      <c r="T502"/>
      <c r="U502"/>
      <c r="V502"/>
      <c r="W502"/>
      <c r="X502"/>
      <c r="Y502"/>
      <c r="Z502"/>
      <c r="AA502"/>
      <c r="AB502"/>
      <c r="AC502"/>
      <c r="AD502"/>
      <c r="AE502"/>
      <c r="AF502"/>
      <c r="AY502" s="465"/>
    </row>
    <row r="503" spans="1:51" x14ac:dyDescent="0.25">
      <c r="A503" s="622" t="s">
        <v>25</v>
      </c>
      <c r="B503" s="255">
        <f t="shared" ref="B503:H503" si="263">B508*B496</f>
        <v>847765.1062068966</v>
      </c>
      <c r="C503" s="133">
        <f t="shared" si="263"/>
        <v>877942.82896551734</v>
      </c>
      <c r="D503" s="133">
        <f t="shared" si="263"/>
        <v>817031.93379310356</v>
      </c>
      <c r="E503" s="133">
        <f t="shared" si="263"/>
        <v>918385.51034482766</v>
      </c>
      <c r="F503" s="133">
        <f t="shared" si="263"/>
        <v>883759.94827586215</v>
      </c>
      <c r="G503" s="133">
        <f t="shared" si="263"/>
        <v>568359.39586206898</v>
      </c>
      <c r="H503" s="133">
        <f t="shared" si="263"/>
        <v>1635991.9903448275</v>
      </c>
      <c r="I503" s="133">
        <f>SUM(B503:H503)</f>
        <v>6549236.7137931045</v>
      </c>
      <c r="J503" s="629">
        <f t="shared" ref="J503:J508" si="264">+$I503/7</f>
        <v>935605.24482758634</v>
      </c>
      <c r="K503"/>
      <c r="L503"/>
      <c r="M503"/>
      <c r="N503"/>
      <c r="O503"/>
      <c r="P503"/>
      <c r="Q503"/>
      <c r="R503"/>
      <c r="S503"/>
      <c r="T503"/>
      <c r="U503"/>
      <c r="V503"/>
      <c r="W503"/>
      <c r="X503"/>
      <c r="Y503"/>
      <c r="Z503"/>
      <c r="AA503"/>
      <c r="AB503"/>
      <c r="AC503"/>
      <c r="AD503"/>
      <c r="AE503"/>
      <c r="AF503"/>
      <c r="AY503" s="465"/>
    </row>
    <row r="504" spans="1:51" x14ac:dyDescent="0.25">
      <c r="A504" s="622" t="s">
        <v>26</v>
      </c>
      <c r="B504" s="255">
        <f t="shared" ref="B504:H504" si="265">B508*B497</f>
        <v>0</v>
      </c>
      <c r="C504" s="133">
        <f t="shared" si="265"/>
        <v>0</v>
      </c>
      <c r="D504" s="133">
        <f t="shared" si="265"/>
        <v>0</v>
      </c>
      <c r="E504" s="133">
        <f t="shared" si="265"/>
        <v>20408.566896551725</v>
      </c>
      <c r="F504" s="133">
        <f t="shared" si="265"/>
        <v>43110.241379310348</v>
      </c>
      <c r="G504" s="133">
        <f t="shared" si="265"/>
        <v>0</v>
      </c>
      <c r="H504" s="133">
        <f t="shared" si="265"/>
        <v>0</v>
      </c>
      <c r="I504" s="133">
        <f>SUM(B504:H504)</f>
        <v>63518.808275862073</v>
      </c>
      <c r="J504" s="629">
        <f t="shared" si="264"/>
        <v>9074.1154679802967</v>
      </c>
      <c r="K504"/>
      <c r="L504"/>
      <c r="M504"/>
      <c r="N504"/>
      <c r="O504"/>
      <c r="P504"/>
      <c r="Q504"/>
      <c r="R504"/>
      <c r="S504"/>
      <c r="T504"/>
      <c r="U504"/>
      <c r="V504"/>
      <c r="W504"/>
      <c r="X504"/>
      <c r="Y504"/>
      <c r="Z504"/>
      <c r="AA504"/>
      <c r="AB504"/>
      <c r="AC504"/>
      <c r="AD504"/>
      <c r="AE504"/>
      <c r="AF504"/>
      <c r="AY504" s="465"/>
    </row>
    <row r="505" spans="1:51" x14ac:dyDescent="0.25">
      <c r="A505" s="622" t="s">
        <v>27</v>
      </c>
      <c r="B505" s="255">
        <f t="shared" ref="B505:H505" si="266">B508*B498</f>
        <v>946342.4441379311</v>
      </c>
      <c r="C505" s="133">
        <f t="shared" si="266"/>
        <v>1170590.4386206898</v>
      </c>
      <c r="D505" s="133">
        <f t="shared" si="266"/>
        <v>984152.10206896567</v>
      </c>
      <c r="E505" s="133">
        <f t="shared" si="266"/>
        <v>979611.21103448281</v>
      </c>
      <c r="F505" s="133">
        <f t="shared" si="266"/>
        <v>991535.55172413809</v>
      </c>
      <c r="G505" s="133">
        <f t="shared" si="266"/>
        <v>142089.84896551725</v>
      </c>
      <c r="H505" s="133">
        <f t="shared" si="266"/>
        <v>765222.05999999994</v>
      </c>
      <c r="I505" s="133">
        <f>SUM(B505:H505)</f>
        <v>5979543.6565517243</v>
      </c>
      <c r="J505" s="629">
        <f t="shared" si="264"/>
        <v>854220.52236453199</v>
      </c>
      <c r="K505"/>
      <c r="L505"/>
      <c r="M505"/>
      <c r="N505"/>
      <c r="O505"/>
      <c r="P505"/>
      <c r="Q505"/>
      <c r="R505"/>
      <c r="S505"/>
      <c r="T505"/>
      <c r="U505"/>
      <c r="V505"/>
      <c r="W505"/>
      <c r="X505"/>
      <c r="Y505"/>
      <c r="Z505"/>
      <c r="AA505"/>
      <c r="AB505"/>
      <c r="AC505"/>
      <c r="AD505"/>
      <c r="AE505"/>
      <c r="AF505"/>
      <c r="AY505" s="465"/>
    </row>
    <row r="506" spans="1:51" x14ac:dyDescent="0.25">
      <c r="A506" s="622" t="s">
        <v>28</v>
      </c>
      <c r="B506" s="255">
        <f t="shared" ref="B506:H506" si="267">B508*B499</f>
        <v>177439.20827586207</v>
      </c>
      <c r="C506" s="133">
        <f t="shared" si="267"/>
        <v>41806.801379310353</v>
      </c>
      <c r="D506" s="133">
        <f t="shared" si="267"/>
        <v>55706.722758620694</v>
      </c>
      <c r="E506" s="133">
        <f t="shared" si="267"/>
        <v>122451.40137931035</v>
      </c>
      <c r="F506" s="133">
        <f t="shared" si="267"/>
        <v>237106.32758620693</v>
      </c>
      <c r="G506" s="133">
        <f t="shared" si="267"/>
        <v>37392.065517241383</v>
      </c>
      <c r="H506" s="133">
        <f t="shared" si="267"/>
        <v>237482.70827586207</v>
      </c>
      <c r="I506" s="133">
        <f>SUM(B506:H506)</f>
        <v>909385.23517241376</v>
      </c>
      <c r="J506" s="629">
        <f t="shared" si="264"/>
        <v>129912.17645320196</v>
      </c>
      <c r="K506"/>
      <c r="L506"/>
      <c r="M506"/>
      <c r="N506"/>
      <c r="O506"/>
      <c r="P506"/>
      <c r="Q506"/>
      <c r="R506"/>
      <c r="S506"/>
      <c r="T506"/>
      <c r="U506"/>
      <c r="V506"/>
      <c r="W506"/>
      <c r="X506"/>
      <c r="Y506"/>
      <c r="Z506"/>
      <c r="AA506"/>
      <c r="AB506"/>
      <c r="AC506"/>
      <c r="AD506"/>
      <c r="AE506"/>
      <c r="AF506"/>
      <c r="AY506" s="465"/>
    </row>
    <row r="507" spans="1:51" x14ac:dyDescent="0.25">
      <c r="A507" s="622" t="s">
        <v>29</v>
      </c>
      <c r="B507" s="255">
        <f t="shared" ref="B507:H507" si="268">B508*B500</f>
        <v>0</v>
      </c>
      <c r="C507" s="727">
        <f t="shared" si="268"/>
        <v>0</v>
      </c>
      <c r="D507" s="727">
        <f t="shared" si="268"/>
        <v>0</v>
      </c>
      <c r="E507" s="727">
        <f t="shared" si="268"/>
        <v>0</v>
      </c>
      <c r="F507" s="727">
        <f t="shared" si="268"/>
        <v>0</v>
      </c>
      <c r="G507" s="727">
        <f t="shared" si="268"/>
        <v>0</v>
      </c>
      <c r="H507" s="727">
        <f t="shared" si="268"/>
        <v>0</v>
      </c>
      <c r="I507" s="133">
        <f>SUM(B507:H507)</f>
        <v>0</v>
      </c>
      <c r="J507" s="629">
        <f t="shared" si="264"/>
        <v>0</v>
      </c>
      <c r="K507"/>
      <c r="L507"/>
      <c r="M507"/>
      <c r="N507"/>
      <c r="O507"/>
      <c r="P507"/>
      <c r="Q507"/>
      <c r="R507"/>
      <c r="S507"/>
      <c r="T507"/>
      <c r="U507"/>
      <c r="V507"/>
      <c r="W507"/>
      <c r="X507"/>
      <c r="Y507"/>
      <c r="Z507"/>
      <c r="AA507"/>
      <c r="AB507"/>
      <c r="AC507"/>
      <c r="AD507"/>
      <c r="AE507"/>
      <c r="AF507"/>
      <c r="AY507" s="465"/>
    </row>
    <row r="508" spans="1:51" x14ac:dyDescent="0.25">
      <c r="A508" s="630" t="s">
        <v>30</v>
      </c>
      <c r="B508" s="726">
        <f>(2354200/1.16)-B509</f>
        <v>1971546.7586206899</v>
      </c>
      <c r="C508" s="729">
        <f>(2489200/1.16)-C509</f>
        <v>2090340.0689655175</v>
      </c>
      <c r="D508" s="729">
        <f>(2232400/1.16)-D509</f>
        <v>1856890.7586206899</v>
      </c>
      <c r="E508" s="729">
        <f>(2440200/1.16)-E509</f>
        <v>2040856.6896551726</v>
      </c>
      <c r="F508" s="729">
        <f>(2570400/1.16)-F509</f>
        <v>2155512.0689655175</v>
      </c>
      <c r="G508" s="729">
        <f>(915100/1.16)-G509</f>
        <v>747841.31034482759</v>
      </c>
      <c r="H508" s="729">
        <f>(3198100/1.16)-H509</f>
        <v>2638696.7586206896</v>
      </c>
      <c r="I508" s="137">
        <f>SUM(I503:I507)</f>
        <v>13501684.413793104</v>
      </c>
      <c r="J508" s="631">
        <f t="shared" si="264"/>
        <v>1928812.0591133006</v>
      </c>
      <c r="K508"/>
      <c r="L508"/>
      <c r="M508"/>
      <c r="N508"/>
      <c r="O508"/>
      <c r="P508"/>
      <c r="Q508"/>
      <c r="R508"/>
      <c r="S508"/>
      <c r="T508"/>
      <c r="U508"/>
      <c r="V508"/>
      <c r="W508"/>
      <c r="X508"/>
      <c r="Y508"/>
      <c r="Z508"/>
      <c r="AA508"/>
      <c r="AB508"/>
      <c r="AC508"/>
      <c r="AD508"/>
      <c r="AE508"/>
      <c r="AF508"/>
      <c r="AY508" s="465"/>
    </row>
    <row r="509" spans="1:51" x14ac:dyDescent="0.25">
      <c r="A509" s="622" t="s">
        <v>31</v>
      </c>
      <c r="B509" s="263">
        <f t="shared" ref="B509:H509" si="269">2414*B490</f>
        <v>57936</v>
      </c>
      <c r="C509" s="728">
        <f t="shared" si="269"/>
        <v>55522</v>
      </c>
      <c r="D509" s="728">
        <f t="shared" si="269"/>
        <v>67592</v>
      </c>
      <c r="E509" s="728">
        <f t="shared" si="269"/>
        <v>62764</v>
      </c>
      <c r="F509" s="728">
        <f t="shared" si="269"/>
        <v>60350</v>
      </c>
      <c r="G509" s="728">
        <f t="shared" si="269"/>
        <v>41038</v>
      </c>
      <c r="H509" s="728">
        <f t="shared" si="269"/>
        <v>118286</v>
      </c>
      <c r="I509" s="139">
        <f>I490*2414</f>
        <v>463488</v>
      </c>
      <c r="J509" s="632">
        <f>2155*J490</f>
        <v>59108.571428571428</v>
      </c>
      <c r="K509"/>
      <c r="L509"/>
      <c r="M509"/>
      <c r="N509"/>
      <c r="O509"/>
      <c r="P509"/>
      <c r="Q509"/>
      <c r="R509"/>
      <c r="S509"/>
      <c r="T509"/>
      <c r="U509"/>
      <c r="V509"/>
      <c r="W509"/>
      <c r="X509"/>
      <c r="Y509"/>
      <c r="Z509"/>
      <c r="AA509"/>
      <c r="AB509"/>
      <c r="AC509"/>
      <c r="AD509"/>
      <c r="AE509"/>
      <c r="AF509"/>
      <c r="AY509" s="465"/>
    </row>
    <row r="510" spans="1:51" x14ac:dyDescent="0.25">
      <c r="A510" s="633" t="s">
        <v>32</v>
      </c>
      <c r="B510" s="411">
        <f t="shared" ref="B510:J510" si="270">B508+B509</f>
        <v>2029482.7586206899</v>
      </c>
      <c r="C510" s="40">
        <f t="shared" si="270"/>
        <v>2145862.0689655175</v>
      </c>
      <c r="D510" s="40">
        <f t="shared" si="270"/>
        <v>1924482.7586206899</v>
      </c>
      <c r="E510" s="40">
        <f t="shared" si="270"/>
        <v>2103620.6896551726</v>
      </c>
      <c r="F510" s="40">
        <f t="shared" si="270"/>
        <v>2215862.0689655175</v>
      </c>
      <c r="G510" s="40">
        <f t="shared" si="270"/>
        <v>788879.31034482759</v>
      </c>
      <c r="H510" s="40">
        <f t="shared" si="270"/>
        <v>2756982.7586206896</v>
      </c>
      <c r="I510" s="40">
        <f t="shared" si="270"/>
        <v>13965172.413793104</v>
      </c>
      <c r="J510" s="634">
        <f t="shared" si="270"/>
        <v>1987920.630541872</v>
      </c>
      <c r="K510"/>
      <c r="L510"/>
      <c r="M510"/>
      <c r="N510"/>
      <c r="O510"/>
      <c r="P510"/>
      <c r="Q510"/>
      <c r="R510"/>
      <c r="S510"/>
      <c r="T510"/>
      <c r="U510"/>
      <c r="V510"/>
      <c r="W510"/>
      <c r="X510"/>
      <c r="Y510"/>
      <c r="Z510"/>
      <c r="AA510"/>
      <c r="AB510"/>
      <c r="AC510"/>
      <c r="AD510"/>
      <c r="AE510"/>
      <c r="AF510"/>
      <c r="AY510" s="465"/>
    </row>
    <row r="511" spans="1:51" x14ac:dyDescent="0.25">
      <c r="A511" s="622" t="s">
        <v>33</v>
      </c>
      <c r="B511" s="413">
        <f t="shared" ref="B511:J511" si="271">B510*16%</f>
        <v>324717.24137931038</v>
      </c>
      <c r="C511" s="42">
        <f t="shared" si="271"/>
        <v>343337.93103448278</v>
      </c>
      <c r="D511" s="42">
        <f t="shared" si="271"/>
        <v>307917.24137931038</v>
      </c>
      <c r="E511" s="42">
        <f t="shared" si="271"/>
        <v>336579.31034482765</v>
      </c>
      <c r="F511" s="42">
        <f t="shared" si="271"/>
        <v>354537.93103448278</v>
      </c>
      <c r="G511" s="42">
        <f t="shared" si="271"/>
        <v>126220.68965517242</v>
      </c>
      <c r="H511" s="42">
        <f t="shared" si="271"/>
        <v>441117.24137931038</v>
      </c>
      <c r="I511" s="42">
        <f t="shared" si="271"/>
        <v>2234427.5862068967</v>
      </c>
      <c r="J511" s="635">
        <f t="shared" si="271"/>
        <v>318067.30088669952</v>
      </c>
      <c r="K511"/>
      <c r="L511"/>
      <c r="M511"/>
      <c r="N511"/>
      <c r="O511"/>
      <c r="P511"/>
      <c r="Q511"/>
      <c r="R511"/>
      <c r="S511"/>
      <c r="T511"/>
      <c r="U511"/>
      <c r="V511"/>
      <c r="W511"/>
      <c r="X511"/>
      <c r="Y511"/>
      <c r="Z511"/>
      <c r="AA511"/>
      <c r="AB511"/>
      <c r="AC511"/>
      <c r="AD511"/>
      <c r="AE511"/>
      <c r="AF511"/>
      <c r="AY511" s="465"/>
    </row>
    <row r="512" spans="1:51" ht="15.75" thickBot="1" x14ac:dyDescent="0.3">
      <c r="A512" s="636" t="s">
        <v>34</v>
      </c>
      <c r="B512" s="637">
        <f t="shared" ref="B512:I512" si="272">B510+B511</f>
        <v>2354200</v>
      </c>
      <c r="C512" s="638">
        <f t="shared" si="272"/>
        <v>2489200</v>
      </c>
      <c r="D512" s="638">
        <f t="shared" si="272"/>
        <v>2232400</v>
      </c>
      <c r="E512" s="638">
        <f t="shared" si="272"/>
        <v>2440200.0000000005</v>
      </c>
      <c r="F512" s="638">
        <f t="shared" si="272"/>
        <v>2570400</v>
      </c>
      <c r="G512" s="638">
        <f t="shared" si="272"/>
        <v>915100</v>
      </c>
      <c r="H512" s="638">
        <f t="shared" si="272"/>
        <v>3198100</v>
      </c>
      <c r="I512" s="638">
        <f t="shared" si="272"/>
        <v>16199600</v>
      </c>
      <c r="J512" s="639">
        <f>+$I512/7</f>
        <v>2314228.5714285714</v>
      </c>
      <c r="K512"/>
      <c r="L512"/>
      <c r="M512"/>
      <c r="N512"/>
      <c r="O512"/>
      <c r="P512"/>
      <c r="Q512"/>
      <c r="R512"/>
      <c r="S512"/>
      <c r="T512"/>
      <c r="U512"/>
      <c r="V512"/>
      <c r="W512"/>
      <c r="X512"/>
      <c r="Y512"/>
      <c r="Z512"/>
      <c r="AA512"/>
      <c r="AB512"/>
      <c r="AC512"/>
      <c r="AD512"/>
      <c r="AE512"/>
      <c r="AF512"/>
      <c r="AY512" s="465"/>
    </row>
    <row r="513" spans="1:51" ht="15.75" thickBot="1" x14ac:dyDescent="0.3">
      <c r="K513"/>
      <c r="L513"/>
      <c r="M513"/>
      <c r="N513"/>
      <c r="O513"/>
      <c r="P513"/>
      <c r="Q513"/>
      <c r="R513"/>
      <c r="S513"/>
      <c r="T513"/>
      <c r="U513"/>
      <c r="V513"/>
      <c r="W513"/>
      <c r="X513"/>
      <c r="Y513"/>
      <c r="Z513"/>
      <c r="AA513"/>
      <c r="AB513"/>
      <c r="AC513"/>
      <c r="AD513"/>
      <c r="AE513"/>
      <c r="AF513"/>
      <c r="AY513" s="465"/>
    </row>
    <row r="514" spans="1:51" ht="27" thickBot="1" x14ac:dyDescent="0.3">
      <c r="A514" s="85"/>
      <c r="B514" s="1002" t="s">
        <v>360</v>
      </c>
      <c r="C514" s="1002"/>
      <c r="D514" s="1002"/>
      <c r="E514" s="1002"/>
      <c r="F514" s="1002"/>
      <c r="G514" s="1002"/>
      <c r="H514" s="1002"/>
      <c r="I514" s="1002"/>
      <c r="J514" s="85"/>
      <c r="K514"/>
      <c r="L514"/>
      <c r="M514"/>
      <c r="N514"/>
      <c r="O514"/>
      <c r="P514"/>
      <c r="Q514"/>
      <c r="R514"/>
      <c r="S514"/>
      <c r="T514"/>
      <c r="U514"/>
      <c r="V514"/>
      <c r="W514"/>
      <c r="X514"/>
      <c r="Y514"/>
      <c r="Z514"/>
      <c r="AA514"/>
      <c r="AB514"/>
      <c r="AC514"/>
      <c r="AD514"/>
      <c r="AE514"/>
      <c r="AF514"/>
      <c r="AY514" s="465"/>
    </row>
    <row r="515" spans="1:51" ht="15.75" x14ac:dyDescent="0.25">
      <c r="A515" s="614" t="s">
        <v>2</v>
      </c>
      <c r="B515" s="706" t="s">
        <v>274</v>
      </c>
      <c r="C515" s="617" t="s">
        <v>275</v>
      </c>
      <c r="D515" s="617" t="s">
        <v>658</v>
      </c>
      <c r="E515" s="617" t="s">
        <v>277</v>
      </c>
      <c r="F515" s="617" t="s">
        <v>278</v>
      </c>
      <c r="G515" s="617" t="s">
        <v>279</v>
      </c>
      <c r="H515" s="617" t="s">
        <v>280</v>
      </c>
      <c r="I515" s="618" t="s">
        <v>10</v>
      </c>
      <c r="J515" s="619" t="s">
        <v>77</v>
      </c>
      <c r="K515"/>
      <c r="L515"/>
      <c r="M515"/>
      <c r="N515"/>
      <c r="O515"/>
      <c r="P515"/>
      <c r="Q515"/>
      <c r="R515"/>
      <c r="S515"/>
      <c r="T515"/>
      <c r="U515"/>
      <c r="V515"/>
      <c r="W515"/>
      <c r="X515"/>
      <c r="Y515"/>
      <c r="Z515"/>
      <c r="AA515"/>
      <c r="AB515"/>
      <c r="AC515"/>
      <c r="AD515"/>
      <c r="AE515"/>
      <c r="AF515"/>
      <c r="AY515" s="465"/>
    </row>
    <row r="516" spans="1:51" x14ac:dyDescent="0.25">
      <c r="A516" s="620" t="s">
        <v>11</v>
      </c>
      <c r="B516" s="433">
        <f>38+21+10</f>
        <v>69</v>
      </c>
      <c r="C516" s="673">
        <f>36+31+10</f>
        <v>77</v>
      </c>
      <c r="D516" s="739">
        <f>40+28+8</f>
        <v>76</v>
      </c>
      <c r="E516" s="673">
        <f>36+15+7</f>
        <v>58</v>
      </c>
      <c r="F516" s="673">
        <f>46+27+8</f>
        <v>81</v>
      </c>
      <c r="G516" s="673">
        <f>34+23+8</f>
        <v>65</v>
      </c>
      <c r="H516" s="673">
        <f>59+40+15</f>
        <v>114</v>
      </c>
      <c r="I516" s="673">
        <f t="shared" ref="I516:I521" si="273">SUM(B516:H516)</f>
        <v>540</v>
      </c>
      <c r="J516" s="621">
        <f t="shared" ref="J516:J522" si="274">+$I516/7</f>
        <v>77.142857142857139</v>
      </c>
      <c r="K516"/>
      <c r="L516"/>
      <c r="M516"/>
      <c r="N516"/>
      <c r="O516"/>
      <c r="P516"/>
      <c r="Q516"/>
      <c r="R516"/>
      <c r="S516"/>
      <c r="T516"/>
      <c r="U516"/>
      <c r="V516"/>
      <c r="W516"/>
      <c r="X516"/>
      <c r="Y516"/>
      <c r="Z516"/>
      <c r="AA516"/>
      <c r="AB516"/>
      <c r="AC516"/>
      <c r="AD516"/>
      <c r="AE516"/>
      <c r="AF516"/>
      <c r="AY516" s="465"/>
    </row>
    <row r="517" spans="1:51" x14ac:dyDescent="0.25">
      <c r="A517" s="622" t="s">
        <v>12</v>
      </c>
      <c r="B517" s="233">
        <v>30</v>
      </c>
      <c r="C517" s="671">
        <v>34</v>
      </c>
      <c r="D517" s="671">
        <v>27</v>
      </c>
      <c r="E517" s="671">
        <v>26</v>
      </c>
      <c r="F517" s="671">
        <v>34</v>
      </c>
      <c r="G517" s="675">
        <v>38</v>
      </c>
      <c r="H517" s="671">
        <v>48</v>
      </c>
      <c r="I517" s="671">
        <f t="shared" si="273"/>
        <v>237</v>
      </c>
      <c r="J517" s="623">
        <f t="shared" si="274"/>
        <v>33.857142857142854</v>
      </c>
      <c r="K517"/>
      <c r="L517"/>
      <c r="M517"/>
      <c r="N517"/>
      <c r="O517"/>
      <c r="P517"/>
      <c r="Q517"/>
      <c r="R517"/>
      <c r="S517"/>
      <c r="T517"/>
      <c r="U517"/>
      <c r="V517"/>
      <c r="W517"/>
      <c r="X517"/>
      <c r="Y517"/>
      <c r="Z517"/>
      <c r="AA517"/>
      <c r="AB517"/>
      <c r="AC517"/>
      <c r="AD517"/>
      <c r="AE517"/>
      <c r="AF517"/>
      <c r="AY517" s="465"/>
    </row>
    <row r="518" spans="1:51" x14ac:dyDescent="0.25">
      <c r="A518" s="622" t="s">
        <v>13</v>
      </c>
      <c r="B518" s="233">
        <v>0</v>
      </c>
      <c r="C518" s="13">
        <v>1</v>
      </c>
      <c r="D518" s="13">
        <v>1</v>
      </c>
      <c r="E518" s="13">
        <v>1</v>
      </c>
      <c r="F518" s="13">
        <v>0</v>
      </c>
      <c r="G518" s="13">
        <v>0</v>
      </c>
      <c r="H518" s="13">
        <v>2</v>
      </c>
      <c r="I518" s="13">
        <f t="shared" si="273"/>
        <v>5</v>
      </c>
      <c r="J518" s="623">
        <f t="shared" si="274"/>
        <v>0.7142857142857143</v>
      </c>
      <c r="K518"/>
      <c r="L518"/>
      <c r="M518"/>
      <c r="N518"/>
      <c r="O518"/>
      <c r="P518"/>
      <c r="Q518"/>
      <c r="R518"/>
      <c r="S518"/>
      <c r="T518"/>
      <c r="U518"/>
      <c r="V518"/>
      <c r="W518"/>
      <c r="X518"/>
      <c r="Y518"/>
      <c r="Z518"/>
      <c r="AA518"/>
      <c r="AB518"/>
      <c r="AC518"/>
      <c r="AD518"/>
      <c r="AE518"/>
      <c r="AF518"/>
      <c r="AY518" s="465"/>
    </row>
    <row r="519" spans="1:51" x14ac:dyDescent="0.25">
      <c r="A519" s="622" t="s">
        <v>14</v>
      </c>
      <c r="B519" s="233">
        <v>24</v>
      </c>
      <c r="C519" s="13">
        <v>22</v>
      </c>
      <c r="D519" s="13">
        <v>21</v>
      </c>
      <c r="E519" s="13">
        <v>16</v>
      </c>
      <c r="F519" s="13">
        <v>29</v>
      </c>
      <c r="G519" s="13">
        <v>10</v>
      </c>
      <c r="H519" s="13">
        <v>33</v>
      </c>
      <c r="I519" s="13">
        <f t="shared" si="273"/>
        <v>155</v>
      </c>
      <c r="J519" s="623">
        <f t="shared" si="274"/>
        <v>22.142857142857142</v>
      </c>
      <c r="K519"/>
      <c r="L519"/>
      <c r="M519"/>
      <c r="N519"/>
      <c r="O519"/>
      <c r="P519"/>
      <c r="Q519"/>
      <c r="R519"/>
      <c r="S519"/>
      <c r="T519"/>
      <c r="U519"/>
      <c r="V519"/>
      <c r="W519"/>
      <c r="X519"/>
      <c r="Y519"/>
      <c r="Z519"/>
      <c r="AA519"/>
      <c r="AB519"/>
      <c r="AC519"/>
      <c r="AD519"/>
      <c r="AE519"/>
      <c r="AF519"/>
      <c r="AY519" s="465"/>
    </row>
    <row r="520" spans="1:51" x14ac:dyDescent="0.25">
      <c r="A520" s="622" t="s">
        <v>15</v>
      </c>
      <c r="B520" s="233">
        <v>1</v>
      </c>
      <c r="C520" s="13">
        <v>5</v>
      </c>
      <c r="D520" s="13">
        <v>5</v>
      </c>
      <c r="E520" s="13">
        <v>0</v>
      </c>
      <c r="F520" s="13">
        <v>3</v>
      </c>
      <c r="G520" s="13">
        <v>2</v>
      </c>
      <c r="H520" s="13">
        <v>4</v>
      </c>
      <c r="I520" s="13">
        <f t="shared" si="273"/>
        <v>20</v>
      </c>
      <c r="J520" s="623">
        <f t="shared" si="274"/>
        <v>2.8571428571428572</v>
      </c>
      <c r="K520"/>
      <c r="L520"/>
      <c r="M520"/>
      <c r="N520"/>
      <c r="O520"/>
      <c r="P520"/>
      <c r="Q520"/>
      <c r="R520"/>
      <c r="S520"/>
      <c r="T520"/>
      <c r="U520"/>
      <c r="V520"/>
      <c r="W520"/>
      <c r="X520"/>
      <c r="Y520"/>
      <c r="Z520"/>
      <c r="AA520"/>
      <c r="AB520"/>
      <c r="AC520"/>
      <c r="AD520"/>
      <c r="AE520"/>
      <c r="AF520"/>
      <c r="AY520" s="465"/>
    </row>
    <row r="521" spans="1:51" x14ac:dyDescent="0.25">
      <c r="A521" s="622" t="s">
        <v>16</v>
      </c>
      <c r="B521" s="233">
        <v>0</v>
      </c>
      <c r="C521" s="13">
        <v>0</v>
      </c>
      <c r="D521" s="13">
        <v>0</v>
      </c>
      <c r="E521" s="13">
        <v>0</v>
      </c>
      <c r="F521" s="13">
        <v>0</v>
      </c>
      <c r="G521" s="13">
        <v>0</v>
      </c>
      <c r="H521" s="13">
        <v>0</v>
      </c>
      <c r="I521" s="13">
        <f t="shared" si="273"/>
        <v>0</v>
      </c>
      <c r="J521" s="623">
        <f t="shared" si="274"/>
        <v>0</v>
      </c>
      <c r="K521"/>
      <c r="L521"/>
      <c r="M521"/>
      <c r="N521"/>
      <c r="O521"/>
      <c r="P521"/>
      <c r="Q521"/>
      <c r="R521"/>
      <c r="S521"/>
      <c r="T521"/>
      <c r="U521"/>
      <c r="V521"/>
      <c r="W521"/>
      <c r="X521"/>
      <c r="Y521"/>
      <c r="Z521"/>
      <c r="AA521"/>
      <c r="AB521"/>
      <c r="AC521"/>
      <c r="AD521"/>
      <c r="AE521"/>
      <c r="AF521"/>
      <c r="AY521" s="465"/>
    </row>
    <row r="522" spans="1:51" x14ac:dyDescent="0.25">
      <c r="A522" s="624" t="s">
        <v>17</v>
      </c>
      <c r="B522" s="102">
        <f t="shared" ref="B522:H522" si="275">SUM(B517:B521)</f>
        <v>55</v>
      </c>
      <c r="C522" s="79">
        <f t="shared" si="275"/>
        <v>62</v>
      </c>
      <c r="D522" s="79">
        <f t="shared" si="275"/>
        <v>54</v>
      </c>
      <c r="E522" s="79">
        <f t="shared" si="275"/>
        <v>43</v>
      </c>
      <c r="F522" s="79">
        <f t="shared" si="275"/>
        <v>66</v>
      </c>
      <c r="G522" s="79">
        <f t="shared" si="275"/>
        <v>50</v>
      </c>
      <c r="H522" s="79">
        <f t="shared" si="275"/>
        <v>87</v>
      </c>
      <c r="I522" s="79">
        <f>SUM(I517:I521)</f>
        <v>417</v>
      </c>
      <c r="J522" s="625">
        <f t="shared" si="274"/>
        <v>59.571428571428569</v>
      </c>
      <c r="K522"/>
      <c r="L522"/>
      <c r="M522"/>
      <c r="N522"/>
      <c r="O522"/>
      <c r="P522"/>
      <c r="Q522"/>
      <c r="R522"/>
      <c r="S522"/>
      <c r="T522"/>
      <c r="U522"/>
      <c r="V522"/>
      <c r="W522"/>
      <c r="X522"/>
      <c r="Y522"/>
      <c r="Z522"/>
      <c r="AA522"/>
      <c r="AB522"/>
      <c r="AC522"/>
      <c r="AD522"/>
      <c r="AE522"/>
      <c r="AF522"/>
      <c r="AY522" s="465"/>
    </row>
    <row r="523" spans="1:51" x14ac:dyDescent="0.25">
      <c r="A523" s="622" t="s">
        <v>18</v>
      </c>
      <c r="B523" s="406">
        <v>0.57999999999999996</v>
      </c>
      <c r="C523" s="19">
        <v>0.6</v>
      </c>
      <c r="D523" s="19">
        <v>0.56000000000000005</v>
      </c>
      <c r="E523" s="19">
        <v>0.66</v>
      </c>
      <c r="F523" s="19">
        <v>0.55000000000000004</v>
      </c>
      <c r="G523" s="19">
        <v>0.81</v>
      </c>
      <c r="H523" s="19">
        <v>0.57999999999999996</v>
      </c>
      <c r="I523" s="19">
        <f>I530/I535</f>
        <v>0.61089023486890959</v>
      </c>
      <c r="J523" s="626">
        <f>J530/J535</f>
        <v>0.6108902348689097</v>
      </c>
      <c r="K523"/>
      <c r="L523"/>
      <c r="M523"/>
      <c r="N523"/>
      <c r="O523"/>
      <c r="P523"/>
      <c r="Q523"/>
      <c r="R523"/>
      <c r="S523"/>
      <c r="T523"/>
      <c r="U523"/>
      <c r="V523"/>
      <c r="W523"/>
      <c r="X523"/>
      <c r="Y523"/>
      <c r="Z523"/>
      <c r="AA523"/>
      <c r="AB523"/>
      <c r="AC523"/>
      <c r="AD523"/>
      <c r="AE523"/>
      <c r="AF523"/>
      <c r="AY523" s="465"/>
    </row>
    <row r="524" spans="1:51" x14ac:dyDescent="0.25">
      <c r="A524" s="622" t="s">
        <v>19</v>
      </c>
      <c r="B524" s="406">
        <v>0</v>
      </c>
      <c r="C524" s="19">
        <v>0.02</v>
      </c>
      <c r="D524" s="19">
        <v>0.02</v>
      </c>
      <c r="E524" s="19">
        <v>0.02</v>
      </c>
      <c r="F524" s="19">
        <v>0</v>
      </c>
      <c r="G524" s="19">
        <v>0</v>
      </c>
      <c r="H524" s="19">
        <v>0.01</v>
      </c>
      <c r="I524" s="19">
        <f>I531/I535</f>
        <v>9.7458008869030482E-3</v>
      </c>
      <c r="J524" s="626">
        <f>J531/J535</f>
        <v>9.7458008869030464E-3</v>
      </c>
      <c r="K524"/>
      <c r="L524"/>
      <c r="M524"/>
      <c r="N524"/>
      <c r="O524"/>
      <c r="P524"/>
      <c r="Q524"/>
      <c r="R524"/>
      <c r="S524"/>
      <c r="T524"/>
      <c r="U524"/>
      <c r="V524"/>
      <c r="W524"/>
      <c r="X524"/>
      <c r="Y524"/>
      <c r="Z524"/>
      <c r="AA524"/>
      <c r="AB524"/>
      <c r="AC524"/>
      <c r="AD524"/>
      <c r="AE524"/>
      <c r="AF524"/>
      <c r="AY524" s="465"/>
    </row>
    <row r="525" spans="1:51" x14ac:dyDescent="0.25">
      <c r="A525" s="622" t="s">
        <v>20</v>
      </c>
      <c r="B525" s="406">
        <v>0.39</v>
      </c>
      <c r="C525" s="19">
        <v>0.32</v>
      </c>
      <c r="D525" s="19">
        <v>0.35</v>
      </c>
      <c r="E525" s="19">
        <v>0.32</v>
      </c>
      <c r="F525" s="19">
        <v>0.42</v>
      </c>
      <c r="G525" s="19">
        <v>0.16</v>
      </c>
      <c r="H525" s="19">
        <v>0.37</v>
      </c>
      <c r="I525" s="19">
        <f>I532/I535</f>
        <v>0.34072459332071026</v>
      </c>
      <c r="J525" s="626">
        <f>J532/J535</f>
        <v>0.34072459332071026</v>
      </c>
      <c r="K525"/>
      <c r="L525"/>
      <c r="M525"/>
      <c r="N525"/>
      <c r="O525"/>
      <c r="P525"/>
      <c r="Q525"/>
      <c r="R525"/>
      <c r="S525"/>
      <c r="T525"/>
      <c r="U525"/>
      <c r="V525"/>
      <c r="W525"/>
      <c r="X525"/>
      <c r="Y525"/>
      <c r="Z525"/>
      <c r="AA525"/>
      <c r="AB525"/>
      <c r="AC525"/>
      <c r="AD525"/>
      <c r="AE525"/>
      <c r="AF525"/>
      <c r="AY525" s="465"/>
    </row>
    <row r="526" spans="1:51" x14ac:dyDescent="0.25">
      <c r="A526" s="622" t="s">
        <v>21</v>
      </c>
      <c r="B526" s="406">
        <v>0.03</v>
      </c>
      <c r="C526" s="19">
        <v>0.06</v>
      </c>
      <c r="D526" s="19">
        <v>7.0000000000000007E-2</v>
      </c>
      <c r="E526" s="19">
        <v>0</v>
      </c>
      <c r="F526" s="19">
        <v>0.03</v>
      </c>
      <c r="G526" s="19">
        <v>0.03</v>
      </c>
      <c r="H526" s="19">
        <v>0.04</v>
      </c>
      <c r="I526" s="19">
        <f>I533/I535</f>
        <v>3.8639370923477037E-2</v>
      </c>
      <c r="J526" s="626">
        <f>J533/J535</f>
        <v>3.8639370923477037E-2</v>
      </c>
      <c r="K526"/>
      <c r="L526"/>
      <c r="M526"/>
      <c r="N526"/>
      <c r="O526"/>
      <c r="P526"/>
      <c r="Q526"/>
      <c r="R526"/>
      <c r="S526"/>
      <c r="T526"/>
      <c r="U526"/>
      <c r="V526"/>
      <c r="W526"/>
      <c r="X526"/>
      <c r="Y526"/>
      <c r="Z526"/>
      <c r="AA526"/>
      <c r="AB526"/>
      <c r="AC526"/>
      <c r="AD526"/>
      <c r="AE526"/>
      <c r="AF526"/>
      <c r="AY526" s="465"/>
    </row>
    <row r="527" spans="1:51" x14ac:dyDescent="0.25">
      <c r="A527" s="622" t="s">
        <v>22</v>
      </c>
      <c r="B527" s="406">
        <v>0</v>
      </c>
      <c r="C527" s="19">
        <v>0</v>
      </c>
      <c r="D527" s="19">
        <v>0</v>
      </c>
      <c r="E527" s="19">
        <v>0</v>
      </c>
      <c r="F527" s="19">
        <v>0</v>
      </c>
      <c r="G527" s="19">
        <v>0</v>
      </c>
      <c r="H527" s="19">
        <v>0</v>
      </c>
      <c r="I527" s="19">
        <f>I534/I535</f>
        <v>0</v>
      </c>
      <c r="J527" s="626">
        <f>J534/J535</f>
        <v>0</v>
      </c>
      <c r="K527"/>
      <c r="L527"/>
      <c r="M527"/>
      <c r="N527"/>
      <c r="O527"/>
      <c r="P527"/>
      <c r="Q527"/>
      <c r="R527"/>
      <c r="S527"/>
      <c r="T527"/>
      <c r="U527"/>
      <c r="V527"/>
      <c r="W527"/>
      <c r="X527"/>
      <c r="Y527"/>
      <c r="Z527"/>
      <c r="AA527"/>
      <c r="AB527"/>
      <c r="AC527"/>
      <c r="AD527"/>
      <c r="AE527"/>
      <c r="AF527"/>
      <c r="AY527" s="465"/>
    </row>
    <row r="528" spans="1:51" x14ac:dyDescent="0.25">
      <c r="A528" s="627" t="s">
        <v>23</v>
      </c>
      <c r="B528" s="409">
        <f t="shared" ref="B528:J528" si="276">B539/B522</f>
        <v>39610.909090909088</v>
      </c>
      <c r="C528" s="131">
        <f t="shared" si="276"/>
        <v>34766.129032258068</v>
      </c>
      <c r="D528" s="131">
        <f t="shared" si="276"/>
        <v>38666.666666666672</v>
      </c>
      <c r="E528" s="131">
        <f t="shared" si="276"/>
        <v>37597.674418604656</v>
      </c>
      <c r="F528" s="131">
        <f t="shared" si="276"/>
        <v>34343.939393939392</v>
      </c>
      <c r="G528" s="131">
        <f t="shared" si="276"/>
        <v>36648</v>
      </c>
      <c r="H528" s="131">
        <f t="shared" si="276"/>
        <v>37902.29885057472</v>
      </c>
      <c r="I528" s="131">
        <f t="shared" si="276"/>
        <v>37015.347721822553</v>
      </c>
      <c r="J528" s="628">
        <f t="shared" si="276"/>
        <v>37015.347721822545</v>
      </c>
      <c r="K528"/>
      <c r="L528"/>
      <c r="M528"/>
      <c r="N528"/>
      <c r="O528"/>
      <c r="P528"/>
      <c r="Q528"/>
      <c r="R528"/>
      <c r="S528"/>
      <c r="T528"/>
      <c r="U528"/>
      <c r="V528"/>
      <c r="W528"/>
      <c r="X528"/>
      <c r="Y528"/>
      <c r="Z528"/>
      <c r="AA528"/>
      <c r="AB528"/>
      <c r="AC528"/>
      <c r="AD528"/>
      <c r="AE528"/>
      <c r="AF528"/>
      <c r="AY528" s="465"/>
    </row>
    <row r="529" spans="1:51" x14ac:dyDescent="0.25">
      <c r="A529" s="627" t="s">
        <v>24</v>
      </c>
      <c r="B529" s="409">
        <f t="shared" ref="B529:J529" si="277">B539/B516</f>
        <v>31573.91304347826</v>
      </c>
      <c r="C529" s="131">
        <f t="shared" si="277"/>
        <v>27993.506493506495</v>
      </c>
      <c r="D529" s="131">
        <f t="shared" si="277"/>
        <v>27473.68421052632</v>
      </c>
      <c r="E529" s="131">
        <f t="shared" si="277"/>
        <v>27874.137931034486</v>
      </c>
      <c r="F529" s="131">
        <f t="shared" si="277"/>
        <v>27983.95061728395</v>
      </c>
      <c r="G529" s="131">
        <f t="shared" si="277"/>
        <v>28190.76923076923</v>
      </c>
      <c r="H529" s="131">
        <f t="shared" si="277"/>
        <v>28925.438596491233</v>
      </c>
      <c r="I529" s="131">
        <f t="shared" si="277"/>
        <v>28584.07407407408</v>
      </c>
      <c r="J529" s="628">
        <f t="shared" si="277"/>
        <v>28584.07407407408</v>
      </c>
      <c r="K529"/>
      <c r="L529"/>
      <c r="M529"/>
      <c r="N529"/>
      <c r="O529"/>
      <c r="P529"/>
      <c r="Q529"/>
      <c r="R529"/>
      <c r="S529"/>
      <c r="T529"/>
      <c r="U529"/>
      <c r="V529"/>
      <c r="W529"/>
      <c r="X529"/>
      <c r="Y529"/>
      <c r="Z529"/>
      <c r="AA529"/>
      <c r="AB529"/>
      <c r="AC529"/>
      <c r="AD529"/>
      <c r="AE529"/>
      <c r="AF529"/>
      <c r="AY529" s="465"/>
    </row>
    <row r="530" spans="1:51" x14ac:dyDescent="0.25">
      <c r="A530" s="622" t="s">
        <v>25</v>
      </c>
      <c r="B530" s="255">
        <f t="shared" ref="B530:H530" si="278">B535*B523</f>
        <v>1047296.4</v>
      </c>
      <c r="C530" s="133">
        <f t="shared" si="278"/>
        <v>1065668.1931034483</v>
      </c>
      <c r="D530" s="133">
        <f t="shared" si="278"/>
        <v>971500.32000000018</v>
      </c>
      <c r="E530" s="133">
        <f t="shared" si="278"/>
        <v>878422.3117241381</v>
      </c>
      <c r="F530" s="133">
        <f t="shared" si="278"/>
        <v>1029586.6482758622</v>
      </c>
      <c r="G530" s="133">
        <f t="shared" si="278"/>
        <v>1205217.7696551725</v>
      </c>
      <c r="H530" s="133">
        <f t="shared" si="278"/>
        <v>1581544.24</v>
      </c>
      <c r="I530" s="133">
        <f>SUM(B530:H530)</f>
        <v>7779235.8827586221</v>
      </c>
      <c r="J530" s="629">
        <f t="shared" ref="J530:J535" si="279">+$I530/7</f>
        <v>1111319.4118226604</v>
      </c>
      <c r="K530"/>
      <c r="L530"/>
      <c r="M530"/>
      <c r="N530"/>
      <c r="O530"/>
      <c r="P530"/>
      <c r="Q530"/>
      <c r="R530"/>
      <c r="S530"/>
      <c r="T530"/>
      <c r="U530"/>
      <c r="V530"/>
      <c r="W530"/>
      <c r="X530"/>
      <c r="Y530"/>
      <c r="Z530"/>
      <c r="AA530"/>
      <c r="AB530"/>
      <c r="AC530"/>
      <c r="AD530"/>
      <c r="AE530"/>
      <c r="AF530"/>
      <c r="AY530" s="465"/>
    </row>
    <row r="531" spans="1:51" x14ac:dyDescent="0.25">
      <c r="A531" s="622" t="s">
        <v>26</v>
      </c>
      <c r="B531" s="255">
        <f t="shared" ref="B531:H531" si="280">B535*B524</f>
        <v>0</v>
      </c>
      <c r="C531" s="133">
        <f t="shared" si="280"/>
        <v>35522.273103448279</v>
      </c>
      <c r="D531" s="133">
        <f t="shared" si="280"/>
        <v>34696.44</v>
      </c>
      <c r="E531" s="133">
        <f t="shared" si="280"/>
        <v>26618.857931034487</v>
      </c>
      <c r="F531" s="133">
        <f t="shared" si="280"/>
        <v>0</v>
      </c>
      <c r="G531" s="133">
        <f t="shared" si="280"/>
        <v>0</v>
      </c>
      <c r="H531" s="133">
        <f t="shared" si="280"/>
        <v>27268.004137931039</v>
      </c>
      <c r="I531" s="133">
        <f>SUM(B531:H531)</f>
        <v>124105.57517241381</v>
      </c>
      <c r="J531" s="629">
        <f t="shared" si="279"/>
        <v>17729.3678817734</v>
      </c>
      <c r="K531"/>
      <c r="L531"/>
      <c r="M531"/>
      <c r="N531"/>
      <c r="O531"/>
      <c r="P531"/>
      <c r="Q531"/>
      <c r="R531"/>
      <c r="S531"/>
      <c r="T531"/>
      <c r="U531"/>
      <c r="V531"/>
      <c r="W531"/>
      <c r="X531"/>
      <c r="Y531"/>
      <c r="Z531"/>
      <c r="AA531"/>
      <c r="AB531"/>
      <c r="AC531"/>
      <c r="AD531"/>
      <c r="AE531"/>
      <c r="AF531"/>
      <c r="AY531" s="465"/>
    </row>
    <row r="532" spans="1:51" x14ac:dyDescent="0.25">
      <c r="A532" s="622" t="s">
        <v>27</v>
      </c>
      <c r="B532" s="255">
        <f t="shared" ref="B532:H532" si="281">B535*B525</f>
        <v>704216.54482758627</v>
      </c>
      <c r="C532" s="133">
        <f t="shared" si="281"/>
        <v>568356.36965517246</v>
      </c>
      <c r="D532" s="133">
        <f t="shared" si="281"/>
        <v>607187.70000000007</v>
      </c>
      <c r="E532" s="133">
        <f t="shared" si="281"/>
        <v>425901.72689655179</v>
      </c>
      <c r="F532" s="133">
        <f t="shared" si="281"/>
        <v>786229.80413793109</v>
      </c>
      <c r="G532" s="133">
        <f t="shared" si="281"/>
        <v>238067.7075862069</v>
      </c>
      <c r="H532" s="133">
        <f t="shared" si="281"/>
        <v>1008916.1531034483</v>
      </c>
      <c r="I532" s="133">
        <f>SUM(B532:H532)</f>
        <v>4338876.0062068971</v>
      </c>
      <c r="J532" s="629">
        <f t="shared" si="279"/>
        <v>619839.42945812817</v>
      </c>
      <c r="K532"/>
      <c r="L532"/>
      <c r="M532"/>
      <c r="N532"/>
      <c r="O532"/>
      <c r="P532"/>
      <c r="Q532"/>
      <c r="R532"/>
      <c r="S532"/>
      <c r="T532"/>
      <c r="U532"/>
      <c r="V532"/>
      <c r="W532"/>
      <c r="X532"/>
      <c r="Y532"/>
      <c r="Z532"/>
      <c r="AA532"/>
      <c r="AB532"/>
      <c r="AC532"/>
      <c r="AD532"/>
      <c r="AE532"/>
      <c r="AF532"/>
      <c r="AY532" s="465"/>
    </row>
    <row r="533" spans="1:51" x14ac:dyDescent="0.25">
      <c r="A533" s="622" t="s">
        <v>28</v>
      </c>
      <c r="B533" s="255">
        <f t="shared" ref="B533:H533" si="282">B535*B526</f>
        <v>54170.503448275864</v>
      </c>
      <c r="C533" s="133">
        <f t="shared" si="282"/>
        <v>106566.81931034483</v>
      </c>
      <c r="D533" s="133">
        <f t="shared" si="282"/>
        <v>121437.54000000002</v>
      </c>
      <c r="E533" s="133">
        <f t="shared" si="282"/>
        <v>0</v>
      </c>
      <c r="F533" s="133">
        <f t="shared" si="282"/>
        <v>56159.271724137929</v>
      </c>
      <c r="G533" s="133">
        <f t="shared" si="282"/>
        <v>44637.695172413791</v>
      </c>
      <c r="H533" s="133">
        <f t="shared" si="282"/>
        <v>109072.01655172415</v>
      </c>
      <c r="I533" s="133">
        <f>SUM(B533:H533)</f>
        <v>492043.84620689659</v>
      </c>
      <c r="J533" s="629">
        <f t="shared" si="279"/>
        <v>70291.97802955666</v>
      </c>
      <c r="K533"/>
      <c r="L533"/>
      <c r="M533"/>
      <c r="N533"/>
      <c r="O533"/>
      <c r="P533"/>
      <c r="Q533"/>
      <c r="R533"/>
      <c r="S533"/>
      <c r="T533"/>
      <c r="U533"/>
      <c r="V533"/>
      <c r="W533"/>
      <c r="X533"/>
      <c r="Y533"/>
      <c r="Z533"/>
      <c r="AA533"/>
      <c r="AB533"/>
      <c r="AC533"/>
      <c r="AD533"/>
      <c r="AE533"/>
      <c r="AF533"/>
      <c r="AY533" s="465"/>
    </row>
    <row r="534" spans="1:51" x14ac:dyDescent="0.25">
      <c r="A534" s="622" t="s">
        <v>29</v>
      </c>
      <c r="B534" s="255">
        <f t="shared" ref="B534:H534" si="283">B535*B527</f>
        <v>0</v>
      </c>
      <c r="C534" s="727">
        <f t="shared" si="283"/>
        <v>0</v>
      </c>
      <c r="D534" s="727">
        <f t="shared" si="283"/>
        <v>0</v>
      </c>
      <c r="E534" s="727">
        <f t="shared" si="283"/>
        <v>0</v>
      </c>
      <c r="F534" s="727">
        <f t="shared" si="283"/>
        <v>0</v>
      </c>
      <c r="G534" s="727">
        <f t="shared" si="283"/>
        <v>0</v>
      </c>
      <c r="H534" s="727">
        <f t="shared" si="283"/>
        <v>0</v>
      </c>
      <c r="I534" s="133">
        <f>SUM(B534:H534)</f>
        <v>0</v>
      </c>
      <c r="J534" s="629">
        <f t="shared" si="279"/>
        <v>0</v>
      </c>
      <c r="K534"/>
      <c r="L534"/>
      <c r="M534"/>
      <c r="N534"/>
      <c r="O534"/>
      <c r="P534"/>
      <c r="Q534"/>
      <c r="R534"/>
      <c r="S534"/>
      <c r="T534"/>
      <c r="U534"/>
      <c r="V534"/>
      <c r="W534"/>
      <c r="X534"/>
      <c r="Y534"/>
      <c r="Z534"/>
      <c r="AA534"/>
      <c r="AB534"/>
      <c r="AC534"/>
      <c r="AD534"/>
      <c r="AE534"/>
      <c r="AF534"/>
      <c r="AY534" s="465"/>
    </row>
    <row r="535" spans="1:51" x14ac:dyDescent="0.25">
      <c r="A535" s="630" t="s">
        <v>30</v>
      </c>
      <c r="B535" s="726">
        <f>(2178600/1.16)-B536</f>
        <v>1805683.4482758623</v>
      </c>
      <c r="C535" s="729">
        <f>(2155500/1.16)-C536</f>
        <v>1776113.6551724139</v>
      </c>
      <c r="D535" s="729">
        <f>(2088000/1.16)-D536</f>
        <v>1734822.0000000002</v>
      </c>
      <c r="E535" s="729">
        <f>(1616700/1.16)-E536</f>
        <v>1330942.8965517243</v>
      </c>
      <c r="F535" s="729">
        <f>(2266700/1.16)-F536</f>
        <v>1871975.7241379311</v>
      </c>
      <c r="G535" s="729">
        <f>(1832400/1.16)-G536</f>
        <v>1487923.1724137932</v>
      </c>
      <c r="H535" s="729">
        <f>(3297500/1.16)-H536</f>
        <v>2726800.4137931038</v>
      </c>
      <c r="I535" s="137">
        <f>SUM(I530:I534)</f>
        <v>12734261.31034483</v>
      </c>
      <c r="J535" s="631">
        <f t="shared" si="279"/>
        <v>1819180.1871921185</v>
      </c>
      <c r="K535"/>
      <c r="L535"/>
      <c r="M535"/>
      <c r="N535"/>
      <c r="O535"/>
      <c r="P535"/>
      <c r="Q535"/>
      <c r="R535"/>
      <c r="S535"/>
      <c r="T535"/>
      <c r="U535"/>
      <c r="V535"/>
      <c r="W535"/>
      <c r="X535"/>
      <c r="Y535"/>
      <c r="Z535"/>
      <c r="AA535"/>
      <c r="AB535"/>
      <c r="AC535"/>
      <c r="AD535"/>
      <c r="AE535"/>
      <c r="AF535"/>
      <c r="AY535" s="465"/>
    </row>
    <row r="536" spans="1:51" x14ac:dyDescent="0.25">
      <c r="A536" s="622" t="s">
        <v>31</v>
      </c>
      <c r="B536" s="263">
        <f t="shared" ref="B536:H536" si="284">2414*B517</f>
        <v>72420</v>
      </c>
      <c r="C536" s="728">
        <f t="shared" si="284"/>
        <v>82076</v>
      </c>
      <c r="D536" s="728">
        <f t="shared" si="284"/>
        <v>65178</v>
      </c>
      <c r="E536" s="728">
        <f t="shared" si="284"/>
        <v>62764</v>
      </c>
      <c r="F536" s="728">
        <f t="shared" si="284"/>
        <v>82076</v>
      </c>
      <c r="G536" s="728">
        <f t="shared" si="284"/>
        <v>91732</v>
      </c>
      <c r="H536" s="728">
        <f t="shared" si="284"/>
        <v>115872</v>
      </c>
      <c r="I536" s="139">
        <f>I517*2414</f>
        <v>572118</v>
      </c>
      <c r="J536" s="632">
        <f>2155*J517</f>
        <v>72962.142857142855</v>
      </c>
      <c r="K536"/>
      <c r="L536"/>
      <c r="M536"/>
      <c r="N536"/>
      <c r="O536"/>
      <c r="P536"/>
      <c r="Q536"/>
      <c r="R536"/>
      <c r="S536"/>
      <c r="T536"/>
      <c r="U536"/>
      <c r="V536"/>
      <c r="W536"/>
      <c r="X536"/>
      <c r="Y536"/>
      <c r="Z536"/>
      <c r="AA536"/>
      <c r="AB536"/>
      <c r="AC536"/>
      <c r="AD536"/>
      <c r="AE536"/>
      <c r="AF536"/>
      <c r="AY536" s="465"/>
    </row>
    <row r="537" spans="1:51" x14ac:dyDescent="0.25">
      <c r="A537" s="633" t="s">
        <v>32</v>
      </c>
      <c r="B537" s="411">
        <f t="shared" ref="B537:J537" si="285">B535+B536</f>
        <v>1878103.4482758623</v>
      </c>
      <c r="C537" s="40">
        <f t="shared" si="285"/>
        <v>1858189.6551724139</v>
      </c>
      <c r="D537" s="40">
        <f t="shared" si="285"/>
        <v>1800000.0000000002</v>
      </c>
      <c r="E537" s="40">
        <f t="shared" si="285"/>
        <v>1393706.8965517243</v>
      </c>
      <c r="F537" s="40">
        <f t="shared" si="285"/>
        <v>1954051.7241379311</v>
      </c>
      <c r="G537" s="40">
        <f t="shared" si="285"/>
        <v>1579655.1724137932</v>
      </c>
      <c r="H537" s="40">
        <f t="shared" si="285"/>
        <v>2842672.4137931038</v>
      </c>
      <c r="I537" s="40">
        <f t="shared" si="285"/>
        <v>13306379.31034483</v>
      </c>
      <c r="J537" s="634">
        <f t="shared" si="285"/>
        <v>1892142.3300492615</v>
      </c>
      <c r="K537"/>
      <c r="L537"/>
      <c r="M537"/>
      <c r="N537"/>
      <c r="O537"/>
      <c r="P537"/>
      <c r="Q537"/>
      <c r="R537"/>
      <c r="S537"/>
      <c r="T537"/>
      <c r="U537"/>
      <c r="V537"/>
      <c r="W537"/>
      <c r="X537"/>
      <c r="Y537"/>
      <c r="Z537"/>
      <c r="AA537"/>
      <c r="AB537"/>
      <c r="AC537"/>
      <c r="AD537"/>
      <c r="AE537"/>
      <c r="AF537"/>
      <c r="AY537" s="465"/>
    </row>
    <row r="538" spans="1:51" x14ac:dyDescent="0.25">
      <c r="A538" s="622" t="s">
        <v>33</v>
      </c>
      <c r="B538" s="413">
        <f t="shared" ref="B538:J538" si="286">B537*16%</f>
        <v>300496.55172413797</v>
      </c>
      <c r="C538" s="42">
        <f t="shared" si="286"/>
        <v>297310.34482758626</v>
      </c>
      <c r="D538" s="42">
        <f t="shared" si="286"/>
        <v>288000.00000000006</v>
      </c>
      <c r="E538" s="42">
        <f t="shared" si="286"/>
        <v>222993.10344827588</v>
      </c>
      <c r="F538" s="42">
        <f t="shared" si="286"/>
        <v>312648.27586206899</v>
      </c>
      <c r="G538" s="42">
        <f t="shared" si="286"/>
        <v>252744.8275862069</v>
      </c>
      <c r="H538" s="42">
        <f t="shared" si="286"/>
        <v>454827.58620689664</v>
      </c>
      <c r="I538" s="42">
        <f t="shared" si="286"/>
        <v>2129020.6896551726</v>
      </c>
      <c r="J538" s="635">
        <f t="shared" si="286"/>
        <v>302742.77280788182</v>
      </c>
      <c r="K538"/>
      <c r="L538"/>
      <c r="M538"/>
      <c r="N538"/>
      <c r="O538"/>
      <c r="P538"/>
      <c r="Q538"/>
      <c r="R538"/>
      <c r="S538"/>
      <c r="T538"/>
      <c r="U538"/>
      <c r="V538"/>
      <c r="W538"/>
      <c r="X538"/>
      <c r="Y538"/>
      <c r="Z538"/>
      <c r="AA538"/>
      <c r="AB538"/>
      <c r="AC538"/>
      <c r="AD538"/>
      <c r="AE538"/>
      <c r="AF538"/>
      <c r="AY538" s="465"/>
    </row>
    <row r="539" spans="1:51" ht="15.75" thickBot="1" x14ac:dyDescent="0.3">
      <c r="A539" s="636" t="s">
        <v>34</v>
      </c>
      <c r="B539" s="637">
        <f t="shared" ref="B539:I539" si="287">B537+B538</f>
        <v>2178600</v>
      </c>
      <c r="C539" s="638">
        <f t="shared" si="287"/>
        <v>2155500</v>
      </c>
      <c r="D539" s="638">
        <f t="shared" si="287"/>
        <v>2088000.0000000002</v>
      </c>
      <c r="E539" s="638">
        <f t="shared" si="287"/>
        <v>1616700.0000000002</v>
      </c>
      <c r="F539" s="638">
        <f t="shared" si="287"/>
        <v>2266700</v>
      </c>
      <c r="G539" s="638">
        <f t="shared" si="287"/>
        <v>1832400</v>
      </c>
      <c r="H539" s="638">
        <f t="shared" si="287"/>
        <v>3297500.0000000005</v>
      </c>
      <c r="I539" s="638">
        <f t="shared" si="287"/>
        <v>15435400.000000004</v>
      </c>
      <c r="J539" s="639">
        <f>+$I539/7</f>
        <v>2205057.1428571432</v>
      </c>
      <c r="K539"/>
      <c r="L539"/>
      <c r="M539"/>
      <c r="N539"/>
      <c r="O539"/>
      <c r="P539"/>
      <c r="Q539"/>
      <c r="R539"/>
      <c r="S539"/>
      <c r="T539"/>
      <c r="U539"/>
      <c r="V539"/>
      <c r="W539"/>
      <c r="X539"/>
      <c r="Y539"/>
      <c r="Z539"/>
      <c r="AA539"/>
      <c r="AB539"/>
      <c r="AC539"/>
      <c r="AD539"/>
      <c r="AE539"/>
      <c r="AF539"/>
      <c r="AY539" s="465"/>
    </row>
    <row r="540" spans="1:51" ht="15.75" thickBot="1" x14ac:dyDescent="0.3">
      <c r="K540"/>
      <c r="L540"/>
      <c r="M540"/>
      <c r="N540"/>
      <c r="O540"/>
      <c r="P540"/>
      <c r="Q540"/>
      <c r="R540"/>
      <c r="S540"/>
      <c r="T540"/>
      <c r="U540"/>
      <c r="V540"/>
      <c r="W540"/>
      <c r="X540"/>
      <c r="Y540"/>
      <c r="Z540"/>
      <c r="AA540"/>
      <c r="AB540"/>
      <c r="AC540"/>
      <c r="AD540"/>
      <c r="AE540"/>
      <c r="AF540"/>
      <c r="AY540" s="465"/>
    </row>
    <row r="541" spans="1:51" ht="27" thickBot="1" x14ac:dyDescent="0.3">
      <c r="A541" s="85"/>
      <c r="B541" s="1002" t="s">
        <v>361</v>
      </c>
      <c r="C541" s="1002"/>
      <c r="D541" s="1002"/>
      <c r="E541" s="1002"/>
      <c r="F541" s="1002"/>
      <c r="G541" s="1002"/>
      <c r="H541" s="1002"/>
      <c r="I541" s="1002"/>
      <c r="J541" s="85"/>
      <c r="K541"/>
      <c r="L541"/>
      <c r="M541"/>
      <c r="N541"/>
      <c r="O541"/>
      <c r="P541"/>
      <c r="Q541"/>
      <c r="R541"/>
      <c r="S541"/>
      <c r="T541"/>
      <c r="U541"/>
      <c r="V541"/>
      <c r="W541"/>
      <c r="X541"/>
      <c r="Y541"/>
      <c r="Z541"/>
      <c r="AA541"/>
      <c r="AB541"/>
      <c r="AC541"/>
      <c r="AD541"/>
      <c r="AE541"/>
      <c r="AF541"/>
      <c r="AY541" s="465"/>
    </row>
    <row r="542" spans="1:51" ht="15.75" x14ac:dyDescent="0.25">
      <c r="A542" s="614" t="s">
        <v>2</v>
      </c>
      <c r="B542" s="706" t="s">
        <v>282</v>
      </c>
      <c r="C542" s="617" t="s">
        <v>4</v>
      </c>
      <c r="D542" s="617" t="s">
        <v>5</v>
      </c>
      <c r="E542" s="617" t="s">
        <v>6</v>
      </c>
      <c r="F542" s="617" t="s">
        <v>7</v>
      </c>
      <c r="G542" s="617" t="s">
        <v>283</v>
      </c>
      <c r="H542" s="617" t="s">
        <v>9</v>
      </c>
      <c r="I542" s="618" t="s">
        <v>10</v>
      </c>
      <c r="J542" s="619" t="s">
        <v>77</v>
      </c>
      <c r="K542"/>
      <c r="L542"/>
      <c r="M542"/>
      <c r="N542"/>
      <c r="O542"/>
      <c r="P542"/>
      <c r="Q542"/>
      <c r="R542"/>
      <c r="S542"/>
      <c r="T542"/>
      <c r="U542"/>
      <c r="V542"/>
      <c r="W542"/>
      <c r="X542"/>
      <c r="Y542"/>
      <c r="Z542"/>
      <c r="AA542"/>
      <c r="AB542"/>
      <c r="AC542"/>
      <c r="AD542"/>
      <c r="AE542"/>
      <c r="AF542"/>
      <c r="AY542" s="465"/>
    </row>
    <row r="543" spans="1:51" x14ac:dyDescent="0.25">
      <c r="A543" s="620" t="s">
        <v>11</v>
      </c>
      <c r="B543" s="433">
        <f>34+36+8</f>
        <v>78</v>
      </c>
      <c r="C543" s="673">
        <f>28+13+4</f>
        <v>45</v>
      </c>
      <c r="D543" s="739">
        <f>36+23+8</f>
        <v>67</v>
      </c>
      <c r="E543" s="673">
        <f>53+11+7</f>
        <v>71</v>
      </c>
      <c r="F543" s="673">
        <f>65+32+12</f>
        <v>109</v>
      </c>
      <c r="G543" s="673">
        <f>71+44+13</f>
        <v>128</v>
      </c>
      <c r="H543" s="673">
        <f>68+38+14</f>
        <v>120</v>
      </c>
      <c r="I543" s="673">
        <f t="shared" ref="I543:I548" si="288">SUM(B543:H543)</f>
        <v>618</v>
      </c>
      <c r="J543" s="621">
        <f t="shared" ref="J543:J549" si="289">+$I543/7</f>
        <v>88.285714285714292</v>
      </c>
      <c r="K543"/>
      <c r="L543"/>
      <c r="M543"/>
      <c r="N543"/>
      <c r="O543"/>
      <c r="P543"/>
      <c r="Q543"/>
      <c r="R543"/>
      <c r="S543"/>
      <c r="T543"/>
      <c r="U543"/>
      <c r="V543"/>
      <c r="W543"/>
      <c r="X543"/>
      <c r="Y543"/>
      <c r="Z543"/>
      <c r="AA543"/>
      <c r="AB543"/>
      <c r="AC543"/>
      <c r="AD543"/>
      <c r="AE543"/>
      <c r="AF543"/>
      <c r="AY543" s="465"/>
    </row>
    <row r="544" spans="1:51" x14ac:dyDescent="0.25">
      <c r="A544" s="622" t="s">
        <v>12</v>
      </c>
      <c r="B544" s="233">
        <v>48</v>
      </c>
      <c r="C544" s="671">
        <v>24</v>
      </c>
      <c r="D544" s="671">
        <v>28</v>
      </c>
      <c r="E544" s="671">
        <v>27</v>
      </c>
      <c r="F544" s="671">
        <v>46</v>
      </c>
      <c r="G544" s="675">
        <v>73</v>
      </c>
      <c r="H544" s="671">
        <v>64</v>
      </c>
      <c r="I544" s="671">
        <f t="shared" si="288"/>
        <v>310</v>
      </c>
      <c r="J544" s="623">
        <f t="shared" si="289"/>
        <v>44.285714285714285</v>
      </c>
      <c r="K544"/>
      <c r="L544"/>
      <c r="M544"/>
      <c r="N544"/>
      <c r="O544"/>
      <c r="P544"/>
      <c r="Q544"/>
      <c r="R544"/>
      <c r="S544"/>
      <c r="T544"/>
      <c r="U544"/>
      <c r="V544"/>
      <c r="W544"/>
      <c r="X544"/>
      <c r="Y544"/>
      <c r="Z544"/>
      <c r="AA544"/>
      <c r="AB544"/>
      <c r="AC544"/>
      <c r="AD544"/>
      <c r="AE544"/>
      <c r="AF544"/>
      <c r="AY544" s="465"/>
    </row>
    <row r="545" spans="1:51" x14ac:dyDescent="0.25">
      <c r="A545" s="622" t="s">
        <v>13</v>
      </c>
      <c r="B545" s="233">
        <v>0</v>
      </c>
      <c r="C545" s="13">
        <v>0</v>
      </c>
      <c r="D545" s="13">
        <v>1</v>
      </c>
      <c r="E545" s="13">
        <v>1</v>
      </c>
      <c r="F545" s="13">
        <v>0</v>
      </c>
      <c r="G545" s="13">
        <v>0</v>
      </c>
      <c r="H545" s="13">
        <v>0</v>
      </c>
      <c r="I545" s="13">
        <f t="shared" si="288"/>
        <v>2</v>
      </c>
      <c r="J545" s="623">
        <f t="shared" si="289"/>
        <v>0.2857142857142857</v>
      </c>
      <c r="K545"/>
      <c r="L545"/>
      <c r="M545"/>
      <c r="N545"/>
      <c r="O545"/>
      <c r="P545"/>
      <c r="Q545"/>
      <c r="R545"/>
      <c r="S545"/>
      <c r="T545"/>
      <c r="U545"/>
      <c r="V545"/>
      <c r="W545"/>
      <c r="X545"/>
      <c r="Y545"/>
      <c r="Z545"/>
      <c r="AA545"/>
      <c r="AB545"/>
      <c r="AC545"/>
      <c r="AD545"/>
      <c r="AE545"/>
      <c r="AF545"/>
      <c r="AY545" s="465"/>
    </row>
    <row r="546" spans="1:51" x14ac:dyDescent="0.25">
      <c r="A546" s="622" t="s">
        <v>14</v>
      </c>
      <c r="B546" s="233">
        <v>11</v>
      </c>
      <c r="C546" s="13">
        <v>10</v>
      </c>
      <c r="D546" s="13">
        <v>18</v>
      </c>
      <c r="E546" s="13">
        <v>26</v>
      </c>
      <c r="F546" s="13">
        <v>30</v>
      </c>
      <c r="G546" s="13">
        <v>28</v>
      </c>
      <c r="H546" s="13">
        <v>24</v>
      </c>
      <c r="I546" s="13">
        <f t="shared" si="288"/>
        <v>147</v>
      </c>
      <c r="J546" s="623">
        <f t="shared" si="289"/>
        <v>21</v>
      </c>
      <c r="K546"/>
      <c r="L546"/>
      <c r="M546"/>
      <c r="N546"/>
      <c r="O546"/>
      <c r="P546"/>
      <c r="Q546"/>
      <c r="R546"/>
      <c r="S546"/>
      <c r="T546"/>
      <c r="U546"/>
      <c r="V546"/>
      <c r="W546"/>
      <c r="X546"/>
      <c r="Y546"/>
      <c r="Z546"/>
      <c r="AA546"/>
      <c r="AB546"/>
      <c r="AC546"/>
      <c r="AD546"/>
      <c r="AE546"/>
      <c r="AF546"/>
      <c r="AY546" s="465"/>
    </row>
    <row r="547" spans="1:51" x14ac:dyDescent="0.25">
      <c r="A547" s="622" t="s">
        <v>15</v>
      </c>
      <c r="B547" s="233">
        <v>5</v>
      </c>
      <c r="C547" s="13">
        <v>2</v>
      </c>
      <c r="D547" s="13">
        <v>3</v>
      </c>
      <c r="E547" s="13">
        <v>3</v>
      </c>
      <c r="F547" s="13">
        <v>5</v>
      </c>
      <c r="G547" s="13">
        <v>2</v>
      </c>
      <c r="H547" s="13">
        <v>5</v>
      </c>
      <c r="I547" s="13">
        <f t="shared" si="288"/>
        <v>25</v>
      </c>
      <c r="J547" s="623">
        <f t="shared" si="289"/>
        <v>3.5714285714285716</v>
      </c>
      <c r="K547"/>
      <c r="L547"/>
      <c r="M547"/>
      <c r="N547"/>
      <c r="O547"/>
      <c r="P547"/>
      <c r="Q547"/>
      <c r="R547"/>
      <c r="S547"/>
      <c r="T547"/>
      <c r="U547"/>
      <c r="V547"/>
      <c r="W547"/>
      <c r="X547"/>
      <c r="Y547"/>
      <c r="Z547"/>
      <c r="AA547"/>
      <c r="AB547"/>
      <c r="AC547"/>
      <c r="AD547"/>
      <c r="AE547"/>
      <c r="AF547"/>
      <c r="AY547" s="465"/>
    </row>
    <row r="548" spans="1:51" x14ac:dyDescent="0.25">
      <c r="A548" s="622" t="s">
        <v>16</v>
      </c>
      <c r="B548" s="233">
        <v>0</v>
      </c>
      <c r="C548" s="13">
        <v>0</v>
      </c>
      <c r="D548" s="13">
        <v>0</v>
      </c>
      <c r="E548" s="13">
        <v>0</v>
      </c>
      <c r="F548" s="13">
        <v>0</v>
      </c>
      <c r="G548" s="13">
        <v>0</v>
      </c>
      <c r="H548" s="13">
        <v>0</v>
      </c>
      <c r="I548" s="13">
        <f t="shared" si="288"/>
        <v>0</v>
      </c>
      <c r="J548" s="623">
        <f t="shared" si="289"/>
        <v>0</v>
      </c>
      <c r="K548"/>
      <c r="L548"/>
      <c r="M548"/>
      <c r="N548"/>
      <c r="O548"/>
      <c r="P548"/>
      <c r="Q548"/>
      <c r="R548"/>
      <c r="S548"/>
      <c r="T548"/>
      <c r="U548"/>
      <c r="V548"/>
      <c r="W548"/>
      <c r="X548"/>
      <c r="Y548"/>
      <c r="Z548"/>
      <c r="AA548"/>
      <c r="AB548"/>
      <c r="AC548"/>
      <c r="AD548"/>
      <c r="AE548"/>
      <c r="AF548"/>
      <c r="AY548" s="465"/>
    </row>
    <row r="549" spans="1:51" x14ac:dyDescent="0.25">
      <c r="A549" s="624" t="s">
        <v>17</v>
      </c>
      <c r="B549" s="102">
        <f t="shared" ref="B549:H549" si="290">SUM(B544:B548)</f>
        <v>64</v>
      </c>
      <c r="C549" s="79">
        <f t="shared" si="290"/>
        <v>36</v>
      </c>
      <c r="D549" s="79">
        <f t="shared" si="290"/>
        <v>50</v>
      </c>
      <c r="E549" s="79">
        <f t="shared" si="290"/>
        <v>57</v>
      </c>
      <c r="F549" s="79">
        <f t="shared" si="290"/>
        <v>81</v>
      </c>
      <c r="G549" s="79">
        <f t="shared" si="290"/>
        <v>103</v>
      </c>
      <c r="H549" s="79">
        <f t="shared" si="290"/>
        <v>93</v>
      </c>
      <c r="I549" s="79">
        <f>SUM(I544:I548)</f>
        <v>484</v>
      </c>
      <c r="J549" s="625">
        <f t="shared" si="289"/>
        <v>69.142857142857139</v>
      </c>
      <c r="K549"/>
      <c r="L549"/>
      <c r="M549"/>
      <c r="N549"/>
      <c r="O549"/>
      <c r="P549"/>
      <c r="Q549"/>
      <c r="R549"/>
      <c r="S549"/>
      <c r="T549"/>
      <c r="U549"/>
      <c r="V549"/>
      <c r="W549"/>
      <c r="X549"/>
      <c r="Y549"/>
      <c r="Z549"/>
      <c r="AA549"/>
      <c r="AB549"/>
      <c r="AC549"/>
      <c r="AD549"/>
      <c r="AE549"/>
      <c r="AF549"/>
      <c r="AY549" s="465"/>
    </row>
    <row r="550" spans="1:51" x14ac:dyDescent="0.25">
      <c r="A550" s="622" t="s">
        <v>18</v>
      </c>
      <c r="B550" s="406">
        <v>0.8</v>
      </c>
      <c r="C550" s="19">
        <v>0.65</v>
      </c>
      <c r="D550" s="19">
        <v>0.72</v>
      </c>
      <c r="E550" s="19">
        <v>0.57999999999999996</v>
      </c>
      <c r="F550" s="19">
        <v>0.64</v>
      </c>
      <c r="G550" s="19">
        <v>0.79</v>
      </c>
      <c r="H550" s="19">
        <v>0.75</v>
      </c>
      <c r="I550" s="19">
        <f>I557/I562</f>
        <v>0.71727156578522056</v>
      </c>
      <c r="J550" s="626">
        <f>J557/J562</f>
        <v>0.71727156578522056</v>
      </c>
      <c r="K550"/>
      <c r="L550"/>
      <c r="M550"/>
      <c r="N550"/>
      <c r="O550"/>
      <c r="P550"/>
      <c r="Q550"/>
      <c r="R550"/>
      <c r="S550"/>
      <c r="T550"/>
      <c r="U550"/>
      <c r="V550"/>
      <c r="W550"/>
      <c r="X550"/>
      <c r="Y550"/>
      <c r="Z550"/>
      <c r="AA550"/>
      <c r="AB550"/>
      <c r="AC550"/>
      <c r="AD550"/>
      <c r="AE550"/>
      <c r="AF550"/>
      <c r="AY550" s="465"/>
    </row>
    <row r="551" spans="1:51" x14ac:dyDescent="0.25">
      <c r="A551" s="622" t="s">
        <v>19</v>
      </c>
      <c r="B551" s="406">
        <v>0</v>
      </c>
      <c r="C551" s="19">
        <v>0</v>
      </c>
      <c r="D551" s="19">
        <v>0</v>
      </c>
      <c r="E551" s="19">
        <v>0.02</v>
      </c>
      <c r="F551" s="19">
        <v>0</v>
      </c>
      <c r="G551" s="19">
        <v>0</v>
      </c>
      <c r="H551" s="19">
        <v>0</v>
      </c>
      <c r="I551" s="19">
        <f>I558/I562</f>
        <v>2.1941808865666088E-3</v>
      </c>
      <c r="J551" s="626">
        <f>J558/J562</f>
        <v>2.1941808865666092E-3</v>
      </c>
      <c r="K551"/>
      <c r="L551"/>
      <c r="M551"/>
      <c r="N551"/>
      <c r="O551"/>
      <c r="P551"/>
      <c r="Q551"/>
      <c r="R551"/>
      <c r="S551"/>
      <c r="T551"/>
      <c r="U551"/>
      <c r="V551"/>
      <c r="W551"/>
      <c r="X551"/>
      <c r="Y551"/>
      <c r="Z551"/>
      <c r="AA551"/>
      <c r="AB551"/>
      <c r="AC551"/>
      <c r="AD551"/>
      <c r="AE551"/>
      <c r="AF551"/>
      <c r="AY551" s="465"/>
    </row>
    <row r="552" spans="1:51" x14ac:dyDescent="0.25">
      <c r="A552" s="622" t="s">
        <v>20</v>
      </c>
      <c r="B552" s="406">
        <v>0.14000000000000001</v>
      </c>
      <c r="C552" s="19">
        <v>0.33</v>
      </c>
      <c r="D552" s="19">
        <v>0.25</v>
      </c>
      <c r="E552" s="19">
        <v>0.38</v>
      </c>
      <c r="F552" s="19">
        <v>0.32</v>
      </c>
      <c r="G552" s="19">
        <v>0.2</v>
      </c>
      <c r="H552" s="19">
        <v>0.22</v>
      </c>
      <c r="I552" s="19">
        <f>I559/I562</f>
        <v>0.2508668733219952</v>
      </c>
      <c r="J552" s="626">
        <f>J559/J562</f>
        <v>0.2508668733219952</v>
      </c>
      <c r="K552"/>
      <c r="L552"/>
      <c r="M552"/>
      <c r="N552"/>
      <c r="O552"/>
      <c r="P552"/>
      <c r="Q552"/>
      <c r="R552"/>
      <c r="S552"/>
      <c r="T552"/>
      <c r="U552"/>
      <c r="V552"/>
      <c r="W552"/>
      <c r="X552"/>
      <c r="Y552"/>
      <c r="Z552"/>
      <c r="AA552"/>
      <c r="AB552"/>
      <c r="AC552"/>
      <c r="AD552"/>
      <c r="AE552"/>
      <c r="AF552"/>
      <c r="AY552" s="465"/>
    </row>
    <row r="553" spans="1:51" x14ac:dyDescent="0.25">
      <c r="A553" s="622" t="s">
        <v>21</v>
      </c>
      <c r="B553" s="406">
        <v>0.06</v>
      </c>
      <c r="C553" s="19">
        <v>0.02</v>
      </c>
      <c r="D553" s="19">
        <v>0.03</v>
      </c>
      <c r="E553" s="19">
        <v>0.02</v>
      </c>
      <c r="F553" s="19">
        <v>0.04</v>
      </c>
      <c r="G553" s="19">
        <v>0.01</v>
      </c>
      <c r="H553" s="19">
        <v>0.03</v>
      </c>
      <c r="I553" s="19">
        <f>I560/I562</f>
        <v>2.9667380006217613E-2</v>
      </c>
      <c r="J553" s="626">
        <f>J560/J562</f>
        <v>2.9667380006217613E-2</v>
      </c>
      <c r="K553"/>
      <c r="L553"/>
      <c r="M553"/>
      <c r="N553"/>
      <c r="O553"/>
      <c r="P553"/>
      <c r="Q553"/>
      <c r="R553"/>
      <c r="S553"/>
      <c r="T553"/>
      <c r="U553"/>
      <c r="V553"/>
      <c r="W553"/>
      <c r="X553"/>
      <c r="Y553"/>
      <c r="Z553"/>
      <c r="AA553"/>
      <c r="AB553"/>
      <c r="AC553"/>
      <c r="AD553"/>
      <c r="AE553"/>
      <c r="AF553"/>
      <c r="AY553" s="465"/>
    </row>
    <row r="554" spans="1:51" x14ac:dyDescent="0.25">
      <c r="A554" s="622" t="s">
        <v>22</v>
      </c>
      <c r="B554" s="406">
        <v>0</v>
      </c>
      <c r="C554" s="19">
        <v>0</v>
      </c>
      <c r="D554" s="19">
        <v>0</v>
      </c>
      <c r="E554" s="19">
        <v>0</v>
      </c>
      <c r="F554" s="19">
        <v>0</v>
      </c>
      <c r="G554" s="19">
        <v>0</v>
      </c>
      <c r="H554" s="19">
        <v>0</v>
      </c>
      <c r="I554" s="19">
        <f>I561/I562</f>
        <v>0</v>
      </c>
      <c r="J554" s="626">
        <f>J561/J562</f>
        <v>0</v>
      </c>
      <c r="K554"/>
      <c r="L554"/>
      <c r="M554"/>
      <c r="N554"/>
      <c r="O554"/>
      <c r="P554"/>
      <c r="Q554"/>
      <c r="R554"/>
      <c r="S554"/>
      <c r="T554"/>
      <c r="U554"/>
      <c r="V554"/>
      <c r="W554"/>
      <c r="X554"/>
      <c r="Y554"/>
      <c r="Z554"/>
      <c r="AA554"/>
      <c r="AB554"/>
      <c r="AC554"/>
      <c r="AD554"/>
      <c r="AE554"/>
      <c r="AF554"/>
      <c r="AY554" s="465"/>
    </row>
    <row r="555" spans="1:51" x14ac:dyDescent="0.25">
      <c r="A555" s="627" t="s">
        <v>23</v>
      </c>
      <c r="B555" s="409">
        <f t="shared" ref="B555:J555" si="291">B566/B549</f>
        <v>36165.625</v>
      </c>
      <c r="C555" s="131">
        <f t="shared" si="291"/>
        <v>29897.222222222223</v>
      </c>
      <c r="D555" s="131">
        <f t="shared" si="291"/>
        <v>39084</v>
      </c>
      <c r="E555" s="131">
        <f t="shared" si="291"/>
        <v>33233.333333333336</v>
      </c>
      <c r="F555" s="131">
        <f t="shared" si="291"/>
        <v>38693.827160493835</v>
      </c>
      <c r="G555" s="131">
        <f t="shared" si="291"/>
        <v>37273.786407766995</v>
      </c>
      <c r="H555" s="131">
        <f t="shared" si="291"/>
        <v>34760.215053763444</v>
      </c>
      <c r="I555" s="131">
        <f t="shared" si="291"/>
        <v>36044.421487603307</v>
      </c>
      <c r="J555" s="628">
        <f t="shared" si="291"/>
        <v>36044.421487603307</v>
      </c>
      <c r="K555"/>
      <c r="L555"/>
      <c r="M555"/>
      <c r="N555"/>
      <c r="O555"/>
      <c r="P555"/>
      <c r="Q555"/>
      <c r="R555"/>
      <c r="S555"/>
      <c r="T555"/>
      <c r="U555"/>
      <c r="V555"/>
      <c r="W555"/>
      <c r="X555"/>
      <c r="Y555"/>
      <c r="Z555"/>
      <c r="AA555"/>
      <c r="AB555"/>
      <c r="AC555"/>
      <c r="AD555"/>
      <c r="AE555"/>
      <c r="AF555"/>
      <c r="AY555" s="465"/>
    </row>
    <row r="556" spans="1:51" x14ac:dyDescent="0.25">
      <c r="A556" s="627" t="s">
        <v>24</v>
      </c>
      <c r="B556" s="409">
        <f t="shared" ref="B556:J556" si="292">B566/B543</f>
        <v>29674.358974358973</v>
      </c>
      <c r="C556" s="131">
        <f t="shared" si="292"/>
        <v>23917.777777777777</v>
      </c>
      <c r="D556" s="131">
        <f t="shared" si="292"/>
        <v>29167.164179104479</v>
      </c>
      <c r="E556" s="131">
        <f t="shared" si="292"/>
        <v>26680.281690140844</v>
      </c>
      <c r="F556" s="131">
        <f t="shared" si="292"/>
        <v>28754.128440366978</v>
      </c>
      <c r="G556" s="131">
        <f t="shared" si="292"/>
        <v>29993.750000000004</v>
      </c>
      <c r="H556" s="131">
        <f t="shared" si="292"/>
        <v>26939.166666666668</v>
      </c>
      <c r="I556" s="131">
        <f t="shared" si="292"/>
        <v>28228.964401294499</v>
      </c>
      <c r="J556" s="628">
        <f t="shared" si="292"/>
        <v>28228.964401294499</v>
      </c>
      <c r="K556"/>
      <c r="L556"/>
      <c r="M556"/>
      <c r="N556"/>
      <c r="O556"/>
      <c r="P556"/>
      <c r="Q556"/>
      <c r="R556"/>
      <c r="S556"/>
      <c r="T556"/>
      <c r="U556"/>
      <c r="V556"/>
      <c r="W556"/>
      <c r="X556"/>
      <c r="Y556"/>
      <c r="Z556"/>
      <c r="AA556"/>
      <c r="AB556"/>
      <c r="AC556"/>
      <c r="AD556"/>
      <c r="AE556"/>
      <c r="AF556"/>
      <c r="AY556" s="465"/>
    </row>
    <row r="557" spans="1:51" x14ac:dyDescent="0.25">
      <c r="A557" s="622" t="s">
        <v>25</v>
      </c>
      <c r="B557" s="255">
        <f t="shared" ref="B557:H557" si="293">B562*B550</f>
        <v>1503578.2620689657</v>
      </c>
      <c r="C557" s="133">
        <f t="shared" si="293"/>
        <v>565440.73793103453</v>
      </c>
      <c r="D557" s="133">
        <f t="shared" si="293"/>
        <v>1164285.4841379311</v>
      </c>
      <c r="E557" s="133">
        <f t="shared" si="293"/>
        <v>909346.76</v>
      </c>
      <c r="F557" s="133">
        <f t="shared" si="293"/>
        <v>1658145.6331034484</v>
      </c>
      <c r="G557" s="133">
        <f t="shared" si="293"/>
        <v>2475412.2062068968</v>
      </c>
      <c r="H557" s="133">
        <f t="shared" si="293"/>
        <v>1974235.7586206896</v>
      </c>
      <c r="I557" s="133">
        <f>SUM(B557:H557)</f>
        <v>10250444.842068966</v>
      </c>
      <c r="J557" s="629">
        <f t="shared" ref="J557:J562" si="294">+$I557/7</f>
        <v>1464349.2631527095</v>
      </c>
      <c r="K557"/>
      <c r="L557"/>
      <c r="M557"/>
      <c r="N557"/>
      <c r="O557"/>
      <c r="P557"/>
      <c r="Q557"/>
      <c r="R557"/>
      <c r="S557"/>
      <c r="T557"/>
      <c r="U557"/>
      <c r="V557"/>
      <c r="W557"/>
      <c r="X557"/>
      <c r="Y557"/>
      <c r="Z557"/>
      <c r="AA557"/>
      <c r="AB557"/>
      <c r="AC557"/>
      <c r="AD557"/>
      <c r="AE557"/>
      <c r="AF557"/>
      <c r="AY557" s="465"/>
    </row>
    <row r="558" spans="1:51" x14ac:dyDescent="0.25">
      <c r="A558" s="622" t="s">
        <v>26</v>
      </c>
      <c r="B558" s="255">
        <f t="shared" ref="B558:H558" si="295">B562*B551</f>
        <v>0</v>
      </c>
      <c r="C558" s="133">
        <f t="shared" si="295"/>
        <v>0</v>
      </c>
      <c r="D558" s="133">
        <f t="shared" si="295"/>
        <v>0</v>
      </c>
      <c r="E558" s="133">
        <f t="shared" si="295"/>
        <v>31356.784827586209</v>
      </c>
      <c r="F558" s="133">
        <f t="shared" si="295"/>
        <v>0</v>
      </c>
      <c r="G558" s="133">
        <f t="shared" si="295"/>
        <v>0</v>
      </c>
      <c r="H558" s="133">
        <f t="shared" si="295"/>
        <v>0</v>
      </c>
      <c r="I558" s="133">
        <f>SUM(B558:H558)</f>
        <v>31356.784827586209</v>
      </c>
      <c r="J558" s="629">
        <f t="shared" si="294"/>
        <v>4479.5406896551731</v>
      </c>
      <c r="K558"/>
      <c r="L558"/>
      <c r="M558"/>
      <c r="N558"/>
      <c r="O558"/>
      <c r="P558"/>
      <c r="Q558"/>
      <c r="R558"/>
      <c r="S558"/>
      <c r="T558"/>
      <c r="U558"/>
      <c r="V558"/>
      <c r="W558"/>
      <c r="X558"/>
      <c r="Y558"/>
      <c r="Z558"/>
      <c r="AA558"/>
      <c r="AB558"/>
      <c r="AC558"/>
      <c r="AD558"/>
      <c r="AE558"/>
      <c r="AF558"/>
      <c r="AY558" s="465"/>
    </row>
    <row r="559" spans="1:51" x14ac:dyDescent="0.25">
      <c r="A559" s="622" t="s">
        <v>27</v>
      </c>
      <c r="B559" s="255">
        <f t="shared" ref="B559:H559" si="296">B562*B552</f>
        <v>263126.19586206903</v>
      </c>
      <c r="C559" s="133">
        <f t="shared" si="296"/>
        <v>287069.91310344829</v>
      </c>
      <c r="D559" s="133">
        <f t="shared" si="296"/>
        <v>404265.79310344829</v>
      </c>
      <c r="E559" s="133">
        <f t="shared" si="296"/>
        <v>595778.91172413796</v>
      </c>
      <c r="F559" s="133">
        <f t="shared" si="296"/>
        <v>829072.81655172422</v>
      </c>
      <c r="G559" s="133">
        <f t="shared" si="296"/>
        <v>626686.6344827587</v>
      </c>
      <c r="H559" s="133">
        <f t="shared" si="296"/>
        <v>579109.15586206899</v>
      </c>
      <c r="I559" s="133">
        <f>SUM(B559:H559)</f>
        <v>3585109.4206896555</v>
      </c>
      <c r="J559" s="629">
        <f t="shared" si="294"/>
        <v>512158.48866995081</v>
      </c>
      <c r="K559"/>
      <c r="L559"/>
      <c r="M559"/>
      <c r="N559"/>
      <c r="O559"/>
      <c r="P559"/>
      <c r="Q559"/>
      <c r="R559"/>
      <c r="S559"/>
      <c r="T559"/>
      <c r="U559"/>
      <c r="V559"/>
      <c r="W559"/>
      <c r="X559"/>
      <c r="Y559"/>
      <c r="Z559"/>
      <c r="AA559"/>
      <c r="AB559"/>
      <c r="AC559"/>
      <c r="AD559"/>
      <c r="AE559"/>
      <c r="AF559"/>
      <c r="AY559" s="465"/>
    </row>
    <row r="560" spans="1:51" x14ac:dyDescent="0.25">
      <c r="A560" s="622" t="s">
        <v>28</v>
      </c>
      <c r="B560" s="255">
        <f t="shared" ref="B560:H560" si="297">B562*B553</f>
        <v>112768.36965517241</v>
      </c>
      <c r="C560" s="133">
        <f t="shared" si="297"/>
        <v>17398.17655172414</v>
      </c>
      <c r="D560" s="133">
        <f t="shared" si="297"/>
        <v>48511.895172413795</v>
      </c>
      <c r="E560" s="133">
        <f t="shared" si="297"/>
        <v>31356.784827586209</v>
      </c>
      <c r="F560" s="133">
        <f t="shared" si="297"/>
        <v>103634.10206896553</v>
      </c>
      <c r="G560" s="133">
        <f t="shared" si="297"/>
        <v>31334.331724137934</v>
      </c>
      <c r="H560" s="133">
        <f t="shared" si="297"/>
        <v>78969.43034482759</v>
      </c>
      <c r="I560" s="133">
        <f>SUM(B560:H560)</f>
        <v>423973.09034482762</v>
      </c>
      <c r="J560" s="629">
        <f t="shared" si="294"/>
        <v>60567.584334975378</v>
      </c>
      <c r="K560"/>
      <c r="L560"/>
      <c r="M560"/>
      <c r="N560"/>
      <c r="O560"/>
      <c r="P560"/>
      <c r="Q560"/>
      <c r="R560"/>
      <c r="S560"/>
      <c r="T560"/>
      <c r="U560"/>
      <c r="V560"/>
      <c r="W560"/>
      <c r="X560"/>
      <c r="Y560"/>
      <c r="Z560"/>
      <c r="AA560"/>
      <c r="AB560"/>
      <c r="AC560"/>
      <c r="AD560"/>
      <c r="AE560"/>
      <c r="AF560"/>
      <c r="AY560" s="465"/>
    </row>
    <row r="561" spans="1:51" x14ac:dyDescent="0.25">
      <c r="A561" s="622" t="s">
        <v>29</v>
      </c>
      <c r="B561" s="255">
        <f t="shared" ref="B561:H561" si="298">B562*B554</f>
        <v>0</v>
      </c>
      <c r="C561" s="727">
        <f t="shared" si="298"/>
        <v>0</v>
      </c>
      <c r="D561" s="727">
        <f t="shared" si="298"/>
        <v>0</v>
      </c>
      <c r="E561" s="727">
        <f t="shared" si="298"/>
        <v>0</v>
      </c>
      <c r="F561" s="727">
        <f t="shared" si="298"/>
        <v>0</v>
      </c>
      <c r="G561" s="727">
        <f t="shared" si="298"/>
        <v>0</v>
      </c>
      <c r="H561" s="727">
        <f t="shared" si="298"/>
        <v>0</v>
      </c>
      <c r="I561" s="133">
        <f>SUM(B561:H561)</f>
        <v>0</v>
      </c>
      <c r="J561" s="629">
        <f t="shared" si="294"/>
        <v>0</v>
      </c>
      <c r="K561"/>
      <c r="L561"/>
      <c r="M561"/>
      <c r="N561"/>
      <c r="O561"/>
      <c r="P561"/>
      <c r="Q561"/>
      <c r="R561"/>
      <c r="S561"/>
      <c r="T561"/>
      <c r="U561"/>
      <c r="V561"/>
      <c r="W561"/>
      <c r="X561"/>
      <c r="Y561"/>
      <c r="Z561"/>
      <c r="AA561"/>
      <c r="AB561"/>
      <c r="AC561"/>
      <c r="AD561"/>
      <c r="AE561"/>
      <c r="AF561"/>
      <c r="AY561" s="465"/>
    </row>
    <row r="562" spans="1:51" x14ac:dyDescent="0.25">
      <c r="A562" s="630" t="s">
        <v>30</v>
      </c>
      <c r="B562" s="726">
        <f>(2314600/1.16)-B563</f>
        <v>1879472.8275862071</v>
      </c>
      <c r="C562" s="729">
        <f>(1076300/1.16)-C563</f>
        <v>869908.82758620696</v>
      </c>
      <c r="D562" s="729">
        <f>(1954200/1.16)-D563</f>
        <v>1617063.1724137932</v>
      </c>
      <c r="E562" s="729">
        <f>(1894300/1.16)-E563</f>
        <v>1567839.2413793104</v>
      </c>
      <c r="F562" s="729">
        <f>(3134200/1.16)-F563</f>
        <v>2590852.5517241382</v>
      </c>
      <c r="G562" s="729">
        <f>(3839200/1.16)-G563</f>
        <v>3133433.1724137934</v>
      </c>
      <c r="H562" s="729">
        <f>(3232700/1.16)-H563</f>
        <v>2632314.3448275863</v>
      </c>
      <c r="I562" s="137">
        <f>SUM(I557:I561)</f>
        <v>14290884.137931036</v>
      </c>
      <c r="J562" s="631">
        <f t="shared" si="294"/>
        <v>2041554.8768472909</v>
      </c>
      <c r="K562"/>
      <c r="L562"/>
      <c r="M562"/>
      <c r="N562"/>
      <c r="O562"/>
      <c r="P562"/>
      <c r="Q562"/>
      <c r="R562"/>
      <c r="S562"/>
      <c r="T562"/>
      <c r="U562"/>
      <c r="V562"/>
      <c r="W562"/>
      <c r="X562"/>
      <c r="Y562"/>
      <c r="Z562"/>
      <c r="AA562"/>
      <c r="AB562"/>
      <c r="AC562"/>
      <c r="AD562"/>
      <c r="AE562"/>
      <c r="AF562"/>
      <c r="AY562" s="465"/>
    </row>
    <row r="563" spans="1:51" x14ac:dyDescent="0.25">
      <c r="A563" s="622" t="s">
        <v>31</v>
      </c>
      <c r="B563" s="263">
        <f t="shared" ref="B563:H563" si="299">2414*B544</f>
        <v>115872</v>
      </c>
      <c r="C563" s="728">
        <f t="shared" si="299"/>
        <v>57936</v>
      </c>
      <c r="D563" s="728">
        <f t="shared" si="299"/>
        <v>67592</v>
      </c>
      <c r="E563" s="728">
        <f t="shared" si="299"/>
        <v>65178</v>
      </c>
      <c r="F563" s="728">
        <f t="shared" si="299"/>
        <v>111044</v>
      </c>
      <c r="G563" s="728">
        <f t="shared" si="299"/>
        <v>176222</v>
      </c>
      <c r="H563" s="728">
        <f t="shared" si="299"/>
        <v>154496</v>
      </c>
      <c r="I563" s="139">
        <f>I544*2414</f>
        <v>748340</v>
      </c>
      <c r="J563" s="632">
        <f>2155*J544</f>
        <v>95435.71428571429</v>
      </c>
      <c r="K563"/>
      <c r="L563"/>
      <c r="M563"/>
      <c r="N563"/>
      <c r="O563"/>
      <c r="P563"/>
      <c r="Q563"/>
      <c r="R563"/>
      <c r="S563"/>
      <c r="T563"/>
      <c r="U563"/>
      <c r="V563"/>
      <c r="W563"/>
      <c r="X563"/>
      <c r="Y563"/>
      <c r="Z563"/>
      <c r="AA563"/>
      <c r="AB563"/>
      <c r="AC563"/>
      <c r="AD563"/>
      <c r="AE563"/>
      <c r="AF563"/>
      <c r="AY563" s="465"/>
    </row>
    <row r="564" spans="1:51" x14ac:dyDescent="0.25">
      <c r="A564" s="633" t="s">
        <v>32</v>
      </c>
      <c r="B564" s="411">
        <f t="shared" ref="B564:J564" si="300">B562+B563</f>
        <v>1995344.8275862071</v>
      </c>
      <c r="C564" s="40">
        <f t="shared" si="300"/>
        <v>927844.82758620696</v>
      </c>
      <c r="D564" s="40">
        <f t="shared" si="300"/>
        <v>1684655.1724137932</v>
      </c>
      <c r="E564" s="40">
        <f t="shared" si="300"/>
        <v>1633017.2413793104</v>
      </c>
      <c r="F564" s="40">
        <f t="shared" si="300"/>
        <v>2701896.5517241382</v>
      </c>
      <c r="G564" s="40">
        <f t="shared" si="300"/>
        <v>3309655.1724137934</v>
      </c>
      <c r="H564" s="40">
        <f t="shared" si="300"/>
        <v>2786810.3448275863</v>
      </c>
      <c r="I564" s="40">
        <f t="shared" si="300"/>
        <v>15039224.137931036</v>
      </c>
      <c r="J564" s="634">
        <f t="shared" si="300"/>
        <v>2136990.591133005</v>
      </c>
      <c r="K564"/>
      <c r="L564"/>
      <c r="M564"/>
      <c r="N564"/>
      <c r="O564"/>
      <c r="P564"/>
      <c r="Q564"/>
      <c r="R564"/>
      <c r="S564"/>
      <c r="T564"/>
      <c r="U564"/>
      <c r="V564"/>
      <c r="W564"/>
      <c r="X564"/>
      <c r="Y564"/>
      <c r="Z564"/>
      <c r="AA564"/>
      <c r="AB564"/>
      <c r="AC564"/>
      <c r="AD564"/>
      <c r="AE564"/>
      <c r="AF564"/>
      <c r="AY564" s="465"/>
    </row>
    <row r="565" spans="1:51" x14ac:dyDescent="0.25">
      <c r="A565" s="622" t="s">
        <v>33</v>
      </c>
      <c r="B565" s="413">
        <f t="shared" ref="B565:J565" si="301">B564*16%</f>
        <v>319255.17241379316</v>
      </c>
      <c r="C565" s="42">
        <f t="shared" si="301"/>
        <v>148455.17241379313</v>
      </c>
      <c r="D565" s="42">
        <f t="shared" si="301"/>
        <v>269544.8275862069</v>
      </c>
      <c r="E565" s="42">
        <f t="shared" si="301"/>
        <v>261282.75862068965</v>
      </c>
      <c r="F565" s="42">
        <f t="shared" si="301"/>
        <v>432303.44827586215</v>
      </c>
      <c r="G565" s="42">
        <f t="shared" si="301"/>
        <v>529544.82758620696</v>
      </c>
      <c r="H565" s="42">
        <f t="shared" si="301"/>
        <v>445889.6551724138</v>
      </c>
      <c r="I565" s="42">
        <f t="shared" si="301"/>
        <v>2406275.8620689656</v>
      </c>
      <c r="J565" s="635">
        <f t="shared" si="301"/>
        <v>341918.4945812808</v>
      </c>
      <c r="K565"/>
      <c r="L565"/>
      <c r="M565"/>
      <c r="N565"/>
      <c r="O565"/>
      <c r="P565"/>
      <c r="Q565"/>
      <c r="R565"/>
      <c r="S565"/>
      <c r="T565"/>
      <c r="U565"/>
      <c r="V565"/>
      <c r="W565"/>
      <c r="X565"/>
      <c r="Y565"/>
      <c r="Z565"/>
      <c r="AA565"/>
      <c r="AB565"/>
      <c r="AC565"/>
      <c r="AD565"/>
      <c r="AE565"/>
      <c r="AF565"/>
      <c r="AY565" s="465"/>
    </row>
    <row r="566" spans="1:51" ht="15.75" thickBot="1" x14ac:dyDescent="0.3">
      <c r="A566" s="636" t="s">
        <v>34</v>
      </c>
      <c r="B566" s="637">
        <f t="shared" ref="B566:I566" si="302">B564+B565</f>
        <v>2314600</v>
      </c>
      <c r="C566" s="638">
        <f t="shared" si="302"/>
        <v>1076300</v>
      </c>
      <c r="D566" s="638">
        <f t="shared" si="302"/>
        <v>1954200</v>
      </c>
      <c r="E566" s="638">
        <f t="shared" si="302"/>
        <v>1894300</v>
      </c>
      <c r="F566" s="638">
        <f t="shared" si="302"/>
        <v>3134200.0000000005</v>
      </c>
      <c r="G566" s="638">
        <f t="shared" si="302"/>
        <v>3839200.0000000005</v>
      </c>
      <c r="H566" s="638">
        <f t="shared" si="302"/>
        <v>3232700</v>
      </c>
      <c r="I566" s="638">
        <f t="shared" si="302"/>
        <v>17445500</v>
      </c>
      <c r="J566" s="639">
        <f>+$I566/7</f>
        <v>2492214.2857142859</v>
      </c>
      <c r="K566"/>
      <c r="L566"/>
      <c r="M566"/>
      <c r="N566"/>
      <c r="O566"/>
      <c r="P566"/>
      <c r="Q566"/>
      <c r="R566"/>
      <c r="S566"/>
      <c r="T566"/>
      <c r="U566"/>
      <c r="V566"/>
      <c r="W566"/>
      <c r="X566"/>
      <c r="Y566"/>
      <c r="Z566"/>
      <c r="AA566"/>
      <c r="AB566"/>
      <c r="AC566"/>
      <c r="AD566"/>
      <c r="AE566"/>
      <c r="AF566"/>
      <c r="AY566" s="465"/>
    </row>
    <row r="567" spans="1:51" ht="15.75" thickBot="1" x14ac:dyDescent="0.3">
      <c r="K567"/>
      <c r="L567"/>
      <c r="M567"/>
      <c r="N567"/>
      <c r="O567"/>
      <c r="P567"/>
      <c r="Q567"/>
      <c r="R567"/>
      <c r="S567"/>
      <c r="T567"/>
      <c r="U567"/>
      <c r="V567"/>
      <c r="W567"/>
      <c r="X567"/>
      <c r="Y567"/>
      <c r="Z567"/>
      <c r="AA567"/>
      <c r="AB567"/>
      <c r="AC567"/>
      <c r="AD567"/>
      <c r="AE567"/>
      <c r="AF567"/>
      <c r="AY567" s="465"/>
    </row>
    <row r="568" spans="1:51" ht="27" thickBot="1" x14ac:dyDescent="0.3">
      <c r="A568" s="85"/>
      <c r="B568" s="1002" t="s">
        <v>362</v>
      </c>
      <c r="C568" s="1002"/>
      <c r="D568" s="1002"/>
      <c r="E568" s="1002"/>
      <c r="F568" s="1002"/>
      <c r="G568" s="1002"/>
      <c r="H568" s="1002"/>
      <c r="I568" s="1002"/>
      <c r="J568" s="85"/>
      <c r="K568"/>
      <c r="L568"/>
      <c r="M568"/>
      <c r="N568"/>
      <c r="O568"/>
      <c r="P568"/>
      <c r="Q568"/>
      <c r="R568"/>
      <c r="S568"/>
      <c r="T568"/>
      <c r="U568"/>
      <c r="V568"/>
      <c r="W568"/>
      <c r="X568"/>
      <c r="Y568"/>
      <c r="Z568"/>
      <c r="AA568"/>
      <c r="AB568"/>
      <c r="AC568"/>
      <c r="AD568"/>
      <c r="AE568"/>
      <c r="AF568"/>
      <c r="AY568" s="465"/>
    </row>
    <row r="569" spans="1:51" ht="15.75" x14ac:dyDescent="0.25">
      <c r="A569" s="614" t="s">
        <v>2</v>
      </c>
      <c r="B569" s="706" t="s">
        <v>285</v>
      </c>
      <c r="C569" s="617" t="s">
        <v>37</v>
      </c>
      <c r="D569" s="617" t="s">
        <v>286</v>
      </c>
      <c r="E569" s="617" t="s">
        <v>39</v>
      </c>
      <c r="F569" s="617" t="s">
        <v>40</v>
      </c>
      <c r="G569" s="617" t="s">
        <v>287</v>
      </c>
      <c r="H569" s="617" t="s">
        <v>42</v>
      </c>
      <c r="I569" s="618" t="s">
        <v>10</v>
      </c>
      <c r="J569" s="619" t="s">
        <v>77</v>
      </c>
      <c r="K569"/>
      <c r="L569"/>
      <c r="M569"/>
      <c r="N569"/>
      <c r="O569"/>
      <c r="P569"/>
      <c r="Q569"/>
      <c r="R569"/>
      <c r="S569"/>
      <c r="T569"/>
      <c r="U569"/>
      <c r="V569"/>
      <c r="W569"/>
      <c r="X569"/>
      <c r="Y569"/>
      <c r="Z569"/>
      <c r="AA569"/>
      <c r="AB569"/>
      <c r="AC569"/>
      <c r="AD569"/>
      <c r="AE569"/>
      <c r="AF569"/>
      <c r="AY569" s="465"/>
    </row>
    <row r="570" spans="1:51" x14ac:dyDescent="0.25">
      <c r="A570" s="620" t="s">
        <v>11</v>
      </c>
      <c r="B570" s="433">
        <f>33+18+3</f>
        <v>54</v>
      </c>
      <c r="C570" s="673">
        <f>27+12+5</f>
        <v>44</v>
      </c>
      <c r="D570" s="739">
        <f>33+23+7</f>
        <v>63</v>
      </c>
      <c r="E570" s="673">
        <f>39+26+9</f>
        <v>74</v>
      </c>
      <c r="F570" s="673">
        <f>66+44+12</f>
        <v>122</v>
      </c>
      <c r="G570" s="673">
        <f>87+52+22</f>
        <v>161</v>
      </c>
      <c r="H570" s="673">
        <f>69+52+16</f>
        <v>137</v>
      </c>
      <c r="I570" s="673">
        <f t="shared" ref="I570:I575" si="303">SUM(B570:H570)</f>
        <v>655</v>
      </c>
      <c r="J570" s="621">
        <f t="shared" ref="J570:J576" si="304">+$I570/7</f>
        <v>93.571428571428569</v>
      </c>
      <c r="K570"/>
      <c r="L570"/>
      <c r="M570"/>
      <c r="N570"/>
      <c r="O570"/>
      <c r="P570"/>
      <c r="Q570"/>
      <c r="R570"/>
      <c r="S570"/>
      <c r="T570"/>
      <c r="U570"/>
      <c r="V570"/>
      <c r="W570"/>
      <c r="X570"/>
      <c r="Y570"/>
      <c r="Z570"/>
      <c r="AA570"/>
      <c r="AB570"/>
      <c r="AC570"/>
      <c r="AD570"/>
      <c r="AE570"/>
      <c r="AF570"/>
      <c r="AY570" s="465"/>
    </row>
    <row r="571" spans="1:51" x14ac:dyDescent="0.25">
      <c r="A571" s="622" t="s">
        <v>12</v>
      </c>
      <c r="B571" s="233">
        <v>21</v>
      </c>
      <c r="C571" s="671">
        <v>19</v>
      </c>
      <c r="D571" s="671">
        <v>32</v>
      </c>
      <c r="E571" s="671">
        <v>32</v>
      </c>
      <c r="F571" s="671">
        <v>53</v>
      </c>
      <c r="G571" s="675">
        <v>79</v>
      </c>
      <c r="H571" s="671">
        <v>72</v>
      </c>
      <c r="I571" s="671">
        <f t="shared" si="303"/>
        <v>308</v>
      </c>
      <c r="J571" s="623">
        <f t="shared" si="304"/>
        <v>44</v>
      </c>
      <c r="K571"/>
      <c r="L571"/>
      <c r="M571"/>
      <c r="N571"/>
      <c r="O571"/>
      <c r="P571"/>
      <c r="Q571"/>
      <c r="R571"/>
      <c r="S571"/>
      <c r="T571"/>
      <c r="U571"/>
      <c r="V571"/>
      <c r="W571"/>
      <c r="X571"/>
      <c r="Y571"/>
      <c r="Z571"/>
      <c r="AA571"/>
      <c r="AB571"/>
      <c r="AC571"/>
      <c r="AD571"/>
      <c r="AE571"/>
      <c r="AF571"/>
      <c r="AY571" s="465"/>
    </row>
    <row r="572" spans="1:51" x14ac:dyDescent="0.25">
      <c r="A572" s="622" t="s">
        <v>13</v>
      </c>
      <c r="B572" s="233">
        <v>0</v>
      </c>
      <c r="C572" s="13">
        <v>0</v>
      </c>
      <c r="D572" s="13">
        <v>2</v>
      </c>
      <c r="E572" s="13">
        <v>0</v>
      </c>
      <c r="F572" s="13">
        <v>1</v>
      </c>
      <c r="G572" s="13">
        <v>1</v>
      </c>
      <c r="H572" s="13">
        <v>0</v>
      </c>
      <c r="I572" s="13">
        <f t="shared" si="303"/>
        <v>4</v>
      </c>
      <c r="J572" s="623">
        <f t="shared" si="304"/>
        <v>0.5714285714285714</v>
      </c>
      <c r="K572"/>
      <c r="L572"/>
      <c r="M572"/>
      <c r="N572"/>
      <c r="O572"/>
      <c r="P572"/>
      <c r="Q572"/>
      <c r="R572"/>
      <c r="S572"/>
      <c r="T572"/>
      <c r="U572"/>
      <c r="V572"/>
      <c r="W572"/>
      <c r="X572"/>
      <c r="Y572"/>
      <c r="Z572"/>
      <c r="AA572"/>
      <c r="AB572"/>
      <c r="AC572"/>
      <c r="AD572"/>
      <c r="AE572"/>
      <c r="AF572"/>
      <c r="AY572" s="465"/>
    </row>
    <row r="573" spans="1:51" x14ac:dyDescent="0.25">
      <c r="A573" s="622" t="s">
        <v>14</v>
      </c>
      <c r="B573" s="233">
        <v>18</v>
      </c>
      <c r="C573" s="13">
        <v>11</v>
      </c>
      <c r="D573" s="13">
        <v>12</v>
      </c>
      <c r="E573" s="13">
        <v>15</v>
      </c>
      <c r="F573" s="13">
        <v>36</v>
      </c>
      <c r="G573" s="13">
        <v>33</v>
      </c>
      <c r="H573" s="13">
        <v>29</v>
      </c>
      <c r="I573" s="13">
        <f t="shared" si="303"/>
        <v>154</v>
      </c>
      <c r="J573" s="623">
        <f t="shared" si="304"/>
        <v>22</v>
      </c>
      <c r="K573"/>
      <c r="L573"/>
      <c r="M573"/>
      <c r="N573"/>
      <c r="O573"/>
      <c r="P573"/>
      <c r="Q573"/>
      <c r="R573"/>
      <c r="S573"/>
      <c r="T573"/>
      <c r="U573"/>
      <c r="V573"/>
      <c r="W573"/>
      <c r="X573"/>
      <c r="Y573"/>
      <c r="Z573"/>
      <c r="AA573"/>
      <c r="AB573"/>
      <c r="AC573"/>
      <c r="AD573"/>
      <c r="AE573"/>
      <c r="AF573"/>
      <c r="AY573" s="465"/>
    </row>
    <row r="574" spans="1:51" x14ac:dyDescent="0.25">
      <c r="A574" s="622" t="s">
        <v>15</v>
      </c>
      <c r="B574" s="233">
        <v>5</v>
      </c>
      <c r="C574" s="13">
        <v>4</v>
      </c>
      <c r="D574" s="13">
        <v>3</v>
      </c>
      <c r="E574" s="13">
        <v>7</v>
      </c>
      <c r="F574" s="13">
        <v>7</v>
      </c>
      <c r="G574" s="13">
        <v>4</v>
      </c>
      <c r="H574" s="13">
        <v>3</v>
      </c>
      <c r="I574" s="13">
        <f t="shared" si="303"/>
        <v>33</v>
      </c>
      <c r="J574" s="623">
        <f t="shared" si="304"/>
        <v>4.7142857142857144</v>
      </c>
      <c r="K574"/>
      <c r="L574"/>
      <c r="M574"/>
      <c r="N574"/>
      <c r="O574"/>
      <c r="P574"/>
      <c r="Q574"/>
      <c r="R574"/>
      <c r="S574"/>
      <c r="T574"/>
      <c r="U574"/>
      <c r="V574"/>
      <c r="W574"/>
      <c r="X574"/>
      <c r="Y574"/>
      <c r="Z574"/>
      <c r="AA574"/>
      <c r="AB574"/>
      <c r="AC574"/>
      <c r="AD574"/>
      <c r="AE574"/>
      <c r="AF574"/>
      <c r="AY574" s="465"/>
    </row>
    <row r="575" spans="1:51" x14ac:dyDescent="0.25">
      <c r="A575" s="622" t="s">
        <v>16</v>
      </c>
      <c r="B575" s="233">
        <v>0</v>
      </c>
      <c r="C575" s="13">
        <v>0</v>
      </c>
      <c r="D575" s="13">
        <v>0</v>
      </c>
      <c r="E575" s="13">
        <v>0</v>
      </c>
      <c r="F575" s="13">
        <v>0</v>
      </c>
      <c r="G575" s="13">
        <v>0</v>
      </c>
      <c r="H575" s="13">
        <v>0</v>
      </c>
      <c r="I575" s="13">
        <f t="shared" si="303"/>
        <v>0</v>
      </c>
      <c r="J575" s="623">
        <f t="shared" si="304"/>
        <v>0</v>
      </c>
      <c r="K575"/>
      <c r="L575"/>
      <c r="M575"/>
      <c r="N575"/>
      <c r="O575"/>
      <c r="P575"/>
      <c r="Q575"/>
      <c r="R575"/>
      <c r="S575"/>
      <c r="T575"/>
      <c r="U575"/>
      <c r="V575"/>
      <c r="W575"/>
      <c r="X575"/>
      <c r="Y575"/>
      <c r="Z575"/>
      <c r="AA575"/>
      <c r="AB575"/>
      <c r="AC575"/>
      <c r="AD575"/>
      <c r="AE575"/>
      <c r="AF575"/>
      <c r="AY575" s="465"/>
    </row>
    <row r="576" spans="1:51" x14ac:dyDescent="0.25">
      <c r="A576" s="624" t="s">
        <v>17</v>
      </c>
      <c r="B576" s="102">
        <f t="shared" ref="B576:H576" si="305">SUM(B571:B575)</f>
        <v>44</v>
      </c>
      <c r="C576" s="79">
        <f t="shared" si="305"/>
        <v>34</v>
      </c>
      <c r="D576" s="79">
        <f t="shared" si="305"/>
        <v>49</v>
      </c>
      <c r="E576" s="79">
        <f t="shared" si="305"/>
        <v>54</v>
      </c>
      <c r="F576" s="79">
        <f t="shared" si="305"/>
        <v>97</v>
      </c>
      <c r="G576" s="79">
        <f t="shared" si="305"/>
        <v>117</v>
      </c>
      <c r="H576" s="79">
        <f t="shared" si="305"/>
        <v>104</v>
      </c>
      <c r="I576" s="79">
        <f>SUM(I571:I575)</f>
        <v>499</v>
      </c>
      <c r="J576" s="625">
        <f t="shared" si="304"/>
        <v>71.285714285714292</v>
      </c>
      <c r="K576"/>
      <c r="L576"/>
      <c r="M576"/>
      <c r="N576"/>
      <c r="O576"/>
      <c r="P576"/>
      <c r="Q576"/>
      <c r="R576"/>
      <c r="S576"/>
      <c r="T576"/>
      <c r="U576"/>
      <c r="V576"/>
      <c r="W576"/>
      <c r="X576"/>
      <c r="Y576"/>
      <c r="Z576"/>
      <c r="AA576"/>
      <c r="AB576"/>
      <c r="AC576"/>
      <c r="AD576"/>
      <c r="AE576"/>
      <c r="AF576"/>
      <c r="AY576" s="465"/>
    </row>
    <row r="577" spans="1:51" x14ac:dyDescent="0.25">
      <c r="A577" s="622" t="s">
        <v>18</v>
      </c>
      <c r="B577" s="406">
        <v>0.56999999999999995</v>
      </c>
      <c r="C577" s="19">
        <v>0.61</v>
      </c>
      <c r="D577" s="19">
        <v>0.71</v>
      </c>
      <c r="E577" s="19">
        <v>0.74</v>
      </c>
      <c r="F577" s="19">
        <v>0.68</v>
      </c>
      <c r="G577" s="19">
        <v>0.74</v>
      </c>
      <c r="H577" s="19">
        <v>0.72</v>
      </c>
      <c r="I577" s="19">
        <f>I584/I589</f>
        <v>0.70007441303104834</v>
      </c>
      <c r="J577" s="626">
        <f>J584/J589</f>
        <v>0.70007441303104834</v>
      </c>
      <c r="K577"/>
      <c r="L577"/>
      <c r="M577"/>
      <c r="N577"/>
      <c r="O577"/>
      <c r="P577"/>
      <c r="Q577"/>
      <c r="R577"/>
      <c r="S577"/>
      <c r="T577"/>
      <c r="U577"/>
      <c r="V577"/>
      <c r="W577"/>
      <c r="X577"/>
      <c r="Y577"/>
      <c r="Z577"/>
      <c r="AA577"/>
      <c r="AB577"/>
      <c r="AC577"/>
      <c r="AD577"/>
      <c r="AE577"/>
      <c r="AF577"/>
      <c r="AY577" s="465"/>
    </row>
    <row r="578" spans="1:51" x14ac:dyDescent="0.25">
      <c r="A578" s="622" t="s">
        <v>19</v>
      </c>
      <c r="B578" s="406">
        <v>0</v>
      </c>
      <c r="C578" s="19">
        <v>0</v>
      </c>
      <c r="D578" s="19">
        <v>0.02</v>
      </c>
      <c r="E578" s="19">
        <v>0</v>
      </c>
      <c r="F578" s="19">
        <v>0.01</v>
      </c>
      <c r="G578" s="19">
        <v>0</v>
      </c>
      <c r="H578" s="19">
        <v>0</v>
      </c>
      <c r="I578" s="19">
        <f>I585/I589</f>
        <v>3.5935889501590534E-3</v>
      </c>
      <c r="J578" s="626">
        <f>J585/J589</f>
        <v>3.5935889501590539E-3</v>
      </c>
      <c r="K578"/>
      <c r="L578"/>
      <c r="M578"/>
      <c r="N578"/>
      <c r="O578"/>
      <c r="P578"/>
      <c r="Q578"/>
      <c r="R578"/>
      <c r="S578"/>
      <c r="T578"/>
      <c r="U578"/>
      <c r="V578"/>
      <c r="W578"/>
      <c r="X578"/>
      <c r="Y578"/>
      <c r="Z578"/>
      <c r="AA578"/>
      <c r="AB578"/>
      <c r="AC578"/>
      <c r="AD578"/>
      <c r="AE578"/>
      <c r="AF578"/>
      <c r="AY578" s="465"/>
    </row>
    <row r="579" spans="1:51" x14ac:dyDescent="0.25">
      <c r="A579" s="622" t="s">
        <v>20</v>
      </c>
      <c r="B579" s="406">
        <v>0.3</v>
      </c>
      <c r="C579" s="19">
        <v>0.26</v>
      </c>
      <c r="D579" s="19">
        <v>0.22</v>
      </c>
      <c r="E579" s="19">
        <v>0.19</v>
      </c>
      <c r="F579" s="19">
        <v>0.27</v>
      </c>
      <c r="G579" s="19">
        <v>0.23</v>
      </c>
      <c r="H579" s="19">
        <v>0.25</v>
      </c>
      <c r="I579" s="19">
        <f>I586/I589</f>
        <v>0.2431732441243126</v>
      </c>
      <c r="J579" s="626">
        <f>J586/J589</f>
        <v>0.24317324412431265</v>
      </c>
      <c r="K579"/>
      <c r="L579"/>
      <c r="M579"/>
      <c r="N579"/>
      <c r="O579"/>
      <c r="P579"/>
      <c r="Q579"/>
      <c r="R579"/>
      <c r="S579"/>
      <c r="T579"/>
      <c r="U579"/>
      <c r="V579"/>
      <c r="W579"/>
      <c r="X579"/>
      <c r="Y579"/>
      <c r="Z579"/>
      <c r="AA579"/>
      <c r="AB579"/>
      <c r="AC579"/>
      <c r="AD579"/>
      <c r="AE579"/>
      <c r="AF579"/>
      <c r="AY579" s="465"/>
    </row>
    <row r="580" spans="1:51" x14ac:dyDescent="0.25">
      <c r="A580" s="622" t="s">
        <v>21</v>
      </c>
      <c r="B580" s="406">
        <v>0.13</v>
      </c>
      <c r="C580" s="19">
        <v>0.13</v>
      </c>
      <c r="D580" s="19">
        <v>0.05</v>
      </c>
      <c r="E580" s="19">
        <v>7.0000000000000007E-2</v>
      </c>
      <c r="F580" s="19">
        <v>0.04</v>
      </c>
      <c r="G580" s="19">
        <v>0.03</v>
      </c>
      <c r="H580" s="19">
        <v>0.03</v>
      </c>
      <c r="I580" s="19">
        <f>I587/I589</f>
        <v>5.3158753894479986E-2</v>
      </c>
      <c r="J580" s="626">
        <f>J587/J589</f>
        <v>5.3158753894479993E-2</v>
      </c>
      <c r="K580"/>
      <c r="L580"/>
      <c r="M580"/>
      <c r="N580"/>
      <c r="O580"/>
      <c r="P580"/>
      <c r="Q580"/>
      <c r="R580"/>
      <c r="S580"/>
      <c r="T580"/>
      <c r="U580"/>
      <c r="V580"/>
      <c r="W580"/>
      <c r="X580"/>
      <c r="Y580"/>
      <c r="Z580"/>
      <c r="AA580"/>
      <c r="AB580"/>
      <c r="AC580"/>
      <c r="AD580"/>
      <c r="AE580"/>
      <c r="AF580"/>
      <c r="AY580" s="465"/>
    </row>
    <row r="581" spans="1:51" x14ac:dyDescent="0.25">
      <c r="A581" s="622" t="s">
        <v>22</v>
      </c>
      <c r="B581" s="406">
        <v>0</v>
      </c>
      <c r="C581" s="19">
        <v>0</v>
      </c>
      <c r="D581" s="19">
        <v>0</v>
      </c>
      <c r="E581" s="19">
        <v>0</v>
      </c>
      <c r="F581" s="19">
        <v>0</v>
      </c>
      <c r="G581" s="19">
        <v>0</v>
      </c>
      <c r="H581" s="19">
        <v>0</v>
      </c>
      <c r="I581" s="19">
        <f>I588/I589</f>
        <v>0</v>
      </c>
      <c r="J581" s="626">
        <f>J588/J589</f>
        <v>0</v>
      </c>
      <c r="K581"/>
      <c r="L581"/>
      <c r="M581"/>
      <c r="N581"/>
      <c r="O581"/>
      <c r="P581"/>
      <c r="Q581"/>
      <c r="R581"/>
      <c r="S581"/>
      <c r="T581"/>
      <c r="U581"/>
      <c r="V581"/>
      <c r="W581"/>
      <c r="X581"/>
      <c r="Y581"/>
      <c r="Z581"/>
      <c r="AA581"/>
      <c r="AB581"/>
      <c r="AC581"/>
      <c r="AD581"/>
      <c r="AE581"/>
      <c r="AF581"/>
      <c r="AY581" s="465"/>
    </row>
    <row r="582" spans="1:51" x14ac:dyDescent="0.25">
      <c r="A582" s="627" t="s">
        <v>23</v>
      </c>
      <c r="B582" s="409">
        <f t="shared" ref="B582:J582" si="306">B593/B576</f>
        <v>33834.090909090912</v>
      </c>
      <c r="C582" s="131">
        <f t="shared" si="306"/>
        <v>37320.588235294119</v>
      </c>
      <c r="D582" s="131">
        <f t="shared" si="306"/>
        <v>34453.0612244898</v>
      </c>
      <c r="E582" s="131">
        <f t="shared" si="306"/>
        <v>43487.037037037036</v>
      </c>
      <c r="F582" s="131">
        <f t="shared" si="306"/>
        <v>35772.16494845361</v>
      </c>
      <c r="G582" s="131">
        <f t="shared" si="306"/>
        <v>40539.316239316242</v>
      </c>
      <c r="H582" s="131">
        <f t="shared" si="306"/>
        <v>38414.423076923078</v>
      </c>
      <c r="I582" s="131">
        <f t="shared" si="306"/>
        <v>38080.561122244486</v>
      </c>
      <c r="J582" s="628">
        <f t="shared" si="306"/>
        <v>38080.561122244486</v>
      </c>
      <c r="K582"/>
      <c r="L582"/>
      <c r="M582"/>
      <c r="N582"/>
      <c r="O582"/>
      <c r="P582"/>
      <c r="Q582"/>
      <c r="R582"/>
      <c r="S582"/>
      <c r="T582"/>
      <c r="U582"/>
      <c r="V582"/>
      <c r="W582"/>
      <c r="X582"/>
      <c r="Y582"/>
      <c r="Z582"/>
      <c r="AA582"/>
      <c r="AB582"/>
      <c r="AC582"/>
      <c r="AD582"/>
      <c r="AE582"/>
      <c r="AF582"/>
      <c r="AY582" s="465"/>
    </row>
    <row r="583" spans="1:51" x14ac:dyDescent="0.25">
      <c r="A583" s="627" t="s">
        <v>24</v>
      </c>
      <c r="B583" s="409">
        <f t="shared" ref="B583:J583" si="307">B593/B570</f>
        <v>27568.518518518518</v>
      </c>
      <c r="C583" s="131">
        <f t="shared" si="307"/>
        <v>28838.636363636364</v>
      </c>
      <c r="D583" s="131">
        <f t="shared" si="307"/>
        <v>26796.825396825399</v>
      </c>
      <c r="E583" s="131">
        <f t="shared" si="307"/>
        <v>31733.783783783783</v>
      </c>
      <c r="F583" s="131">
        <f t="shared" si="307"/>
        <v>28441.803278688523</v>
      </c>
      <c r="G583" s="131">
        <f t="shared" si="307"/>
        <v>29460.248447204969</v>
      </c>
      <c r="H583" s="131">
        <f t="shared" si="307"/>
        <v>29161.313868613139</v>
      </c>
      <c r="I583" s="131">
        <f t="shared" si="307"/>
        <v>29010.992366412214</v>
      </c>
      <c r="J583" s="628">
        <f t="shared" si="307"/>
        <v>29010.992366412214</v>
      </c>
      <c r="K583"/>
      <c r="L583"/>
      <c r="M583"/>
      <c r="N583"/>
      <c r="O583"/>
      <c r="P583"/>
      <c r="Q583"/>
      <c r="R583"/>
      <c r="S583"/>
      <c r="T583"/>
      <c r="U583"/>
      <c r="V583"/>
      <c r="W583"/>
      <c r="X583"/>
      <c r="Y583"/>
      <c r="Z583"/>
      <c r="AA583"/>
      <c r="AB583"/>
      <c r="AC583"/>
      <c r="AD583"/>
      <c r="AE583"/>
      <c r="AF583"/>
      <c r="AY583" s="465"/>
    </row>
    <row r="584" spans="1:51" x14ac:dyDescent="0.25">
      <c r="A584" s="622" t="s">
        <v>25</v>
      </c>
      <c r="B584" s="255">
        <f t="shared" ref="B584:H584" si="308">B589*B577</f>
        <v>702620.79931034474</v>
      </c>
      <c r="C584" s="133">
        <f t="shared" si="308"/>
        <v>639288.1193103448</v>
      </c>
      <c r="D584" s="133">
        <f t="shared" si="308"/>
        <v>978448.747586207</v>
      </c>
      <c r="E584" s="133">
        <f t="shared" si="308"/>
        <v>1440889.928275862</v>
      </c>
      <c r="F584" s="133">
        <f t="shared" si="308"/>
        <v>1947078.7503448278</v>
      </c>
      <c r="G584" s="133">
        <f t="shared" si="308"/>
        <v>2884648.2496551727</v>
      </c>
      <c r="H584" s="133">
        <f t="shared" si="308"/>
        <v>2354575.4813793101</v>
      </c>
      <c r="I584" s="133">
        <f>SUM(B584:H584)</f>
        <v>10947550.075862069</v>
      </c>
      <c r="J584" s="629">
        <f t="shared" ref="J584:J589" si="309">+$I584/7</f>
        <v>1563935.7251231526</v>
      </c>
      <c r="K584"/>
      <c r="L584"/>
      <c r="M584"/>
      <c r="N584"/>
      <c r="O584"/>
      <c r="P584"/>
      <c r="Q584"/>
      <c r="R584"/>
      <c r="S584"/>
      <c r="T584"/>
      <c r="U584"/>
      <c r="V584"/>
      <c r="W584"/>
      <c r="X584"/>
      <c r="Y584"/>
      <c r="Z584"/>
      <c r="AA584"/>
      <c r="AB584"/>
      <c r="AC584"/>
      <c r="AD584"/>
      <c r="AE584"/>
      <c r="AF584"/>
      <c r="AY584" s="465"/>
    </row>
    <row r="585" spans="1:51" x14ac:dyDescent="0.25">
      <c r="A585" s="622" t="s">
        <v>26</v>
      </c>
      <c r="B585" s="255">
        <f t="shared" ref="B585:H585" si="310">B589*B578</f>
        <v>0</v>
      </c>
      <c r="C585" s="133">
        <f t="shared" si="310"/>
        <v>0</v>
      </c>
      <c r="D585" s="133">
        <f t="shared" si="310"/>
        <v>27561.936551724142</v>
      </c>
      <c r="E585" s="133">
        <f t="shared" si="310"/>
        <v>0</v>
      </c>
      <c r="F585" s="133">
        <f t="shared" si="310"/>
        <v>28633.511034482759</v>
      </c>
      <c r="G585" s="133">
        <f t="shared" si="310"/>
        <v>0</v>
      </c>
      <c r="H585" s="133">
        <f t="shared" si="310"/>
        <v>0</v>
      </c>
      <c r="I585" s="133">
        <f>SUM(B585:H585)</f>
        <v>56195.447586206901</v>
      </c>
      <c r="J585" s="629">
        <f t="shared" si="309"/>
        <v>8027.9210837438432</v>
      </c>
      <c r="K585"/>
      <c r="L585"/>
      <c r="M585"/>
      <c r="N585"/>
      <c r="O585"/>
      <c r="P585"/>
      <c r="Q585"/>
      <c r="R585"/>
      <c r="S585"/>
      <c r="T585"/>
      <c r="U585"/>
      <c r="V585"/>
      <c r="W585"/>
      <c r="X585"/>
      <c r="Y585"/>
      <c r="Z585"/>
      <c r="AA585"/>
      <c r="AB585"/>
      <c r="AC585"/>
      <c r="AD585"/>
      <c r="AE585"/>
      <c r="AF585"/>
      <c r="AY585" s="465"/>
    </row>
    <row r="586" spans="1:51" x14ac:dyDescent="0.25">
      <c r="A586" s="622" t="s">
        <v>27</v>
      </c>
      <c r="B586" s="255">
        <f t="shared" ref="B586:H586" si="311">B589*B579</f>
        <v>369800.42068965518</v>
      </c>
      <c r="C586" s="133">
        <f t="shared" si="311"/>
        <v>272483.46068965516</v>
      </c>
      <c r="D586" s="133">
        <f t="shared" si="311"/>
        <v>303181.30206896557</v>
      </c>
      <c r="E586" s="133">
        <f t="shared" si="311"/>
        <v>369958.22482758621</v>
      </c>
      <c r="F586" s="133">
        <f t="shared" si="311"/>
        <v>773104.79793103458</v>
      </c>
      <c r="G586" s="133">
        <f t="shared" si="311"/>
        <v>896579.86137931049</v>
      </c>
      <c r="H586" s="133">
        <f t="shared" si="311"/>
        <v>817560.93103448278</v>
      </c>
      <c r="I586" s="133">
        <f>SUM(B586:H586)</f>
        <v>3802668.9986206898</v>
      </c>
      <c r="J586" s="629">
        <f t="shared" si="309"/>
        <v>543238.4283743843</v>
      </c>
      <c r="K586"/>
      <c r="L586"/>
      <c r="M586"/>
      <c r="N586"/>
      <c r="O586"/>
      <c r="P586"/>
      <c r="Q586"/>
      <c r="R586"/>
      <c r="S586"/>
      <c r="T586"/>
      <c r="U586"/>
      <c r="V586"/>
      <c r="W586"/>
      <c r="X586"/>
      <c r="Y586"/>
      <c r="Z586"/>
      <c r="AA586"/>
      <c r="AB586"/>
      <c r="AC586"/>
      <c r="AD586"/>
      <c r="AE586"/>
      <c r="AF586"/>
      <c r="AY586" s="465"/>
    </row>
    <row r="587" spans="1:51" x14ac:dyDescent="0.25">
      <c r="A587" s="622" t="s">
        <v>28</v>
      </c>
      <c r="B587" s="255">
        <f t="shared" ref="B587:H587" si="312">B589*B580</f>
        <v>160246.84896551725</v>
      </c>
      <c r="C587" s="133">
        <f t="shared" si="312"/>
        <v>136241.73034482758</v>
      </c>
      <c r="D587" s="133">
        <f t="shared" si="312"/>
        <v>68904.841379310354</v>
      </c>
      <c r="E587" s="133">
        <f t="shared" si="312"/>
        <v>136300.39862068967</v>
      </c>
      <c r="F587" s="133">
        <f t="shared" si="312"/>
        <v>114534.04413793104</v>
      </c>
      <c r="G587" s="133">
        <f t="shared" si="312"/>
        <v>116945.19931034483</v>
      </c>
      <c r="H587" s="133">
        <f t="shared" si="312"/>
        <v>98107.311724137937</v>
      </c>
      <c r="I587" s="133">
        <f>SUM(B587:H587)</f>
        <v>831280.37448275881</v>
      </c>
      <c r="J587" s="629">
        <f t="shared" si="309"/>
        <v>118754.33921182269</v>
      </c>
      <c r="K587"/>
      <c r="L587"/>
      <c r="M587"/>
      <c r="N587"/>
      <c r="O587"/>
      <c r="P587"/>
      <c r="Q587"/>
      <c r="R587"/>
      <c r="S587"/>
      <c r="T587"/>
      <c r="U587"/>
      <c r="V587"/>
      <c r="W587"/>
      <c r="X587"/>
      <c r="Y587"/>
      <c r="Z587"/>
      <c r="AA587"/>
      <c r="AB587"/>
      <c r="AC587"/>
      <c r="AD587"/>
      <c r="AE587"/>
      <c r="AF587"/>
      <c r="AY587" s="465"/>
    </row>
    <row r="588" spans="1:51" x14ac:dyDescent="0.25">
      <c r="A588" s="622" t="s">
        <v>29</v>
      </c>
      <c r="B588" s="255">
        <f t="shared" ref="B588:H588" si="313">B589*B581</f>
        <v>0</v>
      </c>
      <c r="C588" s="727">
        <f t="shared" si="313"/>
        <v>0</v>
      </c>
      <c r="D588" s="727">
        <f t="shared" si="313"/>
        <v>0</v>
      </c>
      <c r="E588" s="727">
        <f t="shared" si="313"/>
        <v>0</v>
      </c>
      <c r="F588" s="727">
        <f t="shared" si="313"/>
        <v>0</v>
      </c>
      <c r="G588" s="727">
        <f t="shared" si="313"/>
        <v>0</v>
      </c>
      <c r="H588" s="727">
        <f t="shared" si="313"/>
        <v>0</v>
      </c>
      <c r="I588" s="133">
        <f>SUM(B588:H588)</f>
        <v>0</v>
      </c>
      <c r="J588" s="629">
        <f t="shared" si="309"/>
        <v>0</v>
      </c>
      <c r="K588"/>
      <c r="L588"/>
      <c r="M588"/>
      <c r="N588"/>
      <c r="O588"/>
      <c r="P588"/>
      <c r="Q588"/>
      <c r="R588"/>
      <c r="S588"/>
      <c r="T588"/>
      <c r="U588"/>
      <c r="V588"/>
      <c r="W588"/>
      <c r="X588"/>
      <c r="Y588"/>
      <c r="Z588"/>
      <c r="AA588"/>
      <c r="AB588"/>
      <c r="AC588"/>
      <c r="AD588"/>
      <c r="AE588"/>
      <c r="AF588"/>
      <c r="AY588" s="465"/>
    </row>
    <row r="589" spans="1:51" x14ac:dyDescent="0.25">
      <c r="A589" s="630" t="s">
        <v>30</v>
      </c>
      <c r="B589" s="726">
        <f>(1488700/1.16)-B590</f>
        <v>1232668.0689655172</v>
      </c>
      <c r="C589" s="729">
        <f>(1268900/1.16)-C590</f>
        <v>1048013.3103448276</v>
      </c>
      <c r="D589" s="729">
        <f>(1688200/1.16)-D590</f>
        <v>1378096.8275862071</v>
      </c>
      <c r="E589" s="729">
        <f>(2348300/1.16)-E590</f>
        <v>1947148.551724138</v>
      </c>
      <c r="F589" s="729">
        <f>(3469900/1.16)-F590</f>
        <v>2863351.1034482759</v>
      </c>
      <c r="G589" s="729">
        <f>(4743100/1.16)-G590</f>
        <v>3898173.3103448278</v>
      </c>
      <c r="H589" s="729">
        <f>(3995100/1.16)-H590</f>
        <v>3270243.7241379311</v>
      </c>
      <c r="I589" s="137">
        <f>SUM(I584:I588)</f>
        <v>15637694.896551725</v>
      </c>
      <c r="J589" s="631">
        <f t="shared" si="309"/>
        <v>2233956.4137931033</v>
      </c>
      <c r="K589"/>
      <c r="L589"/>
      <c r="M589"/>
      <c r="N589"/>
      <c r="O589"/>
      <c r="P589"/>
      <c r="Q589"/>
      <c r="R589"/>
      <c r="S589"/>
      <c r="T589"/>
      <c r="U589"/>
      <c r="V589"/>
      <c r="W589"/>
      <c r="X589"/>
      <c r="Y589"/>
      <c r="Z589"/>
      <c r="AA589"/>
      <c r="AB589"/>
      <c r="AC589"/>
      <c r="AD589"/>
      <c r="AE589"/>
      <c r="AF589"/>
      <c r="AY589" s="465"/>
    </row>
    <row r="590" spans="1:51" x14ac:dyDescent="0.25">
      <c r="A590" s="622" t="s">
        <v>31</v>
      </c>
      <c r="B590" s="263">
        <f t="shared" ref="B590:H590" si="314">2414*B571</f>
        <v>50694</v>
      </c>
      <c r="C590" s="728">
        <f t="shared" si="314"/>
        <v>45866</v>
      </c>
      <c r="D590" s="728">
        <f t="shared" si="314"/>
        <v>77248</v>
      </c>
      <c r="E590" s="728">
        <f t="shared" si="314"/>
        <v>77248</v>
      </c>
      <c r="F590" s="728">
        <f t="shared" si="314"/>
        <v>127942</v>
      </c>
      <c r="G590" s="728">
        <f t="shared" si="314"/>
        <v>190706</v>
      </c>
      <c r="H590" s="728">
        <f t="shared" si="314"/>
        <v>173808</v>
      </c>
      <c r="I590" s="139">
        <f>I571*2414</f>
        <v>743512</v>
      </c>
      <c r="J590" s="632">
        <f>2155*J571</f>
        <v>94820</v>
      </c>
      <c r="K590"/>
      <c r="L590"/>
      <c r="M590"/>
      <c r="N590"/>
      <c r="O590"/>
      <c r="P590"/>
      <c r="Q590"/>
      <c r="R590"/>
      <c r="S590"/>
      <c r="T590"/>
      <c r="U590"/>
      <c r="V590"/>
      <c r="W590"/>
      <c r="X590"/>
      <c r="Y590"/>
      <c r="Z590"/>
      <c r="AA590"/>
      <c r="AB590"/>
      <c r="AC590"/>
      <c r="AD590"/>
      <c r="AE590"/>
      <c r="AF590"/>
      <c r="AY590" s="465"/>
    </row>
    <row r="591" spans="1:51" x14ac:dyDescent="0.25">
      <c r="A591" s="633" t="s">
        <v>32</v>
      </c>
      <c r="B591" s="411">
        <f t="shared" ref="B591:J591" si="315">B589+B590</f>
        <v>1283362.0689655172</v>
      </c>
      <c r="C591" s="40">
        <f t="shared" si="315"/>
        <v>1093879.3103448276</v>
      </c>
      <c r="D591" s="40">
        <f t="shared" si="315"/>
        <v>1455344.8275862071</v>
      </c>
      <c r="E591" s="40">
        <f t="shared" si="315"/>
        <v>2024396.551724138</v>
      </c>
      <c r="F591" s="40">
        <f t="shared" si="315"/>
        <v>2991293.1034482759</v>
      </c>
      <c r="G591" s="40">
        <f t="shared" si="315"/>
        <v>4088879.3103448278</v>
      </c>
      <c r="H591" s="40">
        <f t="shared" si="315"/>
        <v>3444051.7241379311</v>
      </c>
      <c r="I591" s="40">
        <f t="shared" si="315"/>
        <v>16381206.896551725</v>
      </c>
      <c r="J591" s="634">
        <f t="shared" si="315"/>
        <v>2328776.4137931033</v>
      </c>
      <c r="K591"/>
      <c r="L591"/>
      <c r="M591"/>
      <c r="N591"/>
      <c r="O591"/>
      <c r="P591"/>
      <c r="Q591"/>
      <c r="R591"/>
      <c r="S591"/>
      <c r="T591"/>
      <c r="U591"/>
      <c r="V591"/>
      <c r="W591"/>
      <c r="X591"/>
      <c r="Y591"/>
      <c r="Z591"/>
      <c r="AA591"/>
      <c r="AB591"/>
      <c r="AC591"/>
      <c r="AD591"/>
      <c r="AE591"/>
      <c r="AF591"/>
      <c r="AY591" s="465"/>
    </row>
    <row r="592" spans="1:51" x14ac:dyDescent="0.25">
      <c r="A592" s="622" t="s">
        <v>33</v>
      </c>
      <c r="B592" s="413">
        <f t="shared" ref="B592:J592" si="316">B591*16%</f>
        <v>205337.93103448275</v>
      </c>
      <c r="C592" s="42">
        <f t="shared" si="316"/>
        <v>175020.68965517241</v>
      </c>
      <c r="D592" s="42">
        <f t="shared" si="316"/>
        <v>232855.17241379313</v>
      </c>
      <c r="E592" s="42">
        <f t="shared" si="316"/>
        <v>323903.44827586209</v>
      </c>
      <c r="F592" s="42">
        <f t="shared" si="316"/>
        <v>478606.89655172417</v>
      </c>
      <c r="G592" s="42">
        <f t="shared" si="316"/>
        <v>654220.68965517252</v>
      </c>
      <c r="H592" s="42">
        <f t="shared" si="316"/>
        <v>551048.27586206899</v>
      </c>
      <c r="I592" s="42">
        <f t="shared" si="316"/>
        <v>2620993.1034482759</v>
      </c>
      <c r="J592" s="635">
        <f t="shared" si="316"/>
        <v>372604.22620689654</v>
      </c>
      <c r="K592"/>
      <c r="L592"/>
      <c r="M592"/>
      <c r="N592"/>
      <c r="O592"/>
      <c r="P592"/>
      <c r="Q592"/>
      <c r="R592"/>
      <c r="S592"/>
      <c r="T592"/>
      <c r="U592"/>
      <c r="V592"/>
      <c r="W592"/>
      <c r="X592"/>
      <c r="Y592"/>
      <c r="Z592"/>
      <c r="AA592"/>
      <c r="AB592"/>
      <c r="AC592"/>
      <c r="AD592"/>
      <c r="AE592"/>
      <c r="AF592"/>
      <c r="AY592" s="465"/>
    </row>
    <row r="593" spans="1:51" ht="15.75" thickBot="1" x14ac:dyDescent="0.3">
      <c r="A593" s="636" t="s">
        <v>34</v>
      </c>
      <c r="B593" s="637">
        <f t="shared" ref="B593:I593" si="317">B591+B592</f>
        <v>1488700</v>
      </c>
      <c r="C593" s="638">
        <f t="shared" si="317"/>
        <v>1268900</v>
      </c>
      <c r="D593" s="638">
        <f t="shared" si="317"/>
        <v>1688200.0000000002</v>
      </c>
      <c r="E593" s="638">
        <f t="shared" si="317"/>
        <v>2348300</v>
      </c>
      <c r="F593" s="638">
        <f t="shared" si="317"/>
        <v>3469900</v>
      </c>
      <c r="G593" s="638">
        <f t="shared" si="317"/>
        <v>4743100</v>
      </c>
      <c r="H593" s="638">
        <f t="shared" si="317"/>
        <v>3995100</v>
      </c>
      <c r="I593" s="638">
        <f t="shared" si="317"/>
        <v>19002200</v>
      </c>
      <c r="J593" s="639">
        <f>+$I593/7</f>
        <v>2714600</v>
      </c>
      <c r="K593"/>
      <c r="L593"/>
      <c r="M593"/>
      <c r="N593"/>
      <c r="O593"/>
      <c r="P593"/>
      <c r="Q593"/>
      <c r="R593"/>
      <c r="S593"/>
      <c r="T593"/>
      <c r="U593"/>
      <c r="V593"/>
      <c r="W593"/>
      <c r="X593"/>
      <c r="Y593"/>
      <c r="Z593"/>
      <c r="AA593"/>
      <c r="AB593"/>
      <c r="AC593"/>
      <c r="AD593"/>
      <c r="AE593"/>
      <c r="AF593"/>
      <c r="AY593" s="465"/>
    </row>
    <row r="594" spans="1:51" ht="15.75" thickBot="1" x14ac:dyDescent="0.3">
      <c r="K594"/>
      <c r="L594"/>
      <c r="M594"/>
      <c r="N594"/>
      <c r="O594"/>
      <c r="P594"/>
      <c r="Q594"/>
      <c r="R594"/>
      <c r="S594"/>
      <c r="T594"/>
      <c r="U594"/>
      <c r="V594"/>
      <c r="W594"/>
      <c r="X594"/>
      <c r="Y594"/>
      <c r="Z594"/>
      <c r="AA594"/>
      <c r="AB594"/>
      <c r="AC594"/>
      <c r="AD594"/>
      <c r="AE594"/>
      <c r="AF594"/>
      <c r="AY594" s="465"/>
    </row>
    <row r="595" spans="1:51" ht="27" thickBot="1" x14ac:dyDescent="0.3">
      <c r="A595" s="85"/>
      <c r="B595" s="1002" t="s">
        <v>363</v>
      </c>
      <c r="C595" s="1002"/>
      <c r="D595" s="1002"/>
      <c r="E595" s="1002"/>
      <c r="F595" s="1002"/>
      <c r="G595" s="1002"/>
      <c r="H595" s="1002"/>
      <c r="I595" s="1002"/>
      <c r="J595" s="85"/>
      <c r="K595"/>
      <c r="L595"/>
      <c r="M595"/>
      <c r="N595"/>
      <c r="O595"/>
      <c r="P595"/>
      <c r="Q595"/>
      <c r="R595"/>
      <c r="S595"/>
      <c r="T595"/>
      <c r="U595"/>
      <c r="V595"/>
      <c r="W595"/>
      <c r="X595"/>
      <c r="Y595"/>
      <c r="Z595"/>
      <c r="AA595"/>
      <c r="AB595"/>
      <c r="AC595"/>
      <c r="AD595"/>
      <c r="AE595"/>
      <c r="AF595"/>
      <c r="AY595" s="465"/>
    </row>
    <row r="596" spans="1:51" ht="15.75" x14ac:dyDescent="0.25">
      <c r="A596" s="614" t="s">
        <v>2</v>
      </c>
      <c r="B596" s="706" t="s">
        <v>45</v>
      </c>
      <c r="C596" s="617" t="s">
        <v>289</v>
      </c>
      <c r="D596" s="617" t="s">
        <v>47</v>
      </c>
      <c r="E596" s="617" t="s">
        <v>48</v>
      </c>
      <c r="F596" s="617" t="s">
        <v>49</v>
      </c>
      <c r="G596" s="617" t="s">
        <v>50</v>
      </c>
      <c r="H596" s="617" t="s">
        <v>290</v>
      </c>
      <c r="I596" s="618" t="s">
        <v>10</v>
      </c>
      <c r="J596" s="619" t="s">
        <v>77</v>
      </c>
      <c r="K596"/>
      <c r="L596"/>
      <c r="M596"/>
      <c r="N596"/>
      <c r="O596"/>
      <c r="P596"/>
      <c r="Q596"/>
      <c r="R596"/>
      <c r="S596"/>
      <c r="T596"/>
      <c r="U596"/>
      <c r="V596"/>
      <c r="W596"/>
      <c r="X596"/>
      <c r="Y596"/>
      <c r="Z596"/>
      <c r="AA596"/>
      <c r="AB596"/>
      <c r="AC596"/>
      <c r="AD596"/>
      <c r="AE596"/>
      <c r="AF596"/>
      <c r="AY596" s="465"/>
    </row>
    <row r="597" spans="1:51" x14ac:dyDescent="0.25">
      <c r="A597" s="620" t="s">
        <v>11</v>
      </c>
      <c r="B597" s="433">
        <f>28+10+5</f>
        <v>43</v>
      </c>
      <c r="C597" s="673">
        <f>23+17+7</f>
        <v>47</v>
      </c>
      <c r="D597" s="739">
        <f>24+13+7</f>
        <v>44</v>
      </c>
      <c r="E597" s="673">
        <f>39+15+8</f>
        <v>62</v>
      </c>
      <c r="F597" s="673">
        <f>58+49+13</f>
        <v>120</v>
      </c>
      <c r="G597" s="673">
        <f>78+47+20</f>
        <v>145</v>
      </c>
      <c r="H597" s="673">
        <f>56+27+21</f>
        <v>104</v>
      </c>
      <c r="I597" s="673">
        <f t="shared" ref="I597:I602" si="318">SUM(B597:H597)</f>
        <v>565</v>
      </c>
      <c r="J597" s="621">
        <f t="shared" ref="J597:J603" si="319">+$I597/7</f>
        <v>80.714285714285708</v>
      </c>
      <c r="K597"/>
      <c r="L597"/>
      <c r="M597"/>
      <c r="N597"/>
      <c r="O597"/>
      <c r="P597"/>
      <c r="Q597"/>
      <c r="R597"/>
      <c r="S597"/>
      <c r="T597"/>
      <c r="U597"/>
      <c r="V597"/>
      <c r="W597"/>
      <c r="X597"/>
      <c r="Y597"/>
      <c r="Z597"/>
      <c r="AA597"/>
      <c r="AB597"/>
      <c r="AC597"/>
      <c r="AD597"/>
      <c r="AE597"/>
      <c r="AF597"/>
      <c r="AY597" s="465"/>
    </row>
    <row r="598" spans="1:51" x14ac:dyDescent="0.25">
      <c r="A598" s="622" t="s">
        <v>12</v>
      </c>
      <c r="B598" s="233">
        <v>20</v>
      </c>
      <c r="C598" s="671">
        <v>27</v>
      </c>
      <c r="D598" s="671">
        <v>23</v>
      </c>
      <c r="E598" s="671">
        <v>32</v>
      </c>
      <c r="F598" s="671">
        <v>62</v>
      </c>
      <c r="G598" s="675">
        <v>69</v>
      </c>
      <c r="H598" s="671">
        <v>52</v>
      </c>
      <c r="I598" s="671">
        <f t="shared" si="318"/>
        <v>285</v>
      </c>
      <c r="J598" s="623">
        <f t="shared" si="319"/>
        <v>40.714285714285715</v>
      </c>
      <c r="K598"/>
      <c r="L598"/>
      <c r="M598"/>
      <c r="N598"/>
      <c r="O598"/>
      <c r="P598"/>
      <c r="Q598"/>
      <c r="R598"/>
      <c r="S598"/>
      <c r="T598"/>
      <c r="U598"/>
      <c r="V598"/>
      <c r="W598"/>
      <c r="X598"/>
      <c r="Y598"/>
      <c r="Z598"/>
      <c r="AA598"/>
      <c r="AB598"/>
      <c r="AC598"/>
      <c r="AD598"/>
      <c r="AE598"/>
      <c r="AF598"/>
      <c r="AY598" s="465"/>
    </row>
    <row r="599" spans="1:51" x14ac:dyDescent="0.25">
      <c r="A599" s="622" t="s">
        <v>13</v>
      </c>
      <c r="B599" s="233">
        <v>0</v>
      </c>
      <c r="C599" s="13">
        <v>0</v>
      </c>
      <c r="D599" s="13">
        <v>0</v>
      </c>
      <c r="E599" s="13">
        <v>1</v>
      </c>
      <c r="F599" s="13">
        <v>2</v>
      </c>
      <c r="G599" s="13">
        <v>1</v>
      </c>
      <c r="H599" s="13">
        <v>1</v>
      </c>
      <c r="I599" s="13">
        <f t="shared" si="318"/>
        <v>5</v>
      </c>
      <c r="J599" s="623">
        <f t="shared" si="319"/>
        <v>0.7142857142857143</v>
      </c>
      <c r="K599"/>
      <c r="L599"/>
      <c r="M599"/>
      <c r="N599"/>
      <c r="O599"/>
      <c r="P599"/>
      <c r="Q599"/>
      <c r="R599"/>
      <c r="S599"/>
      <c r="T599"/>
      <c r="U599"/>
      <c r="V599"/>
      <c r="W599"/>
      <c r="X599"/>
      <c r="Y599"/>
      <c r="Z599"/>
      <c r="AA599"/>
      <c r="AB599"/>
      <c r="AC599"/>
      <c r="AD599"/>
      <c r="AE599"/>
      <c r="AF599"/>
      <c r="AY599" s="465"/>
    </row>
    <row r="600" spans="1:51" x14ac:dyDescent="0.25">
      <c r="A600" s="622" t="s">
        <v>14</v>
      </c>
      <c r="B600" s="233">
        <v>14</v>
      </c>
      <c r="C600" s="13">
        <v>7</v>
      </c>
      <c r="D600" s="13">
        <v>13</v>
      </c>
      <c r="E600" s="13">
        <v>13</v>
      </c>
      <c r="F600" s="13">
        <v>32</v>
      </c>
      <c r="G600" s="13">
        <v>23</v>
      </c>
      <c r="H600" s="13">
        <v>21</v>
      </c>
      <c r="I600" s="13">
        <f t="shared" si="318"/>
        <v>123</v>
      </c>
      <c r="J600" s="623">
        <f t="shared" si="319"/>
        <v>17.571428571428573</v>
      </c>
      <c r="K600"/>
      <c r="L600"/>
      <c r="M600"/>
      <c r="N600"/>
      <c r="O600"/>
      <c r="P600"/>
      <c r="Q600"/>
      <c r="R600"/>
      <c r="S600"/>
      <c r="T600"/>
      <c r="U600"/>
      <c r="V600"/>
      <c r="W600"/>
      <c r="X600"/>
      <c r="Y600"/>
      <c r="Z600"/>
      <c r="AA600"/>
      <c r="AB600"/>
      <c r="AC600"/>
      <c r="AD600"/>
      <c r="AE600"/>
      <c r="AF600"/>
      <c r="AY600" s="465"/>
    </row>
    <row r="601" spans="1:51" x14ac:dyDescent="0.25">
      <c r="A601" s="622" t="s">
        <v>15</v>
      </c>
      <c r="B601" s="233">
        <v>1</v>
      </c>
      <c r="C601" s="13">
        <v>1</v>
      </c>
      <c r="D601" s="13">
        <v>1</v>
      </c>
      <c r="E601" s="13">
        <v>4</v>
      </c>
      <c r="F601" s="13">
        <v>4</v>
      </c>
      <c r="G601" s="13">
        <v>9</v>
      </c>
      <c r="H601" s="13">
        <v>3</v>
      </c>
      <c r="I601" s="13">
        <f t="shared" si="318"/>
        <v>23</v>
      </c>
      <c r="J601" s="623">
        <f t="shared" si="319"/>
        <v>3.2857142857142856</v>
      </c>
      <c r="K601"/>
      <c r="L601"/>
      <c r="M601"/>
      <c r="N601"/>
      <c r="O601"/>
      <c r="P601"/>
      <c r="Q601"/>
      <c r="R601"/>
      <c r="S601"/>
      <c r="T601"/>
      <c r="U601"/>
      <c r="V601"/>
      <c r="W601"/>
      <c r="X601"/>
      <c r="Y601"/>
      <c r="Z601"/>
      <c r="AA601"/>
      <c r="AB601"/>
      <c r="AC601"/>
      <c r="AD601"/>
      <c r="AE601"/>
      <c r="AF601"/>
      <c r="AY601" s="465"/>
    </row>
    <row r="602" spans="1:51" x14ac:dyDescent="0.25">
      <c r="A602" s="622" t="s">
        <v>16</v>
      </c>
      <c r="B602" s="233">
        <v>0</v>
      </c>
      <c r="C602" s="13">
        <v>0</v>
      </c>
      <c r="D602" s="13">
        <v>0</v>
      </c>
      <c r="E602" s="13">
        <v>0</v>
      </c>
      <c r="F602" s="13">
        <v>0</v>
      </c>
      <c r="G602" s="13">
        <v>0</v>
      </c>
      <c r="H602" s="13">
        <v>0</v>
      </c>
      <c r="I602" s="13">
        <f t="shared" si="318"/>
        <v>0</v>
      </c>
      <c r="J602" s="623">
        <f t="shared" si="319"/>
        <v>0</v>
      </c>
      <c r="K602"/>
      <c r="L602"/>
      <c r="M602"/>
      <c r="N602"/>
      <c r="O602"/>
      <c r="P602"/>
      <c r="Q602"/>
      <c r="R602"/>
      <c r="S602"/>
      <c r="T602"/>
      <c r="U602"/>
      <c r="V602"/>
      <c r="W602"/>
      <c r="X602"/>
      <c r="Y602"/>
      <c r="Z602"/>
      <c r="AA602"/>
      <c r="AB602"/>
      <c r="AC602"/>
      <c r="AD602"/>
      <c r="AE602"/>
      <c r="AF602"/>
      <c r="AY602" s="465"/>
    </row>
    <row r="603" spans="1:51" x14ac:dyDescent="0.25">
      <c r="A603" s="624" t="s">
        <v>17</v>
      </c>
      <c r="B603" s="102">
        <f t="shared" ref="B603:H603" si="320">SUM(B598:B602)</f>
        <v>35</v>
      </c>
      <c r="C603" s="79">
        <f t="shared" si="320"/>
        <v>35</v>
      </c>
      <c r="D603" s="79">
        <f t="shared" si="320"/>
        <v>37</v>
      </c>
      <c r="E603" s="79">
        <f t="shared" si="320"/>
        <v>50</v>
      </c>
      <c r="F603" s="79">
        <f t="shared" si="320"/>
        <v>100</v>
      </c>
      <c r="G603" s="79">
        <f t="shared" si="320"/>
        <v>102</v>
      </c>
      <c r="H603" s="79">
        <f t="shared" si="320"/>
        <v>77</v>
      </c>
      <c r="I603" s="79">
        <f>SUM(I598:I602)</f>
        <v>436</v>
      </c>
      <c r="J603" s="625">
        <f t="shared" si="319"/>
        <v>62.285714285714285</v>
      </c>
      <c r="K603"/>
      <c r="L603"/>
      <c r="M603"/>
      <c r="N603"/>
      <c r="O603"/>
      <c r="P603"/>
      <c r="Q603"/>
      <c r="R603"/>
      <c r="S603"/>
      <c r="T603"/>
      <c r="U603"/>
      <c r="V603"/>
      <c r="W603"/>
      <c r="X603"/>
      <c r="Y603"/>
      <c r="Z603"/>
      <c r="AA603"/>
      <c r="AB603"/>
      <c r="AC603"/>
      <c r="AD603"/>
      <c r="AE603"/>
      <c r="AF603"/>
      <c r="AY603" s="465"/>
    </row>
    <row r="604" spans="1:51" x14ac:dyDescent="0.25">
      <c r="A604" s="622" t="s">
        <v>18</v>
      </c>
      <c r="B604" s="406">
        <v>0.63</v>
      </c>
      <c r="C604" s="19">
        <v>0.81</v>
      </c>
      <c r="D604" s="19">
        <v>0.79</v>
      </c>
      <c r="E604" s="19">
        <v>0.79</v>
      </c>
      <c r="F604" s="19">
        <v>0.67</v>
      </c>
      <c r="G604" s="19">
        <v>0.7</v>
      </c>
      <c r="H604" s="19">
        <v>0.73</v>
      </c>
      <c r="I604" s="19">
        <f>I611/I616</f>
        <v>0.71811076631862447</v>
      </c>
      <c r="J604" s="626">
        <f>J611/J616</f>
        <v>0.71811076631862447</v>
      </c>
      <c r="K604"/>
      <c r="L604"/>
      <c r="M604"/>
      <c r="N604"/>
      <c r="O604"/>
      <c r="P604"/>
      <c r="Q604"/>
      <c r="R604"/>
      <c r="S604"/>
      <c r="T604"/>
      <c r="U604"/>
      <c r="V604"/>
      <c r="W604"/>
      <c r="X604"/>
      <c r="Y604"/>
      <c r="Z604"/>
      <c r="AA604"/>
      <c r="AB604"/>
      <c r="AC604"/>
      <c r="AD604"/>
      <c r="AE604"/>
      <c r="AF604"/>
      <c r="AY604" s="465"/>
    </row>
    <row r="605" spans="1:51" x14ac:dyDescent="0.25">
      <c r="A605" s="622" t="s">
        <v>19</v>
      </c>
      <c r="B605" s="406">
        <v>0</v>
      </c>
      <c r="C605" s="19">
        <v>0</v>
      </c>
      <c r="D605" s="19">
        <v>0</v>
      </c>
      <c r="E605" s="19">
        <v>0</v>
      </c>
      <c r="F605" s="19">
        <v>0.01</v>
      </c>
      <c r="G605" s="19">
        <v>0</v>
      </c>
      <c r="H605" s="19">
        <v>0.01</v>
      </c>
      <c r="I605" s="19">
        <f>I612/I616</f>
        <v>4.0618368999367632E-3</v>
      </c>
      <c r="J605" s="626">
        <f>J612/J616</f>
        <v>4.0618368999367632E-3</v>
      </c>
      <c r="K605"/>
      <c r="L605"/>
      <c r="M605"/>
      <c r="N605"/>
      <c r="O605"/>
      <c r="P605"/>
      <c r="Q605"/>
      <c r="R605"/>
      <c r="S605"/>
      <c r="T605"/>
      <c r="U605"/>
      <c r="V605"/>
      <c r="W605"/>
      <c r="X605"/>
      <c r="Y605"/>
      <c r="Z605"/>
      <c r="AA605"/>
      <c r="AB605"/>
      <c r="AC605"/>
      <c r="AD605"/>
      <c r="AE605"/>
      <c r="AF605"/>
      <c r="AY605" s="465"/>
    </row>
    <row r="606" spans="1:51" x14ac:dyDescent="0.25">
      <c r="A606" s="622" t="s">
        <v>20</v>
      </c>
      <c r="B606" s="406">
        <v>0.34</v>
      </c>
      <c r="C606" s="19">
        <v>0.16</v>
      </c>
      <c r="D606" s="19">
        <v>0.19</v>
      </c>
      <c r="E606" s="19">
        <v>0.19</v>
      </c>
      <c r="F606" s="19">
        <v>0.28000000000000003</v>
      </c>
      <c r="G606" s="19">
        <v>0.21</v>
      </c>
      <c r="H606" s="19">
        <v>0.23</v>
      </c>
      <c r="I606" s="19">
        <f>I613/I616</f>
        <v>0.23172331659525644</v>
      </c>
      <c r="J606" s="626">
        <f>J613/J616</f>
        <v>0.23172331659525641</v>
      </c>
      <c r="K606"/>
      <c r="L606"/>
      <c r="M606"/>
      <c r="N606"/>
      <c r="O606"/>
      <c r="P606"/>
      <c r="Q606"/>
      <c r="R606"/>
      <c r="S606"/>
      <c r="T606"/>
      <c r="U606"/>
      <c r="V606"/>
      <c r="W606"/>
      <c r="X606"/>
      <c r="Y606"/>
      <c r="Z606"/>
      <c r="AA606"/>
      <c r="AB606"/>
      <c r="AC606"/>
      <c r="AD606"/>
      <c r="AE606"/>
      <c r="AF606"/>
      <c r="AY606" s="465"/>
    </row>
    <row r="607" spans="1:51" x14ac:dyDescent="0.25">
      <c r="A607" s="622" t="s">
        <v>21</v>
      </c>
      <c r="B607" s="406">
        <v>0.03</v>
      </c>
      <c r="C607" s="19">
        <v>0.03</v>
      </c>
      <c r="D607" s="19">
        <v>0.02</v>
      </c>
      <c r="E607" s="19">
        <v>0.02</v>
      </c>
      <c r="F607" s="19">
        <v>0.04</v>
      </c>
      <c r="G607" s="19">
        <v>0.09</v>
      </c>
      <c r="H607" s="19">
        <v>0.03</v>
      </c>
      <c r="I607" s="19">
        <f>I614/I616</f>
        <v>4.6104080186182297E-2</v>
      </c>
      <c r="J607" s="626">
        <f>J614/J616</f>
        <v>4.6104080186182297E-2</v>
      </c>
      <c r="K607"/>
      <c r="L607"/>
      <c r="M607"/>
      <c r="N607"/>
      <c r="O607"/>
      <c r="P607"/>
      <c r="Q607"/>
      <c r="R607"/>
      <c r="S607"/>
      <c r="T607"/>
      <c r="U607"/>
      <c r="V607"/>
      <c r="W607"/>
      <c r="X607"/>
      <c r="Y607"/>
      <c r="Z607"/>
      <c r="AA607"/>
      <c r="AB607"/>
      <c r="AC607"/>
      <c r="AD607"/>
      <c r="AE607"/>
      <c r="AF607"/>
      <c r="AY607" s="465"/>
    </row>
    <row r="608" spans="1:51" x14ac:dyDescent="0.25">
      <c r="A608" s="622" t="s">
        <v>22</v>
      </c>
      <c r="B608" s="406">
        <v>0</v>
      </c>
      <c r="C608" s="19">
        <v>0</v>
      </c>
      <c r="D608" s="19">
        <v>0</v>
      </c>
      <c r="E608" s="19">
        <v>0</v>
      </c>
      <c r="F608" s="19">
        <v>0</v>
      </c>
      <c r="G608" s="19">
        <v>0</v>
      </c>
      <c r="H608" s="19">
        <v>0</v>
      </c>
      <c r="I608" s="19">
        <f>I615/I616</f>
        <v>0</v>
      </c>
      <c r="J608" s="626">
        <f>J615/J616</f>
        <v>0</v>
      </c>
      <c r="K608"/>
      <c r="L608"/>
      <c r="M608"/>
      <c r="N608"/>
      <c r="O608"/>
      <c r="P608"/>
      <c r="Q608"/>
      <c r="R608"/>
      <c r="S608"/>
      <c r="T608"/>
      <c r="U608"/>
      <c r="V608"/>
      <c r="W608"/>
      <c r="X608"/>
      <c r="Y608"/>
      <c r="Z608"/>
      <c r="AA608"/>
      <c r="AB608"/>
      <c r="AC608"/>
      <c r="AD608"/>
      <c r="AE608"/>
      <c r="AF608"/>
      <c r="AY608" s="465"/>
    </row>
    <row r="609" spans="1:51" x14ac:dyDescent="0.25">
      <c r="A609" s="627" t="s">
        <v>23</v>
      </c>
      <c r="B609" s="409">
        <f t="shared" ref="B609:J609" si="321">B620/B603</f>
        <v>35362.857142857145</v>
      </c>
      <c r="C609" s="131">
        <f t="shared" si="321"/>
        <v>39848.571428571435</v>
      </c>
      <c r="D609" s="131">
        <f t="shared" si="321"/>
        <v>33556.75675675676</v>
      </c>
      <c r="E609" s="131">
        <f t="shared" si="321"/>
        <v>32574</v>
      </c>
      <c r="F609" s="131">
        <f t="shared" si="321"/>
        <v>37479.000000000007</v>
      </c>
      <c r="G609" s="131">
        <f t="shared" si="321"/>
        <v>41522.549019607846</v>
      </c>
      <c r="H609" s="131">
        <f t="shared" si="321"/>
        <v>37724.675324675329</v>
      </c>
      <c r="I609" s="131">
        <f t="shared" si="321"/>
        <v>37593.348623853213</v>
      </c>
      <c r="J609" s="628">
        <f t="shared" si="321"/>
        <v>37593.348623853213</v>
      </c>
      <c r="K609"/>
      <c r="L609"/>
      <c r="M609"/>
      <c r="N609"/>
      <c r="O609"/>
      <c r="P609"/>
      <c r="Q609"/>
      <c r="R609"/>
      <c r="S609"/>
      <c r="T609"/>
      <c r="U609"/>
      <c r="V609"/>
      <c r="W609"/>
      <c r="X609"/>
      <c r="Y609"/>
      <c r="Z609"/>
      <c r="AA609"/>
      <c r="AB609"/>
      <c r="AC609"/>
      <c r="AD609"/>
      <c r="AE609"/>
      <c r="AF609"/>
      <c r="AY609" s="465"/>
    </row>
    <row r="610" spans="1:51" x14ac:dyDescent="0.25">
      <c r="A610" s="627" t="s">
        <v>24</v>
      </c>
      <c r="B610" s="409">
        <f t="shared" ref="B610:J610" si="322">B620/B597</f>
        <v>28783.720930232557</v>
      </c>
      <c r="C610" s="131">
        <f t="shared" si="322"/>
        <v>29674.468085106389</v>
      </c>
      <c r="D610" s="131">
        <f t="shared" si="322"/>
        <v>28218.181818181823</v>
      </c>
      <c r="E610" s="131">
        <f t="shared" si="322"/>
        <v>26269.354838709678</v>
      </c>
      <c r="F610" s="131">
        <f t="shared" si="322"/>
        <v>31232.500000000004</v>
      </c>
      <c r="G610" s="131">
        <f t="shared" si="322"/>
        <v>29208.96551724138</v>
      </c>
      <c r="H610" s="131">
        <f t="shared" si="322"/>
        <v>27930.769230769234</v>
      </c>
      <c r="I610" s="131">
        <f t="shared" si="322"/>
        <v>29010.088495575223</v>
      </c>
      <c r="J610" s="628">
        <f t="shared" si="322"/>
        <v>29010.088495575223</v>
      </c>
      <c r="K610"/>
      <c r="L610"/>
      <c r="M610"/>
      <c r="N610"/>
      <c r="O610"/>
      <c r="P610"/>
      <c r="Q610"/>
      <c r="R610"/>
      <c r="S610"/>
      <c r="T610"/>
      <c r="U610"/>
      <c r="V610"/>
      <c r="W610"/>
      <c r="X610"/>
      <c r="Y610"/>
      <c r="Z610"/>
      <c r="AA610"/>
      <c r="AB610"/>
      <c r="AC610"/>
      <c r="AD610"/>
      <c r="AE610"/>
      <c r="AF610"/>
      <c r="AY610" s="465"/>
    </row>
    <row r="611" spans="1:51" x14ac:dyDescent="0.25">
      <c r="A611" s="622" t="s">
        <v>25</v>
      </c>
      <c r="B611" s="255">
        <f t="shared" ref="B611:H611" si="323">B616*B604</f>
        <v>641782.73793103441</v>
      </c>
      <c r="C611" s="133">
        <f t="shared" si="323"/>
        <v>921091.16482758638</v>
      </c>
      <c r="D611" s="133">
        <f t="shared" si="323"/>
        <v>801710.03379310365</v>
      </c>
      <c r="E611" s="133">
        <f t="shared" si="323"/>
        <v>1048174.9420689656</v>
      </c>
      <c r="F611" s="133">
        <f t="shared" si="323"/>
        <v>2064457.7848275865</v>
      </c>
      <c r="G611" s="133">
        <f t="shared" si="323"/>
        <v>2439188.2827586206</v>
      </c>
      <c r="H611" s="133">
        <f t="shared" si="323"/>
        <v>1736385.2496551725</v>
      </c>
      <c r="I611" s="133">
        <f>SUM(B611:H611)</f>
        <v>9652790.1958620697</v>
      </c>
      <c r="J611" s="629">
        <f t="shared" ref="J611:J616" si="324">+$I611/7</f>
        <v>1378970.0279802957</v>
      </c>
      <c r="K611"/>
      <c r="L611"/>
      <c r="M611"/>
      <c r="N611"/>
      <c r="O611"/>
      <c r="P611"/>
      <c r="Q611"/>
      <c r="R611"/>
      <c r="S611"/>
      <c r="T611"/>
      <c r="U611"/>
      <c r="V611"/>
      <c r="W611"/>
      <c r="X611"/>
      <c r="Y611"/>
      <c r="Z611"/>
      <c r="AA611"/>
      <c r="AB611"/>
      <c r="AC611"/>
      <c r="AD611"/>
      <c r="AE611"/>
      <c r="AF611"/>
      <c r="AY611" s="465"/>
    </row>
    <row r="612" spans="1:51" x14ac:dyDescent="0.25">
      <c r="A612" s="622" t="s">
        <v>26</v>
      </c>
      <c r="B612" s="255">
        <f t="shared" ref="B612:H612" si="325">B616*B605</f>
        <v>0</v>
      </c>
      <c r="C612" s="133">
        <f t="shared" si="325"/>
        <v>0</v>
      </c>
      <c r="D612" s="133">
        <f t="shared" si="325"/>
        <v>0</v>
      </c>
      <c r="E612" s="133">
        <f t="shared" si="325"/>
        <v>0</v>
      </c>
      <c r="F612" s="133">
        <f t="shared" si="325"/>
        <v>30812.802758620695</v>
      </c>
      <c r="G612" s="133">
        <f t="shared" si="325"/>
        <v>0</v>
      </c>
      <c r="H612" s="133">
        <f t="shared" si="325"/>
        <v>23786.099310344831</v>
      </c>
      <c r="I612" s="133">
        <f>SUM(B612:H612)</f>
        <v>54598.90206896553</v>
      </c>
      <c r="J612" s="629">
        <f t="shared" si="324"/>
        <v>7799.8431527093617</v>
      </c>
      <c r="K612"/>
      <c r="L612"/>
      <c r="M612"/>
      <c r="N612"/>
      <c r="O612"/>
      <c r="P612"/>
      <c r="Q612"/>
      <c r="R612"/>
      <c r="S612"/>
      <c r="T612"/>
      <c r="U612"/>
      <c r="V612"/>
      <c r="W612"/>
      <c r="X612"/>
      <c r="Y612"/>
      <c r="Z612"/>
      <c r="AA612"/>
      <c r="AB612"/>
      <c r="AC612"/>
      <c r="AD612"/>
      <c r="AE612"/>
      <c r="AF612"/>
      <c r="AY612" s="465"/>
    </row>
    <row r="613" spans="1:51" x14ac:dyDescent="0.25">
      <c r="A613" s="622" t="s">
        <v>27</v>
      </c>
      <c r="B613" s="255">
        <f t="shared" ref="B613:H613" si="326">B616*B606</f>
        <v>346358.93793103448</v>
      </c>
      <c r="C613" s="133">
        <f t="shared" si="326"/>
        <v>181943.93379310347</v>
      </c>
      <c r="D613" s="133">
        <f t="shared" si="326"/>
        <v>192816.33724137934</v>
      </c>
      <c r="E613" s="133">
        <f t="shared" si="326"/>
        <v>252092.70758620693</v>
      </c>
      <c r="F613" s="133">
        <f t="shared" si="326"/>
        <v>862758.47724137944</v>
      </c>
      <c r="G613" s="133">
        <f t="shared" si="326"/>
        <v>731756.48482758622</v>
      </c>
      <c r="H613" s="133">
        <f t="shared" si="326"/>
        <v>547080.28413793107</v>
      </c>
      <c r="I613" s="133">
        <f>SUM(B613:H613)</f>
        <v>3114807.1627586209</v>
      </c>
      <c r="J613" s="629">
        <f t="shared" si="324"/>
        <v>444972.45182266011</v>
      </c>
      <c r="K613"/>
      <c r="L613"/>
      <c r="M613"/>
      <c r="N613"/>
      <c r="O613"/>
      <c r="P613"/>
      <c r="Q613"/>
      <c r="R613"/>
      <c r="S613"/>
      <c r="T613"/>
      <c r="U613"/>
      <c r="V613"/>
      <c r="W613"/>
      <c r="X613"/>
      <c r="Y613"/>
      <c r="Z613"/>
      <c r="AA613"/>
      <c r="AB613"/>
      <c r="AC613"/>
      <c r="AD613"/>
      <c r="AE613"/>
      <c r="AF613"/>
      <c r="AY613" s="465"/>
    </row>
    <row r="614" spans="1:51" x14ac:dyDescent="0.25">
      <c r="A614" s="622" t="s">
        <v>28</v>
      </c>
      <c r="B614" s="255">
        <f t="shared" ref="B614:H614" si="327">B616*B607</f>
        <v>30561.082758620687</v>
      </c>
      <c r="C614" s="133">
        <f t="shared" si="327"/>
        <v>34114.487586206902</v>
      </c>
      <c r="D614" s="133">
        <f t="shared" si="327"/>
        <v>20296.456551724143</v>
      </c>
      <c r="E614" s="133">
        <f t="shared" si="327"/>
        <v>26536.074482758624</v>
      </c>
      <c r="F614" s="133">
        <f t="shared" si="327"/>
        <v>123251.21103448278</v>
      </c>
      <c r="G614" s="133">
        <f t="shared" si="327"/>
        <v>313609.9220689655</v>
      </c>
      <c r="H614" s="133">
        <f t="shared" si="327"/>
        <v>71358.297931034482</v>
      </c>
      <c r="I614" s="133">
        <f>SUM(B614:H614)</f>
        <v>619727.53241379315</v>
      </c>
      <c r="J614" s="629">
        <f t="shared" si="324"/>
        <v>88532.50463054188</v>
      </c>
      <c r="K614"/>
      <c r="L614"/>
      <c r="M614"/>
      <c r="N614"/>
      <c r="O614"/>
      <c r="P614"/>
      <c r="Q614"/>
      <c r="R614"/>
      <c r="S614"/>
      <c r="T614"/>
      <c r="U614"/>
      <c r="V614"/>
      <c r="W614"/>
      <c r="X614"/>
      <c r="Y614"/>
      <c r="Z614"/>
      <c r="AA614"/>
      <c r="AB614"/>
      <c r="AC614"/>
      <c r="AD614"/>
      <c r="AE614"/>
      <c r="AF614"/>
      <c r="AY614" s="465"/>
    </row>
    <row r="615" spans="1:51" x14ac:dyDescent="0.25">
      <c r="A615" s="622" t="s">
        <v>29</v>
      </c>
      <c r="B615" s="255">
        <f t="shared" ref="B615:H615" si="328">B616*B608</f>
        <v>0</v>
      </c>
      <c r="C615" s="727">
        <f t="shared" si="328"/>
        <v>0</v>
      </c>
      <c r="D615" s="727">
        <f t="shared" si="328"/>
        <v>0</v>
      </c>
      <c r="E615" s="727">
        <f t="shared" si="328"/>
        <v>0</v>
      </c>
      <c r="F615" s="727">
        <f t="shared" si="328"/>
        <v>0</v>
      </c>
      <c r="G615" s="727">
        <f t="shared" si="328"/>
        <v>0</v>
      </c>
      <c r="H615" s="727">
        <f t="shared" si="328"/>
        <v>0</v>
      </c>
      <c r="I615" s="133">
        <f>SUM(B615:H615)</f>
        <v>0</v>
      </c>
      <c r="J615" s="629">
        <f t="shared" si="324"/>
        <v>0</v>
      </c>
      <c r="K615"/>
      <c r="L615"/>
      <c r="M615"/>
      <c r="N615"/>
      <c r="O615"/>
      <c r="P615"/>
      <c r="Q615"/>
      <c r="R615"/>
      <c r="S615"/>
      <c r="T615"/>
      <c r="U615"/>
      <c r="V615"/>
      <c r="W615"/>
      <c r="X615"/>
      <c r="Y615"/>
      <c r="Z615"/>
      <c r="AA615"/>
      <c r="AB615"/>
      <c r="AC615"/>
      <c r="AD615"/>
      <c r="AE615"/>
      <c r="AF615"/>
      <c r="AY615" s="465"/>
    </row>
    <row r="616" spans="1:51" x14ac:dyDescent="0.25">
      <c r="A616" s="630" t="s">
        <v>30</v>
      </c>
      <c r="B616" s="726">
        <f>(1237700/1.16)-B617</f>
        <v>1018702.7586206896</v>
      </c>
      <c r="C616" s="729">
        <f>(1394700/1.16)-C617</f>
        <v>1137149.5862068967</v>
      </c>
      <c r="D616" s="729">
        <f>(1241600/1.16)-D617</f>
        <v>1014822.8275862071</v>
      </c>
      <c r="E616" s="729">
        <f>(1628700/1.16)-E617</f>
        <v>1326803.7241379311</v>
      </c>
      <c r="F616" s="729">
        <f>(3747900/1.16)-F617</f>
        <v>3081280.2758620693</v>
      </c>
      <c r="G616" s="729">
        <f>(4235300/1.16)-G617</f>
        <v>3484554.6896551726</v>
      </c>
      <c r="H616" s="729">
        <f>(2904800/1.16)-H617</f>
        <v>2378609.931034483</v>
      </c>
      <c r="I616" s="137">
        <f>SUM(I611:I615)</f>
        <v>13441923.793103449</v>
      </c>
      <c r="J616" s="631">
        <f t="shared" si="324"/>
        <v>1920274.8275862071</v>
      </c>
      <c r="K616"/>
      <c r="L616"/>
      <c r="M616"/>
      <c r="N616"/>
      <c r="O616"/>
      <c r="P616"/>
      <c r="Q616"/>
      <c r="R616"/>
      <c r="S616"/>
      <c r="T616"/>
      <c r="U616"/>
      <c r="V616"/>
      <c r="W616"/>
      <c r="X616"/>
      <c r="Y616"/>
      <c r="Z616"/>
      <c r="AA616"/>
      <c r="AB616"/>
      <c r="AC616"/>
      <c r="AD616"/>
      <c r="AE616"/>
      <c r="AF616"/>
      <c r="AY616" s="465"/>
    </row>
    <row r="617" spans="1:51" x14ac:dyDescent="0.25">
      <c r="A617" s="622" t="s">
        <v>31</v>
      </c>
      <c r="B617" s="263">
        <f t="shared" ref="B617:H617" si="329">2414*B598</f>
        <v>48280</v>
      </c>
      <c r="C617" s="728">
        <f t="shared" si="329"/>
        <v>65178</v>
      </c>
      <c r="D617" s="728">
        <f t="shared" si="329"/>
        <v>55522</v>
      </c>
      <c r="E617" s="728">
        <f t="shared" si="329"/>
        <v>77248</v>
      </c>
      <c r="F617" s="728">
        <f t="shared" si="329"/>
        <v>149668</v>
      </c>
      <c r="G617" s="728">
        <f t="shared" si="329"/>
        <v>166566</v>
      </c>
      <c r="H617" s="728">
        <f t="shared" si="329"/>
        <v>125528</v>
      </c>
      <c r="I617" s="139">
        <f>I598*2414</f>
        <v>687990</v>
      </c>
      <c r="J617" s="632">
        <f>2155*J598</f>
        <v>87739.28571428571</v>
      </c>
      <c r="K617"/>
      <c r="L617"/>
      <c r="M617"/>
      <c r="N617"/>
      <c r="O617"/>
      <c r="P617"/>
      <c r="Q617"/>
      <c r="R617"/>
      <c r="S617"/>
      <c r="T617"/>
      <c r="U617"/>
      <c r="V617"/>
      <c r="W617"/>
      <c r="X617"/>
      <c r="Y617"/>
      <c r="Z617"/>
      <c r="AA617"/>
      <c r="AB617"/>
      <c r="AC617"/>
      <c r="AD617"/>
      <c r="AE617"/>
      <c r="AF617"/>
      <c r="AY617" s="465"/>
    </row>
    <row r="618" spans="1:51" x14ac:dyDescent="0.25">
      <c r="A618" s="633" t="s">
        <v>32</v>
      </c>
      <c r="B618" s="411">
        <f t="shared" ref="B618:J618" si="330">B616+B617</f>
        <v>1066982.7586206896</v>
      </c>
      <c r="C618" s="40">
        <f t="shared" si="330"/>
        <v>1202327.5862068967</v>
      </c>
      <c r="D618" s="40">
        <f t="shared" si="330"/>
        <v>1070344.8275862071</v>
      </c>
      <c r="E618" s="40">
        <f t="shared" si="330"/>
        <v>1404051.7241379311</v>
      </c>
      <c r="F618" s="40">
        <f t="shared" si="330"/>
        <v>3230948.2758620693</v>
      </c>
      <c r="G618" s="40">
        <f t="shared" si="330"/>
        <v>3651120.6896551726</v>
      </c>
      <c r="H618" s="40">
        <f t="shared" si="330"/>
        <v>2504137.931034483</v>
      </c>
      <c r="I618" s="40">
        <f t="shared" si="330"/>
        <v>14129913.793103449</v>
      </c>
      <c r="J618" s="634">
        <f t="shared" si="330"/>
        <v>2008014.1133004928</v>
      </c>
      <c r="K618"/>
      <c r="L618"/>
      <c r="M618"/>
      <c r="N618"/>
      <c r="O618"/>
      <c r="P618"/>
      <c r="Q618"/>
      <c r="R618"/>
      <c r="S618"/>
      <c r="T618"/>
      <c r="U618"/>
      <c r="V618"/>
      <c r="W618"/>
      <c r="X618"/>
      <c r="Y618"/>
      <c r="Z618"/>
      <c r="AA618"/>
      <c r="AB618"/>
      <c r="AC618"/>
      <c r="AD618"/>
      <c r="AE618"/>
      <c r="AF618"/>
      <c r="AY618" s="465"/>
    </row>
    <row r="619" spans="1:51" x14ac:dyDescent="0.25">
      <c r="A619" s="622" t="s">
        <v>33</v>
      </c>
      <c r="B619" s="413">
        <f t="shared" ref="B619:J619" si="331">B618*16%</f>
        <v>170717.24137931035</v>
      </c>
      <c r="C619" s="42">
        <f t="shared" si="331"/>
        <v>192372.41379310348</v>
      </c>
      <c r="D619" s="42">
        <f t="shared" si="331"/>
        <v>171255.17241379313</v>
      </c>
      <c r="E619" s="42">
        <f t="shared" si="331"/>
        <v>224648.27586206899</v>
      </c>
      <c r="F619" s="42">
        <f t="shared" si="331"/>
        <v>516951.72413793113</v>
      </c>
      <c r="G619" s="42">
        <f t="shared" si="331"/>
        <v>584179.31034482759</v>
      </c>
      <c r="H619" s="42">
        <f t="shared" si="331"/>
        <v>400662.06896551728</v>
      </c>
      <c r="I619" s="42">
        <f t="shared" si="331"/>
        <v>2260786.2068965519</v>
      </c>
      <c r="J619" s="635">
        <f t="shared" si="331"/>
        <v>321282.25812807883</v>
      </c>
      <c r="K619"/>
      <c r="L619"/>
      <c r="M619"/>
      <c r="N619"/>
      <c r="O619"/>
      <c r="P619"/>
      <c r="Q619"/>
      <c r="R619"/>
      <c r="S619"/>
      <c r="T619"/>
      <c r="U619"/>
      <c r="V619"/>
      <c r="W619"/>
      <c r="X619"/>
      <c r="Y619"/>
      <c r="Z619"/>
      <c r="AA619"/>
      <c r="AB619"/>
      <c r="AC619"/>
      <c r="AD619"/>
      <c r="AE619"/>
      <c r="AF619"/>
      <c r="AY619" s="465"/>
    </row>
    <row r="620" spans="1:51" ht="15.75" thickBot="1" x14ac:dyDescent="0.3">
      <c r="A620" s="636" t="s">
        <v>34</v>
      </c>
      <c r="B620" s="637">
        <f t="shared" ref="B620:I620" si="332">B618+B619</f>
        <v>1237700</v>
      </c>
      <c r="C620" s="638">
        <f t="shared" si="332"/>
        <v>1394700.0000000002</v>
      </c>
      <c r="D620" s="638">
        <f t="shared" si="332"/>
        <v>1241600.0000000002</v>
      </c>
      <c r="E620" s="638">
        <f t="shared" si="332"/>
        <v>1628700</v>
      </c>
      <c r="F620" s="638">
        <f t="shared" si="332"/>
        <v>3747900.0000000005</v>
      </c>
      <c r="G620" s="638">
        <f t="shared" si="332"/>
        <v>4235300</v>
      </c>
      <c r="H620" s="638">
        <f t="shared" si="332"/>
        <v>2904800.0000000005</v>
      </c>
      <c r="I620" s="638">
        <f t="shared" si="332"/>
        <v>16390700</v>
      </c>
      <c r="J620" s="639">
        <f>+$I620/7</f>
        <v>2341528.5714285714</v>
      </c>
      <c r="K620"/>
      <c r="L620"/>
      <c r="M620"/>
      <c r="N620"/>
      <c r="O620"/>
      <c r="P620"/>
      <c r="Q620"/>
      <c r="R620"/>
      <c r="S620"/>
      <c r="T620"/>
      <c r="U620"/>
      <c r="V620"/>
      <c r="W620"/>
      <c r="X620"/>
      <c r="Y620"/>
      <c r="Z620"/>
      <c r="AA620"/>
      <c r="AB620"/>
      <c r="AC620"/>
      <c r="AD620"/>
      <c r="AE620"/>
      <c r="AF620"/>
      <c r="AY620" s="465"/>
    </row>
    <row r="621" spans="1:51" ht="15.75" thickBot="1" x14ac:dyDescent="0.3">
      <c r="K621"/>
      <c r="L621"/>
      <c r="M621"/>
      <c r="N621"/>
      <c r="O621"/>
      <c r="P621"/>
      <c r="Q621"/>
      <c r="R621"/>
      <c r="S621"/>
      <c r="T621"/>
      <c r="U621"/>
      <c r="V621"/>
      <c r="W621"/>
      <c r="X621"/>
      <c r="Y621"/>
      <c r="Z621"/>
      <c r="AA621"/>
      <c r="AB621"/>
      <c r="AC621"/>
      <c r="AD621"/>
      <c r="AE621"/>
      <c r="AF621"/>
      <c r="AY621" s="465"/>
    </row>
    <row r="622" spans="1:51" ht="27" thickBot="1" x14ac:dyDescent="0.3">
      <c r="A622" s="85"/>
      <c r="B622" s="1002" t="s">
        <v>364</v>
      </c>
      <c r="C622" s="1002"/>
      <c r="D622" s="1002"/>
      <c r="E622" s="1002"/>
      <c r="F622" s="1002"/>
      <c r="G622" s="1002"/>
      <c r="H622" s="1002"/>
      <c r="I622" s="1002"/>
      <c r="J622" s="85"/>
      <c r="K622"/>
      <c r="L622"/>
      <c r="M622"/>
      <c r="N622"/>
      <c r="O622"/>
      <c r="P622"/>
      <c r="Q622"/>
      <c r="R622"/>
      <c r="S622"/>
      <c r="T622"/>
      <c r="U622"/>
      <c r="V622"/>
      <c r="W622"/>
      <c r="X622"/>
      <c r="Y622"/>
      <c r="Z622"/>
      <c r="AA622"/>
      <c r="AB622"/>
      <c r="AC622"/>
      <c r="AD622"/>
      <c r="AE622"/>
      <c r="AF622"/>
      <c r="AY622" s="465"/>
    </row>
    <row r="623" spans="1:51" ht="15.75" x14ac:dyDescent="0.25">
      <c r="A623" s="614" t="s">
        <v>2</v>
      </c>
      <c r="B623" s="706" t="s">
        <v>53</v>
      </c>
      <c r="C623" s="617" t="s">
        <v>54</v>
      </c>
      <c r="D623" s="617" t="s">
        <v>292</v>
      </c>
      <c r="E623" s="617" t="s">
        <v>293</v>
      </c>
      <c r="F623" s="617" t="s">
        <v>294</v>
      </c>
      <c r="G623" s="617" t="s">
        <v>295</v>
      </c>
      <c r="H623" s="617" t="s">
        <v>296</v>
      </c>
      <c r="I623" s="618" t="s">
        <v>10</v>
      </c>
      <c r="J623" s="619" t="s">
        <v>77</v>
      </c>
      <c r="K623"/>
      <c r="L623"/>
      <c r="M623"/>
      <c r="N623"/>
      <c r="O623"/>
      <c r="P623"/>
      <c r="Q623"/>
      <c r="R623"/>
      <c r="S623"/>
      <c r="T623"/>
      <c r="U623"/>
      <c r="V623"/>
      <c r="W623"/>
      <c r="X623"/>
      <c r="Y623"/>
      <c r="Z623"/>
      <c r="AA623"/>
      <c r="AB623"/>
      <c r="AC623"/>
      <c r="AD623"/>
      <c r="AE623"/>
      <c r="AF623"/>
      <c r="AY623" s="465"/>
    </row>
    <row r="624" spans="1:51" x14ac:dyDescent="0.25">
      <c r="A624" s="620" t="s">
        <v>11</v>
      </c>
      <c r="B624" s="433">
        <f>21+13+4</f>
        <v>38</v>
      </c>
      <c r="C624" s="673">
        <f>36+18+6</f>
        <v>60</v>
      </c>
      <c r="D624" s="739">
        <f>31+18+9</f>
        <v>58</v>
      </c>
      <c r="E624" s="673">
        <f>43+19+6</f>
        <v>68</v>
      </c>
      <c r="F624" s="673">
        <f>71+45+20</f>
        <v>136</v>
      </c>
      <c r="G624" s="673">
        <f>86+60+13</f>
        <v>159</v>
      </c>
      <c r="H624" s="673">
        <f>118+41+13</f>
        <v>172</v>
      </c>
      <c r="I624" s="673">
        <f t="shared" ref="I624:I629" si="333">SUM(B624:H624)</f>
        <v>691</v>
      </c>
      <c r="J624" s="621">
        <f t="shared" ref="J624:J630" si="334">+$I624/7</f>
        <v>98.714285714285708</v>
      </c>
      <c r="K624"/>
      <c r="L624"/>
      <c r="M624"/>
      <c r="N624"/>
      <c r="O624"/>
      <c r="P624"/>
      <c r="Q624"/>
      <c r="R624"/>
      <c r="S624"/>
      <c r="T624"/>
      <c r="U624"/>
      <c r="V624"/>
      <c r="W624"/>
      <c r="X624"/>
      <c r="Y624"/>
      <c r="Z624"/>
      <c r="AA624"/>
      <c r="AB624"/>
      <c r="AC624"/>
      <c r="AD624"/>
      <c r="AE624"/>
      <c r="AF624"/>
      <c r="AY624" s="465"/>
    </row>
    <row r="625" spans="1:51" x14ac:dyDescent="0.25">
      <c r="A625" s="622" t="s">
        <v>12</v>
      </c>
      <c r="B625" s="233">
        <v>14</v>
      </c>
      <c r="C625" s="671">
        <v>28</v>
      </c>
      <c r="D625" s="671">
        <v>22</v>
      </c>
      <c r="E625" s="671">
        <v>39</v>
      </c>
      <c r="F625" s="671">
        <v>57</v>
      </c>
      <c r="G625" s="675">
        <v>78</v>
      </c>
      <c r="H625" s="671">
        <v>93</v>
      </c>
      <c r="I625" s="671">
        <f t="shared" si="333"/>
        <v>331</v>
      </c>
      <c r="J625" s="623">
        <f t="shared" si="334"/>
        <v>47.285714285714285</v>
      </c>
      <c r="K625"/>
      <c r="L625"/>
      <c r="M625"/>
      <c r="N625"/>
      <c r="O625"/>
      <c r="P625"/>
      <c r="Q625"/>
      <c r="R625"/>
      <c r="S625"/>
      <c r="T625"/>
      <c r="U625"/>
      <c r="V625"/>
      <c r="W625"/>
      <c r="X625"/>
      <c r="Y625"/>
      <c r="Z625"/>
      <c r="AA625"/>
      <c r="AB625"/>
      <c r="AC625"/>
      <c r="AD625"/>
      <c r="AE625"/>
      <c r="AF625"/>
      <c r="AY625" s="465"/>
    </row>
    <row r="626" spans="1:51" x14ac:dyDescent="0.25">
      <c r="A626" s="622" t="s">
        <v>13</v>
      </c>
      <c r="B626" s="233">
        <v>2</v>
      </c>
      <c r="C626" s="13">
        <v>0</v>
      </c>
      <c r="D626" s="13">
        <v>1</v>
      </c>
      <c r="E626" s="13">
        <v>3</v>
      </c>
      <c r="F626" s="13">
        <v>0</v>
      </c>
      <c r="G626" s="13">
        <v>1</v>
      </c>
      <c r="H626" s="13">
        <v>0</v>
      </c>
      <c r="I626" s="13">
        <f t="shared" si="333"/>
        <v>7</v>
      </c>
      <c r="J626" s="623">
        <f t="shared" si="334"/>
        <v>1</v>
      </c>
      <c r="K626"/>
      <c r="L626"/>
      <c r="M626"/>
      <c r="N626"/>
      <c r="O626"/>
      <c r="P626"/>
      <c r="Q626"/>
      <c r="R626"/>
      <c r="S626"/>
      <c r="T626"/>
      <c r="U626"/>
      <c r="V626"/>
      <c r="W626"/>
      <c r="X626"/>
      <c r="Y626"/>
      <c r="Z626"/>
      <c r="AA626"/>
      <c r="AB626"/>
      <c r="AC626"/>
      <c r="AD626"/>
      <c r="AE626"/>
      <c r="AF626"/>
      <c r="AY626" s="465"/>
    </row>
    <row r="627" spans="1:51" x14ac:dyDescent="0.25">
      <c r="A627" s="622" t="s">
        <v>14</v>
      </c>
      <c r="B627" s="233">
        <v>11</v>
      </c>
      <c r="C627" s="13">
        <v>19</v>
      </c>
      <c r="D627" s="13">
        <v>25</v>
      </c>
      <c r="E627" s="13">
        <v>17</v>
      </c>
      <c r="F627" s="13">
        <v>40</v>
      </c>
      <c r="G627" s="13">
        <v>33</v>
      </c>
      <c r="H627" s="13">
        <v>31</v>
      </c>
      <c r="I627" s="13">
        <f t="shared" si="333"/>
        <v>176</v>
      </c>
      <c r="J627" s="623">
        <f t="shared" si="334"/>
        <v>25.142857142857142</v>
      </c>
      <c r="K627"/>
      <c r="L627"/>
      <c r="M627"/>
      <c r="N627"/>
      <c r="O627"/>
      <c r="P627"/>
      <c r="Q627"/>
      <c r="R627"/>
      <c r="S627"/>
      <c r="T627"/>
      <c r="U627"/>
      <c r="V627"/>
      <c r="W627"/>
      <c r="X627"/>
      <c r="Y627"/>
      <c r="Z627"/>
      <c r="AA627"/>
      <c r="AB627"/>
      <c r="AC627"/>
      <c r="AD627"/>
      <c r="AE627"/>
      <c r="AF627"/>
      <c r="AY627" s="465"/>
    </row>
    <row r="628" spans="1:51" x14ac:dyDescent="0.25">
      <c r="A628" s="622" t="s">
        <v>15</v>
      </c>
      <c r="B628" s="233">
        <v>4</v>
      </c>
      <c r="C628" s="13">
        <v>6</v>
      </c>
      <c r="D628" s="13">
        <v>1</v>
      </c>
      <c r="E628" s="13">
        <v>6</v>
      </c>
      <c r="F628" s="13">
        <v>5</v>
      </c>
      <c r="G628" s="13">
        <v>9</v>
      </c>
      <c r="H628" s="13">
        <v>9</v>
      </c>
      <c r="I628" s="13">
        <f t="shared" si="333"/>
        <v>40</v>
      </c>
      <c r="J628" s="623">
        <f t="shared" si="334"/>
        <v>5.7142857142857144</v>
      </c>
      <c r="K628"/>
      <c r="L628"/>
      <c r="M628"/>
      <c r="N628"/>
      <c r="O628"/>
      <c r="P628"/>
      <c r="Q628"/>
      <c r="R628"/>
      <c r="S628"/>
      <c r="T628"/>
      <c r="U628"/>
      <c r="V628"/>
      <c r="W628"/>
      <c r="X628"/>
      <c r="Y628"/>
      <c r="Z628"/>
      <c r="AA628"/>
      <c r="AB628"/>
      <c r="AC628"/>
      <c r="AD628"/>
      <c r="AE628"/>
      <c r="AF628"/>
      <c r="AY628" s="465"/>
    </row>
    <row r="629" spans="1:51" x14ac:dyDescent="0.25">
      <c r="A629" s="622" t="s">
        <v>16</v>
      </c>
      <c r="B629" s="233">
        <v>0</v>
      </c>
      <c r="C629" s="13">
        <v>0</v>
      </c>
      <c r="D629" s="13">
        <v>0</v>
      </c>
      <c r="E629" s="13">
        <v>0</v>
      </c>
      <c r="F629" s="13">
        <v>0</v>
      </c>
      <c r="G629" s="13">
        <v>0</v>
      </c>
      <c r="H629" s="13">
        <v>0</v>
      </c>
      <c r="I629" s="13">
        <f t="shared" si="333"/>
        <v>0</v>
      </c>
      <c r="J629" s="623">
        <f t="shared" si="334"/>
        <v>0</v>
      </c>
      <c r="K629"/>
      <c r="L629"/>
      <c r="M629"/>
      <c r="N629"/>
      <c r="O629"/>
      <c r="P629"/>
      <c r="Q629"/>
      <c r="R629"/>
      <c r="S629"/>
      <c r="T629"/>
      <c r="U629"/>
      <c r="V629"/>
      <c r="W629"/>
      <c r="X629"/>
      <c r="Y629"/>
      <c r="Z629"/>
      <c r="AA629"/>
      <c r="AB629"/>
      <c r="AC629"/>
      <c r="AD629"/>
      <c r="AE629"/>
      <c r="AF629"/>
      <c r="AY629" s="465"/>
    </row>
    <row r="630" spans="1:51" x14ac:dyDescent="0.25">
      <c r="A630" s="624" t="s">
        <v>17</v>
      </c>
      <c r="B630" s="102">
        <f t="shared" ref="B630:H630" si="335">SUM(B625:B629)</f>
        <v>31</v>
      </c>
      <c r="C630" s="79">
        <f t="shared" si="335"/>
        <v>53</v>
      </c>
      <c r="D630" s="79">
        <f t="shared" si="335"/>
        <v>49</v>
      </c>
      <c r="E630" s="79">
        <f t="shared" si="335"/>
        <v>65</v>
      </c>
      <c r="F630" s="79">
        <f t="shared" si="335"/>
        <v>102</v>
      </c>
      <c r="G630" s="79">
        <f t="shared" si="335"/>
        <v>121</v>
      </c>
      <c r="H630" s="79">
        <f t="shared" si="335"/>
        <v>133</v>
      </c>
      <c r="I630" s="79">
        <f>SUM(I625:I629)</f>
        <v>554</v>
      </c>
      <c r="J630" s="625">
        <f t="shared" si="334"/>
        <v>79.142857142857139</v>
      </c>
      <c r="K630"/>
      <c r="L630"/>
      <c r="M630"/>
      <c r="N630"/>
      <c r="O630"/>
      <c r="P630"/>
      <c r="Q630"/>
      <c r="R630"/>
      <c r="S630"/>
      <c r="T630"/>
      <c r="U630"/>
      <c r="V630"/>
      <c r="W630"/>
      <c r="X630"/>
      <c r="Y630"/>
      <c r="Z630"/>
      <c r="AA630"/>
      <c r="AB630"/>
      <c r="AC630"/>
      <c r="AD630"/>
      <c r="AE630"/>
      <c r="AF630"/>
      <c r="AY630" s="465"/>
    </row>
    <row r="631" spans="1:51" x14ac:dyDescent="0.25">
      <c r="A631" s="622" t="s">
        <v>18</v>
      </c>
      <c r="B631" s="406">
        <v>0.68</v>
      </c>
      <c r="C631" s="19">
        <v>0.59</v>
      </c>
      <c r="D631" s="19">
        <v>0.57999999999999996</v>
      </c>
      <c r="E631" s="19">
        <v>0.71</v>
      </c>
      <c r="F631" s="19">
        <v>0.63</v>
      </c>
      <c r="G631" s="19">
        <v>0.73</v>
      </c>
      <c r="H631" s="19">
        <v>0.78</v>
      </c>
      <c r="I631" s="19">
        <f>I638/I643</f>
        <v>0.6939550340877797</v>
      </c>
      <c r="J631" s="626">
        <f>J638/J643</f>
        <v>0.6939550340877797</v>
      </c>
      <c r="K631"/>
      <c r="L631"/>
      <c r="M631"/>
      <c r="N631"/>
      <c r="O631"/>
      <c r="P631"/>
      <c r="Q631"/>
      <c r="R631"/>
      <c r="S631"/>
      <c r="T631"/>
      <c r="U631"/>
      <c r="V631"/>
      <c r="W631"/>
      <c r="X631"/>
      <c r="Y631"/>
      <c r="Z631"/>
      <c r="AA631"/>
      <c r="AB631"/>
      <c r="AC631"/>
      <c r="AD631"/>
      <c r="AE631"/>
      <c r="AF631"/>
      <c r="AY631" s="465"/>
    </row>
    <row r="632" spans="1:51" x14ac:dyDescent="0.25">
      <c r="A632" s="622" t="s">
        <v>19</v>
      </c>
      <c r="B632" s="406">
        <v>0.03</v>
      </c>
      <c r="C632" s="19">
        <v>0</v>
      </c>
      <c r="D632" s="19">
        <v>0.02</v>
      </c>
      <c r="E632" s="19">
        <v>0.04</v>
      </c>
      <c r="F632" s="19">
        <v>0</v>
      </c>
      <c r="G632" s="19">
        <v>0.01</v>
      </c>
      <c r="H632" s="19">
        <v>0</v>
      </c>
      <c r="I632" s="19">
        <f>I639/I643</f>
        <v>9.6541982176043106E-3</v>
      </c>
      <c r="J632" s="626">
        <f>J639/J643</f>
        <v>9.6541982176043106E-3</v>
      </c>
      <c r="K632"/>
      <c r="L632"/>
      <c r="M632"/>
      <c r="N632"/>
      <c r="O632"/>
      <c r="P632"/>
      <c r="Q632"/>
      <c r="R632"/>
      <c r="S632"/>
      <c r="T632"/>
      <c r="U632"/>
      <c r="V632"/>
      <c r="W632"/>
      <c r="X632"/>
      <c r="Y632"/>
      <c r="Z632"/>
      <c r="AA632"/>
      <c r="AB632"/>
      <c r="AC632"/>
      <c r="AD632"/>
      <c r="AE632"/>
      <c r="AF632"/>
      <c r="AY632" s="465"/>
    </row>
    <row r="633" spans="1:51" x14ac:dyDescent="0.25">
      <c r="A633" s="622" t="s">
        <v>20</v>
      </c>
      <c r="B633" s="406">
        <v>0.19</v>
      </c>
      <c r="C633" s="19">
        <v>0.35</v>
      </c>
      <c r="D633" s="19">
        <v>0.38</v>
      </c>
      <c r="E633" s="19">
        <v>0.15</v>
      </c>
      <c r="F633" s="19">
        <v>0.34</v>
      </c>
      <c r="G633" s="19">
        <v>0.2</v>
      </c>
      <c r="H633" s="19">
        <v>0.17</v>
      </c>
      <c r="I633" s="19">
        <f>I640/I643</f>
        <v>0.24177853081279035</v>
      </c>
      <c r="J633" s="626">
        <f>J640/J643</f>
        <v>0.24177853081279035</v>
      </c>
      <c r="K633"/>
      <c r="L633"/>
      <c r="M633"/>
      <c r="N633"/>
      <c r="O633"/>
      <c r="P633"/>
      <c r="Q633"/>
      <c r="R633"/>
      <c r="S633"/>
      <c r="T633"/>
      <c r="U633"/>
      <c r="V633"/>
      <c r="W633"/>
      <c r="X633"/>
      <c r="Y633"/>
      <c r="Z633"/>
      <c r="AA633"/>
      <c r="AB633"/>
      <c r="AC633"/>
      <c r="AD633"/>
      <c r="AE633"/>
      <c r="AF633"/>
      <c r="AY633" s="465"/>
    </row>
    <row r="634" spans="1:51" x14ac:dyDescent="0.25">
      <c r="A634" s="622" t="s">
        <v>21</v>
      </c>
      <c r="B634" s="406">
        <v>0.1</v>
      </c>
      <c r="C634" s="19">
        <v>0.06</v>
      </c>
      <c r="D634" s="19">
        <v>0.02</v>
      </c>
      <c r="E634" s="19">
        <v>0.1</v>
      </c>
      <c r="F634" s="19">
        <v>0.03</v>
      </c>
      <c r="G634" s="19">
        <v>0.06</v>
      </c>
      <c r="H634" s="19">
        <v>0.05</v>
      </c>
      <c r="I634" s="19">
        <f>I641/I643</f>
        <v>5.4612236881825683E-2</v>
      </c>
      <c r="J634" s="626">
        <f>J641/J643</f>
        <v>5.4612236881825683E-2</v>
      </c>
      <c r="K634"/>
      <c r="L634"/>
      <c r="M634"/>
      <c r="N634"/>
      <c r="O634"/>
      <c r="P634"/>
      <c r="Q634"/>
      <c r="R634"/>
      <c r="S634"/>
      <c r="T634"/>
      <c r="U634"/>
      <c r="V634"/>
      <c r="W634"/>
      <c r="X634"/>
      <c r="Y634"/>
      <c r="Z634"/>
      <c r="AA634"/>
      <c r="AB634"/>
      <c r="AC634"/>
      <c r="AD634"/>
      <c r="AE634"/>
      <c r="AF634"/>
      <c r="AY634" s="465"/>
    </row>
    <row r="635" spans="1:51" x14ac:dyDescent="0.25">
      <c r="A635" s="622" t="s">
        <v>22</v>
      </c>
      <c r="B635" s="406">
        <v>0</v>
      </c>
      <c r="C635" s="19">
        <v>0</v>
      </c>
      <c r="D635" s="19">
        <v>0</v>
      </c>
      <c r="E635" s="19">
        <v>0</v>
      </c>
      <c r="F635" s="19">
        <v>0</v>
      </c>
      <c r="G635" s="19">
        <v>0</v>
      </c>
      <c r="H635" s="19">
        <v>0</v>
      </c>
      <c r="I635" s="19">
        <f>I642/I643</f>
        <v>0</v>
      </c>
      <c r="J635" s="626">
        <f>J642/J643</f>
        <v>0</v>
      </c>
      <c r="K635"/>
      <c r="L635"/>
      <c r="M635"/>
      <c r="N635"/>
      <c r="O635"/>
      <c r="P635"/>
      <c r="Q635"/>
      <c r="R635"/>
      <c r="S635"/>
      <c r="T635"/>
      <c r="U635"/>
      <c r="V635"/>
      <c r="W635"/>
      <c r="X635"/>
      <c r="Y635"/>
      <c r="Z635"/>
      <c r="AA635"/>
      <c r="AB635"/>
      <c r="AC635"/>
      <c r="AD635"/>
      <c r="AE635"/>
      <c r="AF635"/>
      <c r="AY635" s="465"/>
    </row>
    <row r="636" spans="1:51" x14ac:dyDescent="0.25">
      <c r="A636" s="627" t="s">
        <v>23</v>
      </c>
      <c r="B636" s="409">
        <f t="shared" ref="B636:J636" si="336">B647/B630</f>
        <v>33861.290322580644</v>
      </c>
      <c r="C636" s="131">
        <f t="shared" si="336"/>
        <v>32458.490566037737</v>
      </c>
      <c r="D636" s="131">
        <f t="shared" si="336"/>
        <v>33483.673469387752</v>
      </c>
      <c r="E636" s="131">
        <f t="shared" si="336"/>
        <v>30401.538461538461</v>
      </c>
      <c r="F636" s="131">
        <f t="shared" si="336"/>
        <v>37211.76470588235</v>
      </c>
      <c r="G636" s="131">
        <f t="shared" si="336"/>
        <v>41447.107438016537</v>
      </c>
      <c r="H636" s="131">
        <f t="shared" si="336"/>
        <v>36423.308270676695</v>
      </c>
      <c r="I636" s="131">
        <f t="shared" si="336"/>
        <v>36176.534296028884</v>
      </c>
      <c r="J636" s="628">
        <f t="shared" si="336"/>
        <v>36176.534296028884</v>
      </c>
      <c r="K636"/>
      <c r="L636"/>
      <c r="M636"/>
      <c r="N636"/>
      <c r="O636"/>
      <c r="P636"/>
      <c r="Q636"/>
      <c r="R636"/>
      <c r="S636"/>
      <c r="T636"/>
      <c r="U636"/>
      <c r="V636"/>
      <c r="W636"/>
      <c r="X636"/>
      <c r="Y636"/>
      <c r="Z636"/>
      <c r="AA636"/>
      <c r="AB636"/>
      <c r="AC636"/>
      <c r="AD636"/>
      <c r="AE636"/>
      <c r="AF636"/>
      <c r="AY636" s="465"/>
    </row>
    <row r="637" spans="1:51" x14ac:dyDescent="0.25">
      <c r="A637" s="627" t="s">
        <v>24</v>
      </c>
      <c r="B637" s="409">
        <f t="shared" ref="B637:J637" si="337">B647/B624</f>
        <v>27623.684210526317</v>
      </c>
      <c r="C637" s="131">
        <f t="shared" si="337"/>
        <v>28671.666666666668</v>
      </c>
      <c r="D637" s="131">
        <f t="shared" si="337"/>
        <v>28287.931034482757</v>
      </c>
      <c r="E637" s="131">
        <f t="shared" si="337"/>
        <v>29060.294117647059</v>
      </c>
      <c r="F637" s="131">
        <f t="shared" si="337"/>
        <v>27908.823529411766</v>
      </c>
      <c r="G637" s="131">
        <f t="shared" si="337"/>
        <v>31541.50943396227</v>
      </c>
      <c r="H637" s="131">
        <f t="shared" si="337"/>
        <v>28164.534883720931</v>
      </c>
      <c r="I637" s="131">
        <f t="shared" si="337"/>
        <v>29004.052098408105</v>
      </c>
      <c r="J637" s="628">
        <f t="shared" si="337"/>
        <v>29004.052098408109</v>
      </c>
      <c r="K637"/>
      <c r="L637"/>
      <c r="M637"/>
      <c r="N637"/>
      <c r="O637"/>
      <c r="P637"/>
      <c r="Q637"/>
      <c r="R637"/>
      <c r="S637"/>
      <c r="T637"/>
      <c r="U637"/>
      <c r="V637"/>
      <c r="W637"/>
      <c r="X637"/>
      <c r="Y637"/>
      <c r="Z637"/>
      <c r="AA637"/>
      <c r="AB637"/>
      <c r="AC637"/>
      <c r="AD637"/>
      <c r="AE637"/>
      <c r="AF637"/>
      <c r="AY637" s="465"/>
    </row>
    <row r="638" spans="1:51" x14ac:dyDescent="0.25">
      <c r="A638" s="622" t="s">
        <v>25</v>
      </c>
      <c r="B638" s="255">
        <f t="shared" ref="B638:H638" si="338">B643*B631</f>
        <v>592360.0993103449</v>
      </c>
      <c r="C638" s="133">
        <f t="shared" si="338"/>
        <v>835100.89241379313</v>
      </c>
      <c r="D638" s="133">
        <f t="shared" si="338"/>
        <v>789547.36</v>
      </c>
      <c r="E638" s="133">
        <f t="shared" si="338"/>
        <v>1142665.8227586206</v>
      </c>
      <c r="F638" s="133">
        <f t="shared" si="338"/>
        <v>1974716.7082758623</v>
      </c>
      <c r="G638" s="133">
        <f t="shared" si="338"/>
        <v>3018601.1503448281</v>
      </c>
      <c r="H638" s="133">
        <f t="shared" si="338"/>
        <v>3082262.5779310348</v>
      </c>
      <c r="I638" s="133">
        <f>SUM(B638:H638)</f>
        <v>11435254.611034485</v>
      </c>
      <c r="J638" s="629">
        <f t="shared" ref="J638:J643" si="339">+$I638/7</f>
        <v>1633607.801576355</v>
      </c>
      <c r="K638"/>
      <c r="L638"/>
      <c r="M638"/>
      <c r="N638"/>
      <c r="O638"/>
      <c r="P638"/>
      <c r="Q638"/>
      <c r="R638"/>
      <c r="S638"/>
      <c r="T638"/>
      <c r="U638"/>
      <c r="V638"/>
      <c r="W638"/>
      <c r="X638"/>
      <c r="Y638"/>
      <c r="Z638"/>
      <c r="AA638"/>
      <c r="AB638"/>
      <c r="AC638"/>
      <c r="AD638"/>
      <c r="AE638"/>
      <c r="AF638"/>
      <c r="AY638" s="465"/>
    </row>
    <row r="639" spans="1:51" x14ac:dyDescent="0.25">
      <c r="A639" s="622" t="s">
        <v>26</v>
      </c>
      <c r="B639" s="255">
        <f t="shared" ref="B639:H639" si="340">B643*B632</f>
        <v>26133.533793103448</v>
      </c>
      <c r="C639" s="133">
        <f t="shared" si="340"/>
        <v>0</v>
      </c>
      <c r="D639" s="133">
        <f t="shared" si="340"/>
        <v>27225.771034482761</v>
      </c>
      <c r="E639" s="133">
        <f t="shared" si="340"/>
        <v>64375.53931034483</v>
      </c>
      <c r="F639" s="133">
        <f t="shared" si="340"/>
        <v>0</v>
      </c>
      <c r="G639" s="133">
        <f t="shared" si="340"/>
        <v>41350.700689655183</v>
      </c>
      <c r="H639" s="133">
        <f t="shared" si="340"/>
        <v>0</v>
      </c>
      <c r="I639" s="133">
        <f>SUM(B639:H639)</f>
        <v>159085.54482758621</v>
      </c>
      <c r="J639" s="629">
        <f t="shared" si="339"/>
        <v>22726.506403940886</v>
      </c>
      <c r="K639"/>
      <c r="L639"/>
      <c r="M639"/>
      <c r="N639"/>
      <c r="O639"/>
      <c r="P639"/>
      <c r="Q639"/>
      <c r="R639"/>
      <c r="S639"/>
      <c r="T639"/>
      <c r="U639"/>
      <c r="V639"/>
      <c r="W639"/>
      <c r="X639"/>
      <c r="Y639"/>
      <c r="Z639"/>
      <c r="AA639"/>
      <c r="AB639"/>
      <c r="AC639"/>
      <c r="AD639"/>
      <c r="AE639"/>
      <c r="AF639"/>
      <c r="AY639" s="465"/>
    </row>
    <row r="640" spans="1:51" x14ac:dyDescent="0.25">
      <c r="A640" s="622" t="s">
        <v>27</v>
      </c>
      <c r="B640" s="255">
        <f t="shared" ref="B640:H640" si="341">B643*B633</f>
        <v>165512.3806896552</v>
      </c>
      <c r="C640" s="133">
        <f t="shared" si="341"/>
        <v>495398.8344827586</v>
      </c>
      <c r="D640" s="133">
        <f t="shared" si="341"/>
        <v>517289.64965517243</v>
      </c>
      <c r="E640" s="133">
        <f t="shared" si="341"/>
        <v>241408.27241379311</v>
      </c>
      <c r="F640" s="133">
        <f t="shared" si="341"/>
        <v>1065720.1282758622</v>
      </c>
      <c r="G640" s="133">
        <f t="shared" si="341"/>
        <v>827014.01379310363</v>
      </c>
      <c r="H640" s="133">
        <f t="shared" si="341"/>
        <v>671775.1772413794</v>
      </c>
      <c r="I640" s="133">
        <f>SUM(B640:H640)</f>
        <v>3984118.4565517241</v>
      </c>
      <c r="J640" s="629">
        <f t="shared" si="339"/>
        <v>569159.77950738918</v>
      </c>
      <c r="K640"/>
      <c r="L640"/>
      <c r="M640"/>
      <c r="N640"/>
      <c r="O640"/>
      <c r="P640"/>
      <c r="Q640"/>
      <c r="R640"/>
      <c r="S640"/>
      <c r="T640"/>
      <c r="U640"/>
      <c r="V640"/>
      <c r="W640"/>
      <c r="X640"/>
      <c r="Y640"/>
      <c r="Z640"/>
      <c r="AA640"/>
      <c r="AB640"/>
      <c r="AC640"/>
      <c r="AD640"/>
      <c r="AE640"/>
      <c r="AF640"/>
      <c r="AY640" s="465"/>
    </row>
    <row r="641" spans="1:51" x14ac:dyDescent="0.25">
      <c r="A641" s="622" t="s">
        <v>28</v>
      </c>
      <c r="B641" s="255">
        <f t="shared" ref="B641:H641" si="342">B643*B634</f>
        <v>87111.779310344835</v>
      </c>
      <c r="C641" s="133">
        <f t="shared" si="342"/>
        <v>84925.514482758619</v>
      </c>
      <c r="D641" s="133">
        <f t="shared" si="342"/>
        <v>27225.771034482761</v>
      </c>
      <c r="E641" s="133">
        <f t="shared" si="342"/>
        <v>160938.84827586208</v>
      </c>
      <c r="F641" s="133">
        <f t="shared" si="342"/>
        <v>94034.128965517244</v>
      </c>
      <c r="G641" s="133">
        <f t="shared" si="342"/>
        <v>248104.20413793105</v>
      </c>
      <c r="H641" s="133">
        <f t="shared" si="342"/>
        <v>197580.93448275863</v>
      </c>
      <c r="I641" s="133">
        <f>SUM(B641:H641)</f>
        <v>899921.18068965524</v>
      </c>
      <c r="J641" s="629">
        <f t="shared" si="339"/>
        <v>128560.16866995076</v>
      </c>
      <c r="K641"/>
      <c r="L641"/>
      <c r="M641"/>
      <c r="N641"/>
      <c r="O641"/>
      <c r="P641"/>
      <c r="Q641"/>
      <c r="R641"/>
      <c r="S641"/>
      <c r="T641"/>
      <c r="U641"/>
      <c r="V641"/>
      <c r="W641"/>
      <c r="X641"/>
      <c r="Y641"/>
      <c r="Z641"/>
      <c r="AA641"/>
      <c r="AB641"/>
      <c r="AC641"/>
      <c r="AD641"/>
      <c r="AE641"/>
      <c r="AF641"/>
      <c r="AY641" s="465"/>
    </row>
    <row r="642" spans="1:51" x14ac:dyDescent="0.25">
      <c r="A642" s="622" t="s">
        <v>29</v>
      </c>
      <c r="B642" s="255">
        <f t="shared" ref="B642:H642" si="343">B643*B635</f>
        <v>0</v>
      </c>
      <c r="C642" s="727">
        <f t="shared" si="343"/>
        <v>0</v>
      </c>
      <c r="D642" s="727">
        <f t="shared" si="343"/>
        <v>0</v>
      </c>
      <c r="E642" s="727">
        <f t="shared" si="343"/>
        <v>0</v>
      </c>
      <c r="F642" s="727">
        <f t="shared" si="343"/>
        <v>0</v>
      </c>
      <c r="G642" s="727">
        <f t="shared" si="343"/>
        <v>0</v>
      </c>
      <c r="H642" s="727">
        <f t="shared" si="343"/>
        <v>0</v>
      </c>
      <c r="I642" s="133">
        <f>SUM(B642:H642)</f>
        <v>0</v>
      </c>
      <c r="J642" s="629">
        <f t="shared" si="339"/>
        <v>0</v>
      </c>
      <c r="K642"/>
      <c r="L642"/>
      <c r="M642"/>
      <c r="N642"/>
      <c r="O642"/>
      <c r="P642"/>
      <c r="Q642"/>
      <c r="R642"/>
      <c r="S642"/>
      <c r="T642"/>
      <c r="U642"/>
      <c r="V642"/>
      <c r="W642"/>
      <c r="X642"/>
      <c r="Y642"/>
      <c r="Z642"/>
      <c r="AA642"/>
      <c r="AB642"/>
      <c r="AC642"/>
      <c r="AD642"/>
      <c r="AE642"/>
      <c r="AF642"/>
      <c r="AY642" s="465"/>
    </row>
    <row r="643" spans="1:51" x14ac:dyDescent="0.25">
      <c r="A643" s="630" t="s">
        <v>30</v>
      </c>
      <c r="B643" s="726">
        <f>(1049700/1.16)-B644</f>
        <v>871117.79310344835</v>
      </c>
      <c r="C643" s="729">
        <f>(1720300/1.16)-C644</f>
        <v>1415425.2413793104</v>
      </c>
      <c r="D643" s="729">
        <f>(1640700/1.16)-D644</f>
        <v>1361288.551724138</v>
      </c>
      <c r="E643" s="729">
        <f>(1976100/1.16)-E644</f>
        <v>1609388.4827586208</v>
      </c>
      <c r="F643" s="729">
        <f>(3795600/1.16)-F644</f>
        <v>3134470.9655172415</v>
      </c>
      <c r="G643" s="729">
        <f>(5015100/1.16)-G644</f>
        <v>4135070.0689655179</v>
      </c>
      <c r="H643" s="729">
        <f>(4844300/1.16)-H644</f>
        <v>3951618.6896551726</v>
      </c>
      <c r="I643" s="137">
        <f>SUM(I638:I642)</f>
        <v>16478379.793103449</v>
      </c>
      <c r="J643" s="631">
        <f t="shared" si="339"/>
        <v>2354054.2561576357</v>
      </c>
      <c r="K643"/>
      <c r="L643"/>
      <c r="M643"/>
      <c r="N643"/>
      <c r="O643"/>
      <c r="P643"/>
      <c r="Q643"/>
      <c r="R643"/>
      <c r="S643"/>
      <c r="T643"/>
      <c r="U643"/>
      <c r="V643"/>
      <c r="W643"/>
      <c r="X643"/>
      <c r="Y643"/>
      <c r="Z643"/>
      <c r="AA643"/>
      <c r="AB643"/>
      <c r="AC643"/>
      <c r="AD643"/>
      <c r="AE643"/>
      <c r="AF643"/>
      <c r="AY643" s="465"/>
    </row>
    <row r="644" spans="1:51" x14ac:dyDescent="0.25">
      <c r="A644" s="622" t="s">
        <v>31</v>
      </c>
      <c r="B644" s="263">
        <f t="shared" ref="B644:H644" si="344">2414*B625</f>
        <v>33796</v>
      </c>
      <c r="C644" s="728">
        <f t="shared" si="344"/>
        <v>67592</v>
      </c>
      <c r="D644" s="728">
        <f t="shared" si="344"/>
        <v>53108</v>
      </c>
      <c r="E644" s="728">
        <f t="shared" si="344"/>
        <v>94146</v>
      </c>
      <c r="F644" s="728">
        <f t="shared" si="344"/>
        <v>137598</v>
      </c>
      <c r="G644" s="728">
        <f t="shared" si="344"/>
        <v>188292</v>
      </c>
      <c r="H644" s="728">
        <f t="shared" si="344"/>
        <v>224502</v>
      </c>
      <c r="I644" s="139">
        <f>I625*2414</f>
        <v>799034</v>
      </c>
      <c r="J644" s="632">
        <f>2155*J625</f>
        <v>101900.71428571429</v>
      </c>
      <c r="K644"/>
      <c r="L644"/>
      <c r="M644"/>
      <c r="N644"/>
      <c r="O644"/>
      <c r="P644"/>
      <c r="Q644"/>
      <c r="R644"/>
      <c r="S644"/>
      <c r="T644"/>
      <c r="U644"/>
      <c r="V644"/>
      <c r="W644"/>
      <c r="X644"/>
      <c r="Y644"/>
      <c r="Z644"/>
      <c r="AA644"/>
      <c r="AB644"/>
      <c r="AC644"/>
      <c r="AD644"/>
      <c r="AE644"/>
      <c r="AF644"/>
      <c r="AY644" s="465"/>
    </row>
    <row r="645" spans="1:51" x14ac:dyDescent="0.25">
      <c r="A645" s="633" t="s">
        <v>32</v>
      </c>
      <c r="B645" s="411">
        <f t="shared" ref="B645:J645" si="345">B643+B644</f>
        <v>904913.79310344835</v>
      </c>
      <c r="C645" s="40">
        <f t="shared" si="345"/>
        <v>1483017.2413793104</v>
      </c>
      <c r="D645" s="40">
        <f t="shared" si="345"/>
        <v>1414396.551724138</v>
      </c>
      <c r="E645" s="40">
        <f t="shared" si="345"/>
        <v>1703534.4827586208</v>
      </c>
      <c r="F645" s="40">
        <f t="shared" si="345"/>
        <v>3272068.9655172415</v>
      </c>
      <c r="G645" s="40">
        <f t="shared" si="345"/>
        <v>4323362.0689655179</v>
      </c>
      <c r="H645" s="40">
        <f t="shared" si="345"/>
        <v>4176120.6896551726</v>
      </c>
      <c r="I645" s="40">
        <f t="shared" si="345"/>
        <v>17277413.793103449</v>
      </c>
      <c r="J645" s="634">
        <f t="shared" si="345"/>
        <v>2455954.9704433498</v>
      </c>
      <c r="K645"/>
      <c r="L645"/>
      <c r="M645"/>
      <c r="N645"/>
      <c r="O645"/>
      <c r="P645"/>
      <c r="Q645"/>
      <c r="R645"/>
      <c r="S645"/>
      <c r="T645"/>
      <c r="U645"/>
      <c r="V645"/>
      <c r="W645"/>
      <c r="X645"/>
      <c r="Y645"/>
      <c r="Z645"/>
      <c r="AA645"/>
      <c r="AB645"/>
      <c r="AC645"/>
      <c r="AD645"/>
      <c r="AE645"/>
      <c r="AF645"/>
      <c r="AY645" s="465"/>
    </row>
    <row r="646" spans="1:51" x14ac:dyDescent="0.25">
      <c r="A646" s="622" t="s">
        <v>33</v>
      </c>
      <c r="B646" s="413">
        <f t="shared" ref="B646:J646" si="346">B645*16%</f>
        <v>144786.20689655174</v>
      </c>
      <c r="C646" s="42">
        <f t="shared" si="346"/>
        <v>237282.75862068965</v>
      </c>
      <c r="D646" s="42">
        <f t="shared" si="346"/>
        <v>226303.44827586209</v>
      </c>
      <c r="E646" s="42">
        <f t="shared" si="346"/>
        <v>272565.5172413793</v>
      </c>
      <c r="F646" s="42">
        <f t="shared" si="346"/>
        <v>523531.03448275867</v>
      </c>
      <c r="G646" s="42">
        <f t="shared" si="346"/>
        <v>691737.9310344829</v>
      </c>
      <c r="H646" s="42">
        <f t="shared" si="346"/>
        <v>668179.31034482759</v>
      </c>
      <c r="I646" s="42">
        <f t="shared" si="346"/>
        <v>2764386.2068965519</v>
      </c>
      <c r="J646" s="635">
        <f t="shared" si="346"/>
        <v>392952.79527093598</v>
      </c>
      <c r="K646"/>
      <c r="L646"/>
      <c r="M646"/>
      <c r="N646"/>
      <c r="O646"/>
      <c r="P646"/>
      <c r="Q646"/>
      <c r="R646"/>
      <c r="S646"/>
      <c r="T646"/>
      <c r="U646"/>
      <c r="V646"/>
      <c r="W646"/>
      <c r="X646"/>
      <c r="Y646"/>
      <c r="Z646"/>
      <c r="AA646"/>
      <c r="AB646"/>
      <c r="AC646"/>
      <c r="AD646"/>
      <c r="AE646"/>
      <c r="AF646"/>
      <c r="AY646" s="465"/>
    </row>
    <row r="647" spans="1:51" ht="15.75" thickBot="1" x14ac:dyDescent="0.3">
      <c r="A647" s="636" t="s">
        <v>34</v>
      </c>
      <c r="B647" s="637">
        <f t="shared" ref="B647:I647" si="347">B645+B646</f>
        <v>1049700</v>
      </c>
      <c r="C647" s="638">
        <f t="shared" si="347"/>
        <v>1720300</v>
      </c>
      <c r="D647" s="638">
        <f t="shared" si="347"/>
        <v>1640700</v>
      </c>
      <c r="E647" s="638">
        <f t="shared" si="347"/>
        <v>1976100</v>
      </c>
      <c r="F647" s="638">
        <f t="shared" si="347"/>
        <v>3795600</v>
      </c>
      <c r="G647" s="638">
        <f t="shared" si="347"/>
        <v>5015100.0000000009</v>
      </c>
      <c r="H647" s="638">
        <f t="shared" si="347"/>
        <v>4844300</v>
      </c>
      <c r="I647" s="638">
        <f t="shared" si="347"/>
        <v>20041800</v>
      </c>
      <c r="J647" s="639">
        <f>+$I647/7</f>
        <v>2863114.2857142859</v>
      </c>
      <c r="K647"/>
      <c r="L647"/>
      <c r="M647"/>
      <c r="N647"/>
      <c r="O647"/>
      <c r="P647"/>
      <c r="Q647"/>
      <c r="R647"/>
      <c r="S647"/>
      <c r="T647"/>
      <c r="U647"/>
      <c r="V647"/>
      <c r="W647"/>
      <c r="X647"/>
      <c r="Y647"/>
      <c r="Z647"/>
      <c r="AA647"/>
      <c r="AB647"/>
      <c r="AC647"/>
      <c r="AD647"/>
      <c r="AE647"/>
      <c r="AF647"/>
      <c r="AY647" s="465"/>
    </row>
    <row r="648" spans="1:51" ht="15.75" thickBot="1" x14ac:dyDescent="0.3">
      <c r="K648"/>
      <c r="L648"/>
      <c r="M648"/>
      <c r="N648"/>
      <c r="O648"/>
      <c r="P648"/>
      <c r="Q648"/>
      <c r="R648"/>
      <c r="S648"/>
      <c r="T648"/>
      <c r="U648"/>
      <c r="V648"/>
      <c r="W648"/>
      <c r="X648"/>
      <c r="Y648"/>
      <c r="Z648"/>
      <c r="AA648"/>
      <c r="AB648"/>
      <c r="AC648"/>
      <c r="AD648"/>
      <c r="AE648"/>
      <c r="AF648"/>
      <c r="AY648" s="465"/>
    </row>
    <row r="649" spans="1:51" ht="27" thickBot="1" x14ac:dyDescent="0.3">
      <c r="A649" s="85"/>
      <c r="B649" s="1002" t="s">
        <v>365</v>
      </c>
      <c r="C649" s="1002"/>
      <c r="D649" s="1002"/>
      <c r="E649" s="1002"/>
      <c r="F649" s="1002"/>
      <c r="G649" s="1002"/>
      <c r="H649" s="1002"/>
      <c r="I649" s="1002"/>
      <c r="J649" s="85"/>
      <c r="K649"/>
      <c r="L649"/>
      <c r="M649"/>
      <c r="N649"/>
      <c r="O649"/>
      <c r="P649"/>
      <c r="Q649"/>
      <c r="R649"/>
      <c r="S649"/>
      <c r="T649"/>
      <c r="U649"/>
      <c r="V649"/>
      <c r="W649"/>
      <c r="X649"/>
      <c r="Y649"/>
      <c r="Z649"/>
      <c r="AA649"/>
      <c r="AB649"/>
      <c r="AC649"/>
      <c r="AD649"/>
      <c r="AE649"/>
      <c r="AF649"/>
      <c r="AY649" s="465"/>
    </row>
    <row r="650" spans="1:51" ht="15.75" x14ac:dyDescent="0.25">
      <c r="A650" s="614" t="s">
        <v>2</v>
      </c>
      <c r="B650" s="706" t="s">
        <v>298</v>
      </c>
      <c r="C650" s="617" t="s">
        <v>299</v>
      </c>
      <c r="D650" s="617" t="s">
        <v>300</v>
      </c>
      <c r="E650" s="617" t="s">
        <v>301</v>
      </c>
      <c r="F650" s="617" t="s">
        <v>65</v>
      </c>
      <c r="G650" s="617" t="s">
        <v>66</v>
      </c>
      <c r="H650" s="617" t="s">
        <v>67</v>
      </c>
      <c r="I650" s="618" t="s">
        <v>10</v>
      </c>
      <c r="J650" s="619" t="s">
        <v>77</v>
      </c>
      <c r="K650"/>
      <c r="L650"/>
      <c r="M650"/>
      <c r="N650"/>
      <c r="O650"/>
      <c r="P650"/>
      <c r="Q650"/>
      <c r="R650"/>
      <c r="S650"/>
      <c r="T650"/>
      <c r="U650"/>
      <c r="V650"/>
      <c r="W650"/>
      <c r="X650"/>
      <c r="Y650"/>
      <c r="Z650"/>
      <c r="AA650"/>
      <c r="AB650"/>
      <c r="AC650"/>
      <c r="AD650"/>
      <c r="AE650"/>
      <c r="AF650"/>
      <c r="AY650" s="465"/>
    </row>
    <row r="651" spans="1:51" x14ac:dyDescent="0.25">
      <c r="A651" s="620" t="s">
        <v>11</v>
      </c>
      <c r="B651" s="433">
        <f>21+14+5</f>
        <v>40</v>
      </c>
      <c r="C651" s="673">
        <f>34+19+6</f>
        <v>59</v>
      </c>
      <c r="D651" s="739">
        <f>32+16+4</f>
        <v>52</v>
      </c>
      <c r="E651" s="673">
        <f>36+17+3</f>
        <v>56</v>
      </c>
      <c r="F651" s="673">
        <f>67+42+22</f>
        <v>131</v>
      </c>
      <c r="G651" s="673">
        <f>69+56+18</f>
        <v>143</v>
      </c>
      <c r="H651" s="673">
        <f>85+45+17</f>
        <v>147</v>
      </c>
      <c r="I651" s="673">
        <f t="shared" ref="I651:I656" si="348">SUM(B651:H651)</f>
        <v>628</v>
      </c>
      <c r="J651" s="621">
        <f t="shared" ref="J651:J657" si="349">+$I651/7</f>
        <v>89.714285714285708</v>
      </c>
      <c r="K651"/>
      <c r="L651"/>
      <c r="M651"/>
      <c r="N651"/>
      <c r="O651"/>
      <c r="P651"/>
      <c r="Q651"/>
      <c r="R651"/>
      <c r="S651"/>
      <c r="T651"/>
      <c r="U651"/>
      <c r="V651"/>
      <c r="W651"/>
      <c r="X651"/>
      <c r="Y651"/>
      <c r="Z651"/>
      <c r="AA651"/>
      <c r="AB651"/>
      <c r="AC651"/>
      <c r="AD651"/>
      <c r="AE651"/>
      <c r="AF651"/>
      <c r="AY651" s="465"/>
    </row>
    <row r="652" spans="1:51" x14ac:dyDescent="0.25">
      <c r="A652" s="622" t="s">
        <v>12</v>
      </c>
      <c r="B652" s="233">
        <v>18</v>
      </c>
      <c r="C652" s="671">
        <v>27</v>
      </c>
      <c r="D652" s="671">
        <v>26</v>
      </c>
      <c r="E652" s="671">
        <v>21</v>
      </c>
      <c r="F652" s="671">
        <v>63</v>
      </c>
      <c r="G652" s="675">
        <v>75</v>
      </c>
      <c r="H652" s="671">
        <v>84</v>
      </c>
      <c r="I652" s="671">
        <f t="shared" si="348"/>
        <v>314</v>
      </c>
      <c r="J652" s="623">
        <f t="shared" si="349"/>
        <v>44.857142857142854</v>
      </c>
      <c r="K652"/>
      <c r="L652"/>
      <c r="M652"/>
      <c r="N652"/>
      <c r="O652"/>
      <c r="P652"/>
      <c r="Q652"/>
      <c r="R652"/>
      <c r="S652"/>
      <c r="T652"/>
      <c r="U652"/>
      <c r="V652"/>
      <c r="W652"/>
      <c r="X652"/>
      <c r="Y652"/>
      <c r="Z652"/>
      <c r="AA652"/>
      <c r="AB652"/>
      <c r="AC652"/>
      <c r="AD652"/>
      <c r="AE652"/>
      <c r="AF652"/>
      <c r="AY652" s="465"/>
    </row>
    <row r="653" spans="1:51" x14ac:dyDescent="0.25">
      <c r="A653" s="622" t="s">
        <v>13</v>
      </c>
      <c r="B653" s="233">
        <v>0</v>
      </c>
      <c r="C653" s="13">
        <v>0</v>
      </c>
      <c r="D653" s="13">
        <v>1</v>
      </c>
      <c r="E653" s="13">
        <v>0</v>
      </c>
      <c r="F653" s="13">
        <v>0</v>
      </c>
      <c r="G653" s="13">
        <v>2</v>
      </c>
      <c r="H653" s="13">
        <v>1</v>
      </c>
      <c r="I653" s="13">
        <f t="shared" si="348"/>
        <v>4</v>
      </c>
      <c r="J653" s="623">
        <f t="shared" si="349"/>
        <v>0.5714285714285714</v>
      </c>
      <c r="K653"/>
      <c r="L653"/>
      <c r="M653"/>
      <c r="N653"/>
      <c r="O653"/>
      <c r="P653"/>
      <c r="Q653"/>
      <c r="R653"/>
      <c r="S653"/>
      <c r="T653"/>
      <c r="U653"/>
      <c r="V653"/>
      <c r="W653"/>
      <c r="X653"/>
      <c r="Y653"/>
      <c r="Z653"/>
      <c r="AA653"/>
      <c r="AB653"/>
      <c r="AC653"/>
      <c r="AD653"/>
      <c r="AE653"/>
      <c r="AF653"/>
      <c r="AY653" s="465"/>
    </row>
    <row r="654" spans="1:51" x14ac:dyDescent="0.25">
      <c r="A654" s="622" t="s">
        <v>14</v>
      </c>
      <c r="B654" s="233">
        <v>15</v>
      </c>
      <c r="C654" s="13">
        <v>17</v>
      </c>
      <c r="D654" s="13">
        <v>17</v>
      </c>
      <c r="E654" s="13">
        <v>23</v>
      </c>
      <c r="F654" s="13">
        <v>27</v>
      </c>
      <c r="G654" s="13">
        <v>33</v>
      </c>
      <c r="H654" s="13">
        <v>24</v>
      </c>
      <c r="I654" s="13">
        <f t="shared" si="348"/>
        <v>156</v>
      </c>
      <c r="J654" s="623">
        <f t="shared" si="349"/>
        <v>22.285714285714285</v>
      </c>
      <c r="K654"/>
      <c r="L654"/>
      <c r="M654"/>
      <c r="N654"/>
      <c r="O654"/>
      <c r="P654"/>
      <c r="Q654"/>
      <c r="R654"/>
      <c r="S654"/>
      <c r="T654"/>
      <c r="U654"/>
      <c r="V654"/>
      <c r="W654"/>
      <c r="X654"/>
      <c r="Y654"/>
      <c r="Z654"/>
      <c r="AA654"/>
      <c r="AB654"/>
      <c r="AC654"/>
      <c r="AD654"/>
      <c r="AE654"/>
      <c r="AF654"/>
      <c r="AY654" s="465"/>
    </row>
    <row r="655" spans="1:51" x14ac:dyDescent="0.25">
      <c r="A655" s="622" t="s">
        <v>15</v>
      </c>
      <c r="B655" s="233">
        <v>2</v>
      </c>
      <c r="C655" s="13">
        <v>3</v>
      </c>
      <c r="D655" s="13">
        <v>1</v>
      </c>
      <c r="E655" s="13">
        <v>1</v>
      </c>
      <c r="F655" s="13">
        <v>1</v>
      </c>
      <c r="G655" s="13">
        <v>5</v>
      </c>
      <c r="H655" s="13">
        <v>8</v>
      </c>
      <c r="I655" s="13">
        <f t="shared" si="348"/>
        <v>21</v>
      </c>
      <c r="J655" s="623">
        <f t="shared" si="349"/>
        <v>3</v>
      </c>
      <c r="K655"/>
      <c r="L655"/>
      <c r="M655"/>
      <c r="N655"/>
      <c r="O655"/>
      <c r="P655"/>
      <c r="Q655"/>
      <c r="R655"/>
      <c r="S655"/>
      <c r="T655"/>
      <c r="U655"/>
      <c r="V655"/>
      <c r="W655"/>
      <c r="X655"/>
      <c r="Y655"/>
      <c r="Z655"/>
      <c r="AA655"/>
      <c r="AB655"/>
      <c r="AC655"/>
      <c r="AD655"/>
      <c r="AE655"/>
      <c r="AF655"/>
      <c r="AY655" s="465"/>
    </row>
    <row r="656" spans="1:51" x14ac:dyDescent="0.25">
      <c r="A656" s="622" t="s">
        <v>16</v>
      </c>
      <c r="B656" s="233">
        <v>0</v>
      </c>
      <c r="C656" s="13">
        <v>0</v>
      </c>
      <c r="D656" s="13">
        <v>0</v>
      </c>
      <c r="E656" s="13">
        <v>0</v>
      </c>
      <c r="F656" s="13">
        <v>0</v>
      </c>
      <c r="G656" s="13">
        <v>0</v>
      </c>
      <c r="H656" s="13">
        <v>0</v>
      </c>
      <c r="I656" s="13">
        <f t="shared" si="348"/>
        <v>0</v>
      </c>
      <c r="J656" s="623">
        <f t="shared" si="349"/>
        <v>0</v>
      </c>
      <c r="K656"/>
      <c r="L656"/>
      <c r="M656"/>
      <c r="N656"/>
      <c r="O656"/>
      <c r="P656"/>
      <c r="Q656"/>
      <c r="R656"/>
      <c r="S656"/>
      <c r="T656"/>
      <c r="U656"/>
      <c r="V656"/>
      <c r="W656"/>
      <c r="X656"/>
      <c r="Y656"/>
      <c r="Z656"/>
      <c r="AA656"/>
      <c r="AB656"/>
      <c r="AC656"/>
      <c r="AD656"/>
      <c r="AE656"/>
      <c r="AF656"/>
      <c r="AY656" s="465"/>
    </row>
    <row r="657" spans="1:51" x14ac:dyDescent="0.25">
      <c r="A657" s="624" t="s">
        <v>17</v>
      </c>
      <c r="B657" s="102">
        <f t="shared" ref="B657:H657" si="350">SUM(B652:B656)</f>
        <v>35</v>
      </c>
      <c r="C657" s="79">
        <f t="shared" si="350"/>
        <v>47</v>
      </c>
      <c r="D657" s="79">
        <f t="shared" si="350"/>
        <v>45</v>
      </c>
      <c r="E657" s="79">
        <f t="shared" si="350"/>
        <v>45</v>
      </c>
      <c r="F657" s="79">
        <f t="shared" si="350"/>
        <v>91</v>
      </c>
      <c r="G657" s="79">
        <f t="shared" si="350"/>
        <v>115</v>
      </c>
      <c r="H657" s="79">
        <f t="shared" si="350"/>
        <v>117</v>
      </c>
      <c r="I657" s="79">
        <f>SUM(I652:I656)</f>
        <v>495</v>
      </c>
      <c r="J657" s="625">
        <f t="shared" si="349"/>
        <v>70.714285714285708</v>
      </c>
      <c r="K657"/>
      <c r="L657"/>
      <c r="M657"/>
      <c r="N657"/>
      <c r="O657"/>
      <c r="P657"/>
      <c r="Q657"/>
      <c r="R657"/>
      <c r="S657"/>
      <c r="T657"/>
      <c r="U657"/>
      <c r="V657"/>
      <c r="W657"/>
      <c r="X657"/>
      <c r="Y657"/>
      <c r="Z657"/>
      <c r="AA657"/>
      <c r="AB657"/>
      <c r="AC657"/>
      <c r="AD657"/>
      <c r="AE657"/>
      <c r="AF657"/>
      <c r="AY657" s="465"/>
    </row>
    <row r="658" spans="1:51" x14ac:dyDescent="0.25">
      <c r="A658" s="622" t="s">
        <v>18</v>
      </c>
      <c r="B658" s="406">
        <v>0.56000000000000005</v>
      </c>
      <c r="C658" s="19">
        <v>0.68</v>
      </c>
      <c r="D658" s="19">
        <v>0.65</v>
      </c>
      <c r="E658" s="19">
        <v>0.59</v>
      </c>
      <c r="F658" s="19">
        <v>0.77</v>
      </c>
      <c r="G658" s="19">
        <v>0.74</v>
      </c>
      <c r="H658" s="19">
        <v>0.76</v>
      </c>
      <c r="I658" s="19">
        <f>I665/I670</f>
        <v>0.71219445105792967</v>
      </c>
      <c r="J658" s="626">
        <f>J665/J670</f>
        <v>0.71219445105792967</v>
      </c>
      <c r="K658"/>
      <c r="L658"/>
      <c r="M658"/>
      <c r="N658"/>
      <c r="O658"/>
      <c r="P658"/>
      <c r="Q658"/>
      <c r="R658"/>
      <c r="S658"/>
      <c r="T658"/>
      <c r="U658"/>
      <c r="V658"/>
      <c r="W658"/>
      <c r="X658"/>
      <c r="Y658"/>
      <c r="Z658"/>
      <c r="AA658"/>
      <c r="AB658"/>
      <c r="AC658"/>
      <c r="AD658"/>
      <c r="AE658"/>
      <c r="AF658"/>
      <c r="AY658" s="465"/>
    </row>
    <row r="659" spans="1:51" x14ac:dyDescent="0.25">
      <c r="A659" s="622" t="s">
        <v>19</v>
      </c>
      <c r="B659" s="406">
        <v>0</v>
      </c>
      <c r="C659" s="19">
        <v>0</v>
      </c>
      <c r="D659" s="19">
        <v>0.03</v>
      </c>
      <c r="E659" s="19">
        <v>0</v>
      </c>
      <c r="F659" s="19">
        <v>0</v>
      </c>
      <c r="G659" s="19">
        <v>0.01</v>
      </c>
      <c r="H659" s="19">
        <v>0.01</v>
      </c>
      <c r="I659" s="19">
        <f>I666/I670</f>
        <v>7.1334519942385455E-3</v>
      </c>
      <c r="J659" s="626">
        <f>J666/J670</f>
        <v>7.1334519942385446E-3</v>
      </c>
      <c r="K659"/>
      <c r="L659"/>
      <c r="M659"/>
      <c r="N659"/>
      <c r="O659"/>
      <c r="P659"/>
      <c r="Q659"/>
      <c r="R659"/>
      <c r="S659"/>
      <c r="T659"/>
      <c r="U659"/>
      <c r="V659"/>
      <c r="W659"/>
      <c r="X659"/>
      <c r="Y659"/>
      <c r="Z659"/>
      <c r="AA659"/>
      <c r="AB659"/>
      <c r="AC659"/>
      <c r="AD659"/>
      <c r="AE659"/>
      <c r="AF659"/>
      <c r="AY659" s="465"/>
    </row>
    <row r="660" spans="1:51" x14ac:dyDescent="0.25">
      <c r="A660" s="622" t="s">
        <v>20</v>
      </c>
      <c r="B660" s="406">
        <v>0.32</v>
      </c>
      <c r="C660" s="19">
        <v>0.27</v>
      </c>
      <c r="D660" s="19">
        <v>0.31</v>
      </c>
      <c r="E660" s="19">
        <v>0.39</v>
      </c>
      <c r="F660" s="19">
        <v>0.22</v>
      </c>
      <c r="G660" s="19">
        <v>0.22</v>
      </c>
      <c r="H660" s="19">
        <v>0.18</v>
      </c>
      <c r="I660" s="19">
        <f>I667/I670</f>
        <v>0.24546682942968548</v>
      </c>
      <c r="J660" s="626">
        <f>J667/J670</f>
        <v>0.24546682942968545</v>
      </c>
      <c r="K660"/>
      <c r="L660"/>
      <c r="M660"/>
      <c r="N660"/>
      <c r="O660"/>
      <c r="P660"/>
      <c r="Q660"/>
      <c r="R660"/>
      <c r="S660"/>
      <c r="T660"/>
      <c r="U660"/>
      <c r="V660"/>
      <c r="W660"/>
      <c r="X660"/>
      <c r="Y660"/>
      <c r="Z660"/>
      <c r="AA660"/>
      <c r="AB660"/>
      <c r="AC660"/>
      <c r="AD660"/>
      <c r="AE660"/>
      <c r="AF660"/>
      <c r="AY660" s="465"/>
    </row>
    <row r="661" spans="1:51" x14ac:dyDescent="0.25">
      <c r="A661" s="622" t="s">
        <v>21</v>
      </c>
      <c r="B661" s="406">
        <v>0.12</v>
      </c>
      <c r="C661" s="19">
        <v>0.05</v>
      </c>
      <c r="D661" s="19">
        <v>0.01</v>
      </c>
      <c r="E661" s="19">
        <v>0.02</v>
      </c>
      <c r="F661" s="19">
        <v>0.01</v>
      </c>
      <c r="G661" s="19">
        <v>0.03</v>
      </c>
      <c r="H661" s="19">
        <v>0.05</v>
      </c>
      <c r="I661" s="19">
        <f>I668/I670</f>
        <v>3.5205267518146122E-2</v>
      </c>
      <c r="J661" s="626">
        <f>J668/J670</f>
        <v>3.5205267518146122E-2</v>
      </c>
      <c r="K661"/>
      <c r="L661"/>
      <c r="M661"/>
      <c r="N661"/>
      <c r="O661"/>
      <c r="P661"/>
      <c r="Q661"/>
      <c r="R661"/>
      <c r="S661"/>
      <c r="T661"/>
      <c r="U661"/>
      <c r="V661"/>
      <c r="W661"/>
      <c r="X661"/>
      <c r="Y661"/>
      <c r="Z661"/>
      <c r="AA661"/>
      <c r="AB661"/>
      <c r="AC661"/>
      <c r="AD661"/>
      <c r="AE661"/>
      <c r="AF661"/>
      <c r="AY661" s="465"/>
    </row>
    <row r="662" spans="1:51" x14ac:dyDescent="0.25">
      <c r="A662" s="622" t="s">
        <v>22</v>
      </c>
      <c r="B662" s="406">
        <v>0</v>
      </c>
      <c r="C662" s="19">
        <v>0</v>
      </c>
      <c r="D662" s="19">
        <v>0</v>
      </c>
      <c r="E662" s="19">
        <v>0</v>
      </c>
      <c r="F662" s="19">
        <v>0</v>
      </c>
      <c r="G662" s="19">
        <v>0</v>
      </c>
      <c r="H662" s="19">
        <v>0</v>
      </c>
      <c r="I662" s="19">
        <f>I669/I670</f>
        <v>0</v>
      </c>
      <c r="J662" s="626">
        <f>J669/J670</f>
        <v>0</v>
      </c>
      <c r="K662"/>
      <c r="L662"/>
      <c r="M662"/>
      <c r="N662"/>
      <c r="O662"/>
      <c r="P662"/>
      <c r="Q662"/>
      <c r="R662"/>
      <c r="S662"/>
      <c r="T662"/>
      <c r="U662"/>
      <c r="V662"/>
      <c r="W662"/>
      <c r="X662"/>
      <c r="Y662"/>
      <c r="Z662"/>
      <c r="AA662"/>
      <c r="AB662"/>
      <c r="AC662"/>
      <c r="AD662"/>
      <c r="AE662"/>
      <c r="AF662"/>
      <c r="AY662" s="465"/>
    </row>
    <row r="663" spans="1:51" x14ac:dyDescent="0.25">
      <c r="A663" s="627" t="s">
        <v>23</v>
      </c>
      <c r="B663" s="409">
        <f t="shared" ref="B663:J663" si="351">B674/B657</f>
        <v>32045.714285714286</v>
      </c>
      <c r="C663" s="131">
        <f t="shared" si="351"/>
        <v>34048.936170212772</v>
      </c>
      <c r="D663" s="131">
        <f t="shared" si="351"/>
        <v>33735.555555555562</v>
      </c>
      <c r="E663" s="131">
        <f t="shared" si="351"/>
        <v>37153.333333333336</v>
      </c>
      <c r="F663" s="131">
        <f t="shared" si="351"/>
        <v>40953.846153846156</v>
      </c>
      <c r="G663" s="131">
        <f t="shared" si="351"/>
        <v>35760.869565217392</v>
      </c>
      <c r="H663" s="131">
        <f t="shared" si="351"/>
        <v>35152.991452991453</v>
      </c>
      <c r="I663" s="131">
        <f t="shared" si="351"/>
        <v>36089.090909090919</v>
      </c>
      <c r="J663" s="628">
        <f t="shared" si="351"/>
        <v>36089.090909090919</v>
      </c>
      <c r="K663"/>
      <c r="L663"/>
      <c r="M663"/>
      <c r="N663"/>
      <c r="O663"/>
      <c r="P663"/>
      <c r="Q663"/>
      <c r="R663"/>
      <c r="S663"/>
      <c r="T663"/>
      <c r="U663"/>
      <c r="V663"/>
      <c r="W663"/>
      <c r="X663"/>
      <c r="Y663"/>
      <c r="Z663"/>
      <c r="AA663"/>
      <c r="AB663"/>
      <c r="AC663"/>
      <c r="AD663"/>
      <c r="AE663"/>
      <c r="AF663"/>
      <c r="AY663" s="465"/>
    </row>
    <row r="664" spans="1:51" x14ac:dyDescent="0.25">
      <c r="A664" s="627" t="s">
        <v>24</v>
      </c>
      <c r="B664" s="409">
        <f t="shared" ref="B664:J664" si="352">B674/B651</f>
        <v>28040</v>
      </c>
      <c r="C664" s="131">
        <f t="shared" si="352"/>
        <v>27123.728813559326</v>
      </c>
      <c r="D664" s="131">
        <f t="shared" si="352"/>
        <v>29194.230769230773</v>
      </c>
      <c r="E664" s="131">
        <f t="shared" si="352"/>
        <v>29855.357142857141</v>
      </c>
      <c r="F664" s="131">
        <f t="shared" si="352"/>
        <v>28448.854961832061</v>
      </c>
      <c r="G664" s="131">
        <f t="shared" si="352"/>
        <v>28758.741258741258</v>
      </c>
      <c r="H664" s="131">
        <f t="shared" si="352"/>
        <v>27978.911564625851</v>
      </c>
      <c r="I664" s="131">
        <f t="shared" si="352"/>
        <v>28446.019108280259</v>
      </c>
      <c r="J664" s="628">
        <f t="shared" si="352"/>
        <v>28446.019108280263</v>
      </c>
      <c r="K664"/>
      <c r="L664"/>
      <c r="M664"/>
      <c r="N664"/>
      <c r="O664"/>
      <c r="P664"/>
      <c r="Q664"/>
      <c r="R664"/>
      <c r="S664"/>
      <c r="T664"/>
      <c r="U664"/>
      <c r="V664"/>
      <c r="W664"/>
      <c r="X664"/>
      <c r="Y664"/>
      <c r="Z664"/>
      <c r="AA664"/>
      <c r="AB664"/>
      <c r="AC664"/>
      <c r="AD664"/>
      <c r="AE664"/>
      <c r="AF664"/>
      <c r="AY664" s="465"/>
    </row>
    <row r="665" spans="1:51" x14ac:dyDescent="0.25">
      <c r="A665" s="622" t="s">
        <v>25</v>
      </c>
      <c r="B665" s="255">
        <f t="shared" ref="B665:H665" si="353">B670*B658</f>
        <v>517128.94896551734</v>
      </c>
      <c r="C665" s="133">
        <f t="shared" si="353"/>
        <v>893785.85655172425</v>
      </c>
      <c r="D665" s="133">
        <f t="shared" si="353"/>
        <v>809862.88275862078</v>
      </c>
      <c r="E665" s="133">
        <f t="shared" si="353"/>
        <v>820453.47103448282</v>
      </c>
      <c r="F665" s="133">
        <f t="shared" si="353"/>
        <v>2356720.9979310348</v>
      </c>
      <c r="G665" s="133">
        <f t="shared" si="353"/>
        <v>2489514.3793103448</v>
      </c>
      <c r="H665" s="133">
        <f t="shared" si="353"/>
        <v>2540548.8606896554</v>
      </c>
      <c r="I665" s="133">
        <f>SUM(B665:H665)</f>
        <v>10428015.39724138</v>
      </c>
      <c r="J665" s="629">
        <f t="shared" ref="J665:J670" si="354">+$I665/7</f>
        <v>1489716.4853201972</v>
      </c>
      <c r="K665"/>
      <c r="L665"/>
      <c r="M665"/>
      <c r="N665"/>
      <c r="O665"/>
      <c r="P665"/>
      <c r="Q665"/>
      <c r="R665"/>
      <c r="S665"/>
      <c r="T665"/>
      <c r="U665"/>
      <c r="V665"/>
      <c r="W665"/>
      <c r="X665"/>
      <c r="Y665"/>
      <c r="Z665"/>
      <c r="AA665"/>
      <c r="AB665"/>
      <c r="AC665"/>
      <c r="AD665"/>
      <c r="AE665"/>
      <c r="AF665"/>
      <c r="AY665" s="465"/>
    </row>
    <row r="666" spans="1:51" x14ac:dyDescent="0.25">
      <c r="A666" s="622" t="s">
        <v>26</v>
      </c>
      <c r="B666" s="255">
        <f t="shared" ref="B666:H666" si="355">B670*B659</f>
        <v>0</v>
      </c>
      <c r="C666" s="133">
        <f t="shared" si="355"/>
        <v>0</v>
      </c>
      <c r="D666" s="133">
        <f t="shared" si="355"/>
        <v>37378.286896551726</v>
      </c>
      <c r="E666" s="133">
        <f t="shared" si="355"/>
        <v>0</v>
      </c>
      <c r="F666" s="133">
        <f t="shared" si="355"/>
        <v>0</v>
      </c>
      <c r="G666" s="133">
        <f t="shared" si="355"/>
        <v>33642.086206896551</v>
      </c>
      <c r="H666" s="133">
        <f t="shared" si="355"/>
        <v>33428.274482758621</v>
      </c>
      <c r="I666" s="133">
        <f>SUM(B666:H666)</f>
        <v>104448.64758620691</v>
      </c>
      <c r="J666" s="629">
        <f t="shared" si="354"/>
        <v>14921.235369458129</v>
      </c>
      <c r="K666"/>
      <c r="L666"/>
      <c r="M666"/>
      <c r="N666"/>
      <c r="O666"/>
      <c r="P666"/>
      <c r="Q666"/>
      <c r="R666"/>
      <c r="S666"/>
      <c r="T666"/>
      <c r="U666"/>
      <c r="V666"/>
      <c r="W666"/>
      <c r="X666"/>
      <c r="Y666"/>
      <c r="Z666"/>
      <c r="AA666"/>
      <c r="AB666"/>
      <c r="AC666"/>
      <c r="AD666"/>
      <c r="AE666"/>
      <c r="AF666"/>
      <c r="AY666" s="465"/>
    </row>
    <row r="667" spans="1:51" x14ac:dyDescent="0.25">
      <c r="A667" s="622" t="s">
        <v>27</v>
      </c>
      <c r="B667" s="255">
        <f t="shared" ref="B667:H667" si="356">B670*B660</f>
        <v>295502.25655172416</v>
      </c>
      <c r="C667" s="133">
        <f t="shared" si="356"/>
        <v>354885.56068965525</v>
      </c>
      <c r="D667" s="133">
        <f t="shared" si="356"/>
        <v>386242.29793103453</v>
      </c>
      <c r="E667" s="133">
        <f t="shared" si="356"/>
        <v>542333.65034482768</v>
      </c>
      <c r="F667" s="133">
        <f t="shared" si="356"/>
        <v>673348.85655172414</v>
      </c>
      <c r="G667" s="133">
        <f t="shared" si="356"/>
        <v>740125.89655172417</v>
      </c>
      <c r="H667" s="133">
        <f t="shared" si="356"/>
        <v>601708.94068965514</v>
      </c>
      <c r="I667" s="133">
        <f>SUM(B667:H667)</f>
        <v>3594147.4593103449</v>
      </c>
      <c r="J667" s="629">
        <f t="shared" si="354"/>
        <v>513449.63704433496</v>
      </c>
      <c r="K667"/>
      <c r="L667"/>
      <c r="M667"/>
      <c r="N667"/>
      <c r="O667"/>
      <c r="P667"/>
      <c r="Q667"/>
      <c r="R667"/>
      <c r="S667"/>
      <c r="T667"/>
      <c r="U667"/>
      <c r="V667"/>
      <c r="W667"/>
      <c r="X667"/>
      <c r="Y667"/>
      <c r="Z667"/>
      <c r="AA667"/>
      <c r="AB667"/>
      <c r="AC667"/>
      <c r="AD667"/>
      <c r="AE667"/>
      <c r="AF667"/>
      <c r="AY667" s="465"/>
    </row>
    <row r="668" spans="1:51" x14ac:dyDescent="0.25">
      <c r="A668" s="622" t="s">
        <v>28</v>
      </c>
      <c r="B668" s="255">
        <f t="shared" ref="B668:H668" si="357">B670*B661</f>
        <v>110813.34620689655</v>
      </c>
      <c r="C668" s="133">
        <f t="shared" si="357"/>
        <v>65719.548275862078</v>
      </c>
      <c r="D668" s="133">
        <f t="shared" si="357"/>
        <v>12459.428965517243</v>
      </c>
      <c r="E668" s="133">
        <f t="shared" si="357"/>
        <v>27811.982068965521</v>
      </c>
      <c r="F668" s="133">
        <f t="shared" si="357"/>
        <v>30606.766206896551</v>
      </c>
      <c r="G668" s="133">
        <f t="shared" si="357"/>
        <v>100926.25862068965</v>
      </c>
      <c r="H668" s="133">
        <f t="shared" si="357"/>
        <v>167141.37241379311</v>
      </c>
      <c r="I668" s="133">
        <f>SUM(B668:H668)</f>
        <v>515478.70275862073</v>
      </c>
      <c r="J668" s="629">
        <f t="shared" si="354"/>
        <v>73639.814679802963</v>
      </c>
      <c r="K668"/>
      <c r="L668"/>
      <c r="M668"/>
      <c r="N668"/>
      <c r="O668"/>
      <c r="P668"/>
      <c r="Q668"/>
      <c r="R668"/>
      <c r="S668"/>
      <c r="T668"/>
      <c r="U668"/>
      <c r="V668"/>
      <c r="W668"/>
      <c r="X668"/>
      <c r="Y668"/>
      <c r="Z668"/>
      <c r="AA668"/>
      <c r="AB668"/>
      <c r="AC668"/>
      <c r="AD668"/>
      <c r="AE668"/>
      <c r="AF668"/>
      <c r="AY668" s="465"/>
    </row>
    <row r="669" spans="1:51" x14ac:dyDescent="0.25">
      <c r="A669" s="622" t="s">
        <v>29</v>
      </c>
      <c r="B669" s="255">
        <f t="shared" ref="B669:H669" si="358">B670*B662</f>
        <v>0</v>
      </c>
      <c r="C669" s="727">
        <f t="shared" si="358"/>
        <v>0</v>
      </c>
      <c r="D669" s="727">
        <f t="shared" si="358"/>
        <v>0</v>
      </c>
      <c r="E669" s="727">
        <f t="shared" si="358"/>
        <v>0</v>
      </c>
      <c r="F669" s="727">
        <f t="shared" si="358"/>
        <v>0</v>
      </c>
      <c r="G669" s="727">
        <f t="shared" si="358"/>
        <v>0</v>
      </c>
      <c r="H669" s="727">
        <f t="shared" si="358"/>
        <v>0</v>
      </c>
      <c r="I669" s="133">
        <f>SUM(B669:H669)</f>
        <v>0</v>
      </c>
      <c r="J669" s="629">
        <f t="shared" si="354"/>
        <v>0</v>
      </c>
      <c r="K669"/>
      <c r="L669"/>
      <c r="M669"/>
      <c r="N669"/>
      <c r="O669"/>
      <c r="P669"/>
      <c r="Q669"/>
      <c r="R669"/>
      <c r="S669"/>
      <c r="T669"/>
      <c r="U669"/>
      <c r="V669"/>
      <c r="W669"/>
      <c r="X669"/>
      <c r="Y669"/>
      <c r="Z669"/>
      <c r="AA669"/>
      <c r="AB669"/>
      <c r="AC669"/>
      <c r="AD669"/>
      <c r="AE669"/>
      <c r="AF669"/>
      <c r="AY669" s="465"/>
    </row>
    <row r="670" spans="1:51" x14ac:dyDescent="0.25">
      <c r="A670" s="630" t="s">
        <v>30</v>
      </c>
      <c r="B670" s="726">
        <f>(1121600/1.16)-B671</f>
        <v>923444.55172413797</v>
      </c>
      <c r="C670" s="729">
        <f>(1600300/1.16)-C671</f>
        <v>1314390.9655172415</v>
      </c>
      <c r="D670" s="729">
        <f>(1518100/1.16)-D671</f>
        <v>1245942.8965517243</v>
      </c>
      <c r="E670" s="729">
        <f>(1671900/1.16)-E671</f>
        <v>1390599.1034482759</v>
      </c>
      <c r="F670" s="729">
        <f>(3726800/1.16)-F671</f>
        <v>3060676.6206896552</v>
      </c>
      <c r="G670" s="729">
        <f>(4112500/1.16)-G671</f>
        <v>3364208.6206896552</v>
      </c>
      <c r="H670" s="729">
        <f>(4112900/1.16)-H671</f>
        <v>3342827.4482758623</v>
      </c>
      <c r="I670" s="137">
        <f>SUM(I665:I669)</f>
        <v>14642090.206896555</v>
      </c>
      <c r="J670" s="631">
        <f t="shared" si="354"/>
        <v>2091727.1724137936</v>
      </c>
      <c r="K670"/>
      <c r="L670"/>
      <c r="M670"/>
      <c r="N670"/>
      <c r="O670"/>
      <c r="P670"/>
      <c r="Q670"/>
      <c r="R670"/>
      <c r="S670"/>
      <c r="T670"/>
      <c r="U670"/>
      <c r="V670"/>
      <c r="W670"/>
      <c r="X670"/>
      <c r="Y670"/>
      <c r="Z670"/>
      <c r="AA670"/>
      <c r="AB670"/>
      <c r="AC670"/>
      <c r="AD670"/>
      <c r="AE670"/>
      <c r="AF670"/>
      <c r="AY670" s="465"/>
    </row>
    <row r="671" spans="1:51" x14ac:dyDescent="0.25">
      <c r="A671" s="622" t="s">
        <v>31</v>
      </c>
      <c r="B671" s="263">
        <f t="shared" ref="B671:H671" si="359">2414*B652</f>
        <v>43452</v>
      </c>
      <c r="C671" s="728">
        <f t="shared" si="359"/>
        <v>65178</v>
      </c>
      <c r="D671" s="728">
        <f t="shared" si="359"/>
        <v>62764</v>
      </c>
      <c r="E671" s="728">
        <f t="shared" si="359"/>
        <v>50694</v>
      </c>
      <c r="F671" s="728">
        <f t="shared" si="359"/>
        <v>152082</v>
      </c>
      <c r="G671" s="728">
        <f t="shared" si="359"/>
        <v>181050</v>
      </c>
      <c r="H671" s="728">
        <f t="shared" si="359"/>
        <v>202776</v>
      </c>
      <c r="I671" s="139">
        <f>I652*2414</f>
        <v>757996</v>
      </c>
      <c r="J671" s="632">
        <f>2155*J652</f>
        <v>96667.142857142855</v>
      </c>
      <c r="K671"/>
      <c r="L671"/>
      <c r="M671"/>
      <c r="N671"/>
      <c r="O671"/>
      <c r="P671"/>
      <c r="Q671"/>
      <c r="R671"/>
      <c r="S671"/>
      <c r="T671"/>
      <c r="U671"/>
      <c r="V671"/>
      <c r="W671"/>
      <c r="X671"/>
      <c r="Y671"/>
      <c r="Z671"/>
      <c r="AA671"/>
      <c r="AB671"/>
      <c r="AC671"/>
      <c r="AD671"/>
      <c r="AE671"/>
      <c r="AF671"/>
      <c r="AY671" s="465"/>
    </row>
    <row r="672" spans="1:51" x14ac:dyDescent="0.25">
      <c r="A672" s="633" t="s">
        <v>32</v>
      </c>
      <c r="B672" s="411">
        <f t="shared" ref="B672:J672" si="360">B670+B671</f>
        <v>966896.55172413797</v>
      </c>
      <c r="C672" s="40">
        <f t="shared" si="360"/>
        <v>1379568.9655172415</v>
      </c>
      <c r="D672" s="40">
        <f t="shared" si="360"/>
        <v>1308706.8965517243</v>
      </c>
      <c r="E672" s="40">
        <f t="shared" si="360"/>
        <v>1441293.1034482759</v>
      </c>
      <c r="F672" s="40">
        <f t="shared" si="360"/>
        <v>3212758.6206896552</v>
      </c>
      <c r="G672" s="40">
        <f t="shared" si="360"/>
        <v>3545258.6206896552</v>
      </c>
      <c r="H672" s="40">
        <f t="shared" si="360"/>
        <v>3545603.4482758623</v>
      </c>
      <c r="I672" s="40">
        <f t="shared" si="360"/>
        <v>15400086.206896555</v>
      </c>
      <c r="J672" s="634">
        <f t="shared" si="360"/>
        <v>2188394.3152709366</v>
      </c>
      <c r="K672"/>
      <c r="L672"/>
      <c r="M672"/>
      <c r="N672"/>
      <c r="O672"/>
      <c r="P672"/>
      <c r="Q672"/>
      <c r="R672"/>
      <c r="S672"/>
      <c r="T672"/>
      <c r="U672"/>
      <c r="V672"/>
      <c r="W672"/>
      <c r="X672"/>
      <c r="Y672"/>
      <c r="Z672"/>
      <c r="AA672"/>
      <c r="AB672"/>
      <c r="AC672"/>
      <c r="AD672"/>
      <c r="AE672"/>
      <c r="AF672"/>
      <c r="AY672" s="465"/>
    </row>
    <row r="673" spans="1:51" x14ac:dyDescent="0.25">
      <c r="A673" s="622" t="s">
        <v>33</v>
      </c>
      <c r="B673" s="413">
        <f t="shared" ref="B673:J673" si="361">B672*16%</f>
        <v>154703.44827586209</v>
      </c>
      <c r="C673" s="42">
        <f t="shared" si="361"/>
        <v>220731.03448275864</v>
      </c>
      <c r="D673" s="42">
        <f t="shared" si="361"/>
        <v>209393.10344827588</v>
      </c>
      <c r="E673" s="42">
        <f t="shared" si="361"/>
        <v>230606.89655172414</v>
      </c>
      <c r="F673" s="42">
        <f t="shared" si="361"/>
        <v>514041.37931034487</v>
      </c>
      <c r="G673" s="42">
        <f t="shared" si="361"/>
        <v>567241.37931034481</v>
      </c>
      <c r="H673" s="42">
        <f t="shared" si="361"/>
        <v>567296.55172413797</v>
      </c>
      <c r="I673" s="42">
        <f t="shared" si="361"/>
        <v>2464013.7931034486</v>
      </c>
      <c r="J673" s="635">
        <f t="shared" si="361"/>
        <v>350143.09044334985</v>
      </c>
      <c r="K673"/>
      <c r="L673"/>
      <c r="M673"/>
      <c r="N673"/>
      <c r="O673"/>
      <c r="P673"/>
      <c r="Q673"/>
      <c r="R673"/>
      <c r="S673"/>
      <c r="T673"/>
      <c r="U673"/>
      <c r="V673"/>
      <c r="W673"/>
      <c r="X673"/>
      <c r="Y673"/>
      <c r="Z673"/>
      <c r="AA673"/>
      <c r="AB673"/>
      <c r="AC673"/>
      <c r="AD673"/>
      <c r="AE673"/>
      <c r="AF673"/>
      <c r="AY673" s="465"/>
    </row>
    <row r="674" spans="1:51" ht="15.75" thickBot="1" x14ac:dyDescent="0.3">
      <c r="A674" s="636" t="s">
        <v>34</v>
      </c>
      <c r="B674" s="637">
        <f t="shared" ref="B674:I674" si="362">B672+B673</f>
        <v>1121600</v>
      </c>
      <c r="C674" s="638">
        <f t="shared" si="362"/>
        <v>1600300.0000000002</v>
      </c>
      <c r="D674" s="638">
        <f t="shared" si="362"/>
        <v>1518100.0000000002</v>
      </c>
      <c r="E674" s="638">
        <f t="shared" si="362"/>
        <v>1671900</v>
      </c>
      <c r="F674" s="638">
        <f t="shared" si="362"/>
        <v>3726800</v>
      </c>
      <c r="G674" s="638">
        <f t="shared" si="362"/>
        <v>4112500</v>
      </c>
      <c r="H674" s="638">
        <f t="shared" si="362"/>
        <v>4112900</v>
      </c>
      <c r="I674" s="638">
        <f t="shared" si="362"/>
        <v>17864100.000000004</v>
      </c>
      <c r="J674" s="639">
        <f>+$I674/7</f>
        <v>2552014.2857142864</v>
      </c>
      <c r="K674"/>
      <c r="L674"/>
      <c r="M674"/>
      <c r="N674"/>
      <c r="O674"/>
      <c r="P674"/>
      <c r="Q674"/>
      <c r="R674"/>
      <c r="S674"/>
      <c r="T674"/>
      <c r="U674"/>
      <c r="V674"/>
      <c r="W674"/>
      <c r="X674"/>
      <c r="Y674"/>
      <c r="Z674"/>
      <c r="AA674"/>
      <c r="AB674"/>
      <c r="AC674"/>
      <c r="AD674"/>
      <c r="AE674"/>
      <c r="AF674"/>
      <c r="AY674" s="465"/>
    </row>
    <row r="675" spans="1:51" ht="15.75" thickBot="1" x14ac:dyDescent="0.3">
      <c r="K675"/>
      <c r="L675"/>
      <c r="M675"/>
      <c r="N675"/>
      <c r="O675"/>
      <c r="P675"/>
      <c r="Q675"/>
      <c r="R675"/>
      <c r="S675"/>
      <c r="T675"/>
      <c r="U675"/>
      <c r="V675"/>
      <c r="W675"/>
      <c r="X675"/>
      <c r="Y675"/>
      <c r="Z675"/>
      <c r="AA675"/>
      <c r="AB675"/>
      <c r="AC675"/>
      <c r="AD675"/>
      <c r="AE675"/>
      <c r="AF675"/>
      <c r="AY675" s="465"/>
    </row>
    <row r="676" spans="1:51" ht="27" thickBot="1" x14ac:dyDescent="0.3">
      <c r="A676" s="85"/>
      <c r="B676" s="1002" t="s">
        <v>366</v>
      </c>
      <c r="C676" s="1002"/>
      <c r="D676" s="1002"/>
      <c r="E676" s="1002"/>
      <c r="F676" s="1002"/>
      <c r="G676" s="1002"/>
      <c r="H676" s="1002"/>
      <c r="I676" s="1002"/>
      <c r="J676" s="85"/>
      <c r="K676"/>
      <c r="L676"/>
      <c r="M676"/>
      <c r="N676"/>
      <c r="O676"/>
      <c r="P676"/>
      <c r="Q676"/>
      <c r="R676"/>
      <c r="S676"/>
      <c r="T676"/>
      <c r="U676"/>
      <c r="V676"/>
      <c r="W676"/>
      <c r="X676"/>
      <c r="Y676"/>
      <c r="Z676"/>
      <c r="AA676"/>
      <c r="AB676"/>
      <c r="AC676"/>
      <c r="AD676"/>
      <c r="AE676"/>
      <c r="AF676"/>
      <c r="AY676" s="465"/>
    </row>
    <row r="677" spans="1:51" ht="15.75" x14ac:dyDescent="0.25">
      <c r="A677" s="614" t="s">
        <v>2</v>
      </c>
      <c r="B677" s="706" t="s">
        <v>70</v>
      </c>
      <c r="C677" s="617" t="s">
        <v>71</v>
      </c>
      <c r="D677" s="617" t="s">
        <v>72</v>
      </c>
      <c r="E677" s="617" t="s">
        <v>73</v>
      </c>
      <c r="F677" s="617" t="s">
        <v>74</v>
      </c>
      <c r="G677" s="617" t="s">
        <v>75</v>
      </c>
      <c r="H677" s="617" t="s">
        <v>76</v>
      </c>
      <c r="I677" s="618" t="s">
        <v>10</v>
      </c>
      <c r="J677" s="619" t="s">
        <v>77</v>
      </c>
      <c r="K677"/>
      <c r="L677"/>
      <c r="M677"/>
      <c r="N677"/>
      <c r="O677"/>
      <c r="P677"/>
      <c r="Q677"/>
      <c r="R677"/>
      <c r="S677"/>
      <c r="T677"/>
      <c r="U677"/>
      <c r="V677"/>
      <c r="W677"/>
      <c r="X677"/>
      <c r="Y677"/>
      <c r="Z677"/>
      <c r="AA677"/>
      <c r="AB677"/>
      <c r="AC677"/>
      <c r="AD677"/>
      <c r="AE677"/>
      <c r="AF677"/>
      <c r="AY677" s="465"/>
    </row>
    <row r="678" spans="1:51" x14ac:dyDescent="0.25">
      <c r="A678" s="620" t="s">
        <v>11</v>
      </c>
      <c r="B678" s="433">
        <f>31+8+1</f>
        <v>40</v>
      </c>
      <c r="C678" s="673">
        <f>31+16+6</f>
        <v>53</v>
      </c>
      <c r="D678" s="739">
        <f>36+23+3</f>
        <v>62</v>
      </c>
      <c r="E678" s="673">
        <f>35+20+9</f>
        <v>64</v>
      </c>
      <c r="F678" s="673">
        <f>96+48+21</f>
        <v>165</v>
      </c>
      <c r="G678" s="673">
        <f>76+40+16</f>
        <v>132</v>
      </c>
      <c r="H678" s="673">
        <f>93+53+25</f>
        <v>171</v>
      </c>
      <c r="I678" s="673">
        <f t="shared" ref="I678:I683" si="363">SUM(B678:H678)</f>
        <v>687</v>
      </c>
      <c r="J678" s="621">
        <f t="shared" ref="J678:J684" si="364">+$I678/7</f>
        <v>98.142857142857139</v>
      </c>
      <c r="K678"/>
      <c r="L678"/>
      <c r="M678"/>
      <c r="N678"/>
      <c r="O678"/>
      <c r="P678"/>
      <c r="Q678"/>
      <c r="R678"/>
      <c r="S678"/>
      <c r="T678"/>
      <c r="U678"/>
      <c r="V678"/>
      <c r="W678"/>
      <c r="X678"/>
      <c r="Y678"/>
      <c r="Z678"/>
      <c r="AA678"/>
      <c r="AB678"/>
      <c r="AC678"/>
      <c r="AD678"/>
      <c r="AE678"/>
      <c r="AF678"/>
      <c r="AY678" s="465"/>
    </row>
    <row r="679" spans="1:51" x14ac:dyDescent="0.25">
      <c r="A679" s="622" t="s">
        <v>12</v>
      </c>
      <c r="B679" s="233">
        <v>18</v>
      </c>
      <c r="C679" s="671">
        <v>23</v>
      </c>
      <c r="D679" s="671">
        <v>31</v>
      </c>
      <c r="E679" s="671">
        <v>34</v>
      </c>
      <c r="F679" s="671">
        <v>82</v>
      </c>
      <c r="G679" s="675">
        <v>60</v>
      </c>
      <c r="H679" s="671">
        <v>87</v>
      </c>
      <c r="I679" s="671">
        <f t="shared" si="363"/>
        <v>335</v>
      </c>
      <c r="J679" s="623">
        <f t="shared" si="364"/>
        <v>47.857142857142854</v>
      </c>
      <c r="K679"/>
      <c r="L679"/>
      <c r="M679"/>
      <c r="N679"/>
      <c r="O679"/>
      <c r="P679"/>
      <c r="Q679"/>
      <c r="R679"/>
      <c r="S679"/>
      <c r="T679"/>
      <c r="U679"/>
      <c r="V679"/>
      <c r="W679"/>
      <c r="X679"/>
      <c r="Y679"/>
      <c r="Z679"/>
      <c r="AA679"/>
      <c r="AB679"/>
      <c r="AC679"/>
      <c r="AD679"/>
      <c r="AE679"/>
      <c r="AF679"/>
      <c r="AY679" s="465"/>
    </row>
    <row r="680" spans="1:51" x14ac:dyDescent="0.25">
      <c r="A680" s="622" t="s">
        <v>13</v>
      </c>
      <c r="B680" s="233">
        <v>1</v>
      </c>
      <c r="C680" s="13">
        <v>0</v>
      </c>
      <c r="D680" s="13">
        <v>0</v>
      </c>
      <c r="E680" s="13">
        <v>0</v>
      </c>
      <c r="F680" s="13">
        <v>0</v>
      </c>
      <c r="G680" s="13">
        <v>0</v>
      </c>
      <c r="H680" s="13">
        <v>2</v>
      </c>
      <c r="I680" s="13">
        <f t="shared" si="363"/>
        <v>3</v>
      </c>
      <c r="J680" s="623">
        <f t="shared" si="364"/>
        <v>0.42857142857142855</v>
      </c>
      <c r="K680"/>
      <c r="L680"/>
      <c r="M680"/>
      <c r="N680"/>
      <c r="O680"/>
      <c r="P680"/>
      <c r="Q680"/>
      <c r="R680"/>
      <c r="S680"/>
      <c r="T680"/>
      <c r="U680"/>
      <c r="V680"/>
      <c r="W680"/>
      <c r="X680"/>
      <c r="Y680"/>
      <c r="Z680"/>
      <c r="AA680"/>
      <c r="AB680"/>
      <c r="AC680"/>
      <c r="AD680"/>
      <c r="AE680"/>
      <c r="AF680"/>
      <c r="AY680" s="465"/>
    </row>
    <row r="681" spans="1:51" x14ac:dyDescent="0.25">
      <c r="A681" s="622" t="s">
        <v>14</v>
      </c>
      <c r="B681" s="233">
        <v>12</v>
      </c>
      <c r="C681" s="13">
        <v>13</v>
      </c>
      <c r="D681" s="13">
        <v>14</v>
      </c>
      <c r="E681" s="13">
        <v>16</v>
      </c>
      <c r="F681" s="13">
        <v>34</v>
      </c>
      <c r="G681" s="13">
        <v>31</v>
      </c>
      <c r="H681" s="13">
        <v>31</v>
      </c>
      <c r="I681" s="13">
        <f t="shared" si="363"/>
        <v>151</v>
      </c>
      <c r="J681" s="623">
        <f t="shared" si="364"/>
        <v>21.571428571428573</v>
      </c>
      <c r="K681"/>
      <c r="L681"/>
      <c r="M681"/>
      <c r="N681"/>
      <c r="O681"/>
      <c r="P681"/>
      <c r="Q681"/>
      <c r="R681"/>
      <c r="S681"/>
      <c r="T681"/>
      <c r="U681"/>
      <c r="V681"/>
      <c r="W681"/>
      <c r="X681"/>
      <c r="Y681"/>
      <c r="Z681"/>
      <c r="AA681"/>
      <c r="AB681"/>
      <c r="AC681"/>
      <c r="AD681"/>
      <c r="AE681"/>
      <c r="AF681"/>
      <c r="AY681" s="465"/>
    </row>
    <row r="682" spans="1:51" x14ac:dyDescent="0.25">
      <c r="A682" s="622" t="s">
        <v>15</v>
      </c>
      <c r="B682" s="233">
        <v>2</v>
      </c>
      <c r="C682" s="13">
        <v>4</v>
      </c>
      <c r="D682" s="13">
        <v>6</v>
      </c>
      <c r="E682" s="13">
        <v>5</v>
      </c>
      <c r="F682" s="13">
        <v>13</v>
      </c>
      <c r="G682" s="13">
        <v>7</v>
      </c>
      <c r="H682" s="13">
        <v>8</v>
      </c>
      <c r="I682" s="13">
        <f t="shared" si="363"/>
        <v>45</v>
      </c>
      <c r="J682" s="623">
        <f t="shared" si="364"/>
        <v>6.4285714285714288</v>
      </c>
      <c r="K682"/>
      <c r="L682"/>
      <c r="M682"/>
      <c r="N682"/>
      <c r="O682"/>
      <c r="P682"/>
      <c r="Q682"/>
      <c r="R682"/>
      <c r="S682"/>
      <c r="T682"/>
      <c r="U682"/>
      <c r="V682"/>
      <c r="W682"/>
      <c r="X682"/>
      <c r="Y682"/>
      <c r="Z682"/>
      <c r="AA682"/>
      <c r="AB682"/>
      <c r="AC682"/>
      <c r="AD682"/>
      <c r="AE682"/>
      <c r="AF682"/>
      <c r="AY682" s="465"/>
    </row>
    <row r="683" spans="1:51" x14ac:dyDescent="0.25">
      <c r="A683" s="622" t="s">
        <v>16</v>
      </c>
      <c r="B683" s="233">
        <v>0</v>
      </c>
      <c r="C683" s="13">
        <v>0</v>
      </c>
      <c r="D683" s="13">
        <v>0</v>
      </c>
      <c r="E683" s="13">
        <v>0</v>
      </c>
      <c r="F683" s="13">
        <v>0</v>
      </c>
      <c r="G683" s="13">
        <v>0</v>
      </c>
      <c r="H683" s="13">
        <v>0</v>
      </c>
      <c r="I683" s="13">
        <f t="shared" si="363"/>
        <v>0</v>
      </c>
      <c r="J683" s="623">
        <f t="shared" si="364"/>
        <v>0</v>
      </c>
      <c r="K683"/>
      <c r="L683"/>
      <c r="M683"/>
      <c r="N683"/>
      <c r="O683"/>
      <c r="P683"/>
      <c r="Q683"/>
      <c r="R683"/>
      <c r="S683"/>
      <c r="T683"/>
      <c r="U683"/>
      <c r="V683"/>
      <c r="W683"/>
      <c r="X683"/>
      <c r="Y683"/>
      <c r="Z683"/>
      <c r="AA683"/>
      <c r="AB683"/>
      <c r="AC683"/>
      <c r="AD683"/>
      <c r="AE683"/>
      <c r="AF683"/>
      <c r="AY683" s="465"/>
    </row>
    <row r="684" spans="1:51" x14ac:dyDescent="0.25">
      <c r="A684" s="624" t="s">
        <v>17</v>
      </c>
      <c r="B684" s="102">
        <f t="shared" ref="B684:H684" si="365">SUM(B679:B683)</f>
        <v>33</v>
      </c>
      <c r="C684" s="79">
        <f t="shared" si="365"/>
        <v>40</v>
      </c>
      <c r="D684" s="79">
        <f t="shared" si="365"/>
        <v>51</v>
      </c>
      <c r="E684" s="79">
        <f t="shared" si="365"/>
        <v>55</v>
      </c>
      <c r="F684" s="79">
        <f t="shared" si="365"/>
        <v>129</v>
      </c>
      <c r="G684" s="79">
        <f t="shared" si="365"/>
        <v>98</v>
      </c>
      <c r="H684" s="79">
        <f t="shared" si="365"/>
        <v>128</v>
      </c>
      <c r="I684" s="79">
        <f>SUM(I679:I683)</f>
        <v>534</v>
      </c>
      <c r="J684" s="625">
        <f t="shared" si="364"/>
        <v>76.285714285714292</v>
      </c>
      <c r="K684"/>
      <c r="L684"/>
      <c r="M684"/>
      <c r="N684"/>
      <c r="O684"/>
      <c r="P684"/>
      <c r="Q684"/>
      <c r="R684"/>
      <c r="S684"/>
      <c r="T684"/>
      <c r="U684"/>
      <c r="V684"/>
      <c r="W684"/>
      <c r="X684"/>
      <c r="Y684"/>
      <c r="Z684"/>
      <c r="AA684"/>
      <c r="AB684"/>
      <c r="AC684"/>
      <c r="AD684"/>
      <c r="AE684"/>
      <c r="AF684"/>
      <c r="AY684" s="465"/>
    </row>
    <row r="685" spans="1:51" x14ac:dyDescent="0.25">
      <c r="A685" s="622" t="s">
        <v>18</v>
      </c>
      <c r="B685" s="406">
        <v>0.61</v>
      </c>
      <c r="C685" s="19">
        <v>0.67</v>
      </c>
      <c r="D685" s="19">
        <v>0.73</v>
      </c>
      <c r="E685" s="19">
        <v>0.74</v>
      </c>
      <c r="F685" s="19">
        <v>0.7</v>
      </c>
      <c r="G685" s="19">
        <v>0.62</v>
      </c>
      <c r="H685" s="19">
        <v>0.76</v>
      </c>
      <c r="I685" s="19">
        <f>I692/I697</f>
        <v>0.69670042375851515</v>
      </c>
      <c r="J685" s="626">
        <f>J692/J697</f>
        <v>0.69670042375851504</v>
      </c>
      <c r="K685"/>
      <c r="L685"/>
      <c r="M685"/>
      <c r="N685"/>
      <c r="O685"/>
      <c r="P685"/>
      <c r="Q685"/>
      <c r="R685"/>
      <c r="S685"/>
      <c r="T685"/>
      <c r="U685"/>
      <c r="V685"/>
      <c r="W685"/>
      <c r="X685"/>
      <c r="Y685"/>
      <c r="Z685"/>
      <c r="AA685"/>
      <c r="AB685"/>
      <c r="AC685"/>
      <c r="AD685"/>
      <c r="AE685"/>
      <c r="AF685"/>
      <c r="AY685" s="465"/>
    </row>
    <row r="686" spans="1:51" x14ac:dyDescent="0.25">
      <c r="A686" s="622" t="s">
        <v>19</v>
      </c>
      <c r="B686" s="406">
        <v>0.01</v>
      </c>
      <c r="C686" s="19">
        <v>0</v>
      </c>
      <c r="D686" s="19">
        <v>0</v>
      </c>
      <c r="E686" s="19">
        <v>0</v>
      </c>
      <c r="F686" s="19">
        <v>0</v>
      </c>
      <c r="G686" s="19">
        <v>0</v>
      </c>
      <c r="H686" s="19">
        <v>0</v>
      </c>
      <c r="I686" s="19">
        <f>I693/I697</f>
        <v>6.3347356085000257E-4</v>
      </c>
      <c r="J686" s="626">
        <f>J693/J697</f>
        <v>6.3347356085000257E-4</v>
      </c>
      <c r="K686"/>
      <c r="L686"/>
      <c r="M686"/>
      <c r="N686"/>
      <c r="O686"/>
      <c r="P686"/>
      <c r="Q686"/>
      <c r="R686"/>
      <c r="S686"/>
      <c r="T686"/>
      <c r="U686"/>
      <c r="V686"/>
      <c r="W686"/>
      <c r="X686"/>
      <c r="Y686"/>
      <c r="Z686"/>
      <c r="AA686"/>
      <c r="AB686"/>
      <c r="AC686"/>
      <c r="AD686"/>
      <c r="AE686"/>
      <c r="AF686"/>
      <c r="AY686" s="465"/>
    </row>
    <row r="687" spans="1:51" x14ac:dyDescent="0.25">
      <c r="A687" s="622" t="s">
        <v>20</v>
      </c>
      <c r="B687" s="406">
        <v>0.35</v>
      </c>
      <c r="C687" s="19">
        <v>0.25</v>
      </c>
      <c r="D687" s="19">
        <v>0.18</v>
      </c>
      <c r="E687" s="19">
        <v>0.2</v>
      </c>
      <c r="F687" s="19">
        <v>0.22</v>
      </c>
      <c r="G687" s="19">
        <v>0.31</v>
      </c>
      <c r="H687" s="19">
        <v>0.19</v>
      </c>
      <c r="I687" s="19">
        <f>I694/I697</f>
        <v>0.23579113966479381</v>
      </c>
      <c r="J687" s="626">
        <f>J694/J697</f>
        <v>0.23579113966479381</v>
      </c>
      <c r="K687"/>
      <c r="L687"/>
      <c r="M687"/>
      <c r="N687"/>
      <c r="O687"/>
      <c r="P687"/>
      <c r="Q687"/>
      <c r="R687"/>
      <c r="S687"/>
      <c r="T687"/>
      <c r="U687"/>
      <c r="V687"/>
      <c r="W687"/>
      <c r="X687"/>
      <c r="Y687"/>
      <c r="Z687"/>
      <c r="AA687"/>
      <c r="AB687"/>
      <c r="AC687"/>
      <c r="AD687"/>
      <c r="AE687"/>
      <c r="AF687"/>
      <c r="AY687" s="465"/>
    </row>
    <row r="688" spans="1:51" x14ac:dyDescent="0.25">
      <c r="A688" s="622" t="s">
        <v>21</v>
      </c>
      <c r="B688" s="406">
        <v>0.03</v>
      </c>
      <c r="C688" s="19">
        <v>0.08</v>
      </c>
      <c r="D688" s="19">
        <v>0.09</v>
      </c>
      <c r="E688" s="19">
        <v>0.06</v>
      </c>
      <c r="F688" s="19">
        <v>0.08</v>
      </c>
      <c r="G688" s="19">
        <v>7.0000000000000007E-2</v>
      </c>
      <c r="H688" s="19">
        <v>0.05</v>
      </c>
      <c r="I688" s="19">
        <f>I695/I697</f>
        <v>6.6874963015841074E-2</v>
      </c>
      <c r="J688" s="626">
        <f>J695/J697</f>
        <v>6.687496301584106E-2</v>
      </c>
      <c r="K688"/>
      <c r="L688"/>
      <c r="M688"/>
      <c r="N688"/>
      <c r="O688"/>
      <c r="P688"/>
      <c r="Q688"/>
      <c r="R688"/>
      <c r="S688"/>
      <c r="T688"/>
      <c r="U688"/>
      <c r="V688"/>
      <c r="W688"/>
      <c r="X688"/>
      <c r="Y688"/>
      <c r="Z688"/>
      <c r="AA688"/>
      <c r="AB688"/>
      <c r="AC688"/>
      <c r="AD688"/>
      <c r="AE688"/>
      <c r="AF688"/>
      <c r="AY688" s="465"/>
    </row>
    <row r="689" spans="1:51" x14ac:dyDescent="0.25">
      <c r="A689" s="622" t="s">
        <v>22</v>
      </c>
      <c r="B689" s="406">
        <v>0</v>
      </c>
      <c r="C689" s="19">
        <v>0</v>
      </c>
      <c r="D689" s="19">
        <v>0</v>
      </c>
      <c r="E689" s="19">
        <v>0</v>
      </c>
      <c r="F689" s="19">
        <v>0</v>
      </c>
      <c r="G689" s="19">
        <v>0</v>
      </c>
      <c r="H689" s="19">
        <v>0</v>
      </c>
      <c r="I689" s="19">
        <f>I696/I697</f>
        <v>0</v>
      </c>
      <c r="J689" s="626">
        <f>J696/J697</f>
        <v>0</v>
      </c>
      <c r="K689"/>
      <c r="L689"/>
      <c r="M689"/>
      <c r="N689"/>
      <c r="O689"/>
      <c r="P689"/>
      <c r="Q689"/>
      <c r="R689"/>
      <c r="S689"/>
      <c r="T689"/>
      <c r="U689"/>
      <c r="V689"/>
      <c r="W689"/>
      <c r="X689"/>
      <c r="Y689"/>
      <c r="Z689"/>
      <c r="AA689"/>
      <c r="AB689"/>
      <c r="AC689"/>
      <c r="AD689"/>
      <c r="AE689"/>
      <c r="AF689"/>
      <c r="AY689" s="465"/>
    </row>
    <row r="690" spans="1:51" x14ac:dyDescent="0.25">
      <c r="A690" s="627" t="s">
        <v>23</v>
      </c>
      <c r="B690" s="409">
        <f t="shared" ref="B690:J690" si="366">B701/B684</f>
        <v>36175.757575757576</v>
      </c>
      <c r="C690" s="131">
        <f t="shared" si="366"/>
        <v>36740</v>
      </c>
      <c r="D690" s="131">
        <f t="shared" si="366"/>
        <v>35047.05882352942</v>
      </c>
      <c r="E690" s="131">
        <f t="shared" si="366"/>
        <v>30790.909090909092</v>
      </c>
      <c r="F690" s="131">
        <f t="shared" si="366"/>
        <v>35241.085271317832</v>
      </c>
      <c r="G690" s="131">
        <f t="shared" si="366"/>
        <v>38345.918367346938</v>
      </c>
      <c r="H690" s="131">
        <f t="shared" si="366"/>
        <v>35464.0625</v>
      </c>
      <c r="I690" s="131">
        <f t="shared" si="366"/>
        <v>35557.490636704119</v>
      </c>
      <c r="J690" s="628">
        <f t="shared" si="366"/>
        <v>35557.490636704119</v>
      </c>
      <c r="K690"/>
      <c r="L690"/>
      <c r="M690"/>
      <c r="N690"/>
      <c r="O690"/>
      <c r="P690"/>
      <c r="Q690"/>
      <c r="R690"/>
      <c r="S690"/>
      <c r="T690"/>
      <c r="U690"/>
      <c r="V690"/>
      <c r="W690"/>
      <c r="X690"/>
      <c r="Y690"/>
      <c r="Z690"/>
      <c r="AA690"/>
      <c r="AB690"/>
      <c r="AC690"/>
      <c r="AD690"/>
      <c r="AE690"/>
      <c r="AF690"/>
      <c r="AY690" s="465"/>
    </row>
    <row r="691" spans="1:51" x14ac:dyDescent="0.25">
      <c r="A691" s="627" t="s">
        <v>24</v>
      </c>
      <c r="B691" s="409">
        <f t="shared" ref="B691:J691" si="367">B701/B678</f>
        <v>29845</v>
      </c>
      <c r="C691" s="131">
        <f t="shared" si="367"/>
        <v>27728.301886792451</v>
      </c>
      <c r="D691" s="131">
        <f t="shared" si="367"/>
        <v>28829.032258064519</v>
      </c>
      <c r="E691" s="131">
        <f t="shared" si="367"/>
        <v>26460.9375</v>
      </c>
      <c r="F691" s="131">
        <f t="shared" si="367"/>
        <v>27552.121212121212</v>
      </c>
      <c r="G691" s="131">
        <f t="shared" si="367"/>
        <v>28468.939393939392</v>
      </c>
      <c r="H691" s="131">
        <f t="shared" si="367"/>
        <v>26546.198830409357</v>
      </c>
      <c r="I691" s="131">
        <f t="shared" si="367"/>
        <v>27638.573508005822</v>
      </c>
      <c r="J691" s="628">
        <f t="shared" si="367"/>
        <v>27638.573508005822</v>
      </c>
      <c r="K691"/>
      <c r="L691"/>
      <c r="M691"/>
      <c r="N691"/>
      <c r="O691"/>
      <c r="P691"/>
      <c r="Q691"/>
      <c r="R691"/>
      <c r="S691"/>
      <c r="T691"/>
      <c r="U691"/>
      <c r="V691"/>
      <c r="W691"/>
      <c r="X691"/>
      <c r="Y691"/>
      <c r="Z691"/>
      <c r="AA691"/>
      <c r="AB691"/>
      <c r="AC691"/>
      <c r="AD691"/>
      <c r="AE691"/>
      <c r="AF691"/>
      <c r="AY691" s="465"/>
    </row>
    <row r="692" spans="1:51" x14ac:dyDescent="0.25">
      <c r="A692" s="622" t="s">
        <v>25</v>
      </c>
      <c r="B692" s="255">
        <f t="shared" ref="B692:H692" si="368">B697*B685</f>
        <v>601268.41793103446</v>
      </c>
      <c r="C692" s="133">
        <f t="shared" si="368"/>
        <v>811620.94965517253</v>
      </c>
      <c r="D692" s="133">
        <f t="shared" si="368"/>
        <v>1070200.4903448278</v>
      </c>
      <c r="E692" s="133">
        <f t="shared" si="368"/>
        <v>1019599.9668965518</v>
      </c>
      <c r="F692" s="133">
        <f t="shared" si="368"/>
        <v>2604772.6068965518</v>
      </c>
      <c r="G692" s="133">
        <f t="shared" si="368"/>
        <v>1918731.9586206898</v>
      </c>
      <c r="H692" s="133">
        <f t="shared" si="368"/>
        <v>2814475.975172414</v>
      </c>
      <c r="I692" s="133">
        <f>SUM(B692:H692)</f>
        <v>10840670.365517242</v>
      </c>
      <c r="J692" s="629">
        <f t="shared" ref="J692:J697" si="369">+$I692/7</f>
        <v>1548667.1950738917</v>
      </c>
      <c r="K692"/>
      <c r="L692"/>
      <c r="M692"/>
      <c r="N692"/>
      <c r="O692"/>
      <c r="P692"/>
      <c r="Q692"/>
      <c r="R692"/>
      <c r="S692"/>
      <c r="T692"/>
      <c r="U692"/>
      <c r="V692"/>
      <c r="W692"/>
      <c r="X692"/>
      <c r="Y692"/>
      <c r="Z692"/>
      <c r="AA692"/>
      <c r="AB692"/>
      <c r="AC692"/>
      <c r="AD692"/>
      <c r="AE692"/>
      <c r="AF692"/>
      <c r="AY692" s="465"/>
    </row>
    <row r="693" spans="1:51" x14ac:dyDescent="0.25">
      <c r="A693" s="622" t="s">
        <v>26</v>
      </c>
      <c r="B693" s="255">
        <f t="shared" ref="B693:H693" si="370">B697*B686</f>
        <v>9856.8593103448275</v>
      </c>
      <c r="C693" s="133">
        <f t="shared" si="370"/>
        <v>0</v>
      </c>
      <c r="D693" s="133">
        <f t="shared" si="370"/>
        <v>0</v>
      </c>
      <c r="E693" s="133">
        <f t="shared" si="370"/>
        <v>0</v>
      </c>
      <c r="F693" s="133">
        <f t="shared" si="370"/>
        <v>0</v>
      </c>
      <c r="G693" s="133">
        <f t="shared" si="370"/>
        <v>0</v>
      </c>
      <c r="H693" s="133">
        <f t="shared" si="370"/>
        <v>0</v>
      </c>
      <c r="I693" s="133">
        <f>SUM(B693:H693)</f>
        <v>9856.8593103448275</v>
      </c>
      <c r="J693" s="629">
        <f t="shared" si="369"/>
        <v>1408.1227586206896</v>
      </c>
      <c r="K693"/>
      <c r="L693"/>
      <c r="M693"/>
      <c r="N693"/>
      <c r="O693"/>
      <c r="P693"/>
      <c r="Q693"/>
      <c r="R693"/>
      <c r="S693"/>
      <c r="T693"/>
      <c r="U693"/>
      <c r="V693"/>
      <c r="W693"/>
      <c r="X693"/>
      <c r="Y693"/>
      <c r="Z693"/>
      <c r="AA693"/>
      <c r="AB693"/>
      <c r="AC693"/>
      <c r="AD693"/>
      <c r="AE693"/>
      <c r="AF693"/>
      <c r="AY693" s="465"/>
    </row>
    <row r="694" spans="1:51" x14ac:dyDescent="0.25">
      <c r="A694" s="622" t="s">
        <v>27</v>
      </c>
      <c r="B694" s="255">
        <f t="shared" ref="B694:H694" si="371">B697*B687</f>
        <v>344990.07586206897</v>
      </c>
      <c r="C694" s="133">
        <f t="shared" si="371"/>
        <v>302843.63793103449</v>
      </c>
      <c r="D694" s="133">
        <f t="shared" si="371"/>
        <v>263885.05241379311</v>
      </c>
      <c r="E694" s="133">
        <f t="shared" si="371"/>
        <v>275567.55862068967</v>
      </c>
      <c r="F694" s="133">
        <f t="shared" si="371"/>
        <v>818642.81931034487</v>
      </c>
      <c r="G694" s="133">
        <f t="shared" si="371"/>
        <v>959365.9793103449</v>
      </c>
      <c r="H694" s="133">
        <f t="shared" si="371"/>
        <v>703618.99379310349</v>
      </c>
      <c r="I694" s="133">
        <f>SUM(B694:H694)</f>
        <v>3668914.1172413793</v>
      </c>
      <c r="J694" s="629">
        <f t="shared" si="369"/>
        <v>524130.58817733993</v>
      </c>
      <c r="K694"/>
      <c r="L694"/>
      <c r="M694"/>
      <c r="N694"/>
      <c r="O694"/>
      <c r="P694"/>
      <c r="Q694"/>
      <c r="R694"/>
      <c r="S694"/>
      <c r="T694"/>
      <c r="U694"/>
      <c r="V694"/>
      <c r="W694"/>
      <c r="X694"/>
      <c r="Y694"/>
      <c r="Z694"/>
      <c r="AA694"/>
      <c r="AB694"/>
      <c r="AC694"/>
      <c r="AD694"/>
      <c r="AE694"/>
      <c r="AF694"/>
      <c r="AY694" s="465"/>
    </row>
    <row r="695" spans="1:51" x14ac:dyDescent="0.25">
      <c r="A695" s="622" t="s">
        <v>28</v>
      </c>
      <c r="B695" s="255">
        <f t="shared" ref="B695:H695" si="372">B697*B688</f>
        <v>29570.577931034481</v>
      </c>
      <c r="C695" s="133">
        <f t="shared" si="372"/>
        <v>96909.964137931034</v>
      </c>
      <c r="D695" s="133">
        <f t="shared" si="372"/>
        <v>131942.52620689655</v>
      </c>
      <c r="E695" s="133">
        <f t="shared" si="372"/>
        <v>82670.267586206901</v>
      </c>
      <c r="F695" s="133">
        <f t="shared" si="372"/>
        <v>297688.29793103453</v>
      </c>
      <c r="G695" s="133">
        <f t="shared" si="372"/>
        <v>216631.02758620694</v>
      </c>
      <c r="H695" s="133">
        <f t="shared" si="372"/>
        <v>185162.8931034483</v>
      </c>
      <c r="I695" s="133">
        <f>SUM(B695:H695)</f>
        <v>1040575.5544827587</v>
      </c>
      <c r="J695" s="629">
        <f t="shared" si="369"/>
        <v>148653.6506403941</v>
      </c>
      <c r="K695"/>
      <c r="L695"/>
      <c r="M695"/>
      <c r="N695"/>
      <c r="O695"/>
      <c r="P695"/>
      <c r="Q695"/>
      <c r="R695"/>
      <c r="S695"/>
      <c r="T695"/>
      <c r="U695"/>
      <c r="V695"/>
      <c r="W695"/>
      <c r="X695"/>
      <c r="Y695"/>
      <c r="Z695"/>
      <c r="AA695"/>
      <c r="AB695"/>
      <c r="AC695"/>
      <c r="AD695"/>
      <c r="AE695"/>
      <c r="AF695"/>
      <c r="AY695" s="465"/>
    </row>
    <row r="696" spans="1:51" x14ac:dyDescent="0.25">
      <c r="A696" s="622" t="s">
        <v>29</v>
      </c>
      <c r="B696" s="255">
        <f t="shared" ref="B696:H696" si="373">B697*B689</f>
        <v>0</v>
      </c>
      <c r="C696" s="727">
        <f t="shared" si="373"/>
        <v>0</v>
      </c>
      <c r="D696" s="727">
        <f t="shared" si="373"/>
        <v>0</v>
      </c>
      <c r="E696" s="727">
        <f t="shared" si="373"/>
        <v>0</v>
      </c>
      <c r="F696" s="727">
        <f t="shared" si="373"/>
        <v>0</v>
      </c>
      <c r="G696" s="727">
        <f t="shared" si="373"/>
        <v>0</v>
      </c>
      <c r="H696" s="727">
        <f t="shared" si="373"/>
        <v>0</v>
      </c>
      <c r="I696" s="133">
        <f>SUM(B696:H696)</f>
        <v>0</v>
      </c>
      <c r="J696" s="629">
        <f t="shared" si="369"/>
        <v>0</v>
      </c>
      <c r="K696"/>
      <c r="L696"/>
      <c r="M696"/>
      <c r="N696"/>
      <c r="O696"/>
      <c r="P696"/>
      <c r="Q696"/>
      <c r="R696"/>
      <c r="S696"/>
      <c r="T696"/>
      <c r="U696"/>
      <c r="V696"/>
      <c r="W696"/>
      <c r="X696"/>
      <c r="Y696"/>
      <c r="Z696"/>
      <c r="AA696"/>
      <c r="AB696"/>
      <c r="AC696"/>
      <c r="AD696"/>
      <c r="AE696"/>
      <c r="AF696"/>
      <c r="AY696" s="465"/>
    </row>
    <row r="697" spans="1:51" x14ac:dyDescent="0.25">
      <c r="A697" s="630" t="s">
        <v>30</v>
      </c>
      <c r="B697" s="726">
        <f>(1193800/1.16)-B698</f>
        <v>985685.93103448278</v>
      </c>
      <c r="C697" s="729">
        <f>(1469600/1.16)-C698</f>
        <v>1211374.551724138</v>
      </c>
      <c r="D697" s="729">
        <f>(1787400/1.16)-D698</f>
        <v>1466028.0689655175</v>
      </c>
      <c r="E697" s="729">
        <f>(1693500/1.16)-E698</f>
        <v>1377837.7931034483</v>
      </c>
      <c r="F697" s="729">
        <f>(4546100/1.16)-F698</f>
        <v>3721103.7241379311</v>
      </c>
      <c r="G697" s="729">
        <f>(3757900/1.16)-G698</f>
        <v>3094728.9655172415</v>
      </c>
      <c r="H697" s="729">
        <f>(4539400/1.16)-H698</f>
        <v>3703257.8620689656</v>
      </c>
      <c r="I697" s="137">
        <f>SUM(I692:I696)</f>
        <v>15560016.896551725</v>
      </c>
      <c r="J697" s="631">
        <f t="shared" si="369"/>
        <v>2222859.5566502465</v>
      </c>
      <c r="K697"/>
      <c r="L697"/>
      <c r="M697"/>
      <c r="N697"/>
      <c r="O697"/>
      <c r="P697"/>
      <c r="Q697"/>
      <c r="R697"/>
      <c r="S697"/>
      <c r="T697"/>
      <c r="U697"/>
      <c r="V697"/>
      <c r="W697"/>
      <c r="X697"/>
      <c r="Y697"/>
      <c r="Z697"/>
      <c r="AA697"/>
      <c r="AB697"/>
      <c r="AC697"/>
      <c r="AD697"/>
      <c r="AE697"/>
      <c r="AF697"/>
      <c r="AY697" s="465"/>
    </row>
    <row r="698" spans="1:51" x14ac:dyDescent="0.25">
      <c r="A698" s="622" t="s">
        <v>31</v>
      </c>
      <c r="B698" s="263">
        <f t="shared" ref="B698:H698" si="374">2414*B679</f>
        <v>43452</v>
      </c>
      <c r="C698" s="728">
        <f t="shared" si="374"/>
        <v>55522</v>
      </c>
      <c r="D698" s="728">
        <f t="shared" si="374"/>
        <v>74834</v>
      </c>
      <c r="E698" s="728">
        <f t="shared" si="374"/>
        <v>82076</v>
      </c>
      <c r="F698" s="728">
        <f t="shared" si="374"/>
        <v>197948</v>
      </c>
      <c r="G698" s="728">
        <f t="shared" si="374"/>
        <v>144840</v>
      </c>
      <c r="H698" s="728">
        <f t="shared" si="374"/>
        <v>210018</v>
      </c>
      <c r="I698" s="139">
        <f>I679*2414</f>
        <v>808690</v>
      </c>
      <c r="J698" s="632">
        <f>2155*J679</f>
        <v>103132.14285714286</v>
      </c>
      <c r="K698"/>
      <c r="L698"/>
      <c r="M698"/>
      <c r="N698"/>
      <c r="O698"/>
      <c r="P698"/>
      <c r="Q698"/>
      <c r="R698"/>
      <c r="S698"/>
      <c r="T698"/>
      <c r="U698"/>
      <c r="V698"/>
      <c r="W698"/>
      <c r="X698"/>
      <c r="Y698"/>
      <c r="Z698"/>
      <c r="AA698"/>
      <c r="AB698"/>
      <c r="AC698"/>
      <c r="AD698"/>
      <c r="AE698"/>
      <c r="AF698"/>
      <c r="AY698" s="465"/>
    </row>
    <row r="699" spans="1:51" x14ac:dyDescent="0.25">
      <c r="A699" s="633" t="s">
        <v>32</v>
      </c>
      <c r="B699" s="411">
        <f t="shared" ref="B699:J699" si="375">B697+B698</f>
        <v>1029137.9310344828</v>
      </c>
      <c r="C699" s="40">
        <f t="shared" si="375"/>
        <v>1266896.551724138</v>
      </c>
      <c r="D699" s="40">
        <f t="shared" si="375"/>
        <v>1540862.0689655175</v>
      </c>
      <c r="E699" s="40">
        <f t="shared" si="375"/>
        <v>1459913.7931034483</v>
      </c>
      <c r="F699" s="40">
        <f t="shared" si="375"/>
        <v>3919051.7241379311</v>
      </c>
      <c r="G699" s="40">
        <f t="shared" si="375"/>
        <v>3239568.9655172415</v>
      </c>
      <c r="H699" s="40">
        <f t="shared" si="375"/>
        <v>3913275.8620689656</v>
      </c>
      <c r="I699" s="40">
        <f t="shared" si="375"/>
        <v>16368706.896551725</v>
      </c>
      <c r="J699" s="634">
        <f t="shared" si="375"/>
        <v>2325991.6995073892</v>
      </c>
      <c r="K699"/>
      <c r="L699"/>
      <c r="M699"/>
      <c r="N699"/>
      <c r="O699"/>
      <c r="P699"/>
      <c r="Q699"/>
      <c r="R699"/>
      <c r="S699"/>
      <c r="T699"/>
      <c r="U699"/>
      <c r="V699"/>
      <c r="W699"/>
      <c r="X699"/>
      <c r="Y699"/>
      <c r="Z699"/>
      <c r="AA699"/>
      <c r="AB699"/>
      <c r="AC699"/>
      <c r="AD699"/>
      <c r="AE699"/>
      <c r="AF699"/>
      <c r="AY699" s="465"/>
    </row>
    <row r="700" spans="1:51" x14ac:dyDescent="0.25">
      <c r="A700" s="622" t="s">
        <v>33</v>
      </c>
      <c r="B700" s="413">
        <f t="shared" ref="B700:J700" si="376">B699*16%</f>
        <v>164662.06896551725</v>
      </c>
      <c r="C700" s="42">
        <f t="shared" si="376"/>
        <v>202703.44827586209</v>
      </c>
      <c r="D700" s="42">
        <f t="shared" si="376"/>
        <v>246537.93103448278</v>
      </c>
      <c r="E700" s="42">
        <f t="shared" si="376"/>
        <v>233586.20689655174</v>
      </c>
      <c r="F700" s="42">
        <f t="shared" si="376"/>
        <v>627048.27586206899</v>
      </c>
      <c r="G700" s="42">
        <f t="shared" si="376"/>
        <v>518331.03448275867</v>
      </c>
      <c r="H700" s="42">
        <f t="shared" si="376"/>
        <v>626124.13793103455</v>
      </c>
      <c r="I700" s="42">
        <f t="shared" si="376"/>
        <v>2618993.1034482759</v>
      </c>
      <c r="J700" s="635">
        <f t="shared" si="376"/>
        <v>372158.67192118231</v>
      </c>
      <c r="K700"/>
      <c r="L700"/>
      <c r="M700"/>
      <c r="N700"/>
      <c r="O700"/>
      <c r="P700"/>
      <c r="Q700"/>
      <c r="R700"/>
      <c r="S700"/>
      <c r="T700"/>
      <c r="U700"/>
      <c r="V700"/>
      <c r="W700"/>
      <c r="X700"/>
      <c r="Y700"/>
      <c r="Z700"/>
      <c r="AA700"/>
      <c r="AB700"/>
      <c r="AC700"/>
      <c r="AD700"/>
      <c r="AE700"/>
      <c r="AF700"/>
      <c r="AY700" s="465"/>
    </row>
    <row r="701" spans="1:51" ht="15.75" thickBot="1" x14ac:dyDescent="0.3">
      <c r="A701" s="636" t="s">
        <v>34</v>
      </c>
      <c r="B701" s="637">
        <f t="shared" ref="B701:I701" si="377">B699+B700</f>
        <v>1193800</v>
      </c>
      <c r="C701" s="638">
        <f t="shared" si="377"/>
        <v>1469600</v>
      </c>
      <c r="D701" s="638">
        <f t="shared" si="377"/>
        <v>1787400.0000000002</v>
      </c>
      <c r="E701" s="638">
        <f t="shared" si="377"/>
        <v>1693500</v>
      </c>
      <c r="F701" s="638">
        <f t="shared" si="377"/>
        <v>4546100</v>
      </c>
      <c r="G701" s="638">
        <f t="shared" si="377"/>
        <v>3757900</v>
      </c>
      <c r="H701" s="638">
        <f t="shared" si="377"/>
        <v>4539400</v>
      </c>
      <c r="I701" s="638">
        <f t="shared" si="377"/>
        <v>18987700</v>
      </c>
      <c r="J701" s="639">
        <f>+$I701/7</f>
        <v>2712528.5714285714</v>
      </c>
      <c r="K701"/>
      <c r="L701"/>
      <c r="M701"/>
      <c r="N701"/>
      <c r="O701"/>
      <c r="P701"/>
      <c r="Q701"/>
      <c r="R701"/>
      <c r="S701"/>
      <c r="T701"/>
      <c r="U701"/>
      <c r="V701"/>
      <c r="W701"/>
      <c r="X701"/>
      <c r="Y701"/>
      <c r="Z701"/>
      <c r="AA701"/>
      <c r="AB701"/>
      <c r="AC701"/>
      <c r="AD701"/>
      <c r="AE701"/>
      <c r="AF701"/>
      <c r="AY701" s="465"/>
    </row>
    <row r="702" spans="1:51" ht="15.75" thickBot="1" x14ac:dyDescent="0.3">
      <c r="K702"/>
      <c r="L702"/>
      <c r="M702"/>
      <c r="N702"/>
      <c r="O702"/>
      <c r="P702"/>
      <c r="Q702"/>
      <c r="R702"/>
      <c r="S702"/>
      <c r="T702"/>
      <c r="U702"/>
      <c r="V702"/>
      <c r="W702"/>
      <c r="X702"/>
      <c r="Y702"/>
      <c r="Z702"/>
      <c r="AA702"/>
      <c r="AB702"/>
      <c r="AC702"/>
      <c r="AD702"/>
      <c r="AE702"/>
      <c r="AF702"/>
      <c r="AY702" s="465"/>
    </row>
    <row r="703" spans="1:51" ht="27" thickBot="1" x14ac:dyDescent="0.3">
      <c r="A703" s="85"/>
      <c r="B703" s="1002" t="s">
        <v>367</v>
      </c>
      <c r="C703" s="1002"/>
      <c r="D703" s="1002"/>
      <c r="E703" s="1002"/>
      <c r="F703" s="1002"/>
      <c r="G703" s="1002"/>
      <c r="H703" s="1002"/>
      <c r="I703" s="1002"/>
      <c r="J703" s="85"/>
      <c r="K703"/>
      <c r="L703"/>
      <c r="M703"/>
      <c r="N703"/>
      <c r="O703"/>
      <c r="P703"/>
      <c r="Q703"/>
      <c r="R703"/>
      <c r="S703"/>
      <c r="T703"/>
      <c r="U703"/>
      <c r="V703"/>
      <c r="W703"/>
      <c r="X703"/>
      <c r="Y703"/>
      <c r="Z703"/>
      <c r="AA703"/>
      <c r="AB703"/>
      <c r="AC703"/>
      <c r="AD703"/>
      <c r="AE703"/>
      <c r="AF703"/>
      <c r="AY703" s="465"/>
    </row>
    <row r="704" spans="1:51" ht="15.75" x14ac:dyDescent="0.25">
      <c r="A704" s="614" t="s">
        <v>2</v>
      </c>
      <c r="B704" s="706" t="s">
        <v>81</v>
      </c>
      <c r="C704" s="617" t="s">
        <v>82</v>
      </c>
      <c r="D704" s="617" t="s">
        <v>83</v>
      </c>
      <c r="E704" s="617" t="s">
        <v>84</v>
      </c>
      <c r="F704" s="617" t="s">
        <v>85</v>
      </c>
      <c r="G704" s="617" t="s">
        <v>86</v>
      </c>
      <c r="H704" s="617" t="s">
        <v>87</v>
      </c>
      <c r="I704" s="618" t="s">
        <v>10</v>
      </c>
      <c r="J704" s="619" t="s">
        <v>77</v>
      </c>
      <c r="K704"/>
      <c r="L704"/>
      <c r="M704"/>
      <c r="N704"/>
      <c r="O704"/>
      <c r="P704"/>
      <c r="Q704"/>
      <c r="R704"/>
      <c r="S704"/>
      <c r="T704"/>
      <c r="U704"/>
      <c r="V704"/>
      <c r="W704"/>
      <c r="X704"/>
      <c r="Y704"/>
      <c r="Z704"/>
      <c r="AA704"/>
      <c r="AB704"/>
      <c r="AC704"/>
      <c r="AD704"/>
      <c r="AE704"/>
      <c r="AF704"/>
      <c r="AY704" s="465"/>
    </row>
    <row r="705" spans="1:51" x14ac:dyDescent="0.25">
      <c r="A705" s="620" t="s">
        <v>11</v>
      </c>
      <c r="B705" s="433">
        <f>34+13+3</f>
        <v>50</v>
      </c>
      <c r="C705" s="673">
        <f>35+19+5</f>
        <v>59</v>
      </c>
      <c r="D705" s="739">
        <f>43+24+3</f>
        <v>70</v>
      </c>
      <c r="E705" s="673">
        <f>50+22+5</f>
        <v>77</v>
      </c>
      <c r="F705" s="673">
        <f>75+32+10</f>
        <v>117</v>
      </c>
      <c r="G705" s="673">
        <f>93+50+14</f>
        <v>157</v>
      </c>
      <c r="H705" s="673">
        <f>70+47+13</f>
        <v>130</v>
      </c>
      <c r="I705" s="673">
        <f t="shared" ref="I705:I710" si="378">SUM(B705:H705)</f>
        <v>660</v>
      </c>
      <c r="J705" s="621">
        <f t="shared" ref="J705:J711" si="379">+$I705/7</f>
        <v>94.285714285714292</v>
      </c>
      <c r="K705"/>
      <c r="L705"/>
      <c r="M705"/>
      <c r="N705"/>
      <c r="O705"/>
      <c r="P705"/>
      <c r="Q705"/>
      <c r="R705"/>
      <c r="S705"/>
      <c r="T705"/>
      <c r="U705"/>
      <c r="V705"/>
      <c r="W705"/>
      <c r="X705"/>
      <c r="Y705"/>
      <c r="Z705"/>
      <c r="AA705"/>
      <c r="AB705"/>
      <c r="AC705"/>
      <c r="AD705"/>
      <c r="AE705"/>
      <c r="AF705"/>
      <c r="AY705" s="465"/>
    </row>
    <row r="706" spans="1:51" x14ac:dyDescent="0.25">
      <c r="A706" s="622" t="s">
        <v>12</v>
      </c>
      <c r="B706" s="233">
        <v>23</v>
      </c>
      <c r="C706" s="671">
        <v>32</v>
      </c>
      <c r="D706" s="671">
        <v>26</v>
      </c>
      <c r="E706" s="671">
        <v>34</v>
      </c>
      <c r="F706" s="671">
        <v>58</v>
      </c>
      <c r="G706" s="675">
        <v>79</v>
      </c>
      <c r="H706" s="671">
        <v>78</v>
      </c>
      <c r="I706" s="671">
        <f t="shared" si="378"/>
        <v>330</v>
      </c>
      <c r="J706" s="623">
        <f t="shared" si="379"/>
        <v>47.142857142857146</v>
      </c>
      <c r="K706"/>
      <c r="L706"/>
      <c r="M706"/>
      <c r="N706"/>
      <c r="O706"/>
      <c r="P706"/>
      <c r="Q706"/>
      <c r="R706"/>
      <c r="S706"/>
      <c r="T706"/>
      <c r="U706"/>
      <c r="V706"/>
      <c r="W706"/>
      <c r="X706"/>
      <c r="Y706"/>
      <c r="Z706"/>
      <c r="AA706"/>
      <c r="AB706"/>
      <c r="AC706"/>
      <c r="AD706"/>
      <c r="AE706"/>
      <c r="AF706"/>
      <c r="AY706" s="465"/>
    </row>
    <row r="707" spans="1:51" x14ac:dyDescent="0.25">
      <c r="A707" s="622" t="s">
        <v>13</v>
      </c>
      <c r="B707" s="233">
        <v>1</v>
      </c>
      <c r="C707" s="13">
        <v>0</v>
      </c>
      <c r="D707" s="13">
        <v>1</v>
      </c>
      <c r="E707" s="13">
        <v>0</v>
      </c>
      <c r="F707" s="13">
        <v>2</v>
      </c>
      <c r="G707" s="13">
        <v>2</v>
      </c>
      <c r="H707" s="13">
        <v>1</v>
      </c>
      <c r="I707" s="13">
        <f t="shared" si="378"/>
        <v>7</v>
      </c>
      <c r="J707" s="623">
        <f t="shared" si="379"/>
        <v>1</v>
      </c>
      <c r="K707"/>
      <c r="L707"/>
      <c r="M707"/>
      <c r="N707"/>
      <c r="O707"/>
      <c r="P707"/>
      <c r="Q707"/>
      <c r="R707"/>
      <c r="S707"/>
      <c r="T707"/>
      <c r="U707"/>
      <c r="V707"/>
      <c r="W707"/>
      <c r="X707"/>
      <c r="Y707"/>
      <c r="Z707"/>
      <c r="AA707"/>
      <c r="AB707"/>
      <c r="AC707"/>
      <c r="AD707"/>
      <c r="AE707"/>
      <c r="AF707"/>
      <c r="AY707" s="465"/>
    </row>
    <row r="708" spans="1:51" x14ac:dyDescent="0.25">
      <c r="A708" s="622" t="s">
        <v>14</v>
      </c>
      <c r="B708" s="233">
        <v>12</v>
      </c>
      <c r="C708" s="13">
        <v>10</v>
      </c>
      <c r="D708" s="13">
        <v>25</v>
      </c>
      <c r="E708" s="13">
        <v>22</v>
      </c>
      <c r="F708" s="13">
        <v>26</v>
      </c>
      <c r="G708" s="13">
        <v>32</v>
      </c>
      <c r="H708" s="13">
        <v>21</v>
      </c>
      <c r="I708" s="13">
        <f t="shared" si="378"/>
        <v>148</v>
      </c>
      <c r="J708" s="623">
        <f t="shared" si="379"/>
        <v>21.142857142857142</v>
      </c>
      <c r="K708"/>
      <c r="L708"/>
      <c r="M708"/>
      <c r="N708"/>
      <c r="O708"/>
      <c r="P708"/>
      <c r="Q708"/>
      <c r="R708"/>
      <c r="S708"/>
      <c r="T708"/>
      <c r="U708"/>
      <c r="V708"/>
      <c r="W708"/>
      <c r="X708"/>
      <c r="Y708"/>
      <c r="Z708"/>
      <c r="AA708"/>
      <c r="AB708"/>
      <c r="AC708"/>
      <c r="AD708"/>
      <c r="AE708"/>
      <c r="AF708"/>
      <c r="AY708" s="465"/>
    </row>
    <row r="709" spans="1:51" x14ac:dyDescent="0.25">
      <c r="A709" s="622" t="s">
        <v>15</v>
      </c>
      <c r="B709" s="233">
        <v>5</v>
      </c>
      <c r="C709" s="13">
        <v>3</v>
      </c>
      <c r="D709" s="13">
        <v>4</v>
      </c>
      <c r="E709" s="13">
        <v>4</v>
      </c>
      <c r="F709" s="13">
        <v>8</v>
      </c>
      <c r="G709" s="13">
        <v>9</v>
      </c>
      <c r="H709" s="13">
        <v>8</v>
      </c>
      <c r="I709" s="13">
        <f t="shared" si="378"/>
        <v>41</v>
      </c>
      <c r="J709" s="623">
        <f t="shared" si="379"/>
        <v>5.8571428571428568</v>
      </c>
      <c r="K709"/>
      <c r="L709"/>
      <c r="M709"/>
      <c r="N709"/>
      <c r="O709"/>
      <c r="P709"/>
      <c r="Q709"/>
      <c r="R709"/>
      <c r="S709"/>
      <c r="T709"/>
      <c r="U709"/>
      <c r="V709"/>
      <c r="W709"/>
      <c r="X709"/>
      <c r="Y709"/>
      <c r="Z709"/>
      <c r="AA709"/>
      <c r="AB709"/>
      <c r="AC709"/>
      <c r="AD709"/>
      <c r="AE709"/>
      <c r="AF709"/>
      <c r="AY709" s="465"/>
    </row>
    <row r="710" spans="1:51" x14ac:dyDescent="0.25">
      <c r="A710" s="622" t="s">
        <v>16</v>
      </c>
      <c r="B710" s="233">
        <v>0</v>
      </c>
      <c r="C710" s="13">
        <v>0</v>
      </c>
      <c r="D710" s="13">
        <v>0</v>
      </c>
      <c r="E710" s="13">
        <v>0</v>
      </c>
      <c r="F710" s="13">
        <v>0</v>
      </c>
      <c r="G710" s="13">
        <v>0</v>
      </c>
      <c r="H710" s="13">
        <v>0</v>
      </c>
      <c r="I710" s="13">
        <f t="shared" si="378"/>
        <v>0</v>
      </c>
      <c r="J710" s="623">
        <f t="shared" si="379"/>
        <v>0</v>
      </c>
      <c r="K710"/>
      <c r="L710"/>
      <c r="M710"/>
      <c r="N710"/>
      <c r="O710"/>
      <c r="P710"/>
      <c r="Q710"/>
      <c r="R710"/>
      <c r="S710"/>
      <c r="T710"/>
      <c r="U710"/>
      <c r="V710"/>
      <c r="W710"/>
      <c r="X710"/>
      <c r="Y710"/>
      <c r="Z710"/>
      <c r="AA710"/>
      <c r="AB710"/>
      <c r="AC710"/>
      <c r="AD710"/>
      <c r="AE710"/>
      <c r="AF710"/>
      <c r="AY710" s="465"/>
    </row>
    <row r="711" spans="1:51" x14ac:dyDescent="0.25">
      <c r="A711" s="624" t="s">
        <v>17</v>
      </c>
      <c r="B711" s="102">
        <f t="shared" ref="B711:H711" si="380">SUM(B706:B710)</f>
        <v>41</v>
      </c>
      <c r="C711" s="79">
        <f t="shared" si="380"/>
        <v>45</v>
      </c>
      <c r="D711" s="79">
        <f t="shared" si="380"/>
        <v>56</v>
      </c>
      <c r="E711" s="79">
        <f t="shared" si="380"/>
        <v>60</v>
      </c>
      <c r="F711" s="79">
        <f t="shared" si="380"/>
        <v>94</v>
      </c>
      <c r="G711" s="79">
        <f t="shared" si="380"/>
        <v>122</v>
      </c>
      <c r="H711" s="79">
        <f t="shared" si="380"/>
        <v>108</v>
      </c>
      <c r="I711" s="79">
        <f>SUM(I706:I710)</f>
        <v>526</v>
      </c>
      <c r="J711" s="625">
        <f t="shared" si="379"/>
        <v>75.142857142857139</v>
      </c>
      <c r="K711"/>
      <c r="L711"/>
      <c r="M711"/>
      <c r="N711"/>
      <c r="O711"/>
      <c r="P711"/>
      <c r="Q711"/>
      <c r="R711"/>
      <c r="S711"/>
      <c r="T711"/>
      <c r="U711"/>
      <c r="V711"/>
      <c r="W711"/>
      <c r="X711"/>
      <c r="Y711"/>
      <c r="Z711"/>
      <c r="AA711"/>
      <c r="AB711"/>
      <c r="AC711"/>
      <c r="AD711"/>
      <c r="AE711"/>
      <c r="AF711"/>
      <c r="AY711" s="465"/>
    </row>
    <row r="712" spans="1:51" x14ac:dyDescent="0.25">
      <c r="A712" s="622" t="s">
        <v>18</v>
      </c>
      <c r="B712" s="406">
        <v>0.63</v>
      </c>
      <c r="C712" s="19">
        <v>0.76</v>
      </c>
      <c r="D712" s="19">
        <v>0.52</v>
      </c>
      <c r="E712" s="19">
        <v>0.66</v>
      </c>
      <c r="F712" s="19">
        <v>0.7</v>
      </c>
      <c r="G712" s="19">
        <v>0.71</v>
      </c>
      <c r="H712" s="19">
        <v>0.76</v>
      </c>
      <c r="I712" s="19">
        <f>I719/I724</f>
        <v>0.69000536977980675</v>
      </c>
      <c r="J712" s="626">
        <f>J719/J724</f>
        <v>0.69000536977980675</v>
      </c>
      <c r="K712"/>
      <c r="L712"/>
      <c r="M712"/>
      <c r="N712"/>
      <c r="O712"/>
      <c r="P712"/>
      <c r="Q712"/>
      <c r="R712"/>
      <c r="S712"/>
      <c r="T712"/>
      <c r="U712"/>
      <c r="V712"/>
      <c r="W712"/>
      <c r="X712"/>
      <c r="Y712"/>
      <c r="Z712"/>
      <c r="AA712"/>
      <c r="AB712"/>
      <c r="AC712"/>
      <c r="AD712"/>
      <c r="AE712"/>
      <c r="AF712"/>
      <c r="AY712" s="465"/>
    </row>
    <row r="713" spans="1:51" x14ac:dyDescent="0.25">
      <c r="A713" s="622" t="s">
        <v>19</v>
      </c>
      <c r="B713" s="406">
        <v>0.04</v>
      </c>
      <c r="C713" s="19">
        <v>0</v>
      </c>
      <c r="D713" s="19">
        <v>0.01</v>
      </c>
      <c r="E713" s="19">
        <v>0</v>
      </c>
      <c r="F713" s="19">
        <v>0.01</v>
      </c>
      <c r="G713" s="19">
        <v>0</v>
      </c>
      <c r="H713" s="19">
        <v>0</v>
      </c>
      <c r="I713" s="19">
        <f>I720/I724</f>
        <v>5.8117987790949517E-3</v>
      </c>
      <c r="J713" s="626">
        <f>J720/J724</f>
        <v>5.8117987790949508E-3</v>
      </c>
      <c r="K713"/>
      <c r="L713"/>
      <c r="M713"/>
      <c r="N713"/>
      <c r="O713"/>
      <c r="P713"/>
      <c r="Q713"/>
      <c r="R713"/>
      <c r="S713"/>
      <c r="T713"/>
      <c r="U713"/>
      <c r="V713"/>
      <c r="W713"/>
      <c r="X713"/>
      <c r="Y713"/>
      <c r="Z713"/>
      <c r="AA713"/>
      <c r="AB713"/>
      <c r="AC713"/>
      <c r="AD713"/>
      <c r="AE713"/>
      <c r="AF713"/>
      <c r="AY713" s="465"/>
    </row>
    <row r="714" spans="1:51" x14ac:dyDescent="0.25">
      <c r="A714" s="622" t="s">
        <v>20</v>
      </c>
      <c r="B714" s="406">
        <v>0.21</v>
      </c>
      <c r="C714" s="19">
        <v>0.16</v>
      </c>
      <c r="D714" s="19">
        <v>0.43</v>
      </c>
      <c r="E714" s="19">
        <v>0.2</v>
      </c>
      <c r="F714" s="19">
        <v>0.23</v>
      </c>
      <c r="G714" s="19">
        <v>0.23</v>
      </c>
      <c r="H714" s="19">
        <v>0.19</v>
      </c>
      <c r="I714" s="19">
        <f>I721/I724</f>
        <v>0.23293480312398102</v>
      </c>
      <c r="J714" s="626">
        <f>J721/J724</f>
        <v>0.23293480312398102</v>
      </c>
      <c r="K714"/>
      <c r="L714"/>
      <c r="M714"/>
      <c r="N714"/>
      <c r="O714"/>
      <c r="P714"/>
      <c r="Q714"/>
      <c r="R714"/>
      <c r="S714"/>
      <c r="T714"/>
      <c r="U714"/>
      <c r="V714"/>
      <c r="W714"/>
      <c r="X714"/>
      <c r="Y714"/>
      <c r="Z714"/>
      <c r="AA714"/>
      <c r="AB714"/>
      <c r="AC714"/>
      <c r="AD714"/>
      <c r="AE714"/>
      <c r="AF714"/>
      <c r="AY714" s="465"/>
    </row>
    <row r="715" spans="1:51" x14ac:dyDescent="0.25">
      <c r="A715" s="622" t="s">
        <v>21</v>
      </c>
      <c r="B715" s="406">
        <v>0.12</v>
      </c>
      <c r="C715" s="19">
        <v>0.08</v>
      </c>
      <c r="D715" s="19">
        <v>0.04</v>
      </c>
      <c r="E715" s="19">
        <v>0.14000000000000001</v>
      </c>
      <c r="F715" s="19">
        <v>0.06</v>
      </c>
      <c r="G715" s="19">
        <v>0.06</v>
      </c>
      <c r="H715" s="19">
        <v>0.05</v>
      </c>
      <c r="I715" s="19">
        <f>I722/I724</f>
        <v>7.1248028317117351E-2</v>
      </c>
      <c r="J715" s="626">
        <f>J722/J724</f>
        <v>7.1248028317117337E-2</v>
      </c>
      <c r="K715"/>
      <c r="L715"/>
      <c r="M715"/>
      <c r="N715"/>
      <c r="O715"/>
      <c r="P715"/>
      <c r="Q715"/>
      <c r="R715"/>
      <c r="S715"/>
      <c r="T715"/>
      <c r="U715"/>
      <c r="V715"/>
      <c r="W715"/>
      <c r="X715"/>
      <c r="Y715"/>
      <c r="Z715"/>
      <c r="AA715"/>
      <c r="AB715"/>
      <c r="AC715"/>
      <c r="AD715"/>
      <c r="AE715"/>
      <c r="AF715"/>
      <c r="AY715" s="465"/>
    </row>
    <row r="716" spans="1:51" x14ac:dyDescent="0.25">
      <c r="A716" s="622" t="s">
        <v>22</v>
      </c>
      <c r="B716" s="406">
        <v>0</v>
      </c>
      <c r="C716" s="19">
        <v>0</v>
      </c>
      <c r="D716" s="19">
        <v>0</v>
      </c>
      <c r="E716" s="19">
        <v>0</v>
      </c>
      <c r="F716" s="19">
        <v>0</v>
      </c>
      <c r="G716" s="19">
        <v>0</v>
      </c>
      <c r="H716" s="19">
        <v>0</v>
      </c>
      <c r="I716" s="19">
        <f>I723/I724</f>
        <v>0</v>
      </c>
      <c r="J716" s="626">
        <f>J723/J724</f>
        <v>0</v>
      </c>
      <c r="K716"/>
      <c r="L716"/>
      <c r="M716"/>
      <c r="N716"/>
      <c r="O716"/>
      <c r="P716"/>
      <c r="Q716"/>
      <c r="R716"/>
      <c r="S716"/>
      <c r="T716"/>
      <c r="U716"/>
      <c r="V716"/>
      <c r="W716"/>
      <c r="X716"/>
      <c r="Y716"/>
      <c r="Z716"/>
      <c r="AA716"/>
      <c r="AB716"/>
      <c r="AC716"/>
      <c r="AD716"/>
      <c r="AE716"/>
      <c r="AF716"/>
      <c r="AY716" s="465"/>
    </row>
    <row r="717" spans="1:51" x14ac:dyDescent="0.25">
      <c r="A717" s="627" t="s">
        <v>23</v>
      </c>
      <c r="B717" s="409">
        <f t="shared" ref="B717:J717" si="381">B728/B711</f>
        <v>34912.195121951227</v>
      </c>
      <c r="C717" s="131">
        <f t="shared" si="381"/>
        <v>38664.444444444445</v>
      </c>
      <c r="D717" s="131">
        <f t="shared" si="381"/>
        <v>37814.285714285717</v>
      </c>
      <c r="E717" s="131">
        <f t="shared" si="381"/>
        <v>37908.333333333336</v>
      </c>
      <c r="F717" s="131">
        <f t="shared" si="381"/>
        <v>38407.446808510642</v>
      </c>
      <c r="G717" s="131">
        <f t="shared" si="381"/>
        <v>38991.803278688523</v>
      </c>
      <c r="H717" s="131">
        <f t="shared" si="381"/>
        <v>35673.148148148146</v>
      </c>
      <c r="I717" s="131">
        <f t="shared" si="381"/>
        <v>37611.026615969582</v>
      </c>
      <c r="J717" s="628">
        <f t="shared" si="381"/>
        <v>37611.026615969582</v>
      </c>
      <c r="K717"/>
      <c r="L717"/>
      <c r="M717"/>
      <c r="N717"/>
      <c r="O717"/>
      <c r="P717"/>
      <c r="Q717"/>
      <c r="R717"/>
      <c r="S717"/>
      <c r="T717"/>
      <c r="U717"/>
      <c r="V717"/>
      <c r="W717"/>
      <c r="X717"/>
      <c r="Y717"/>
      <c r="Z717"/>
      <c r="AA717"/>
      <c r="AB717"/>
      <c r="AC717"/>
      <c r="AD717"/>
      <c r="AE717"/>
      <c r="AF717"/>
      <c r="AY717" s="465"/>
    </row>
    <row r="718" spans="1:51" x14ac:dyDescent="0.25">
      <c r="A718" s="627" t="s">
        <v>24</v>
      </c>
      <c r="B718" s="409">
        <f t="shared" ref="B718:J718" si="382">B728/B705</f>
        <v>28628.000000000004</v>
      </c>
      <c r="C718" s="131">
        <f t="shared" si="382"/>
        <v>29489.830508474577</v>
      </c>
      <c r="D718" s="131">
        <f t="shared" si="382"/>
        <v>30251.428571428572</v>
      </c>
      <c r="E718" s="131">
        <f t="shared" si="382"/>
        <v>29538.961038961039</v>
      </c>
      <c r="F718" s="131">
        <f t="shared" si="382"/>
        <v>30857.264957264957</v>
      </c>
      <c r="G718" s="131">
        <f t="shared" si="382"/>
        <v>30299.363057324841</v>
      </c>
      <c r="H718" s="131">
        <f t="shared" si="382"/>
        <v>29636.153846153848</v>
      </c>
      <c r="I718" s="131">
        <f t="shared" si="382"/>
        <v>29974.848484848484</v>
      </c>
      <c r="J718" s="628">
        <f t="shared" si="382"/>
        <v>29974.848484848484</v>
      </c>
      <c r="K718"/>
      <c r="L718"/>
      <c r="M718"/>
      <c r="N718"/>
      <c r="O718"/>
      <c r="P718"/>
      <c r="Q718"/>
      <c r="R718"/>
      <c r="S718"/>
      <c r="T718"/>
      <c r="U718"/>
      <c r="V718"/>
      <c r="W718"/>
      <c r="X718"/>
      <c r="Y718"/>
      <c r="Z718"/>
      <c r="AA718"/>
      <c r="AB718"/>
      <c r="AC718"/>
      <c r="AD718"/>
      <c r="AE718"/>
      <c r="AF718"/>
      <c r="AY718" s="465"/>
    </row>
    <row r="719" spans="1:51" x14ac:dyDescent="0.25">
      <c r="A719" s="622" t="s">
        <v>25</v>
      </c>
      <c r="B719" s="255">
        <f t="shared" ref="B719:H719" si="383">B724*B712</f>
        <v>742419.41586206912</v>
      </c>
      <c r="C719" s="133">
        <f t="shared" si="383"/>
        <v>1081226.0027586208</v>
      </c>
      <c r="D719" s="133">
        <f t="shared" si="383"/>
        <v>916631.68551724148</v>
      </c>
      <c r="E719" s="133">
        <f t="shared" si="383"/>
        <v>1239941.9089655173</v>
      </c>
      <c r="F719" s="133">
        <f t="shared" si="383"/>
        <v>2080620.9103448275</v>
      </c>
      <c r="G719" s="133">
        <f t="shared" si="383"/>
        <v>2776210.8089655172</v>
      </c>
      <c r="H719" s="133">
        <f t="shared" si="383"/>
        <v>2381080.8386206897</v>
      </c>
      <c r="I719" s="133">
        <f>SUM(B719:H719)</f>
        <v>11218131.571034484</v>
      </c>
      <c r="J719" s="629">
        <f t="shared" ref="J719:J724" si="384">+$I719/7</f>
        <v>1602590.2244334978</v>
      </c>
      <c r="K719"/>
      <c r="L719"/>
      <c r="M719"/>
      <c r="N719"/>
      <c r="O719"/>
      <c r="P719"/>
      <c r="Q719"/>
      <c r="R719"/>
      <c r="S719"/>
      <c r="T719"/>
      <c r="U719"/>
      <c r="V719"/>
      <c r="W719"/>
      <c r="X719"/>
      <c r="Y719"/>
      <c r="Z719"/>
      <c r="AA719"/>
      <c r="AB719"/>
      <c r="AC719"/>
      <c r="AD719"/>
      <c r="AE719"/>
      <c r="AF719"/>
      <c r="AY719" s="465"/>
    </row>
    <row r="720" spans="1:51" x14ac:dyDescent="0.25">
      <c r="A720" s="622" t="s">
        <v>26</v>
      </c>
      <c r="B720" s="255">
        <f t="shared" ref="B720:H720" si="385">B724*B713</f>
        <v>47137.740689655177</v>
      </c>
      <c r="C720" s="133">
        <f t="shared" si="385"/>
        <v>0</v>
      </c>
      <c r="D720" s="133">
        <f t="shared" si="385"/>
        <v>17627.532413793106</v>
      </c>
      <c r="E720" s="133">
        <f t="shared" si="385"/>
        <v>0</v>
      </c>
      <c r="F720" s="133">
        <f t="shared" si="385"/>
        <v>29723.155862068968</v>
      </c>
      <c r="G720" s="133">
        <f t="shared" si="385"/>
        <v>0</v>
      </c>
      <c r="H720" s="133">
        <f t="shared" si="385"/>
        <v>0</v>
      </c>
      <c r="I720" s="133">
        <f>SUM(B720:H720)</f>
        <v>94488.428965517262</v>
      </c>
      <c r="J720" s="629">
        <f t="shared" si="384"/>
        <v>13498.346995073895</v>
      </c>
      <c r="K720"/>
      <c r="L720"/>
      <c r="M720"/>
      <c r="N720"/>
      <c r="O720"/>
      <c r="P720"/>
      <c r="Q720"/>
      <c r="R720"/>
      <c r="S720"/>
      <c r="T720"/>
      <c r="U720"/>
      <c r="V720"/>
      <c r="W720"/>
      <c r="X720"/>
      <c r="Y720"/>
      <c r="Z720"/>
      <c r="AA720"/>
      <c r="AB720"/>
      <c r="AC720"/>
      <c r="AD720"/>
      <c r="AE720"/>
      <c r="AF720"/>
      <c r="AY720" s="465"/>
    </row>
    <row r="721" spans="1:51" x14ac:dyDescent="0.25">
      <c r="A721" s="622" t="s">
        <v>27</v>
      </c>
      <c r="B721" s="255">
        <f t="shared" ref="B721:H721" si="386">B724*B714</f>
        <v>247473.13862068969</v>
      </c>
      <c r="C721" s="133">
        <f t="shared" si="386"/>
        <v>227626.52689655175</v>
      </c>
      <c r="D721" s="133">
        <f t="shared" si="386"/>
        <v>757983.8937931034</v>
      </c>
      <c r="E721" s="133">
        <f t="shared" si="386"/>
        <v>375739.97241379315</v>
      </c>
      <c r="F721" s="133">
        <f t="shared" si="386"/>
        <v>683632.58482758631</v>
      </c>
      <c r="G721" s="133">
        <f t="shared" si="386"/>
        <v>899335.8958620691</v>
      </c>
      <c r="H721" s="133">
        <f t="shared" si="386"/>
        <v>595270.20965517242</v>
      </c>
      <c r="I721" s="133">
        <f>SUM(B721:H721)</f>
        <v>3787062.2220689654</v>
      </c>
      <c r="J721" s="629">
        <f t="shared" si="384"/>
        <v>541008.88886699511</v>
      </c>
      <c r="K721"/>
      <c r="L721"/>
      <c r="M721"/>
      <c r="N721"/>
      <c r="O721"/>
      <c r="P721"/>
      <c r="Q721"/>
      <c r="R721"/>
      <c r="S721"/>
      <c r="T721"/>
      <c r="U721"/>
      <c r="V721"/>
      <c r="W721"/>
      <c r="X721"/>
      <c r="Y721"/>
      <c r="Z721"/>
      <c r="AA721"/>
      <c r="AB721"/>
      <c r="AC721"/>
      <c r="AD721"/>
      <c r="AE721"/>
      <c r="AF721"/>
      <c r="AY721" s="465"/>
    </row>
    <row r="722" spans="1:51" x14ac:dyDescent="0.25">
      <c r="A722" s="622" t="s">
        <v>28</v>
      </c>
      <c r="B722" s="255">
        <f t="shared" ref="B722:H722" si="387">B724*B715</f>
        <v>141413.22206896552</v>
      </c>
      <c r="C722" s="133">
        <f t="shared" si="387"/>
        <v>113813.26344827587</v>
      </c>
      <c r="D722" s="133">
        <f t="shared" si="387"/>
        <v>70510.129655172423</v>
      </c>
      <c r="E722" s="133">
        <f t="shared" si="387"/>
        <v>263017.98068965523</v>
      </c>
      <c r="F722" s="133">
        <f t="shared" si="387"/>
        <v>178338.9351724138</v>
      </c>
      <c r="G722" s="133">
        <f t="shared" si="387"/>
        <v>234609.36413793103</v>
      </c>
      <c r="H722" s="133">
        <f t="shared" si="387"/>
        <v>156650.05517241379</v>
      </c>
      <c r="I722" s="133">
        <f>SUM(B722:H722)</f>
        <v>1158352.9503448277</v>
      </c>
      <c r="J722" s="629">
        <f t="shared" si="384"/>
        <v>165478.99290640396</v>
      </c>
      <c r="K722"/>
      <c r="L722"/>
      <c r="M722"/>
      <c r="N722"/>
      <c r="O722"/>
      <c r="P722"/>
      <c r="Q722"/>
      <c r="R722"/>
      <c r="S722"/>
      <c r="T722"/>
      <c r="U722"/>
      <c r="V722"/>
      <c r="W722"/>
      <c r="X722"/>
      <c r="Y722"/>
      <c r="Z722"/>
      <c r="AA722"/>
      <c r="AB722"/>
      <c r="AC722"/>
      <c r="AD722"/>
      <c r="AE722"/>
      <c r="AF722"/>
      <c r="AY722" s="465"/>
    </row>
    <row r="723" spans="1:51" x14ac:dyDescent="0.25">
      <c r="A723" s="622" t="s">
        <v>29</v>
      </c>
      <c r="B723" s="255">
        <f t="shared" ref="B723:H723" si="388">B724*B716</f>
        <v>0</v>
      </c>
      <c r="C723" s="727">
        <f t="shared" si="388"/>
        <v>0</v>
      </c>
      <c r="D723" s="727">
        <f t="shared" si="388"/>
        <v>0</v>
      </c>
      <c r="E723" s="727">
        <f t="shared" si="388"/>
        <v>0</v>
      </c>
      <c r="F723" s="727">
        <f t="shared" si="388"/>
        <v>0</v>
      </c>
      <c r="G723" s="727">
        <f t="shared" si="388"/>
        <v>0</v>
      </c>
      <c r="H723" s="727">
        <f t="shared" si="388"/>
        <v>0</v>
      </c>
      <c r="I723" s="133">
        <f>SUM(B723:H723)</f>
        <v>0</v>
      </c>
      <c r="J723" s="629">
        <f t="shared" si="384"/>
        <v>0</v>
      </c>
      <c r="K723"/>
      <c r="L723"/>
      <c r="M723"/>
      <c r="N723"/>
      <c r="O723"/>
      <c r="P723"/>
      <c r="Q723"/>
      <c r="R723"/>
      <c r="S723"/>
      <c r="T723"/>
      <c r="U723"/>
      <c r="V723"/>
      <c r="W723"/>
      <c r="X723"/>
      <c r="Y723"/>
      <c r="Z723"/>
      <c r="AA723"/>
      <c r="AB723"/>
      <c r="AC723"/>
      <c r="AD723"/>
      <c r="AE723"/>
      <c r="AF723"/>
      <c r="AY723" s="465"/>
    </row>
    <row r="724" spans="1:51" x14ac:dyDescent="0.25">
      <c r="A724" s="630" t="s">
        <v>30</v>
      </c>
      <c r="B724" s="726">
        <f>(1431400/1.16)-B725</f>
        <v>1178443.5172413795</v>
      </c>
      <c r="C724" s="729">
        <f>(1739900/1.16)-C725</f>
        <v>1422665.7931034483</v>
      </c>
      <c r="D724" s="729">
        <f>(2117600/1.16)-D725</f>
        <v>1762753.2413793104</v>
      </c>
      <c r="E724" s="729">
        <f>(2274500/1.16)-E725</f>
        <v>1878699.8620689656</v>
      </c>
      <c r="F724" s="729">
        <f>(3610300/1.16)-F725</f>
        <v>2972315.5862068967</v>
      </c>
      <c r="G724" s="729">
        <f>(4757000/1.16)-G725</f>
        <v>3910156.0689655175</v>
      </c>
      <c r="H724" s="729">
        <f>(3852700/1.16)-H725</f>
        <v>3133001.1034482759</v>
      </c>
      <c r="I724" s="137">
        <f>SUM(I719:I723)</f>
        <v>16258035.172413792</v>
      </c>
      <c r="J724" s="631">
        <f t="shared" si="384"/>
        <v>2322576.4532019706</v>
      </c>
      <c r="K724"/>
      <c r="L724"/>
      <c r="M724"/>
      <c r="N724"/>
      <c r="O724"/>
      <c r="P724"/>
      <c r="Q724"/>
      <c r="R724"/>
      <c r="S724"/>
      <c r="T724"/>
      <c r="U724"/>
      <c r="V724"/>
      <c r="W724"/>
      <c r="X724"/>
      <c r="Y724"/>
      <c r="Z724"/>
      <c r="AA724"/>
      <c r="AB724"/>
      <c r="AC724"/>
      <c r="AD724"/>
      <c r="AE724"/>
      <c r="AF724"/>
      <c r="AY724" s="465"/>
    </row>
    <row r="725" spans="1:51" x14ac:dyDescent="0.25">
      <c r="A725" s="622" t="s">
        <v>31</v>
      </c>
      <c r="B725" s="263">
        <f t="shared" ref="B725:H725" si="389">2414*B706</f>
        <v>55522</v>
      </c>
      <c r="C725" s="728">
        <f t="shared" si="389"/>
        <v>77248</v>
      </c>
      <c r="D725" s="728">
        <f t="shared" si="389"/>
        <v>62764</v>
      </c>
      <c r="E725" s="728">
        <f t="shared" si="389"/>
        <v>82076</v>
      </c>
      <c r="F725" s="728">
        <f t="shared" si="389"/>
        <v>140012</v>
      </c>
      <c r="G725" s="728">
        <f t="shared" si="389"/>
        <v>190706</v>
      </c>
      <c r="H725" s="728">
        <f t="shared" si="389"/>
        <v>188292</v>
      </c>
      <c r="I725" s="139">
        <f>I706*2414</f>
        <v>796620</v>
      </c>
      <c r="J725" s="632">
        <f>2155*J706</f>
        <v>101592.85714285714</v>
      </c>
      <c r="K725"/>
      <c r="L725"/>
      <c r="M725"/>
      <c r="N725"/>
      <c r="O725"/>
      <c r="P725"/>
      <c r="Q725"/>
      <c r="R725"/>
      <c r="S725"/>
      <c r="T725"/>
      <c r="U725"/>
      <c r="V725"/>
      <c r="W725"/>
      <c r="X725"/>
      <c r="Y725"/>
      <c r="Z725"/>
      <c r="AA725"/>
      <c r="AB725"/>
      <c r="AC725"/>
      <c r="AD725"/>
      <c r="AE725"/>
      <c r="AF725"/>
      <c r="AY725" s="465"/>
    </row>
    <row r="726" spans="1:51" x14ac:dyDescent="0.25">
      <c r="A726" s="633" t="s">
        <v>32</v>
      </c>
      <c r="B726" s="411">
        <f t="shared" ref="B726:J726" si="390">B724+B725</f>
        <v>1233965.5172413795</v>
      </c>
      <c r="C726" s="40">
        <f t="shared" si="390"/>
        <v>1499913.7931034483</v>
      </c>
      <c r="D726" s="40">
        <f t="shared" si="390"/>
        <v>1825517.2413793104</v>
      </c>
      <c r="E726" s="40">
        <f t="shared" si="390"/>
        <v>1960775.8620689656</v>
      </c>
      <c r="F726" s="40">
        <f t="shared" si="390"/>
        <v>3112327.5862068967</v>
      </c>
      <c r="G726" s="40">
        <f t="shared" si="390"/>
        <v>4100862.0689655175</v>
      </c>
      <c r="H726" s="40">
        <f t="shared" si="390"/>
        <v>3321293.1034482759</v>
      </c>
      <c r="I726" s="40">
        <f t="shared" si="390"/>
        <v>17054655.172413792</v>
      </c>
      <c r="J726" s="634">
        <f t="shared" si="390"/>
        <v>2424169.3103448278</v>
      </c>
      <c r="K726"/>
      <c r="L726"/>
      <c r="M726"/>
      <c r="N726"/>
      <c r="O726"/>
      <c r="P726"/>
      <c r="Q726"/>
      <c r="R726"/>
      <c r="S726"/>
      <c r="T726"/>
      <c r="U726"/>
      <c r="V726"/>
      <c r="W726"/>
      <c r="X726"/>
      <c r="Y726"/>
      <c r="Z726"/>
      <c r="AA726"/>
      <c r="AB726"/>
      <c r="AC726"/>
      <c r="AD726"/>
      <c r="AE726"/>
      <c r="AF726"/>
      <c r="AY726" s="465"/>
    </row>
    <row r="727" spans="1:51" x14ac:dyDescent="0.25">
      <c r="A727" s="622" t="s">
        <v>33</v>
      </c>
      <c r="B727" s="413">
        <f t="shared" ref="B727:J727" si="391">B726*16%</f>
        <v>197434.48275862072</v>
      </c>
      <c r="C727" s="42">
        <f t="shared" si="391"/>
        <v>239986.20689655174</v>
      </c>
      <c r="D727" s="42">
        <f t="shared" si="391"/>
        <v>292082.75862068968</v>
      </c>
      <c r="E727" s="42">
        <f t="shared" si="391"/>
        <v>313724.13793103449</v>
      </c>
      <c r="F727" s="42">
        <f t="shared" si="391"/>
        <v>497972.41379310348</v>
      </c>
      <c r="G727" s="42">
        <f t="shared" si="391"/>
        <v>656137.93103448278</v>
      </c>
      <c r="H727" s="42">
        <f t="shared" si="391"/>
        <v>531406.89655172417</v>
      </c>
      <c r="I727" s="42">
        <f t="shared" si="391"/>
        <v>2728744.8275862071</v>
      </c>
      <c r="J727" s="635">
        <f t="shared" si="391"/>
        <v>387867.08965517249</v>
      </c>
      <c r="K727"/>
      <c r="L727"/>
      <c r="M727"/>
      <c r="N727"/>
      <c r="O727"/>
      <c r="P727"/>
      <c r="Q727"/>
      <c r="R727"/>
      <c r="S727"/>
      <c r="T727"/>
      <c r="U727"/>
      <c r="V727"/>
      <c r="W727"/>
      <c r="X727"/>
      <c r="Y727"/>
      <c r="Z727"/>
      <c r="AA727"/>
      <c r="AB727"/>
      <c r="AC727"/>
      <c r="AD727"/>
      <c r="AE727"/>
      <c r="AF727"/>
      <c r="AY727" s="465"/>
    </row>
    <row r="728" spans="1:51" ht="15.75" thickBot="1" x14ac:dyDescent="0.3">
      <c r="A728" s="636" t="s">
        <v>34</v>
      </c>
      <c r="B728" s="637">
        <f t="shared" ref="B728:I728" si="392">B726+B727</f>
        <v>1431400.0000000002</v>
      </c>
      <c r="C728" s="638">
        <f t="shared" si="392"/>
        <v>1739900</v>
      </c>
      <c r="D728" s="638">
        <f t="shared" si="392"/>
        <v>2117600</v>
      </c>
      <c r="E728" s="638">
        <f t="shared" si="392"/>
        <v>2274500</v>
      </c>
      <c r="F728" s="638">
        <f t="shared" si="392"/>
        <v>3610300</v>
      </c>
      <c r="G728" s="638">
        <f t="shared" si="392"/>
        <v>4757000</v>
      </c>
      <c r="H728" s="638">
        <f t="shared" si="392"/>
        <v>3852700</v>
      </c>
      <c r="I728" s="638">
        <f t="shared" si="392"/>
        <v>19783400</v>
      </c>
      <c r="J728" s="639">
        <f>+$I728/7</f>
        <v>2826200</v>
      </c>
      <c r="K728"/>
      <c r="L728"/>
      <c r="M728"/>
      <c r="N728"/>
      <c r="O728"/>
      <c r="P728"/>
      <c r="Q728"/>
      <c r="R728"/>
      <c r="S728"/>
      <c r="T728"/>
      <c r="U728"/>
      <c r="V728"/>
      <c r="W728"/>
      <c r="X728"/>
      <c r="Y728"/>
      <c r="Z728"/>
      <c r="AA728"/>
      <c r="AB728"/>
      <c r="AC728"/>
      <c r="AD728"/>
      <c r="AE728"/>
      <c r="AF728"/>
      <c r="AY728" s="465"/>
    </row>
    <row r="729" spans="1:51" ht="15.75" thickBot="1" x14ac:dyDescent="0.3">
      <c r="K729"/>
      <c r="L729"/>
      <c r="M729"/>
      <c r="N729"/>
      <c r="O729"/>
      <c r="P729"/>
      <c r="Q729"/>
      <c r="R729"/>
      <c r="S729"/>
      <c r="T729"/>
      <c r="U729"/>
      <c r="V729"/>
      <c r="W729"/>
      <c r="X729"/>
      <c r="Y729"/>
      <c r="Z729"/>
      <c r="AA729"/>
      <c r="AB729"/>
      <c r="AC729"/>
      <c r="AD729"/>
      <c r="AE729"/>
      <c r="AF729"/>
      <c r="AY729" s="465"/>
    </row>
    <row r="730" spans="1:51" ht="27" thickBot="1" x14ac:dyDescent="0.3">
      <c r="A730" s="85"/>
      <c r="B730" s="1002" t="s">
        <v>368</v>
      </c>
      <c r="C730" s="1002"/>
      <c r="D730" s="1002"/>
      <c r="E730" s="1002"/>
      <c r="F730" s="1002"/>
      <c r="G730" s="1002"/>
      <c r="H730" s="1002"/>
      <c r="I730" s="1002"/>
      <c r="J730" s="85"/>
      <c r="K730"/>
      <c r="L730"/>
      <c r="M730"/>
      <c r="N730"/>
      <c r="O730"/>
      <c r="P730"/>
      <c r="Q730"/>
      <c r="R730"/>
      <c r="S730"/>
      <c r="T730"/>
      <c r="U730"/>
      <c r="V730"/>
      <c r="W730"/>
      <c r="X730"/>
      <c r="Y730"/>
      <c r="Z730"/>
      <c r="AA730"/>
      <c r="AB730"/>
      <c r="AC730"/>
      <c r="AD730"/>
      <c r="AE730"/>
      <c r="AF730"/>
      <c r="AY730" s="465"/>
    </row>
    <row r="731" spans="1:51" ht="15.75" x14ac:dyDescent="0.25">
      <c r="A731" s="614" t="s">
        <v>2</v>
      </c>
      <c r="B731" s="706" t="s">
        <v>89</v>
      </c>
      <c r="C731" s="617" t="s">
        <v>90</v>
      </c>
      <c r="D731" s="617" t="s">
        <v>172</v>
      </c>
      <c r="E731" s="617" t="s">
        <v>324</v>
      </c>
      <c r="F731" s="617" t="s">
        <v>325</v>
      </c>
      <c r="G731" s="617" t="s">
        <v>326</v>
      </c>
      <c r="H731" s="617" t="s">
        <v>327</v>
      </c>
      <c r="I731" s="618" t="s">
        <v>10</v>
      </c>
      <c r="J731" s="619" t="s">
        <v>77</v>
      </c>
      <c r="K731"/>
      <c r="L731"/>
      <c r="M731"/>
      <c r="N731"/>
      <c r="O731"/>
      <c r="P731"/>
      <c r="Q731"/>
      <c r="R731"/>
      <c r="S731"/>
      <c r="T731"/>
      <c r="U731"/>
      <c r="V731"/>
      <c r="W731"/>
      <c r="X731"/>
      <c r="Y731"/>
      <c r="Z731"/>
      <c r="AA731"/>
      <c r="AB731"/>
      <c r="AC731"/>
      <c r="AD731"/>
      <c r="AE731"/>
      <c r="AF731"/>
      <c r="AY731" s="465"/>
    </row>
    <row r="732" spans="1:51" x14ac:dyDescent="0.25">
      <c r="A732" s="620" t="s">
        <v>11</v>
      </c>
      <c r="B732" s="433">
        <f>28+10+1</f>
        <v>39</v>
      </c>
      <c r="C732" s="673">
        <f>27+22+5</f>
        <v>54</v>
      </c>
      <c r="D732" s="739">
        <f>39+20+8</f>
        <v>67</v>
      </c>
      <c r="E732" s="673">
        <f>33+21+12</f>
        <v>66</v>
      </c>
      <c r="F732" s="673">
        <f>63+50+13</f>
        <v>126</v>
      </c>
      <c r="G732" s="673">
        <f>80+53+20</f>
        <v>153</v>
      </c>
      <c r="H732" s="673">
        <f>66+51+16</f>
        <v>133</v>
      </c>
      <c r="I732" s="673">
        <f t="shared" ref="I732:I737" si="393">SUM(B732:H732)</f>
        <v>638</v>
      </c>
      <c r="J732" s="621">
        <f t="shared" ref="J732:J738" si="394">+$I732/7</f>
        <v>91.142857142857139</v>
      </c>
      <c r="K732"/>
      <c r="L732"/>
      <c r="M732"/>
      <c r="N732"/>
      <c r="O732"/>
      <c r="P732"/>
      <c r="Q732"/>
      <c r="R732"/>
      <c r="S732"/>
      <c r="T732"/>
      <c r="U732"/>
      <c r="V732"/>
      <c r="W732"/>
      <c r="X732"/>
      <c r="Y732"/>
      <c r="Z732"/>
      <c r="AA732"/>
      <c r="AB732"/>
      <c r="AC732"/>
      <c r="AD732"/>
      <c r="AE732"/>
      <c r="AF732"/>
      <c r="AY732" s="465"/>
    </row>
    <row r="733" spans="1:51" x14ac:dyDescent="0.25">
      <c r="A733" s="622" t="s">
        <v>12</v>
      </c>
      <c r="B733" s="233">
        <v>15</v>
      </c>
      <c r="C733" s="671">
        <v>31</v>
      </c>
      <c r="D733" s="671">
        <v>37</v>
      </c>
      <c r="E733" s="671">
        <v>28</v>
      </c>
      <c r="F733" s="671">
        <v>64</v>
      </c>
      <c r="G733" s="675">
        <v>84</v>
      </c>
      <c r="H733" s="671">
        <v>84</v>
      </c>
      <c r="I733" s="671">
        <f t="shared" si="393"/>
        <v>343</v>
      </c>
      <c r="J733" s="623">
        <f t="shared" si="394"/>
        <v>49</v>
      </c>
      <c r="K733"/>
      <c r="L733"/>
      <c r="M733"/>
      <c r="N733"/>
      <c r="O733"/>
      <c r="P733"/>
      <c r="Q733"/>
      <c r="R733"/>
      <c r="S733"/>
      <c r="T733"/>
      <c r="U733"/>
      <c r="V733"/>
      <c r="W733"/>
      <c r="X733"/>
      <c r="Y733"/>
      <c r="Z733"/>
      <c r="AA733"/>
      <c r="AB733"/>
      <c r="AC733"/>
      <c r="AD733"/>
      <c r="AE733"/>
      <c r="AF733"/>
      <c r="AY733" s="465"/>
    </row>
    <row r="734" spans="1:51" x14ac:dyDescent="0.25">
      <c r="A734" s="622" t="s">
        <v>13</v>
      </c>
      <c r="B734" s="233">
        <v>1</v>
      </c>
      <c r="C734" s="13">
        <v>0</v>
      </c>
      <c r="D734" s="13">
        <v>0</v>
      </c>
      <c r="E734" s="13">
        <v>2</v>
      </c>
      <c r="F734" s="13">
        <v>0</v>
      </c>
      <c r="G734" s="13">
        <v>0</v>
      </c>
      <c r="H734" s="13">
        <v>1</v>
      </c>
      <c r="I734" s="13">
        <f t="shared" si="393"/>
        <v>4</v>
      </c>
      <c r="J734" s="623">
        <f t="shared" si="394"/>
        <v>0.5714285714285714</v>
      </c>
      <c r="K734"/>
      <c r="L734"/>
      <c r="M734"/>
      <c r="N734"/>
      <c r="O734"/>
      <c r="P734"/>
      <c r="Q734"/>
      <c r="R734"/>
      <c r="S734"/>
      <c r="T734"/>
      <c r="U734"/>
      <c r="V734"/>
      <c r="W734"/>
      <c r="X734"/>
      <c r="Y734"/>
      <c r="Z734"/>
      <c r="AA734"/>
      <c r="AB734"/>
      <c r="AC734"/>
      <c r="AD734"/>
      <c r="AE734"/>
      <c r="AF734"/>
      <c r="AY734" s="465"/>
    </row>
    <row r="735" spans="1:51" x14ac:dyDescent="0.25">
      <c r="A735" s="622" t="s">
        <v>14</v>
      </c>
      <c r="B735" s="233">
        <v>12</v>
      </c>
      <c r="C735" s="13">
        <v>11</v>
      </c>
      <c r="D735" s="13">
        <v>11</v>
      </c>
      <c r="E735" s="13">
        <v>17</v>
      </c>
      <c r="F735" s="13">
        <v>28</v>
      </c>
      <c r="G735" s="13">
        <v>30</v>
      </c>
      <c r="H735" s="13">
        <v>21</v>
      </c>
      <c r="I735" s="13">
        <f t="shared" si="393"/>
        <v>130</v>
      </c>
      <c r="J735" s="623">
        <f t="shared" si="394"/>
        <v>18.571428571428573</v>
      </c>
      <c r="K735"/>
      <c r="L735"/>
      <c r="M735"/>
      <c r="N735"/>
      <c r="O735"/>
      <c r="P735"/>
      <c r="Q735"/>
      <c r="R735"/>
      <c r="S735"/>
      <c r="T735"/>
      <c r="U735"/>
      <c r="V735"/>
      <c r="W735"/>
      <c r="X735"/>
      <c r="Y735"/>
      <c r="Z735"/>
      <c r="AA735"/>
      <c r="AB735"/>
      <c r="AC735"/>
      <c r="AD735"/>
      <c r="AE735"/>
      <c r="AF735"/>
      <c r="AY735" s="465"/>
    </row>
    <row r="736" spans="1:51" x14ac:dyDescent="0.25">
      <c r="A736" s="622" t="s">
        <v>15</v>
      </c>
      <c r="B736" s="233">
        <v>4</v>
      </c>
      <c r="C736" s="13">
        <v>1</v>
      </c>
      <c r="D736" s="13">
        <v>3</v>
      </c>
      <c r="E736" s="13">
        <v>3</v>
      </c>
      <c r="F736" s="13">
        <v>7</v>
      </c>
      <c r="G736" s="13">
        <v>9</v>
      </c>
      <c r="H736" s="13">
        <v>3</v>
      </c>
      <c r="I736" s="13">
        <f t="shared" si="393"/>
        <v>30</v>
      </c>
      <c r="J736" s="623">
        <f t="shared" si="394"/>
        <v>4.2857142857142856</v>
      </c>
      <c r="K736"/>
      <c r="L736"/>
      <c r="M736"/>
      <c r="N736"/>
      <c r="O736"/>
      <c r="P736"/>
      <c r="Q736"/>
      <c r="R736"/>
      <c r="S736"/>
      <c r="T736"/>
      <c r="U736"/>
      <c r="V736"/>
      <c r="W736"/>
      <c r="X736"/>
      <c r="Y736"/>
      <c r="Z736"/>
      <c r="AA736"/>
      <c r="AB736"/>
      <c r="AC736"/>
      <c r="AD736"/>
      <c r="AE736"/>
      <c r="AF736"/>
      <c r="AY736" s="465"/>
    </row>
    <row r="737" spans="1:51" x14ac:dyDescent="0.25">
      <c r="A737" s="622" t="s">
        <v>16</v>
      </c>
      <c r="B737" s="233">
        <v>0</v>
      </c>
      <c r="C737" s="13">
        <v>0</v>
      </c>
      <c r="D737" s="13">
        <v>0</v>
      </c>
      <c r="E737" s="13">
        <v>0</v>
      </c>
      <c r="F737" s="13">
        <v>0</v>
      </c>
      <c r="G737" s="13">
        <v>0</v>
      </c>
      <c r="H737" s="13">
        <v>0</v>
      </c>
      <c r="I737" s="13">
        <f t="shared" si="393"/>
        <v>0</v>
      </c>
      <c r="J737" s="623">
        <f t="shared" si="394"/>
        <v>0</v>
      </c>
      <c r="K737"/>
      <c r="L737"/>
      <c r="M737"/>
      <c r="N737"/>
      <c r="O737"/>
      <c r="P737"/>
      <c r="Q737"/>
      <c r="R737"/>
      <c r="S737"/>
      <c r="T737"/>
      <c r="U737"/>
      <c r="V737"/>
      <c r="W737"/>
      <c r="X737"/>
      <c r="Y737"/>
      <c r="Z737"/>
      <c r="AA737"/>
      <c r="AB737"/>
      <c r="AC737"/>
      <c r="AD737"/>
      <c r="AE737"/>
      <c r="AF737"/>
      <c r="AY737" s="465"/>
    </row>
    <row r="738" spans="1:51" x14ac:dyDescent="0.25">
      <c r="A738" s="624" t="s">
        <v>17</v>
      </c>
      <c r="B738" s="102">
        <f t="shared" ref="B738:H738" si="395">SUM(B733:B737)</f>
        <v>32</v>
      </c>
      <c r="C738" s="79">
        <f t="shared" si="395"/>
        <v>43</v>
      </c>
      <c r="D738" s="79">
        <f t="shared" si="395"/>
        <v>51</v>
      </c>
      <c r="E738" s="79">
        <f t="shared" si="395"/>
        <v>50</v>
      </c>
      <c r="F738" s="79">
        <f t="shared" si="395"/>
        <v>99</v>
      </c>
      <c r="G738" s="79">
        <f t="shared" si="395"/>
        <v>123</v>
      </c>
      <c r="H738" s="79">
        <f t="shared" si="395"/>
        <v>109</v>
      </c>
      <c r="I738" s="79">
        <f>SUM(I733:I737)</f>
        <v>507</v>
      </c>
      <c r="J738" s="625">
        <f t="shared" si="394"/>
        <v>72.428571428571431</v>
      </c>
      <c r="K738"/>
      <c r="L738"/>
      <c r="M738"/>
      <c r="N738"/>
      <c r="O738"/>
      <c r="P738"/>
      <c r="Q738"/>
      <c r="R738"/>
      <c r="S738"/>
      <c r="T738"/>
      <c r="U738"/>
      <c r="V738"/>
      <c r="W738"/>
      <c r="X738"/>
      <c r="Y738"/>
      <c r="Z738"/>
      <c r="AA738"/>
      <c r="AB738"/>
      <c r="AC738"/>
      <c r="AD738"/>
      <c r="AE738"/>
      <c r="AF738"/>
      <c r="AY738" s="465"/>
    </row>
    <row r="739" spans="1:51" x14ac:dyDescent="0.25">
      <c r="A739" s="622" t="s">
        <v>18</v>
      </c>
      <c r="B739" s="406">
        <v>0.56000000000000005</v>
      </c>
      <c r="C739" s="19">
        <v>0.78</v>
      </c>
      <c r="D739" s="19">
        <v>0.79</v>
      </c>
      <c r="E739" s="19">
        <v>0.63</v>
      </c>
      <c r="F739" s="19">
        <v>0.69</v>
      </c>
      <c r="G739" s="19">
        <v>0.73</v>
      </c>
      <c r="H739" s="19">
        <v>0.79</v>
      </c>
      <c r="I739" s="19">
        <f>I746/I751</f>
        <v>0.72586507843167503</v>
      </c>
      <c r="J739" s="626">
        <f>J746/J751</f>
        <v>0.72586507843167503</v>
      </c>
      <c r="K739"/>
      <c r="L739"/>
      <c r="M739"/>
      <c r="N739"/>
      <c r="O739"/>
      <c r="P739"/>
      <c r="Q739"/>
      <c r="R739"/>
      <c r="S739"/>
      <c r="T739"/>
      <c r="U739"/>
      <c r="V739"/>
      <c r="W739"/>
      <c r="X739"/>
      <c r="Y739"/>
      <c r="Z739"/>
      <c r="AA739"/>
      <c r="AB739"/>
      <c r="AC739"/>
      <c r="AD739"/>
      <c r="AE739"/>
      <c r="AF739"/>
      <c r="AY739" s="465"/>
    </row>
    <row r="740" spans="1:51" x14ac:dyDescent="0.25">
      <c r="A740" s="622" t="s">
        <v>19</v>
      </c>
      <c r="B740" s="406">
        <v>0.01</v>
      </c>
      <c r="C740" s="19">
        <v>0</v>
      </c>
      <c r="D740" s="19">
        <v>0</v>
      </c>
      <c r="E740" s="19">
        <v>0.03</v>
      </c>
      <c r="F740" s="19">
        <v>0</v>
      </c>
      <c r="G740" s="19">
        <v>0</v>
      </c>
      <c r="H740" s="19">
        <v>0.01</v>
      </c>
      <c r="I740" s="19">
        <f>I747/I751</f>
        <v>5.3204626050783223E-3</v>
      </c>
      <c r="J740" s="626">
        <f>J747/J751</f>
        <v>5.3204626050783223E-3</v>
      </c>
      <c r="K740"/>
      <c r="L740"/>
      <c r="M740"/>
      <c r="N740"/>
      <c r="O740"/>
      <c r="P740"/>
      <c r="Q740"/>
      <c r="R740"/>
      <c r="S740"/>
      <c r="T740"/>
      <c r="U740"/>
      <c r="V740"/>
      <c r="W740"/>
      <c r="X740"/>
      <c r="Y740"/>
      <c r="Z740"/>
      <c r="AA740"/>
      <c r="AB740"/>
      <c r="AC740"/>
      <c r="AD740"/>
      <c r="AE740"/>
      <c r="AF740"/>
      <c r="AY740" s="465"/>
    </row>
    <row r="741" spans="1:51" x14ac:dyDescent="0.25">
      <c r="A741" s="622" t="s">
        <v>20</v>
      </c>
      <c r="B741" s="406">
        <v>0.33</v>
      </c>
      <c r="C741" s="19">
        <v>0.19</v>
      </c>
      <c r="D741" s="19">
        <v>0.14000000000000001</v>
      </c>
      <c r="E741" s="19">
        <v>0.28999999999999998</v>
      </c>
      <c r="F741" s="19">
        <v>0.26</v>
      </c>
      <c r="G741" s="19">
        <v>0.2</v>
      </c>
      <c r="H741" s="19">
        <v>0.16</v>
      </c>
      <c r="I741" s="19">
        <f>I748/I751</f>
        <v>0.21267911616812937</v>
      </c>
      <c r="J741" s="626">
        <f>J748/J751</f>
        <v>0.21267911616812935</v>
      </c>
      <c r="K741"/>
      <c r="L741"/>
      <c r="M741"/>
      <c r="N741"/>
      <c r="O741"/>
      <c r="P741"/>
      <c r="Q741"/>
      <c r="R741"/>
      <c r="S741"/>
      <c r="T741"/>
      <c r="U741"/>
      <c r="V741"/>
      <c r="W741"/>
      <c r="X741"/>
      <c r="Y741"/>
      <c r="Z741"/>
      <c r="AA741"/>
      <c r="AB741"/>
      <c r="AC741"/>
      <c r="AD741"/>
      <c r="AE741"/>
      <c r="AF741"/>
      <c r="AY741" s="465"/>
    </row>
    <row r="742" spans="1:51" x14ac:dyDescent="0.25">
      <c r="A742" s="622" t="s">
        <v>21</v>
      </c>
      <c r="B742" s="406">
        <v>0.1</v>
      </c>
      <c r="C742" s="19">
        <v>0.03</v>
      </c>
      <c r="D742" s="19">
        <v>7.0000000000000007E-2</v>
      </c>
      <c r="E742" s="19">
        <v>0.05</v>
      </c>
      <c r="F742" s="19">
        <v>0.05</v>
      </c>
      <c r="G742" s="19">
        <v>7.0000000000000007E-2</v>
      </c>
      <c r="H742" s="19">
        <v>0.04</v>
      </c>
      <c r="I742" s="19">
        <f>I749/I751</f>
        <v>5.6135342795117289E-2</v>
      </c>
      <c r="J742" s="626">
        <f>J749/J751</f>
        <v>5.6135342795117289E-2</v>
      </c>
      <c r="K742"/>
      <c r="L742"/>
      <c r="M742"/>
      <c r="N742"/>
      <c r="O742"/>
      <c r="P742"/>
      <c r="Q742"/>
      <c r="R742"/>
      <c r="S742"/>
      <c r="T742"/>
      <c r="U742"/>
      <c r="V742"/>
      <c r="W742"/>
      <c r="X742"/>
      <c r="Y742"/>
      <c r="Z742"/>
      <c r="AA742"/>
      <c r="AB742"/>
      <c r="AC742"/>
      <c r="AD742"/>
      <c r="AE742"/>
      <c r="AF742"/>
      <c r="AY742" s="465"/>
    </row>
    <row r="743" spans="1:51" x14ac:dyDescent="0.25">
      <c r="A743" s="622" t="s">
        <v>22</v>
      </c>
      <c r="B743" s="406">
        <v>0</v>
      </c>
      <c r="C743" s="19">
        <v>0</v>
      </c>
      <c r="D743" s="19">
        <v>0</v>
      </c>
      <c r="E743" s="19">
        <v>0</v>
      </c>
      <c r="F743" s="19">
        <v>0</v>
      </c>
      <c r="G743" s="19">
        <v>0</v>
      </c>
      <c r="H743" s="19">
        <v>0</v>
      </c>
      <c r="I743" s="19">
        <f>I750/I751</f>
        <v>0</v>
      </c>
      <c r="J743" s="626">
        <f>J750/J751</f>
        <v>0</v>
      </c>
      <c r="K743"/>
      <c r="L743"/>
      <c r="M743"/>
      <c r="N743"/>
      <c r="O743"/>
      <c r="P743"/>
      <c r="Q743"/>
      <c r="R743"/>
      <c r="S743"/>
      <c r="T743"/>
      <c r="U743"/>
      <c r="V743"/>
      <c r="W743"/>
      <c r="X743"/>
      <c r="Y743"/>
      <c r="Z743"/>
      <c r="AA743"/>
      <c r="AB743"/>
      <c r="AC743"/>
      <c r="AD743"/>
      <c r="AE743"/>
      <c r="AF743"/>
      <c r="AY743" s="465"/>
    </row>
    <row r="744" spans="1:51" x14ac:dyDescent="0.25">
      <c r="A744" s="627" t="s">
        <v>23</v>
      </c>
      <c r="B744" s="409">
        <f t="shared" ref="B744:J744" si="396">B755/B738</f>
        <v>35212.500000000007</v>
      </c>
      <c r="C744" s="131">
        <f t="shared" si="396"/>
        <v>37939.534883720931</v>
      </c>
      <c r="D744" s="131">
        <f t="shared" si="396"/>
        <v>40068.627450980392</v>
      </c>
      <c r="E744" s="131">
        <f t="shared" si="396"/>
        <v>32894.000000000007</v>
      </c>
      <c r="F744" s="131">
        <f t="shared" si="396"/>
        <v>39902.020202020205</v>
      </c>
      <c r="G744" s="131">
        <f t="shared" si="396"/>
        <v>36477.235772357722</v>
      </c>
      <c r="H744" s="131">
        <f t="shared" si="396"/>
        <v>36449.541284403676</v>
      </c>
      <c r="I744" s="131">
        <f t="shared" si="396"/>
        <v>37192.110453648915</v>
      </c>
      <c r="J744" s="628">
        <f t="shared" si="396"/>
        <v>37192.110453648915</v>
      </c>
      <c r="K744"/>
      <c r="L744"/>
      <c r="M744"/>
      <c r="N744"/>
      <c r="O744"/>
      <c r="P744"/>
      <c r="Q744"/>
      <c r="R744"/>
      <c r="S744"/>
      <c r="T744"/>
      <c r="U744"/>
      <c r="V744"/>
      <c r="W744"/>
      <c r="X744"/>
      <c r="Y744"/>
      <c r="Z744"/>
      <c r="AA744"/>
      <c r="AB744"/>
      <c r="AC744"/>
      <c r="AD744"/>
      <c r="AE744"/>
      <c r="AF744"/>
      <c r="AY744" s="465"/>
    </row>
    <row r="745" spans="1:51" x14ac:dyDescent="0.25">
      <c r="A745" s="627" t="s">
        <v>24</v>
      </c>
      <c r="B745" s="409">
        <f t="shared" ref="B745:J745" si="397">B755/B732</f>
        <v>28892.307692307699</v>
      </c>
      <c r="C745" s="131">
        <f t="shared" si="397"/>
        <v>30211.111111111109</v>
      </c>
      <c r="D745" s="131">
        <f t="shared" si="397"/>
        <v>30500</v>
      </c>
      <c r="E745" s="131">
        <f t="shared" si="397"/>
        <v>24919.696969696972</v>
      </c>
      <c r="F745" s="131">
        <f t="shared" si="397"/>
        <v>31351.587301587304</v>
      </c>
      <c r="G745" s="131">
        <f t="shared" si="397"/>
        <v>29324.83660130719</v>
      </c>
      <c r="H745" s="131">
        <f t="shared" si="397"/>
        <v>29872.180451127824</v>
      </c>
      <c r="I745" s="131">
        <f t="shared" si="397"/>
        <v>29555.485893416928</v>
      </c>
      <c r="J745" s="628">
        <f t="shared" si="397"/>
        <v>29555.485893416932</v>
      </c>
      <c r="K745"/>
      <c r="L745"/>
      <c r="M745"/>
      <c r="N745"/>
      <c r="O745"/>
      <c r="P745"/>
      <c r="Q745"/>
      <c r="R745"/>
      <c r="S745"/>
      <c r="T745"/>
      <c r="U745"/>
      <c r="V745"/>
      <c r="W745"/>
      <c r="X745"/>
      <c r="Y745"/>
      <c r="Z745"/>
      <c r="AA745"/>
      <c r="AB745"/>
      <c r="AC745"/>
      <c r="AD745"/>
      <c r="AE745"/>
      <c r="AF745"/>
      <c r="AY745" s="465"/>
    </row>
    <row r="746" spans="1:51" x14ac:dyDescent="0.25">
      <c r="A746" s="622" t="s">
        <v>25</v>
      </c>
      <c r="B746" s="255">
        <f t="shared" ref="B746:H746" si="398">B751*B739</f>
        <v>523694.81379310356</v>
      </c>
      <c r="C746" s="133">
        <f t="shared" si="398"/>
        <v>1038605.3420689655</v>
      </c>
      <c r="D746" s="133">
        <f t="shared" si="398"/>
        <v>1321132.7455172415</v>
      </c>
      <c r="E746" s="133">
        <f t="shared" si="398"/>
        <v>850659.28137931041</v>
      </c>
      <c r="F746" s="133">
        <f t="shared" si="398"/>
        <v>2243145.1737931035</v>
      </c>
      <c r="G746" s="133">
        <f t="shared" si="398"/>
        <v>2675500.2441379311</v>
      </c>
      <c r="H746" s="133">
        <f t="shared" si="398"/>
        <v>2545556.9600000004</v>
      </c>
      <c r="I746" s="133">
        <f>SUM(B746:H746)</f>
        <v>11198294.560689656</v>
      </c>
      <c r="J746" s="629">
        <f t="shared" ref="J746:J751" si="399">+$I746/7</f>
        <v>1599756.365812808</v>
      </c>
      <c r="K746"/>
      <c r="L746"/>
      <c r="M746"/>
      <c r="N746"/>
      <c r="O746"/>
      <c r="P746"/>
      <c r="Q746"/>
      <c r="R746"/>
      <c r="S746"/>
      <c r="T746"/>
      <c r="U746"/>
      <c r="V746"/>
      <c r="W746"/>
      <c r="X746"/>
      <c r="Y746"/>
      <c r="Z746"/>
      <c r="AA746"/>
      <c r="AB746"/>
      <c r="AC746"/>
      <c r="AD746"/>
      <c r="AE746"/>
      <c r="AF746"/>
      <c r="AY746" s="465"/>
    </row>
    <row r="747" spans="1:51" x14ac:dyDescent="0.25">
      <c r="A747" s="622" t="s">
        <v>26</v>
      </c>
      <c r="B747" s="255">
        <f t="shared" ref="B747:H747" si="400">B751*B740</f>
        <v>9351.6931034482768</v>
      </c>
      <c r="C747" s="133">
        <f t="shared" si="400"/>
        <v>0</v>
      </c>
      <c r="D747" s="133">
        <f t="shared" si="400"/>
        <v>0</v>
      </c>
      <c r="E747" s="133">
        <f t="shared" si="400"/>
        <v>40507.584827586208</v>
      </c>
      <c r="F747" s="133">
        <f t="shared" si="400"/>
        <v>0</v>
      </c>
      <c r="G747" s="133">
        <f t="shared" si="400"/>
        <v>0</v>
      </c>
      <c r="H747" s="133">
        <f t="shared" si="400"/>
        <v>32222.240000000005</v>
      </c>
      <c r="I747" s="133">
        <f>SUM(B747:H747)</f>
        <v>82081.517931034497</v>
      </c>
      <c r="J747" s="629">
        <f t="shared" si="399"/>
        <v>11725.931133004928</v>
      </c>
      <c r="K747"/>
      <c r="L747"/>
      <c r="M747"/>
      <c r="N747"/>
      <c r="O747"/>
      <c r="P747"/>
      <c r="Q747"/>
      <c r="R747"/>
      <c r="S747"/>
      <c r="T747"/>
      <c r="U747"/>
      <c r="V747"/>
      <c r="W747"/>
      <c r="X747"/>
      <c r="Y747"/>
      <c r="Z747"/>
      <c r="AA747"/>
      <c r="AB747"/>
      <c r="AC747"/>
      <c r="AD747"/>
      <c r="AE747"/>
      <c r="AF747"/>
      <c r="AY747" s="465"/>
    </row>
    <row r="748" spans="1:51" x14ac:dyDescent="0.25">
      <c r="A748" s="622" t="s">
        <v>27</v>
      </c>
      <c r="B748" s="255">
        <f t="shared" ref="B748:H748" si="401">B751*B741</f>
        <v>308605.87241379317</v>
      </c>
      <c r="C748" s="133">
        <f t="shared" si="401"/>
        <v>252993.60896551725</v>
      </c>
      <c r="D748" s="133">
        <f t="shared" si="401"/>
        <v>234124.7903448276</v>
      </c>
      <c r="E748" s="133">
        <f t="shared" si="401"/>
        <v>391573.32</v>
      </c>
      <c r="F748" s="133">
        <f t="shared" si="401"/>
        <v>845243.10896551737</v>
      </c>
      <c r="G748" s="133">
        <f t="shared" si="401"/>
        <v>733013.76551724144</v>
      </c>
      <c r="H748" s="133">
        <f t="shared" si="401"/>
        <v>515555.84000000008</v>
      </c>
      <c r="I748" s="133">
        <f>SUM(B748:H748)</f>
        <v>3281110.3062068969</v>
      </c>
      <c r="J748" s="629">
        <f t="shared" si="399"/>
        <v>468730.0437438424</v>
      </c>
      <c r="K748"/>
      <c r="L748"/>
      <c r="M748"/>
      <c r="N748"/>
      <c r="O748"/>
      <c r="P748"/>
      <c r="Q748"/>
      <c r="R748"/>
      <c r="S748"/>
      <c r="T748"/>
      <c r="U748"/>
      <c r="V748"/>
      <c r="W748"/>
      <c r="X748"/>
      <c r="Y748"/>
      <c r="Z748"/>
      <c r="AA748"/>
      <c r="AB748"/>
      <c r="AC748"/>
      <c r="AD748"/>
      <c r="AE748"/>
      <c r="AF748"/>
      <c r="AY748" s="465"/>
    </row>
    <row r="749" spans="1:51" x14ac:dyDescent="0.25">
      <c r="A749" s="622" t="s">
        <v>28</v>
      </c>
      <c r="B749" s="255">
        <f t="shared" ref="B749:H749" si="402">B751*B742</f>
        <v>93516.931034482783</v>
      </c>
      <c r="C749" s="133">
        <f t="shared" si="402"/>
        <v>39946.359310344829</v>
      </c>
      <c r="D749" s="133">
        <f t="shared" si="402"/>
        <v>117062.3951724138</v>
      </c>
      <c r="E749" s="133">
        <f t="shared" si="402"/>
        <v>67512.641379310357</v>
      </c>
      <c r="F749" s="133">
        <f t="shared" si="402"/>
        <v>162546.75172413795</v>
      </c>
      <c r="G749" s="133">
        <f t="shared" si="402"/>
        <v>256554.81793103451</v>
      </c>
      <c r="H749" s="133">
        <f t="shared" si="402"/>
        <v>128888.96000000002</v>
      </c>
      <c r="I749" s="133">
        <f>SUM(B749:H749)</f>
        <v>866028.85655172425</v>
      </c>
      <c r="J749" s="629">
        <f t="shared" si="399"/>
        <v>123718.40807881775</v>
      </c>
      <c r="K749"/>
      <c r="L749"/>
      <c r="M749"/>
      <c r="N749"/>
      <c r="O749"/>
      <c r="P749"/>
      <c r="Q749"/>
      <c r="R749"/>
      <c r="S749"/>
      <c r="T749"/>
      <c r="U749"/>
      <c r="V749"/>
      <c r="W749"/>
      <c r="X749"/>
      <c r="Y749"/>
      <c r="Z749"/>
      <c r="AA749"/>
      <c r="AB749"/>
      <c r="AC749"/>
      <c r="AD749"/>
      <c r="AE749"/>
      <c r="AF749"/>
      <c r="AY749" s="465"/>
    </row>
    <row r="750" spans="1:51" x14ac:dyDescent="0.25">
      <c r="A750" s="622" t="s">
        <v>29</v>
      </c>
      <c r="B750" s="255">
        <f t="shared" ref="B750:H750" si="403">B751*B743</f>
        <v>0</v>
      </c>
      <c r="C750" s="727">
        <f t="shared" si="403"/>
        <v>0</v>
      </c>
      <c r="D750" s="727">
        <f t="shared" si="403"/>
        <v>0</v>
      </c>
      <c r="E750" s="727">
        <f t="shared" si="403"/>
        <v>0</v>
      </c>
      <c r="F750" s="727">
        <f t="shared" si="403"/>
        <v>0</v>
      </c>
      <c r="G750" s="727">
        <f t="shared" si="403"/>
        <v>0</v>
      </c>
      <c r="H750" s="727">
        <f t="shared" si="403"/>
        <v>0</v>
      </c>
      <c r="I750" s="133">
        <f>SUM(B750:H750)</f>
        <v>0</v>
      </c>
      <c r="J750" s="629">
        <f t="shared" si="399"/>
        <v>0</v>
      </c>
      <c r="K750"/>
      <c r="L750"/>
      <c r="M750"/>
      <c r="N750"/>
      <c r="O750"/>
      <c r="P750"/>
      <c r="Q750"/>
      <c r="R750"/>
      <c r="S750"/>
      <c r="T750"/>
      <c r="U750"/>
      <c r="V750"/>
      <c r="W750"/>
      <c r="X750"/>
      <c r="Y750"/>
      <c r="Z750"/>
      <c r="AA750"/>
      <c r="AB750"/>
      <c r="AC750"/>
      <c r="AD750"/>
      <c r="AE750"/>
      <c r="AF750"/>
      <c r="AY750" s="465"/>
    </row>
    <row r="751" spans="1:51" x14ac:dyDescent="0.25">
      <c r="A751" s="630" t="s">
        <v>30</v>
      </c>
      <c r="B751" s="726">
        <f>(1126800/1.16)-B752</f>
        <v>935169.31034482771</v>
      </c>
      <c r="C751" s="729">
        <f>(1631400/1.16)-C752</f>
        <v>1331545.3103448276</v>
      </c>
      <c r="D751" s="729">
        <f>(2043500/1.16)-D752</f>
        <v>1672319.9310344828</v>
      </c>
      <c r="E751" s="729">
        <f>(1644700/1.16)-E752</f>
        <v>1350252.8275862071</v>
      </c>
      <c r="F751" s="729">
        <f>(3950300/1.16)-F752</f>
        <v>3250935.034482759</v>
      </c>
      <c r="G751" s="729">
        <f>(4486700/1.16)-G752</f>
        <v>3665068.8275862071</v>
      </c>
      <c r="H751" s="729">
        <f>(3973000/1.16)-H752</f>
        <v>3222224.0000000005</v>
      </c>
      <c r="I751" s="137">
        <f>SUM(I746:I750)</f>
        <v>15427515.241379311</v>
      </c>
      <c r="J751" s="631">
        <f t="shared" si="399"/>
        <v>2203930.748768473</v>
      </c>
      <c r="K751"/>
      <c r="L751"/>
      <c r="M751"/>
      <c r="N751"/>
      <c r="O751"/>
      <c r="P751"/>
      <c r="Q751"/>
      <c r="R751"/>
      <c r="S751"/>
      <c r="T751"/>
      <c r="U751"/>
      <c r="V751"/>
      <c r="W751"/>
      <c r="X751"/>
      <c r="Y751"/>
      <c r="Z751"/>
      <c r="AA751"/>
      <c r="AB751"/>
      <c r="AC751"/>
      <c r="AD751"/>
      <c r="AE751"/>
      <c r="AF751"/>
      <c r="AY751" s="465"/>
    </row>
    <row r="752" spans="1:51" x14ac:dyDescent="0.25">
      <c r="A752" s="622" t="s">
        <v>31</v>
      </c>
      <c r="B752" s="263">
        <f t="shared" ref="B752:H752" si="404">2414*B733</f>
        <v>36210</v>
      </c>
      <c r="C752" s="728">
        <f t="shared" si="404"/>
        <v>74834</v>
      </c>
      <c r="D752" s="728">
        <f t="shared" si="404"/>
        <v>89318</v>
      </c>
      <c r="E752" s="728">
        <f t="shared" si="404"/>
        <v>67592</v>
      </c>
      <c r="F752" s="728">
        <f t="shared" si="404"/>
        <v>154496</v>
      </c>
      <c r="G752" s="728">
        <f t="shared" si="404"/>
        <v>202776</v>
      </c>
      <c r="H752" s="728">
        <f t="shared" si="404"/>
        <v>202776</v>
      </c>
      <c r="I752" s="139">
        <f>I733*2414</f>
        <v>828002</v>
      </c>
      <c r="J752" s="632">
        <f>2155*J733</f>
        <v>105595</v>
      </c>
      <c r="K752"/>
      <c r="L752"/>
      <c r="M752"/>
      <c r="N752"/>
      <c r="O752"/>
      <c r="P752"/>
      <c r="Q752"/>
      <c r="R752"/>
      <c r="S752"/>
      <c r="T752"/>
      <c r="U752"/>
      <c r="V752"/>
      <c r="W752"/>
      <c r="X752"/>
      <c r="Y752"/>
      <c r="Z752"/>
      <c r="AA752"/>
      <c r="AB752"/>
      <c r="AC752"/>
      <c r="AD752"/>
      <c r="AE752"/>
      <c r="AF752"/>
      <c r="AY752" s="465"/>
    </row>
    <row r="753" spans="1:51" x14ac:dyDescent="0.25">
      <c r="A753" s="633" t="s">
        <v>32</v>
      </c>
      <c r="B753" s="411">
        <f t="shared" ref="B753:J753" si="405">B751+B752</f>
        <v>971379.31034482771</v>
      </c>
      <c r="C753" s="40">
        <f t="shared" si="405"/>
        <v>1406379.3103448276</v>
      </c>
      <c r="D753" s="40">
        <f t="shared" si="405"/>
        <v>1761637.9310344828</v>
      </c>
      <c r="E753" s="40">
        <f t="shared" si="405"/>
        <v>1417844.8275862071</v>
      </c>
      <c r="F753" s="40">
        <f t="shared" si="405"/>
        <v>3405431.034482759</v>
      </c>
      <c r="G753" s="40">
        <f t="shared" si="405"/>
        <v>3867844.8275862071</v>
      </c>
      <c r="H753" s="40">
        <f t="shared" si="405"/>
        <v>3425000.0000000005</v>
      </c>
      <c r="I753" s="40">
        <f t="shared" si="405"/>
        <v>16255517.241379311</v>
      </c>
      <c r="J753" s="634">
        <f t="shared" si="405"/>
        <v>2309525.748768473</v>
      </c>
      <c r="K753"/>
      <c r="L753"/>
      <c r="M753"/>
      <c r="N753"/>
      <c r="O753"/>
      <c r="P753"/>
      <c r="Q753"/>
      <c r="R753"/>
      <c r="S753"/>
      <c r="T753"/>
      <c r="U753"/>
      <c r="V753"/>
      <c r="W753"/>
      <c r="X753"/>
      <c r="Y753"/>
      <c r="Z753"/>
      <c r="AA753"/>
      <c r="AB753"/>
      <c r="AC753"/>
      <c r="AD753"/>
      <c r="AE753"/>
      <c r="AF753"/>
      <c r="AY753" s="465"/>
    </row>
    <row r="754" spans="1:51" x14ac:dyDescent="0.25">
      <c r="A754" s="622" t="s">
        <v>33</v>
      </c>
      <c r="B754" s="413">
        <f t="shared" ref="B754:J754" si="406">B753*16%</f>
        <v>155420.68965517243</v>
      </c>
      <c r="C754" s="42">
        <f t="shared" si="406"/>
        <v>225020.68965517241</v>
      </c>
      <c r="D754" s="42">
        <f t="shared" si="406"/>
        <v>281862.06896551728</v>
      </c>
      <c r="E754" s="42">
        <f t="shared" si="406"/>
        <v>226855.17241379313</v>
      </c>
      <c r="F754" s="42">
        <f t="shared" si="406"/>
        <v>544868.96551724139</v>
      </c>
      <c r="G754" s="42">
        <f t="shared" si="406"/>
        <v>618855.17241379316</v>
      </c>
      <c r="H754" s="42">
        <f t="shared" si="406"/>
        <v>548000.00000000012</v>
      </c>
      <c r="I754" s="42">
        <f t="shared" si="406"/>
        <v>2600882.7586206901</v>
      </c>
      <c r="J754" s="635">
        <f t="shared" si="406"/>
        <v>369524.11980295571</v>
      </c>
      <c r="K754"/>
      <c r="L754"/>
      <c r="M754"/>
      <c r="N754"/>
      <c r="O754"/>
      <c r="P754"/>
      <c r="Q754"/>
      <c r="R754"/>
      <c r="S754"/>
      <c r="T754"/>
      <c r="U754"/>
      <c r="V754"/>
      <c r="W754"/>
      <c r="X754"/>
      <c r="Y754"/>
      <c r="Z754"/>
      <c r="AA754"/>
      <c r="AB754"/>
      <c r="AC754"/>
      <c r="AD754"/>
      <c r="AE754"/>
      <c r="AF754"/>
      <c r="AY754" s="465"/>
    </row>
    <row r="755" spans="1:51" ht="15.75" thickBot="1" x14ac:dyDescent="0.3">
      <c r="A755" s="636" t="s">
        <v>34</v>
      </c>
      <c r="B755" s="637">
        <f t="shared" ref="B755:I755" si="407">B753+B754</f>
        <v>1126800.0000000002</v>
      </c>
      <c r="C755" s="638">
        <f t="shared" si="407"/>
        <v>1631400</v>
      </c>
      <c r="D755" s="638">
        <f t="shared" si="407"/>
        <v>2043500</v>
      </c>
      <c r="E755" s="638">
        <f t="shared" si="407"/>
        <v>1644700.0000000002</v>
      </c>
      <c r="F755" s="638">
        <f t="shared" si="407"/>
        <v>3950300.0000000005</v>
      </c>
      <c r="G755" s="638">
        <f t="shared" si="407"/>
        <v>4486700</v>
      </c>
      <c r="H755" s="638">
        <f t="shared" si="407"/>
        <v>3973000.0000000005</v>
      </c>
      <c r="I755" s="638">
        <f t="shared" si="407"/>
        <v>18856400</v>
      </c>
      <c r="J755" s="639">
        <f>+$I755/7</f>
        <v>2693771.4285714286</v>
      </c>
      <c r="K755"/>
      <c r="L755"/>
      <c r="M755"/>
      <c r="N755"/>
      <c r="O755"/>
      <c r="P755"/>
      <c r="Q755"/>
      <c r="R755"/>
      <c r="S755"/>
      <c r="T755"/>
      <c r="U755"/>
      <c r="V755"/>
      <c r="W755"/>
      <c r="X755"/>
      <c r="Y755"/>
      <c r="Z755"/>
      <c r="AA755"/>
      <c r="AB755"/>
      <c r="AC755"/>
      <c r="AD755"/>
      <c r="AE755"/>
      <c r="AF755"/>
      <c r="AY755" s="465"/>
    </row>
    <row r="756" spans="1:51" ht="15.75" thickBot="1" x14ac:dyDescent="0.3">
      <c r="K756"/>
      <c r="L756"/>
      <c r="M756"/>
      <c r="N756"/>
      <c r="O756"/>
      <c r="P756"/>
      <c r="Q756"/>
      <c r="R756"/>
      <c r="S756"/>
      <c r="T756"/>
      <c r="U756"/>
      <c r="V756"/>
      <c r="W756"/>
      <c r="X756"/>
      <c r="Y756"/>
      <c r="Z756"/>
      <c r="AA756"/>
      <c r="AB756"/>
      <c r="AC756"/>
      <c r="AD756"/>
      <c r="AE756"/>
      <c r="AF756"/>
      <c r="AY756" s="465"/>
    </row>
    <row r="757" spans="1:51" ht="27" thickBot="1" x14ac:dyDescent="0.3">
      <c r="A757" s="85"/>
      <c r="B757" s="1002" t="s">
        <v>369</v>
      </c>
      <c r="C757" s="1002"/>
      <c r="D757" s="1002"/>
      <c r="E757" s="1002"/>
      <c r="F757" s="1002"/>
      <c r="G757" s="1002"/>
      <c r="H757" s="1002"/>
      <c r="I757" s="1002"/>
      <c r="J757" s="85"/>
      <c r="K757"/>
      <c r="L757"/>
      <c r="M757"/>
      <c r="N757"/>
      <c r="O757"/>
      <c r="P757"/>
      <c r="Q757"/>
      <c r="R757"/>
      <c r="S757"/>
      <c r="T757"/>
      <c r="U757"/>
      <c r="V757"/>
      <c r="W757"/>
      <c r="X757"/>
      <c r="Y757"/>
      <c r="Z757"/>
      <c r="AA757"/>
      <c r="AB757"/>
      <c r="AC757"/>
      <c r="AD757"/>
      <c r="AE757"/>
      <c r="AF757"/>
      <c r="AY757" s="465"/>
    </row>
    <row r="758" spans="1:51" ht="15.75" x14ac:dyDescent="0.25">
      <c r="A758" s="614" t="s">
        <v>2</v>
      </c>
      <c r="B758" s="706" t="s">
        <v>329</v>
      </c>
      <c r="C758" s="617" t="s">
        <v>330</v>
      </c>
      <c r="D758" s="617" t="s">
        <v>331</v>
      </c>
      <c r="E758" s="617" t="s">
        <v>332</v>
      </c>
      <c r="F758" s="617" t="s">
        <v>333</v>
      </c>
      <c r="G758" s="617" t="s">
        <v>334</v>
      </c>
      <c r="H758" s="617" t="s">
        <v>335</v>
      </c>
      <c r="I758" s="618" t="s">
        <v>10</v>
      </c>
      <c r="J758" s="619" t="s">
        <v>77</v>
      </c>
      <c r="K758"/>
      <c r="L758"/>
      <c r="M758"/>
      <c r="N758"/>
      <c r="O758"/>
      <c r="P758"/>
      <c r="Q758"/>
      <c r="R758"/>
      <c r="S758"/>
      <c r="T758"/>
      <c r="U758"/>
      <c r="V758"/>
      <c r="W758"/>
      <c r="X758"/>
      <c r="Y758"/>
      <c r="Z758"/>
      <c r="AA758"/>
      <c r="AB758"/>
      <c r="AC758"/>
      <c r="AD758"/>
      <c r="AE758"/>
      <c r="AF758"/>
      <c r="AY758" s="465"/>
    </row>
    <row r="759" spans="1:51" x14ac:dyDescent="0.25">
      <c r="A759" s="620" t="s">
        <v>11</v>
      </c>
      <c r="B759" s="433">
        <f>24+12+12</f>
        <v>48</v>
      </c>
      <c r="C759" s="673">
        <f>21+5+1</f>
        <v>27</v>
      </c>
      <c r="D759" s="739">
        <f>26+16+3</f>
        <v>45</v>
      </c>
      <c r="E759" s="673">
        <f>31+16+3</f>
        <v>50</v>
      </c>
      <c r="F759" s="673">
        <f>67+51+18</f>
        <v>136</v>
      </c>
      <c r="G759" s="673">
        <f>68+53+14</f>
        <v>135</v>
      </c>
      <c r="H759" s="673">
        <f>62+45+18</f>
        <v>125</v>
      </c>
      <c r="I759" s="673">
        <f t="shared" ref="I759:I764" si="408">SUM(B759:H759)</f>
        <v>566</v>
      </c>
      <c r="J759" s="621">
        <f t="shared" ref="J759:J765" si="409">+$I759/7</f>
        <v>80.857142857142861</v>
      </c>
      <c r="K759"/>
      <c r="L759"/>
      <c r="M759"/>
      <c r="N759"/>
      <c r="O759"/>
      <c r="P759"/>
      <c r="Q759"/>
      <c r="R759"/>
      <c r="S759"/>
      <c r="T759"/>
      <c r="U759"/>
      <c r="V759"/>
      <c r="W759"/>
      <c r="X759"/>
      <c r="Y759"/>
      <c r="Z759"/>
      <c r="AA759"/>
      <c r="AB759"/>
      <c r="AC759"/>
      <c r="AD759"/>
      <c r="AE759"/>
      <c r="AF759"/>
      <c r="AY759" s="465"/>
    </row>
    <row r="760" spans="1:51" x14ac:dyDescent="0.25">
      <c r="A760" s="622" t="s">
        <v>12</v>
      </c>
      <c r="B760" s="233">
        <v>19</v>
      </c>
      <c r="C760" s="671">
        <v>12</v>
      </c>
      <c r="D760" s="671">
        <v>20</v>
      </c>
      <c r="E760" s="671">
        <v>21</v>
      </c>
      <c r="F760" s="671">
        <v>75</v>
      </c>
      <c r="G760" s="675">
        <v>76</v>
      </c>
      <c r="H760" s="671">
        <v>64</v>
      </c>
      <c r="I760" s="671">
        <f t="shared" si="408"/>
        <v>287</v>
      </c>
      <c r="J760" s="623">
        <f t="shared" si="409"/>
        <v>41</v>
      </c>
      <c r="K760"/>
      <c r="L760"/>
      <c r="M760"/>
      <c r="N760"/>
      <c r="O760"/>
      <c r="P760"/>
      <c r="Q760"/>
      <c r="R760"/>
      <c r="S760"/>
      <c r="T760"/>
      <c r="U760"/>
      <c r="V760"/>
      <c r="W760"/>
      <c r="X760"/>
      <c r="Y760"/>
      <c r="Z760"/>
      <c r="AA760"/>
      <c r="AB760"/>
      <c r="AC760"/>
      <c r="AD760"/>
      <c r="AE760"/>
      <c r="AF760"/>
      <c r="AY760" s="465"/>
    </row>
    <row r="761" spans="1:51" x14ac:dyDescent="0.25">
      <c r="A761" s="622" t="s">
        <v>13</v>
      </c>
      <c r="B761" s="233">
        <v>0</v>
      </c>
      <c r="C761" s="13">
        <v>0</v>
      </c>
      <c r="D761" s="13">
        <v>1</v>
      </c>
      <c r="E761" s="13">
        <v>1</v>
      </c>
      <c r="F761" s="13">
        <v>0</v>
      </c>
      <c r="G761" s="13">
        <v>1</v>
      </c>
      <c r="H761" s="13">
        <v>2</v>
      </c>
      <c r="I761" s="13">
        <f t="shared" si="408"/>
        <v>5</v>
      </c>
      <c r="J761" s="623">
        <f t="shared" si="409"/>
        <v>0.7142857142857143</v>
      </c>
      <c r="K761"/>
      <c r="L761"/>
      <c r="M761"/>
      <c r="N761"/>
      <c r="O761"/>
      <c r="P761"/>
      <c r="Q761"/>
      <c r="R761"/>
      <c r="S761"/>
      <c r="T761"/>
      <c r="U761"/>
      <c r="V761"/>
      <c r="W761"/>
      <c r="X761"/>
      <c r="Y761"/>
      <c r="Z761"/>
      <c r="AA761"/>
      <c r="AB761"/>
      <c r="AC761"/>
      <c r="AD761"/>
      <c r="AE761"/>
      <c r="AF761"/>
      <c r="AY761" s="465"/>
    </row>
    <row r="762" spans="1:51" x14ac:dyDescent="0.25">
      <c r="A762" s="622" t="s">
        <v>14</v>
      </c>
      <c r="B762" s="233">
        <v>11</v>
      </c>
      <c r="C762" s="13">
        <v>7</v>
      </c>
      <c r="D762" s="320">
        <v>12</v>
      </c>
      <c r="E762" s="13">
        <v>17</v>
      </c>
      <c r="F762" s="13">
        <v>22</v>
      </c>
      <c r="G762" s="13">
        <v>15</v>
      </c>
      <c r="H762" s="13">
        <v>17</v>
      </c>
      <c r="I762" s="13">
        <f t="shared" si="408"/>
        <v>101</v>
      </c>
      <c r="J762" s="623">
        <f t="shared" si="409"/>
        <v>14.428571428571429</v>
      </c>
      <c r="K762"/>
      <c r="L762"/>
      <c r="M762"/>
      <c r="N762"/>
      <c r="O762"/>
      <c r="P762"/>
      <c r="Q762"/>
      <c r="R762"/>
      <c r="S762"/>
      <c r="T762"/>
      <c r="U762"/>
      <c r="V762"/>
      <c r="W762"/>
      <c r="X762"/>
      <c r="Y762"/>
      <c r="Z762"/>
      <c r="AA762"/>
      <c r="AB762"/>
      <c r="AC762"/>
      <c r="AD762"/>
      <c r="AE762"/>
      <c r="AF762"/>
      <c r="AY762" s="465"/>
    </row>
    <row r="763" spans="1:51" x14ac:dyDescent="0.25">
      <c r="A763" s="622" t="s">
        <v>15</v>
      </c>
      <c r="B763" s="233">
        <v>4</v>
      </c>
      <c r="C763" s="13">
        <v>1</v>
      </c>
      <c r="D763" s="13">
        <v>5</v>
      </c>
      <c r="E763" s="13">
        <v>1</v>
      </c>
      <c r="F763" s="13">
        <v>4</v>
      </c>
      <c r="G763" s="13">
        <v>13</v>
      </c>
      <c r="H763" s="13">
        <v>15</v>
      </c>
      <c r="I763" s="13">
        <f t="shared" si="408"/>
        <v>43</v>
      </c>
      <c r="J763" s="623">
        <f t="shared" si="409"/>
        <v>6.1428571428571432</v>
      </c>
      <c r="K763"/>
      <c r="L763"/>
      <c r="M763"/>
      <c r="N763"/>
      <c r="O763"/>
      <c r="P763"/>
      <c r="Q763"/>
      <c r="R763"/>
      <c r="S763"/>
      <c r="T763"/>
      <c r="U763"/>
      <c r="V763"/>
      <c r="W763"/>
      <c r="X763"/>
      <c r="Y763"/>
      <c r="Z763"/>
      <c r="AA763"/>
      <c r="AB763"/>
      <c r="AC763"/>
      <c r="AD763"/>
      <c r="AE763"/>
      <c r="AF763"/>
      <c r="AY763" s="465"/>
    </row>
    <row r="764" spans="1:51" x14ac:dyDescent="0.25">
      <c r="A764" s="622" t="s">
        <v>16</v>
      </c>
      <c r="B764" s="233">
        <v>0</v>
      </c>
      <c r="C764" s="13">
        <v>0</v>
      </c>
      <c r="D764" s="13">
        <v>0</v>
      </c>
      <c r="E764" s="13">
        <v>0</v>
      </c>
      <c r="F764" s="13">
        <v>0</v>
      </c>
      <c r="G764" s="13">
        <v>0</v>
      </c>
      <c r="H764" s="13">
        <v>0</v>
      </c>
      <c r="I764" s="13">
        <f t="shared" si="408"/>
        <v>0</v>
      </c>
      <c r="J764" s="623">
        <f t="shared" si="409"/>
        <v>0</v>
      </c>
      <c r="K764"/>
      <c r="L764"/>
      <c r="M764"/>
      <c r="N764"/>
      <c r="O764"/>
      <c r="P764"/>
      <c r="Q764"/>
      <c r="R764"/>
      <c r="S764"/>
      <c r="T764"/>
      <c r="U764"/>
      <c r="V764"/>
      <c r="W764"/>
      <c r="X764"/>
      <c r="Y764"/>
      <c r="Z764"/>
      <c r="AA764"/>
      <c r="AB764"/>
      <c r="AC764"/>
      <c r="AD764"/>
      <c r="AE764"/>
      <c r="AF764"/>
      <c r="AY764" s="465"/>
    </row>
    <row r="765" spans="1:51" x14ac:dyDescent="0.25">
      <c r="A765" s="624" t="s">
        <v>17</v>
      </c>
      <c r="B765" s="102">
        <f t="shared" ref="B765:H765" si="410">SUM(B760:B764)</f>
        <v>34</v>
      </c>
      <c r="C765" s="79">
        <f t="shared" si="410"/>
        <v>20</v>
      </c>
      <c r="D765" s="79">
        <f t="shared" si="410"/>
        <v>38</v>
      </c>
      <c r="E765" s="79">
        <f t="shared" si="410"/>
        <v>40</v>
      </c>
      <c r="F765" s="79">
        <f t="shared" si="410"/>
        <v>101</v>
      </c>
      <c r="G765" s="79">
        <f t="shared" si="410"/>
        <v>105</v>
      </c>
      <c r="H765" s="79">
        <f t="shared" si="410"/>
        <v>98</v>
      </c>
      <c r="I765" s="79">
        <f>SUM(I760:I764)</f>
        <v>436</v>
      </c>
      <c r="J765" s="625">
        <f t="shared" si="409"/>
        <v>62.285714285714285</v>
      </c>
      <c r="K765"/>
      <c r="L765"/>
      <c r="M765"/>
      <c r="N765"/>
      <c r="O765"/>
      <c r="P765"/>
      <c r="Q765"/>
      <c r="R765"/>
      <c r="S765"/>
      <c r="T765"/>
      <c r="U765"/>
      <c r="V765"/>
      <c r="W765"/>
      <c r="X765"/>
      <c r="Y765"/>
      <c r="Z765"/>
      <c r="AA765"/>
      <c r="AB765"/>
      <c r="AC765"/>
      <c r="AD765"/>
      <c r="AE765"/>
      <c r="AF765"/>
      <c r="AY765" s="465"/>
    </row>
    <row r="766" spans="1:51" x14ac:dyDescent="0.25">
      <c r="A766" s="622" t="s">
        <v>18</v>
      </c>
      <c r="B766" s="406">
        <v>0.64</v>
      </c>
      <c r="C766" s="19">
        <v>0.77</v>
      </c>
      <c r="D766" s="19">
        <v>0.65</v>
      </c>
      <c r="E766" s="19">
        <v>0.62</v>
      </c>
      <c r="F766" s="19">
        <v>0.81</v>
      </c>
      <c r="G766" s="19">
        <v>0.78</v>
      </c>
      <c r="H766" s="19">
        <v>0.69</v>
      </c>
      <c r="I766" s="19">
        <f>I773/I778</f>
        <v>0.73401265067785126</v>
      </c>
      <c r="J766" s="626">
        <f>J773/J778</f>
        <v>0.73401265067785126</v>
      </c>
      <c r="K766"/>
      <c r="L766"/>
      <c r="M766"/>
      <c r="N766"/>
      <c r="O766"/>
      <c r="P766"/>
      <c r="Q766"/>
      <c r="R766"/>
      <c r="S766"/>
      <c r="T766"/>
      <c r="U766"/>
      <c r="V766"/>
      <c r="W766"/>
      <c r="X766"/>
      <c r="Y766"/>
      <c r="Z766"/>
      <c r="AA766"/>
      <c r="AB766"/>
      <c r="AC766"/>
      <c r="AD766"/>
      <c r="AE766"/>
      <c r="AF766"/>
      <c r="AY766" s="465"/>
    </row>
    <row r="767" spans="1:51" x14ac:dyDescent="0.25">
      <c r="A767" s="622" t="s">
        <v>19</v>
      </c>
      <c r="B767" s="406">
        <v>0</v>
      </c>
      <c r="C767" s="19">
        <v>0</v>
      </c>
      <c r="D767" s="19">
        <v>0.01</v>
      </c>
      <c r="E767" s="19">
        <v>0.01</v>
      </c>
      <c r="F767" s="19">
        <v>0</v>
      </c>
      <c r="G767" s="19">
        <v>0</v>
      </c>
      <c r="H767" s="19">
        <v>0.01</v>
      </c>
      <c r="I767" s="19">
        <f>I774/I778</f>
        <v>3.7358378787472873E-3</v>
      </c>
      <c r="J767" s="626">
        <f>J774/J778</f>
        <v>3.7358378787472868E-3</v>
      </c>
      <c r="K767"/>
      <c r="L767"/>
      <c r="M767"/>
      <c r="N767"/>
      <c r="O767"/>
      <c r="P767"/>
      <c r="Q767"/>
      <c r="R767"/>
      <c r="S767"/>
      <c r="T767"/>
      <c r="U767"/>
      <c r="V767"/>
      <c r="W767"/>
      <c r="X767"/>
      <c r="Y767"/>
      <c r="Z767"/>
      <c r="AA767"/>
      <c r="AB767"/>
      <c r="AC767"/>
      <c r="AD767"/>
      <c r="AE767"/>
      <c r="AF767"/>
      <c r="AY767" s="465"/>
    </row>
    <row r="768" spans="1:51" x14ac:dyDescent="0.25">
      <c r="A768" s="622" t="s">
        <v>20</v>
      </c>
      <c r="B768" s="406">
        <v>0.28000000000000003</v>
      </c>
      <c r="C768" s="19">
        <v>0.2</v>
      </c>
      <c r="D768" s="19">
        <v>0.26</v>
      </c>
      <c r="E768" s="19">
        <v>0.35</v>
      </c>
      <c r="F768" s="19">
        <v>0.17</v>
      </c>
      <c r="G768" s="19">
        <v>0.14000000000000001</v>
      </c>
      <c r="H768" s="19">
        <v>0.2</v>
      </c>
      <c r="I768" s="19">
        <f>I775/I778</f>
        <v>0.20083069154881258</v>
      </c>
      <c r="J768" s="626">
        <f>J775/J778</f>
        <v>0.20083069154881256</v>
      </c>
      <c r="K768"/>
      <c r="L768"/>
      <c r="M768"/>
      <c r="N768"/>
      <c r="O768"/>
      <c r="P768"/>
      <c r="Q768"/>
      <c r="R768"/>
      <c r="S768"/>
      <c r="T768"/>
      <c r="U768"/>
      <c r="V768"/>
      <c r="W768"/>
      <c r="X768"/>
      <c r="Y768"/>
      <c r="Z768"/>
      <c r="AA768"/>
      <c r="AB768"/>
      <c r="AC768"/>
      <c r="AD768"/>
      <c r="AE768"/>
      <c r="AF768"/>
      <c r="AY768" s="465"/>
    </row>
    <row r="769" spans="1:51" x14ac:dyDescent="0.25">
      <c r="A769" s="622" t="s">
        <v>21</v>
      </c>
      <c r="B769" s="406">
        <v>0.08</v>
      </c>
      <c r="C769" s="19">
        <v>0.03</v>
      </c>
      <c r="D769" s="19">
        <v>0.08</v>
      </c>
      <c r="E769" s="19">
        <v>0.02</v>
      </c>
      <c r="F769" s="19">
        <v>0.02</v>
      </c>
      <c r="G769" s="19">
        <v>0.08</v>
      </c>
      <c r="H769" s="19">
        <v>0.1</v>
      </c>
      <c r="I769" s="19">
        <f>I776/I778</f>
        <v>6.1420819894588974E-2</v>
      </c>
      <c r="J769" s="626">
        <f>J776/J778</f>
        <v>6.1420819894588974E-2</v>
      </c>
      <c r="K769"/>
      <c r="L769"/>
      <c r="M769"/>
      <c r="N769"/>
      <c r="O769"/>
      <c r="P769"/>
      <c r="Q769"/>
      <c r="R769"/>
      <c r="S769"/>
      <c r="T769"/>
      <c r="U769"/>
      <c r="V769"/>
      <c r="W769"/>
      <c r="X769"/>
      <c r="Y769"/>
      <c r="Z769"/>
      <c r="AA769"/>
      <c r="AB769"/>
      <c r="AC769"/>
      <c r="AD769"/>
      <c r="AE769"/>
      <c r="AF769"/>
      <c r="AY769" s="465"/>
    </row>
    <row r="770" spans="1:51" x14ac:dyDescent="0.25">
      <c r="A770" s="622" t="s">
        <v>22</v>
      </c>
      <c r="B770" s="406">
        <v>0</v>
      </c>
      <c r="C770" s="19">
        <v>0</v>
      </c>
      <c r="D770" s="19">
        <v>0</v>
      </c>
      <c r="E770" s="19">
        <v>0</v>
      </c>
      <c r="F770" s="19">
        <v>0</v>
      </c>
      <c r="G770" s="19">
        <v>0</v>
      </c>
      <c r="H770" s="19">
        <v>0</v>
      </c>
      <c r="I770" s="19">
        <f>I777/I778</f>
        <v>0</v>
      </c>
      <c r="J770" s="626">
        <f>J777/J778</f>
        <v>0</v>
      </c>
      <c r="K770"/>
      <c r="L770"/>
      <c r="M770"/>
      <c r="N770"/>
      <c r="O770"/>
      <c r="P770"/>
      <c r="Q770"/>
      <c r="R770"/>
      <c r="S770"/>
      <c r="T770"/>
      <c r="U770"/>
      <c r="V770"/>
      <c r="W770"/>
      <c r="X770"/>
      <c r="Y770"/>
      <c r="Z770"/>
      <c r="AA770"/>
      <c r="AB770"/>
      <c r="AC770"/>
      <c r="AD770"/>
      <c r="AE770"/>
      <c r="AF770"/>
      <c r="AY770" s="465"/>
    </row>
    <row r="771" spans="1:51" x14ac:dyDescent="0.25">
      <c r="A771" s="627" t="s">
        <v>23</v>
      </c>
      <c r="B771" s="409">
        <f t="shared" ref="B771:J771" si="411">B782/B765</f>
        <v>35923.529411764706</v>
      </c>
      <c r="C771" s="131">
        <f t="shared" si="411"/>
        <v>38975.000000000007</v>
      </c>
      <c r="D771" s="131">
        <f t="shared" si="411"/>
        <v>32878.947368421061</v>
      </c>
      <c r="E771" s="131">
        <f t="shared" si="411"/>
        <v>35565</v>
      </c>
      <c r="F771" s="131">
        <f t="shared" si="411"/>
        <v>41595.049504950497</v>
      </c>
      <c r="G771" s="131">
        <f t="shared" si="411"/>
        <v>39619.047619047626</v>
      </c>
      <c r="H771" s="131">
        <f t="shared" si="411"/>
        <v>35691.836734693876</v>
      </c>
      <c r="I771" s="131">
        <f t="shared" si="411"/>
        <v>37916.972477064228</v>
      </c>
      <c r="J771" s="628">
        <f t="shared" si="411"/>
        <v>37916.972477064228</v>
      </c>
      <c r="K771"/>
      <c r="L771"/>
      <c r="M771"/>
      <c r="N771"/>
      <c r="O771"/>
      <c r="P771"/>
      <c r="Q771"/>
      <c r="R771"/>
      <c r="S771"/>
      <c r="T771"/>
      <c r="U771"/>
      <c r="V771"/>
      <c r="W771"/>
      <c r="X771"/>
      <c r="Y771"/>
      <c r="Z771"/>
      <c r="AA771"/>
      <c r="AB771"/>
      <c r="AC771"/>
      <c r="AD771"/>
      <c r="AE771"/>
      <c r="AF771"/>
      <c r="AY771" s="465"/>
    </row>
    <row r="772" spans="1:51" x14ac:dyDescent="0.25">
      <c r="A772" s="627" t="s">
        <v>24</v>
      </c>
      <c r="B772" s="409">
        <f t="shared" ref="B772:J772" si="412">B782/B759</f>
        <v>25445.833333333332</v>
      </c>
      <c r="C772" s="131">
        <f t="shared" si="412"/>
        <v>28870.370370370376</v>
      </c>
      <c r="D772" s="131">
        <f t="shared" si="412"/>
        <v>27764.444444444449</v>
      </c>
      <c r="E772" s="131">
        <f t="shared" si="412"/>
        <v>28452</v>
      </c>
      <c r="F772" s="131">
        <f t="shared" si="412"/>
        <v>30890.441176470587</v>
      </c>
      <c r="G772" s="131">
        <f t="shared" si="412"/>
        <v>30814.814814814818</v>
      </c>
      <c r="H772" s="131">
        <f t="shared" si="412"/>
        <v>27982.400000000001</v>
      </c>
      <c r="I772" s="131">
        <f t="shared" si="412"/>
        <v>29208.127208480568</v>
      </c>
      <c r="J772" s="628">
        <f t="shared" si="412"/>
        <v>29208.127208480568</v>
      </c>
      <c r="K772"/>
      <c r="L772"/>
      <c r="M772"/>
      <c r="N772"/>
      <c r="O772"/>
      <c r="P772"/>
      <c r="Q772"/>
      <c r="R772"/>
      <c r="S772"/>
      <c r="T772"/>
      <c r="U772"/>
      <c r="V772"/>
      <c r="W772"/>
      <c r="X772"/>
      <c r="Y772"/>
      <c r="Z772"/>
      <c r="AA772"/>
      <c r="AB772"/>
      <c r="AC772"/>
      <c r="AD772"/>
      <c r="AE772"/>
      <c r="AF772"/>
      <c r="AY772" s="465"/>
    </row>
    <row r="773" spans="1:51" x14ac:dyDescent="0.25">
      <c r="A773" s="622" t="s">
        <v>25</v>
      </c>
      <c r="B773" s="255">
        <f t="shared" ref="B773:H773" si="413">B778*B766</f>
        <v>644521.62206896557</v>
      </c>
      <c r="C773" s="133">
        <f t="shared" si="413"/>
        <v>495121.36413793109</v>
      </c>
      <c r="D773" s="133">
        <f t="shared" si="413"/>
        <v>668712.82758620696</v>
      </c>
      <c r="E773" s="133">
        <f t="shared" si="413"/>
        <v>728924.89241379313</v>
      </c>
      <c r="F773" s="133">
        <f t="shared" si="413"/>
        <v>2786876.2241379316</v>
      </c>
      <c r="G773" s="133">
        <f t="shared" si="413"/>
        <v>2654139.4593103454</v>
      </c>
      <c r="H773" s="133">
        <f t="shared" si="413"/>
        <v>1973985.6910344828</v>
      </c>
      <c r="I773" s="133">
        <f>SUM(B773:H773)</f>
        <v>9952282.0806896575</v>
      </c>
      <c r="J773" s="629">
        <f t="shared" ref="J773:J778" si="414">+$I773/7</f>
        <v>1421754.5829556654</v>
      </c>
      <c r="K773"/>
      <c r="L773"/>
      <c r="M773"/>
      <c r="N773"/>
      <c r="O773"/>
      <c r="P773"/>
      <c r="Q773"/>
      <c r="R773"/>
      <c r="S773"/>
      <c r="T773"/>
      <c r="U773"/>
      <c r="V773"/>
      <c r="W773"/>
      <c r="X773"/>
      <c r="Y773"/>
      <c r="Z773"/>
      <c r="AA773"/>
      <c r="AB773"/>
      <c r="AC773"/>
      <c r="AD773"/>
      <c r="AE773"/>
      <c r="AF773"/>
      <c r="AY773" s="465"/>
    </row>
    <row r="774" spans="1:51" x14ac:dyDescent="0.25">
      <c r="A774" s="622" t="s">
        <v>26</v>
      </c>
      <c r="B774" s="255">
        <f t="shared" ref="B774:H774" si="415">B778*B767</f>
        <v>0</v>
      </c>
      <c r="C774" s="133">
        <f t="shared" si="415"/>
        <v>0</v>
      </c>
      <c r="D774" s="133">
        <f t="shared" si="415"/>
        <v>10287.889655172416</v>
      </c>
      <c r="E774" s="133">
        <f t="shared" si="415"/>
        <v>11756.853103448277</v>
      </c>
      <c r="F774" s="133">
        <f t="shared" si="415"/>
        <v>0</v>
      </c>
      <c r="G774" s="133">
        <f t="shared" si="415"/>
        <v>0</v>
      </c>
      <c r="H774" s="133">
        <f t="shared" si="415"/>
        <v>28608.48827586207</v>
      </c>
      <c r="I774" s="133">
        <f>SUM(B774:H774)</f>
        <v>50653.231034482757</v>
      </c>
      <c r="J774" s="629">
        <f t="shared" si="414"/>
        <v>7236.1758620689652</v>
      </c>
      <c r="K774"/>
      <c r="L774"/>
      <c r="M774"/>
      <c r="N774"/>
      <c r="O774"/>
      <c r="P774"/>
      <c r="Q774"/>
      <c r="R774"/>
      <c r="S774"/>
      <c r="T774"/>
      <c r="U774"/>
      <c r="V774"/>
      <c r="W774"/>
      <c r="X774"/>
      <c r="Y774"/>
      <c r="Z774"/>
      <c r="AA774"/>
      <c r="AB774"/>
      <c r="AC774"/>
      <c r="AD774"/>
      <c r="AE774"/>
      <c r="AF774"/>
      <c r="AY774" s="465"/>
    </row>
    <row r="775" spans="1:51" x14ac:dyDescent="0.25">
      <c r="A775" s="622" t="s">
        <v>27</v>
      </c>
      <c r="B775" s="255">
        <f t="shared" ref="B775:H775" si="416">B778*B768</f>
        <v>281978.20965517248</v>
      </c>
      <c r="C775" s="133">
        <f t="shared" si="416"/>
        <v>128602.95172413795</v>
      </c>
      <c r="D775" s="133">
        <f t="shared" si="416"/>
        <v>267485.13103448279</v>
      </c>
      <c r="E775" s="133">
        <f t="shared" si="416"/>
        <v>411489.85862068966</v>
      </c>
      <c r="F775" s="133">
        <f t="shared" si="416"/>
        <v>584899.94827586215</v>
      </c>
      <c r="G775" s="133">
        <f t="shared" si="416"/>
        <v>476384.00551724149</v>
      </c>
      <c r="H775" s="133">
        <f t="shared" si="416"/>
        <v>572169.76551724144</v>
      </c>
      <c r="I775" s="133">
        <f>SUM(B775:H775)</f>
        <v>2723009.8703448279</v>
      </c>
      <c r="J775" s="629">
        <f t="shared" si="414"/>
        <v>389001.41004926112</v>
      </c>
      <c r="K775"/>
      <c r="L775"/>
      <c r="M775"/>
      <c r="N775"/>
      <c r="O775"/>
      <c r="P775"/>
      <c r="Q775"/>
      <c r="R775"/>
      <c r="S775"/>
      <c r="T775"/>
      <c r="U775"/>
      <c r="V775"/>
      <c r="W775"/>
      <c r="X775"/>
      <c r="Y775"/>
      <c r="Z775"/>
      <c r="AA775"/>
      <c r="AB775"/>
      <c r="AC775"/>
      <c r="AD775"/>
      <c r="AE775"/>
      <c r="AF775"/>
      <c r="AY775" s="465"/>
    </row>
    <row r="776" spans="1:51" x14ac:dyDescent="0.25">
      <c r="A776" s="622" t="s">
        <v>28</v>
      </c>
      <c r="B776" s="255">
        <f t="shared" ref="B776:H776" si="417">B778*B769</f>
        <v>80565.202758620697</v>
      </c>
      <c r="C776" s="133">
        <f t="shared" si="417"/>
        <v>19290.442758620691</v>
      </c>
      <c r="D776" s="133">
        <f t="shared" si="417"/>
        <v>82303.117241379325</v>
      </c>
      <c r="E776" s="133">
        <f t="shared" si="417"/>
        <v>23513.706206896553</v>
      </c>
      <c r="F776" s="133">
        <f t="shared" si="417"/>
        <v>68811.758620689667</v>
      </c>
      <c r="G776" s="133">
        <f t="shared" si="417"/>
        <v>272219.43172413798</v>
      </c>
      <c r="H776" s="133">
        <f t="shared" si="417"/>
        <v>286084.88275862072</v>
      </c>
      <c r="I776" s="133">
        <f>SUM(B776:H776)</f>
        <v>832788.5420689655</v>
      </c>
      <c r="J776" s="629">
        <f t="shared" si="414"/>
        <v>118969.79172413793</v>
      </c>
      <c r="K776"/>
      <c r="L776"/>
      <c r="M776"/>
      <c r="N776"/>
      <c r="O776"/>
      <c r="P776"/>
      <c r="Q776"/>
      <c r="R776"/>
      <c r="S776"/>
      <c r="T776"/>
      <c r="U776"/>
      <c r="V776"/>
      <c r="W776"/>
      <c r="X776"/>
      <c r="Y776"/>
      <c r="Z776"/>
      <c r="AA776"/>
      <c r="AB776"/>
      <c r="AC776"/>
      <c r="AD776"/>
      <c r="AE776"/>
      <c r="AF776"/>
      <c r="AY776" s="465"/>
    </row>
    <row r="777" spans="1:51" x14ac:dyDescent="0.25">
      <c r="A777" s="622" t="s">
        <v>29</v>
      </c>
      <c r="B777" s="255">
        <f t="shared" ref="B777:H777" si="418">B778*B770</f>
        <v>0</v>
      </c>
      <c r="C777" s="727">
        <f t="shared" si="418"/>
        <v>0</v>
      </c>
      <c r="D777" s="727">
        <f t="shared" si="418"/>
        <v>0</v>
      </c>
      <c r="E777" s="727">
        <f t="shared" si="418"/>
        <v>0</v>
      </c>
      <c r="F777" s="727">
        <f t="shared" si="418"/>
        <v>0</v>
      </c>
      <c r="G777" s="727">
        <f t="shared" si="418"/>
        <v>0</v>
      </c>
      <c r="H777" s="727">
        <f t="shared" si="418"/>
        <v>0</v>
      </c>
      <c r="I777" s="133">
        <f>SUM(B777:H777)</f>
        <v>0</v>
      </c>
      <c r="J777" s="629">
        <f t="shared" si="414"/>
        <v>0</v>
      </c>
      <c r="K777"/>
      <c r="L777"/>
      <c r="M777"/>
      <c r="N777"/>
      <c r="O777"/>
      <c r="P777"/>
      <c r="Q777"/>
      <c r="R777"/>
      <c r="S777"/>
      <c r="T777"/>
      <c r="U777"/>
      <c r="V777"/>
      <c r="W777"/>
      <c r="X777"/>
      <c r="Y777"/>
      <c r="Z777"/>
      <c r="AA777"/>
      <c r="AB777"/>
      <c r="AC777"/>
      <c r="AD777"/>
      <c r="AE777"/>
      <c r="AF777"/>
      <c r="AY777" s="465"/>
    </row>
    <row r="778" spans="1:51" x14ac:dyDescent="0.25">
      <c r="A778" s="630" t="s">
        <v>30</v>
      </c>
      <c r="B778" s="726">
        <f>(1221400/1.16)-B779</f>
        <v>1007065.0344827587</v>
      </c>
      <c r="C778" s="729">
        <f>(779500/1.16)-C779</f>
        <v>643014.75862068974</v>
      </c>
      <c r="D778" s="729">
        <f>(1249400/1.16)-D779</f>
        <v>1028788.9655172415</v>
      </c>
      <c r="E778" s="729">
        <f>(1422600/1.16)-E779</f>
        <v>1175685.3103448276</v>
      </c>
      <c r="F778" s="729">
        <f>(4201100/1.16)-F779</f>
        <v>3440587.931034483</v>
      </c>
      <c r="G778" s="729">
        <f>(4160000/1.16)-G779</f>
        <v>3402742.8965517245</v>
      </c>
      <c r="H778" s="729">
        <f>(3497800/1.16)-H779</f>
        <v>2860848.8275862071</v>
      </c>
      <c r="I778" s="137">
        <f>SUM(I773:I777)</f>
        <v>13558733.724137932</v>
      </c>
      <c r="J778" s="631">
        <f t="shared" si="414"/>
        <v>1936961.9605911332</v>
      </c>
      <c r="K778"/>
      <c r="L778"/>
      <c r="M778"/>
      <c r="N778"/>
      <c r="O778"/>
      <c r="P778"/>
      <c r="Q778"/>
      <c r="R778"/>
      <c r="S778"/>
      <c r="T778"/>
      <c r="U778"/>
      <c r="V778"/>
      <c r="W778"/>
      <c r="X778"/>
      <c r="Y778"/>
      <c r="Z778"/>
      <c r="AA778"/>
      <c r="AB778"/>
      <c r="AC778"/>
      <c r="AD778"/>
      <c r="AE778"/>
      <c r="AF778"/>
      <c r="AY778" s="465"/>
    </row>
    <row r="779" spans="1:51" x14ac:dyDescent="0.25">
      <c r="A779" s="622" t="s">
        <v>31</v>
      </c>
      <c r="B779" s="263">
        <f t="shared" ref="B779:H779" si="419">2414*B760</f>
        <v>45866</v>
      </c>
      <c r="C779" s="728">
        <f t="shared" si="419"/>
        <v>28968</v>
      </c>
      <c r="D779" s="728">
        <f t="shared" si="419"/>
        <v>48280</v>
      </c>
      <c r="E779" s="728">
        <f t="shared" si="419"/>
        <v>50694</v>
      </c>
      <c r="F779" s="728">
        <f t="shared" si="419"/>
        <v>181050</v>
      </c>
      <c r="G779" s="728">
        <f t="shared" si="419"/>
        <v>183464</v>
      </c>
      <c r="H779" s="728">
        <f t="shared" si="419"/>
        <v>154496</v>
      </c>
      <c r="I779" s="139">
        <f>I760*2414</f>
        <v>692818</v>
      </c>
      <c r="J779" s="632">
        <f>2414*J760</f>
        <v>98974</v>
      </c>
      <c r="K779"/>
      <c r="L779"/>
      <c r="M779"/>
      <c r="N779"/>
      <c r="O779"/>
      <c r="P779"/>
      <c r="Q779"/>
      <c r="R779"/>
      <c r="S779"/>
      <c r="T779"/>
      <c r="U779"/>
      <c r="V779"/>
      <c r="W779"/>
      <c r="X779"/>
      <c r="Y779"/>
      <c r="Z779"/>
      <c r="AA779"/>
      <c r="AB779"/>
      <c r="AC779"/>
      <c r="AD779"/>
      <c r="AE779"/>
      <c r="AF779"/>
      <c r="AY779" s="465"/>
    </row>
    <row r="780" spans="1:51" x14ac:dyDescent="0.25">
      <c r="A780" s="633" t="s">
        <v>32</v>
      </c>
      <c r="B780" s="411">
        <f t="shared" ref="B780:J780" si="420">B778+B779</f>
        <v>1052931.0344827587</v>
      </c>
      <c r="C780" s="40">
        <f t="shared" si="420"/>
        <v>671982.75862068974</v>
      </c>
      <c r="D780" s="40">
        <f t="shared" si="420"/>
        <v>1077068.9655172415</v>
      </c>
      <c r="E780" s="40">
        <f t="shared" si="420"/>
        <v>1226379.3103448276</v>
      </c>
      <c r="F780" s="40">
        <f t="shared" si="420"/>
        <v>3621637.931034483</v>
      </c>
      <c r="G780" s="40">
        <f t="shared" si="420"/>
        <v>3586206.8965517245</v>
      </c>
      <c r="H780" s="40">
        <f t="shared" si="420"/>
        <v>3015344.8275862071</v>
      </c>
      <c r="I780" s="40">
        <f t="shared" si="420"/>
        <v>14251551.724137932</v>
      </c>
      <c r="J780" s="634">
        <f t="shared" si="420"/>
        <v>2035935.9605911332</v>
      </c>
      <c r="K780"/>
      <c r="L780"/>
      <c r="M780"/>
      <c r="N780"/>
      <c r="O780"/>
      <c r="P780"/>
      <c r="Q780"/>
      <c r="R780"/>
      <c r="S780"/>
      <c r="T780"/>
      <c r="U780"/>
      <c r="V780"/>
      <c r="W780"/>
      <c r="X780"/>
      <c r="Y780"/>
      <c r="Z780"/>
      <c r="AA780"/>
      <c r="AB780"/>
      <c r="AC780"/>
      <c r="AD780"/>
      <c r="AE780"/>
      <c r="AF780"/>
      <c r="AY780" s="465"/>
    </row>
    <row r="781" spans="1:51" x14ac:dyDescent="0.25">
      <c r="A781" s="622" t="s">
        <v>33</v>
      </c>
      <c r="B781" s="413">
        <f t="shared" ref="B781:J781" si="421">B780*16%</f>
        <v>168468.96551724139</v>
      </c>
      <c r="C781" s="42">
        <f t="shared" si="421"/>
        <v>107517.24137931036</v>
      </c>
      <c r="D781" s="42">
        <f t="shared" si="421"/>
        <v>172331.03448275864</v>
      </c>
      <c r="E781" s="42">
        <f t="shared" si="421"/>
        <v>196220.68965517241</v>
      </c>
      <c r="F781" s="42">
        <f t="shared" si="421"/>
        <v>579462.06896551733</v>
      </c>
      <c r="G781" s="42">
        <f t="shared" si="421"/>
        <v>573793.10344827594</v>
      </c>
      <c r="H781" s="42">
        <f t="shared" si="421"/>
        <v>482455.17241379316</v>
      </c>
      <c r="I781" s="42">
        <f t="shared" si="421"/>
        <v>2280248.2758620693</v>
      </c>
      <c r="J781" s="635">
        <f t="shared" si="421"/>
        <v>325749.75369458133</v>
      </c>
      <c r="K781"/>
      <c r="L781"/>
      <c r="M781"/>
      <c r="N781"/>
      <c r="O781"/>
      <c r="P781"/>
      <c r="Q781"/>
      <c r="R781"/>
      <c r="S781"/>
      <c r="T781"/>
      <c r="U781"/>
      <c r="V781"/>
      <c r="W781"/>
      <c r="X781"/>
      <c r="Y781"/>
      <c r="Z781"/>
      <c r="AA781"/>
      <c r="AB781"/>
      <c r="AC781"/>
      <c r="AD781"/>
      <c r="AE781"/>
      <c r="AF781"/>
      <c r="AY781" s="465"/>
    </row>
    <row r="782" spans="1:51" ht="15.75" thickBot="1" x14ac:dyDescent="0.3">
      <c r="A782" s="636" t="s">
        <v>34</v>
      </c>
      <c r="B782" s="637">
        <f t="shared" ref="B782:I782" si="422">B780+B781</f>
        <v>1221400</v>
      </c>
      <c r="C782" s="638">
        <f t="shared" si="422"/>
        <v>779500.00000000012</v>
      </c>
      <c r="D782" s="638">
        <f t="shared" si="422"/>
        <v>1249400.0000000002</v>
      </c>
      <c r="E782" s="638">
        <f t="shared" si="422"/>
        <v>1422600</v>
      </c>
      <c r="F782" s="638">
        <f t="shared" si="422"/>
        <v>4201100</v>
      </c>
      <c r="G782" s="638">
        <f t="shared" si="422"/>
        <v>4160000.0000000005</v>
      </c>
      <c r="H782" s="638">
        <f t="shared" si="422"/>
        <v>3497800</v>
      </c>
      <c r="I782" s="638">
        <f t="shared" si="422"/>
        <v>16531800.000000002</v>
      </c>
      <c r="J782" s="639">
        <f>+$I782/7</f>
        <v>2361685.7142857146</v>
      </c>
      <c r="K782"/>
      <c r="L782"/>
      <c r="M782"/>
      <c r="N782"/>
      <c r="O782"/>
      <c r="P782"/>
      <c r="Q782"/>
      <c r="R782"/>
      <c r="S782"/>
      <c r="T782"/>
      <c r="U782"/>
      <c r="V782"/>
      <c r="W782"/>
      <c r="X782"/>
      <c r="Y782"/>
      <c r="Z782"/>
      <c r="AA782"/>
      <c r="AB782"/>
      <c r="AC782"/>
      <c r="AD782"/>
      <c r="AE782"/>
      <c r="AF782"/>
      <c r="AY782" s="465"/>
    </row>
    <row r="783" spans="1:51" ht="15.75" thickBot="1" x14ac:dyDescent="0.3">
      <c r="K783"/>
      <c r="L783"/>
      <c r="M783"/>
      <c r="N783"/>
      <c r="O783"/>
      <c r="P783"/>
      <c r="Q783"/>
      <c r="R783"/>
      <c r="S783"/>
      <c r="T783"/>
      <c r="U783"/>
      <c r="V783"/>
      <c r="W783"/>
      <c r="X783"/>
      <c r="Y783"/>
      <c r="Z783"/>
      <c r="AA783"/>
      <c r="AB783"/>
      <c r="AC783"/>
      <c r="AD783"/>
      <c r="AE783"/>
      <c r="AF783"/>
      <c r="AY783" s="465"/>
    </row>
    <row r="784" spans="1:51" ht="27" thickBot="1" x14ac:dyDescent="0.3">
      <c r="A784" s="85"/>
      <c r="B784" s="1002" t="s">
        <v>370</v>
      </c>
      <c r="C784" s="1002"/>
      <c r="D784" s="1002"/>
      <c r="E784" s="1002"/>
      <c r="F784" s="1002"/>
      <c r="G784" s="1002"/>
      <c r="H784" s="1002"/>
      <c r="I784" s="1002"/>
      <c r="J784" s="85"/>
      <c r="K784"/>
      <c r="L784"/>
      <c r="M784"/>
      <c r="N784"/>
      <c r="O784"/>
      <c r="P784"/>
      <c r="Q784"/>
      <c r="R784"/>
      <c r="S784"/>
      <c r="T784"/>
      <c r="U784"/>
      <c r="V784"/>
      <c r="W784"/>
      <c r="X784"/>
      <c r="Y784"/>
      <c r="Z784"/>
      <c r="AA784"/>
      <c r="AB784"/>
      <c r="AC784"/>
      <c r="AD784"/>
      <c r="AE784"/>
      <c r="AF784"/>
      <c r="AY784" s="465"/>
    </row>
    <row r="785" spans="1:51" ht="15.75" x14ac:dyDescent="0.25">
      <c r="A785" s="614" t="s">
        <v>2</v>
      </c>
      <c r="B785" s="706" t="s">
        <v>337</v>
      </c>
      <c r="C785" s="617" t="s">
        <v>338</v>
      </c>
      <c r="D785" s="617" t="s">
        <v>339</v>
      </c>
      <c r="E785" s="617" t="s">
        <v>340</v>
      </c>
      <c r="F785" s="617" t="s">
        <v>341</v>
      </c>
      <c r="G785" s="617" t="s">
        <v>342</v>
      </c>
      <c r="H785" s="617" t="s">
        <v>343</v>
      </c>
      <c r="I785" s="618" t="s">
        <v>10</v>
      </c>
      <c r="J785" s="619" t="s">
        <v>77</v>
      </c>
      <c r="K785"/>
      <c r="L785"/>
      <c r="M785"/>
      <c r="N785"/>
      <c r="O785"/>
      <c r="P785"/>
      <c r="Q785"/>
      <c r="R785"/>
      <c r="S785"/>
      <c r="T785"/>
      <c r="U785"/>
      <c r="V785"/>
      <c r="W785"/>
      <c r="X785"/>
      <c r="Y785"/>
      <c r="Z785"/>
      <c r="AA785"/>
      <c r="AB785"/>
      <c r="AC785"/>
      <c r="AD785"/>
      <c r="AE785"/>
      <c r="AF785"/>
      <c r="AY785" s="465"/>
    </row>
    <row r="786" spans="1:51" x14ac:dyDescent="0.25">
      <c r="A786" s="620" t="s">
        <v>11</v>
      </c>
      <c r="B786" s="433">
        <f>17+5+2</f>
        <v>24</v>
      </c>
      <c r="C786" s="673">
        <f>35+17+8</f>
        <v>60</v>
      </c>
      <c r="D786" s="739">
        <f>34+21+8</f>
        <v>63</v>
      </c>
      <c r="E786" s="673">
        <f>23+26+2</f>
        <v>51</v>
      </c>
      <c r="F786" s="673">
        <f>70+50+10</f>
        <v>130</v>
      </c>
      <c r="G786" s="673">
        <f>66+46+21</f>
        <v>133</v>
      </c>
      <c r="H786" s="673">
        <f>69+36+15</f>
        <v>120</v>
      </c>
      <c r="I786" s="673">
        <f t="shared" ref="I786:I791" si="423">SUM(B786:H786)</f>
        <v>581</v>
      </c>
      <c r="J786" s="621">
        <f t="shared" ref="J786:J792" si="424">+$I786/7</f>
        <v>83</v>
      </c>
      <c r="K786"/>
      <c r="L786"/>
      <c r="M786"/>
      <c r="N786"/>
      <c r="O786"/>
      <c r="P786"/>
      <c r="Q786"/>
      <c r="R786"/>
      <c r="S786"/>
      <c r="T786"/>
      <c r="U786"/>
      <c r="V786"/>
      <c r="W786"/>
      <c r="X786"/>
      <c r="Y786"/>
      <c r="Z786"/>
      <c r="AA786"/>
      <c r="AB786"/>
      <c r="AC786"/>
      <c r="AD786"/>
      <c r="AE786"/>
      <c r="AF786"/>
      <c r="AY786" s="465"/>
    </row>
    <row r="787" spans="1:51" x14ac:dyDescent="0.25">
      <c r="A787" s="622" t="s">
        <v>12</v>
      </c>
      <c r="B787" s="233">
        <v>12</v>
      </c>
      <c r="C787" s="671">
        <v>25</v>
      </c>
      <c r="D787" s="671">
        <v>31</v>
      </c>
      <c r="E787" s="671">
        <v>25</v>
      </c>
      <c r="F787" s="671">
        <v>65</v>
      </c>
      <c r="G787" s="675">
        <v>60</v>
      </c>
      <c r="H787" s="671">
        <v>61</v>
      </c>
      <c r="I787" s="671">
        <f t="shared" si="423"/>
        <v>279</v>
      </c>
      <c r="J787" s="623">
        <f t="shared" si="424"/>
        <v>39.857142857142854</v>
      </c>
      <c r="K787"/>
      <c r="L787"/>
      <c r="M787"/>
      <c r="N787"/>
      <c r="O787"/>
      <c r="P787"/>
      <c r="Q787"/>
      <c r="R787"/>
      <c r="S787"/>
      <c r="T787"/>
      <c r="U787"/>
      <c r="V787"/>
      <c r="W787"/>
      <c r="X787"/>
      <c r="Y787"/>
      <c r="Z787"/>
      <c r="AA787"/>
      <c r="AB787"/>
      <c r="AC787"/>
      <c r="AD787"/>
      <c r="AE787"/>
      <c r="AF787"/>
      <c r="AY787" s="465"/>
    </row>
    <row r="788" spans="1:51" x14ac:dyDescent="0.25">
      <c r="A788" s="622" t="s">
        <v>13</v>
      </c>
      <c r="B788" s="233">
        <v>0</v>
      </c>
      <c r="C788" s="13">
        <v>0</v>
      </c>
      <c r="D788" s="13">
        <v>1</v>
      </c>
      <c r="E788" s="13">
        <v>0</v>
      </c>
      <c r="F788" s="13">
        <v>2</v>
      </c>
      <c r="G788" s="13">
        <v>2</v>
      </c>
      <c r="H788" s="13">
        <v>0</v>
      </c>
      <c r="I788" s="13">
        <f t="shared" si="423"/>
        <v>5</v>
      </c>
      <c r="J788" s="623">
        <f t="shared" si="424"/>
        <v>0.7142857142857143</v>
      </c>
      <c r="K788"/>
      <c r="L788"/>
      <c r="M788"/>
      <c r="N788"/>
      <c r="O788"/>
      <c r="P788"/>
      <c r="Q788"/>
      <c r="R788"/>
      <c r="S788"/>
      <c r="T788"/>
      <c r="U788"/>
      <c r="V788"/>
      <c r="W788"/>
      <c r="X788"/>
      <c r="Y788"/>
      <c r="Z788"/>
      <c r="AA788"/>
      <c r="AB788"/>
      <c r="AC788"/>
      <c r="AD788"/>
      <c r="AE788"/>
      <c r="AF788"/>
      <c r="AY788" s="465"/>
    </row>
    <row r="789" spans="1:51" x14ac:dyDescent="0.25">
      <c r="A789" s="622" t="s">
        <v>14</v>
      </c>
      <c r="B789" s="233">
        <v>3</v>
      </c>
      <c r="C789" s="13">
        <v>12</v>
      </c>
      <c r="D789" s="320">
        <v>15</v>
      </c>
      <c r="E789" s="13">
        <v>14</v>
      </c>
      <c r="F789" s="13">
        <v>26</v>
      </c>
      <c r="G789" s="13">
        <v>33</v>
      </c>
      <c r="H789" s="13">
        <v>28</v>
      </c>
      <c r="I789" s="13">
        <f t="shared" si="423"/>
        <v>131</v>
      </c>
      <c r="J789" s="623">
        <f t="shared" si="424"/>
        <v>18.714285714285715</v>
      </c>
      <c r="K789"/>
      <c r="L789"/>
      <c r="M789"/>
      <c r="N789"/>
      <c r="O789"/>
      <c r="P789"/>
      <c r="Q789"/>
      <c r="R789"/>
      <c r="S789"/>
      <c r="T789"/>
      <c r="U789"/>
      <c r="V789"/>
      <c r="W789"/>
      <c r="X789"/>
      <c r="Y789"/>
      <c r="Z789"/>
      <c r="AA789"/>
      <c r="AB789"/>
      <c r="AC789"/>
      <c r="AD789"/>
      <c r="AE789"/>
      <c r="AF789"/>
      <c r="AY789" s="465"/>
    </row>
    <row r="790" spans="1:51" x14ac:dyDescent="0.25">
      <c r="A790" s="622" t="s">
        <v>15</v>
      </c>
      <c r="B790" s="233">
        <v>4</v>
      </c>
      <c r="C790" s="13">
        <v>4</v>
      </c>
      <c r="D790" s="13">
        <v>3</v>
      </c>
      <c r="E790" s="13">
        <v>3</v>
      </c>
      <c r="F790" s="13">
        <v>16</v>
      </c>
      <c r="G790" s="13">
        <v>6</v>
      </c>
      <c r="H790" s="13">
        <v>9</v>
      </c>
      <c r="I790" s="13">
        <f t="shared" si="423"/>
        <v>45</v>
      </c>
      <c r="J790" s="623">
        <f t="shared" si="424"/>
        <v>6.4285714285714288</v>
      </c>
      <c r="K790"/>
      <c r="L790"/>
      <c r="M790"/>
      <c r="N790"/>
      <c r="O790"/>
      <c r="P790"/>
      <c r="Q790"/>
      <c r="R790"/>
      <c r="S790"/>
      <c r="T790"/>
      <c r="U790"/>
      <c r="V790"/>
      <c r="W790"/>
      <c r="X790"/>
      <c r="Y790"/>
      <c r="Z790"/>
      <c r="AA790"/>
      <c r="AB790"/>
      <c r="AC790"/>
      <c r="AD790"/>
      <c r="AE790"/>
      <c r="AF790"/>
      <c r="AY790" s="465"/>
    </row>
    <row r="791" spans="1:51" x14ac:dyDescent="0.25">
      <c r="A791" s="622" t="s">
        <v>16</v>
      </c>
      <c r="B791" s="233">
        <v>0</v>
      </c>
      <c r="C791" s="13">
        <v>0</v>
      </c>
      <c r="D791" s="13">
        <v>0</v>
      </c>
      <c r="E791" s="13">
        <v>0</v>
      </c>
      <c r="F791" s="13">
        <v>0</v>
      </c>
      <c r="G791" s="13">
        <v>0</v>
      </c>
      <c r="H791" s="13">
        <v>0</v>
      </c>
      <c r="I791" s="13">
        <f t="shared" si="423"/>
        <v>0</v>
      </c>
      <c r="J791" s="623">
        <f t="shared" si="424"/>
        <v>0</v>
      </c>
      <c r="K791"/>
      <c r="L791"/>
      <c r="M791"/>
      <c r="N791"/>
      <c r="O791"/>
      <c r="P791"/>
      <c r="Q791"/>
      <c r="R791"/>
      <c r="S791"/>
      <c r="T791"/>
      <c r="U791"/>
      <c r="V791"/>
      <c r="W791"/>
      <c r="X791"/>
      <c r="Y791"/>
      <c r="Z791"/>
      <c r="AA791"/>
      <c r="AB791"/>
      <c r="AC791"/>
      <c r="AD791"/>
      <c r="AE791"/>
      <c r="AF791"/>
      <c r="AY791" s="465"/>
    </row>
    <row r="792" spans="1:51" x14ac:dyDescent="0.25">
      <c r="A792" s="624" t="s">
        <v>17</v>
      </c>
      <c r="B792" s="102">
        <f t="shared" ref="B792:H792" si="425">SUM(B787:B791)</f>
        <v>19</v>
      </c>
      <c r="C792" s="79">
        <f t="shared" si="425"/>
        <v>41</v>
      </c>
      <c r="D792" s="79">
        <f t="shared" si="425"/>
        <v>50</v>
      </c>
      <c r="E792" s="79">
        <f t="shared" si="425"/>
        <v>42</v>
      </c>
      <c r="F792" s="79">
        <f t="shared" si="425"/>
        <v>109</v>
      </c>
      <c r="G792" s="79">
        <f t="shared" si="425"/>
        <v>101</v>
      </c>
      <c r="H792" s="79">
        <f t="shared" si="425"/>
        <v>98</v>
      </c>
      <c r="I792" s="79">
        <f>SUM(I787:I791)</f>
        <v>460</v>
      </c>
      <c r="J792" s="625">
        <f t="shared" si="424"/>
        <v>65.714285714285708</v>
      </c>
      <c r="K792"/>
      <c r="L792"/>
      <c r="M792"/>
      <c r="N792"/>
      <c r="O792"/>
      <c r="P792"/>
      <c r="Q792"/>
      <c r="R792"/>
      <c r="S792"/>
      <c r="T792"/>
      <c r="U792"/>
      <c r="V792"/>
      <c r="W792"/>
      <c r="X792"/>
      <c r="Y792"/>
      <c r="Z792"/>
      <c r="AA792"/>
      <c r="AB792"/>
      <c r="AC792"/>
      <c r="AD792"/>
      <c r="AE792"/>
      <c r="AF792"/>
      <c r="AY792" s="465"/>
    </row>
    <row r="793" spans="1:51" x14ac:dyDescent="0.25">
      <c r="A793" s="622" t="s">
        <v>18</v>
      </c>
      <c r="B793" s="406">
        <v>0.73</v>
      </c>
      <c r="C793" s="19">
        <v>0.67</v>
      </c>
      <c r="D793" s="19">
        <v>0.73</v>
      </c>
      <c r="E793" s="19">
        <v>0.69</v>
      </c>
      <c r="F793" s="19">
        <v>0.69</v>
      </c>
      <c r="G793" s="19">
        <v>0.57999999999999996</v>
      </c>
      <c r="H793" s="19">
        <v>0.7</v>
      </c>
      <c r="I793" s="19">
        <f>I800/I805</f>
        <v>0.6694728498916066</v>
      </c>
      <c r="J793" s="626">
        <f>J800/J805</f>
        <v>0.66947284989160649</v>
      </c>
      <c r="K793"/>
      <c r="L793"/>
      <c r="M793"/>
      <c r="N793"/>
      <c r="O793"/>
      <c r="P793"/>
      <c r="Q793"/>
      <c r="R793"/>
      <c r="S793"/>
      <c r="T793"/>
      <c r="U793"/>
      <c r="V793"/>
      <c r="W793"/>
      <c r="X793"/>
      <c r="Y793"/>
      <c r="Z793"/>
      <c r="AA793"/>
      <c r="AB793"/>
      <c r="AC793"/>
      <c r="AD793"/>
      <c r="AE793"/>
      <c r="AF793"/>
      <c r="AY793" s="465"/>
    </row>
    <row r="794" spans="1:51" x14ac:dyDescent="0.25">
      <c r="A794" s="622" t="s">
        <v>19</v>
      </c>
      <c r="B794" s="406">
        <v>0</v>
      </c>
      <c r="C794" s="19">
        <v>0</v>
      </c>
      <c r="D794" s="19">
        <v>0</v>
      </c>
      <c r="E794" s="19">
        <v>0</v>
      </c>
      <c r="F794" s="19">
        <v>0.01</v>
      </c>
      <c r="G794" s="19">
        <v>0.01</v>
      </c>
      <c r="H794" s="19">
        <v>0</v>
      </c>
      <c r="I794" s="19">
        <f>I801/I805</f>
        <v>4.6883877948372676E-3</v>
      </c>
      <c r="J794" s="626">
        <f>J801/J805</f>
        <v>4.6883877948372676E-3</v>
      </c>
      <c r="K794"/>
      <c r="L794"/>
      <c r="M794"/>
      <c r="N794"/>
      <c r="O794"/>
      <c r="P794"/>
      <c r="Q794"/>
      <c r="R794"/>
      <c r="S794"/>
      <c r="T794"/>
      <c r="U794"/>
      <c r="V794"/>
      <c r="W794"/>
      <c r="X794"/>
      <c r="Y794"/>
      <c r="Z794"/>
      <c r="AA794"/>
      <c r="AB794"/>
      <c r="AC794"/>
      <c r="AD794"/>
      <c r="AE794"/>
      <c r="AF794"/>
      <c r="AY794" s="465"/>
    </row>
    <row r="795" spans="1:51" x14ac:dyDescent="0.25">
      <c r="A795" s="622" t="s">
        <v>20</v>
      </c>
      <c r="B795" s="406">
        <v>0.17</v>
      </c>
      <c r="C795" s="19">
        <v>0.18</v>
      </c>
      <c r="D795" s="19">
        <v>0.22</v>
      </c>
      <c r="E795" s="19">
        <v>0.26</v>
      </c>
      <c r="F795" s="19">
        <v>0.19</v>
      </c>
      <c r="G795" s="19">
        <v>0.35</v>
      </c>
      <c r="H795" s="19">
        <v>0.25</v>
      </c>
      <c r="I795" s="19">
        <f>I802/I805</f>
        <v>0.24796010295434132</v>
      </c>
      <c r="J795" s="626">
        <f>J802/J805</f>
        <v>0.24796010295434132</v>
      </c>
      <c r="K795"/>
      <c r="L795"/>
      <c r="M795"/>
      <c r="N795"/>
      <c r="O795"/>
      <c r="P795"/>
      <c r="Q795"/>
      <c r="R795"/>
      <c r="S795"/>
      <c r="T795"/>
      <c r="U795"/>
      <c r="V795"/>
      <c r="W795"/>
      <c r="X795"/>
      <c r="Y795"/>
      <c r="Z795"/>
      <c r="AA795"/>
      <c r="AB795"/>
      <c r="AC795"/>
      <c r="AD795"/>
      <c r="AE795"/>
      <c r="AF795"/>
      <c r="AY795" s="465"/>
    </row>
    <row r="796" spans="1:51" x14ac:dyDescent="0.25">
      <c r="A796" s="622" t="s">
        <v>21</v>
      </c>
      <c r="B796" s="406">
        <v>0.1</v>
      </c>
      <c r="C796" s="19">
        <v>0.15</v>
      </c>
      <c r="D796" s="19">
        <v>0.05</v>
      </c>
      <c r="E796" s="19">
        <v>0.05</v>
      </c>
      <c r="F796" s="19">
        <v>0.11</v>
      </c>
      <c r="G796" s="19">
        <v>0.06</v>
      </c>
      <c r="H796" s="19">
        <v>0.05</v>
      </c>
      <c r="I796" s="19">
        <f>I803/I805</f>
        <v>7.7878659359214897E-2</v>
      </c>
      <c r="J796" s="626">
        <f>J803/J805</f>
        <v>7.7878659359214883E-2</v>
      </c>
      <c r="K796"/>
      <c r="L796"/>
      <c r="M796"/>
      <c r="N796"/>
      <c r="O796"/>
      <c r="P796"/>
      <c r="Q796"/>
      <c r="R796"/>
      <c r="S796"/>
      <c r="T796"/>
      <c r="U796"/>
      <c r="V796"/>
      <c r="W796"/>
      <c r="X796"/>
      <c r="Y796"/>
      <c r="Z796"/>
      <c r="AA796"/>
      <c r="AB796"/>
      <c r="AC796"/>
      <c r="AD796"/>
      <c r="AE796"/>
      <c r="AF796"/>
      <c r="AY796" s="465"/>
    </row>
    <row r="797" spans="1:51" x14ac:dyDescent="0.25">
      <c r="A797" s="622" t="s">
        <v>22</v>
      </c>
      <c r="B797" s="406">
        <v>0</v>
      </c>
      <c r="C797" s="19">
        <v>0</v>
      </c>
      <c r="D797" s="19">
        <v>0</v>
      </c>
      <c r="E797" s="19">
        <v>0</v>
      </c>
      <c r="F797" s="19">
        <v>0</v>
      </c>
      <c r="G797" s="19">
        <v>0</v>
      </c>
      <c r="H797" s="19">
        <v>0</v>
      </c>
      <c r="I797" s="19">
        <f>I804/I805</f>
        <v>0</v>
      </c>
      <c r="J797" s="626">
        <f>J804/J805</f>
        <v>0</v>
      </c>
      <c r="K797"/>
      <c r="L797"/>
      <c r="M797"/>
      <c r="N797"/>
      <c r="O797"/>
      <c r="P797"/>
      <c r="Q797"/>
      <c r="R797"/>
      <c r="S797"/>
      <c r="T797"/>
      <c r="U797"/>
      <c r="V797"/>
      <c r="W797"/>
      <c r="X797"/>
      <c r="Y797"/>
      <c r="Z797"/>
      <c r="AA797"/>
      <c r="AB797"/>
      <c r="AC797"/>
      <c r="AD797"/>
      <c r="AE797"/>
      <c r="AF797"/>
      <c r="AY797" s="465"/>
    </row>
    <row r="798" spans="1:51" x14ac:dyDescent="0.25">
      <c r="A798" s="627" t="s">
        <v>23</v>
      </c>
      <c r="B798" s="409">
        <f t="shared" ref="B798:J798" si="426">B809/B792</f>
        <v>34136.84210526316</v>
      </c>
      <c r="C798" s="131">
        <f t="shared" si="426"/>
        <v>40448.780487804877</v>
      </c>
      <c r="D798" s="131">
        <f t="shared" si="426"/>
        <v>36640.000000000007</v>
      </c>
      <c r="E798" s="131">
        <f t="shared" si="426"/>
        <v>37319.047619047626</v>
      </c>
      <c r="F798" s="131">
        <f t="shared" si="426"/>
        <v>35697.247706422015</v>
      </c>
      <c r="G798" s="131">
        <f t="shared" si="426"/>
        <v>40011.881188118808</v>
      </c>
      <c r="H798" s="131">
        <f t="shared" si="426"/>
        <v>33825.510204081635</v>
      </c>
      <c r="I798" s="131">
        <f t="shared" si="426"/>
        <v>36855.434782608696</v>
      </c>
      <c r="J798" s="628">
        <f t="shared" si="426"/>
        <v>36855.434782608696</v>
      </c>
      <c r="K798"/>
      <c r="L798"/>
      <c r="M798"/>
      <c r="N798"/>
      <c r="O798"/>
      <c r="P798"/>
      <c r="Q798"/>
      <c r="R798"/>
      <c r="S798"/>
      <c r="T798"/>
      <c r="U798"/>
      <c r="V798"/>
      <c r="W798"/>
      <c r="X798"/>
      <c r="Y798"/>
      <c r="Z798"/>
      <c r="AA798"/>
      <c r="AB798"/>
      <c r="AC798"/>
      <c r="AD798"/>
      <c r="AE798"/>
      <c r="AF798"/>
      <c r="AY798" s="465"/>
    </row>
    <row r="799" spans="1:51" x14ac:dyDescent="0.25">
      <c r="A799" s="627" t="s">
        <v>24</v>
      </c>
      <c r="B799" s="409">
        <f t="shared" ref="B799:J799" si="427">B809/B786</f>
        <v>27025</v>
      </c>
      <c r="C799" s="131">
        <f t="shared" si="427"/>
        <v>27640</v>
      </c>
      <c r="D799" s="131">
        <f t="shared" si="427"/>
        <v>29079.365079365081</v>
      </c>
      <c r="E799" s="131">
        <f t="shared" si="427"/>
        <v>30733.333333333339</v>
      </c>
      <c r="F799" s="131">
        <f t="shared" si="427"/>
        <v>29930.76923076923</v>
      </c>
      <c r="G799" s="131">
        <f t="shared" si="427"/>
        <v>30384.962406015038</v>
      </c>
      <c r="H799" s="131">
        <f t="shared" si="427"/>
        <v>27624.166666666672</v>
      </c>
      <c r="I799" s="131">
        <f t="shared" si="427"/>
        <v>29179.86230636833</v>
      </c>
      <c r="J799" s="628">
        <f t="shared" si="427"/>
        <v>29179.86230636833</v>
      </c>
      <c r="K799"/>
      <c r="L799"/>
      <c r="M799"/>
      <c r="N799"/>
      <c r="O799"/>
      <c r="P799"/>
      <c r="Q799"/>
      <c r="R799"/>
      <c r="S799"/>
      <c r="T799"/>
      <c r="U799"/>
      <c r="V799"/>
      <c r="W799"/>
      <c r="X799"/>
      <c r="Y799"/>
      <c r="Z799"/>
      <c r="AA799"/>
      <c r="AB799"/>
      <c r="AC799"/>
      <c r="AD799"/>
      <c r="AE799"/>
      <c r="AF799"/>
      <c r="AY799" s="465"/>
    </row>
    <row r="800" spans="1:51" x14ac:dyDescent="0.25">
      <c r="A800" s="622" t="s">
        <v>25</v>
      </c>
      <c r="B800" s="255">
        <f t="shared" ref="B800:H800" si="428">B805*B793</f>
        <v>387024.04965517245</v>
      </c>
      <c r="C800" s="133">
        <f t="shared" si="428"/>
        <v>917434.46551724151</v>
      </c>
      <c r="D800" s="133">
        <f t="shared" si="428"/>
        <v>1098267.7317241379</v>
      </c>
      <c r="E800" s="133">
        <f t="shared" si="428"/>
        <v>890691.25862068974</v>
      </c>
      <c r="F800" s="133">
        <f t="shared" si="428"/>
        <v>2206206.2379310345</v>
      </c>
      <c r="G800" s="133">
        <f t="shared" si="428"/>
        <v>1936592.7999999998</v>
      </c>
      <c r="H800" s="133">
        <f t="shared" si="428"/>
        <v>1897292.8896551726</v>
      </c>
      <c r="I800" s="133">
        <f>SUM(B800:H800)</f>
        <v>9333509.4331034478</v>
      </c>
      <c r="J800" s="629">
        <f t="shared" ref="J800:J805" si="429">+$I800/7</f>
        <v>1333358.4904433496</v>
      </c>
      <c r="K800"/>
      <c r="L800"/>
      <c r="M800"/>
      <c r="N800"/>
      <c r="O800"/>
      <c r="P800"/>
      <c r="Q800"/>
      <c r="R800"/>
      <c r="S800"/>
      <c r="T800"/>
      <c r="U800"/>
      <c r="V800"/>
      <c r="W800"/>
      <c r="X800"/>
      <c r="Y800"/>
      <c r="Z800"/>
      <c r="AA800"/>
      <c r="AB800"/>
      <c r="AC800"/>
      <c r="AD800"/>
      <c r="AE800"/>
      <c r="AF800"/>
      <c r="AY800" s="465"/>
    </row>
    <row r="801" spans="1:51" x14ac:dyDescent="0.25">
      <c r="A801" s="622" t="s">
        <v>26</v>
      </c>
      <c r="B801" s="255">
        <f t="shared" ref="B801:H801" si="430">B805*B794</f>
        <v>0</v>
      </c>
      <c r="C801" s="133">
        <f t="shared" si="430"/>
        <v>0</v>
      </c>
      <c r="D801" s="133">
        <f t="shared" si="430"/>
        <v>0</v>
      </c>
      <c r="E801" s="133">
        <f t="shared" si="430"/>
        <v>0</v>
      </c>
      <c r="F801" s="133">
        <f t="shared" si="430"/>
        <v>31974.003448275864</v>
      </c>
      <c r="G801" s="133">
        <f t="shared" si="430"/>
        <v>33389.531034482759</v>
      </c>
      <c r="H801" s="133">
        <f t="shared" si="430"/>
        <v>0</v>
      </c>
      <c r="I801" s="133">
        <f>SUM(B801:H801)</f>
        <v>65363.534482758623</v>
      </c>
      <c r="J801" s="629">
        <f t="shared" si="429"/>
        <v>9337.6477832512319</v>
      </c>
      <c r="K801"/>
      <c r="L801"/>
      <c r="M801"/>
      <c r="N801"/>
      <c r="O801"/>
      <c r="P801"/>
      <c r="Q801"/>
      <c r="R801"/>
      <c r="S801"/>
      <c r="T801"/>
      <c r="U801"/>
      <c r="V801"/>
      <c r="W801"/>
      <c r="X801"/>
      <c r="Y801"/>
      <c r="Z801"/>
      <c r="AA801"/>
      <c r="AB801"/>
      <c r="AC801"/>
      <c r="AD801"/>
      <c r="AE801"/>
      <c r="AF801"/>
      <c r="AY801" s="465"/>
    </row>
    <row r="802" spans="1:51" x14ac:dyDescent="0.25">
      <c r="A802" s="622" t="s">
        <v>27</v>
      </c>
      <c r="B802" s="255">
        <f t="shared" ref="B802:H802" si="431">B805*B795</f>
        <v>90128.888275862075</v>
      </c>
      <c r="C802" s="133">
        <f t="shared" si="431"/>
        <v>246474.93103448275</v>
      </c>
      <c r="D802" s="133">
        <f t="shared" si="431"/>
        <v>330984.795862069</v>
      </c>
      <c r="E802" s="133">
        <f t="shared" si="431"/>
        <v>335622.79310344835</v>
      </c>
      <c r="F802" s="133">
        <f t="shared" si="431"/>
        <v>607506.06551724137</v>
      </c>
      <c r="G802" s="133">
        <f t="shared" si="431"/>
        <v>1168633.5862068965</v>
      </c>
      <c r="H802" s="133">
        <f t="shared" si="431"/>
        <v>677604.60344827594</v>
      </c>
      <c r="I802" s="133">
        <f>SUM(B802:H802)</f>
        <v>3456955.663448276</v>
      </c>
      <c r="J802" s="629">
        <f t="shared" si="429"/>
        <v>493850.80906403944</v>
      </c>
      <c r="K802"/>
      <c r="L802"/>
      <c r="M802"/>
      <c r="N802"/>
      <c r="O802"/>
      <c r="P802"/>
      <c r="Q802"/>
      <c r="R802"/>
      <c r="S802"/>
      <c r="T802"/>
      <c r="U802"/>
      <c r="V802"/>
      <c r="W802"/>
      <c r="X802"/>
      <c r="Y802"/>
      <c r="Z802"/>
      <c r="AA802"/>
      <c r="AB802"/>
      <c r="AC802"/>
      <c r="AD802"/>
      <c r="AE802"/>
      <c r="AF802"/>
      <c r="AY802" s="465"/>
    </row>
    <row r="803" spans="1:51" x14ac:dyDescent="0.25">
      <c r="A803" s="622" t="s">
        <v>28</v>
      </c>
      <c r="B803" s="255">
        <f t="shared" ref="B803:H803" si="432">B805*B796</f>
        <v>53016.99310344828</v>
      </c>
      <c r="C803" s="133">
        <f t="shared" si="432"/>
        <v>205395.77586206896</v>
      </c>
      <c r="D803" s="133">
        <f t="shared" si="432"/>
        <v>75223.817241379322</v>
      </c>
      <c r="E803" s="133">
        <f t="shared" si="432"/>
        <v>64542.844827586217</v>
      </c>
      <c r="F803" s="133">
        <f t="shared" si="432"/>
        <v>351714.03793103452</v>
      </c>
      <c r="G803" s="133">
        <f t="shared" si="432"/>
        <v>200337.18620689656</v>
      </c>
      <c r="H803" s="133">
        <f t="shared" si="432"/>
        <v>135520.92068965521</v>
      </c>
      <c r="I803" s="133">
        <f>SUM(B803:H803)</f>
        <v>1085751.5758620691</v>
      </c>
      <c r="J803" s="629">
        <f t="shared" si="429"/>
        <v>155107.36798029559</v>
      </c>
      <c r="K803"/>
      <c r="L803"/>
      <c r="M803"/>
      <c r="N803"/>
      <c r="O803"/>
      <c r="P803"/>
      <c r="Q803"/>
      <c r="R803"/>
      <c r="S803"/>
      <c r="T803"/>
      <c r="U803"/>
      <c r="V803"/>
      <c r="W803"/>
      <c r="X803"/>
      <c r="Y803"/>
      <c r="Z803"/>
      <c r="AA803"/>
      <c r="AB803"/>
      <c r="AC803"/>
      <c r="AD803"/>
      <c r="AE803"/>
      <c r="AF803"/>
      <c r="AY803" s="465"/>
    </row>
    <row r="804" spans="1:51" x14ac:dyDescent="0.25">
      <c r="A804" s="622" t="s">
        <v>29</v>
      </c>
      <c r="B804" s="255">
        <f t="shared" ref="B804:H804" si="433">B805*B797</f>
        <v>0</v>
      </c>
      <c r="C804" s="727">
        <f t="shared" si="433"/>
        <v>0</v>
      </c>
      <c r="D804" s="727">
        <f t="shared" si="433"/>
        <v>0</v>
      </c>
      <c r="E804" s="727">
        <f t="shared" si="433"/>
        <v>0</v>
      </c>
      <c r="F804" s="727">
        <f t="shared" si="433"/>
        <v>0</v>
      </c>
      <c r="G804" s="727">
        <f t="shared" si="433"/>
        <v>0</v>
      </c>
      <c r="H804" s="727">
        <f t="shared" si="433"/>
        <v>0</v>
      </c>
      <c r="I804" s="133">
        <f>SUM(B804:H804)</f>
        <v>0</v>
      </c>
      <c r="J804" s="629">
        <f t="shared" si="429"/>
        <v>0</v>
      </c>
      <c r="K804"/>
      <c r="L804"/>
      <c r="M804"/>
      <c r="N804"/>
      <c r="O804"/>
      <c r="P804"/>
      <c r="Q804"/>
      <c r="R804"/>
      <c r="S804"/>
      <c r="T804"/>
      <c r="U804"/>
      <c r="V804"/>
      <c r="W804"/>
      <c r="X804"/>
      <c r="Y804"/>
      <c r="Z804"/>
      <c r="AA804"/>
      <c r="AB804"/>
      <c r="AC804"/>
      <c r="AD804"/>
      <c r="AE804"/>
      <c r="AF804"/>
      <c r="AY804" s="465"/>
    </row>
    <row r="805" spans="1:51" x14ac:dyDescent="0.25">
      <c r="A805" s="630" t="s">
        <v>30</v>
      </c>
      <c r="B805" s="726">
        <f>(648600/1.16)-B806</f>
        <v>530169.93103448278</v>
      </c>
      <c r="C805" s="729">
        <f>(1658400/1.16)-C806</f>
        <v>1369305.1724137932</v>
      </c>
      <c r="D805" s="729">
        <f>(1832000/1.16)-D806</f>
        <v>1504476.3448275863</v>
      </c>
      <c r="E805" s="729">
        <f>(1567400/1.16)-E806</f>
        <v>1290856.8965517243</v>
      </c>
      <c r="F805" s="729">
        <f>(3891000/1.16)-F806</f>
        <v>3197400.3448275863</v>
      </c>
      <c r="G805" s="729">
        <f>(4041200/1.16)-G806</f>
        <v>3338953.1034482759</v>
      </c>
      <c r="H805" s="729">
        <f>(3314900/1.16)-H806</f>
        <v>2710418.4137931038</v>
      </c>
      <c r="I805" s="137">
        <f>SUM(I800:I804)</f>
        <v>13941580.206896551</v>
      </c>
      <c r="J805" s="631">
        <f t="shared" si="429"/>
        <v>1991654.3152709359</v>
      </c>
      <c r="K805"/>
      <c r="L805"/>
      <c r="M805"/>
      <c r="N805"/>
      <c r="O805"/>
      <c r="P805"/>
      <c r="Q805"/>
      <c r="R805"/>
      <c r="S805"/>
      <c r="T805"/>
      <c r="U805"/>
      <c r="V805"/>
      <c r="W805"/>
      <c r="X805"/>
      <c r="Y805"/>
      <c r="Z805"/>
      <c r="AA805"/>
      <c r="AB805"/>
      <c r="AC805"/>
      <c r="AD805"/>
      <c r="AE805"/>
      <c r="AF805"/>
      <c r="AY805" s="465"/>
    </row>
    <row r="806" spans="1:51" x14ac:dyDescent="0.25">
      <c r="A806" s="622" t="s">
        <v>31</v>
      </c>
      <c r="B806" s="263">
        <f t="shared" ref="B806:H806" si="434">2414*B787</f>
        <v>28968</v>
      </c>
      <c r="C806" s="728">
        <f t="shared" si="434"/>
        <v>60350</v>
      </c>
      <c r="D806" s="728">
        <f t="shared" si="434"/>
        <v>74834</v>
      </c>
      <c r="E806" s="728">
        <f t="shared" si="434"/>
        <v>60350</v>
      </c>
      <c r="F806" s="728">
        <f t="shared" si="434"/>
        <v>156910</v>
      </c>
      <c r="G806" s="728">
        <f t="shared" si="434"/>
        <v>144840</v>
      </c>
      <c r="H806" s="728">
        <f t="shared" si="434"/>
        <v>147254</v>
      </c>
      <c r="I806" s="139">
        <f>I787*2414</f>
        <v>673506</v>
      </c>
      <c r="J806" s="632">
        <f>2414*J787</f>
        <v>96215.142857142855</v>
      </c>
      <c r="K806"/>
      <c r="L806"/>
      <c r="M806"/>
      <c r="N806"/>
      <c r="O806"/>
      <c r="P806"/>
      <c r="Q806"/>
      <c r="R806"/>
      <c r="S806"/>
      <c r="T806"/>
      <c r="U806"/>
      <c r="V806"/>
      <c r="W806"/>
      <c r="X806"/>
      <c r="Y806"/>
      <c r="Z806"/>
      <c r="AA806"/>
      <c r="AB806"/>
      <c r="AC806"/>
      <c r="AD806"/>
      <c r="AE806"/>
      <c r="AF806"/>
      <c r="AY806" s="465"/>
    </row>
    <row r="807" spans="1:51" x14ac:dyDescent="0.25">
      <c r="A807" s="633" t="s">
        <v>32</v>
      </c>
      <c r="B807" s="411">
        <f t="shared" ref="B807:J807" si="435">B805+B806</f>
        <v>559137.93103448278</v>
      </c>
      <c r="C807" s="40">
        <f t="shared" si="435"/>
        <v>1429655.1724137932</v>
      </c>
      <c r="D807" s="40">
        <f t="shared" si="435"/>
        <v>1579310.3448275863</v>
      </c>
      <c r="E807" s="40">
        <f t="shared" si="435"/>
        <v>1351206.8965517243</v>
      </c>
      <c r="F807" s="40">
        <f t="shared" si="435"/>
        <v>3354310.3448275863</v>
      </c>
      <c r="G807" s="40">
        <f t="shared" si="435"/>
        <v>3483793.1034482759</v>
      </c>
      <c r="H807" s="40">
        <f t="shared" si="435"/>
        <v>2857672.4137931038</v>
      </c>
      <c r="I807" s="40">
        <f t="shared" si="435"/>
        <v>14615086.206896551</v>
      </c>
      <c r="J807" s="634">
        <f t="shared" si="435"/>
        <v>2087869.4581280788</v>
      </c>
      <c r="K807"/>
      <c r="L807"/>
      <c r="M807"/>
      <c r="N807"/>
      <c r="O807"/>
      <c r="P807"/>
      <c r="Q807"/>
      <c r="R807"/>
      <c r="S807"/>
      <c r="T807"/>
      <c r="U807"/>
      <c r="V807"/>
      <c r="W807"/>
      <c r="X807"/>
      <c r="Y807"/>
      <c r="Z807"/>
      <c r="AA807"/>
      <c r="AB807"/>
      <c r="AC807"/>
      <c r="AD807"/>
      <c r="AE807"/>
      <c r="AF807"/>
      <c r="AY807" s="465"/>
    </row>
    <row r="808" spans="1:51" x14ac:dyDescent="0.25">
      <c r="A808" s="622" t="s">
        <v>33</v>
      </c>
      <c r="B808" s="413">
        <f t="shared" ref="B808:J808" si="436">B807*16%</f>
        <v>89462.068965517246</v>
      </c>
      <c r="C808" s="42">
        <f t="shared" si="436"/>
        <v>228744.8275862069</v>
      </c>
      <c r="D808" s="42">
        <f t="shared" si="436"/>
        <v>252689.65517241383</v>
      </c>
      <c r="E808" s="42">
        <f t="shared" si="436"/>
        <v>216193.10344827588</v>
      </c>
      <c r="F808" s="42">
        <f t="shared" si="436"/>
        <v>536689.6551724138</v>
      </c>
      <c r="G808" s="42">
        <f t="shared" si="436"/>
        <v>557406.89655172417</v>
      </c>
      <c r="H808" s="42">
        <f t="shared" si="436"/>
        <v>457227.58620689664</v>
      </c>
      <c r="I808" s="42">
        <f t="shared" si="436"/>
        <v>2338413.7931034481</v>
      </c>
      <c r="J808" s="635">
        <f t="shared" si="436"/>
        <v>334059.11330049264</v>
      </c>
      <c r="K808"/>
      <c r="L808"/>
      <c r="M808"/>
      <c r="N808"/>
      <c r="O808"/>
      <c r="P808"/>
      <c r="Q808"/>
      <c r="R808"/>
      <c r="S808"/>
      <c r="T808"/>
      <c r="U808"/>
      <c r="V808"/>
      <c r="W808"/>
      <c r="X808"/>
      <c r="Y808"/>
      <c r="Z808"/>
      <c r="AA808"/>
      <c r="AB808"/>
      <c r="AC808"/>
      <c r="AD808"/>
      <c r="AE808"/>
      <c r="AF808"/>
      <c r="AY808" s="465"/>
    </row>
    <row r="809" spans="1:51" ht="15.75" thickBot="1" x14ac:dyDescent="0.3">
      <c r="A809" s="636" t="s">
        <v>34</v>
      </c>
      <c r="B809" s="637">
        <f t="shared" ref="B809:I809" si="437">B807+B808</f>
        <v>648600</v>
      </c>
      <c r="C809" s="638">
        <f t="shared" si="437"/>
        <v>1658400</v>
      </c>
      <c r="D809" s="638">
        <f t="shared" si="437"/>
        <v>1832000.0000000002</v>
      </c>
      <c r="E809" s="638">
        <f t="shared" si="437"/>
        <v>1567400.0000000002</v>
      </c>
      <c r="F809" s="638">
        <f t="shared" si="437"/>
        <v>3891000</v>
      </c>
      <c r="G809" s="638">
        <f t="shared" si="437"/>
        <v>4041200</v>
      </c>
      <c r="H809" s="638">
        <f t="shared" si="437"/>
        <v>3314900.0000000005</v>
      </c>
      <c r="I809" s="638">
        <f t="shared" si="437"/>
        <v>16953500</v>
      </c>
      <c r="J809" s="639">
        <f>+$I809/7</f>
        <v>2421928.5714285714</v>
      </c>
      <c r="K809"/>
      <c r="L809"/>
      <c r="M809"/>
      <c r="N809"/>
      <c r="O809"/>
      <c r="P809"/>
      <c r="Q809"/>
      <c r="R809"/>
      <c r="S809"/>
      <c r="T809"/>
      <c r="U809"/>
      <c r="V809"/>
      <c r="W809"/>
      <c r="X809"/>
      <c r="Y809"/>
      <c r="Z809"/>
      <c r="AA809"/>
      <c r="AB809"/>
      <c r="AC809"/>
      <c r="AD809"/>
      <c r="AE809"/>
      <c r="AF809"/>
      <c r="AY809" s="465"/>
    </row>
    <row r="810" spans="1:51" ht="15.75" thickBot="1" x14ac:dyDescent="0.3">
      <c r="K810"/>
      <c r="L810"/>
      <c r="M810"/>
      <c r="N810"/>
      <c r="O810"/>
      <c r="P810"/>
      <c r="Q810"/>
      <c r="R810"/>
      <c r="S810"/>
      <c r="T810"/>
      <c r="U810"/>
      <c r="V810"/>
      <c r="W810"/>
      <c r="X810"/>
      <c r="Y810"/>
      <c r="Z810"/>
      <c r="AA810"/>
      <c r="AB810"/>
      <c r="AC810"/>
      <c r="AD810"/>
      <c r="AE810"/>
      <c r="AF810"/>
      <c r="AY810" s="465"/>
    </row>
    <row r="811" spans="1:51" ht="27" thickBot="1" x14ac:dyDescent="0.3">
      <c r="A811" s="85"/>
      <c r="B811" s="1002" t="s">
        <v>701</v>
      </c>
      <c r="C811" s="1002"/>
      <c r="D811" s="1002"/>
      <c r="E811" s="1002"/>
      <c r="F811" s="1002"/>
      <c r="G811" s="1002"/>
      <c r="H811" s="1002"/>
      <c r="I811" s="1002"/>
      <c r="J811" s="85"/>
      <c r="K811"/>
      <c r="L811"/>
      <c r="M811"/>
      <c r="N811"/>
      <c r="O811"/>
      <c r="P811"/>
      <c r="Q811"/>
      <c r="R811"/>
      <c r="S811"/>
      <c r="T811"/>
      <c r="U811"/>
      <c r="V811"/>
      <c r="W811"/>
      <c r="X811"/>
      <c r="Y811"/>
      <c r="Z811"/>
      <c r="AA811"/>
      <c r="AB811"/>
      <c r="AC811"/>
      <c r="AD811"/>
      <c r="AE811"/>
      <c r="AF811"/>
      <c r="AY811" s="465"/>
    </row>
    <row r="812" spans="1:51" ht="15.75" x14ac:dyDescent="0.25">
      <c r="A812" s="614" t="s">
        <v>2</v>
      </c>
      <c r="B812" s="706" t="s">
        <v>345</v>
      </c>
      <c r="C812" s="617" t="s">
        <v>346</v>
      </c>
      <c r="D812" s="617" t="s">
        <v>347</v>
      </c>
      <c r="E812" s="617" t="s">
        <v>348</v>
      </c>
      <c r="F812" s="617" t="s">
        <v>349</v>
      </c>
      <c r="G812" s="617" t="s">
        <v>350</v>
      </c>
      <c r="H812" s="617" t="s">
        <v>351</v>
      </c>
      <c r="I812" s="618" t="s">
        <v>10</v>
      </c>
      <c r="J812" s="619" t="s">
        <v>77</v>
      </c>
      <c r="K812"/>
      <c r="L812"/>
      <c r="M812"/>
      <c r="N812"/>
      <c r="O812"/>
      <c r="P812"/>
      <c r="Q812"/>
      <c r="R812"/>
      <c r="S812"/>
      <c r="T812"/>
      <c r="U812"/>
      <c r="V812"/>
      <c r="W812"/>
      <c r="X812"/>
      <c r="Y812"/>
      <c r="Z812"/>
      <c r="AA812"/>
      <c r="AB812"/>
      <c r="AC812"/>
      <c r="AD812"/>
      <c r="AE812"/>
      <c r="AF812"/>
      <c r="AY812" s="465"/>
    </row>
    <row r="813" spans="1:51" x14ac:dyDescent="0.25">
      <c r="A813" s="620" t="s">
        <v>11</v>
      </c>
      <c r="B813" s="433">
        <f>62+43+21</f>
        <v>126</v>
      </c>
      <c r="C813" s="673">
        <f>29+16+4</f>
        <v>49</v>
      </c>
      <c r="D813" s="739">
        <f>31+18+6</f>
        <v>55</v>
      </c>
      <c r="E813" s="673">
        <f>34+20+5</f>
        <v>59</v>
      </c>
      <c r="F813" s="673">
        <f>74+40+16</f>
        <v>130</v>
      </c>
      <c r="G813" s="673">
        <f>69+56+15</f>
        <v>140</v>
      </c>
      <c r="H813" s="673">
        <f>63+38+22</f>
        <v>123</v>
      </c>
      <c r="I813" s="673">
        <f t="shared" ref="I813:I818" si="438">SUM(B813:H813)</f>
        <v>682</v>
      </c>
      <c r="J813" s="621">
        <f t="shared" ref="J813:J819" si="439">+$I813/7</f>
        <v>97.428571428571431</v>
      </c>
      <c r="K813"/>
      <c r="L813"/>
      <c r="M813"/>
      <c r="N813"/>
      <c r="O813"/>
      <c r="P813"/>
      <c r="Q813"/>
      <c r="R813"/>
      <c r="S813"/>
      <c r="T813"/>
      <c r="U813"/>
      <c r="V813"/>
      <c r="W813"/>
      <c r="X813"/>
      <c r="Y813"/>
      <c r="Z813"/>
      <c r="AA813"/>
      <c r="AB813"/>
      <c r="AC813"/>
      <c r="AD813"/>
      <c r="AE813"/>
      <c r="AF813"/>
      <c r="AY813" s="465"/>
    </row>
    <row r="814" spans="1:51" x14ac:dyDescent="0.25">
      <c r="A814" s="622" t="s">
        <v>12</v>
      </c>
      <c r="B814" s="233">
        <v>68</v>
      </c>
      <c r="C814" s="671">
        <v>25</v>
      </c>
      <c r="D814" s="671">
        <v>29</v>
      </c>
      <c r="E814" s="671">
        <v>31</v>
      </c>
      <c r="F814" s="671">
        <v>54</v>
      </c>
      <c r="G814" s="675">
        <v>82</v>
      </c>
      <c r="H814" s="671">
        <v>67</v>
      </c>
      <c r="I814" s="671">
        <f t="shared" si="438"/>
        <v>356</v>
      </c>
      <c r="J814" s="623">
        <f t="shared" si="439"/>
        <v>50.857142857142854</v>
      </c>
      <c r="K814"/>
      <c r="L814"/>
      <c r="M814"/>
      <c r="N814"/>
      <c r="O814"/>
      <c r="P814"/>
      <c r="Q814"/>
      <c r="R814"/>
      <c r="S814"/>
      <c r="T814"/>
      <c r="U814"/>
      <c r="V814"/>
      <c r="W814"/>
      <c r="X814"/>
      <c r="Y814"/>
      <c r="Z814"/>
      <c r="AA814"/>
      <c r="AB814"/>
      <c r="AC814"/>
      <c r="AD814"/>
      <c r="AE814"/>
      <c r="AF814"/>
      <c r="AY814" s="465"/>
    </row>
    <row r="815" spans="1:51" x14ac:dyDescent="0.25">
      <c r="A815" s="622" t="s">
        <v>13</v>
      </c>
      <c r="B815" s="233">
        <v>0</v>
      </c>
      <c r="C815" s="13">
        <v>0</v>
      </c>
      <c r="D815" s="13">
        <v>0</v>
      </c>
      <c r="E815" s="13">
        <v>0</v>
      </c>
      <c r="F815" s="13">
        <v>0</v>
      </c>
      <c r="G815" s="13">
        <v>0</v>
      </c>
      <c r="H815" s="13">
        <v>1</v>
      </c>
      <c r="I815" s="13">
        <f t="shared" si="438"/>
        <v>1</v>
      </c>
      <c r="J815" s="623">
        <f t="shared" si="439"/>
        <v>0.14285714285714285</v>
      </c>
      <c r="K815"/>
      <c r="L815"/>
      <c r="M815"/>
      <c r="N815"/>
      <c r="O815"/>
      <c r="P815"/>
      <c r="Q815"/>
      <c r="R815"/>
      <c r="S815"/>
      <c r="T815"/>
      <c r="U815"/>
      <c r="V815"/>
      <c r="W815"/>
      <c r="X815"/>
      <c r="Y815"/>
      <c r="Z815"/>
      <c r="AA815"/>
      <c r="AB815"/>
      <c r="AC815"/>
      <c r="AD815"/>
      <c r="AE815"/>
      <c r="AF815"/>
      <c r="AY815" s="465"/>
    </row>
    <row r="816" spans="1:51" x14ac:dyDescent="0.25">
      <c r="A816" s="622" t="s">
        <v>14</v>
      </c>
      <c r="B816" s="233">
        <v>20</v>
      </c>
      <c r="C816" s="13">
        <v>12</v>
      </c>
      <c r="D816" s="320">
        <v>11</v>
      </c>
      <c r="E816" s="13">
        <v>12</v>
      </c>
      <c r="F816" s="13">
        <v>28</v>
      </c>
      <c r="G816" s="13">
        <v>24</v>
      </c>
      <c r="H816" s="13">
        <v>20</v>
      </c>
      <c r="I816" s="13">
        <f t="shared" si="438"/>
        <v>127</v>
      </c>
      <c r="J816" s="623">
        <f t="shared" si="439"/>
        <v>18.142857142857142</v>
      </c>
      <c r="K816"/>
      <c r="L816"/>
      <c r="M816"/>
      <c r="N816"/>
      <c r="O816"/>
      <c r="P816"/>
      <c r="Q816"/>
      <c r="R816"/>
      <c r="S816"/>
      <c r="T816"/>
      <c r="U816"/>
      <c r="V816"/>
      <c r="W816"/>
      <c r="X816"/>
      <c r="Y816"/>
      <c r="Z816"/>
      <c r="AA816"/>
      <c r="AB816"/>
      <c r="AC816"/>
      <c r="AD816"/>
      <c r="AE816"/>
      <c r="AF816"/>
      <c r="AY816" s="465"/>
    </row>
    <row r="817" spans="1:51" x14ac:dyDescent="0.25">
      <c r="A817" s="622" t="s">
        <v>15</v>
      </c>
      <c r="B817" s="233">
        <v>6</v>
      </c>
      <c r="C817" s="13">
        <v>2</v>
      </c>
      <c r="D817" s="13">
        <v>4</v>
      </c>
      <c r="E817" s="13">
        <v>5</v>
      </c>
      <c r="F817" s="13">
        <v>11</v>
      </c>
      <c r="G817" s="13">
        <v>5</v>
      </c>
      <c r="H817" s="13">
        <v>7</v>
      </c>
      <c r="I817" s="13">
        <f t="shared" si="438"/>
        <v>40</v>
      </c>
      <c r="J817" s="623">
        <f t="shared" si="439"/>
        <v>5.7142857142857144</v>
      </c>
      <c r="K817"/>
      <c r="L817"/>
      <c r="M817"/>
      <c r="N817"/>
      <c r="O817"/>
      <c r="P817"/>
      <c r="Q817"/>
      <c r="R817"/>
      <c r="S817"/>
      <c r="T817"/>
      <c r="U817"/>
      <c r="V817"/>
      <c r="W817"/>
      <c r="X817"/>
      <c r="Y817"/>
      <c r="Z817"/>
      <c r="AA817"/>
      <c r="AB817"/>
      <c r="AC817"/>
      <c r="AD817"/>
      <c r="AE817"/>
      <c r="AF817"/>
      <c r="AY817" s="465"/>
    </row>
    <row r="818" spans="1:51" x14ac:dyDescent="0.25">
      <c r="A818" s="622" t="s">
        <v>16</v>
      </c>
      <c r="B818" s="233">
        <v>0</v>
      </c>
      <c r="C818" s="13">
        <v>0</v>
      </c>
      <c r="D818" s="13">
        <v>0</v>
      </c>
      <c r="E818" s="13">
        <v>0</v>
      </c>
      <c r="F818" s="13">
        <v>0</v>
      </c>
      <c r="G818" s="13">
        <v>0</v>
      </c>
      <c r="H818" s="13">
        <v>0</v>
      </c>
      <c r="I818" s="13">
        <f t="shared" si="438"/>
        <v>0</v>
      </c>
      <c r="J818" s="623">
        <f t="shared" si="439"/>
        <v>0</v>
      </c>
      <c r="K818"/>
      <c r="L818"/>
      <c r="M818"/>
      <c r="N818"/>
      <c r="O818"/>
      <c r="P818"/>
      <c r="Q818"/>
      <c r="R818"/>
      <c r="S818"/>
      <c r="T818"/>
      <c r="U818"/>
      <c r="V818"/>
      <c r="W818"/>
      <c r="X818"/>
      <c r="Y818"/>
      <c r="Z818"/>
      <c r="AA818"/>
      <c r="AB818"/>
      <c r="AC818"/>
      <c r="AD818"/>
      <c r="AE818"/>
      <c r="AF818"/>
      <c r="AY818" s="465"/>
    </row>
    <row r="819" spans="1:51" x14ac:dyDescent="0.25">
      <c r="A819" s="624" t="s">
        <v>17</v>
      </c>
      <c r="B819" s="102">
        <f t="shared" ref="B819:H819" si="440">SUM(B814:B818)</f>
        <v>94</v>
      </c>
      <c r="C819" s="79">
        <f t="shared" si="440"/>
        <v>39</v>
      </c>
      <c r="D819" s="79">
        <f t="shared" si="440"/>
        <v>44</v>
      </c>
      <c r="E819" s="79">
        <f t="shared" si="440"/>
        <v>48</v>
      </c>
      <c r="F819" s="79">
        <f t="shared" si="440"/>
        <v>93</v>
      </c>
      <c r="G819" s="79">
        <f t="shared" si="440"/>
        <v>111</v>
      </c>
      <c r="H819" s="79">
        <f t="shared" si="440"/>
        <v>95</v>
      </c>
      <c r="I819" s="79">
        <f>SUM(I814:I818)</f>
        <v>524</v>
      </c>
      <c r="J819" s="625">
        <f t="shared" si="439"/>
        <v>74.857142857142861</v>
      </c>
      <c r="K819"/>
      <c r="L819"/>
      <c r="M819"/>
      <c r="N819"/>
      <c r="O819"/>
      <c r="P819"/>
      <c r="Q819"/>
      <c r="R819"/>
      <c r="S819"/>
      <c r="T819"/>
      <c r="U819"/>
      <c r="V819"/>
      <c r="W819"/>
      <c r="X819"/>
      <c r="Y819"/>
      <c r="Z819"/>
      <c r="AA819"/>
      <c r="AB819"/>
      <c r="AC819"/>
      <c r="AD819"/>
      <c r="AE819"/>
      <c r="AF819"/>
      <c r="AY819" s="465"/>
    </row>
    <row r="820" spans="1:51" x14ac:dyDescent="0.25">
      <c r="A820" s="622" t="s">
        <v>18</v>
      </c>
      <c r="B820" s="406">
        <v>0.78</v>
      </c>
      <c r="C820" s="19">
        <v>0.67</v>
      </c>
      <c r="D820" s="19">
        <v>0.78</v>
      </c>
      <c r="E820" s="19">
        <v>0.73</v>
      </c>
      <c r="F820" s="19">
        <v>0.66</v>
      </c>
      <c r="G820" s="19">
        <v>0.79</v>
      </c>
      <c r="H820" s="19">
        <v>0.78</v>
      </c>
      <c r="I820" s="19">
        <f>I827/I832</f>
        <v>0.74772099031070438</v>
      </c>
      <c r="J820" s="626">
        <f>J827/J832</f>
        <v>0.74772099031070427</v>
      </c>
      <c r="K820"/>
      <c r="L820"/>
      <c r="M820"/>
      <c r="N820"/>
      <c r="O820"/>
      <c r="P820"/>
      <c r="Q820"/>
      <c r="R820"/>
      <c r="S820"/>
      <c r="T820"/>
      <c r="U820"/>
      <c r="V820"/>
      <c r="W820"/>
      <c r="X820"/>
      <c r="Y820"/>
      <c r="Z820"/>
      <c r="AA820"/>
      <c r="AB820"/>
      <c r="AC820"/>
      <c r="AD820"/>
      <c r="AE820"/>
      <c r="AF820"/>
      <c r="AY820" s="465"/>
    </row>
    <row r="821" spans="1:51" x14ac:dyDescent="0.25">
      <c r="A821" s="622" t="s">
        <v>19</v>
      </c>
      <c r="B821" s="406">
        <v>0</v>
      </c>
      <c r="C821" s="19">
        <v>0</v>
      </c>
      <c r="D821" s="19">
        <v>0</v>
      </c>
      <c r="E821" s="19">
        <v>0</v>
      </c>
      <c r="F821" s="19">
        <v>0</v>
      </c>
      <c r="G821" s="19">
        <v>0</v>
      </c>
      <c r="H821" s="19">
        <v>0</v>
      </c>
      <c r="I821" s="19">
        <f>I828/I832</f>
        <v>0</v>
      </c>
      <c r="J821" s="626">
        <f>J828/J832</f>
        <v>0</v>
      </c>
      <c r="K821"/>
      <c r="L821"/>
      <c r="M821"/>
      <c r="N821"/>
      <c r="O821"/>
      <c r="P821"/>
      <c r="Q821"/>
      <c r="R821"/>
      <c r="S821"/>
      <c r="T821"/>
      <c r="U821"/>
      <c r="V821"/>
      <c r="W821"/>
      <c r="X821"/>
      <c r="Y821"/>
      <c r="Z821"/>
      <c r="AA821"/>
      <c r="AB821"/>
      <c r="AC821"/>
      <c r="AD821"/>
      <c r="AE821"/>
      <c r="AF821"/>
      <c r="AY821" s="465"/>
    </row>
    <row r="822" spans="1:51" x14ac:dyDescent="0.25">
      <c r="A822" s="622" t="s">
        <v>20</v>
      </c>
      <c r="B822" s="406">
        <v>0.16</v>
      </c>
      <c r="C822" s="19">
        <v>0.31</v>
      </c>
      <c r="D822" s="19">
        <v>0.18</v>
      </c>
      <c r="E822" s="19">
        <v>0.18</v>
      </c>
      <c r="F822" s="19">
        <v>0.24</v>
      </c>
      <c r="G822" s="19">
        <v>0.18</v>
      </c>
      <c r="H822" s="19">
        <v>0.17</v>
      </c>
      <c r="I822" s="19">
        <f>I829/I832</f>
        <v>0.1946915451898312</v>
      </c>
      <c r="J822" s="626">
        <f>J829/J832</f>
        <v>0.1946915451898312</v>
      </c>
      <c r="K822"/>
      <c r="L822"/>
      <c r="M822"/>
      <c r="N822"/>
      <c r="O822"/>
      <c r="P822"/>
      <c r="Q822"/>
      <c r="R822"/>
      <c r="S822"/>
      <c r="T822"/>
      <c r="U822"/>
      <c r="V822"/>
      <c r="W822"/>
      <c r="X822"/>
      <c r="Y822"/>
      <c r="Z822"/>
      <c r="AA822"/>
      <c r="AB822"/>
      <c r="AC822"/>
      <c r="AD822"/>
      <c r="AE822"/>
      <c r="AF822"/>
      <c r="AY822" s="465"/>
    </row>
    <row r="823" spans="1:51" x14ac:dyDescent="0.25">
      <c r="A823" s="622" t="s">
        <v>21</v>
      </c>
      <c r="B823" s="406">
        <v>0.06</v>
      </c>
      <c r="C823" s="19">
        <v>0.02</v>
      </c>
      <c r="D823" s="19">
        <v>0.04</v>
      </c>
      <c r="E823" s="19">
        <v>0.09</v>
      </c>
      <c r="F823" s="19">
        <v>0.1</v>
      </c>
      <c r="G823" s="19">
        <v>0.03</v>
      </c>
      <c r="H823" s="19">
        <v>0.05</v>
      </c>
      <c r="I823" s="19">
        <f>I830/I832</f>
        <v>5.7587464499464509E-2</v>
      </c>
      <c r="J823" s="626">
        <f>J830/J832</f>
        <v>5.7587464499464509E-2</v>
      </c>
      <c r="K823"/>
      <c r="L823"/>
      <c r="M823"/>
      <c r="N823"/>
      <c r="O823"/>
      <c r="P823"/>
      <c r="Q823"/>
      <c r="R823"/>
      <c r="S823"/>
      <c r="T823"/>
      <c r="U823"/>
      <c r="V823"/>
      <c r="W823"/>
      <c r="X823"/>
      <c r="Y823"/>
      <c r="Z823"/>
      <c r="AA823"/>
      <c r="AB823"/>
      <c r="AC823"/>
      <c r="AD823"/>
      <c r="AE823"/>
      <c r="AF823"/>
      <c r="AY823" s="465"/>
    </row>
    <row r="824" spans="1:51" x14ac:dyDescent="0.25">
      <c r="A824" s="622" t="s">
        <v>22</v>
      </c>
      <c r="B824" s="406">
        <v>0</v>
      </c>
      <c r="C824" s="19">
        <v>0</v>
      </c>
      <c r="D824" s="19">
        <v>0</v>
      </c>
      <c r="E824" s="19">
        <v>0</v>
      </c>
      <c r="F824" s="19">
        <v>0</v>
      </c>
      <c r="G824" s="19">
        <v>0</v>
      </c>
      <c r="H824" s="19">
        <v>0</v>
      </c>
      <c r="I824" s="19">
        <f>I831/I832</f>
        <v>0</v>
      </c>
      <c r="J824" s="626">
        <f>J831/J832</f>
        <v>0</v>
      </c>
      <c r="K824"/>
      <c r="L824"/>
      <c r="M824"/>
      <c r="N824"/>
      <c r="O824"/>
      <c r="P824"/>
      <c r="Q824"/>
      <c r="R824"/>
      <c r="S824"/>
      <c r="T824"/>
      <c r="U824"/>
      <c r="V824"/>
      <c r="W824"/>
      <c r="X824"/>
      <c r="Y824"/>
      <c r="Z824"/>
      <c r="AA824"/>
      <c r="AB824"/>
      <c r="AC824"/>
      <c r="AD824"/>
      <c r="AE824"/>
      <c r="AF824"/>
      <c r="AY824" s="465"/>
    </row>
    <row r="825" spans="1:51" x14ac:dyDescent="0.25">
      <c r="A825" s="627" t="s">
        <v>23</v>
      </c>
      <c r="B825" s="409">
        <f t="shared" ref="B825:J825" si="441">B836/B819</f>
        <v>38574.468085106382</v>
      </c>
      <c r="C825" s="131">
        <f t="shared" si="441"/>
        <v>34010.256410256414</v>
      </c>
      <c r="D825" s="131">
        <f t="shared" si="441"/>
        <v>35745.454545454551</v>
      </c>
      <c r="E825" s="131">
        <f t="shared" si="441"/>
        <v>34218.750000000007</v>
      </c>
      <c r="F825" s="131">
        <f t="shared" si="441"/>
        <v>38570.967741935485</v>
      </c>
      <c r="G825" s="131">
        <f t="shared" si="441"/>
        <v>36821.621621621627</v>
      </c>
      <c r="H825" s="131">
        <f t="shared" si="441"/>
        <v>36045.26315789474</v>
      </c>
      <c r="I825" s="131">
        <f t="shared" si="441"/>
        <v>36767.748091603062</v>
      </c>
      <c r="J825" s="628">
        <f t="shared" si="441"/>
        <v>36767.748091603054</v>
      </c>
      <c r="K825"/>
      <c r="L825"/>
      <c r="M825"/>
      <c r="N825"/>
      <c r="O825"/>
      <c r="P825"/>
      <c r="Q825"/>
      <c r="R825"/>
      <c r="S825"/>
      <c r="T825"/>
      <c r="U825"/>
      <c r="V825"/>
      <c r="W825"/>
      <c r="X825"/>
      <c r="Y825"/>
      <c r="Z825"/>
      <c r="AA825"/>
      <c r="AB825"/>
      <c r="AC825"/>
      <c r="AD825"/>
      <c r="AE825"/>
      <c r="AF825"/>
      <c r="AY825" s="465"/>
    </row>
    <row r="826" spans="1:51" x14ac:dyDescent="0.25">
      <c r="A826" s="627" t="s">
        <v>24</v>
      </c>
      <c r="B826" s="409">
        <f t="shared" ref="B826:J826" si="442">B836/B813</f>
        <v>28777.777777777777</v>
      </c>
      <c r="C826" s="131">
        <f t="shared" si="442"/>
        <v>27069.387755102045</v>
      </c>
      <c r="D826" s="131">
        <f t="shared" si="442"/>
        <v>28596.36363636364</v>
      </c>
      <c r="E826" s="131">
        <f t="shared" si="442"/>
        <v>27838.983050847462</v>
      </c>
      <c r="F826" s="131">
        <f t="shared" si="442"/>
        <v>27593.076923076922</v>
      </c>
      <c r="G826" s="131">
        <f t="shared" si="442"/>
        <v>29194.285714285717</v>
      </c>
      <c r="H826" s="131">
        <f t="shared" si="442"/>
        <v>27839.837398373988</v>
      </c>
      <c r="I826" s="131">
        <f t="shared" si="442"/>
        <v>28249.706744868039</v>
      </c>
      <c r="J826" s="628">
        <f t="shared" si="442"/>
        <v>28249.706744868039</v>
      </c>
      <c r="K826"/>
      <c r="L826"/>
      <c r="M826"/>
      <c r="N826"/>
      <c r="O826"/>
      <c r="P826"/>
      <c r="Q826"/>
      <c r="R826"/>
      <c r="S826"/>
      <c r="T826"/>
      <c r="U826"/>
      <c r="V826"/>
      <c r="W826"/>
      <c r="X826"/>
      <c r="Y826"/>
      <c r="Z826"/>
      <c r="AA826"/>
      <c r="AB826"/>
      <c r="AC826"/>
      <c r="AD826"/>
      <c r="AE826"/>
      <c r="AF826"/>
      <c r="AY826" s="465"/>
    </row>
    <row r="827" spans="1:51" x14ac:dyDescent="0.25">
      <c r="A827" s="622" t="s">
        <v>25</v>
      </c>
      <c r="B827" s="255">
        <f t="shared" ref="B827:H827" si="443">B832*B820</f>
        <v>2310133.8537931037</v>
      </c>
      <c r="C827" s="133">
        <f t="shared" si="443"/>
        <v>725675.84482758632</v>
      </c>
      <c r="D827" s="133">
        <f t="shared" si="443"/>
        <v>1002967.7337931036</v>
      </c>
      <c r="E827" s="133">
        <f t="shared" si="443"/>
        <v>979013.42137931043</v>
      </c>
      <c r="F827" s="133">
        <f t="shared" si="443"/>
        <v>1954901.2468965519</v>
      </c>
      <c r="G827" s="133">
        <f t="shared" si="443"/>
        <v>2627145.217931035</v>
      </c>
      <c r="H827" s="133">
        <f t="shared" si="443"/>
        <v>2176390.9117241385</v>
      </c>
      <c r="I827" s="133">
        <f>SUM(B827:H827)</f>
        <v>11776228.23034483</v>
      </c>
      <c r="J827" s="629">
        <f t="shared" ref="J827:J832" si="444">+$I827/7</f>
        <v>1682318.3186206899</v>
      </c>
      <c r="K827"/>
      <c r="L827"/>
      <c r="M827"/>
      <c r="N827"/>
      <c r="O827"/>
      <c r="P827"/>
      <c r="Q827"/>
      <c r="R827"/>
      <c r="S827"/>
      <c r="T827"/>
      <c r="U827"/>
      <c r="V827"/>
      <c r="W827"/>
      <c r="X827"/>
      <c r="Y827"/>
      <c r="Z827"/>
      <c r="AA827"/>
      <c r="AB827"/>
      <c r="AC827"/>
      <c r="AD827"/>
      <c r="AE827"/>
      <c r="AF827"/>
      <c r="AY827" s="465"/>
    </row>
    <row r="828" spans="1:51" x14ac:dyDescent="0.25">
      <c r="A828" s="622" t="s">
        <v>26</v>
      </c>
      <c r="B828" s="255">
        <f t="shared" ref="B828:H828" si="445">B832*B821</f>
        <v>0</v>
      </c>
      <c r="C828" s="133">
        <f t="shared" si="445"/>
        <v>0</v>
      </c>
      <c r="D828" s="133">
        <f t="shared" si="445"/>
        <v>0</v>
      </c>
      <c r="E828" s="133">
        <f t="shared" si="445"/>
        <v>0</v>
      </c>
      <c r="F828" s="133">
        <f t="shared" si="445"/>
        <v>0</v>
      </c>
      <c r="G828" s="133">
        <f t="shared" si="445"/>
        <v>0</v>
      </c>
      <c r="H828" s="133">
        <f t="shared" si="445"/>
        <v>0</v>
      </c>
      <c r="I828" s="133">
        <f>SUM(B828:H828)</f>
        <v>0</v>
      </c>
      <c r="J828" s="629">
        <f t="shared" si="444"/>
        <v>0</v>
      </c>
      <c r="K828"/>
      <c r="L828"/>
      <c r="M828"/>
      <c r="N828"/>
      <c r="O828"/>
      <c r="P828"/>
      <c r="Q828"/>
      <c r="R828"/>
      <c r="S828"/>
      <c r="T828"/>
      <c r="U828"/>
      <c r="V828"/>
      <c r="W828"/>
      <c r="X828"/>
      <c r="Y828"/>
      <c r="Z828"/>
      <c r="AA828"/>
      <c r="AB828"/>
      <c r="AC828"/>
      <c r="AD828"/>
      <c r="AE828"/>
      <c r="AF828"/>
      <c r="AY828" s="465"/>
    </row>
    <row r="829" spans="1:51" x14ac:dyDescent="0.25">
      <c r="A829" s="622" t="s">
        <v>27</v>
      </c>
      <c r="B829" s="255">
        <f t="shared" ref="B829:H829" si="446">B832*B822</f>
        <v>473873.61103448278</v>
      </c>
      <c r="C829" s="133">
        <f t="shared" si="446"/>
        <v>335760.46551724139</v>
      </c>
      <c r="D829" s="133">
        <f t="shared" si="446"/>
        <v>231454.09241379314</v>
      </c>
      <c r="E829" s="133">
        <f t="shared" si="446"/>
        <v>241400.56965517244</v>
      </c>
      <c r="F829" s="133">
        <f t="shared" si="446"/>
        <v>710873.18068965513</v>
      </c>
      <c r="G829" s="133">
        <f t="shared" si="446"/>
        <v>598590.04965517251</v>
      </c>
      <c r="H829" s="133">
        <f t="shared" si="446"/>
        <v>474341.60896551737</v>
      </c>
      <c r="I829" s="133">
        <f>SUM(B829:H829)</f>
        <v>3066293.5779310348</v>
      </c>
      <c r="J829" s="629">
        <f t="shared" si="444"/>
        <v>438041.93970443355</v>
      </c>
      <c r="K829"/>
      <c r="L829"/>
      <c r="M829"/>
      <c r="N829"/>
      <c r="O829"/>
      <c r="P829"/>
      <c r="Q829"/>
      <c r="R829"/>
      <c r="S829"/>
      <c r="T829"/>
      <c r="U829"/>
      <c r="V829"/>
      <c r="W829"/>
      <c r="X829"/>
      <c r="Y829"/>
      <c r="Z829"/>
      <c r="AA829"/>
      <c r="AB829"/>
      <c r="AC829"/>
      <c r="AD829"/>
      <c r="AE829"/>
      <c r="AF829"/>
      <c r="AY829" s="465"/>
    </row>
    <row r="830" spans="1:51" x14ac:dyDescent="0.25">
      <c r="A830" s="622" t="s">
        <v>28</v>
      </c>
      <c r="B830" s="255">
        <f t="shared" ref="B830:H830" si="447">B832*B823</f>
        <v>177702.60413793105</v>
      </c>
      <c r="C830" s="133">
        <f t="shared" si="447"/>
        <v>21661.965517241384</v>
      </c>
      <c r="D830" s="133">
        <f t="shared" si="447"/>
        <v>51434.242758620698</v>
      </c>
      <c r="E830" s="133">
        <f t="shared" si="447"/>
        <v>120700.28482758622</v>
      </c>
      <c r="F830" s="133">
        <f t="shared" si="447"/>
        <v>296197.1586206897</v>
      </c>
      <c r="G830" s="133">
        <f t="shared" si="447"/>
        <v>99765.00827586207</v>
      </c>
      <c r="H830" s="133">
        <f t="shared" si="447"/>
        <v>139512.2379310345</v>
      </c>
      <c r="I830" s="133">
        <f>SUM(B830:H830)</f>
        <v>906973.5020689657</v>
      </c>
      <c r="J830" s="629">
        <f t="shared" si="444"/>
        <v>129567.64315270938</v>
      </c>
      <c r="K830"/>
      <c r="L830"/>
      <c r="M830"/>
      <c r="N830"/>
      <c r="O830"/>
      <c r="P830"/>
      <c r="Q830"/>
      <c r="R830"/>
      <c r="S830"/>
      <c r="T830"/>
      <c r="U830"/>
      <c r="V830"/>
      <c r="W830"/>
      <c r="X830"/>
      <c r="Y830"/>
      <c r="Z830"/>
      <c r="AA830"/>
      <c r="AB830"/>
      <c r="AC830"/>
      <c r="AD830"/>
      <c r="AE830"/>
      <c r="AF830"/>
      <c r="AY830" s="465"/>
    </row>
    <row r="831" spans="1:51" x14ac:dyDescent="0.25">
      <c r="A831" s="622" t="s">
        <v>29</v>
      </c>
      <c r="B831" s="255">
        <f t="shared" ref="B831:H831" si="448">B832*B824</f>
        <v>0</v>
      </c>
      <c r="C831" s="727">
        <f t="shared" si="448"/>
        <v>0</v>
      </c>
      <c r="D831" s="727">
        <f t="shared" si="448"/>
        <v>0</v>
      </c>
      <c r="E831" s="727">
        <f t="shared" si="448"/>
        <v>0</v>
      </c>
      <c r="F831" s="727">
        <f t="shared" si="448"/>
        <v>0</v>
      </c>
      <c r="G831" s="727">
        <f t="shared" si="448"/>
        <v>0</v>
      </c>
      <c r="H831" s="727">
        <f t="shared" si="448"/>
        <v>0</v>
      </c>
      <c r="I831" s="133">
        <f>SUM(B831:H831)</f>
        <v>0</v>
      </c>
      <c r="J831" s="629">
        <f t="shared" si="444"/>
        <v>0</v>
      </c>
      <c r="K831"/>
      <c r="L831"/>
      <c r="M831"/>
      <c r="N831"/>
      <c r="O831"/>
      <c r="P831"/>
      <c r="Q831"/>
      <c r="R831"/>
      <c r="S831"/>
      <c r="T831"/>
      <c r="U831"/>
      <c r="V831"/>
      <c r="W831"/>
      <c r="X831"/>
      <c r="Y831"/>
      <c r="Z831"/>
      <c r="AA831"/>
      <c r="AB831"/>
      <c r="AC831"/>
      <c r="AD831"/>
      <c r="AE831"/>
      <c r="AF831"/>
      <c r="AY831" s="465"/>
    </row>
    <row r="832" spans="1:51" x14ac:dyDescent="0.25">
      <c r="A832" s="630" t="s">
        <v>30</v>
      </c>
      <c r="B832" s="726">
        <f>(3626000/1.16)-B833</f>
        <v>2961710.0689655175</v>
      </c>
      <c r="C832" s="729">
        <f>(1326400/1.16)-C833</f>
        <v>1083098.2758620691</v>
      </c>
      <c r="D832" s="729">
        <f>(1572800/1.16)-D833</f>
        <v>1285856.0689655175</v>
      </c>
      <c r="E832" s="729">
        <f>(1642500/1.16)-E833</f>
        <v>1341114.2758620691</v>
      </c>
      <c r="F832" s="729">
        <f>(3587100/1.16)-F833</f>
        <v>2961971.5862068967</v>
      </c>
      <c r="G832" s="729">
        <f>(4087200/1.16)-G833</f>
        <v>3325500.2758620693</v>
      </c>
      <c r="H832" s="729">
        <f>(3424300/1.16)-H833</f>
        <v>2790244.7586206901</v>
      </c>
      <c r="I832" s="137">
        <f>SUM(I827:I831)</f>
        <v>15749495.31034483</v>
      </c>
      <c r="J832" s="631">
        <f t="shared" si="444"/>
        <v>2249927.9014778328</v>
      </c>
      <c r="K832"/>
      <c r="L832"/>
      <c r="M832"/>
      <c r="N832"/>
      <c r="O832"/>
      <c r="P832"/>
      <c r="Q832"/>
      <c r="R832"/>
      <c r="S832"/>
      <c r="T832"/>
      <c r="U832"/>
      <c r="V832"/>
      <c r="W832"/>
      <c r="X832"/>
      <c r="Y832"/>
      <c r="Z832"/>
      <c r="AA832"/>
      <c r="AB832"/>
      <c r="AC832"/>
      <c r="AD832"/>
      <c r="AE832"/>
      <c r="AF832"/>
      <c r="AY832" s="465"/>
    </row>
    <row r="833" spans="1:51" x14ac:dyDescent="0.25">
      <c r="A833" s="622" t="s">
        <v>31</v>
      </c>
      <c r="B833" s="263">
        <f t="shared" ref="B833:H833" si="449">2414*B814</f>
        <v>164152</v>
      </c>
      <c r="C833" s="728">
        <f t="shared" si="449"/>
        <v>60350</v>
      </c>
      <c r="D833" s="728">
        <f t="shared" si="449"/>
        <v>70006</v>
      </c>
      <c r="E833" s="728">
        <f t="shared" si="449"/>
        <v>74834</v>
      </c>
      <c r="F833" s="728">
        <f t="shared" si="449"/>
        <v>130356</v>
      </c>
      <c r="G833" s="728">
        <f t="shared" si="449"/>
        <v>197948</v>
      </c>
      <c r="H833" s="728">
        <f t="shared" si="449"/>
        <v>161738</v>
      </c>
      <c r="I833" s="139">
        <f>I814*2414</f>
        <v>859384</v>
      </c>
      <c r="J833" s="632">
        <f>2414*J814</f>
        <v>122769.14285714286</v>
      </c>
      <c r="K833"/>
      <c r="L833"/>
      <c r="M833"/>
      <c r="N833"/>
      <c r="O833"/>
      <c r="P833"/>
      <c r="Q833"/>
      <c r="R833"/>
      <c r="S833"/>
      <c r="T833"/>
      <c r="U833"/>
      <c r="V833"/>
      <c r="W833"/>
      <c r="X833"/>
      <c r="Y833"/>
      <c r="Z833"/>
      <c r="AA833"/>
      <c r="AB833"/>
      <c r="AC833"/>
      <c r="AD833"/>
      <c r="AE833"/>
      <c r="AF833"/>
      <c r="AY833" s="465"/>
    </row>
    <row r="834" spans="1:51" x14ac:dyDescent="0.25">
      <c r="A834" s="633" t="s">
        <v>32</v>
      </c>
      <c r="B834" s="411">
        <f t="shared" ref="B834:J834" si="450">B832+B833</f>
        <v>3125862.0689655175</v>
      </c>
      <c r="C834" s="40">
        <f t="shared" si="450"/>
        <v>1143448.2758620691</v>
      </c>
      <c r="D834" s="40">
        <f t="shared" si="450"/>
        <v>1355862.0689655175</v>
      </c>
      <c r="E834" s="40">
        <f t="shared" si="450"/>
        <v>1415948.2758620691</v>
      </c>
      <c r="F834" s="40">
        <f t="shared" si="450"/>
        <v>3092327.5862068967</v>
      </c>
      <c r="G834" s="40">
        <f t="shared" si="450"/>
        <v>3523448.2758620693</v>
      </c>
      <c r="H834" s="40">
        <f t="shared" si="450"/>
        <v>2951982.7586206901</v>
      </c>
      <c r="I834" s="40">
        <f t="shared" si="450"/>
        <v>16608879.31034483</v>
      </c>
      <c r="J834" s="634">
        <f t="shared" si="450"/>
        <v>2372697.0443349755</v>
      </c>
      <c r="K834"/>
      <c r="L834"/>
      <c r="M834"/>
      <c r="N834"/>
      <c r="O834"/>
      <c r="P834"/>
      <c r="Q834"/>
      <c r="R834"/>
      <c r="S834"/>
      <c r="T834"/>
      <c r="U834"/>
      <c r="V834"/>
      <c r="W834"/>
      <c r="X834"/>
      <c r="Y834"/>
      <c r="Z834"/>
      <c r="AA834"/>
      <c r="AB834"/>
      <c r="AC834"/>
      <c r="AD834"/>
      <c r="AE834"/>
      <c r="AF834"/>
      <c r="AY834" s="465"/>
    </row>
    <row r="835" spans="1:51" x14ac:dyDescent="0.25">
      <c r="A835" s="622" t="s">
        <v>33</v>
      </c>
      <c r="B835" s="413">
        <f t="shared" ref="B835:J835" si="451">B834*16%</f>
        <v>500137.93103448278</v>
      </c>
      <c r="C835" s="42">
        <f t="shared" si="451"/>
        <v>182951.72413793107</v>
      </c>
      <c r="D835" s="42">
        <f t="shared" si="451"/>
        <v>216937.93103448278</v>
      </c>
      <c r="E835" s="42">
        <f t="shared" si="451"/>
        <v>226551.72413793107</v>
      </c>
      <c r="F835" s="42">
        <f t="shared" si="451"/>
        <v>494772.41379310348</v>
      </c>
      <c r="G835" s="42">
        <f t="shared" si="451"/>
        <v>563751.72413793113</v>
      </c>
      <c r="H835" s="42">
        <f t="shared" si="451"/>
        <v>472317.24137931044</v>
      </c>
      <c r="I835" s="42">
        <f t="shared" si="451"/>
        <v>2657420.6896551731</v>
      </c>
      <c r="J835" s="635">
        <f t="shared" si="451"/>
        <v>379631.52709359612</v>
      </c>
      <c r="K835"/>
      <c r="L835"/>
      <c r="M835"/>
      <c r="N835"/>
      <c r="O835"/>
      <c r="P835"/>
      <c r="Q835"/>
      <c r="R835"/>
      <c r="S835"/>
      <c r="T835"/>
      <c r="U835"/>
      <c r="V835"/>
      <c r="W835"/>
      <c r="X835"/>
      <c r="Y835"/>
      <c r="Z835"/>
      <c r="AA835"/>
      <c r="AB835"/>
      <c r="AC835"/>
      <c r="AD835"/>
      <c r="AE835"/>
      <c r="AF835"/>
      <c r="AY835" s="465"/>
    </row>
    <row r="836" spans="1:51" ht="15.75" thickBot="1" x14ac:dyDescent="0.3">
      <c r="A836" s="636" t="s">
        <v>34</v>
      </c>
      <c r="B836" s="637">
        <f t="shared" ref="B836:I836" si="452">B834+B835</f>
        <v>3626000</v>
      </c>
      <c r="C836" s="638">
        <f t="shared" si="452"/>
        <v>1326400.0000000002</v>
      </c>
      <c r="D836" s="638">
        <f t="shared" si="452"/>
        <v>1572800.0000000002</v>
      </c>
      <c r="E836" s="638">
        <f t="shared" si="452"/>
        <v>1642500.0000000002</v>
      </c>
      <c r="F836" s="638">
        <f t="shared" si="452"/>
        <v>3587100</v>
      </c>
      <c r="G836" s="638">
        <f t="shared" si="452"/>
        <v>4087200.0000000005</v>
      </c>
      <c r="H836" s="638">
        <f t="shared" si="452"/>
        <v>3424300.0000000005</v>
      </c>
      <c r="I836" s="638">
        <f t="shared" si="452"/>
        <v>19266300.000000004</v>
      </c>
      <c r="J836" s="639">
        <f>+$I836/7</f>
        <v>2752328.5714285718</v>
      </c>
      <c r="K836"/>
      <c r="L836"/>
      <c r="M836"/>
      <c r="N836"/>
      <c r="O836"/>
      <c r="P836"/>
      <c r="Q836"/>
      <c r="R836"/>
      <c r="S836"/>
      <c r="T836"/>
      <c r="U836"/>
      <c r="V836"/>
      <c r="W836"/>
      <c r="X836"/>
      <c r="Y836"/>
      <c r="Z836"/>
      <c r="AA836"/>
      <c r="AB836"/>
      <c r="AC836"/>
      <c r="AD836"/>
      <c r="AE836"/>
      <c r="AF836"/>
      <c r="AY836" s="465"/>
    </row>
    <row r="837" spans="1:51" ht="15.75" thickBot="1" x14ac:dyDescent="0.3">
      <c r="K837"/>
      <c r="L837"/>
      <c r="M837"/>
      <c r="N837"/>
      <c r="O837"/>
      <c r="P837"/>
      <c r="Q837"/>
      <c r="R837"/>
      <c r="S837"/>
      <c r="T837"/>
      <c r="U837"/>
      <c r="V837"/>
      <c r="W837"/>
      <c r="X837"/>
      <c r="Y837"/>
      <c r="Z837"/>
      <c r="AA837"/>
      <c r="AB837"/>
      <c r="AC837"/>
      <c r="AD837"/>
      <c r="AE837"/>
      <c r="AF837"/>
      <c r="AY837" s="465"/>
    </row>
    <row r="838" spans="1:51" ht="27" thickBot="1" x14ac:dyDescent="0.3">
      <c r="A838" s="85"/>
      <c r="B838" s="1002" t="s">
        <v>708</v>
      </c>
      <c r="C838" s="1002"/>
      <c r="D838" s="1002"/>
      <c r="E838" s="1002"/>
      <c r="F838" s="1002"/>
      <c r="G838" s="1002"/>
      <c r="H838" s="1002"/>
      <c r="I838" s="1002"/>
      <c r="J838" s="85"/>
      <c r="K838"/>
      <c r="L838"/>
      <c r="M838"/>
      <c r="N838"/>
      <c r="O838"/>
      <c r="P838"/>
      <c r="Q838"/>
      <c r="R838"/>
      <c r="S838"/>
      <c r="T838"/>
      <c r="U838"/>
      <c r="V838"/>
      <c r="W838"/>
      <c r="X838"/>
      <c r="Y838"/>
      <c r="Z838"/>
      <c r="AA838"/>
      <c r="AB838"/>
      <c r="AC838"/>
      <c r="AD838"/>
      <c r="AE838"/>
      <c r="AF838"/>
      <c r="AY838" s="465"/>
    </row>
    <row r="839" spans="1:51" ht="15.75" x14ac:dyDescent="0.25">
      <c r="A839" s="614" t="s">
        <v>2</v>
      </c>
      <c r="B839" s="706" t="s">
        <v>600</v>
      </c>
      <c r="C839" s="617" t="s">
        <v>601</v>
      </c>
      <c r="D839" s="617" t="s">
        <v>602</v>
      </c>
      <c r="E839" s="617" t="s">
        <v>603</v>
      </c>
      <c r="F839" s="617" t="s">
        <v>604</v>
      </c>
      <c r="G839" s="617" t="s">
        <v>653</v>
      </c>
      <c r="H839" s="617" t="s">
        <v>272</v>
      </c>
      <c r="I839" s="618" t="s">
        <v>10</v>
      </c>
      <c r="J839" s="619" t="s">
        <v>77</v>
      </c>
      <c r="K839"/>
      <c r="L839"/>
      <c r="M839"/>
      <c r="N839"/>
      <c r="O839"/>
      <c r="P839"/>
      <c r="Q839"/>
      <c r="R839"/>
      <c r="S839"/>
      <c r="T839"/>
      <c r="U839"/>
      <c r="V839"/>
      <c r="W839"/>
      <c r="X839"/>
      <c r="Y839"/>
      <c r="Z839"/>
      <c r="AA839"/>
      <c r="AB839"/>
      <c r="AC839"/>
      <c r="AD839"/>
      <c r="AE839"/>
      <c r="AF839"/>
      <c r="AY839" s="465"/>
    </row>
    <row r="840" spans="1:51" x14ac:dyDescent="0.25">
      <c r="A840" s="620" t="s">
        <v>11</v>
      </c>
      <c r="B840" s="433">
        <f>34+20+10</f>
        <v>64</v>
      </c>
      <c r="C840" s="673">
        <f>28+22+6</f>
        <v>56</v>
      </c>
      <c r="D840" s="739">
        <f>42+14+4</f>
        <v>60</v>
      </c>
      <c r="E840" s="673">
        <f>30+6+3</f>
        <v>39</v>
      </c>
      <c r="F840" s="673">
        <f>55+33+16</f>
        <v>104</v>
      </c>
      <c r="G840" s="673">
        <f>101+63+25</f>
        <v>189</v>
      </c>
      <c r="H840" s="673">
        <f>81+53+18</f>
        <v>152</v>
      </c>
      <c r="I840" s="673">
        <f t="shared" ref="I840:I845" si="453">SUM(B840:H840)</f>
        <v>664</v>
      </c>
      <c r="J840" s="621">
        <f t="shared" ref="J840:J846" si="454">+$I840/7</f>
        <v>94.857142857142861</v>
      </c>
      <c r="K840"/>
      <c r="L840"/>
      <c r="M840"/>
      <c r="N840"/>
      <c r="O840"/>
      <c r="P840"/>
      <c r="Q840"/>
      <c r="R840"/>
      <c r="S840"/>
      <c r="T840"/>
      <c r="U840"/>
      <c r="V840"/>
      <c r="W840"/>
      <c r="X840"/>
      <c r="Y840"/>
      <c r="Z840"/>
      <c r="AA840"/>
      <c r="AB840"/>
      <c r="AC840"/>
      <c r="AD840"/>
      <c r="AE840"/>
      <c r="AF840"/>
      <c r="AY840" s="465"/>
    </row>
    <row r="841" spans="1:51" x14ac:dyDescent="0.25">
      <c r="A841" s="622" t="s">
        <v>12</v>
      </c>
      <c r="B841" s="233">
        <v>26</v>
      </c>
      <c r="C841" s="671">
        <v>28</v>
      </c>
      <c r="D841" s="671">
        <v>35</v>
      </c>
      <c r="E841" s="671">
        <v>22</v>
      </c>
      <c r="F841" s="671">
        <v>42</v>
      </c>
      <c r="G841" s="675">
        <v>95</v>
      </c>
      <c r="H841" s="671">
        <v>83</v>
      </c>
      <c r="I841" s="671">
        <f t="shared" si="453"/>
        <v>331</v>
      </c>
      <c r="J841" s="623">
        <f t="shared" si="454"/>
        <v>47.285714285714285</v>
      </c>
      <c r="K841"/>
      <c r="L841"/>
      <c r="M841"/>
      <c r="N841"/>
      <c r="O841"/>
      <c r="P841"/>
      <c r="Q841"/>
      <c r="R841"/>
      <c r="S841"/>
      <c r="T841"/>
      <c r="U841"/>
      <c r="V841"/>
      <c r="W841"/>
      <c r="X841"/>
      <c r="Y841"/>
      <c r="Z841"/>
      <c r="AA841"/>
      <c r="AB841"/>
      <c r="AC841"/>
      <c r="AD841"/>
      <c r="AE841"/>
      <c r="AF841"/>
      <c r="AY841" s="465"/>
    </row>
    <row r="842" spans="1:51" x14ac:dyDescent="0.25">
      <c r="A842" s="622" t="s">
        <v>13</v>
      </c>
      <c r="B842" s="233">
        <v>1</v>
      </c>
      <c r="C842" s="13">
        <v>0</v>
      </c>
      <c r="D842" s="13">
        <v>0</v>
      </c>
      <c r="E842" s="13">
        <v>1</v>
      </c>
      <c r="F842" s="13">
        <v>0</v>
      </c>
      <c r="G842" s="13">
        <v>0</v>
      </c>
      <c r="H842" s="13">
        <v>0</v>
      </c>
      <c r="I842" s="13">
        <f t="shared" si="453"/>
        <v>2</v>
      </c>
      <c r="J842" s="623">
        <f t="shared" si="454"/>
        <v>0.2857142857142857</v>
      </c>
      <c r="K842"/>
      <c r="L842"/>
      <c r="M842"/>
      <c r="N842"/>
      <c r="O842"/>
      <c r="P842"/>
      <c r="Q842"/>
      <c r="R842"/>
      <c r="S842"/>
      <c r="T842"/>
      <c r="U842"/>
      <c r="V842"/>
      <c r="W842"/>
      <c r="X842"/>
      <c r="Y842"/>
      <c r="Z842"/>
      <c r="AA842"/>
      <c r="AB842"/>
      <c r="AC842"/>
      <c r="AD842"/>
      <c r="AE842"/>
      <c r="AF842"/>
      <c r="AY842" s="465"/>
    </row>
    <row r="843" spans="1:51" x14ac:dyDescent="0.25">
      <c r="A843" s="622" t="s">
        <v>14</v>
      </c>
      <c r="B843" s="233">
        <v>18</v>
      </c>
      <c r="C843" s="13">
        <v>12</v>
      </c>
      <c r="D843" s="320">
        <v>12</v>
      </c>
      <c r="E843" s="13">
        <v>7</v>
      </c>
      <c r="F843" s="13">
        <v>33</v>
      </c>
      <c r="G843" s="13">
        <v>32</v>
      </c>
      <c r="H843" s="13">
        <v>25</v>
      </c>
      <c r="I843" s="13">
        <f t="shared" si="453"/>
        <v>139</v>
      </c>
      <c r="J843" s="623">
        <f t="shared" si="454"/>
        <v>19.857142857142858</v>
      </c>
      <c r="K843"/>
      <c r="L843"/>
      <c r="M843"/>
      <c r="N843"/>
      <c r="O843"/>
      <c r="P843"/>
      <c r="Q843"/>
      <c r="R843"/>
      <c r="S843"/>
      <c r="T843"/>
      <c r="U843"/>
      <c r="V843"/>
      <c r="W843"/>
      <c r="X843"/>
      <c r="Y843"/>
      <c r="Z843"/>
      <c r="AA843"/>
      <c r="AB843"/>
      <c r="AC843"/>
      <c r="AD843"/>
      <c r="AE843"/>
      <c r="AF843"/>
      <c r="AY843" s="465"/>
    </row>
    <row r="844" spans="1:51" x14ac:dyDescent="0.25">
      <c r="A844" s="622" t="s">
        <v>15</v>
      </c>
      <c r="B844" s="233">
        <v>3</v>
      </c>
      <c r="C844" s="13">
        <v>2</v>
      </c>
      <c r="D844" s="13">
        <v>4</v>
      </c>
      <c r="E844" s="13">
        <v>5</v>
      </c>
      <c r="F844" s="13">
        <v>6</v>
      </c>
      <c r="G844" s="13">
        <v>12</v>
      </c>
      <c r="H844" s="13">
        <v>9</v>
      </c>
      <c r="I844" s="13">
        <f t="shared" si="453"/>
        <v>41</v>
      </c>
      <c r="J844" s="623">
        <f t="shared" si="454"/>
        <v>5.8571428571428568</v>
      </c>
      <c r="K844"/>
      <c r="L844"/>
      <c r="M844"/>
      <c r="N844"/>
      <c r="O844"/>
      <c r="P844"/>
      <c r="Q844"/>
      <c r="R844"/>
      <c r="S844"/>
      <c r="T844"/>
      <c r="U844"/>
      <c r="V844"/>
      <c r="W844"/>
      <c r="X844"/>
      <c r="Y844"/>
      <c r="Z844"/>
      <c r="AA844"/>
      <c r="AB844"/>
      <c r="AC844"/>
      <c r="AD844"/>
      <c r="AE844"/>
      <c r="AF844"/>
      <c r="AY844" s="465"/>
    </row>
    <row r="845" spans="1:51" x14ac:dyDescent="0.25">
      <c r="A845" s="622" t="s">
        <v>16</v>
      </c>
      <c r="B845" s="233">
        <v>0</v>
      </c>
      <c r="C845" s="13">
        <v>0</v>
      </c>
      <c r="D845" s="13">
        <v>0</v>
      </c>
      <c r="E845" s="13">
        <v>0</v>
      </c>
      <c r="F845" s="13">
        <v>0</v>
      </c>
      <c r="G845" s="13">
        <v>0</v>
      </c>
      <c r="H845" s="13">
        <v>0</v>
      </c>
      <c r="I845" s="13">
        <f t="shared" si="453"/>
        <v>0</v>
      </c>
      <c r="J845" s="623">
        <f t="shared" si="454"/>
        <v>0</v>
      </c>
      <c r="K845"/>
      <c r="L845"/>
      <c r="M845"/>
      <c r="N845"/>
      <c r="O845"/>
      <c r="P845"/>
      <c r="Q845"/>
      <c r="R845"/>
      <c r="S845"/>
      <c r="T845"/>
      <c r="U845"/>
      <c r="V845"/>
      <c r="W845"/>
      <c r="X845"/>
      <c r="Y845"/>
      <c r="Z845"/>
      <c r="AA845"/>
      <c r="AB845"/>
      <c r="AC845"/>
      <c r="AD845"/>
      <c r="AE845"/>
      <c r="AF845"/>
      <c r="AY845" s="465"/>
    </row>
    <row r="846" spans="1:51" x14ac:dyDescent="0.25">
      <c r="A846" s="624" t="s">
        <v>17</v>
      </c>
      <c r="B846" s="102">
        <f t="shared" ref="B846:H846" si="455">SUM(B841:B845)</f>
        <v>48</v>
      </c>
      <c r="C846" s="79">
        <f t="shared" si="455"/>
        <v>42</v>
      </c>
      <c r="D846" s="79">
        <f t="shared" si="455"/>
        <v>51</v>
      </c>
      <c r="E846" s="79">
        <f t="shared" si="455"/>
        <v>35</v>
      </c>
      <c r="F846" s="79">
        <f t="shared" si="455"/>
        <v>81</v>
      </c>
      <c r="G846" s="79">
        <f t="shared" si="455"/>
        <v>139</v>
      </c>
      <c r="H846" s="79">
        <f t="shared" si="455"/>
        <v>117</v>
      </c>
      <c r="I846" s="79">
        <f>SUM(I841:I845)</f>
        <v>513</v>
      </c>
      <c r="J846" s="625">
        <f t="shared" si="454"/>
        <v>73.285714285714292</v>
      </c>
      <c r="K846"/>
      <c r="L846"/>
      <c r="M846"/>
      <c r="N846"/>
      <c r="O846"/>
      <c r="P846"/>
      <c r="Q846"/>
      <c r="R846"/>
      <c r="S846"/>
      <c r="T846"/>
      <c r="U846"/>
      <c r="V846"/>
      <c r="W846"/>
      <c r="X846"/>
      <c r="Y846"/>
      <c r="Z846"/>
      <c r="AA846"/>
      <c r="AB846"/>
      <c r="AC846"/>
      <c r="AD846"/>
      <c r="AE846"/>
      <c r="AF846"/>
      <c r="AY846" s="465"/>
    </row>
    <row r="847" spans="1:51" x14ac:dyDescent="0.25">
      <c r="A847" s="622" t="s">
        <v>18</v>
      </c>
      <c r="B847" s="406">
        <v>0.63</v>
      </c>
      <c r="C847" s="19">
        <v>0.76</v>
      </c>
      <c r="D847" s="19">
        <v>0.8</v>
      </c>
      <c r="E847" s="19">
        <v>0.76</v>
      </c>
      <c r="F847" s="19">
        <v>0.53</v>
      </c>
      <c r="G847" s="19">
        <v>0.77</v>
      </c>
      <c r="H847" s="19">
        <v>0.72</v>
      </c>
      <c r="I847" s="19">
        <f>I854/I859</f>
        <v>0.70939032318400941</v>
      </c>
      <c r="J847" s="626">
        <f>J854/J859</f>
        <v>0.70939032318400941</v>
      </c>
      <c r="K847"/>
      <c r="L847"/>
      <c r="M847"/>
      <c r="N847"/>
      <c r="O847"/>
      <c r="P847"/>
      <c r="Q847"/>
      <c r="R847"/>
      <c r="S847"/>
      <c r="T847"/>
      <c r="U847"/>
      <c r="V847"/>
      <c r="W847"/>
      <c r="X847"/>
      <c r="Y847"/>
      <c r="Z847"/>
      <c r="AA847"/>
      <c r="AB847"/>
      <c r="AC847"/>
      <c r="AD847"/>
      <c r="AE847"/>
      <c r="AF847"/>
      <c r="AY847" s="465"/>
    </row>
    <row r="848" spans="1:51" x14ac:dyDescent="0.25">
      <c r="A848" s="622" t="s">
        <v>19</v>
      </c>
      <c r="B848" s="406">
        <v>0.02</v>
      </c>
      <c r="C848" s="19">
        <v>0</v>
      </c>
      <c r="D848" s="19">
        <v>0</v>
      </c>
      <c r="E848" s="19">
        <v>0.01</v>
      </c>
      <c r="F848" s="19">
        <v>0</v>
      </c>
      <c r="G848" s="19">
        <v>0</v>
      </c>
      <c r="H848" s="19">
        <v>0</v>
      </c>
      <c r="I848" s="19">
        <f>I855/I859</f>
        <v>2.4028443792535751E-3</v>
      </c>
      <c r="J848" s="626">
        <f>J855/J859</f>
        <v>2.4028443792535755E-3</v>
      </c>
      <c r="K848"/>
      <c r="L848"/>
      <c r="M848"/>
      <c r="N848"/>
      <c r="O848"/>
      <c r="P848"/>
      <c r="Q848"/>
      <c r="R848"/>
      <c r="S848"/>
      <c r="T848"/>
      <c r="U848"/>
      <c r="V848"/>
      <c r="W848"/>
      <c r="X848"/>
      <c r="Y848"/>
      <c r="Z848"/>
      <c r="AA848"/>
      <c r="AB848"/>
      <c r="AC848"/>
      <c r="AD848"/>
      <c r="AE848"/>
      <c r="AF848"/>
      <c r="AY848" s="465"/>
    </row>
    <row r="849" spans="1:51" x14ac:dyDescent="0.25">
      <c r="A849" s="622" t="s">
        <v>20</v>
      </c>
      <c r="B849" s="406">
        <v>0.28999999999999998</v>
      </c>
      <c r="C849" s="19">
        <v>0.21</v>
      </c>
      <c r="D849" s="19">
        <v>0.15</v>
      </c>
      <c r="E849" s="19">
        <v>0.15</v>
      </c>
      <c r="F849" s="19">
        <v>0.39</v>
      </c>
      <c r="G849" s="19">
        <v>0.16</v>
      </c>
      <c r="H849" s="19">
        <v>0.22</v>
      </c>
      <c r="I849" s="19">
        <f>I856/I859</f>
        <v>0.22460635116601982</v>
      </c>
      <c r="J849" s="626">
        <f>J856/J859</f>
        <v>0.22460635116601982</v>
      </c>
      <c r="K849"/>
      <c r="L849"/>
      <c r="M849"/>
      <c r="N849"/>
      <c r="O849"/>
      <c r="P849"/>
      <c r="Q849"/>
      <c r="R849"/>
      <c r="S849"/>
      <c r="T849"/>
      <c r="U849"/>
      <c r="V849"/>
      <c r="W849"/>
      <c r="X849"/>
      <c r="Y849"/>
      <c r="Z849"/>
      <c r="AA849"/>
      <c r="AB849"/>
      <c r="AC849"/>
      <c r="AD849"/>
      <c r="AE849"/>
      <c r="AF849"/>
      <c r="AY849" s="465"/>
    </row>
    <row r="850" spans="1:51" x14ac:dyDescent="0.25">
      <c r="A850" s="622" t="s">
        <v>21</v>
      </c>
      <c r="B850" s="406">
        <v>0.06</v>
      </c>
      <c r="C850" s="19">
        <v>0.03</v>
      </c>
      <c r="D850" s="19">
        <v>0.05</v>
      </c>
      <c r="E850" s="19">
        <v>0.08</v>
      </c>
      <c r="F850" s="19">
        <v>0.08</v>
      </c>
      <c r="G850" s="19">
        <v>7.0000000000000007E-2</v>
      </c>
      <c r="H850" s="19">
        <v>0.06</v>
      </c>
      <c r="I850" s="19">
        <f>I857/I859</f>
        <v>6.360048127071731E-2</v>
      </c>
      <c r="J850" s="626">
        <f>J857/J859</f>
        <v>6.360048127071731E-2</v>
      </c>
      <c r="K850"/>
      <c r="L850"/>
      <c r="M850"/>
      <c r="N850"/>
      <c r="O850"/>
      <c r="P850"/>
      <c r="Q850"/>
      <c r="R850"/>
      <c r="S850"/>
      <c r="T850"/>
      <c r="U850"/>
      <c r="V850"/>
      <c r="W850"/>
      <c r="X850"/>
      <c r="Y850"/>
      <c r="Z850"/>
      <c r="AA850"/>
      <c r="AB850"/>
      <c r="AC850"/>
      <c r="AD850"/>
      <c r="AE850"/>
      <c r="AF850"/>
      <c r="AY850" s="465"/>
    </row>
    <row r="851" spans="1:51" x14ac:dyDescent="0.25">
      <c r="A851" s="622" t="s">
        <v>22</v>
      </c>
      <c r="B851" s="406">
        <v>0</v>
      </c>
      <c r="C851" s="19">
        <v>0</v>
      </c>
      <c r="D851" s="19">
        <v>0</v>
      </c>
      <c r="E851" s="19">
        <v>0</v>
      </c>
      <c r="F851" s="19">
        <v>0</v>
      </c>
      <c r="G851" s="19">
        <v>0</v>
      </c>
      <c r="H851" s="19">
        <v>0</v>
      </c>
      <c r="I851" s="19">
        <f>I858/I859</f>
        <v>0</v>
      </c>
      <c r="J851" s="626">
        <f>J858/J859</f>
        <v>0</v>
      </c>
      <c r="K851"/>
      <c r="L851"/>
      <c r="M851"/>
      <c r="N851"/>
      <c r="O851"/>
      <c r="P851"/>
      <c r="Q851"/>
      <c r="R851"/>
      <c r="S851"/>
      <c r="T851"/>
      <c r="U851"/>
      <c r="V851"/>
      <c r="W851"/>
      <c r="X851"/>
      <c r="Y851"/>
      <c r="Z851"/>
      <c r="AA851"/>
      <c r="AB851"/>
      <c r="AC851"/>
      <c r="AD851"/>
      <c r="AE851"/>
      <c r="AF851"/>
      <c r="AY851" s="465"/>
    </row>
    <row r="852" spans="1:51" x14ac:dyDescent="0.25">
      <c r="A852" s="627" t="s">
        <v>23</v>
      </c>
      <c r="B852" s="409">
        <f t="shared" ref="B852:J852" si="456">B863/B846</f>
        <v>36354.166666666672</v>
      </c>
      <c r="C852" s="131">
        <f t="shared" si="456"/>
        <v>36302.380952380954</v>
      </c>
      <c r="D852" s="131">
        <f t="shared" si="456"/>
        <v>36431.372549019616</v>
      </c>
      <c r="E852" s="131">
        <f t="shared" si="456"/>
        <v>27691.428571428572</v>
      </c>
      <c r="F852" s="131">
        <f t="shared" si="456"/>
        <v>35719.753086419754</v>
      </c>
      <c r="G852" s="131">
        <f t="shared" si="456"/>
        <v>38630.215827338128</v>
      </c>
      <c r="H852" s="131">
        <f t="shared" si="456"/>
        <v>36433.333333333343</v>
      </c>
      <c r="I852" s="131">
        <f t="shared" si="456"/>
        <v>36301.169590643272</v>
      </c>
      <c r="J852" s="628">
        <f t="shared" si="456"/>
        <v>36301.169590643272</v>
      </c>
      <c r="K852"/>
      <c r="L852"/>
      <c r="M852"/>
      <c r="N852"/>
      <c r="O852"/>
      <c r="P852"/>
      <c r="Q852"/>
      <c r="R852"/>
      <c r="S852"/>
      <c r="T852"/>
      <c r="U852"/>
      <c r="V852"/>
      <c r="W852"/>
      <c r="X852"/>
      <c r="Y852"/>
      <c r="Z852"/>
      <c r="AA852"/>
      <c r="AB852"/>
      <c r="AC852"/>
      <c r="AD852"/>
      <c r="AE852"/>
      <c r="AF852"/>
      <c r="AY852" s="465"/>
    </row>
    <row r="853" spans="1:51" x14ac:dyDescent="0.25">
      <c r="A853" s="627" t="s">
        <v>24</v>
      </c>
      <c r="B853" s="409">
        <f t="shared" ref="B853:J853" si="457">B863/B840</f>
        <v>27265.625000000004</v>
      </c>
      <c r="C853" s="131">
        <f t="shared" si="457"/>
        <v>27226.785714285714</v>
      </c>
      <c r="D853" s="131">
        <f t="shared" si="457"/>
        <v>30966.666666666672</v>
      </c>
      <c r="E853" s="131">
        <f t="shared" si="457"/>
        <v>24851.282051282051</v>
      </c>
      <c r="F853" s="131">
        <f t="shared" si="457"/>
        <v>27820.192307692309</v>
      </c>
      <c r="G853" s="131">
        <f t="shared" si="457"/>
        <v>28410.582010582009</v>
      </c>
      <c r="H853" s="131">
        <f t="shared" si="457"/>
        <v>28044.078947368427</v>
      </c>
      <c r="I853" s="131">
        <f t="shared" si="457"/>
        <v>28045.933734939757</v>
      </c>
      <c r="J853" s="628">
        <f t="shared" si="457"/>
        <v>28045.933734939757</v>
      </c>
      <c r="K853"/>
      <c r="L853"/>
      <c r="M853"/>
      <c r="N853"/>
      <c r="O853"/>
      <c r="P853"/>
      <c r="Q853"/>
      <c r="R853"/>
      <c r="S853"/>
      <c r="T853"/>
      <c r="U853"/>
      <c r="V853"/>
      <c r="W853"/>
      <c r="X853"/>
      <c r="Y853"/>
      <c r="Z853"/>
      <c r="AA853"/>
      <c r="AB853"/>
      <c r="AC853"/>
      <c r="AD853"/>
      <c r="AE853"/>
      <c r="AF853"/>
      <c r="AY853" s="465"/>
    </row>
    <row r="854" spans="1:51" x14ac:dyDescent="0.25">
      <c r="A854" s="622" t="s">
        <v>25</v>
      </c>
      <c r="B854" s="255">
        <f t="shared" ref="B854:H854" si="458">B859*B847</f>
        <v>908174.19724137941</v>
      </c>
      <c r="C854" s="133">
        <f t="shared" si="458"/>
        <v>947571.45931034489</v>
      </c>
      <c r="D854" s="133">
        <f t="shared" si="458"/>
        <v>1213787.3103448278</v>
      </c>
      <c r="E854" s="133">
        <f t="shared" si="458"/>
        <v>594631.02344827587</v>
      </c>
      <c r="F854" s="133">
        <f t="shared" si="458"/>
        <v>1268203.1531034482</v>
      </c>
      <c r="G854" s="133">
        <f t="shared" si="458"/>
        <v>3387719.3482758622</v>
      </c>
      <c r="H854" s="133">
        <f t="shared" si="458"/>
        <v>2501553.1531034485</v>
      </c>
      <c r="I854" s="133">
        <f>SUM(B854:H854)</f>
        <v>10821639.644827588</v>
      </c>
      <c r="J854" s="629">
        <f t="shared" ref="J854:J859" si="459">+$I854/7</f>
        <v>1545948.5206896553</v>
      </c>
      <c r="K854"/>
      <c r="L854"/>
      <c r="M854"/>
      <c r="N854"/>
      <c r="O854"/>
      <c r="P854"/>
      <c r="Q854"/>
      <c r="R854"/>
      <c r="S854"/>
      <c r="T854"/>
      <c r="U854"/>
      <c r="V854"/>
      <c r="W854"/>
      <c r="X854"/>
      <c r="Y854"/>
      <c r="Z854"/>
      <c r="AA854"/>
      <c r="AB854"/>
      <c r="AC854"/>
      <c r="AD854"/>
      <c r="AE854"/>
      <c r="AF854"/>
      <c r="AY854" s="465"/>
    </row>
    <row r="855" spans="1:51" x14ac:dyDescent="0.25">
      <c r="A855" s="622" t="s">
        <v>26</v>
      </c>
      <c r="B855" s="255">
        <f t="shared" ref="B855:H855" si="460">B859*B848</f>
        <v>28830.926896551726</v>
      </c>
      <c r="C855" s="133">
        <f t="shared" si="460"/>
        <v>0</v>
      </c>
      <c r="D855" s="133">
        <f t="shared" si="460"/>
        <v>0</v>
      </c>
      <c r="E855" s="133">
        <f t="shared" si="460"/>
        <v>7824.0924137931042</v>
      </c>
      <c r="F855" s="133">
        <f t="shared" si="460"/>
        <v>0</v>
      </c>
      <c r="G855" s="133">
        <f t="shared" si="460"/>
        <v>0</v>
      </c>
      <c r="H855" s="133">
        <f t="shared" si="460"/>
        <v>0</v>
      </c>
      <c r="I855" s="133">
        <f>SUM(B855:H855)</f>
        <v>36655.019310344833</v>
      </c>
      <c r="J855" s="629">
        <f t="shared" si="459"/>
        <v>5236.4313300492622</v>
      </c>
      <c r="K855"/>
      <c r="L855"/>
      <c r="M855"/>
      <c r="N855"/>
      <c r="O855"/>
      <c r="P855"/>
      <c r="Q855"/>
      <c r="R855"/>
      <c r="S855"/>
      <c r="T855"/>
      <c r="U855"/>
      <c r="V855"/>
      <c r="W855"/>
      <c r="X855"/>
      <c r="Y855"/>
      <c r="Z855"/>
      <c r="AA855"/>
      <c r="AB855"/>
      <c r="AC855"/>
      <c r="AD855"/>
      <c r="AE855"/>
      <c r="AF855"/>
      <c r="AY855" s="465"/>
    </row>
    <row r="856" spans="1:51" x14ac:dyDescent="0.25">
      <c r="A856" s="622" t="s">
        <v>27</v>
      </c>
      <c r="B856" s="255">
        <f t="shared" ref="B856:H856" si="461">B859*B849</f>
        <v>418048.44</v>
      </c>
      <c r="C856" s="133">
        <f t="shared" si="461"/>
        <v>261828.95586206898</v>
      </c>
      <c r="D856" s="133">
        <f t="shared" si="461"/>
        <v>227585.12068965519</v>
      </c>
      <c r="E856" s="133">
        <f t="shared" si="461"/>
        <v>117361.38620689655</v>
      </c>
      <c r="F856" s="133">
        <f t="shared" si="461"/>
        <v>933206.09379310347</v>
      </c>
      <c r="G856" s="133">
        <f t="shared" si="461"/>
        <v>703941.68275862071</v>
      </c>
      <c r="H856" s="133">
        <f t="shared" si="461"/>
        <v>764363.46344827593</v>
      </c>
      <c r="I856" s="133">
        <f>SUM(B856:H856)</f>
        <v>3426335.1427586209</v>
      </c>
      <c r="J856" s="629">
        <f t="shared" si="459"/>
        <v>489476.44896551728</v>
      </c>
      <c r="K856"/>
      <c r="L856"/>
      <c r="M856"/>
      <c r="N856"/>
      <c r="O856"/>
      <c r="P856"/>
      <c r="Q856"/>
      <c r="R856"/>
      <c r="S856"/>
      <c r="T856"/>
      <c r="U856"/>
      <c r="V856"/>
      <c r="W856"/>
      <c r="X856"/>
      <c r="Y856"/>
      <c r="Z856"/>
      <c r="AA856"/>
      <c r="AB856"/>
      <c r="AC856"/>
      <c r="AD856"/>
      <c r="AE856"/>
      <c r="AF856"/>
      <c r="AY856" s="465"/>
    </row>
    <row r="857" spans="1:51" x14ac:dyDescent="0.25">
      <c r="A857" s="622" t="s">
        <v>28</v>
      </c>
      <c r="B857" s="255">
        <f t="shared" ref="B857:H857" si="462">B859*B850</f>
        <v>86492.780689655177</v>
      </c>
      <c r="C857" s="133">
        <f t="shared" si="462"/>
        <v>37404.136551724136</v>
      </c>
      <c r="D857" s="133">
        <f t="shared" si="462"/>
        <v>75861.706896551739</v>
      </c>
      <c r="E857" s="133">
        <f t="shared" si="462"/>
        <v>62592.739310344834</v>
      </c>
      <c r="F857" s="133">
        <f t="shared" si="462"/>
        <v>191426.89103448275</v>
      </c>
      <c r="G857" s="133">
        <f t="shared" si="462"/>
        <v>307974.4862068966</v>
      </c>
      <c r="H857" s="133">
        <f t="shared" si="462"/>
        <v>208462.76275862069</v>
      </c>
      <c r="I857" s="133">
        <f>SUM(B857:H857)</f>
        <v>970215.50344827597</v>
      </c>
      <c r="J857" s="629">
        <f t="shared" si="459"/>
        <v>138602.21477832514</v>
      </c>
      <c r="K857"/>
      <c r="L857"/>
      <c r="M857"/>
      <c r="N857"/>
      <c r="O857"/>
      <c r="P857"/>
      <c r="Q857"/>
      <c r="R857"/>
      <c r="S857"/>
      <c r="T857"/>
      <c r="U857"/>
      <c r="V857"/>
      <c r="W857"/>
      <c r="X857"/>
      <c r="Y857"/>
      <c r="Z857"/>
      <c r="AA857"/>
      <c r="AB857"/>
      <c r="AC857"/>
      <c r="AD857"/>
      <c r="AE857"/>
      <c r="AF857"/>
      <c r="AY857" s="465"/>
    </row>
    <row r="858" spans="1:51" x14ac:dyDescent="0.25">
      <c r="A858" s="622" t="s">
        <v>29</v>
      </c>
      <c r="B858" s="255">
        <f t="shared" ref="B858:H858" si="463">B859*B851</f>
        <v>0</v>
      </c>
      <c r="C858" s="727">
        <f t="shared" si="463"/>
        <v>0</v>
      </c>
      <c r="D858" s="727">
        <f t="shared" si="463"/>
        <v>0</v>
      </c>
      <c r="E858" s="727">
        <f t="shared" si="463"/>
        <v>0</v>
      </c>
      <c r="F858" s="727">
        <f t="shared" si="463"/>
        <v>0</v>
      </c>
      <c r="G858" s="727">
        <f t="shared" si="463"/>
        <v>0</v>
      </c>
      <c r="H858" s="727">
        <f t="shared" si="463"/>
        <v>0</v>
      </c>
      <c r="I858" s="133">
        <f>SUM(B858:H858)</f>
        <v>0</v>
      </c>
      <c r="J858" s="629">
        <f t="shared" si="459"/>
        <v>0</v>
      </c>
      <c r="K858"/>
      <c r="L858"/>
      <c r="M858"/>
      <c r="N858"/>
      <c r="O858"/>
      <c r="P858"/>
      <c r="Q858"/>
      <c r="R858"/>
      <c r="S858"/>
      <c r="T858"/>
      <c r="U858"/>
      <c r="V858"/>
      <c r="W858"/>
      <c r="X858"/>
      <c r="Y858"/>
      <c r="Z858"/>
      <c r="AA858"/>
      <c r="AB858"/>
      <c r="AC858"/>
      <c r="AD858"/>
      <c r="AE858"/>
      <c r="AF858"/>
      <c r="AY858" s="465"/>
    </row>
    <row r="859" spans="1:51" x14ac:dyDescent="0.25">
      <c r="A859" s="630" t="s">
        <v>30</v>
      </c>
      <c r="B859" s="726">
        <f>(1745000/1.16)-B860</f>
        <v>1441546.3448275863</v>
      </c>
      <c r="C859" s="729">
        <f>(1524700/1.16)-C860</f>
        <v>1246804.551724138</v>
      </c>
      <c r="D859" s="729">
        <f>(1858000/1.16)-D860</f>
        <v>1517234.1379310347</v>
      </c>
      <c r="E859" s="729">
        <f>(969200/1.16)-E860</f>
        <v>782409.24137931038</v>
      </c>
      <c r="F859" s="729">
        <f>(2893300/1.16)-F860</f>
        <v>2392836.1379310344</v>
      </c>
      <c r="G859" s="729">
        <f>(5369600/1.16)-G860</f>
        <v>4399635.5172413792</v>
      </c>
      <c r="H859" s="729">
        <f>(4262700/1.16)-H860</f>
        <v>3474379.3793103453</v>
      </c>
      <c r="I859" s="137">
        <f>SUM(I854:I858)</f>
        <v>15254845.310344828</v>
      </c>
      <c r="J859" s="631">
        <f t="shared" si="459"/>
        <v>2179263.6157635469</v>
      </c>
      <c r="K859"/>
      <c r="L859"/>
      <c r="M859"/>
      <c r="N859"/>
      <c r="O859"/>
      <c r="P859"/>
      <c r="Q859"/>
      <c r="R859"/>
      <c r="S859"/>
      <c r="T859"/>
      <c r="U859"/>
      <c r="V859"/>
      <c r="W859"/>
      <c r="X859"/>
      <c r="Y859"/>
      <c r="Z859"/>
      <c r="AA859"/>
      <c r="AB859"/>
      <c r="AC859"/>
      <c r="AD859"/>
      <c r="AE859"/>
      <c r="AF859"/>
      <c r="AY859" s="465"/>
    </row>
    <row r="860" spans="1:51" x14ac:dyDescent="0.25">
      <c r="A860" s="622" t="s">
        <v>31</v>
      </c>
      <c r="B860" s="263">
        <f t="shared" ref="B860:H860" si="464">2414*B841</f>
        <v>62764</v>
      </c>
      <c r="C860" s="728">
        <f t="shared" si="464"/>
        <v>67592</v>
      </c>
      <c r="D860" s="728">
        <f t="shared" si="464"/>
        <v>84490</v>
      </c>
      <c r="E860" s="728">
        <f t="shared" si="464"/>
        <v>53108</v>
      </c>
      <c r="F860" s="728">
        <f t="shared" si="464"/>
        <v>101388</v>
      </c>
      <c r="G860" s="728">
        <f t="shared" si="464"/>
        <v>229330</v>
      </c>
      <c r="H860" s="728">
        <f t="shared" si="464"/>
        <v>200362</v>
      </c>
      <c r="I860" s="139">
        <f>I841*2414</f>
        <v>799034</v>
      </c>
      <c r="J860" s="632">
        <f>2414*J841</f>
        <v>114147.71428571429</v>
      </c>
      <c r="K860"/>
      <c r="L860"/>
      <c r="M860"/>
      <c r="N860"/>
      <c r="O860"/>
      <c r="P860"/>
      <c r="Q860"/>
      <c r="R860"/>
      <c r="S860"/>
      <c r="T860"/>
      <c r="U860"/>
      <c r="V860"/>
      <c r="W860"/>
      <c r="X860"/>
      <c r="Y860"/>
      <c r="Z860"/>
      <c r="AA860"/>
      <c r="AB860"/>
      <c r="AC860"/>
      <c r="AD860"/>
      <c r="AE860"/>
      <c r="AF860"/>
      <c r="AY860" s="465"/>
    </row>
    <row r="861" spans="1:51" x14ac:dyDescent="0.25">
      <c r="A861" s="633" t="s">
        <v>32</v>
      </c>
      <c r="B861" s="411">
        <f t="shared" ref="B861:J861" si="465">B859+B860</f>
        <v>1504310.3448275863</v>
      </c>
      <c r="C861" s="40">
        <f t="shared" si="465"/>
        <v>1314396.551724138</v>
      </c>
      <c r="D861" s="40">
        <f t="shared" si="465"/>
        <v>1601724.1379310347</v>
      </c>
      <c r="E861" s="40">
        <f t="shared" si="465"/>
        <v>835517.24137931038</v>
      </c>
      <c r="F861" s="40">
        <f t="shared" si="465"/>
        <v>2494224.1379310344</v>
      </c>
      <c r="G861" s="40">
        <f t="shared" si="465"/>
        <v>4628965.5172413792</v>
      </c>
      <c r="H861" s="40">
        <f t="shared" si="465"/>
        <v>3674741.3793103453</v>
      </c>
      <c r="I861" s="40">
        <f t="shared" si="465"/>
        <v>16053879.310344828</v>
      </c>
      <c r="J861" s="634">
        <f t="shared" si="465"/>
        <v>2293411.330049261</v>
      </c>
      <c r="K861"/>
      <c r="L861"/>
      <c r="M861"/>
      <c r="N861"/>
      <c r="O861"/>
      <c r="P861"/>
      <c r="Q861"/>
      <c r="R861"/>
      <c r="S861"/>
      <c r="T861"/>
      <c r="U861"/>
      <c r="V861"/>
      <c r="W861"/>
      <c r="X861"/>
      <c r="Y861"/>
      <c r="Z861"/>
      <c r="AA861"/>
      <c r="AB861"/>
      <c r="AC861"/>
      <c r="AD861"/>
      <c r="AE861"/>
      <c r="AF861"/>
      <c r="AY861" s="465"/>
    </row>
    <row r="862" spans="1:51" x14ac:dyDescent="0.25">
      <c r="A862" s="622" t="s">
        <v>33</v>
      </c>
      <c r="B862" s="413">
        <f t="shared" ref="B862:J862" si="466">B861*16%</f>
        <v>240689.65517241383</v>
      </c>
      <c r="C862" s="42">
        <f t="shared" si="466"/>
        <v>210303.44827586209</v>
      </c>
      <c r="D862" s="42">
        <f t="shared" si="466"/>
        <v>256275.86206896557</v>
      </c>
      <c r="E862" s="42">
        <f t="shared" si="466"/>
        <v>133682.75862068965</v>
      </c>
      <c r="F862" s="42">
        <f t="shared" si="466"/>
        <v>399075.86206896551</v>
      </c>
      <c r="G862" s="42">
        <f t="shared" si="466"/>
        <v>740634.48275862064</v>
      </c>
      <c r="H862" s="42">
        <f t="shared" si="466"/>
        <v>587958.6206896553</v>
      </c>
      <c r="I862" s="42">
        <f t="shared" si="466"/>
        <v>2568620.6896551726</v>
      </c>
      <c r="J862" s="635">
        <f t="shared" si="466"/>
        <v>366945.81280788174</v>
      </c>
      <c r="K862"/>
      <c r="L862"/>
      <c r="M862"/>
      <c r="N862"/>
      <c r="O862"/>
      <c r="P862"/>
      <c r="Q862"/>
      <c r="R862"/>
      <c r="S862"/>
      <c r="T862"/>
      <c r="U862"/>
      <c r="V862"/>
      <c r="W862"/>
      <c r="X862"/>
      <c r="Y862"/>
      <c r="Z862"/>
      <c r="AA862"/>
      <c r="AB862"/>
      <c r="AC862"/>
      <c r="AD862"/>
      <c r="AE862"/>
      <c r="AF862"/>
      <c r="AY862" s="465"/>
    </row>
    <row r="863" spans="1:51" ht="15.75" thickBot="1" x14ac:dyDescent="0.3">
      <c r="A863" s="636" t="s">
        <v>34</v>
      </c>
      <c r="B863" s="637">
        <f t="shared" ref="B863:I863" si="467">B861+B862</f>
        <v>1745000.0000000002</v>
      </c>
      <c r="C863" s="638">
        <f t="shared" si="467"/>
        <v>1524700</v>
      </c>
      <c r="D863" s="638">
        <f t="shared" si="467"/>
        <v>1858000.0000000002</v>
      </c>
      <c r="E863" s="638">
        <f t="shared" si="467"/>
        <v>969200</v>
      </c>
      <c r="F863" s="638">
        <f t="shared" si="467"/>
        <v>2893300</v>
      </c>
      <c r="G863" s="638">
        <f t="shared" si="467"/>
        <v>5369600</v>
      </c>
      <c r="H863" s="638">
        <f t="shared" si="467"/>
        <v>4262700.0000000009</v>
      </c>
      <c r="I863" s="638">
        <f t="shared" si="467"/>
        <v>18622500</v>
      </c>
      <c r="J863" s="639">
        <f>+$I863/7</f>
        <v>2660357.1428571427</v>
      </c>
      <c r="K863"/>
      <c r="L863"/>
      <c r="M863"/>
      <c r="N863"/>
      <c r="O863"/>
      <c r="P863"/>
      <c r="Q863"/>
      <c r="R863"/>
      <c r="S863"/>
      <c r="T863"/>
      <c r="U863"/>
      <c r="V863"/>
      <c r="W863"/>
      <c r="X863"/>
      <c r="Y863"/>
      <c r="Z863"/>
      <c r="AA863"/>
      <c r="AB863"/>
      <c r="AC863"/>
      <c r="AD863"/>
      <c r="AE863"/>
      <c r="AF863"/>
      <c r="AY863" s="465"/>
    </row>
    <row r="864" spans="1:51" ht="15.75" thickBot="1" x14ac:dyDescent="0.3">
      <c r="K864"/>
      <c r="L864"/>
      <c r="M864"/>
      <c r="N864"/>
      <c r="O864"/>
      <c r="P864"/>
      <c r="Q864"/>
      <c r="R864"/>
      <c r="S864"/>
      <c r="T864"/>
      <c r="U864"/>
      <c r="V864"/>
      <c r="W864"/>
      <c r="X864"/>
      <c r="Y864"/>
      <c r="Z864"/>
      <c r="AA864"/>
      <c r="AB864"/>
      <c r="AC864"/>
      <c r="AD864"/>
      <c r="AE864"/>
      <c r="AF864"/>
      <c r="AY864" s="465"/>
    </row>
    <row r="865" spans="1:50" ht="27" thickBot="1" x14ac:dyDescent="0.45">
      <c r="B865" s="506" t="s">
        <v>401</v>
      </c>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c r="AA865" s="507"/>
      <c r="AB865" s="507"/>
      <c r="AC865" s="507"/>
      <c r="AD865" s="507"/>
      <c r="AE865" s="507"/>
      <c r="AF865" s="507"/>
      <c r="AG865" s="507"/>
      <c r="AH865" s="508"/>
      <c r="AI865"/>
      <c r="AJ865"/>
      <c r="AK865"/>
      <c r="AL865"/>
      <c r="AM865"/>
      <c r="AN865"/>
      <c r="AO865"/>
      <c r="AP865"/>
      <c r="AQ865"/>
      <c r="AR865"/>
      <c r="AS865"/>
      <c r="AT865"/>
      <c r="AU865"/>
      <c r="AV865"/>
      <c r="AW865"/>
      <c r="AX865"/>
    </row>
    <row r="866" spans="1:50" ht="15.75" x14ac:dyDescent="0.25">
      <c r="A866" s="509" t="s">
        <v>2</v>
      </c>
      <c r="B866" s="510" t="s">
        <v>353</v>
      </c>
      <c r="C866" s="510" t="s">
        <v>354</v>
      </c>
      <c r="D866" s="510" t="s">
        <v>355</v>
      </c>
      <c r="E866" s="510" t="s">
        <v>356</v>
      </c>
      <c r="F866" s="510" t="s">
        <v>357</v>
      </c>
      <c r="G866" s="510" t="s">
        <v>69</v>
      </c>
      <c r="H866" s="510" t="s">
        <v>358</v>
      </c>
      <c r="I866" s="510" t="s">
        <v>359</v>
      </c>
      <c r="J866" s="510" t="s">
        <v>98</v>
      </c>
      <c r="K866" s="510" t="s">
        <v>106</v>
      </c>
      <c r="L866" s="510" t="s">
        <v>114</v>
      </c>
      <c r="M866" s="510" t="s">
        <v>122</v>
      </c>
      <c r="N866" s="510" t="s">
        <v>130</v>
      </c>
      <c r="O866" s="510" t="s">
        <v>138</v>
      </c>
      <c r="P866" s="510" t="s">
        <v>146</v>
      </c>
      <c r="Q866" s="510" t="s">
        <v>154</v>
      </c>
      <c r="R866" s="510" t="s">
        <v>162</v>
      </c>
      <c r="S866" s="510" t="s">
        <v>166</v>
      </c>
      <c r="T866" s="510" t="s">
        <v>169</v>
      </c>
      <c r="U866" s="510" t="s">
        <v>360</v>
      </c>
      <c r="V866" s="510" t="s">
        <v>361</v>
      </c>
      <c r="W866" s="510" t="s">
        <v>362</v>
      </c>
      <c r="X866" s="510" t="s">
        <v>363</v>
      </c>
      <c r="Y866" s="510" t="s">
        <v>364</v>
      </c>
      <c r="Z866" s="510" t="s">
        <v>365</v>
      </c>
      <c r="AA866" s="510" t="s">
        <v>366</v>
      </c>
      <c r="AB866" s="510" t="s">
        <v>367</v>
      </c>
      <c r="AC866" s="510" t="s">
        <v>368</v>
      </c>
      <c r="AD866" s="510" t="s">
        <v>369</v>
      </c>
      <c r="AE866" s="510" t="s">
        <v>370</v>
      </c>
      <c r="AF866" s="510" t="s">
        <v>371</v>
      </c>
      <c r="AG866" s="510" t="s">
        <v>372</v>
      </c>
      <c r="AH866" s="510" t="s">
        <v>10</v>
      </c>
      <c r="AI866" s="511" t="s">
        <v>400</v>
      </c>
      <c r="AJ866"/>
      <c r="AK866"/>
      <c r="AL866"/>
      <c r="AM866"/>
      <c r="AN866"/>
      <c r="AO866"/>
      <c r="AP866"/>
      <c r="AQ866"/>
      <c r="AR866"/>
      <c r="AS866"/>
      <c r="AT866"/>
      <c r="AU866"/>
      <c r="AV866"/>
      <c r="AW866"/>
      <c r="AX866"/>
    </row>
    <row r="867" spans="1:50" x14ac:dyDescent="0.25">
      <c r="A867" s="512" t="s">
        <v>11</v>
      </c>
      <c r="B867" s="338">
        <f>+I3</f>
        <v>338</v>
      </c>
      <c r="C867" s="338">
        <f>+I30</f>
        <v>658</v>
      </c>
      <c r="D867" s="338">
        <f t="shared" ref="D867:D890" si="468">+I57</f>
        <v>707</v>
      </c>
      <c r="E867" s="338">
        <f t="shared" ref="E867:E890" si="469">+I84</f>
        <v>610</v>
      </c>
      <c r="F867" s="338">
        <f>+I111</f>
        <v>641</v>
      </c>
      <c r="G867" s="338">
        <f>+I138</f>
        <v>604</v>
      </c>
      <c r="H867" s="338">
        <f>+I165</f>
        <v>580</v>
      </c>
      <c r="I867" s="338">
        <f>+I192</f>
        <v>590</v>
      </c>
      <c r="J867" s="338">
        <f>+I219</f>
        <v>716</v>
      </c>
      <c r="K867" s="338">
        <f>+I246</f>
        <v>706</v>
      </c>
      <c r="L867" s="338">
        <f>+I273</f>
        <v>580</v>
      </c>
      <c r="M867" s="338">
        <f>+I300</f>
        <v>626</v>
      </c>
      <c r="N867" s="338">
        <f>+I327</f>
        <v>702</v>
      </c>
      <c r="O867" s="338">
        <f>+I354</f>
        <v>638</v>
      </c>
      <c r="P867" s="338">
        <f>+I381</f>
        <v>940</v>
      </c>
      <c r="Q867" s="338">
        <f>+I408</f>
        <v>810</v>
      </c>
      <c r="R867" s="338">
        <f>+I435</f>
        <v>721</v>
      </c>
      <c r="S867" s="338">
        <f>+I462</f>
        <v>599</v>
      </c>
      <c r="T867" s="338">
        <f>+I489</f>
        <v>543</v>
      </c>
      <c r="U867" s="338">
        <f>+I516</f>
        <v>540</v>
      </c>
      <c r="V867" s="338">
        <f>+I543</f>
        <v>618</v>
      </c>
      <c r="W867" s="338">
        <f>+I570</f>
        <v>655</v>
      </c>
      <c r="X867" s="338">
        <f>+I597</f>
        <v>565</v>
      </c>
      <c r="Y867" s="338">
        <f>+I624</f>
        <v>691</v>
      </c>
      <c r="Z867" s="338">
        <f>+I651</f>
        <v>628</v>
      </c>
      <c r="AA867" s="338">
        <f>+I678</f>
        <v>687</v>
      </c>
      <c r="AB867" s="338">
        <f>+I705</f>
        <v>660</v>
      </c>
      <c r="AC867" s="338">
        <f>+I732</f>
        <v>638</v>
      </c>
      <c r="AD867" s="338">
        <f>+I759</f>
        <v>566</v>
      </c>
      <c r="AE867" s="338">
        <f>+I786</f>
        <v>581</v>
      </c>
      <c r="AF867" s="338">
        <f>+I813</f>
        <v>682</v>
      </c>
      <c r="AG867" s="338">
        <f>+I840</f>
        <v>664</v>
      </c>
      <c r="AH867" s="338">
        <f t="shared" ref="AH867:AH873" si="470">+SUM(B867:AG867)</f>
        <v>20484</v>
      </c>
      <c r="AI867" s="513">
        <f t="shared" ref="AI867:AI873" si="471">+$AH867/31</f>
        <v>660.77419354838707</v>
      </c>
      <c r="AJ867"/>
      <c r="AK867"/>
      <c r="AL867"/>
      <c r="AM867"/>
      <c r="AN867"/>
      <c r="AO867"/>
      <c r="AP867"/>
      <c r="AQ867"/>
      <c r="AR867"/>
      <c r="AS867"/>
      <c r="AT867"/>
      <c r="AU867"/>
      <c r="AV867"/>
      <c r="AW867"/>
      <c r="AX867"/>
    </row>
    <row r="868" spans="1:50" x14ac:dyDescent="0.25">
      <c r="A868" s="514" t="s">
        <v>12</v>
      </c>
      <c r="B868" s="78">
        <f t="shared" ref="B868:B890" si="472">+I4</f>
        <v>157</v>
      </c>
      <c r="C868" s="78">
        <f t="shared" ref="C868:C890" si="473">+I31</f>
        <v>264</v>
      </c>
      <c r="D868" s="78">
        <f t="shared" si="468"/>
        <v>334</v>
      </c>
      <c r="E868" s="78">
        <f t="shared" si="469"/>
        <v>257</v>
      </c>
      <c r="F868" s="78">
        <f t="shared" ref="F868:F890" si="474">+I112</f>
        <v>297</v>
      </c>
      <c r="G868" s="78">
        <f t="shared" ref="G868:G890" si="475">+I139</f>
        <v>287</v>
      </c>
      <c r="H868" s="78">
        <f t="shared" ref="H868:H890" si="476">+I166</f>
        <v>282</v>
      </c>
      <c r="I868" s="78">
        <f t="shared" ref="I868:I890" si="477">+I193</f>
        <v>257</v>
      </c>
      <c r="J868" s="78">
        <f t="shared" ref="J868:J890" si="478">+I220</f>
        <v>364</v>
      </c>
      <c r="K868" s="78">
        <f t="shared" ref="K868:K890" si="479">+I247</f>
        <v>274</v>
      </c>
      <c r="L868" s="78">
        <f t="shared" ref="L868:L890" si="480">+I274</f>
        <v>282</v>
      </c>
      <c r="M868" s="78">
        <f t="shared" ref="M868:M890" si="481">+I301</f>
        <v>333</v>
      </c>
      <c r="N868" s="78">
        <f t="shared" ref="N868:N890" si="482">+I328</f>
        <v>381</v>
      </c>
      <c r="O868" s="78">
        <f t="shared" ref="O868:O890" si="483">+I355</f>
        <v>308</v>
      </c>
      <c r="P868" s="78">
        <f t="shared" ref="P868:P890" si="484">+I382</f>
        <v>376</v>
      </c>
      <c r="Q868" s="78">
        <f t="shared" ref="Q868:Q890" si="485">+I409</f>
        <v>340</v>
      </c>
      <c r="R868" s="78">
        <f t="shared" ref="R868:R890" si="486">+I436</f>
        <v>315</v>
      </c>
      <c r="S868" s="78">
        <f t="shared" ref="S868:S890" si="487">+I463</f>
        <v>227</v>
      </c>
      <c r="T868" s="78">
        <f t="shared" ref="T868:T890" si="488">+I490</f>
        <v>192</v>
      </c>
      <c r="U868" s="78">
        <f t="shared" ref="U868:U890" si="489">+I517</f>
        <v>237</v>
      </c>
      <c r="V868" s="78">
        <f t="shared" ref="V868:V890" si="490">+I544</f>
        <v>310</v>
      </c>
      <c r="W868" s="78">
        <f t="shared" ref="W868:W890" si="491">+I571</f>
        <v>308</v>
      </c>
      <c r="X868" s="78">
        <f t="shared" ref="X868:X890" si="492">+I598</f>
        <v>285</v>
      </c>
      <c r="Y868" s="78">
        <f t="shared" ref="Y868:Y890" si="493">+I625</f>
        <v>331</v>
      </c>
      <c r="Z868" s="78">
        <f t="shared" ref="Z868:Z890" si="494">+I652</f>
        <v>314</v>
      </c>
      <c r="AA868" s="78">
        <f t="shared" ref="AA868:AA890" si="495">+I679</f>
        <v>335</v>
      </c>
      <c r="AB868" s="78">
        <f t="shared" ref="AB868:AB890" si="496">+I706</f>
        <v>330</v>
      </c>
      <c r="AC868" s="78">
        <f t="shared" ref="AC868:AC890" si="497">+I733</f>
        <v>343</v>
      </c>
      <c r="AD868" s="78">
        <f t="shared" ref="AD868:AD890" si="498">+I760</f>
        <v>287</v>
      </c>
      <c r="AE868" s="78">
        <f t="shared" ref="AE868:AE890" si="499">+I787</f>
        <v>279</v>
      </c>
      <c r="AF868" s="78">
        <f t="shared" ref="AF868:AF890" si="500">+I814</f>
        <v>356</v>
      </c>
      <c r="AG868" s="78">
        <f t="shared" ref="AG868:AG890" si="501">+I841</f>
        <v>331</v>
      </c>
      <c r="AH868" s="78">
        <f t="shared" si="470"/>
        <v>9573</v>
      </c>
      <c r="AI868" s="247">
        <f t="shared" si="471"/>
        <v>308.80645161290323</v>
      </c>
      <c r="AJ868"/>
      <c r="AK868"/>
      <c r="AL868"/>
      <c r="AM868"/>
      <c r="AN868"/>
      <c r="AO868"/>
      <c r="AP868"/>
      <c r="AQ868"/>
      <c r="AR868"/>
      <c r="AS868"/>
      <c r="AT868"/>
      <c r="AU868"/>
      <c r="AV868"/>
      <c r="AW868"/>
      <c r="AX868"/>
    </row>
    <row r="869" spans="1:50" x14ac:dyDescent="0.25">
      <c r="A869" s="514" t="s">
        <v>13</v>
      </c>
      <c r="B869" s="78">
        <f t="shared" si="472"/>
        <v>1</v>
      </c>
      <c r="C869" s="78">
        <f t="shared" si="473"/>
        <v>4</v>
      </c>
      <c r="D869" s="78">
        <f t="shared" si="468"/>
        <v>4</v>
      </c>
      <c r="E869" s="78">
        <f t="shared" si="469"/>
        <v>7</v>
      </c>
      <c r="F869" s="78">
        <f t="shared" si="474"/>
        <v>6</v>
      </c>
      <c r="G869" s="78">
        <f t="shared" si="475"/>
        <v>6</v>
      </c>
      <c r="H869" s="78">
        <f t="shared" si="476"/>
        <v>7</v>
      </c>
      <c r="I869" s="78">
        <f t="shared" si="477"/>
        <v>4</v>
      </c>
      <c r="J869" s="78">
        <f t="shared" si="478"/>
        <v>7</v>
      </c>
      <c r="K869" s="78">
        <f t="shared" si="479"/>
        <v>5</v>
      </c>
      <c r="L869" s="78">
        <f t="shared" si="480"/>
        <v>6</v>
      </c>
      <c r="M869" s="78">
        <f t="shared" si="481"/>
        <v>3</v>
      </c>
      <c r="N869" s="78">
        <f t="shared" si="482"/>
        <v>7</v>
      </c>
      <c r="O869" s="78">
        <f t="shared" si="483"/>
        <v>1</v>
      </c>
      <c r="P869" s="78">
        <f t="shared" si="484"/>
        <v>6</v>
      </c>
      <c r="Q869" s="78">
        <f t="shared" si="485"/>
        <v>4</v>
      </c>
      <c r="R869" s="78">
        <f t="shared" si="486"/>
        <v>4</v>
      </c>
      <c r="S869" s="78">
        <f t="shared" si="487"/>
        <v>2</v>
      </c>
      <c r="T869" s="78">
        <f t="shared" si="488"/>
        <v>2</v>
      </c>
      <c r="U869" s="78">
        <f t="shared" si="489"/>
        <v>5</v>
      </c>
      <c r="V869" s="78">
        <f t="shared" si="490"/>
        <v>2</v>
      </c>
      <c r="W869" s="78">
        <f t="shared" si="491"/>
        <v>4</v>
      </c>
      <c r="X869" s="78">
        <f t="shared" si="492"/>
        <v>5</v>
      </c>
      <c r="Y869" s="78">
        <f t="shared" si="493"/>
        <v>7</v>
      </c>
      <c r="Z869" s="78">
        <f t="shared" si="494"/>
        <v>4</v>
      </c>
      <c r="AA869" s="78">
        <f t="shared" si="495"/>
        <v>3</v>
      </c>
      <c r="AB869" s="78">
        <f t="shared" si="496"/>
        <v>7</v>
      </c>
      <c r="AC869" s="78">
        <f t="shared" si="497"/>
        <v>4</v>
      </c>
      <c r="AD869" s="78">
        <f t="shared" si="498"/>
        <v>5</v>
      </c>
      <c r="AE869" s="78">
        <f t="shared" si="499"/>
        <v>5</v>
      </c>
      <c r="AF869" s="78">
        <f t="shared" si="500"/>
        <v>1</v>
      </c>
      <c r="AG869" s="78">
        <f t="shared" si="501"/>
        <v>2</v>
      </c>
      <c r="AH869" s="78">
        <f t="shared" si="470"/>
        <v>140</v>
      </c>
      <c r="AI869" s="247">
        <f t="shared" si="471"/>
        <v>4.5161290322580649</v>
      </c>
      <c r="AJ869"/>
      <c r="AK869"/>
      <c r="AL869"/>
      <c r="AM869"/>
      <c r="AN869"/>
      <c r="AO869"/>
      <c r="AP869"/>
      <c r="AQ869"/>
      <c r="AR869"/>
      <c r="AS869"/>
      <c r="AT869"/>
      <c r="AU869"/>
      <c r="AV869"/>
      <c r="AW869"/>
      <c r="AX869"/>
    </row>
    <row r="870" spans="1:50" x14ac:dyDescent="0.25">
      <c r="A870" s="514" t="s">
        <v>14</v>
      </c>
      <c r="B870" s="78">
        <f t="shared" si="472"/>
        <v>89</v>
      </c>
      <c r="C870" s="78">
        <f t="shared" si="473"/>
        <v>220</v>
      </c>
      <c r="D870" s="78">
        <f t="shared" si="468"/>
        <v>187</v>
      </c>
      <c r="E870" s="78">
        <f t="shared" si="469"/>
        <v>168</v>
      </c>
      <c r="F870" s="78">
        <f t="shared" si="474"/>
        <v>176</v>
      </c>
      <c r="G870" s="78">
        <f t="shared" si="475"/>
        <v>165</v>
      </c>
      <c r="H870" s="78">
        <f t="shared" si="476"/>
        <v>153</v>
      </c>
      <c r="I870" s="78">
        <f t="shared" si="477"/>
        <v>182</v>
      </c>
      <c r="J870" s="78">
        <f t="shared" si="478"/>
        <v>159</v>
      </c>
      <c r="K870" s="78">
        <f t="shared" si="479"/>
        <v>149</v>
      </c>
      <c r="L870" s="78">
        <f t="shared" si="480"/>
        <v>164</v>
      </c>
      <c r="M870" s="78">
        <f t="shared" si="481"/>
        <v>127</v>
      </c>
      <c r="N870" s="78">
        <f t="shared" si="482"/>
        <v>113</v>
      </c>
      <c r="O870" s="78">
        <f t="shared" si="483"/>
        <v>155</v>
      </c>
      <c r="P870" s="78">
        <f t="shared" si="484"/>
        <v>181</v>
      </c>
      <c r="Q870" s="78">
        <f t="shared" si="485"/>
        <v>247</v>
      </c>
      <c r="R870" s="78">
        <f t="shared" si="486"/>
        <v>179</v>
      </c>
      <c r="S870" s="78">
        <f t="shared" si="487"/>
        <v>205</v>
      </c>
      <c r="T870" s="78">
        <f t="shared" si="488"/>
        <v>210</v>
      </c>
      <c r="U870" s="78">
        <f t="shared" si="489"/>
        <v>155</v>
      </c>
      <c r="V870" s="78">
        <f t="shared" si="490"/>
        <v>147</v>
      </c>
      <c r="W870" s="78">
        <f t="shared" si="491"/>
        <v>154</v>
      </c>
      <c r="X870" s="78">
        <f t="shared" si="492"/>
        <v>123</v>
      </c>
      <c r="Y870" s="78">
        <f t="shared" si="493"/>
        <v>176</v>
      </c>
      <c r="Z870" s="78">
        <f t="shared" si="494"/>
        <v>156</v>
      </c>
      <c r="AA870" s="78">
        <f t="shared" si="495"/>
        <v>151</v>
      </c>
      <c r="AB870" s="78">
        <f t="shared" si="496"/>
        <v>148</v>
      </c>
      <c r="AC870" s="78">
        <f t="shared" si="497"/>
        <v>130</v>
      </c>
      <c r="AD870" s="78">
        <f t="shared" si="498"/>
        <v>101</v>
      </c>
      <c r="AE870" s="78">
        <f t="shared" si="499"/>
        <v>131</v>
      </c>
      <c r="AF870" s="78">
        <f t="shared" si="500"/>
        <v>127</v>
      </c>
      <c r="AG870" s="78">
        <f t="shared" si="501"/>
        <v>139</v>
      </c>
      <c r="AH870" s="78">
        <f t="shared" si="470"/>
        <v>5067</v>
      </c>
      <c r="AI870" s="247">
        <f t="shared" si="471"/>
        <v>163.45161290322579</v>
      </c>
      <c r="AJ870"/>
      <c r="AK870"/>
      <c r="AL870"/>
      <c r="AM870"/>
      <c r="AN870"/>
      <c r="AO870"/>
      <c r="AP870"/>
      <c r="AQ870"/>
      <c r="AR870"/>
      <c r="AS870"/>
      <c r="AT870"/>
      <c r="AU870"/>
      <c r="AV870"/>
      <c r="AW870"/>
      <c r="AX870"/>
    </row>
    <row r="871" spans="1:50" x14ac:dyDescent="0.25">
      <c r="A871" s="514" t="s">
        <v>15</v>
      </c>
      <c r="B871" s="78">
        <f t="shared" si="472"/>
        <v>24</v>
      </c>
      <c r="C871" s="78">
        <f t="shared" si="473"/>
        <v>46</v>
      </c>
      <c r="D871" s="78">
        <f t="shared" si="468"/>
        <v>28</v>
      </c>
      <c r="E871" s="78">
        <f t="shared" si="469"/>
        <v>30</v>
      </c>
      <c r="F871" s="78">
        <f t="shared" si="474"/>
        <v>27</v>
      </c>
      <c r="G871" s="78">
        <f t="shared" si="475"/>
        <v>26</v>
      </c>
      <c r="H871" s="78">
        <f t="shared" si="476"/>
        <v>25</v>
      </c>
      <c r="I871" s="78">
        <f t="shared" si="477"/>
        <v>11</v>
      </c>
      <c r="J871" s="78">
        <f t="shared" si="478"/>
        <v>23</v>
      </c>
      <c r="K871" s="78">
        <f t="shared" si="479"/>
        <v>36</v>
      </c>
      <c r="L871" s="78">
        <f t="shared" si="480"/>
        <v>21</v>
      </c>
      <c r="M871" s="78">
        <f t="shared" si="481"/>
        <v>13</v>
      </c>
      <c r="N871" s="78">
        <f t="shared" si="482"/>
        <v>17</v>
      </c>
      <c r="O871" s="78">
        <f t="shared" si="483"/>
        <v>19</v>
      </c>
      <c r="P871" s="78">
        <f t="shared" si="484"/>
        <v>20</v>
      </c>
      <c r="Q871" s="78">
        <f t="shared" si="485"/>
        <v>35</v>
      </c>
      <c r="R871" s="78">
        <f t="shared" si="486"/>
        <v>33</v>
      </c>
      <c r="S871" s="78">
        <f t="shared" si="487"/>
        <v>42</v>
      </c>
      <c r="T871" s="78">
        <f t="shared" si="488"/>
        <v>33</v>
      </c>
      <c r="U871" s="78">
        <f t="shared" si="489"/>
        <v>20</v>
      </c>
      <c r="V871" s="78">
        <f t="shared" si="490"/>
        <v>25</v>
      </c>
      <c r="W871" s="78">
        <f t="shared" si="491"/>
        <v>33</v>
      </c>
      <c r="X871" s="78">
        <f t="shared" si="492"/>
        <v>23</v>
      </c>
      <c r="Y871" s="78">
        <f t="shared" si="493"/>
        <v>40</v>
      </c>
      <c r="Z871" s="78">
        <f t="shared" si="494"/>
        <v>21</v>
      </c>
      <c r="AA871" s="78">
        <f t="shared" si="495"/>
        <v>45</v>
      </c>
      <c r="AB871" s="78">
        <f t="shared" si="496"/>
        <v>41</v>
      </c>
      <c r="AC871" s="78">
        <f t="shared" si="497"/>
        <v>30</v>
      </c>
      <c r="AD871" s="78">
        <f t="shared" si="498"/>
        <v>43</v>
      </c>
      <c r="AE871" s="78">
        <f t="shared" si="499"/>
        <v>45</v>
      </c>
      <c r="AF871" s="78">
        <f t="shared" si="500"/>
        <v>40</v>
      </c>
      <c r="AG871" s="78">
        <f t="shared" si="501"/>
        <v>41</v>
      </c>
      <c r="AH871" s="78">
        <f t="shared" si="470"/>
        <v>956</v>
      </c>
      <c r="AI871" s="247">
        <f t="shared" si="471"/>
        <v>30.838709677419356</v>
      </c>
      <c r="AJ871"/>
      <c r="AK871"/>
      <c r="AL871"/>
      <c r="AM871"/>
      <c r="AN871"/>
      <c r="AO871"/>
      <c r="AP871"/>
      <c r="AQ871"/>
      <c r="AR871"/>
      <c r="AS871"/>
      <c r="AT871"/>
      <c r="AU871"/>
      <c r="AV871"/>
      <c r="AW871"/>
      <c r="AX871"/>
    </row>
    <row r="872" spans="1:50" x14ac:dyDescent="0.25">
      <c r="A872" s="514" t="s">
        <v>16</v>
      </c>
      <c r="B872" s="78">
        <f t="shared" si="472"/>
        <v>1</v>
      </c>
      <c r="C872" s="78">
        <f t="shared" si="473"/>
        <v>1</v>
      </c>
      <c r="D872" s="78">
        <f t="shared" si="468"/>
        <v>1</v>
      </c>
      <c r="E872" s="78">
        <f t="shared" si="469"/>
        <v>2</v>
      </c>
      <c r="F872" s="78">
        <f t="shared" si="474"/>
        <v>1</v>
      </c>
      <c r="G872" s="78">
        <f t="shared" si="475"/>
        <v>0</v>
      </c>
      <c r="H872" s="78">
        <f t="shared" si="476"/>
        <v>0</v>
      </c>
      <c r="I872" s="78">
        <f t="shared" si="477"/>
        <v>1</v>
      </c>
      <c r="J872" s="78">
        <f t="shared" si="478"/>
        <v>3</v>
      </c>
      <c r="K872" s="78">
        <f t="shared" si="479"/>
        <v>0</v>
      </c>
      <c r="L872" s="78">
        <f t="shared" si="480"/>
        <v>0</v>
      </c>
      <c r="M872" s="78">
        <f t="shared" si="481"/>
        <v>0</v>
      </c>
      <c r="N872" s="78">
        <f t="shared" si="482"/>
        <v>1</v>
      </c>
      <c r="O872" s="78">
        <f t="shared" si="483"/>
        <v>1</v>
      </c>
      <c r="P872" s="78">
        <f t="shared" si="484"/>
        <v>2</v>
      </c>
      <c r="Q872" s="78">
        <f t="shared" si="485"/>
        <v>0</v>
      </c>
      <c r="R872" s="78">
        <f t="shared" si="486"/>
        <v>1</v>
      </c>
      <c r="S872" s="78">
        <f t="shared" si="487"/>
        <v>1</v>
      </c>
      <c r="T872" s="78">
        <f t="shared" si="488"/>
        <v>0</v>
      </c>
      <c r="U872" s="78">
        <f t="shared" si="489"/>
        <v>0</v>
      </c>
      <c r="V872" s="78">
        <f t="shared" si="490"/>
        <v>0</v>
      </c>
      <c r="W872" s="78">
        <f t="shared" si="491"/>
        <v>0</v>
      </c>
      <c r="X872" s="78">
        <f t="shared" si="492"/>
        <v>0</v>
      </c>
      <c r="Y872" s="78">
        <f t="shared" si="493"/>
        <v>0</v>
      </c>
      <c r="Z872" s="78">
        <f t="shared" si="494"/>
        <v>0</v>
      </c>
      <c r="AA872" s="78">
        <f t="shared" si="495"/>
        <v>0</v>
      </c>
      <c r="AB872" s="78">
        <f t="shared" si="496"/>
        <v>0</v>
      </c>
      <c r="AC872" s="78">
        <f t="shared" si="497"/>
        <v>0</v>
      </c>
      <c r="AD872" s="78">
        <f t="shared" si="498"/>
        <v>0</v>
      </c>
      <c r="AE872" s="78">
        <f t="shared" si="499"/>
        <v>0</v>
      </c>
      <c r="AF872" s="78">
        <f t="shared" si="500"/>
        <v>0</v>
      </c>
      <c r="AG872" s="78">
        <f t="shared" si="501"/>
        <v>0</v>
      </c>
      <c r="AH872" s="78">
        <f t="shared" si="470"/>
        <v>16</v>
      </c>
      <c r="AI872" s="247">
        <f t="shared" si="471"/>
        <v>0.5161290322580645</v>
      </c>
      <c r="AJ872"/>
      <c r="AK872"/>
      <c r="AL872"/>
      <c r="AM872"/>
      <c r="AN872"/>
      <c r="AO872"/>
      <c r="AP872"/>
      <c r="AQ872"/>
      <c r="AR872"/>
      <c r="AS872"/>
      <c r="AT872"/>
      <c r="AU872"/>
      <c r="AV872"/>
      <c r="AW872"/>
      <c r="AX872"/>
    </row>
    <row r="873" spans="1:50" x14ac:dyDescent="0.25">
      <c r="A873" s="515" t="s">
        <v>17</v>
      </c>
      <c r="B873" s="192">
        <f t="shared" si="472"/>
        <v>272</v>
      </c>
      <c r="C873" s="192">
        <f t="shared" si="473"/>
        <v>535</v>
      </c>
      <c r="D873" s="192">
        <f t="shared" si="468"/>
        <v>554</v>
      </c>
      <c r="E873" s="192">
        <f t="shared" si="469"/>
        <v>464</v>
      </c>
      <c r="F873" s="192">
        <f t="shared" si="474"/>
        <v>507</v>
      </c>
      <c r="G873" s="192">
        <f t="shared" si="475"/>
        <v>484</v>
      </c>
      <c r="H873" s="192">
        <f t="shared" si="476"/>
        <v>467</v>
      </c>
      <c r="I873" s="192">
        <f t="shared" si="477"/>
        <v>455</v>
      </c>
      <c r="J873" s="192">
        <f t="shared" si="478"/>
        <v>556</v>
      </c>
      <c r="K873" s="192">
        <f t="shared" si="479"/>
        <v>464</v>
      </c>
      <c r="L873" s="192">
        <f t="shared" si="480"/>
        <v>473</v>
      </c>
      <c r="M873" s="192">
        <f t="shared" si="481"/>
        <v>476</v>
      </c>
      <c r="N873" s="192">
        <f t="shared" si="482"/>
        <v>519</v>
      </c>
      <c r="O873" s="192">
        <f t="shared" si="483"/>
        <v>484</v>
      </c>
      <c r="P873" s="192">
        <f t="shared" si="484"/>
        <v>585</v>
      </c>
      <c r="Q873" s="192">
        <f t="shared" si="485"/>
        <v>626</v>
      </c>
      <c r="R873" s="192">
        <f t="shared" si="486"/>
        <v>532</v>
      </c>
      <c r="S873" s="192">
        <f t="shared" si="487"/>
        <v>477</v>
      </c>
      <c r="T873" s="192">
        <f t="shared" si="488"/>
        <v>437</v>
      </c>
      <c r="U873" s="192">
        <f t="shared" si="489"/>
        <v>417</v>
      </c>
      <c r="V873" s="192">
        <f t="shared" si="490"/>
        <v>484</v>
      </c>
      <c r="W873" s="192">
        <f t="shared" si="491"/>
        <v>499</v>
      </c>
      <c r="X873" s="192">
        <f t="shared" si="492"/>
        <v>436</v>
      </c>
      <c r="Y873" s="192">
        <f t="shared" si="493"/>
        <v>554</v>
      </c>
      <c r="Z873" s="192">
        <f t="shared" si="494"/>
        <v>495</v>
      </c>
      <c r="AA873" s="192">
        <f t="shared" si="495"/>
        <v>534</v>
      </c>
      <c r="AB873" s="192">
        <f t="shared" si="496"/>
        <v>526</v>
      </c>
      <c r="AC873" s="192">
        <f t="shared" si="497"/>
        <v>507</v>
      </c>
      <c r="AD873" s="192">
        <f t="shared" si="498"/>
        <v>436</v>
      </c>
      <c r="AE873" s="192">
        <f t="shared" si="499"/>
        <v>460</v>
      </c>
      <c r="AF873" s="192">
        <f t="shared" si="500"/>
        <v>524</v>
      </c>
      <c r="AG873" s="192">
        <f t="shared" si="501"/>
        <v>513</v>
      </c>
      <c r="AH873" s="278">
        <f t="shared" si="470"/>
        <v>15752</v>
      </c>
      <c r="AI873" s="250">
        <f t="shared" si="471"/>
        <v>508.12903225806451</v>
      </c>
      <c r="AJ873"/>
      <c r="AK873"/>
      <c r="AL873"/>
      <c r="AM873"/>
      <c r="AN873"/>
      <c r="AO873"/>
      <c r="AP873"/>
      <c r="AQ873"/>
      <c r="AR873"/>
      <c r="AS873"/>
      <c r="AT873"/>
      <c r="AU873"/>
      <c r="AV873"/>
      <c r="AW873"/>
      <c r="AX873"/>
    </row>
    <row r="874" spans="1:50" x14ac:dyDescent="0.25">
      <c r="A874" s="514" t="s">
        <v>18</v>
      </c>
      <c r="B874" s="22">
        <f t="shared" si="472"/>
        <v>0.63838478782721308</v>
      </c>
      <c r="C874" s="22">
        <f t="shared" si="473"/>
        <v>0.60853109885509371</v>
      </c>
      <c r="D874" s="22">
        <f t="shared" si="468"/>
        <v>0.68228437160201738</v>
      </c>
      <c r="E874" s="22">
        <f t="shared" si="469"/>
        <v>0.62765569423067324</v>
      </c>
      <c r="F874" s="22">
        <f t="shared" si="474"/>
        <v>0.6570596494371358</v>
      </c>
      <c r="G874" s="22">
        <f t="shared" si="475"/>
        <v>0.64778105842590317</v>
      </c>
      <c r="H874" s="22">
        <f t="shared" si="476"/>
        <v>0.65125259425639181</v>
      </c>
      <c r="I874" s="22">
        <f t="shared" si="477"/>
        <v>0.62819790846138723</v>
      </c>
      <c r="J874" s="22">
        <f t="shared" si="478"/>
        <v>0.73317981313474223</v>
      </c>
      <c r="K874" s="22">
        <f t="shared" si="479"/>
        <v>0.54652161416795131</v>
      </c>
      <c r="L874" s="22">
        <f t="shared" si="480"/>
        <v>0.67531860041123792</v>
      </c>
      <c r="M874" s="22">
        <f t="shared" si="481"/>
        <v>0.75964659365012799</v>
      </c>
      <c r="N874" s="22">
        <f t="shared" si="482"/>
        <v>0.78772757822600259</v>
      </c>
      <c r="O874" s="22">
        <f t="shared" si="483"/>
        <v>0.70430367430296714</v>
      </c>
      <c r="P874" s="22">
        <f t="shared" si="484"/>
        <v>0.63935501722782306</v>
      </c>
      <c r="Q874" s="22">
        <f t="shared" si="485"/>
        <v>0.60577929690662535</v>
      </c>
      <c r="R874" s="22">
        <f t="shared" si="486"/>
        <v>0.66413246098292533</v>
      </c>
      <c r="S874" s="22">
        <f t="shared" si="487"/>
        <v>0.56006377690610942</v>
      </c>
      <c r="T874" s="22">
        <f t="shared" si="488"/>
        <v>0.48506812284121448</v>
      </c>
      <c r="U874" s="22">
        <f t="shared" si="489"/>
        <v>0.61089023486890959</v>
      </c>
      <c r="V874" s="22">
        <f t="shared" si="490"/>
        <v>0.71727156578522056</v>
      </c>
      <c r="W874" s="22">
        <f t="shared" si="491"/>
        <v>0.70007441303104834</v>
      </c>
      <c r="X874" s="22">
        <f t="shared" si="492"/>
        <v>0.71811076631862447</v>
      </c>
      <c r="Y874" s="22">
        <f t="shared" si="493"/>
        <v>0.6939550340877797</v>
      </c>
      <c r="Z874" s="22">
        <f t="shared" si="494"/>
        <v>0.71219445105792967</v>
      </c>
      <c r="AA874" s="22">
        <f t="shared" si="495"/>
        <v>0.69670042375851515</v>
      </c>
      <c r="AB874" s="22">
        <f t="shared" si="496"/>
        <v>0.69000536977980675</v>
      </c>
      <c r="AC874" s="22">
        <f t="shared" si="497"/>
        <v>0.72586507843167503</v>
      </c>
      <c r="AD874" s="22">
        <f t="shared" si="498"/>
        <v>0.73401265067785126</v>
      </c>
      <c r="AE874" s="22">
        <f t="shared" si="499"/>
        <v>0.6694728498916066</v>
      </c>
      <c r="AF874" s="22">
        <f t="shared" si="500"/>
        <v>0.74772099031070438</v>
      </c>
      <c r="AG874" s="22">
        <f t="shared" si="501"/>
        <v>0.70939032318400941</v>
      </c>
      <c r="AH874" s="30">
        <f>AH881/AH886</f>
        <v>0.66915115218437937</v>
      </c>
      <c r="AI874" s="251">
        <f>AI881/AI886</f>
        <v>0.66915115218437937</v>
      </c>
      <c r="AJ874"/>
      <c r="AK874"/>
      <c r="AL874"/>
      <c r="AM874"/>
      <c r="AN874"/>
      <c r="AO874"/>
      <c r="AP874"/>
      <c r="AQ874"/>
      <c r="AR874"/>
      <c r="AS874"/>
      <c r="AT874"/>
      <c r="AU874"/>
      <c r="AV874"/>
      <c r="AW874"/>
      <c r="AX874"/>
    </row>
    <row r="875" spans="1:50" x14ac:dyDescent="0.25">
      <c r="A875" s="514" t="s">
        <v>19</v>
      </c>
      <c r="B875" s="22">
        <f t="shared" si="472"/>
        <v>3.6690837226290188E-3</v>
      </c>
      <c r="C875" s="22">
        <f t="shared" si="473"/>
        <v>9.3265941438994901E-3</v>
      </c>
      <c r="D875" s="22">
        <f t="shared" si="468"/>
        <v>9.1521064775378653E-3</v>
      </c>
      <c r="E875" s="22">
        <f t="shared" si="469"/>
        <v>1.3481909538865664E-2</v>
      </c>
      <c r="F875" s="22">
        <f t="shared" si="474"/>
        <v>1.115753595134886E-2</v>
      </c>
      <c r="G875" s="22">
        <f t="shared" si="475"/>
        <v>1.2921804458811277E-2</v>
      </c>
      <c r="H875" s="22">
        <f t="shared" si="476"/>
        <v>1.1379274337243811E-2</v>
      </c>
      <c r="I875" s="22">
        <f t="shared" si="477"/>
        <v>1.0893299438861028E-2</v>
      </c>
      <c r="J875" s="22">
        <f t="shared" si="478"/>
        <v>8.0375488000582734E-3</v>
      </c>
      <c r="K875" s="22">
        <f t="shared" si="479"/>
        <v>6.1345158297599909E-3</v>
      </c>
      <c r="L875" s="22">
        <f t="shared" si="480"/>
        <v>6.7787382173970555E-3</v>
      </c>
      <c r="M875" s="22">
        <f t="shared" si="481"/>
        <v>4.4553580313764175E-3</v>
      </c>
      <c r="N875" s="22">
        <f t="shared" si="482"/>
        <v>8.5877564955186732E-3</v>
      </c>
      <c r="O875" s="22">
        <f t="shared" si="483"/>
        <v>6.587253165757821E-3</v>
      </c>
      <c r="P875" s="22">
        <f t="shared" si="484"/>
        <v>1.2210932449659748E-2</v>
      </c>
      <c r="Q875" s="22">
        <f t="shared" si="485"/>
        <v>3.7460710263475579E-3</v>
      </c>
      <c r="R875" s="22">
        <f t="shared" si="486"/>
        <v>7.6234698344948924E-3</v>
      </c>
      <c r="S875" s="22">
        <f t="shared" si="487"/>
        <v>2.7803072199919744E-3</v>
      </c>
      <c r="T875" s="22">
        <f t="shared" si="488"/>
        <v>4.7045099210712019E-3</v>
      </c>
      <c r="U875" s="22">
        <f t="shared" si="489"/>
        <v>9.7458008869030482E-3</v>
      </c>
      <c r="V875" s="22">
        <f t="shared" si="490"/>
        <v>2.1941808865666088E-3</v>
      </c>
      <c r="W875" s="22">
        <f t="shared" si="491"/>
        <v>3.5935889501590534E-3</v>
      </c>
      <c r="X875" s="22">
        <f t="shared" si="492"/>
        <v>4.0618368999367632E-3</v>
      </c>
      <c r="Y875" s="22">
        <f t="shared" si="493"/>
        <v>9.6541982176043106E-3</v>
      </c>
      <c r="Z875" s="22">
        <f t="shared" si="494"/>
        <v>7.1334519942385455E-3</v>
      </c>
      <c r="AA875" s="22">
        <f t="shared" si="495"/>
        <v>6.3347356085000257E-4</v>
      </c>
      <c r="AB875" s="22">
        <f t="shared" si="496"/>
        <v>5.8117987790949517E-3</v>
      </c>
      <c r="AC875" s="22">
        <f t="shared" si="497"/>
        <v>5.3204626050783223E-3</v>
      </c>
      <c r="AD875" s="22">
        <f t="shared" si="498"/>
        <v>3.7358378787472873E-3</v>
      </c>
      <c r="AE875" s="22">
        <f t="shared" si="499"/>
        <v>4.6883877948372676E-3</v>
      </c>
      <c r="AF875" s="22">
        <f t="shared" si="500"/>
        <v>0</v>
      </c>
      <c r="AG875" s="22">
        <f t="shared" si="501"/>
        <v>2.4028443792535751E-3</v>
      </c>
      <c r="AH875" s="30">
        <f>AH882/AH886</f>
        <v>6.8626344640124858E-3</v>
      </c>
      <c r="AI875" s="251">
        <f>AI882/AI886</f>
        <v>6.8626344640124858E-3</v>
      </c>
      <c r="AJ875"/>
      <c r="AK875"/>
      <c r="AL875"/>
      <c r="AM875"/>
      <c r="AN875"/>
      <c r="AO875"/>
      <c r="AP875"/>
      <c r="AQ875"/>
      <c r="AR875"/>
      <c r="AS875"/>
      <c r="AT875"/>
      <c r="AU875"/>
      <c r="AV875"/>
      <c r="AW875"/>
      <c r="AX875"/>
    </row>
    <row r="876" spans="1:50" x14ac:dyDescent="0.25">
      <c r="A876" s="514" t="s">
        <v>20</v>
      </c>
      <c r="B876" s="22">
        <f t="shared" si="472"/>
        <v>0.29049141042425441</v>
      </c>
      <c r="C876" s="22">
        <f t="shared" si="473"/>
        <v>0.32382304993477201</v>
      </c>
      <c r="D876" s="22">
        <f t="shared" si="468"/>
        <v>0.26132171199472409</v>
      </c>
      <c r="E876" s="22">
        <f t="shared" si="469"/>
        <v>0.28668208535357781</v>
      </c>
      <c r="F876" s="22">
        <f t="shared" si="474"/>
        <v>0.28736130545287836</v>
      </c>
      <c r="G876" s="22">
        <f t="shared" si="475"/>
        <v>0.28747021930962674</v>
      </c>
      <c r="H876" s="22">
        <f t="shared" si="476"/>
        <v>0.28970293131258129</v>
      </c>
      <c r="I876" s="22">
        <f t="shared" si="477"/>
        <v>0.34071933296649159</v>
      </c>
      <c r="J876" s="22">
        <f t="shared" si="478"/>
        <v>0.22053584662335662</v>
      </c>
      <c r="K876" s="22">
        <f t="shared" si="479"/>
        <v>0.39678327207847497</v>
      </c>
      <c r="L876" s="22">
        <f t="shared" si="480"/>
        <v>0.28405275312320444</v>
      </c>
      <c r="M876" s="22">
        <f t="shared" si="481"/>
        <v>0.21633451187065891</v>
      </c>
      <c r="N876" s="22">
        <f t="shared" si="482"/>
        <v>0.18158307418476144</v>
      </c>
      <c r="O876" s="22">
        <f t="shared" si="483"/>
        <v>0.24922758942118392</v>
      </c>
      <c r="P876" s="22">
        <f t="shared" si="484"/>
        <v>0.31849176335461388</v>
      </c>
      <c r="Q876" s="22">
        <f t="shared" si="485"/>
        <v>0.34556134370423824</v>
      </c>
      <c r="R876" s="22">
        <f t="shared" si="486"/>
        <v>0.27889184152303115</v>
      </c>
      <c r="S876" s="22">
        <f t="shared" si="487"/>
        <v>0.36868748578324739</v>
      </c>
      <c r="T876" s="22">
        <f t="shared" si="488"/>
        <v>0.44287390175133395</v>
      </c>
      <c r="U876" s="22">
        <f t="shared" si="489"/>
        <v>0.34072459332071026</v>
      </c>
      <c r="V876" s="22">
        <f t="shared" si="490"/>
        <v>0.2508668733219952</v>
      </c>
      <c r="W876" s="22">
        <f t="shared" si="491"/>
        <v>0.2431732441243126</v>
      </c>
      <c r="X876" s="22">
        <f t="shared" si="492"/>
        <v>0.23172331659525644</v>
      </c>
      <c r="Y876" s="22">
        <f t="shared" si="493"/>
        <v>0.24177853081279035</v>
      </c>
      <c r="Z876" s="22">
        <f t="shared" si="494"/>
        <v>0.24546682942968548</v>
      </c>
      <c r="AA876" s="22">
        <f t="shared" si="495"/>
        <v>0.23579113966479381</v>
      </c>
      <c r="AB876" s="22">
        <f t="shared" si="496"/>
        <v>0.23293480312398102</v>
      </c>
      <c r="AC876" s="22">
        <f t="shared" si="497"/>
        <v>0.21267911616812937</v>
      </c>
      <c r="AD876" s="22">
        <f t="shared" si="498"/>
        <v>0.20083069154881258</v>
      </c>
      <c r="AE876" s="22">
        <f t="shared" si="499"/>
        <v>0.24796010295434132</v>
      </c>
      <c r="AF876" s="22">
        <f t="shared" si="500"/>
        <v>0.1946915451898312</v>
      </c>
      <c r="AG876" s="22">
        <f t="shared" si="501"/>
        <v>0.22460635116601982</v>
      </c>
      <c r="AH876" s="30">
        <f>AH883/AH886</f>
        <v>0.27457606825519953</v>
      </c>
      <c r="AI876" s="251">
        <f>AI883/AI886</f>
        <v>0.27457606825519953</v>
      </c>
      <c r="AJ876"/>
      <c r="AK876"/>
      <c r="AL876"/>
      <c r="AM876"/>
      <c r="AN876"/>
      <c r="AO876"/>
      <c r="AP876"/>
      <c r="AQ876"/>
      <c r="AR876"/>
      <c r="AS876"/>
      <c r="AT876"/>
      <c r="AU876"/>
      <c r="AV876"/>
      <c r="AW876"/>
      <c r="AX876"/>
    </row>
    <row r="877" spans="1:50" x14ac:dyDescent="0.25">
      <c r="A877" s="514" t="s">
        <v>21</v>
      </c>
      <c r="B877" s="22">
        <f t="shared" si="472"/>
        <v>6.3669083722629013E-2</v>
      </c>
      <c r="C877" s="22">
        <f t="shared" si="473"/>
        <v>5.6678924180518099E-2</v>
      </c>
      <c r="D877" s="22">
        <f t="shared" si="468"/>
        <v>4.4191377303612799E-2</v>
      </c>
      <c r="E877" s="22">
        <f t="shared" si="469"/>
        <v>4.9612784569510932E-2</v>
      </c>
      <c r="F877" s="22">
        <f t="shared" si="474"/>
        <v>3.8992734945210848E-2</v>
      </c>
      <c r="G877" s="22">
        <f t="shared" si="475"/>
        <v>5.1826917805658776E-2</v>
      </c>
      <c r="H877" s="22">
        <f t="shared" si="476"/>
        <v>4.7665200093782951E-2</v>
      </c>
      <c r="I877" s="22">
        <f t="shared" si="477"/>
        <v>1.795286143887944E-2</v>
      </c>
      <c r="J877" s="22">
        <f t="shared" si="478"/>
        <v>3.2081646497852806E-2</v>
      </c>
      <c r="K877" s="22">
        <f t="shared" si="479"/>
        <v>5.0560597923813691E-2</v>
      </c>
      <c r="L877" s="22">
        <f t="shared" si="480"/>
        <v>3.3849908248160573E-2</v>
      </c>
      <c r="M877" s="22">
        <f t="shared" si="481"/>
        <v>1.9563536447836587E-2</v>
      </c>
      <c r="N877" s="22">
        <f t="shared" si="482"/>
        <v>2.1279553850041006E-2</v>
      </c>
      <c r="O877" s="22">
        <f t="shared" si="483"/>
        <v>3.7888851467583619E-2</v>
      </c>
      <c r="P877" s="22">
        <f t="shared" si="484"/>
        <v>2.4548926137725652E-2</v>
      </c>
      <c r="Q877" s="22">
        <f t="shared" si="485"/>
        <v>4.4913288362788885E-2</v>
      </c>
      <c r="R877" s="22">
        <f t="shared" si="486"/>
        <v>4.8210618020223174E-2</v>
      </c>
      <c r="S877" s="22">
        <f t="shared" si="487"/>
        <v>6.5716951357361747E-2</v>
      </c>
      <c r="T877" s="22">
        <f t="shared" si="488"/>
        <v>6.7353465486380382E-2</v>
      </c>
      <c r="U877" s="22">
        <f t="shared" si="489"/>
        <v>3.8639370923477037E-2</v>
      </c>
      <c r="V877" s="22">
        <f t="shared" si="490"/>
        <v>2.9667380006217613E-2</v>
      </c>
      <c r="W877" s="22">
        <f t="shared" si="491"/>
        <v>5.3158753894479986E-2</v>
      </c>
      <c r="X877" s="22">
        <f t="shared" si="492"/>
        <v>4.6104080186182297E-2</v>
      </c>
      <c r="Y877" s="22">
        <f t="shared" si="493"/>
        <v>5.4612236881825683E-2</v>
      </c>
      <c r="Z877" s="22">
        <f t="shared" si="494"/>
        <v>3.5205267518146122E-2</v>
      </c>
      <c r="AA877" s="22">
        <f t="shared" si="495"/>
        <v>6.6874963015841074E-2</v>
      </c>
      <c r="AB877" s="22">
        <f t="shared" si="496"/>
        <v>7.1248028317117351E-2</v>
      </c>
      <c r="AC877" s="22">
        <f t="shared" si="497"/>
        <v>5.6135342795117289E-2</v>
      </c>
      <c r="AD877" s="22">
        <f t="shared" si="498"/>
        <v>6.1420819894588974E-2</v>
      </c>
      <c r="AE877" s="22">
        <f t="shared" si="499"/>
        <v>7.7878659359214897E-2</v>
      </c>
      <c r="AF877" s="22">
        <f t="shared" si="500"/>
        <v>5.7587464499464509E-2</v>
      </c>
      <c r="AG877" s="22">
        <f t="shared" si="501"/>
        <v>6.360048127071731E-2</v>
      </c>
      <c r="AH877" s="30">
        <f>AH884/AH886</f>
        <v>4.7227217057661336E-2</v>
      </c>
      <c r="AI877" s="251">
        <f>AI884/AI886</f>
        <v>4.7227217057661336E-2</v>
      </c>
      <c r="AJ877"/>
      <c r="AK877"/>
      <c r="AL877"/>
      <c r="AM877"/>
      <c r="AN877"/>
      <c r="AO877"/>
      <c r="AP877"/>
      <c r="AQ877"/>
      <c r="AR877"/>
      <c r="AS877"/>
      <c r="AT877"/>
      <c r="AU877"/>
      <c r="AV877"/>
      <c r="AW877"/>
      <c r="AX877"/>
    </row>
    <row r="878" spans="1:50" x14ac:dyDescent="0.25">
      <c r="A878" s="514" t="s">
        <v>22</v>
      </c>
      <c r="B878" s="22">
        <f t="shared" si="472"/>
        <v>3.7856343032744029E-3</v>
      </c>
      <c r="C878" s="22">
        <f t="shared" si="473"/>
        <v>1.6403328857167142E-3</v>
      </c>
      <c r="D878" s="22">
        <f t="shared" si="468"/>
        <v>3.0504326221079997E-3</v>
      </c>
      <c r="E878" s="22">
        <f t="shared" si="469"/>
        <v>2.2567526307372375E-2</v>
      </c>
      <c r="F878" s="22">
        <f t="shared" si="474"/>
        <v>5.428774213425993E-3</v>
      </c>
      <c r="G878" s="22">
        <f t="shared" si="475"/>
        <v>0</v>
      </c>
      <c r="H878" s="22">
        <f t="shared" si="476"/>
        <v>0</v>
      </c>
      <c r="I878" s="22">
        <f t="shared" si="477"/>
        <v>2.2365976943806401E-3</v>
      </c>
      <c r="J878" s="22">
        <f t="shared" si="478"/>
        <v>6.1651449439900996E-3</v>
      </c>
      <c r="K878" s="22">
        <f t="shared" si="479"/>
        <v>0</v>
      </c>
      <c r="L878" s="22">
        <f t="shared" si="480"/>
        <v>0</v>
      </c>
      <c r="M878" s="22">
        <f t="shared" si="481"/>
        <v>0</v>
      </c>
      <c r="N878" s="22">
        <f t="shared" si="482"/>
        <v>8.2203724367606681E-4</v>
      </c>
      <c r="O878" s="22">
        <f t="shared" si="483"/>
        <v>1.9926316425075015E-3</v>
      </c>
      <c r="P878" s="22">
        <f t="shared" si="484"/>
        <v>5.3933608301776938E-3</v>
      </c>
      <c r="Q878" s="22">
        <f t="shared" si="485"/>
        <v>0</v>
      </c>
      <c r="R878" s="22">
        <f t="shared" si="486"/>
        <v>1.1416096393252733E-3</v>
      </c>
      <c r="S878" s="22">
        <f t="shared" si="487"/>
        <v>2.7514787332894213E-3</v>
      </c>
      <c r="T878" s="22">
        <f t="shared" si="488"/>
        <v>0</v>
      </c>
      <c r="U878" s="22">
        <f t="shared" si="489"/>
        <v>0</v>
      </c>
      <c r="V878" s="22">
        <f t="shared" si="490"/>
        <v>0</v>
      </c>
      <c r="W878" s="22">
        <f t="shared" si="491"/>
        <v>0</v>
      </c>
      <c r="X878" s="22">
        <f t="shared" si="492"/>
        <v>0</v>
      </c>
      <c r="Y878" s="22">
        <f t="shared" si="493"/>
        <v>0</v>
      </c>
      <c r="Z878" s="22">
        <f t="shared" si="494"/>
        <v>0</v>
      </c>
      <c r="AA878" s="22">
        <f t="shared" si="495"/>
        <v>0</v>
      </c>
      <c r="AB878" s="22">
        <f t="shared" si="496"/>
        <v>0</v>
      </c>
      <c r="AC878" s="22">
        <f t="shared" si="497"/>
        <v>0</v>
      </c>
      <c r="AD878" s="22">
        <f t="shared" si="498"/>
        <v>0</v>
      </c>
      <c r="AE878" s="22">
        <f t="shared" si="499"/>
        <v>0</v>
      </c>
      <c r="AF878" s="22">
        <f t="shared" si="500"/>
        <v>0</v>
      </c>
      <c r="AG878" s="22">
        <f t="shared" si="501"/>
        <v>0</v>
      </c>
      <c r="AH878" s="30">
        <f>AH885/AH886</f>
        <v>2.1829280387473927E-3</v>
      </c>
      <c r="AI878" s="251">
        <f>AI885/AI886</f>
        <v>2.1829280387473927E-3</v>
      </c>
      <c r="AJ878"/>
      <c r="AK878"/>
      <c r="AL878"/>
      <c r="AM878"/>
      <c r="AN878"/>
      <c r="AO878"/>
      <c r="AP878"/>
      <c r="AQ878"/>
      <c r="AR878"/>
      <c r="AS878"/>
      <c r="AT878"/>
      <c r="AU878"/>
      <c r="AV878"/>
      <c r="AW878"/>
      <c r="AX878"/>
    </row>
    <row r="879" spans="1:50" x14ac:dyDescent="0.25">
      <c r="A879" s="516" t="s">
        <v>23</v>
      </c>
      <c r="B879" s="497">
        <f t="shared" si="472"/>
        <v>35826.102941176476</v>
      </c>
      <c r="C879" s="497">
        <f t="shared" si="473"/>
        <v>34819.252336448597</v>
      </c>
      <c r="D879" s="497">
        <f t="shared" si="468"/>
        <v>37348.736462093846</v>
      </c>
      <c r="E879" s="497">
        <f t="shared" si="469"/>
        <v>61711.985658620695</v>
      </c>
      <c r="F879" s="497">
        <f t="shared" si="474"/>
        <v>36850.493096646947</v>
      </c>
      <c r="G879" s="497">
        <f t="shared" si="475"/>
        <v>36313.842975206622</v>
      </c>
      <c r="H879" s="497">
        <f t="shared" si="476"/>
        <v>37190.792291220561</v>
      </c>
      <c r="I879" s="497">
        <f t="shared" si="477"/>
        <v>38799.120879120885</v>
      </c>
      <c r="J879" s="497">
        <f t="shared" si="478"/>
        <v>37667.446043165466</v>
      </c>
      <c r="K879" s="497">
        <f t="shared" si="479"/>
        <v>47545.474137931036</v>
      </c>
      <c r="L879" s="497">
        <f t="shared" si="480"/>
        <v>36402.536997885836</v>
      </c>
      <c r="M879" s="497">
        <f t="shared" si="481"/>
        <v>38705.672268907569</v>
      </c>
      <c r="N879" s="497">
        <f t="shared" si="482"/>
        <v>39733.911368015419</v>
      </c>
      <c r="O879" s="497">
        <f t="shared" si="483"/>
        <v>37729.338842975209</v>
      </c>
      <c r="P879" s="497">
        <f t="shared" si="484"/>
        <v>41994.700854700852</v>
      </c>
      <c r="Q879" s="497">
        <f t="shared" si="485"/>
        <v>37431.469648562306</v>
      </c>
      <c r="R879" s="497">
        <f t="shared" si="486"/>
        <v>39610.526315789481</v>
      </c>
      <c r="S879" s="497">
        <f t="shared" si="487"/>
        <v>37550.104821802932</v>
      </c>
      <c r="T879" s="497">
        <f t="shared" si="488"/>
        <v>37070.022883295198</v>
      </c>
      <c r="U879" s="497">
        <f t="shared" si="489"/>
        <v>37015.347721822553</v>
      </c>
      <c r="V879" s="497">
        <f t="shared" si="490"/>
        <v>36044.421487603307</v>
      </c>
      <c r="W879" s="497">
        <f t="shared" si="491"/>
        <v>38080.561122244486</v>
      </c>
      <c r="X879" s="497">
        <f t="shared" si="492"/>
        <v>37593.348623853213</v>
      </c>
      <c r="Y879" s="497">
        <f t="shared" si="493"/>
        <v>36176.534296028884</v>
      </c>
      <c r="Z879" s="497">
        <f t="shared" si="494"/>
        <v>36089.090909090919</v>
      </c>
      <c r="AA879" s="497">
        <f t="shared" si="495"/>
        <v>35557.490636704119</v>
      </c>
      <c r="AB879" s="497">
        <f t="shared" si="496"/>
        <v>37611.026615969582</v>
      </c>
      <c r="AC879" s="497">
        <f t="shared" si="497"/>
        <v>37192.110453648915</v>
      </c>
      <c r="AD879" s="497">
        <f t="shared" si="498"/>
        <v>37916.972477064228</v>
      </c>
      <c r="AE879" s="497">
        <f t="shared" si="499"/>
        <v>36855.434782608696</v>
      </c>
      <c r="AF879" s="497">
        <f t="shared" si="500"/>
        <v>36767.748091603062</v>
      </c>
      <c r="AG879" s="497">
        <f t="shared" si="501"/>
        <v>36301.169590643272</v>
      </c>
      <c r="AH879" s="66">
        <f>AH890/AH873</f>
        <v>38399.749958456072</v>
      </c>
      <c r="AI879" s="517">
        <f>AI890/AI873</f>
        <v>38399.749958456072</v>
      </c>
      <c r="AJ879"/>
      <c r="AK879"/>
      <c r="AL879"/>
      <c r="AM879"/>
      <c r="AN879"/>
      <c r="AO879"/>
      <c r="AP879"/>
      <c r="AQ879"/>
      <c r="AR879"/>
      <c r="AS879"/>
      <c r="AT879"/>
      <c r="AU879"/>
      <c r="AV879"/>
      <c r="AW879"/>
      <c r="AX879"/>
    </row>
    <row r="880" spans="1:50" x14ac:dyDescent="0.25">
      <c r="A880" s="516" t="s">
        <v>24</v>
      </c>
      <c r="B880" s="497">
        <f t="shared" si="472"/>
        <v>28830.473372781071</v>
      </c>
      <c r="C880" s="497">
        <f t="shared" si="473"/>
        <v>28310.486322188452</v>
      </c>
      <c r="D880" s="497">
        <f t="shared" si="468"/>
        <v>29266.195190947656</v>
      </c>
      <c r="E880" s="497">
        <f t="shared" si="469"/>
        <v>46941.575976393447</v>
      </c>
      <c r="F880" s="497">
        <f t="shared" si="474"/>
        <v>29146.957878315137</v>
      </c>
      <c r="G880" s="497">
        <f t="shared" si="475"/>
        <v>29099.172185430471</v>
      </c>
      <c r="H880" s="497">
        <f t="shared" si="476"/>
        <v>29945.000000000007</v>
      </c>
      <c r="I880" s="497">
        <f t="shared" si="477"/>
        <v>29921.355932203394</v>
      </c>
      <c r="J880" s="497">
        <f t="shared" si="478"/>
        <v>29250.139664804468</v>
      </c>
      <c r="K880" s="497">
        <f t="shared" si="479"/>
        <v>31248.016997167138</v>
      </c>
      <c r="L880" s="497">
        <f t="shared" si="480"/>
        <v>29686.896551724138</v>
      </c>
      <c r="M880" s="497">
        <f t="shared" si="481"/>
        <v>29431.150159744415</v>
      </c>
      <c r="N880" s="497">
        <f t="shared" si="482"/>
        <v>29375.925925925931</v>
      </c>
      <c r="O880" s="497">
        <f t="shared" si="483"/>
        <v>28622.257053291534</v>
      </c>
      <c r="P880" s="497">
        <f t="shared" si="484"/>
        <v>26135</v>
      </c>
      <c r="Q880" s="497">
        <f t="shared" si="485"/>
        <v>28928.518518518522</v>
      </c>
      <c r="R880" s="497">
        <f t="shared" si="486"/>
        <v>29227.184466019422</v>
      </c>
      <c r="S880" s="497">
        <f t="shared" si="487"/>
        <v>29902.170283806343</v>
      </c>
      <c r="T880" s="497">
        <f t="shared" si="488"/>
        <v>29833.517495395947</v>
      </c>
      <c r="U880" s="497">
        <f t="shared" si="489"/>
        <v>28584.07407407408</v>
      </c>
      <c r="V880" s="497">
        <f t="shared" si="490"/>
        <v>28228.964401294499</v>
      </c>
      <c r="W880" s="497">
        <f t="shared" si="491"/>
        <v>29010.992366412214</v>
      </c>
      <c r="X880" s="497">
        <f t="shared" si="492"/>
        <v>29010.088495575223</v>
      </c>
      <c r="Y880" s="497">
        <f t="shared" si="493"/>
        <v>29004.052098408105</v>
      </c>
      <c r="Z880" s="497">
        <f t="shared" si="494"/>
        <v>28446.019108280259</v>
      </c>
      <c r="AA880" s="497">
        <f t="shared" si="495"/>
        <v>27638.573508005822</v>
      </c>
      <c r="AB880" s="497">
        <f t="shared" si="496"/>
        <v>29974.848484848484</v>
      </c>
      <c r="AC880" s="497">
        <f t="shared" si="497"/>
        <v>29555.485893416928</v>
      </c>
      <c r="AD880" s="497">
        <f t="shared" si="498"/>
        <v>29208.127208480568</v>
      </c>
      <c r="AE880" s="497">
        <f t="shared" si="499"/>
        <v>29179.86230636833</v>
      </c>
      <c r="AF880" s="497">
        <f t="shared" si="500"/>
        <v>28249.706744868039</v>
      </c>
      <c r="AG880" s="497">
        <f t="shared" si="501"/>
        <v>28045.933734939757</v>
      </c>
      <c r="AH880" s="66">
        <f>AH890/AH867</f>
        <v>29529.040292208552</v>
      </c>
      <c r="AI880" s="517">
        <f>AI890/AI867</f>
        <v>29529.040292208556</v>
      </c>
      <c r="AJ880"/>
      <c r="AK880"/>
      <c r="AL880"/>
      <c r="AM880"/>
      <c r="AN880"/>
      <c r="AO880"/>
      <c r="AP880"/>
      <c r="AQ880"/>
      <c r="AR880"/>
      <c r="AS880"/>
      <c r="AT880"/>
      <c r="AU880"/>
      <c r="AV880"/>
      <c r="AW880"/>
      <c r="AX880"/>
    </row>
    <row r="881" spans="1:50" x14ac:dyDescent="0.25">
      <c r="A881" s="514" t="s">
        <v>25</v>
      </c>
      <c r="B881" s="92">
        <f t="shared" si="472"/>
        <v>5146829.5327586215</v>
      </c>
      <c r="C881" s="92">
        <f t="shared" si="473"/>
        <v>9426121.9603448287</v>
      </c>
      <c r="D881" s="92">
        <f t="shared" si="468"/>
        <v>11678983.203448273</v>
      </c>
      <c r="E881" s="92">
        <f t="shared" si="469"/>
        <v>15145933.988951724</v>
      </c>
      <c r="F881" s="92">
        <f t="shared" si="474"/>
        <v>10162197.48448276</v>
      </c>
      <c r="G881" s="92">
        <f t="shared" si="475"/>
        <v>9414301.1879310347</v>
      </c>
      <c r="H881" s="92">
        <f t="shared" si="476"/>
        <v>9355106.7534482777</v>
      </c>
      <c r="I881" s="92">
        <f t="shared" si="477"/>
        <v>9212387.6982758641</v>
      </c>
      <c r="J881" s="92">
        <f t="shared" si="478"/>
        <v>12661998.181034485</v>
      </c>
      <c r="K881" s="92">
        <f t="shared" si="479"/>
        <v>10071147.091379311</v>
      </c>
      <c r="L881" s="92">
        <f t="shared" si="480"/>
        <v>9613658.8482758626</v>
      </c>
      <c r="M881" s="92">
        <f t="shared" si="481"/>
        <v>11520084.206896553</v>
      </c>
      <c r="N881" s="92">
        <f t="shared" si="482"/>
        <v>13357059.355172414</v>
      </c>
      <c r="O881" s="92">
        <f t="shared" si="483"/>
        <v>10563660.211724138</v>
      </c>
      <c r="P881" s="92">
        <f t="shared" si="484"/>
        <v>12960172.513103448</v>
      </c>
      <c r="Q881" s="92">
        <f t="shared" si="485"/>
        <v>11739594.604137933</v>
      </c>
      <c r="R881" s="92">
        <f t="shared" si="486"/>
        <v>11559754.728275863</v>
      </c>
      <c r="S881" s="92">
        <f t="shared" si="487"/>
        <v>8340964.9006896559</v>
      </c>
      <c r="T881" s="92">
        <f t="shared" si="488"/>
        <v>6549236.7137931045</v>
      </c>
      <c r="U881" s="92">
        <f t="shared" si="489"/>
        <v>7779235.8827586221</v>
      </c>
      <c r="V881" s="92">
        <f t="shared" si="490"/>
        <v>10250444.842068966</v>
      </c>
      <c r="W881" s="92">
        <f t="shared" si="491"/>
        <v>10947550.075862069</v>
      </c>
      <c r="X881" s="92">
        <f t="shared" si="492"/>
        <v>9652790.1958620697</v>
      </c>
      <c r="Y881" s="92">
        <f t="shared" si="493"/>
        <v>11435254.611034485</v>
      </c>
      <c r="Z881" s="92">
        <f t="shared" si="494"/>
        <v>10428015.39724138</v>
      </c>
      <c r="AA881" s="92">
        <f t="shared" si="495"/>
        <v>10840670.365517242</v>
      </c>
      <c r="AB881" s="92">
        <f t="shared" si="496"/>
        <v>11218131.571034484</v>
      </c>
      <c r="AC881" s="92">
        <f t="shared" si="497"/>
        <v>11198294.560689656</v>
      </c>
      <c r="AD881" s="92">
        <f t="shared" si="498"/>
        <v>9952282.0806896575</v>
      </c>
      <c r="AE881" s="92">
        <f t="shared" si="499"/>
        <v>9333509.4331034478</v>
      </c>
      <c r="AF881" s="92">
        <f t="shared" si="500"/>
        <v>11776228.23034483</v>
      </c>
      <c r="AG881" s="92">
        <f t="shared" si="501"/>
        <v>10821639.644827588</v>
      </c>
      <c r="AH881" s="92">
        <f t="shared" ref="AH881:AH886" si="502">+SUM(B881:AG881)</f>
        <v>334113240.05515867</v>
      </c>
      <c r="AI881" s="108">
        <f t="shared" ref="AI881:AI890" si="503">+$AH881/31</f>
        <v>10777846.453392215</v>
      </c>
      <c r="AJ881"/>
      <c r="AK881"/>
      <c r="AL881"/>
      <c r="AM881"/>
      <c r="AN881"/>
      <c r="AO881"/>
      <c r="AP881"/>
      <c r="AQ881"/>
      <c r="AR881"/>
      <c r="AS881"/>
      <c r="AT881"/>
      <c r="AU881"/>
      <c r="AV881"/>
      <c r="AW881"/>
      <c r="AX881"/>
    </row>
    <row r="882" spans="1:50" x14ac:dyDescent="0.25">
      <c r="A882" s="514" t="s">
        <v>26</v>
      </c>
      <c r="B882" s="92">
        <f t="shared" si="472"/>
        <v>29581.137931034486</v>
      </c>
      <c r="C882" s="92">
        <f t="shared" si="473"/>
        <v>144468.56379310347</v>
      </c>
      <c r="D882" s="92">
        <f t="shared" si="468"/>
        <v>156660.92068965518</v>
      </c>
      <c r="E882" s="92">
        <f t="shared" si="469"/>
        <v>325331.40987586207</v>
      </c>
      <c r="F882" s="92">
        <f t="shared" si="474"/>
        <v>172564.36896551726</v>
      </c>
      <c r="G882" s="92">
        <f t="shared" si="475"/>
        <v>187794.56034482759</v>
      </c>
      <c r="H882" s="92">
        <f t="shared" si="476"/>
        <v>163460.88620689657</v>
      </c>
      <c r="I882" s="92">
        <f t="shared" si="477"/>
        <v>159747.90172413795</v>
      </c>
      <c r="J882" s="92">
        <f t="shared" si="478"/>
        <v>138808.27931034486</v>
      </c>
      <c r="K882" s="92">
        <f t="shared" si="479"/>
        <v>113045.13793103449</v>
      </c>
      <c r="L882" s="92">
        <f t="shared" si="480"/>
        <v>96500.343103448278</v>
      </c>
      <c r="M882" s="92">
        <f t="shared" si="481"/>
        <v>67565.760344827591</v>
      </c>
      <c r="N882" s="92">
        <f t="shared" si="482"/>
        <v>145617.82068965517</v>
      </c>
      <c r="O882" s="92">
        <f t="shared" si="483"/>
        <v>98800.427586206904</v>
      </c>
      <c r="P882" s="92">
        <f t="shared" si="484"/>
        <v>247524.12482758623</v>
      </c>
      <c r="Q882" s="92">
        <f t="shared" si="485"/>
        <v>72596.332413793105</v>
      </c>
      <c r="R882" s="92">
        <f t="shared" si="486"/>
        <v>132692.56758620692</v>
      </c>
      <c r="S882" s="92">
        <f t="shared" si="487"/>
        <v>41406.793103448283</v>
      </c>
      <c r="T882" s="92">
        <f t="shared" si="488"/>
        <v>63518.808275862073</v>
      </c>
      <c r="U882" s="92">
        <f t="shared" si="489"/>
        <v>124105.57517241381</v>
      </c>
      <c r="V882" s="92">
        <f t="shared" si="490"/>
        <v>31356.784827586209</v>
      </c>
      <c r="W882" s="92">
        <f t="shared" si="491"/>
        <v>56195.447586206901</v>
      </c>
      <c r="X882" s="92">
        <f t="shared" si="492"/>
        <v>54598.90206896553</v>
      </c>
      <c r="Y882" s="92">
        <f t="shared" si="493"/>
        <v>159085.54482758621</v>
      </c>
      <c r="Z882" s="92">
        <f t="shared" si="494"/>
        <v>104448.64758620691</v>
      </c>
      <c r="AA882" s="92">
        <f t="shared" si="495"/>
        <v>9856.8593103448275</v>
      </c>
      <c r="AB882" s="92">
        <f t="shared" si="496"/>
        <v>94488.428965517262</v>
      </c>
      <c r="AC882" s="92">
        <f t="shared" si="497"/>
        <v>82081.517931034497</v>
      </c>
      <c r="AD882" s="92">
        <f t="shared" si="498"/>
        <v>50653.231034482757</v>
      </c>
      <c r="AE882" s="92">
        <f t="shared" si="499"/>
        <v>65363.534482758623</v>
      </c>
      <c r="AF882" s="92">
        <f t="shared" si="500"/>
        <v>0</v>
      </c>
      <c r="AG882" s="92">
        <f t="shared" si="501"/>
        <v>36655.019310344833</v>
      </c>
      <c r="AH882" s="92">
        <f t="shared" si="502"/>
        <v>3426575.6378068957</v>
      </c>
      <c r="AI882" s="108">
        <f t="shared" si="503"/>
        <v>110534.69799377082</v>
      </c>
      <c r="AJ882"/>
      <c r="AK882"/>
      <c r="AL882"/>
      <c r="AM882"/>
      <c r="AN882"/>
      <c r="AO882"/>
      <c r="AP882"/>
      <c r="AQ882"/>
      <c r="AR882"/>
      <c r="AS882"/>
      <c r="AT882"/>
      <c r="AU882"/>
      <c r="AV882"/>
      <c r="AW882"/>
      <c r="AX882"/>
    </row>
    <row r="883" spans="1:50" x14ac:dyDescent="0.25">
      <c r="A883" s="514" t="s">
        <v>27</v>
      </c>
      <c r="B883" s="92">
        <f t="shared" si="472"/>
        <v>2342019.7327586208</v>
      </c>
      <c r="C883" s="92">
        <f t="shared" si="473"/>
        <v>5016005.8672413798</v>
      </c>
      <c r="D883" s="92">
        <f t="shared" si="468"/>
        <v>4473166.9258620692</v>
      </c>
      <c r="E883" s="92">
        <f t="shared" si="469"/>
        <v>6917913.7232275875</v>
      </c>
      <c r="F883" s="92">
        <f t="shared" si="474"/>
        <v>4444379.3465517238</v>
      </c>
      <c r="G883" s="92">
        <f t="shared" si="475"/>
        <v>4177848.6603448284</v>
      </c>
      <c r="H883" s="92">
        <f t="shared" si="476"/>
        <v>4161521.770689656</v>
      </c>
      <c r="I883" s="92">
        <f t="shared" si="477"/>
        <v>4996575.998275863</v>
      </c>
      <c r="J883" s="92">
        <f t="shared" si="478"/>
        <v>3808648.9000000004</v>
      </c>
      <c r="K883" s="92">
        <f t="shared" si="479"/>
        <v>7311810.9017241374</v>
      </c>
      <c r="L883" s="92">
        <f t="shared" si="480"/>
        <v>4043700.6500000004</v>
      </c>
      <c r="M883" s="92">
        <f t="shared" si="481"/>
        <v>3280725.2931034486</v>
      </c>
      <c r="N883" s="92">
        <f t="shared" si="482"/>
        <v>3079003.4103448279</v>
      </c>
      <c r="O883" s="92">
        <f t="shared" si="483"/>
        <v>3738097.1675862074</v>
      </c>
      <c r="P883" s="92">
        <f t="shared" si="484"/>
        <v>6456050.3724137936</v>
      </c>
      <c r="Q883" s="92">
        <f t="shared" si="485"/>
        <v>6696746.0041379323</v>
      </c>
      <c r="R883" s="92">
        <f t="shared" si="486"/>
        <v>4854334.7496551722</v>
      </c>
      <c r="S883" s="92">
        <f t="shared" si="487"/>
        <v>5490819.9834482763</v>
      </c>
      <c r="T883" s="92">
        <f t="shared" si="488"/>
        <v>5979543.6565517243</v>
      </c>
      <c r="U883" s="92">
        <f t="shared" si="489"/>
        <v>4338876.0062068971</v>
      </c>
      <c r="V883" s="92">
        <f t="shared" si="490"/>
        <v>3585109.4206896555</v>
      </c>
      <c r="W883" s="92">
        <f t="shared" si="491"/>
        <v>3802668.9986206898</v>
      </c>
      <c r="X883" s="92">
        <f t="shared" si="492"/>
        <v>3114807.1627586209</v>
      </c>
      <c r="Y883" s="92">
        <f t="shared" si="493"/>
        <v>3984118.4565517241</v>
      </c>
      <c r="Z883" s="92">
        <f t="shared" si="494"/>
        <v>3594147.4593103449</v>
      </c>
      <c r="AA883" s="92">
        <f t="shared" si="495"/>
        <v>3668914.1172413793</v>
      </c>
      <c r="AB883" s="92">
        <f t="shared" si="496"/>
        <v>3787062.2220689654</v>
      </c>
      <c r="AC883" s="92">
        <f t="shared" si="497"/>
        <v>3281110.3062068969</v>
      </c>
      <c r="AD883" s="92">
        <f t="shared" si="498"/>
        <v>2723009.8703448279</v>
      </c>
      <c r="AE883" s="92">
        <f t="shared" si="499"/>
        <v>3456955.663448276</v>
      </c>
      <c r="AF883" s="92">
        <f t="shared" si="500"/>
        <v>3066293.5779310348</v>
      </c>
      <c r="AG883" s="92">
        <f t="shared" si="501"/>
        <v>3426335.1427586209</v>
      </c>
      <c r="AH883" s="92">
        <f t="shared" si="502"/>
        <v>137098321.51805517</v>
      </c>
      <c r="AI883" s="108">
        <f t="shared" si="503"/>
        <v>4422526.5005824249</v>
      </c>
      <c r="AJ883"/>
      <c r="AK883"/>
      <c r="AL883"/>
      <c r="AM883"/>
      <c r="AN883"/>
      <c r="AO883"/>
      <c r="AP883"/>
      <c r="AQ883"/>
      <c r="AR883"/>
      <c r="AS883"/>
      <c r="AT883"/>
      <c r="AU883"/>
      <c r="AV883"/>
      <c r="AW883"/>
      <c r="AX883"/>
    </row>
    <row r="884" spans="1:50" x14ac:dyDescent="0.25">
      <c r="A884" s="514" t="s">
        <v>28</v>
      </c>
      <c r="B884" s="92">
        <f t="shared" si="472"/>
        <v>513317.24482758623</v>
      </c>
      <c r="C884" s="92">
        <f t="shared" si="473"/>
        <v>877954.2293103449</v>
      </c>
      <c r="D884" s="92">
        <f t="shared" si="468"/>
        <v>756444.63620689663</v>
      </c>
      <c r="E884" s="92">
        <f t="shared" si="469"/>
        <v>1197204.0833931034</v>
      </c>
      <c r="F884" s="92">
        <f t="shared" si="474"/>
        <v>603068.34137931047</v>
      </c>
      <c r="G884" s="92">
        <f t="shared" si="475"/>
        <v>753208.52241379314</v>
      </c>
      <c r="H884" s="92">
        <f t="shared" si="476"/>
        <v>684700.58965517255</v>
      </c>
      <c r="I884" s="92">
        <f t="shared" si="477"/>
        <v>263274.86551724141</v>
      </c>
      <c r="J884" s="92">
        <f t="shared" si="478"/>
        <v>554049.2827586208</v>
      </c>
      <c r="K884" s="92">
        <f t="shared" si="479"/>
        <v>931716.52413793118</v>
      </c>
      <c r="L884" s="92">
        <f t="shared" si="480"/>
        <v>481878.43448275869</v>
      </c>
      <c r="M884" s="92">
        <f t="shared" si="481"/>
        <v>296682.15344827587</v>
      </c>
      <c r="N884" s="92">
        <f t="shared" si="482"/>
        <v>360825.58448275866</v>
      </c>
      <c r="O884" s="92">
        <f t="shared" si="483"/>
        <v>568284.62965517235</v>
      </c>
      <c r="P884" s="92">
        <f t="shared" si="484"/>
        <v>497623.86965517246</v>
      </c>
      <c r="Q884" s="92">
        <f t="shared" si="485"/>
        <v>870389.26620689675</v>
      </c>
      <c r="R884" s="92">
        <f t="shared" si="486"/>
        <v>839144.2255172414</v>
      </c>
      <c r="S884" s="92">
        <f t="shared" si="487"/>
        <v>978714.93793103471</v>
      </c>
      <c r="T884" s="92">
        <f t="shared" si="488"/>
        <v>909385.23517241376</v>
      </c>
      <c r="U884" s="92">
        <f t="shared" si="489"/>
        <v>492043.84620689659</v>
      </c>
      <c r="V884" s="92">
        <f t="shared" si="490"/>
        <v>423973.09034482762</v>
      </c>
      <c r="W884" s="92">
        <f t="shared" si="491"/>
        <v>831280.37448275881</v>
      </c>
      <c r="X884" s="92">
        <f t="shared" si="492"/>
        <v>619727.53241379315</v>
      </c>
      <c r="Y884" s="92">
        <f t="shared" si="493"/>
        <v>899921.18068965524</v>
      </c>
      <c r="Z884" s="92">
        <f t="shared" si="494"/>
        <v>515478.70275862073</v>
      </c>
      <c r="AA884" s="92">
        <f t="shared" si="495"/>
        <v>1040575.5544827587</v>
      </c>
      <c r="AB884" s="92">
        <f t="shared" si="496"/>
        <v>1158352.9503448277</v>
      </c>
      <c r="AC884" s="92">
        <f t="shared" si="497"/>
        <v>866028.85655172425</v>
      </c>
      <c r="AD884" s="92">
        <f t="shared" si="498"/>
        <v>832788.5420689655</v>
      </c>
      <c r="AE884" s="92">
        <f t="shared" si="499"/>
        <v>1085751.5758620691</v>
      </c>
      <c r="AF884" s="92">
        <f t="shared" si="500"/>
        <v>906973.5020689657</v>
      </c>
      <c r="AG884" s="92">
        <f t="shared" si="501"/>
        <v>970215.50344827597</v>
      </c>
      <c r="AH884" s="92">
        <f t="shared" si="502"/>
        <v>23580977.867875867</v>
      </c>
      <c r="AI884" s="108">
        <f t="shared" si="503"/>
        <v>760676.7054153505</v>
      </c>
      <c r="AJ884"/>
      <c r="AK884"/>
      <c r="AL884"/>
      <c r="AM884"/>
      <c r="AN884"/>
      <c r="AO884"/>
      <c r="AP884"/>
      <c r="AQ884"/>
      <c r="AR884"/>
      <c r="AS884"/>
      <c r="AT884"/>
      <c r="AU884"/>
      <c r="AV884"/>
      <c r="AW884"/>
      <c r="AX884"/>
    </row>
    <row r="885" spans="1:50" x14ac:dyDescent="0.25">
      <c r="A885" s="514" t="s">
        <v>29</v>
      </c>
      <c r="B885" s="92">
        <f t="shared" si="472"/>
        <v>30520.799999999999</v>
      </c>
      <c r="C885" s="92">
        <f t="shared" si="473"/>
        <v>25408.689655172417</v>
      </c>
      <c r="D885" s="92">
        <f t="shared" si="468"/>
        <v>52215.693103448277</v>
      </c>
      <c r="E885" s="92">
        <f t="shared" si="469"/>
        <v>544576.05800000008</v>
      </c>
      <c r="F885" s="92">
        <f t="shared" si="474"/>
        <v>83962.355172413794</v>
      </c>
      <c r="G885" s="92">
        <f t="shared" si="475"/>
        <v>0</v>
      </c>
      <c r="H885" s="92">
        <f t="shared" si="476"/>
        <v>0</v>
      </c>
      <c r="I885" s="92">
        <f t="shared" si="477"/>
        <v>32799.225862068968</v>
      </c>
      <c r="J885" s="92">
        <f t="shared" si="478"/>
        <v>106471.90862068966</v>
      </c>
      <c r="K885" s="92">
        <f t="shared" si="479"/>
        <v>0</v>
      </c>
      <c r="L885" s="92">
        <f t="shared" si="480"/>
        <v>0</v>
      </c>
      <c r="M885" s="92">
        <f t="shared" si="481"/>
        <v>0</v>
      </c>
      <c r="N885" s="92">
        <f t="shared" si="482"/>
        <v>13938.829310344829</v>
      </c>
      <c r="O885" s="92">
        <f t="shared" si="483"/>
        <v>29886.942758620695</v>
      </c>
      <c r="P885" s="92">
        <f t="shared" si="484"/>
        <v>109327.18896551724</v>
      </c>
      <c r="Q885" s="92">
        <f t="shared" si="485"/>
        <v>0</v>
      </c>
      <c r="R885" s="92">
        <f t="shared" si="486"/>
        <v>19870.62551724138</v>
      </c>
      <c r="S885" s="92">
        <f t="shared" si="487"/>
        <v>40977.45379310345</v>
      </c>
      <c r="T885" s="92">
        <f t="shared" si="488"/>
        <v>0</v>
      </c>
      <c r="U885" s="92">
        <f t="shared" si="489"/>
        <v>0</v>
      </c>
      <c r="V885" s="92">
        <f t="shared" si="490"/>
        <v>0</v>
      </c>
      <c r="W885" s="92">
        <f t="shared" si="491"/>
        <v>0</v>
      </c>
      <c r="X885" s="92">
        <f t="shared" si="492"/>
        <v>0</v>
      </c>
      <c r="Y885" s="92">
        <f t="shared" si="493"/>
        <v>0</v>
      </c>
      <c r="Z885" s="92">
        <f t="shared" si="494"/>
        <v>0</v>
      </c>
      <c r="AA885" s="92">
        <f t="shared" si="495"/>
        <v>0</v>
      </c>
      <c r="AB885" s="92">
        <f t="shared" si="496"/>
        <v>0</v>
      </c>
      <c r="AC885" s="92">
        <f t="shared" si="497"/>
        <v>0</v>
      </c>
      <c r="AD885" s="92">
        <f t="shared" si="498"/>
        <v>0</v>
      </c>
      <c r="AE885" s="92">
        <f t="shared" si="499"/>
        <v>0</v>
      </c>
      <c r="AF885" s="92">
        <f t="shared" si="500"/>
        <v>0</v>
      </c>
      <c r="AG885" s="92">
        <f t="shared" si="501"/>
        <v>0</v>
      </c>
      <c r="AH885" s="92">
        <f t="shared" si="502"/>
        <v>1089955.7707586207</v>
      </c>
      <c r="AI885" s="108">
        <f t="shared" si="503"/>
        <v>35159.863572858732</v>
      </c>
      <c r="AJ885"/>
      <c r="AK885"/>
      <c r="AL885"/>
      <c r="AM885"/>
      <c r="AN885"/>
      <c r="AO885"/>
      <c r="AP885"/>
      <c r="AQ885"/>
      <c r="AR885"/>
      <c r="AS885"/>
      <c r="AT885"/>
      <c r="AU885"/>
      <c r="AV885"/>
      <c r="AW885"/>
      <c r="AX885"/>
    </row>
    <row r="886" spans="1:50" x14ac:dyDescent="0.25">
      <c r="A886" s="518" t="s">
        <v>30</v>
      </c>
      <c r="B886" s="91">
        <f t="shared" si="472"/>
        <v>8062268.4482758632</v>
      </c>
      <c r="C886" s="91">
        <f t="shared" si="473"/>
        <v>15489959.310344828</v>
      </c>
      <c r="D886" s="91">
        <f t="shared" si="468"/>
        <v>17117471.37931034</v>
      </c>
      <c r="E886" s="91">
        <f t="shared" si="469"/>
        <v>24130959.263448276</v>
      </c>
      <c r="F886" s="91">
        <f t="shared" si="474"/>
        <v>15466171.896551726</v>
      </c>
      <c r="G886" s="91">
        <f t="shared" si="475"/>
        <v>14533152.931034485</v>
      </c>
      <c r="H886" s="91">
        <f t="shared" si="476"/>
        <v>14364790.000000004</v>
      </c>
      <c r="I886" s="91">
        <f t="shared" si="477"/>
        <v>14664785.689655175</v>
      </c>
      <c r="J886" s="91">
        <f t="shared" si="478"/>
        <v>17269976.55172414</v>
      </c>
      <c r="K886" s="91">
        <f t="shared" si="479"/>
        <v>18427719.655172415</v>
      </c>
      <c r="L886" s="91">
        <f t="shared" si="480"/>
        <v>14235738.27586207</v>
      </c>
      <c r="M886" s="91">
        <f t="shared" si="481"/>
        <v>15165057.413793106</v>
      </c>
      <c r="N886" s="91">
        <f t="shared" si="482"/>
        <v>16956445.000000004</v>
      </c>
      <c r="O886" s="91">
        <f t="shared" si="483"/>
        <v>14998729.379310345</v>
      </c>
      <c r="P886" s="91">
        <f t="shared" si="484"/>
        <v>20270698.068965517</v>
      </c>
      <c r="Q886" s="91">
        <f t="shared" si="485"/>
        <v>19379326.206896555</v>
      </c>
      <c r="R886" s="91">
        <f t="shared" si="486"/>
        <v>17405796.896551728</v>
      </c>
      <c r="S886" s="91">
        <f t="shared" si="487"/>
        <v>14892884.068965519</v>
      </c>
      <c r="T886" s="91">
        <f t="shared" si="488"/>
        <v>13501684.413793104</v>
      </c>
      <c r="U886" s="91">
        <f t="shared" si="489"/>
        <v>12734261.31034483</v>
      </c>
      <c r="V886" s="91">
        <f t="shared" si="490"/>
        <v>14290884.137931036</v>
      </c>
      <c r="W886" s="91">
        <f t="shared" si="491"/>
        <v>15637694.896551725</v>
      </c>
      <c r="X886" s="91">
        <f t="shared" si="492"/>
        <v>13441923.793103449</v>
      </c>
      <c r="Y886" s="91">
        <f t="shared" si="493"/>
        <v>16478379.793103449</v>
      </c>
      <c r="Z886" s="91">
        <f t="shared" si="494"/>
        <v>14642090.206896555</v>
      </c>
      <c r="AA886" s="91">
        <f t="shared" si="495"/>
        <v>15560016.896551725</v>
      </c>
      <c r="AB886" s="91">
        <f t="shared" si="496"/>
        <v>16258035.172413792</v>
      </c>
      <c r="AC886" s="91">
        <f t="shared" si="497"/>
        <v>15427515.241379311</v>
      </c>
      <c r="AD886" s="91">
        <f t="shared" si="498"/>
        <v>13558733.724137932</v>
      </c>
      <c r="AE886" s="91">
        <f t="shared" si="499"/>
        <v>13941580.206896551</v>
      </c>
      <c r="AF886" s="91">
        <f t="shared" si="500"/>
        <v>15749495.31034483</v>
      </c>
      <c r="AG886" s="91">
        <f t="shared" si="501"/>
        <v>15254845.310344828</v>
      </c>
      <c r="AH886" s="91">
        <f t="shared" si="502"/>
        <v>499309070.84965515</v>
      </c>
      <c r="AI886" s="111">
        <f t="shared" si="503"/>
        <v>16106744.220956618</v>
      </c>
      <c r="AJ886"/>
      <c r="AK886"/>
      <c r="AL886"/>
      <c r="AM886"/>
      <c r="AN886"/>
      <c r="AO886"/>
      <c r="AP886"/>
      <c r="AQ886"/>
      <c r="AR886"/>
      <c r="AS886"/>
      <c r="AT886"/>
      <c r="AU886"/>
      <c r="AV886"/>
      <c r="AW886"/>
      <c r="AX886"/>
    </row>
    <row r="887" spans="1:50" x14ac:dyDescent="0.25">
      <c r="A887" s="514" t="s">
        <v>31</v>
      </c>
      <c r="B887" s="92">
        <f t="shared" si="472"/>
        <v>338335</v>
      </c>
      <c r="C887" s="92">
        <f t="shared" si="473"/>
        <v>568920</v>
      </c>
      <c r="D887" s="92">
        <f t="shared" si="468"/>
        <v>719770</v>
      </c>
      <c r="E887" s="92">
        <f t="shared" si="469"/>
        <v>553835</v>
      </c>
      <c r="F887" s="92">
        <f t="shared" si="474"/>
        <v>640035</v>
      </c>
      <c r="G887" s="92">
        <f t="shared" si="475"/>
        <v>618485</v>
      </c>
      <c r="H887" s="92">
        <f t="shared" si="476"/>
        <v>607710</v>
      </c>
      <c r="I887" s="92">
        <f t="shared" si="477"/>
        <v>553835</v>
      </c>
      <c r="J887" s="92">
        <f t="shared" si="478"/>
        <v>784420</v>
      </c>
      <c r="K887" s="92">
        <f t="shared" si="479"/>
        <v>590470</v>
      </c>
      <c r="L887" s="92">
        <f t="shared" si="480"/>
        <v>607710</v>
      </c>
      <c r="M887" s="92">
        <f t="shared" si="481"/>
        <v>717615</v>
      </c>
      <c r="N887" s="92">
        <f t="shared" si="482"/>
        <v>821055</v>
      </c>
      <c r="O887" s="92">
        <f t="shared" si="483"/>
        <v>743512</v>
      </c>
      <c r="P887" s="92">
        <f t="shared" si="484"/>
        <v>907664</v>
      </c>
      <c r="Q887" s="92">
        <f t="shared" si="485"/>
        <v>820760</v>
      </c>
      <c r="R887" s="92">
        <f t="shared" si="486"/>
        <v>760410</v>
      </c>
      <c r="S887" s="92">
        <f t="shared" si="487"/>
        <v>547978</v>
      </c>
      <c r="T887" s="92">
        <f t="shared" si="488"/>
        <v>463488</v>
      </c>
      <c r="U887" s="92">
        <f t="shared" si="489"/>
        <v>572118</v>
      </c>
      <c r="V887" s="92">
        <f t="shared" si="490"/>
        <v>748340</v>
      </c>
      <c r="W887" s="92">
        <f t="shared" si="491"/>
        <v>743512</v>
      </c>
      <c r="X887" s="92">
        <f t="shared" si="492"/>
        <v>687990</v>
      </c>
      <c r="Y887" s="92">
        <f t="shared" si="493"/>
        <v>799034</v>
      </c>
      <c r="Z887" s="92">
        <f t="shared" si="494"/>
        <v>757996</v>
      </c>
      <c r="AA887" s="92">
        <f t="shared" si="495"/>
        <v>808690</v>
      </c>
      <c r="AB887" s="92">
        <f t="shared" si="496"/>
        <v>796620</v>
      </c>
      <c r="AC887" s="92">
        <f t="shared" si="497"/>
        <v>828002</v>
      </c>
      <c r="AD887" s="92">
        <f t="shared" si="498"/>
        <v>692818</v>
      </c>
      <c r="AE887" s="92">
        <f t="shared" si="499"/>
        <v>673506</v>
      </c>
      <c r="AF887" s="92">
        <f t="shared" si="500"/>
        <v>859384</v>
      </c>
      <c r="AG887" s="92">
        <f t="shared" si="501"/>
        <v>799034</v>
      </c>
      <c r="AH887" s="498">
        <f>2155*AH868</f>
        <v>20629815</v>
      </c>
      <c r="AI887" s="519">
        <f t="shared" si="503"/>
        <v>665477.90322580643</v>
      </c>
      <c r="AJ887"/>
      <c r="AK887"/>
      <c r="AL887"/>
      <c r="AM887"/>
      <c r="AN887"/>
      <c r="AO887"/>
      <c r="AP887"/>
      <c r="AQ887"/>
      <c r="AR887"/>
      <c r="AS887"/>
      <c r="AT887"/>
      <c r="AU887"/>
      <c r="AV887"/>
      <c r="AW887"/>
      <c r="AX887"/>
    </row>
    <row r="888" spans="1:50" x14ac:dyDescent="0.25">
      <c r="A888" s="520" t="s">
        <v>32</v>
      </c>
      <c r="B888" s="199">
        <f t="shared" si="472"/>
        <v>8400603.4482758641</v>
      </c>
      <c r="C888" s="199">
        <f t="shared" si="473"/>
        <v>16058879.310344828</v>
      </c>
      <c r="D888" s="199">
        <f t="shared" si="468"/>
        <v>17837241.37931034</v>
      </c>
      <c r="E888" s="199">
        <f t="shared" si="469"/>
        <v>24684794.263448276</v>
      </c>
      <c r="F888" s="199">
        <f t="shared" si="474"/>
        <v>16106206.896551726</v>
      </c>
      <c r="G888" s="199">
        <f t="shared" si="475"/>
        <v>15151637.931034485</v>
      </c>
      <c r="H888" s="199">
        <f t="shared" si="476"/>
        <v>14972500.000000004</v>
      </c>
      <c r="I888" s="199">
        <f t="shared" si="477"/>
        <v>15218620.689655175</v>
      </c>
      <c r="J888" s="199">
        <f t="shared" si="478"/>
        <v>18054396.55172414</v>
      </c>
      <c r="K888" s="199">
        <f t="shared" si="479"/>
        <v>19018189.655172415</v>
      </c>
      <c r="L888" s="199">
        <f t="shared" si="480"/>
        <v>14843448.27586207</v>
      </c>
      <c r="M888" s="199">
        <f t="shared" si="481"/>
        <v>15882672.413793106</v>
      </c>
      <c r="N888" s="199">
        <f t="shared" si="482"/>
        <v>17777500.000000004</v>
      </c>
      <c r="O888" s="199">
        <f t="shared" si="483"/>
        <v>15742241.379310345</v>
      </c>
      <c r="P888" s="199">
        <f t="shared" si="484"/>
        <v>21178362.068965517</v>
      </c>
      <c r="Q888" s="199">
        <f t="shared" si="485"/>
        <v>20200086.206896555</v>
      </c>
      <c r="R888" s="199">
        <f t="shared" si="486"/>
        <v>18166206.896551728</v>
      </c>
      <c r="S888" s="199">
        <f t="shared" si="487"/>
        <v>15440862.068965519</v>
      </c>
      <c r="T888" s="199">
        <f t="shared" si="488"/>
        <v>13965172.413793104</v>
      </c>
      <c r="U888" s="199">
        <f t="shared" si="489"/>
        <v>13306379.31034483</v>
      </c>
      <c r="V888" s="199">
        <f t="shared" si="490"/>
        <v>15039224.137931036</v>
      </c>
      <c r="W888" s="199">
        <f t="shared" si="491"/>
        <v>16381206.896551725</v>
      </c>
      <c r="X888" s="199">
        <f t="shared" si="492"/>
        <v>14129913.793103449</v>
      </c>
      <c r="Y888" s="199">
        <f t="shared" si="493"/>
        <v>17277413.793103449</v>
      </c>
      <c r="Z888" s="199">
        <f t="shared" si="494"/>
        <v>15400086.206896555</v>
      </c>
      <c r="AA888" s="199">
        <f t="shared" si="495"/>
        <v>16368706.896551725</v>
      </c>
      <c r="AB888" s="199">
        <f t="shared" si="496"/>
        <v>17054655.172413792</v>
      </c>
      <c r="AC888" s="199">
        <f t="shared" si="497"/>
        <v>16255517.241379311</v>
      </c>
      <c r="AD888" s="199">
        <f t="shared" si="498"/>
        <v>14251551.724137932</v>
      </c>
      <c r="AE888" s="199">
        <f t="shared" si="499"/>
        <v>14615086.206896551</v>
      </c>
      <c r="AF888" s="199">
        <f t="shared" si="500"/>
        <v>16608879.31034483</v>
      </c>
      <c r="AG888" s="199">
        <f t="shared" si="501"/>
        <v>16053879.310344828</v>
      </c>
      <c r="AH888" s="199">
        <f>AH886+AH887</f>
        <v>519938885.84965515</v>
      </c>
      <c r="AI888" s="521">
        <f t="shared" si="503"/>
        <v>16772222.124182424</v>
      </c>
      <c r="AJ888"/>
      <c r="AK888"/>
      <c r="AL888"/>
      <c r="AM888"/>
      <c r="AN888"/>
      <c r="AO888"/>
      <c r="AP888"/>
      <c r="AQ888"/>
      <c r="AR888"/>
      <c r="AS888"/>
      <c r="AT888"/>
      <c r="AU888"/>
      <c r="AV888"/>
      <c r="AW888"/>
      <c r="AX888"/>
    </row>
    <row r="889" spans="1:50" x14ac:dyDescent="0.25">
      <c r="A889" s="514" t="s">
        <v>33</v>
      </c>
      <c r="B889" s="94">
        <f t="shared" si="472"/>
        <v>1344096.5517241382</v>
      </c>
      <c r="C889" s="94">
        <f t="shared" si="473"/>
        <v>2569420.6896551726</v>
      </c>
      <c r="D889" s="94">
        <f t="shared" si="468"/>
        <v>2853958.6206896543</v>
      </c>
      <c r="E889" s="94">
        <f t="shared" si="469"/>
        <v>3949567.082151724</v>
      </c>
      <c r="F889" s="94">
        <f t="shared" si="474"/>
        <v>2576993.1034482764</v>
      </c>
      <c r="G889" s="94">
        <f t="shared" si="475"/>
        <v>2424262.0689655175</v>
      </c>
      <c r="H889" s="94">
        <f t="shared" si="476"/>
        <v>2395600.0000000005</v>
      </c>
      <c r="I889" s="94">
        <f t="shared" si="477"/>
        <v>2434979.3103448283</v>
      </c>
      <c r="J889" s="94">
        <f t="shared" si="478"/>
        <v>2888703.4482758623</v>
      </c>
      <c r="K889" s="94">
        <f t="shared" si="479"/>
        <v>3042910.3448275863</v>
      </c>
      <c r="L889" s="94">
        <f t="shared" si="480"/>
        <v>2374951.7241379311</v>
      </c>
      <c r="M889" s="94">
        <f t="shared" si="481"/>
        <v>2541227.5862068972</v>
      </c>
      <c r="N889" s="94">
        <f t="shared" si="482"/>
        <v>2844400.0000000005</v>
      </c>
      <c r="O889" s="94">
        <f t="shared" si="483"/>
        <v>2518758.6206896552</v>
      </c>
      <c r="P889" s="94">
        <f t="shared" si="484"/>
        <v>3388537.931034483</v>
      </c>
      <c r="Q889" s="94">
        <f t="shared" si="485"/>
        <v>3232013.793103449</v>
      </c>
      <c r="R889" s="94">
        <f t="shared" si="486"/>
        <v>2906593.1034482764</v>
      </c>
      <c r="S889" s="94">
        <f t="shared" si="487"/>
        <v>2470537.931034483</v>
      </c>
      <c r="T889" s="94">
        <f t="shared" si="488"/>
        <v>2234427.5862068967</v>
      </c>
      <c r="U889" s="94">
        <f t="shared" si="489"/>
        <v>2129020.6896551726</v>
      </c>
      <c r="V889" s="94">
        <f t="shared" si="490"/>
        <v>2406275.8620689656</v>
      </c>
      <c r="W889" s="94">
        <f t="shared" si="491"/>
        <v>2620993.1034482759</v>
      </c>
      <c r="X889" s="94">
        <f t="shared" si="492"/>
        <v>2260786.2068965519</v>
      </c>
      <c r="Y889" s="94">
        <f t="shared" si="493"/>
        <v>2764386.2068965519</v>
      </c>
      <c r="Z889" s="94">
        <f t="shared" si="494"/>
        <v>2464013.7931034486</v>
      </c>
      <c r="AA889" s="94">
        <f t="shared" si="495"/>
        <v>2618993.1034482759</v>
      </c>
      <c r="AB889" s="94">
        <f t="shared" si="496"/>
        <v>2728744.8275862071</v>
      </c>
      <c r="AC889" s="94">
        <f t="shared" si="497"/>
        <v>2600882.7586206901</v>
      </c>
      <c r="AD889" s="94">
        <f t="shared" si="498"/>
        <v>2280248.2758620693</v>
      </c>
      <c r="AE889" s="94">
        <f t="shared" si="499"/>
        <v>2338413.7931034481</v>
      </c>
      <c r="AF889" s="94">
        <f t="shared" si="500"/>
        <v>2657420.6896551731</v>
      </c>
      <c r="AG889" s="94">
        <f t="shared" si="501"/>
        <v>2568620.6896551726</v>
      </c>
      <c r="AH889" s="94">
        <f>AH888*16%</f>
        <v>83190221.735944822</v>
      </c>
      <c r="AI889" s="109">
        <f t="shared" si="503"/>
        <v>2683555.5398691879</v>
      </c>
      <c r="AJ889"/>
      <c r="AK889"/>
      <c r="AL889"/>
      <c r="AM889"/>
      <c r="AN889"/>
      <c r="AO889"/>
      <c r="AP889"/>
      <c r="AQ889"/>
      <c r="AR889"/>
      <c r="AS889"/>
      <c r="AT889"/>
      <c r="AU889"/>
      <c r="AV889"/>
      <c r="AW889"/>
      <c r="AX889"/>
    </row>
    <row r="890" spans="1:50" ht="15.75" thickBot="1" x14ac:dyDescent="0.3">
      <c r="A890" s="522" t="s">
        <v>34</v>
      </c>
      <c r="B890" s="266">
        <f t="shared" si="472"/>
        <v>9744700.0000000019</v>
      </c>
      <c r="C890" s="266">
        <f t="shared" si="473"/>
        <v>18628300</v>
      </c>
      <c r="D890" s="266">
        <f t="shared" si="468"/>
        <v>20691199.999999993</v>
      </c>
      <c r="E890" s="266">
        <f t="shared" si="469"/>
        <v>28634361.345600002</v>
      </c>
      <c r="F890" s="266">
        <f t="shared" si="474"/>
        <v>18683200.000000004</v>
      </c>
      <c r="G890" s="266">
        <f t="shared" si="475"/>
        <v>17575900.000000004</v>
      </c>
      <c r="H890" s="266">
        <f t="shared" si="476"/>
        <v>17368100.000000004</v>
      </c>
      <c r="I890" s="266">
        <f t="shared" si="477"/>
        <v>17653600.000000004</v>
      </c>
      <c r="J890" s="266">
        <f t="shared" si="478"/>
        <v>20943100</v>
      </c>
      <c r="K890" s="266">
        <f t="shared" si="479"/>
        <v>22061100</v>
      </c>
      <c r="L890" s="266">
        <f t="shared" si="480"/>
        <v>17218400</v>
      </c>
      <c r="M890" s="266">
        <f t="shared" si="481"/>
        <v>18423900.000000004</v>
      </c>
      <c r="N890" s="266">
        <f t="shared" si="482"/>
        <v>20621900.000000004</v>
      </c>
      <c r="O890" s="266">
        <f t="shared" si="483"/>
        <v>18261000</v>
      </c>
      <c r="P890" s="266">
        <f t="shared" si="484"/>
        <v>24566900</v>
      </c>
      <c r="Q890" s="266">
        <f t="shared" si="485"/>
        <v>23432100.000000004</v>
      </c>
      <c r="R890" s="266">
        <f t="shared" si="486"/>
        <v>21072800.000000004</v>
      </c>
      <c r="S890" s="266">
        <f t="shared" si="487"/>
        <v>17911400</v>
      </c>
      <c r="T890" s="266">
        <f t="shared" si="488"/>
        <v>16199600</v>
      </c>
      <c r="U890" s="266">
        <f t="shared" si="489"/>
        <v>15435400.000000004</v>
      </c>
      <c r="V890" s="266">
        <f t="shared" si="490"/>
        <v>17445500</v>
      </c>
      <c r="W890" s="266">
        <f t="shared" si="491"/>
        <v>19002200</v>
      </c>
      <c r="X890" s="266">
        <f t="shared" si="492"/>
        <v>16390700</v>
      </c>
      <c r="Y890" s="266">
        <f t="shared" si="493"/>
        <v>20041800</v>
      </c>
      <c r="Z890" s="266">
        <f t="shared" si="494"/>
        <v>17864100.000000004</v>
      </c>
      <c r="AA890" s="266">
        <f t="shared" si="495"/>
        <v>18987700</v>
      </c>
      <c r="AB890" s="266">
        <f t="shared" si="496"/>
        <v>19783400</v>
      </c>
      <c r="AC890" s="266">
        <f t="shared" si="497"/>
        <v>18856400</v>
      </c>
      <c r="AD890" s="266">
        <f t="shared" si="498"/>
        <v>16531800.000000002</v>
      </c>
      <c r="AE890" s="266">
        <f t="shared" si="499"/>
        <v>16953500</v>
      </c>
      <c r="AF890" s="266">
        <f t="shared" si="500"/>
        <v>19266300.000000004</v>
      </c>
      <c r="AG890" s="266">
        <f t="shared" si="501"/>
        <v>18622500</v>
      </c>
      <c r="AH890" s="266">
        <f>+SUM(B890:AG890)</f>
        <v>604872861.34560001</v>
      </c>
      <c r="AI890" s="523">
        <f t="shared" si="503"/>
        <v>19512027.785341937</v>
      </c>
      <c r="AJ890"/>
      <c r="AK890"/>
      <c r="AL890"/>
      <c r="AM890"/>
      <c r="AN890"/>
      <c r="AO890"/>
      <c r="AP890"/>
      <c r="AQ890"/>
      <c r="AR890"/>
      <c r="AS890"/>
      <c r="AT890"/>
      <c r="AU890"/>
      <c r="AV890"/>
      <c r="AW890"/>
      <c r="AX890"/>
    </row>
    <row r="891" spans="1:50" ht="15.75" thickBot="1" x14ac:dyDescent="0.3">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row>
    <row r="892" spans="1:50" ht="27" thickBot="1" x14ac:dyDescent="0.45">
      <c r="B892" s="506" t="s">
        <v>401</v>
      </c>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c r="AA892" s="507"/>
      <c r="AB892" s="507"/>
      <c r="AC892" s="507"/>
      <c r="AD892" s="507"/>
      <c r="AE892" s="507"/>
      <c r="AF892" s="507"/>
      <c r="AG892" s="507"/>
      <c r="AH892" s="507"/>
      <c r="AI892" s="508"/>
      <c r="AJ892"/>
      <c r="AK892"/>
      <c r="AL892"/>
      <c r="AM892"/>
      <c r="AN892"/>
      <c r="AO892"/>
      <c r="AP892"/>
      <c r="AQ892"/>
      <c r="AR892"/>
      <c r="AS892"/>
      <c r="AT892"/>
      <c r="AU892"/>
      <c r="AV892"/>
      <c r="AW892"/>
      <c r="AX892"/>
    </row>
    <row r="893" spans="1:50" ht="16.5" thickBot="1" x14ac:dyDescent="0.3">
      <c r="A893" s="524" t="s">
        <v>2</v>
      </c>
      <c r="B893" s="287" t="str">
        <f t="shared" ref="B893:D894" si="504">+B866</f>
        <v>SEMANA 1</v>
      </c>
      <c r="C893" s="287" t="str">
        <f t="shared" si="504"/>
        <v>SEMANA 2</v>
      </c>
      <c r="D893" s="287" t="str">
        <f t="shared" si="504"/>
        <v>SEMANA 3</v>
      </c>
      <c r="E893" s="287" t="str">
        <f t="shared" ref="E893:AG893" si="505">+E866</f>
        <v>SEMANA 4</v>
      </c>
      <c r="F893" s="287" t="str">
        <f t="shared" si="505"/>
        <v>SEMANA 5</v>
      </c>
      <c r="G893" s="287" t="str">
        <f t="shared" si="505"/>
        <v>SEMANA 6</v>
      </c>
      <c r="H893" s="287" t="str">
        <f t="shared" si="505"/>
        <v>SEMANA 7</v>
      </c>
      <c r="I893" s="287" t="str">
        <f t="shared" si="505"/>
        <v>SEMANA 8</v>
      </c>
      <c r="J893" s="287" t="str">
        <f t="shared" si="505"/>
        <v>SEMANA 9</v>
      </c>
      <c r="K893" s="287" t="str">
        <f t="shared" si="505"/>
        <v>SEMANA 10</v>
      </c>
      <c r="L893" s="287" t="str">
        <f t="shared" si="505"/>
        <v>SEMANA 11</v>
      </c>
      <c r="M893" s="287" t="str">
        <f t="shared" si="505"/>
        <v>SEMANA 12</v>
      </c>
      <c r="N893" s="287" t="str">
        <f t="shared" si="505"/>
        <v>SEMANA 13</v>
      </c>
      <c r="O893" s="287" t="str">
        <f t="shared" si="505"/>
        <v>SEMANA 14</v>
      </c>
      <c r="P893" s="287" t="str">
        <f t="shared" si="505"/>
        <v>SEMANA 15</v>
      </c>
      <c r="Q893" s="287" t="str">
        <f t="shared" si="505"/>
        <v>SEMANA 16</v>
      </c>
      <c r="R893" s="287" t="str">
        <f t="shared" si="505"/>
        <v>SEMANA 17</v>
      </c>
      <c r="S893" s="287" t="str">
        <f t="shared" si="505"/>
        <v>SEMANA 18</v>
      </c>
      <c r="T893" s="287" t="str">
        <f t="shared" si="505"/>
        <v>SEMANA 19</v>
      </c>
      <c r="U893" s="287" t="str">
        <f t="shared" si="505"/>
        <v>SEMANA 20</v>
      </c>
      <c r="V893" s="287" t="str">
        <f t="shared" si="505"/>
        <v>SEMANA 21</v>
      </c>
      <c r="W893" s="287" t="str">
        <f t="shared" si="505"/>
        <v>SEMANA 22</v>
      </c>
      <c r="X893" s="287" t="str">
        <f t="shared" si="505"/>
        <v>SEMANA 23</v>
      </c>
      <c r="Y893" s="287" t="str">
        <f t="shared" si="505"/>
        <v>SEMANA 24</v>
      </c>
      <c r="Z893" s="287" t="str">
        <f t="shared" si="505"/>
        <v>SEMANA 25</v>
      </c>
      <c r="AA893" s="287" t="str">
        <f t="shared" si="505"/>
        <v>SEMANA 26</v>
      </c>
      <c r="AB893" s="287" t="str">
        <f t="shared" si="505"/>
        <v>SEMANA 27</v>
      </c>
      <c r="AC893" s="287" t="str">
        <f t="shared" si="505"/>
        <v>SEMANA 28</v>
      </c>
      <c r="AD893" s="287" t="str">
        <f t="shared" si="505"/>
        <v>SEMANA 29</v>
      </c>
      <c r="AE893" s="287" t="str">
        <f t="shared" si="505"/>
        <v>SEMANA 30</v>
      </c>
      <c r="AF893" s="287" t="str">
        <f t="shared" si="505"/>
        <v>SEMANA 31</v>
      </c>
      <c r="AG893" s="287" t="str">
        <f t="shared" si="505"/>
        <v>SEMANA 32</v>
      </c>
      <c r="AH893" s="287" t="s">
        <v>10</v>
      </c>
      <c r="AI893" s="287" t="s">
        <v>400</v>
      </c>
      <c r="AJ893"/>
      <c r="AK893"/>
      <c r="AL893"/>
      <c r="AM893"/>
      <c r="AN893"/>
      <c r="AO893"/>
      <c r="AP893"/>
      <c r="AQ893"/>
      <c r="AR893"/>
      <c r="AS893"/>
      <c r="AT893"/>
      <c r="AU893"/>
      <c r="AV893"/>
      <c r="AW893"/>
      <c r="AX893"/>
    </row>
    <row r="894" spans="1:50" x14ac:dyDescent="0.25">
      <c r="A894" s="525" t="s">
        <v>11</v>
      </c>
      <c r="B894" s="459">
        <f t="shared" si="504"/>
        <v>338</v>
      </c>
      <c r="C894" s="459">
        <f t="shared" si="504"/>
        <v>658</v>
      </c>
      <c r="D894" s="459">
        <f t="shared" si="504"/>
        <v>707</v>
      </c>
      <c r="E894" s="459">
        <f t="shared" ref="E894:AG894" si="506">+E867</f>
        <v>610</v>
      </c>
      <c r="F894" s="459">
        <f t="shared" si="506"/>
        <v>641</v>
      </c>
      <c r="G894" s="459">
        <f t="shared" si="506"/>
        <v>604</v>
      </c>
      <c r="H894" s="459">
        <f t="shared" si="506"/>
        <v>580</v>
      </c>
      <c r="I894" s="459">
        <f t="shared" si="506"/>
        <v>590</v>
      </c>
      <c r="J894" s="459">
        <f t="shared" si="506"/>
        <v>716</v>
      </c>
      <c r="K894" s="459">
        <f t="shared" si="506"/>
        <v>706</v>
      </c>
      <c r="L894" s="459">
        <f t="shared" si="506"/>
        <v>580</v>
      </c>
      <c r="M894" s="459">
        <f t="shared" si="506"/>
        <v>626</v>
      </c>
      <c r="N894" s="459">
        <f t="shared" si="506"/>
        <v>702</v>
      </c>
      <c r="O894" s="459">
        <f t="shared" si="506"/>
        <v>638</v>
      </c>
      <c r="P894" s="459">
        <f t="shared" si="506"/>
        <v>940</v>
      </c>
      <c r="Q894" s="459">
        <f t="shared" si="506"/>
        <v>810</v>
      </c>
      <c r="R894" s="459">
        <f t="shared" si="506"/>
        <v>721</v>
      </c>
      <c r="S894" s="459">
        <f t="shared" si="506"/>
        <v>599</v>
      </c>
      <c r="T894" s="459">
        <f t="shared" si="506"/>
        <v>543</v>
      </c>
      <c r="U894" s="459">
        <f t="shared" si="506"/>
        <v>540</v>
      </c>
      <c r="V894" s="459">
        <f t="shared" si="506"/>
        <v>618</v>
      </c>
      <c r="W894" s="459">
        <f t="shared" si="506"/>
        <v>655</v>
      </c>
      <c r="X894" s="459">
        <f t="shared" si="506"/>
        <v>565</v>
      </c>
      <c r="Y894" s="459">
        <f t="shared" si="506"/>
        <v>691</v>
      </c>
      <c r="Z894" s="459">
        <f t="shared" si="506"/>
        <v>628</v>
      </c>
      <c r="AA894" s="459">
        <f t="shared" si="506"/>
        <v>687</v>
      </c>
      <c r="AB894" s="459">
        <f t="shared" si="506"/>
        <v>660</v>
      </c>
      <c r="AC894" s="459">
        <f t="shared" si="506"/>
        <v>638</v>
      </c>
      <c r="AD894" s="459">
        <f t="shared" si="506"/>
        <v>566</v>
      </c>
      <c r="AE894" s="459">
        <f t="shared" si="506"/>
        <v>581</v>
      </c>
      <c r="AF894" s="459">
        <f t="shared" si="506"/>
        <v>682</v>
      </c>
      <c r="AG894" s="459">
        <f t="shared" si="506"/>
        <v>664</v>
      </c>
      <c r="AH894" s="499">
        <f>+SUM(B894:AG894)</f>
        <v>20484</v>
      </c>
      <c r="AI894" s="459">
        <f>+$AH894/31</f>
        <v>660.77419354838707</v>
      </c>
      <c r="AJ894"/>
      <c r="AK894"/>
      <c r="AL894"/>
      <c r="AM894"/>
      <c r="AN894"/>
      <c r="AO894"/>
      <c r="AP894"/>
      <c r="AQ894"/>
      <c r="AR894"/>
      <c r="AS894"/>
      <c r="AT894"/>
      <c r="AU894"/>
      <c r="AV894"/>
      <c r="AW894"/>
      <c r="AX894"/>
    </row>
    <row r="895" spans="1:50" ht="15.75" thickBot="1" x14ac:dyDescent="0.3">
      <c r="A895" s="102" t="s">
        <v>17</v>
      </c>
      <c r="B895" s="461">
        <f t="shared" ref="B895:AG895" si="507">+B873</f>
        <v>272</v>
      </c>
      <c r="C895" s="461">
        <f t="shared" si="507"/>
        <v>535</v>
      </c>
      <c r="D895" s="461">
        <f t="shared" si="507"/>
        <v>554</v>
      </c>
      <c r="E895" s="461">
        <f t="shared" si="507"/>
        <v>464</v>
      </c>
      <c r="F895" s="461">
        <f t="shared" si="507"/>
        <v>507</v>
      </c>
      <c r="G895" s="461">
        <f t="shared" si="507"/>
        <v>484</v>
      </c>
      <c r="H895" s="461">
        <f t="shared" si="507"/>
        <v>467</v>
      </c>
      <c r="I895" s="461">
        <f t="shared" si="507"/>
        <v>455</v>
      </c>
      <c r="J895" s="461">
        <f t="shared" si="507"/>
        <v>556</v>
      </c>
      <c r="K895" s="461">
        <f t="shared" si="507"/>
        <v>464</v>
      </c>
      <c r="L895" s="461">
        <f t="shared" si="507"/>
        <v>473</v>
      </c>
      <c r="M895" s="461">
        <f t="shared" si="507"/>
        <v>476</v>
      </c>
      <c r="N895" s="461">
        <f t="shared" si="507"/>
        <v>519</v>
      </c>
      <c r="O895" s="461">
        <f t="shared" si="507"/>
        <v>484</v>
      </c>
      <c r="P895" s="461">
        <f t="shared" si="507"/>
        <v>585</v>
      </c>
      <c r="Q895" s="461">
        <f t="shared" si="507"/>
        <v>626</v>
      </c>
      <c r="R895" s="461">
        <f t="shared" si="507"/>
        <v>532</v>
      </c>
      <c r="S895" s="461">
        <f t="shared" si="507"/>
        <v>477</v>
      </c>
      <c r="T895" s="461">
        <f t="shared" si="507"/>
        <v>437</v>
      </c>
      <c r="U895" s="461">
        <f t="shared" si="507"/>
        <v>417</v>
      </c>
      <c r="V895" s="461">
        <f t="shared" si="507"/>
        <v>484</v>
      </c>
      <c r="W895" s="461">
        <f t="shared" si="507"/>
        <v>499</v>
      </c>
      <c r="X895" s="461">
        <f t="shared" si="507"/>
        <v>436</v>
      </c>
      <c r="Y895" s="461">
        <f t="shared" si="507"/>
        <v>554</v>
      </c>
      <c r="Z895" s="461">
        <f t="shared" si="507"/>
        <v>495</v>
      </c>
      <c r="AA895" s="461">
        <f t="shared" si="507"/>
        <v>534</v>
      </c>
      <c r="AB895" s="461">
        <f t="shared" si="507"/>
        <v>526</v>
      </c>
      <c r="AC895" s="461">
        <f t="shared" si="507"/>
        <v>507</v>
      </c>
      <c r="AD895" s="461">
        <f t="shared" si="507"/>
        <v>436</v>
      </c>
      <c r="AE895" s="461">
        <f t="shared" si="507"/>
        <v>460</v>
      </c>
      <c r="AF895" s="461">
        <f t="shared" si="507"/>
        <v>524</v>
      </c>
      <c r="AG895" s="461">
        <f t="shared" si="507"/>
        <v>513</v>
      </c>
      <c r="AH895" s="500">
        <f>+SUM(B895:AG895)</f>
        <v>15752</v>
      </c>
      <c r="AI895" s="501">
        <f>+$AH895/31</f>
        <v>508.12903225806451</v>
      </c>
      <c r="AJ895"/>
      <c r="AK895"/>
      <c r="AL895"/>
      <c r="AM895"/>
      <c r="AN895"/>
      <c r="AO895"/>
      <c r="AP895"/>
      <c r="AQ895"/>
      <c r="AR895"/>
      <c r="AS895"/>
      <c r="AT895"/>
      <c r="AU895"/>
      <c r="AV895"/>
      <c r="AW895"/>
      <c r="AX895"/>
    </row>
    <row r="896" spans="1:50" ht="15.75" x14ac:dyDescent="0.25">
      <c r="A896" s="526" t="s">
        <v>2</v>
      </c>
      <c r="B896" s="287" t="str">
        <f t="shared" ref="B896:AG896" si="508">+B893</f>
        <v>SEMANA 1</v>
      </c>
      <c r="C896" s="287" t="str">
        <f t="shared" si="508"/>
        <v>SEMANA 2</v>
      </c>
      <c r="D896" s="287" t="str">
        <f t="shared" si="508"/>
        <v>SEMANA 3</v>
      </c>
      <c r="E896" s="287" t="str">
        <f t="shared" si="508"/>
        <v>SEMANA 4</v>
      </c>
      <c r="F896" s="287" t="str">
        <f t="shared" si="508"/>
        <v>SEMANA 5</v>
      </c>
      <c r="G896" s="287" t="str">
        <f t="shared" si="508"/>
        <v>SEMANA 6</v>
      </c>
      <c r="H896" s="287" t="str">
        <f t="shared" si="508"/>
        <v>SEMANA 7</v>
      </c>
      <c r="I896" s="287" t="str">
        <f t="shared" si="508"/>
        <v>SEMANA 8</v>
      </c>
      <c r="J896" s="287" t="str">
        <f t="shared" si="508"/>
        <v>SEMANA 9</v>
      </c>
      <c r="K896" s="287" t="str">
        <f t="shared" si="508"/>
        <v>SEMANA 10</v>
      </c>
      <c r="L896" s="287" t="str">
        <f t="shared" si="508"/>
        <v>SEMANA 11</v>
      </c>
      <c r="M896" s="287" t="str">
        <f t="shared" si="508"/>
        <v>SEMANA 12</v>
      </c>
      <c r="N896" s="287" t="str">
        <f t="shared" si="508"/>
        <v>SEMANA 13</v>
      </c>
      <c r="O896" s="287" t="str">
        <f t="shared" si="508"/>
        <v>SEMANA 14</v>
      </c>
      <c r="P896" s="287" t="str">
        <f t="shared" si="508"/>
        <v>SEMANA 15</v>
      </c>
      <c r="Q896" s="287" t="str">
        <f t="shared" si="508"/>
        <v>SEMANA 16</v>
      </c>
      <c r="R896" s="287" t="str">
        <f t="shared" si="508"/>
        <v>SEMANA 17</v>
      </c>
      <c r="S896" s="287" t="str">
        <f t="shared" si="508"/>
        <v>SEMANA 18</v>
      </c>
      <c r="T896" s="287" t="str">
        <f t="shared" si="508"/>
        <v>SEMANA 19</v>
      </c>
      <c r="U896" s="287" t="str">
        <f t="shared" si="508"/>
        <v>SEMANA 20</v>
      </c>
      <c r="V896" s="287" t="str">
        <f t="shared" si="508"/>
        <v>SEMANA 21</v>
      </c>
      <c r="W896" s="287" t="str">
        <f t="shared" si="508"/>
        <v>SEMANA 22</v>
      </c>
      <c r="X896" s="287" t="str">
        <f t="shared" si="508"/>
        <v>SEMANA 23</v>
      </c>
      <c r="Y896" s="287" t="str">
        <f t="shared" si="508"/>
        <v>SEMANA 24</v>
      </c>
      <c r="Z896" s="287" t="str">
        <f t="shared" si="508"/>
        <v>SEMANA 25</v>
      </c>
      <c r="AA896" s="287" t="str">
        <f t="shared" si="508"/>
        <v>SEMANA 26</v>
      </c>
      <c r="AB896" s="287" t="str">
        <f t="shared" si="508"/>
        <v>SEMANA 27</v>
      </c>
      <c r="AC896" s="287" t="str">
        <f t="shared" si="508"/>
        <v>SEMANA 28</v>
      </c>
      <c r="AD896" s="287" t="str">
        <f t="shared" si="508"/>
        <v>SEMANA 29</v>
      </c>
      <c r="AE896" s="287" t="str">
        <f t="shared" si="508"/>
        <v>SEMANA 30</v>
      </c>
      <c r="AF896" s="287" t="str">
        <f t="shared" si="508"/>
        <v>SEMANA 31</v>
      </c>
      <c r="AG896" s="287" t="str">
        <f t="shared" si="508"/>
        <v>SEMANA 32</v>
      </c>
      <c r="AH896" s="50" t="s">
        <v>10</v>
      </c>
      <c r="AI896" s="50" t="s">
        <v>400</v>
      </c>
      <c r="AJ896"/>
      <c r="AK896"/>
      <c r="AL896"/>
      <c r="AM896"/>
      <c r="AN896"/>
      <c r="AO896"/>
      <c r="AP896"/>
      <c r="AQ896"/>
      <c r="AR896"/>
      <c r="AS896"/>
      <c r="AT896"/>
      <c r="AU896"/>
      <c r="AV896"/>
      <c r="AW896"/>
      <c r="AX896"/>
    </row>
    <row r="897" spans="1:55" x14ac:dyDescent="0.25">
      <c r="A897" s="100" t="s">
        <v>25</v>
      </c>
      <c r="B897" s="299">
        <f t="shared" ref="B897:D901" si="509">+B881</f>
        <v>5146829.5327586215</v>
      </c>
      <c r="C897" s="299">
        <f t="shared" si="509"/>
        <v>9426121.9603448287</v>
      </c>
      <c r="D897" s="299">
        <f t="shared" si="509"/>
        <v>11678983.203448273</v>
      </c>
      <c r="E897" s="299">
        <f t="shared" ref="E897:AG897" si="510">+E881</f>
        <v>15145933.988951724</v>
      </c>
      <c r="F897" s="299">
        <f t="shared" si="510"/>
        <v>10162197.48448276</v>
      </c>
      <c r="G897" s="299">
        <f t="shared" si="510"/>
        <v>9414301.1879310347</v>
      </c>
      <c r="H897" s="299">
        <f t="shared" si="510"/>
        <v>9355106.7534482777</v>
      </c>
      <c r="I897" s="299">
        <f t="shared" si="510"/>
        <v>9212387.6982758641</v>
      </c>
      <c r="J897" s="299">
        <f t="shared" si="510"/>
        <v>12661998.181034485</v>
      </c>
      <c r="K897" s="299">
        <f t="shared" si="510"/>
        <v>10071147.091379311</v>
      </c>
      <c r="L897" s="299">
        <f t="shared" si="510"/>
        <v>9613658.8482758626</v>
      </c>
      <c r="M897" s="299">
        <f t="shared" si="510"/>
        <v>11520084.206896553</v>
      </c>
      <c r="N897" s="299">
        <f t="shared" si="510"/>
        <v>13357059.355172414</v>
      </c>
      <c r="O897" s="299">
        <f t="shared" si="510"/>
        <v>10563660.211724138</v>
      </c>
      <c r="P897" s="299">
        <f t="shared" si="510"/>
        <v>12960172.513103448</v>
      </c>
      <c r="Q897" s="299">
        <f t="shared" si="510"/>
        <v>11739594.604137933</v>
      </c>
      <c r="R897" s="299">
        <f t="shared" si="510"/>
        <v>11559754.728275863</v>
      </c>
      <c r="S897" s="299">
        <f t="shared" si="510"/>
        <v>8340964.9006896559</v>
      </c>
      <c r="T897" s="299">
        <f t="shared" si="510"/>
        <v>6549236.7137931045</v>
      </c>
      <c r="U897" s="299">
        <f t="shared" si="510"/>
        <v>7779235.8827586221</v>
      </c>
      <c r="V897" s="299">
        <f t="shared" si="510"/>
        <v>10250444.842068966</v>
      </c>
      <c r="W897" s="299">
        <f t="shared" si="510"/>
        <v>10947550.075862069</v>
      </c>
      <c r="X897" s="299">
        <f t="shared" si="510"/>
        <v>9652790.1958620697</v>
      </c>
      <c r="Y897" s="299">
        <f t="shared" si="510"/>
        <v>11435254.611034485</v>
      </c>
      <c r="Z897" s="299">
        <f t="shared" si="510"/>
        <v>10428015.39724138</v>
      </c>
      <c r="AA897" s="299">
        <f t="shared" si="510"/>
        <v>10840670.365517242</v>
      </c>
      <c r="AB897" s="299">
        <f t="shared" si="510"/>
        <v>11218131.571034484</v>
      </c>
      <c r="AC897" s="299">
        <f t="shared" si="510"/>
        <v>11198294.560689656</v>
      </c>
      <c r="AD897" s="299">
        <f t="shared" si="510"/>
        <v>9952282.0806896575</v>
      </c>
      <c r="AE897" s="299">
        <f t="shared" si="510"/>
        <v>9333509.4331034478</v>
      </c>
      <c r="AF897" s="299">
        <f t="shared" si="510"/>
        <v>11776228.23034483</v>
      </c>
      <c r="AG897" s="299">
        <f t="shared" si="510"/>
        <v>10821639.644827588</v>
      </c>
      <c r="AH897" s="299">
        <f t="shared" ref="AH897:AH903" si="511">+SUM(B897:AG897)</f>
        <v>334113240.05515867</v>
      </c>
      <c r="AI897" s="299">
        <f t="shared" ref="AI897:AI903" si="512">+$AH897/31</f>
        <v>10777846.453392215</v>
      </c>
      <c r="AJ897"/>
      <c r="AK897"/>
      <c r="AL897"/>
      <c r="AM897"/>
      <c r="AN897"/>
      <c r="AO897"/>
      <c r="AP897"/>
      <c r="AQ897"/>
      <c r="AR897"/>
      <c r="AS897"/>
      <c r="AT897"/>
      <c r="AU897"/>
      <c r="AV897"/>
      <c r="AW897"/>
      <c r="AX897"/>
    </row>
    <row r="898" spans="1:55" x14ac:dyDescent="0.25">
      <c r="A898" s="100" t="s">
        <v>26</v>
      </c>
      <c r="B898" s="299">
        <f t="shared" si="509"/>
        <v>29581.137931034486</v>
      </c>
      <c r="C898" s="299">
        <f t="shared" si="509"/>
        <v>144468.56379310347</v>
      </c>
      <c r="D898" s="299">
        <f t="shared" si="509"/>
        <v>156660.92068965518</v>
      </c>
      <c r="E898" s="299">
        <f t="shared" ref="E898:AG898" si="513">+E882</f>
        <v>325331.40987586207</v>
      </c>
      <c r="F898" s="299">
        <f t="shared" si="513"/>
        <v>172564.36896551726</v>
      </c>
      <c r="G898" s="299">
        <f t="shared" si="513"/>
        <v>187794.56034482759</v>
      </c>
      <c r="H898" s="299">
        <f t="shared" si="513"/>
        <v>163460.88620689657</v>
      </c>
      <c r="I898" s="299">
        <f t="shared" si="513"/>
        <v>159747.90172413795</v>
      </c>
      <c r="J898" s="299">
        <f t="shared" si="513"/>
        <v>138808.27931034486</v>
      </c>
      <c r="K898" s="299">
        <f t="shared" si="513"/>
        <v>113045.13793103449</v>
      </c>
      <c r="L898" s="299">
        <f t="shared" si="513"/>
        <v>96500.343103448278</v>
      </c>
      <c r="M898" s="299">
        <f t="shared" si="513"/>
        <v>67565.760344827591</v>
      </c>
      <c r="N898" s="299">
        <f t="shared" si="513"/>
        <v>145617.82068965517</v>
      </c>
      <c r="O898" s="299">
        <f t="shared" si="513"/>
        <v>98800.427586206904</v>
      </c>
      <c r="P898" s="299">
        <f t="shared" si="513"/>
        <v>247524.12482758623</v>
      </c>
      <c r="Q898" s="299">
        <f t="shared" si="513"/>
        <v>72596.332413793105</v>
      </c>
      <c r="R898" s="299">
        <f t="shared" si="513"/>
        <v>132692.56758620692</v>
      </c>
      <c r="S898" s="299">
        <f t="shared" si="513"/>
        <v>41406.793103448283</v>
      </c>
      <c r="T898" s="299">
        <f t="shared" si="513"/>
        <v>63518.808275862073</v>
      </c>
      <c r="U898" s="299">
        <f t="shared" si="513"/>
        <v>124105.57517241381</v>
      </c>
      <c r="V898" s="299">
        <f t="shared" si="513"/>
        <v>31356.784827586209</v>
      </c>
      <c r="W898" s="299">
        <f t="shared" si="513"/>
        <v>56195.447586206901</v>
      </c>
      <c r="X898" s="299">
        <f t="shared" si="513"/>
        <v>54598.90206896553</v>
      </c>
      <c r="Y898" s="299">
        <f t="shared" si="513"/>
        <v>159085.54482758621</v>
      </c>
      <c r="Z898" s="299">
        <f t="shared" si="513"/>
        <v>104448.64758620691</v>
      </c>
      <c r="AA898" s="299">
        <f t="shared" si="513"/>
        <v>9856.8593103448275</v>
      </c>
      <c r="AB898" s="299">
        <f t="shared" si="513"/>
        <v>94488.428965517262</v>
      </c>
      <c r="AC898" s="299">
        <f t="shared" si="513"/>
        <v>82081.517931034497</v>
      </c>
      <c r="AD898" s="299">
        <f t="shared" si="513"/>
        <v>50653.231034482757</v>
      </c>
      <c r="AE898" s="299">
        <f t="shared" si="513"/>
        <v>65363.534482758623</v>
      </c>
      <c r="AF898" s="299">
        <f t="shared" si="513"/>
        <v>0</v>
      </c>
      <c r="AG898" s="299">
        <f t="shared" si="513"/>
        <v>36655.019310344833</v>
      </c>
      <c r="AH898" s="299">
        <f t="shared" si="511"/>
        <v>3426575.6378068957</v>
      </c>
      <c r="AI898" s="299">
        <f t="shared" si="512"/>
        <v>110534.69799377082</v>
      </c>
      <c r="AJ898"/>
      <c r="AK898"/>
      <c r="AL898"/>
      <c r="AM898"/>
      <c r="AN898"/>
      <c r="AO898"/>
      <c r="AP898"/>
      <c r="AQ898"/>
      <c r="AR898"/>
      <c r="AS898"/>
      <c r="AT898"/>
      <c r="AU898"/>
      <c r="AV898"/>
      <c r="AW898"/>
      <c r="AX898"/>
    </row>
    <row r="899" spans="1:55" x14ac:dyDescent="0.25">
      <c r="A899" s="100" t="s">
        <v>27</v>
      </c>
      <c r="B899" s="299">
        <f t="shared" si="509"/>
        <v>2342019.7327586208</v>
      </c>
      <c r="C899" s="299">
        <f t="shared" si="509"/>
        <v>5016005.8672413798</v>
      </c>
      <c r="D899" s="299">
        <f t="shared" si="509"/>
        <v>4473166.9258620692</v>
      </c>
      <c r="E899" s="299">
        <f t="shared" ref="E899:AG899" si="514">+E883</f>
        <v>6917913.7232275875</v>
      </c>
      <c r="F899" s="299">
        <f t="shared" si="514"/>
        <v>4444379.3465517238</v>
      </c>
      <c r="G899" s="299">
        <f t="shared" si="514"/>
        <v>4177848.6603448284</v>
      </c>
      <c r="H899" s="299">
        <f t="shared" si="514"/>
        <v>4161521.770689656</v>
      </c>
      <c r="I899" s="299">
        <f t="shared" si="514"/>
        <v>4996575.998275863</v>
      </c>
      <c r="J899" s="299">
        <f t="shared" si="514"/>
        <v>3808648.9000000004</v>
      </c>
      <c r="K899" s="299">
        <f t="shared" si="514"/>
        <v>7311810.9017241374</v>
      </c>
      <c r="L899" s="299">
        <f t="shared" si="514"/>
        <v>4043700.6500000004</v>
      </c>
      <c r="M899" s="299">
        <f t="shared" si="514"/>
        <v>3280725.2931034486</v>
      </c>
      <c r="N899" s="299">
        <f t="shared" si="514"/>
        <v>3079003.4103448279</v>
      </c>
      <c r="O899" s="299">
        <f t="shared" si="514"/>
        <v>3738097.1675862074</v>
      </c>
      <c r="P899" s="299">
        <f t="shared" si="514"/>
        <v>6456050.3724137936</v>
      </c>
      <c r="Q899" s="299">
        <f t="shared" si="514"/>
        <v>6696746.0041379323</v>
      </c>
      <c r="R899" s="299">
        <f t="shared" si="514"/>
        <v>4854334.7496551722</v>
      </c>
      <c r="S899" s="299">
        <f t="shared" si="514"/>
        <v>5490819.9834482763</v>
      </c>
      <c r="T899" s="299">
        <f t="shared" si="514"/>
        <v>5979543.6565517243</v>
      </c>
      <c r="U899" s="299">
        <f t="shared" si="514"/>
        <v>4338876.0062068971</v>
      </c>
      <c r="V899" s="299">
        <f t="shared" si="514"/>
        <v>3585109.4206896555</v>
      </c>
      <c r="W899" s="299">
        <f t="shared" si="514"/>
        <v>3802668.9986206898</v>
      </c>
      <c r="X899" s="299">
        <f t="shared" si="514"/>
        <v>3114807.1627586209</v>
      </c>
      <c r="Y899" s="299">
        <f t="shared" si="514"/>
        <v>3984118.4565517241</v>
      </c>
      <c r="Z899" s="299">
        <f t="shared" si="514"/>
        <v>3594147.4593103449</v>
      </c>
      <c r="AA899" s="299">
        <f t="shared" si="514"/>
        <v>3668914.1172413793</v>
      </c>
      <c r="AB899" s="299">
        <f t="shared" si="514"/>
        <v>3787062.2220689654</v>
      </c>
      <c r="AC899" s="299">
        <f t="shared" si="514"/>
        <v>3281110.3062068969</v>
      </c>
      <c r="AD899" s="299">
        <f t="shared" si="514"/>
        <v>2723009.8703448279</v>
      </c>
      <c r="AE899" s="299">
        <f t="shared" si="514"/>
        <v>3456955.663448276</v>
      </c>
      <c r="AF899" s="299">
        <f t="shared" si="514"/>
        <v>3066293.5779310348</v>
      </c>
      <c r="AG899" s="299">
        <f t="shared" si="514"/>
        <v>3426335.1427586209</v>
      </c>
      <c r="AH899" s="299">
        <f t="shared" si="511"/>
        <v>137098321.51805517</v>
      </c>
      <c r="AI899" s="299">
        <f t="shared" si="512"/>
        <v>4422526.5005824249</v>
      </c>
      <c r="AJ899"/>
      <c r="AK899"/>
      <c r="AL899"/>
      <c r="AM899"/>
      <c r="AN899"/>
      <c r="AO899"/>
      <c r="AP899"/>
      <c r="AQ899"/>
      <c r="AR899"/>
      <c r="AS899"/>
      <c r="AT899"/>
      <c r="AU899"/>
      <c r="AV899"/>
      <c r="AW899"/>
      <c r="AX899"/>
    </row>
    <row r="900" spans="1:55" x14ac:dyDescent="0.25">
      <c r="A900" s="100" t="s">
        <v>28</v>
      </c>
      <c r="B900" s="299">
        <f t="shared" si="509"/>
        <v>513317.24482758623</v>
      </c>
      <c r="C900" s="299">
        <f t="shared" si="509"/>
        <v>877954.2293103449</v>
      </c>
      <c r="D900" s="299">
        <f t="shared" si="509"/>
        <v>756444.63620689663</v>
      </c>
      <c r="E900" s="299">
        <f t="shared" ref="E900:AG900" si="515">+E884</f>
        <v>1197204.0833931034</v>
      </c>
      <c r="F900" s="299">
        <f t="shared" si="515"/>
        <v>603068.34137931047</v>
      </c>
      <c r="G900" s="299">
        <f t="shared" si="515"/>
        <v>753208.52241379314</v>
      </c>
      <c r="H900" s="299">
        <f t="shared" si="515"/>
        <v>684700.58965517255</v>
      </c>
      <c r="I900" s="299">
        <f t="shared" si="515"/>
        <v>263274.86551724141</v>
      </c>
      <c r="J900" s="299">
        <f t="shared" si="515"/>
        <v>554049.2827586208</v>
      </c>
      <c r="K900" s="299">
        <f t="shared" si="515"/>
        <v>931716.52413793118</v>
      </c>
      <c r="L900" s="299">
        <f t="shared" si="515"/>
        <v>481878.43448275869</v>
      </c>
      <c r="M900" s="299">
        <f t="shared" si="515"/>
        <v>296682.15344827587</v>
      </c>
      <c r="N900" s="299">
        <f t="shared" si="515"/>
        <v>360825.58448275866</v>
      </c>
      <c r="O900" s="299">
        <f t="shared" si="515"/>
        <v>568284.62965517235</v>
      </c>
      <c r="P900" s="299">
        <f t="shared" si="515"/>
        <v>497623.86965517246</v>
      </c>
      <c r="Q900" s="299">
        <f t="shared" si="515"/>
        <v>870389.26620689675</v>
      </c>
      <c r="R900" s="299">
        <f t="shared" si="515"/>
        <v>839144.2255172414</v>
      </c>
      <c r="S900" s="299">
        <f t="shared" si="515"/>
        <v>978714.93793103471</v>
      </c>
      <c r="T900" s="299">
        <f t="shared" si="515"/>
        <v>909385.23517241376</v>
      </c>
      <c r="U900" s="299">
        <f t="shared" si="515"/>
        <v>492043.84620689659</v>
      </c>
      <c r="V900" s="299">
        <f t="shared" si="515"/>
        <v>423973.09034482762</v>
      </c>
      <c r="W900" s="299">
        <f t="shared" si="515"/>
        <v>831280.37448275881</v>
      </c>
      <c r="X900" s="299">
        <f t="shared" si="515"/>
        <v>619727.53241379315</v>
      </c>
      <c r="Y900" s="299">
        <f t="shared" si="515"/>
        <v>899921.18068965524</v>
      </c>
      <c r="Z900" s="299">
        <f t="shared" si="515"/>
        <v>515478.70275862073</v>
      </c>
      <c r="AA900" s="299">
        <f t="shared" si="515"/>
        <v>1040575.5544827587</v>
      </c>
      <c r="AB900" s="299">
        <f t="shared" si="515"/>
        <v>1158352.9503448277</v>
      </c>
      <c r="AC900" s="299">
        <f t="shared" si="515"/>
        <v>866028.85655172425</v>
      </c>
      <c r="AD900" s="299">
        <f t="shared" si="515"/>
        <v>832788.5420689655</v>
      </c>
      <c r="AE900" s="299">
        <f t="shared" si="515"/>
        <v>1085751.5758620691</v>
      </c>
      <c r="AF900" s="299">
        <f t="shared" si="515"/>
        <v>906973.5020689657</v>
      </c>
      <c r="AG900" s="299">
        <f t="shared" si="515"/>
        <v>970215.50344827597</v>
      </c>
      <c r="AH900" s="299">
        <f t="shared" si="511"/>
        <v>23580977.867875867</v>
      </c>
      <c r="AI900" s="299">
        <f t="shared" si="512"/>
        <v>760676.7054153505</v>
      </c>
      <c r="AJ900"/>
      <c r="AK900"/>
      <c r="AL900"/>
      <c r="AM900"/>
      <c r="AN900"/>
      <c r="AO900"/>
      <c r="AP900"/>
      <c r="AQ900"/>
      <c r="AR900"/>
      <c r="AS900"/>
      <c r="AT900"/>
      <c r="AU900"/>
      <c r="AV900"/>
      <c r="AW900"/>
      <c r="AX900"/>
    </row>
    <row r="901" spans="1:55" x14ac:dyDescent="0.25">
      <c r="A901" s="100" t="s">
        <v>29</v>
      </c>
      <c r="B901" s="299">
        <f t="shared" si="509"/>
        <v>30520.799999999999</v>
      </c>
      <c r="C901" s="299">
        <f t="shared" si="509"/>
        <v>25408.689655172417</v>
      </c>
      <c r="D901" s="299">
        <f t="shared" si="509"/>
        <v>52215.693103448277</v>
      </c>
      <c r="E901" s="299">
        <f t="shared" ref="E901:AG901" si="516">+E885</f>
        <v>544576.05800000008</v>
      </c>
      <c r="F901" s="299">
        <f t="shared" si="516"/>
        <v>83962.355172413794</v>
      </c>
      <c r="G901" s="299">
        <f t="shared" si="516"/>
        <v>0</v>
      </c>
      <c r="H901" s="299">
        <f t="shared" si="516"/>
        <v>0</v>
      </c>
      <c r="I901" s="299">
        <f t="shared" si="516"/>
        <v>32799.225862068968</v>
      </c>
      <c r="J901" s="299">
        <f t="shared" si="516"/>
        <v>106471.90862068966</v>
      </c>
      <c r="K901" s="299">
        <f t="shared" si="516"/>
        <v>0</v>
      </c>
      <c r="L901" s="299">
        <f t="shared" si="516"/>
        <v>0</v>
      </c>
      <c r="M901" s="299">
        <f t="shared" si="516"/>
        <v>0</v>
      </c>
      <c r="N901" s="299">
        <f t="shared" si="516"/>
        <v>13938.829310344829</v>
      </c>
      <c r="O901" s="299">
        <f t="shared" si="516"/>
        <v>29886.942758620695</v>
      </c>
      <c r="P901" s="299">
        <f t="shared" si="516"/>
        <v>109327.18896551724</v>
      </c>
      <c r="Q901" s="299">
        <f t="shared" si="516"/>
        <v>0</v>
      </c>
      <c r="R901" s="299">
        <f t="shared" si="516"/>
        <v>19870.62551724138</v>
      </c>
      <c r="S901" s="299">
        <f t="shared" si="516"/>
        <v>40977.45379310345</v>
      </c>
      <c r="T901" s="299">
        <f t="shared" si="516"/>
        <v>0</v>
      </c>
      <c r="U901" s="299">
        <f t="shared" si="516"/>
        <v>0</v>
      </c>
      <c r="V901" s="299">
        <f t="shared" si="516"/>
        <v>0</v>
      </c>
      <c r="W901" s="299">
        <f t="shared" si="516"/>
        <v>0</v>
      </c>
      <c r="X901" s="299">
        <f t="shared" si="516"/>
        <v>0</v>
      </c>
      <c r="Y901" s="299">
        <f t="shared" si="516"/>
        <v>0</v>
      </c>
      <c r="Z901" s="299">
        <f t="shared" si="516"/>
        <v>0</v>
      </c>
      <c r="AA901" s="299">
        <f t="shared" si="516"/>
        <v>0</v>
      </c>
      <c r="AB901" s="299">
        <f t="shared" si="516"/>
        <v>0</v>
      </c>
      <c r="AC901" s="299">
        <f t="shared" si="516"/>
        <v>0</v>
      </c>
      <c r="AD901" s="299">
        <f t="shared" si="516"/>
        <v>0</v>
      </c>
      <c r="AE901" s="299">
        <f t="shared" si="516"/>
        <v>0</v>
      </c>
      <c r="AF901" s="299">
        <f t="shared" si="516"/>
        <v>0</v>
      </c>
      <c r="AG901" s="299">
        <f t="shared" si="516"/>
        <v>0</v>
      </c>
      <c r="AH901" s="299">
        <f t="shared" si="511"/>
        <v>1089955.7707586207</v>
      </c>
      <c r="AI901" s="299">
        <f t="shared" si="512"/>
        <v>35159.863572858732</v>
      </c>
      <c r="AJ901"/>
      <c r="AK901"/>
      <c r="AL901"/>
      <c r="AM901"/>
      <c r="AN901"/>
      <c r="AO901"/>
      <c r="AP901"/>
      <c r="AQ901"/>
      <c r="AR901"/>
      <c r="AS901"/>
      <c r="AT901"/>
      <c r="AU901"/>
      <c r="AV901"/>
      <c r="AW901"/>
      <c r="AX901"/>
    </row>
    <row r="902" spans="1:55" x14ac:dyDescent="0.25">
      <c r="A902" s="100" t="s">
        <v>31</v>
      </c>
      <c r="B902" s="299">
        <f t="shared" ref="B902:AG902" si="517">+B887</f>
        <v>338335</v>
      </c>
      <c r="C902" s="299">
        <f t="shared" si="517"/>
        <v>568920</v>
      </c>
      <c r="D902" s="299">
        <f t="shared" si="517"/>
        <v>719770</v>
      </c>
      <c r="E902" s="299">
        <f t="shared" si="517"/>
        <v>553835</v>
      </c>
      <c r="F902" s="299">
        <f t="shared" si="517"/>
        <v>640035</v>
      </c>
      <c r="G902" s="299">
        <f t="shared" si="517"/>
        <v>618485</v>
      </c>
      <c r="H902" s="299">
        <f t="shared" si="517"/>
        <v>607710</v>
      </c>
      <c r="I902" s="299">
        <f t="shared" si="517"/>
        <v>553835</v>
      </c>
      <c r="J902" s="299">
        <f t="shared" si="517"/>
        <v>784420</v>
      </c>
      <c r="K902" s="299">
        <f t="shared" si="517"/>
        <v>590470</v>
      </c>
      <c r="L902" s="299">
        <f t="shared" si="517"/>
        <v>607710</v>
      </c>
      <c r="M902" s="299">
        <f t="shared" si="517"/>
        <v>717615</v>
      </c>
      <c r="N902" s="299">
        <f t="shared" si="517"/>
        <v>821055</v>
      </c>
      <c r="O902" s="299">
        <f t="shared" si="517"/>
        <v>743512</v>
      </c>
      <c r="P902" s="299">
        <f t="shared" si="517"/>
        <v>907664</v>
      </c>
      <c r="Q902" s="299">
        <f t="shared" si="517"/>
        <v>820760</v>
      </c>
      <c r="R902" s="299">
        <f t="shared" si="517"/>
        <v>760410</v>
      </c>
      <c r="S902" s="299">
        <f t="shared" si="517"/>
        <v>547978</v>
      </c>
      <c r="T902" s="299">
        <f t="shared" si="517"/>
        <v>463488</v>
      </c>
      <c r="U902" s="299">
        <f t="shared" si="517"/>
        <v>572118</v>
      </c>
      <c r="V902" s="299">
        <f t="shared" si="517"/>
        <v>748340</v>
      </c>
      <c r="W902" s="299">
        <f t="shared" si="517"/>
        <v>743512</v>
      </c>
      <c r="X902" s="299">
        <f t="shared" si="517"/>
        <v>687990</v>
      </c>
      <c r="Y902" s="299">
        <f t="shared" si="517"/>
        <v>799034</v>
      </c>
      <c r="Z902" s="299">
        <f t="shared" si="517"/>
        <v>757996</v>
      </c>
      <c r="AA902" s="299">
        <f t="shared" si="517"/>
        <v>808690</v>
      </c>
      <c r="AB902" s="299">
        <f t="shared" si="517"/>
        <v>796620</v>
      </c>
      <c r="AC902" s="299">
        <f t="shared" si="517"/>
        <v>828002</v>
      </c>
      <c r="AD902" s="299">
        <f t="shared" si="517"/>
        <v>692818</v>
      </c>
      <c r="AE902" s="299">
        <f t="shared" si="517"/>
        <v>673506</v>
      </c>
      <c r="AF902" s="299">
        <f t="shared" si="517"/>
        <v>859384</v>
      </c>
      <c r="AG902" s="299">
        <f t="shared" si="517"/>
        <v>799034</v>
      </c>
      <c r="AH902" s="299">
        <f t="shared" si="511"/>
        <v>22133051</v>
      </c>
      <c r="AI902" s="299">
        <f t="shared" si="512"/>
        <v>713969.38709677418</v>
      </c>
      <c r="AJ902"/>
      <c r="AK902"/>
      <c r="AL902"/>
      <c r="AM902"/>
      <c r="AN902"/>
      <c r="AO902"/>
      <c r="AP902"/>
      <c r="AQ902"/>
      <c r="AR902"/>
      <c r="AS902"/>
      <c r="AT902"/>
      <c r="AU902"/>
      <c r="AV902"/>
      <c r="AW902"/>
      <c r="AX902"/>
    </row>
    <row r="903" spans="1:55" ht="15.75" thickBot="1" x14ac:dyDescent="0.3">
      <c r="A903" s="527" t="s">
        <v>32</v>
      </c>
      <c r="B903" s="502">
        <f t="shared" ref="B903:AG903" si="518">+SUM(B897:B902)</f>
        <v>8400603.4482758641</v>
      </c>
      <c r="C903" s="502">
        <f t="shared" si="518"/>
        <v>16058879.310344828</v>
      </c>
      <c r="D903" s="502">
        <f t="shared" si="518"/>
        <v>17837241.37931034</v>
      </c>
      <c r="E903" s="502">
        <f t="shared" si="518"/>
        <v>24684794.263448276</v>
      </c>
      <c r="F903" s="502">
        <f t="shared" si="518"/>
        <v>16106206.896551726</v>
      </c>
      <c r="G903" s="502">
        <f t="shared" si="518"/>
        <v>15151637.931034485</v>
      </c>
      <c r="H903" s="502">
        <f t="shared" si="518"/>
        <v>14972500.000000004</v>
      </c>
      <c r="I903" s="502">
        <f t="shared" si="518"/>
        <v>15218620.689655175</v>
      </c>
      <c r="J903" s="502">
        <f t="shared" si="518"/>
        <v>18054396.55172414</v>
      </c>
      <c r="K903" s="502">
        <f t="shared" si="518"/>
        <v>19018189.655172415</v>
      </c>
      <c r="L903" s="502">
        <f t="shared" si="518"/>
        <v>14843448.27586207</v>
      </c>
      <c r="M903" s="502">
        <f t="shared" si="518"/>
        <v>15882672.413793106</v>
      </c>
      <c r="N903" s="502">
        <f t="shared" si="518"/>
        <v>17777500.000000004</v>
      </c>
      <c r="O903" s="502">
        <f t="shared" si="518"/>
        <v>15742241.379310345</v>
      </c>
      <c r="P903" s="502">
        <f t="shared" si="518"/>
        <v>21178362.068965517</v>
      </c>
      <c r="Q903" s="502">
        <f t="shared" si="518"/>
        <v>20200086.206896555</v>
      </c>
      <c r="R903" s="502">
        <f t="shared" si="518"/>
        <v>18166206.896551728</v>
      </c>
      <c r="S903" s="502">
        <f t="shared" si="518"/>
        <v>15440862.068965519</v>
      </c>
      <c r="T903" s="502">
        <f t="shared" si="518"/>
        <v>13965172.413793104</v>
      </c>
      <c r="U903" s="502">
        <f t="shared" si="518"/>
        <v>13306379.31034483</v>
      </c>
      <c r="V903" s="502">
        <f t="shared" si="518"/>
        <v>15039224.137931036</v>
      </c>
      <c r="W903" s="502">
        <f t="shared" si="518"/>
        <v>16381206.896551725</v>
      </c>
      <c r="X903" s="502">
        <f t="shared" si="518"/>
        <v>14129913.793103449</v>
      </c>
      <c r="Y903" s="502">
        <f t="shared" si="518"/>
        <v>17277413.793103449</v>
      </c>
      <c r="Z903" s="502">
        <f t="shared" si="518"/>
        <v>15400086.206896555</v>
      </c>
      <c r="AA903" s="502">
        <f t="shared" si="518"/>
        <v>16368706.896551725</v>
      </c>
      <c r="AB903" s="502">
        <f t="shared" si="518"/>
        <v>17054655.172413792</v>
      </c>
      <c r="AC903" s="502">
        <f t="shared" si="518"/>
        <v>16255517.241379311</v>
      </c>
      <c r="AD903" s="502">
        <f t="shared" si="518"/>
        <v>14251551.724137932</v>
      </c>
      <c r="AE903" s="502">
        <f t="shared" si="518"/>
        <v>14615086.206896551</v>
      </c>
      <c r="AF903" s="502">
        <f t="shared" si="518"/>
        <v>16608879.31034483</v>
      </c>
      <c r="AG903" s="502">
        <f t="shared" si="518"/>
        <v>16053879.310344828</v>
      </c>
      <c r="AH903" s="502">
        <f t="shared" si="511"/>
        <v>521442121.84965515</v>
      </c>
      <c r="AI903" s="502">
        <f t="shared" si="512"/>
        <v>16820713.608053394</v>
      </c>
      <c r="AJ903"/>
      <c r="AK903"/>
      <c r="AL903"/>
      <c r="AM903"/>
      <c r="AN903"/>
      <c r="AO903"/>
      <c r="AP903"/>
      <c r="AQ903"/>
      <c r="AR903"/>
      <c r="AS903"/>
      <c r="AT903"/>
      <c r="AU903"/>
      <c r="AV903"/>
      <c r="AW903"/>
      <c r="AX903"/>
    </row>
    <row r="904" spans="1:55" x14ac:dyDescent="0.25">
      <c r="K904"/>
      <c r="L904"/>
      <c r="M904"/>
      <c r="N904"/>
      <c r="O904"/>
      <c r="P904"/>
      <c r="Q904"/>
      <c r="R904"/>
      <c r="S904"/>
      <c r="T904"/>
      <c r="U904"/>
      <c r="V904"/>
      <c r="W904"/>
      <c r="X904"/>
      <c r="Y904"/>
      <c r="Z904"/>
      <c r="AA904"/>
      <c r="AB904"/>
      <c r="AC904"/>
      <c r="AD904"/>
      <c r="AE904"/>
      <c r="AF904"/>
      <c r="AG904"/>
      <c r="AH904"/>
      <c r="AI904"/>
      <c r="AJ904"/>
      <c r="AY904" s="465"/>
      <c r="AZ904" s="465"/>
      <c r="BA904" s="465"/>
      <c r="BB904" s="465"/>
      <c r="BC904" s="465"/>
    </row>
    <row r="905" spans="1:55" x14ac:dyDescent="0.25">
      <c r="K905"/>
      <c r="L905"/>
      <c r="M905"/>
      <c r="N905"/>
      <c r="O905"/>
      <c r="P905"/>
      <c r="Q905"/>
      <c r="R905"/>
      <c r="S905"/>
      <c r="T905"/>
      <c r="U905"/>
      <c r="V905"/>
      <c r="W905"/>
      <c r="X905"/>
      <c r="Y905"/>
      <c r="Z905"/>
      <c r="AA905"/>
      <c r="AB905"/>
      <c r="AC905"/>
      <c r="AD905"/>
      <c r="AE905"/>
      <c r="AF905"/>
      <c r="AY905" s="465"/>
    </row>
    <row r="906" spans="1:55" x14ac:dyDescent="0.25">
      <c r="K906"/>
      <c r="L906"/>
      <c r="M906"/>
      <c r="N906"/>
      <c r="O906"/>
      <c r="P906"/>
      <c r="Q906"/>
      <c r="R906"/>
      <c r="S906"/>
      <c r="T906"/>
      <c r="U906"/>
      <c r="V906"/>
      <c r="W906"/>
      <c r="X906"/>
      <c r="Y906"/>
      <c r="Z906"/>
      <c r="AA906"/>
      <c r="AB906"/>
      <c r="AC906"/>
      <c r="AD906"/>
      <c r="AE906"/>
      <c r="AF906"/>
      <c r="AY906" s="465"/>
    </row>
    <row r="907" spans="1:55" x14ac:dyDescent="0.25">
      <c r="K907"/>
      <c r="L907"/>
      <c r="M907"/>
      <c r="N907"/>
      <c r="O907"/>
      <c r="P907"/>
      <c r="Q907"/>
      <c r="R907"/>
      <c r="S907"/>
      <c r="T907"/>
      <c r="U907"/>
      <c r="V907"/>
      <c r="W907"/>
      <c r="X907"/>
      <c r="Y907"/>
      <c r="Z907"/>
      <c r="AA907"/>
      <c r="AB907"/>
      <c r="AC907"/>
      <c r="AD907"/>
      <c r="AE907"/>
      <c r="AF907"/>
      <c r="AY907" s="465"/>
    </row>
    <row r="908" spans="1:55" x14ac:dyDescent="0.25">
      <c r="K908"/>
      <c r="L908"/>
      <c r="M908"/>
      <c r="N908"/>
      <c r="O908"/>
      <c r="P908"/>
      <c r="Q908"/>
      <c r="R908"/>
      <c r="S908"/>
      <c r="T908"/>
      <c r="U908"/>
      <c r="V908"/>
      <c r="W908"/>
      <c r="X908"/>
      <c r="Y908"/>
      <c r="Z908"/>
      <c r="AA908"/>
      <c r="AB908"/>
      <c r="AC908"/>
      <c r="AD908"/>
      <c r="AE908"/>
      <c r="AF908"/>
      <c r="AY908" s="465"/>
    </row>
    <row r="909" spans="1:55" x14ac:dyDescent="0.25">
      <c r="K909"/>
      <c r="L909"/>
      <c r="M909"/>
      <c r="N909"/>
      <c r="O909"/>
      <c r="P909"/>
      <c r="Q909"/>
      <c r="R909"/>
      <c r="S909"/>
      <c r="T909"/>
      <c r="U909"/>
      <c r="V909"/>
      <c r="W909"/>
      <c r="X909"/>
      <c r="Y909"/>
      <c r="Z909"/>
      <c r="AA909"/>
      <c r="AB909"/>
      <c r="AC909"/>
      <c r="AD909"/>
      <c r="AE909"/>
      <c r="AF909"/>
      <c r="AY909" s="465"/>
    </row>
    <row r="910" spans="1:55" x14ac:dyDescent="0.25">
      <c r="K910"/>
      <c r="L910"/>
      <c r="M910"/>
      <c r="N910"/>
      <c r="O910"/>
      <c r="P910"/>
      <c r="Q910"/>
      <c r="R910"/>
      <c r="S910"/>
      <c r="T910"/>
      <c r="U910"/>
      <c r="V910"/>
      <c r="W910"/>
      <c r="X910"/>
      <c r="Y910"/>
      <c r="Z910"/>
      <c r="AA910"/>
      <c r="AB910"/>
      <c r="AC910"/>
      <c r="AD910"/>
      <c r="AE910"/>
      <c r="AF910"/>
      <c r="AY910" s="465"/>
    </row>
    <row r="911" spans="1:55" x14ac:dyDescent="0.25">
      <c r="K911"/>
      <c r="L911"/>
      <c r="M911"/>
      <c r="N911"/>
      <c r="O911"/>
      <c r="P911"/>
      <c r="Q911"/>
      <c r="R911"/>
      <c r="S911"/>
      <c r="T911"/>
      <c r="U911"/>
      <c r="V911"/>
      <c r="W911"/>
      <c r="X911"/>
      <c r="Y911"/>
      <c r="Z911"/>
      <c r="AA911"/>
      <c r="AB911"/>
      <c r="AC911"/>
      <c r="AD911"/>
      <c r="AE911"/>
      <c r="AF911"/>
      <c r="AY911" s="465"/>
    </row>
    <row r="912" spans="1:55" x14ac:dyDescent="0.25">
      <c r="K912"/>
      <c r="L912"/>
      <c r="M912"/>
      <c r="N912"/>
      <c r="O912"/>
      <c r="P912"/>
      <c r="Q912"/>
      <c r="R912"/>
      <c r="S912"/>
      <c r="T912"/>
      <c r="U912"/>
      <c r="V912"/>
      <c r="W912"/>
      <c r="X912"/>
      <c r="Y912"/>
      <c r="Z912"/>
      <c r="AA912"/>
      <c r="AB912"/>
      <c r="AC912"/>
      <c r="AD912"/>
      <c r="AE912"/>
      <c r="AF912"/>
      <c r="AY912" s="465"/>
    </row>
    <row r="913" spans="11:51" x14ac:dyDescent="0.25">
      <c r="K913"/>
      <c r="L913"/>
      <c r="M913"/>
      <c r="N913"/>
      <c r="O913"/>
      <c r="P913"/>
      <c r="Q913"/>
      <c r="R913"/>
      <c r="S913"/>
      <c r="T913"/>
      <c r="U913"/>
      <c r="V913"/>
      <c r="W913"/>
      <c r="X913"/>
      <c r="Y913"/>
      <c r="Z913"/>
      <c r="AA913"/>
      <c r="AB913"/>
      <c r="AC913"/>
      <c r="AD913"/>
      <c r="AE913"/>
      <c r="AF913"/>
      <c r="AY913" s="465"/>
    </row>
    <row r="914" spans="11:51" x14ac:dyDescent="0.25">
      <c r="K914"/>
      <c r="L914"/>
      <c r="M914"/>
      <c r="N914"/>
      <c r="O914"/>
      <c r="P914"/>
      <c r="Q914"/>
      <c r="R914"/>
      <c r="S914"/>
      <c r="T914"/>
      <c r="U914"/>
      <c r="V914"/>
      <c r="W914"/>
      <c r="X914"/>
      <c r="Y914"/>
      <c r="Z914"/>
      <c r="AA914"/>
      <c r="AB914"/>
      <c r="AC914"/>
      <c r="AD914"/>
      <c r="AE914"/>
      <c r="AF914"/>
      <c r="AY914" s="465"/>
    </row>
    <row r="915" spans="11:51" x14ac:dyDescent="0.25">
      <c r="K915"/>
      <c r="L915"/>
      <c r="M915"/>
      <c r="N915"/>
      <c r="O915"/>
      <c r="P915"/>
      <c r="Q915"/>
      <c r="R915"/>
      <c r="S915"/>
      <c r="T915"/>
      <c r="U915"/>
      <c r="V915"/>
      <c r="W915"/>
      <c r="X915"/>
      <c r="Y915"/>
      <c r="Z915"/>
      <c r="AA915"/>
      <c r="AB915"/>
      <c r="AC915"/>
      <c r="AD915"/>
      <c r="AE915"/>
      <c r="AF915"/>
      <c r="AY915" s="465"/>
    </row>
    <row r="916" spans="11:51" x14ac:dyDescent="0.25">
      <c r="K916"/>
      <c r="L916"/>
      <c r="M916"/>
      <c r="N916"/>
      <c r="O916"/>
      <c r="P916"/>
      <c r="Q916"/>
      <c r="R916"/>
      <c r="S916"/>
      <c r="T916"/>
      <c r="U916"/>
      <c r="V916"/>
      <c r="W916"/>
      <c r="X916"/>
      <c r="Y916"/>
      <c r="Z916"/>
      <c r="AA916"/>
      <c r="AB916"/>
      <c r="AC916"/>
      <c r="AD916"/>
      <c r="AE916"/>
      <c r="AF916"/>
      <c r="AY916" s="465"/>
    </row>
  </sheetData>
  <sheetProtection selectLockedCells="1" selectUnlockedCells="1"/>
  <mergeCells count="32">
    <mergeCell ref="B730:I730"/>
    <mergeCell ref="B703:I703"/>
    <mergeCell ref="B676:I676"/>
    <mergeCell ref="B649:I649"/>
    <mergeCell ref="B622:I622"/>
    <mergeCell ref="B568:I568"/>
    <mergeCell ref="B541:I541"/>
    <mergeCell ref="B136:I136"/>
    <mergeCell ref="B244:I244"/>
    <mergeCell ref="B433:I433"/>
    <mergeCell ref="B406:I406"/>
    <mergeCell ref="B352:I352"/>
    <mergeCell ref="B325:I325"/>
    <mergeCell ref="B298:I298"/>
    <mergeCell ref="B460:I460"/>
    <mergeCell ref="B271:I271"/>
    <mergeCell ref="B838:I838"/>
    <mergeCell ref="B811:I811"/>
    <mergeCell ref="B784:I784"/>
    <mergeCell ref="B757:I757"/>
    <mergeCell ref="B1:I1"/>
    <mergeCell ref="B28:I28"/>
    <mergeCell ref="B55:I55"/>
    <mergeCell ref="B82:I82"/>
    <mergeCell ref="B109:I109"/>
    <mergeCell ref="B595:I595"/>
    <mergeCell ref="B163:I163"/>
    <mergeCell ref="B379:I379"/>
    <mergeCell ref="B514:I514"/>
    <mergeCell ref="B487:I487"/>
    <mergeCell ref="B217:I217"/>
    <mergeCell ref="B190:I190"/>
  </mergeCells>
  <pageMargins left="0.7" right="0.7" top="0.75" bottom="0.75" header="0.51180555555555551" footer="0.51180555555555551"/>
  <pageSetup paperSize="9" firstPageNumber="0"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enableFormatConditionsCalculation="0"/>
  <dimension ref="A1:AE175"/>
  <sheetViews>
    <sheetView topLeftCell="B1" zoomScale="75" zoomScaleNormal="75" zoomScalePageLayoutView="75" workbookViewId="0">
      <selection activeCell="J24" sqref="J24"/>
    </sheetView>
  </sheetViews>
  <sheetFormatPr baseColWidth="10" defaultRowHeight="15" x14ac:dyDescent="0.25"/>
  <cols>
    <col min="1" max="1" width="35.140625" customWidth="1"/>
    <col min="2" max="2" width="16.28515625" customWidth="1"/>
    <col min="3" max="3" width="16" customWidth="1"/>
    <col min="4" max="4" width="18.42578125" customWidth="1"/>
    <col min="5" max="5" width="19.7109375" customWidth="1"/>
    <col min="6" max="6" width="16.85546875" customWidth="1"/>
    <col min="7" max="7" width="18.140625" customWidth="1"/>
    <col min="8" max="8" width="17.85546875" customWidth="1"/>
    <col min="9" max="9" width="16" customWidth="1"/>
    <col min="10" max="10" width="18.140625" customWidth="1"/>
    <col min="11" max="16" width="18.140625" style="465" customWidth="1"/>
    <col min="17" max="29" width="16.42578125" style="465" customWidth="1"/>
    <col min="30" max="31" width="15.42578125" customWidth="1"/>
    <col min="32" max="32" width="21.42578125" customWidth="1"/>
  </cols>
  <sheetData>
    <row r="1" spans="1:30" ht="27" thickBot="1" x14ac:dyDescent="0.3">
      <c r="A1" s="85"/>
      <c r="B1" s="1002" t="s">
        <v>353</v>
      </c>
      <c r="C1" s="1002"/>
      <c r="D1" s="1002"/>
      <c r="E1" s="1002"/>
      <c r="F1" s="1002"/>
      <c r="G1" s="1002"/>
      <c r="H1" s="1002"/>
      <c r="I1" s="1002"/>
      <c r="J1" s="85"/>
      <c r="K1"/>
      <c r="AD1" s="465"/>
    </row>
    <row r="2" spans="1:30" ht="15.75" x14ac:dyDescent="0.25">
      <c r="A2" s="614" t="s">
        <v>2</v>
      </c>
      <c r="B2" s="658" t="s">
        <v>193</v>
      </c>
      <c r="C2" s="616" t="s">
        <v>194</v>
      </c>
      <c r="D2" s="617" t="s">
        <v>195</v>
      </c>
      <c r="E2" s="616" t="s">
        <v>196</v>
      </c>
      <c r="F2" s="616" t="s">
        <v>197</v>
      </c>
      <c r="G2" s="617" t="s">
        <v>198</v>
      </c>
      <c r="H2" s="617" t="s">
        <v>199</v>
      </c>
      <c r="I2" s="618" t="s">
        <v>10</v>
      </c>
      <c r="J2" s="619" t="s">
        <v>77</v>
      </c>
      <c r="K2"/>
      <c r="AD2" s="465"/>
    </row>
    <row r="3" spans="1:30" x14ac:dyDescent="0.25">
      <c r="A3" s="620" t="s">
        <v>11</v>
      </c>
      <c r="B3" s="674"/>
      <c r="C3" s="672"/>
      <c r="D3" s="673"/>
      <c r="E3" s="673"/>
      <c r="F3" s="673"/>
      <c r="G3" s="673"/>
      <c r="H3" s="673"/>
      <c r="I3" s="673">
        <f t="shared" ref="I3:I8" si="0">SUM(B3:H3)</f>
        <v>0</v>
      </c>
      <c r="J3" s="621">
        <f t="shared" ref="J3:J9" si="1">+$I3/7</f>
        <v>0</v>
      </c>
      <c r="K3"/>
      <c r="AD3" s="465"/>
    </row>
    <row r="4" spans="1:30" x14ac:dyDescent="0.25">
      <c r="A4" s="622" t="s">
        <v>12</v>
      </c>
      <c r="B4" s="669"/>
      <c r="C4" s="670"/>
      <c r="D4" s="671"/>
      <c r="E4" s="675"/>
      <c r="F4" s="671"/>
      <c r="G4" s="671"/>
      <c r="H4" s="671"/>
      <c r="I4" s="671">
        <f t="shared" si="0"/>
        <v>0</v>
      </c>
      <c r="J4" s="623">
        <f t="shared" si="1"/>
        <v>0</v>
      </c>
      <c r="K4"/>
      <c r="AD4" s="465"/>
    </row>
    <row r="5" spans="1:30" x14ac:dyDescent="0.25">
      <c r="A5" s="622" t="s">
        <v>13</v>
      </c>
      <c r="B5" s="659"/>
      <c r="C5" s="528"/>
      <c r="D5" s="13"/>
      <c r="E5" s="13"/>
      <c r="F5" s="13"/>
      <c r="G5" s="13"/>
      <c r="H5" s="13"/>
      <c r="I5" s="13">
        <f t="shared" si="0"/>
        <v>0</v>
      </c>
      <c r="J5" s="623">
        <f t="shared" si="1"/>
        <v>0</v>
      </c>
      <c r="K5"/>
      <c r="AD5" s="465"/>
    </row>
    <row r="6" spans="1:30" x14ac:dyDescent="0.25">
      <c r="A6" s="622" t="s">
        <v>14</v>
      </c>
      <c r="B6" s="659"/>
      <c r="C6" s="528"/>
      <c r="D6" s="13"/>
      <c r="E6" s="13"/>
      <c r="F6" s="13"/>
      <c r="G6" s="13"/>
      <c r="H6" s="13"/>
      <c r="I6" s="13">
        <f t="shared" si="0"/>
        <v>0</v>
      </c>
      <c r="J6" s="623">
        <f t="shared" si="1"/>
        <v>0</v>
      </c>
      <c r="K6"/>
      <c r="AD6" s="465"/>
    </row>
    <row r="7" spans="1:30" x14ac:dyDescent="0.25">
      <c r="A7" s="622" t="s">
        <v>15</v>
      </c>
      <c r="B7" s="659"/>
      <c r="C7" s="528"/>
      <c r="D7" s="13"/>
      <c r="E7" s="13"/>
      <c r="F7" s="13"/>
      <c r="G7" s="13"/>
      <c r="H7" s="13"/>
      <c r="I7" s="13">
        <f t="shared" si="0"/>
        <v>0</v>
      </c>
      <c r="J7" s="623">
        <f t="shared" si="1"/>
        <v>0</v>
      </c>
      <c r="K7"/>
      <c r="AD7" s="465"/>
    </row>
    <row r="8" spans="1:30" x14ac:dyDescent="0.25">
      <c r="A8" s="622" t="s">
        <v>16</v>
      </c>
      <c r="B8" s="659"/>
      <c r="C8" s="528"/>
      <c r="D8" s="13"/>
      <c r="E8" s="13"/>
      <c r="F8" s="13"/>
      <c r="G8" s="13"/>
      <c r="H8" s="13"/>
      <c r="I8" s="13">
        <f t="shared" si="0"/>
        <v>0</v>
      </c>
      <c r="J8" s="623">
        <f t="shared" si="1"/>
        <v>0</v>
      </c>
      <c r="K8"/>
      <c r="AD8" s="465"/>
    </row>
    <row r="9" spans="1:30" x14ac:dyDescent="0.25">
      <c r="A9" s="624" t="s">
        <v>17</v>
      </c>
      <c r="B9" s="660">
        <f t="shared" ref="B9:I9" si="2">SUM(B4:B8)</f>
        <v>0</v>
      </c>
      <c r="C9" s="529">
        <f t="shared" si="2"/>
        <v>0</v>
      </c>
      <c r="D9" s="529">
        <f t="shared" si="2"/>
        <v>0</v>
      </c>
      <c r="E9" s="529">
        <f t="shared" si="2"/>
        <v>0</v>
      </c>
      <c r="F9" s="79">
        <f t="shared" si="2"/>
        <v>0</v>
      </c>
      <c r="G9" s="79">
        <f t="shared" si="2"/>
        <v>0</v>
      </c>
      <c r="H9" s="79">
        <f t="shared" si="2"/>
        <v>0</v>
      </c>
      <c r="I9" s="79">
        <f t="shared" si="2"/>
        <v>0</v>
      </c>
      <c r="J9" s="625">
        <f t="shared" si="1"/>
        <v>0</v>
      </c>
      <c r="K9"/>
      <c r="AD9" s="465"/>
    </row>
    <row r="10" spans="1:30" x14ac:dyDescent="0.25">
      <c r="A10" s="622" t="s">
        <v>18</v>
      </c>
      <c r="B10" s="661"/>
      <c r="C10" s="19"/>
      <c r="D10" s="19"/>
      <c r="E10" s="19"/>
      <c r="F10" s="19"/>
      <c r="G10" s="19"/>
      <c r="H10" s="19"/>
      <c r="I10" s="19" t="e">
        <f>I17/I22</f>
        <v>#DIV/0!</v>
      </c>
      <c r="J10" s="626" t="e">
        <f>J17/J22</f>
        <v>#DIV/0!</v>
      </c>
      <c r="K10"/>
      <c r="AD10" s="465"/>
    </row>
    <row r="11" spans="1:30" x14ac:dyDescent="0.25">
      <c r="A11" s="622" t="s">
        <v>19</v>
      </c>
      <c r="B11" s="661"/>
      <c r="C11" s="19"/>
      <c r="D11" s="19"/>
      <c r="E11" s="19"/>
      <c r="F11" s="19"/>
      <c r="G11" s="19"/>
      <c r="H11" s="19"/>
      <c r="I11" s="19" t="e">
        <f>I18/I22</f>
        <v>#DIV/0!</v>
      </c>
      <c r="J11" s="626" t="e">
        <f>J18/J22</f>
        <v>#DIV/0!</v>
      </c>
      <c r="K11"/>
      <c r="AD11" s="465"/>
    </row>
    <row r="12" spans="1:30" x14ac:dyDescent="0.25">
      <c r="A12" s="622" t="s">
        <v>20</v>
      </c>
      <c r="B12" s="661"/>
      <c r="C12" s="19"/>
      <c r="D12" s="19"/>
      <c r="E12" s="19"/>
      <c r="F12" s="19"/>
      <c r="G12" s="19"/>
      <c r="H12" s="19"/>
      <c r="I12" s="19" t="e">
        <f>I19/I22</f>
        <v>#DIV/0!</v>
      </c>
      <c r="J12" s="626" t="e">
        <f>J19/J22</f>
        <v>#DIV/0!</v>
      </c>
      <c r="K12"/>
      <c r="AD12" s="465"/>
    </row>
    <row r="13" spans="1:30" x14ac:dyDescent="0.25">
      <c r="A13" s="622" t="s">
        <v>21</v>
      </c>
      <c r="B13" s="661"/>
      <c r="C13" s="19"/>
      <c r="D13" s="19"/>
      <c r="E13" s="19"/>
      <c r="F13" s="19"/>
      <c r="G13" s="19"/>
      <c r="H13" s="19"/>
      <c r="I13" s="19" t="e">
        <f>I20/I22</f>
        <v>#DIV/0!</v>
      </c>
      <c r="J13" s="626" t="e">
        <f>J20/J22</f>
        <v>#DIV/0!</v>
      </c>
      <c r="K13"/>
      <c r="AD13" s="465"/>
    </row>
    <row r="14" spans="1:30" x14ac:dyDescent="0.25">
      <c r="A14" s="622" t="s">
        <v>22</v>
      </c>
      <c r="B14" s="661"/>
      <c r="C14" s="19"/>
      <c r="D14" s="19"/>
      <c r="E14" s="19"/>
      <c r="F14" s="19"/>
      <c r="G14" s="19"/>
      <c r="H14" s="19"/>
      <c r="I14" s="19" t="e">
        <f>I21/I22</f>
        <v>#DIV/0!</v>
      </c>
      <c r="J14" s="626" t="e">
        <f>J21/J22</f>
        <v>#DIV/0!</v>
      </c>
      <c r="K14"/>
      <c r="AD14" s="465"/>
    </row>
    <row r="15" spans="1:30" x14ac:dyDescent="0.25">
      <c r="A15" s="627" t="s">
        <v>23</v>
      </c>
      <c r="B15" s="662" t="e">
        <f t="shared" ref="B15:J15" si="3">B26/B9</f>
        <v>#DIV/0!</v>
      </c>
      <c r="C15" s="131" t="e">
        <f t="shared" si="3"/>
        <v>#DIV/0!</v>
      </c>
      <c r="D15" s="131" t="e">
        <f t="shared" si="3"/>
        <v>#DIV/0!</v>
      </c>
      <c r="E15" s="131" t="e">
        <f t="shared" si="3"/>
        <v>#DIV/0!</v>
      </c>
      <c r="F15" s="131" t="e">
        <f t="shared" si="3"/>
        <v>#DIV/0!</v>
      </c>
      <c r="G15" s="131" t="e">
        <f t="shared" si="3"/>
        <v>#DIV/0!</v>
      </c>
      <c r="H15" s="131" t="e">
        <f t="shared" si="3"/>
        <v>#DIV/0!</v>
      </c>
      <c r="I15" s="131" t="e">
        <f t="shared" si="3"/>
        <v>#DIV/0!</v>
      </c>
      <c r="J15" s="628" t="e">
        <f t="shared" si="3"/>
        <v>#DIV/0!</v>
      </c>
      <c r="K15"/>
      <c r="AD15" s="465"/>
    </row>
    <row r="16" spans="1:30" x14ac:dyDescent="0.25">
      <c r="A16" s="627" t="s">
        <v>24</v>
      </c>
      <c r="B16" s="662" t="e">
        <f t="shared" ref="B16:J16" si="4">B26/B3</f>
        <v>#DIV/0!</v>
      </c>
      <c r="C16" s="131" t="e">
        <f t="shared" si="4"/>
        <v>#DIV/0!</v>
      </c>
      <c r="D16" s="131" t="e">
        <f t="shared" si="4"/>
        <v>#DIV/0!</v>
      </c>
      <c r="E16" s="131" t="e">
        <f t="shared" si="4"/>
        <v>#DIV/0!</v>
      </c>
      <c r="F16" s="131" t="e">
        <f t="shared" si="4"/>
        <v>#DIV/0!</v>
      </c>
      <c r="G16" s="131" t="e">
        <f t="shared" si="4"/>
        <v>#DIV/0!</v>
      </c>
      <c r="H16" s="131" t="e">
        <f t="shared" si="4"/>
        <v>#DIV/0!</v>
      </c>
      <c r="I16" s="131" t="e">
        <f t="shared" si="4"/>
        <v>#DIV/0!</v>
      </c>
      <c r="J16" s="628" t="e">
        <f t="shared" si="4"/>
        <v>#DIV/0!</v>
      </c>
      <c r="K16"/>
      <c r="AD16" s="465"/>
    </row>
    <row r="17" spans="1:30" x14ac:dyDescent="0.25">
      <c r="A17" s="622" t="s">
        <v>25</v>
      </c>
      <c r="B17" s="663">
        <f t="shared" ref="B17:H17" si="5">B22*B10</f>
        <v>0</v>
      </c>
      <c r="C17" s="133">
        <f t="shared" si="5"/>
        <v>0</v>
      </c>
      <c r="D17" s="133">
        <f t="shared" si="5"/>
        <v>0</v>
      </c>
      <c r="E17" s="133">
        <f t="shared" si="5"/>
        <v>0</v>
      </c>
      <c r="F17" s="133">
        <f t="shared" si="5"/>
        <v>0</v>
      </c>
      <c r="G17" s="133">
        <f t="shared" si="5"/>
        <v>0</v>
      </c>
      <c r="H17" s="133">
        <f t="shared" si="5"/>
        <v>0</v>
      </c>
      <c r="I17" s="133">
        <f>SUM(B17:H17)</f>
        <v>0</v>
      </c>
      <c r="J17" s="629">
        <f t="shared" ref="J17:J22" si="6">+$I17/7</f>
        <v>0</v>
      </c>
      <c r="K17"/>
      <c r="AD17" s="465"/>
    </row>
    <row r="18" spans="1:30" x14ac:dyDescent="0.25">
      <c r="A18" s="622" t="s">
        <v>26</v>
      </c>
      <c r="B18" s="663">
        <f t="shared" ref="B18:H18" si="7">B22*B11</f>
        <v>0</v>
      </c>
      <c r="C18" s="133">
        <f t="shared" si="7"/>
        <v>0</v>
      </c>
      <c r="D18" s="133">
        <f t="shared" si="7"/>
        <v>0</v>
      </c>
      <c r="E18" s="133">
        <f t="shared" si="7"/>
        <v>0</v>
      </c>
      <c r="F18" s="133">
        <f t="shared" si="7"/>
        <v>0</v>
      </c>
      <c r="G18" s="133">
        <f t="shared" si="7"/>
        <v>0</v>
      </c>
      <c r="H18" s="133">
        <f t="shared" si="7"/>
        <v>0</v>
      </c>
      <c r="I18" s="133">
        <f>SUM(B18:H18)</f>
        <v>0</v>
      </c>
      <c r="J18" s="629">
        <f t="shared" si="6"/>
        <v>0</v>
      </c>
      <c r="K18"/>
      <c r="AD18" s="465"/>
    </row>
    <row r="19" spans="1:30" x14ac:dyDescent="0.25">
      <c r="A19" s="622" t="s">
        <v>27</v>
      </c>
      <c r="B19" s="663">
        <f t="shared" ref="B19:H19" si="8">B22*B12</f>
        <v>0</v>
      </c>
      <c r="C19" s="133">
        <f t="shared" si="8"/>
        <v>0</v>
      </c>
      <c r="D19" s="133">
        <f t="shared" si="8"/>
        <v>0</v>
      </c>
      <c r="E19" s="133">
        <f t="shared" si="8"/>
        <v>0</v>
      </c>
      <c r="F19" s="133">
        <f t="shared" si="8"/>
        <v>0</v>
      </c>
      <c r="G19" s="133">
        <f t="shared" si="8"/>
        <v>0</v>
      </c>
      <c r="H19" s="133">
        <f t="shared" si="8"/>
        <v>0</v>
      </c>
      <c r="I19" s="133">
        <f>SUM(B19:H19)</f>
        <v>0</v>
      </c>
      <c r="J19" s="629">
        <f t="shared" si="6"/>
        <v>0</v>
      </c>
      <c r="K19"/>
      <c r="AD19" s="465"/>
    </row>
    <row r="20" spans="1:30" x14ac:dyDescent="0.25">
      <c r="A20" s="622" t="s">
        <v>28</v>
      </c>
      <c r="B20" s="663">
        <f t="shared" ref="B20:H20" si="9">B22*B13</f>
        <v>0</v>
      </c>
      <c r="C20" s="133">
        <f t="shared" si="9"/>
        <v>0</v>
      </c>
      <c r="D20" s="133">
        <f t="shared" si="9"/>
        <v>0</v>
      </c>
      <c r="E20" s="133">
        <f t="shared" si="9"/>
        <v>0</v>
      </c>
      <c r="F20" s="133">
        <f t="shared" si="9"/>
        <v>0</v>
      </c>
      <c r="G20" s="133">
        <f t="shared" si="9"/>
        <v>0</v>
      </c>
      <c r="H20" s="133">
        <f t="shared" si="9"/>
        <v>0</v>
      </c>
      <c r="I20" s="133">
        <f>SUM(B20:H20)</f>
        <v>0</v>
      </c>
      <c r="J20" s="629">
        <f t="shared" si="6"/>
        <v>0</v>
      </c>
      <c r="K20"/>
      <c r="AD20" s="465"/>
    </row>
    <row r="21" spans="1:30" x14ac:dyDescent="0.25">
      <c r="A21" s="622" t="s">
        <v>29</v>
      </c>
      <c r="B21" s="663">
        <f t="shared" ref="B21:H21" si="10">B22*B14</f>
        <v>0</v>
      </c>
      <c r="C21" s="133">
        <f t="shared" si="10"/>
        <v>0</v>
      </c>
      <c r="D21" s="133">
        <f t="shared" si="10"/>
        <v>0</v>
      </c>
      <c r="E21" s="133">
        <f t="shared" si="10"/>
        <v>0</v>
      </c>
      <c r="F21" s="133">
        <f t="shared" si="10"/>
        <v>0</v>
      </c>
      <c r="G21" s="133">
        <f t="shared" si="10"/>
        <v>0</v>
      </c>
      <c r="H21" s="133">
        <f t="shared" si="10"/>
        <v>0</v>
      </c>
      <c r="I21" s="133">
        <f>SUM(B21:H21)</f>
        <v>0</v>
      </c>
      <c r="J21" s="629">
        <f t="shared" si="6"/>
        <v>0</v>
      </c>
      <c r="K21"/>
      <c r="AD21" s="465"/>
    </row>
    <row r="22" spans="1:30" x14ac:dyDescent="0.25">
      <c r="A22" s="630" t="s">
        <v>30</v>
      </c>
      <c r="B22" s="664">
        <f>(2/1.16)-B23</f>
        <v>1.7241379310344829</v>
      </c>
      <c r="C22" s="136">
        <f t="shared" ref="C22:H22" si="11">(2/1.16)-C23</f>
        <v>1.7241379310344829</v>
      </c>
      <c r="D22" s="136">
        <f t="shared" si="11"/>
        <v>1.7241379310344829</v>
      </c>
      <c r="E22" s="136">
        <f t="shared" si="11"/>
        <v>1.7241379310344829</v>
      </c>
      <c r="F22" s="136">
        <f t="shared" si="11"/>
        <v>1.7241379310344829</v>
      </c>
      <c r="G22" s="136">
        <f t="shared" si="11"/>
        <v>1.7241379310344829</v>
      </c>
      <c r="H22" s="136">
        <f t="shared" si="11"/>
        <v>1.7241379310344829</v>
      </c>
      <c r="I22" s="136">
        <f>SUM(I17:I21)</f>
        <v>0</v>
      </c>
      <c r="J22" s="631">
        <f t="shared" si="6"/>
        <v>0</v>
      </c>
      <c r="K22"/>
      <c r="AD22" s="465"/>
    </row>
    <row r="23" spans="1:30" x14ac:dyDescent="0.25">
      <c r="A23" s="622" t="s">
        <v>31</v>
      </c>
      <c r="B23" s="665">
        <f>2414*B4</f>
        <v>0</v>
      </c>
      <c r="C23" s="139">
        <f t="shared" ref="C23:H23" si="12">2414*C4</f>
        <v>0</v>
      </c>
      <c r="D23" s="139">
        <f t="shared" si="12"/>
        <v>0</v>
      </c>
      <c r="E23" s="139">
        <f t="shared" si="12"/>
        <v>0</v>
      </c>
      <c r="F23" s="139">
        <f t="shared" si="12"/>
        <v>0</v>
      </c>
      <c r="G23" s="139">
        <f t="shared" si="12"/>
        <v>0</v>
      </c>
      <c r="H23" s="139">
        <f t="shared" si="12"/>
        <v>0</v>
      </c>
      <c r="I23" s="139">
        <f>I4*2414</f>
        <v>0</v>
      </c>
      <c r="J23" s="632">
        <f>2414*J4</f>
        <v>0</v>
      </c>
      <c r="K23"/>
      <c r="AD23" s="465"/>
    </row>
    <row r="24" spans="1:30" x14ac:dyDescent="0.25">
      <c r="A24" s="633" t="s">
        <v>32</v>
      </c>
      <c r="B24" s="666">
        <f t="shared" ref="B24:J24" si="13">B22+B23</f>
        <v>1.7241379310344829</v>
      </c>
      <c r="C24" s="40">
        <f t="shared" si="13"/>
        <v>1.7241379310344829</v>
      </c>
      <c r="D24" s="40">
        <f t="shared" si="13"/>
        <v>1.7241379310344829</v>
      </c>
      <c r="E24" s="40">
        <f t="shared" si="13"/>
        <v>1.7241379310344829</v>
      </c>
      <c r="F24" s="40">
        <f t="shared" si="13"/>
        <v>1.7241379310344829</v>
      </c>
      <c r="G24" s="40">
        <f t="shared" si="13"/>
        <v>1.7241379310344829</v>
      </c>
      <c r="H24" s="40">
        <f t="shared" si="13"/>
        <v>1.7241379310344829</v>
      </c>
      <c r="I24" s="40">
        <f t="shared" si="13"/>
        <v>0</v>
      </c>
      <c r="J24" s="634">
        <f t="shared" si="13"/>
        <v>0</v>
      </c>
      <c r="K24"/>
      <c r="AD24" s="465"/>
    </row>
    <row r="25" spans="1:30" x14ac:dyDescent="0.25">
      <c r="A25" s="622" t="s">
        <v>33</v>
      </c>
      <c r="B25" s="667">
        <f t="shared" ref="B25:J25" si="14">B24*16%</f>
        <v>0.27586206896551729</v>
      </c>
      <c r="C25" s="42">
        <f t="shared" si="14"/>
        <v>0.27586206896551729</v>
      </c>
      <c r="D25" s="42">
        <f t="shared" si="14"/>
        <v>0.27586206896551729</v>
      </c>
      <c r="E25" s="42">
        <f t="shared" si="14"/>
        <v>0.27586206896551729</v>
      </c>
      <c r="F25" s="42">
        <f t="shared" si="14"/>
        <v>0.27586206896551729</v>
      </c>
      <c r="G25" s="42">
        <f t="shared" si="14"/>
        <v>0.27586206896551729</v>
      </c>
      <c r="H25" s="42">
        <f t="shared" si="14"/>
        <v>0.27586206896551729</v>
      </c>
      <c r="I25" s="42">
        <f t="shared" si="14"/>
        <v>0</v>
      </c>
      <c r="J25" s="635">
        <f t="shared" si="14"/>
        <v>0</v>
      </c>
      <c r="K25"/>
      <c r="AD25" s="465"/>
    </row>
    <row r="26" spans="1:30" ht="15.75" thickBot="1" x14ac:dyDescent="0.3">
      <c r="A26" s="636" t="s">
        <v>34</v>
      </c>
      <c r="B26" s="668">
        <f t="shared" ref="B26:I26" si="15">B24+B25</f>
        <v>2</v>
      </c>
      <c r="C26" s="638">
        <f t="shared" si="15"/>
        <v>2</v>
      </c>
      <c r="D26" s="638">
        <f t="shared" si="15"/>
        <v>2</v>
      </c>
      <c r="E26" s="638">
        <f t="shared" si="15"/>
        <v>2</v>
      </c>
      <c r="F26" s="638">
        <f t="shared" si="15"/>
        <v>2</v>
      </c>
      <c r="G26" s="638">
        <f t="shared" si="15"/>
        <v>2</v>
      </c>
      <c r="H26" s="638">
        <f t="shared" si="15"/>
        <v>2</v>
      </c>
      <c r="I26" s="638">
        <f t="shared" si="15"/>
        <v>0</v>
      </c>
      <c r="J26" s="639">
        <f>+$I26/7</f>
        <v>0</v>
      </c>
      <c r="K26"/>
      <c r="AD26" s="465"/>
    </row>
    <row r="27" spans="1:30" ht="15.75" thickBot="1" x14ac:dyDescent="0.3">
      <c r="K27"/>
      <c r="AD27" s="465"/>
    </row>
    <row r="28" spans="1:30" ht="27" thickBot="1" x14ac:dyDescent="0.45">
      <c r="B28" s="1008" t="s">
        <v>401</v>
      </c>
      <c r="C28" s="1009"/>
      <c r="D28" s="613"/>
      <c r="E28" s="613"/>
      <c r="F28" s="613"/>
      <c r="H28" s="465"/>
      <c r="I28" s="465"/>
      <c r="J28" s="465"/>
      <c r="AA28"/>
      <c r="AB28"/>
      <c r="AC28"/>
    </row>
    <row r="29" spans="1:30" ht="15.75" x14ac:dyDescent="0.25">
      <c r="A29" s="640" t="s">
        <v>2</v>
      </c>
      <c r="B29" s="641" t="s">
        <v>353</v>
      </c>
      <c r="C29" s="641" t="s">
        <v>10</v>
      </c>
      <c r="D29" s="642" t="s">
        <v>400</v>
      </c>
      <c r="H29" s="465"/>
      <c r="I29" s="465"/>
      <c r="J29" s="465"/>
      <c r="AA29"/>
      <c r="AB29"/>
      <c r="AC29"/>
    </row>
    <row r="30" spans="1:30" x14ac:dyDescent="0.25">
      <c r="A30" s="643" t="s">
        <v>11</v>
      </c>
      <c r="B30" s="338">
        <f>+I3</f>
        <v>0</v>
      </c>
      <c r="C30" s="338">
        <f t="shared" ref="C30:C36" si="16">+SUM(B30:B30)</f>
        <v>0</v>
      </c>
      <c r="D30" s="644">
        <f t="shared" ref="D30:D36" si="17">+$C30/1</f>
        <v>0</v>
      </c>
      <c r="H30" s="465"/>
      <c r="I30" s="465"/>
      <c r="J30" s="465"/>
      <c r="AA30"/>
      <c r="AB30"/>
      <c r="AC30"/>
    </row>
    <row r="31" spans="1:30" x14ac:dyDescent="0.25">
      <c r="A31" s="645" t="s">
        <v>12</v>
      </c>
      <c r="B31" s="78">
        <f t="shared" ref="B31:B53" si="18">+I4</f>
        <v>0</v>
      </c>
      <c r="C31" s="78">
        <f t="shared" si="16"/>
        <v>0</v>
      </c>
      <c r="D31" s="623">
        <f t="shared" si="17"/>
        <v>0</v>
      </c>
      <c r="H31" s="465"/>
      <c r="I31" s="465"/>
      <c r="J31" s="465"/>
      <c r="AA31"/>
      <c r="AB31"/>
      <c r="AC31"/>
    </row>
    <row r="32" spans="1:30" x14ac:dyDescent="0.25">
      <c r="A32" s="645" t="s">
        <v>13</v>
      </c>
      <c r="B32" s="78">
        <f t="shared" si="18"/>
        <v>0</v>
      </c>
      <c r="C32" s="78">
        <f t="shared" si="16"/>
        <v>0</v>
      </c>
      <c r="D32" s="623">
        <f t="shared" si="17"/>
        <v>0</v>
      </c>
      <c r="H32" s="465"/>
      <c r="I32" s="465"/>
      <c r="J32" s="465"/>
      <c r="AA32"/>
      <c r="AB32"/>
      <c r="AC32"/>
    </row>
    <row r="33" spans="1:29" x14ac:dyDescent="0.25">
      <c r="A33" s="645" t="s">
        <v>14</v>
      </c>
      <c r="B33" s="78">
        <f t="shared" si="18"/>
        <v>0</v>
      </c>
      <c r="C33" s="78">
        <f t="shared" si="16"/>
        <v>0</v>
      </c>
      <c r="D33" s="623">
        <f t="shared" si="17"/>
        <v>0</v>
      </c>
      <c r="H33" s="465"/>
      <c r="I33" s="465"/>
      <c r="J33" s="465"/>
      <c r="AA33"/>
      <c r="AB33"/>
      <c r="AC33"/>
    </row>
    <row r="34" spans="1:29" x14ac:dyDescent="0.25">
      <c r="A34" s="645" t="s">
        <v>15</v>
      </c>
      <c r="B34" s="78">
        <f t="shared" si="18"/>
        <v>0</v>
      </c>
      <c r="C34" s="78">
        <f t="shared" si="16"/>
        <v>0</v>
      </c>
      <c r="D34" s="623">
        <f t="shared" si="17"/>
        <v>0</v>
      </c>
      <c r="H34" s="465"/>
      <c r="I34" s="465"/>
      <c r="J34" s="465"/>
      <c r="AA34"/>
      <c r="AB34"/>
      <c r="AC34"/>
    </row>
    <row r="35" spans="1:29" x14ac:dyDescent="0.25">
      <c r="A35" s="645" t="s">
        <v>16</v>
      </c>
      <c r="B35" s="78">
        <f t="shared" si="18"/>
        <v>0</v>
      </c>
      <c r="C35" s="78">
        <f t="shared" si="16"/>
        <v>0</v>
      </c>
      <c r="D35" s="623">
        <f t="shared" si="17"/>
        <v>0</v>
      </c>
      <c r="H35" s="465"/>
      <c r="I35" s="465"/>
      <c r="J35" s="465"/>
      <c r="AA35"/>
      <c r="AB35"/>
      <c r="AC35"/>
    </row>
    <row r="36" spans="1:29" x14ac:dyDescent="0.25">
      <c r="A36" s="646" t="s">
        <v>17</v>
      </c>
      <c r="B36" s="192">
        <f t="shared" si="18"/>
        <v>0</v>
      </c>
      <c r="C36" s="278">
        <f t="shared" si="16"/>
        <v>0</v>
      </c>
      <c r="D36" s="647">
        <f t="shared" si="17"/>
        <v>0</v>
      </c>
      <c r="H36" s="465"/>
      <c r="I36" s="465"/>
      <c r="J36" s="465"/>
      <c r="AA36"/>
      <c r="AB36"/>
      <c r="AC36"/>
    </row>
    <row r="37" spans="1:29" x14ac:dyDescent="0.25">
      <c r="A37" s="645" t="s">
        <v>18</v>
      </c>
      <c r="B37" s="22" t="e">
        <f t="shared" si="18"/>
        <v>#DIV/0!</v>
      </c>
      <c r="C37" s="30" t="e">
        <f>C44/C49</f>
        <v>#DIV/0!</v>
      </c>
      <c r="D37" s="648" t="e">
        <f>D44/D49</f>
        <v>#DIV/0!</v>
      </c>
      <c r="H37" s="465"/>
      <c r="I37" s="465"/>
      <c r="J37" s="465"/>
      <c r="AA37"/>
      <c r="AB37"/>
      <c r="AC37"/>
    </row>
    <row r="38" spans="1:29" x14ac:dyDescent="0.25">
      <c r="A38" s="645" t="s">
        <v>19</v>
      </c>
      <c r="B38" s="22" t="e">
        <f t="shared" si="18"/>
        <v>#DIV/0!</v>
      </c>
      <c r="C38" s="30" t="e">
        <f>C45/C49</f>
        <v>#DIV/0!</v>
      </c>
      <c r="D38" s="648" t="e">
        <f>D45/D49</f>
        <v>#DIV/0!</v>
      </c>
      <c r="H38" s="465"/>
      <c r="I38" s="465"/>
      <c r="J38" s="465"/>
      <c r="AA38"/>
      <c r="AB38"/>
      <c r="AC38"/>
    </row>
    <row r="39" spans="1:29" x14ac:dyDescent="0.25">
      <c r="A39" s="645" t="s">
        <v>20</v>
      </c>
      <c r="B39" s="22" t="e">
        <f t="shared" si="18"/>
        <v>#DIV/0!</v>
      </c>
      <c r="C39" s="30" t="e">
        <f>C46/C49</f>
        <v>#DIV/0!</v>
      </c>
      <c r="D39" s="648" t="e">
        <f>D46/D49</f>
        <v>#DIV/0!</v>
      </c>
      <c r="H39" s="465"/>
      <c r="I39" s="465"/>
      <c r="J39" s="465"/>
      <c r="AA39"/>
      <c r="AB39"/>
      <c r="AC39"/>
    </row>
    <row r="40" spans="1:29" x14ac:dyDescent="0.25">
      <c r="A40" s="645" t="s">
        <v>21</v>
      </c>
      <c r="B40" s="22" t="e">
        <f t="shared" si="18"/>
        <v>#DIV/0!</v>
      </c>
      <c r="C40" s="30" t="e">
        <f>C47/C49</f>
        <v>#DIV/0!</v>
      </c>
      <c r="D40" s="648" t="e">
        <f>D47/D49</f>
        <v>#DIV/0!</v>
      </c>
      <c r="H40" s="465"/>
      <c r="I40" s="465"/>
      <c r="J40" s="465"/>
      <c r="AA40"/>
      <c r="AB40"/>
      <c r="AC40"/>
    </row>
    <row r="41" spans="1:29" x14ac:dyDescent="0.25">
      <c r="A41" s="645" t="s">
        <v>22</v>
      </c>
      <c r="B41" s="22" t="e">
        <f t="shared" si="18"/>
        <v>#DIV/0!</v>
      </c>
      <c r="C41" s="30" t="e">
        <f>C48/C49</f>
        <v>#DIV/0!</v>
      </c>
      <c r="D41" s="648" t="e">
        <f>D48/D49</f>
        <v>#DIV/0!</v>
      </c>
      <c r="H41" s="465"/>
      <c r="I41" s="465"/>
      <c r="J41" s="465"/>
      <c r="AA41"/>
      <c r="AB41"/>
      <c r="AC41"/>
    </row>
    <row r="42" spans="1:29" x14ac:dyDescent="0.25">
      <c r="A42" s="649" t="s">
        <v>23</v>
      </c>
      <c r="B42" s="497" t="e">
        <f t="shared" si="18"/>
        <v>#DIV/0!</v>
      </c>
      <c r="C42" s="66" t="e">
        <f>C53/C36</f>
        <v>#DIV/0!</v>
      </c>
      <c r="D42" s="650" t="e">
        <f>D53/D36</f>
        <v>#DIV/0!</v>
      </c>
      <c r="H42" s="465"/>
      <c r="I42" s="465"/>
      <c r="J42" s="465"/>
      <c r="AA42"/>
      <c r="AB42"/>
      <c r="AC42"/>
    </row>
    <row r="43" spans="1:29" x14ac:dyDescent="0.25">
      <c r="A43" s="649" t="s">
        <v>24</v>
      </c>
      <c r="B43" s="497" t="e">
        <f t="shared" si="18"/>
        <v>#DIV/0!</v>
      </c>
      <c r="C43" s="66" t="e">
        <f>C53/C30</f>
        <v>#DIV/0!</v>
      </c>
      <c r="D43" s="650" t="e">
        <f>D53/D30</f>
        <v>#DIV/0!</v>
      </c>
      <c r="H43" s="465"/>
      <c r="I43" s="465"/>
      <c r="J43" s="465"/>
      <c r="AA43"/>
      <c r="AB43"/>
      <c r="AC43"/>
    </row>
    <row r="44" spans="1:29" x14ac:dyDescent="0.25">
      <c r="A44" s="645" t="s">
        <v>25</v>
      </c>
      <c r="B44" s="92">
        <f t="shared" si="18"/>
        <v>0</v>
      </c>
      <c r="C44" s="92">
        <f t="shared" ref="C44:C49" si="19">+SUM(B44:B44)</f>
        <v>0</v>
      </c>
      <c r="D44" s="629">
        <f t="shared" ref="D44:D53" si="20">+$C44/1</f>
        <v>0</v>
      </c>
      <c r="H44" s="465"/>
      <c r="I44" s="465"/>
      <c r="J44" s="465"/>
      <c r="AA44"/>
      <c r="AB44"/>
      <c r="AC44"/>
    </row>
    <row r="45" spans="1:29" x14ac:dyDescent="0.25">
      <c r="A45" s="645" t="s">
        <v>26</v>
      </c>
      <c r="B45" s="92">
        <f t="shared" si="18"/>
        <v>0</v>
      </c>
      <c r="C45" s="92">
        <f t="shared" si="19"/>
        <v>0</v>
      </c>
      <c r="D45" s="629">
        <f t="shared" si="20"/>
        <v>0</v>
      </c>
      <c r="H45" s="465"/>
      <c r="I45" s="465"/>
      <c r="J45" s="465"/>
      <c r="AA45"/>
      <c r="AB45"/>
      <c r="AC45"/>
    </row>
    <row r="46" spans="1:29" x14ac:dyDescent="0.25">
      <c r="A46" s="645" t="s">
        <v>27</v>
      </c>
      <c r="B46" s="92">
        <f t="shared" si="18"/>
        <v>0</v>
      </c>
      <c r="C46" s="92">
        <f t="shared" si="19"/>
        <v>0</v>
      </c>
      <c r="D46" s="629">
        <f t="shared" si="20"/>
        <v>0</v>
      </c>
      <c r="H46" s="465"/>
      <c r="I46" s="465"/>
      <c r="J46" s="465"/>
      <c r="AA46"/>
      <c r="AB46"/>
      <c r="AC46"/>
    </row>
    <row r="47" spans="1:29" x14ac:dyDescent="0.25">
      <c r="A47" s="645" t="s">
        <v>28</v>
      </c>
      <c r="B47" s="92">
        <f t="shared" si="18"/>
        <v>0</v>
      </c>
      <c r="C47" s="92">
        <f t="shared" si="19"/>
        <v>0</v>
      </c>
      <c r="D47" s="629">
        <f t="shared" si="20"/>
        <v>0</v>
      </c>
      <c r="H47" s="465"/>
      <c r="I47" s="465"/>
      <c r="J47" s="465"/>
      <c r="AA47"/>
      <c r="AB47"/>
      <c r="AC47"/>
    </row>
    <row r="48" spans="1:29" x14ac:dyDescent="0.25">
      <c r="A48" s="645" t="s">
        <v>29</v>
      </c>
      <c r="B48" s="92">
        <f t="shared" si="18"/>
        <v>0</v>
      </c>
      <c r="C48" s="92">
        <f t="shared" si="19"/>
        <v>0</v>
      </c>
      <c r="D48" s="629">
        <f t="shared" si="20"/>
        <v>0</v>
      </c>
      <c r="H48" s="465"/>
      <c r="I48" s="465"/>
      <c r="J48" s="465"/>
      <c r="AA48"/>
      <c r="AB48"/>
      <c r="AC48"/>
    </row>
    <row r="49" spans="1:29" x14ac:dyDescent="0.25">
      <c r="A49" s="651" t="s">
        <v>30</v>
      </c>
      <c r="B49" s="91">
        <f t="shared" si="18"/>
        <v>0</v>
      </c>
      <c r="C49" s="91">
        <f t="shared" si="19"/>
        <v>0</v>
      </c>
      <c r="D49" s="631">
        <f t="shared" si="20"/>
        <v>0</v>
      </c>
      <c r="H49" s="465"/>
      <c r="I49" s="465"/>
      <c r="J49" s="465"/>
      <c r="AA49"/>
      <c r="AB49"/>
      <c r="AC49"/>
    </row>
    <row r="50" spans="1:29" x14ac:dyDescent="0.25">
      <c r="A50" s="645" t="s">
        <v>31</v>
      </c>
      <c r="B50" s="92">
        <f t="shared" si="18"/>
        <v>0</v>
      </c>
      <c r="C50" s="498">
        <f>2155*C31</f>
        <v>0</v>
      </c>
      <c r="D50" s="652">
        <f t="shared" si="20"/>
        <v>0</v>
      </c>
      <c r="H50" s="465"/>
      <c r="I50" s="465"/>
      <c r="J50" s="465"/>
      <c r="AA50"/>
      <c r="AB50"/>
      <c r="AC50"/>
    </row>
    <row r="51" spans="1:29" x14ac:dyDescent="0.25">
      <c r="A51" s="653" t="s">
        <v>32</v>
      </c>
      <c r="B51" s="199">
        <f t="shared" si="18"/>
        <v>0</v>
      </c>
      <c r="C51" s="199">
        <f>C49+C50</f>
        <v>0</v>
      </c>
      <c r="D51" s="654">
        <f t="shared" si="20"/>
        <v>0</v>
      </c>
      <c r="H51" s="465"/>
      <c r="I51" s="465"/>
      <c r="J51" s="465"/>
      <c r="AA51"/>
      <c r="AB51"/>
      <c r="AC51"/>
    </row>
    <row r="52" spans="1:29" x14ac:dyDescent="0.25">
      <c r="A52" s="645" t="s">
        <v>33</v>
      </c>
      <c r="B52" s="94">
        <f t="shared" si="18"/>
        <v>0</v>
      </c>
      <c r="C52" s="94">
        <f>C51*16%</f>
        <v>0</v>
      </c>
      <c r="D52" s="632">
        <f t="shared" si="20"/>
        <v>0</v>
      </c>
      <c r="H52" s="465"/>
      <c r="I52" s="465"/>
      <c r="J52" s="465"/>
      <c r="AA52"/>
      <c r="AB52"/>
      <c r="AC52"/>
    </row>
    <row r="53" spans="1:29" ht="15.75" thickBot="1" x14ac:dyDescent="0.3">
      <c r="A53" s="655" t="s">
        <v>34</v>
      </c>
      <c r="B53" s="656">
        <f t="shared" si="18"/>
        <v>0</v>
      </c>
      <c r="C53" s="656">
        <f>+SUM(B53:B53)</f>
        <v>0</v>
      </c>
      <c r="D53" s="657">
        <f t="shared" si="20"/>
        <v>0</v>
      </c>
      <c r="H53" s="465"/>
      <c r="I53" s="465"/>
      <c r="J53" s="465"/>
      <c r="AA53"/>
      <c r="AB53"/>
      <c r="AC53"/>
    </row>
    <row r="54" spans="1:29" ht="15.75" thickBot="1" x14ac:dyDescent="0.3">
      <c r="H54" s="465"/>
      <c r="I54" s="465"/>
      <c r="J54" s="465"/>
      <c r="AA54"/>
      <c r="AB54"/>
      <c r="AC54"/>
    </row>
    <row r="55" spans="1:29" ht="27" thickBot="1" x14ac:dyDescent="0.45">
      <c r="B55" s="676" t="s">
        <v>401</v>
      </c>
      <c r="C55" s="677"/>
      <c r="D55" s="678"/>
      <c r="H55" s="465"/>
      <c r="I55" s="465"/>
      <c r="J55" s="465"/>
      <c r="AA55"/>
      <c r="AB55"/>
      <c r="AC55"/>
    </row>
    <row r="56" spans="1:29" ht="16.5" thickBot="1" x14ac:dyDescent="0.3">
      <c r="A56" s="524" t="s">
        <v>2</v>
      </c>
      <c r="B56" s="50" t="str">
        <f>+B29</f>
        <v>SEMANA 1</v>
      </c>
      <c r="C56" s="50" t="s">
        <v>10</v>
      </c>
      <c r="D56" s="50" t="s">
        <v>400</v>
      </c>
      <c r="H56" s="465"/>
      <c r="I56" s="465"/>
      <c r="J56" s="465"/>
      <c r="AA56"/>
      <c r="AB56"/>
      <c r="AC56"/>
    </row>
    <row r="57" spans="1:29" x14ac:dyDescent="0.25">
      <c r="A57" s="525" t="s">
        <v>11</v>
      </c>
      <c r="B57" s="459">
        <f>+B30</f>
        <v>0</v>
      </c>
      <c r="C57" s="499">
        <f>+SUM(B57)</f>
        <v>0</v>
      </c>
      <c r="D57" s="459">
        <f>+$C57/1</f>
        <v>0</v>
      </c>
      <c r="H57" s="465"/>
      <c r="I57" s="465"/>
      <c r="J57" s="465"/>
      <c r="AA57"/>
      <c r="AB57"/>
      <c r="AC57"/>
    </row>
    <row r="58" spans="1:29" ht="15.75" thickBot="1" x14ac:dyDescent="0.3">
      <c r="A58" s="102" t="s">
        <v>17</v>
      </c>
      <c r="B58" s="461">
        <f>+B36</f>
        <v>0</v>
      </c>
      <c r="C58" s="500">
        <f>+SUM(B58)</f>
        <v>0</v>
      </c>
      <c r="D58" s="501">
        <f>+$C58/1</f>
        <v>0</v>
      </c>
      <c r="H58" s="465"/>
      <c r="I58" s="465"/>
      <c r="J58" s="465"/>
      <c r="AA58"/>
      <c r="AB58"/>
      <c r="AC58"/>
    </row>
    <row r="59" spans="1:29" ht="15.75" x14ac:dyDescent="0.25">
      <c r="A59" s="526" t="s">
        <v>2</v>
      </c>
      <c r="B59" s="287" t="str">
        <f>+B56</f>
        <v>SEMANA 1</v>
      </c>
      <c r="C59" s="50" t="s">
        <v>10</v>
      </c>
      <c r="D59" s="50" t="s">
        <v>400</v>
      </c>
      <c r="H59" s="465"/>
      <c r="I59" s="465"/>
      <c r="J59" s="465"/>
      <c r="AA59"/>
      <c r="AB59"/>
      <c r="AC59"/>
    </row>
    <row r="60" spans="1:29" x14ac:dyDescent="0.25">
      <c r="A60" s="100" t="s">
        <v>25</v>
      </c>
      <c r="B60" s="299">
        <f>+B44</f>
        <v>0</v>
      </c>
      <c r="C60" s="299">
        <f t="shared" ref="C60:C66" si="21">+SUM(B60)</f>
        <v>0</v>
      </c>
      <c r="D60" s="299">
        <f t="shared" ref="D60:D66" si="22">+$C60/1</f>
        <v>0</v>
      </c>
      <c r="H60" s="465"/>
      <c r="I60" s="465"/>
      <c r="J60" s="465"/>
      <c r="AA60"/>
      <c r="AB60"/>
      <c r="AC60"/>
    </row>
    <row r="61" spans="1:29" x14ac:dyDescent="0.25">
      <c r="A61" s="100" t="s">
        <v>26</v>
      </c>
      <c r="B61" s="299">
        <f>+B45</f>
        <v>0</v>
      </c>
      <c r="C61" s="299">
        <f t="shared" si="21"/>
        <v>0</v>
      </c>
      <c r="D61" s="299">
        <f t="shared" si="22"/>
        <v>0</v>
      </c>
      <c r="H61" s="465"/>
      <c r="I61" s="465"/>
      <c r="J61" s="465"/>
      <c r="AA61"/>
      <c r="AB61"/>
      <c r="AC61"/>
    </row>
    <row r="62" spans="1:29" x14ac:dyDescent="0.25">
      <c r="A62" s="100" t="s">
        <v>27</v>
      </c>
      <c r="B62" s="299">
        <f>+B46</f>
        <v>0</v>
      </c>
      <c r="C62" s="299">
        <f t="shared" si="21"/>
        <v>0</v>
      </c>
      <c r="D62" s="299">
        <f t="shared" si="22"/>
        <v>0</v>
      </c>
      <c r="H62" s="465"/>
      <c r="I62" s="465"/>
      <c r="J62" s="465"/>
      <c r="AA62"/>
      <c r="AB62"/>
      <c r="AC62"/>
    </row>
    <row r="63" spans="1:29" x14ac:dyDescent="0.25">
      <c r="A63" s="100" t="s">
        <v>28</v>
      </c>
      <c r="B63" s="299">
        <f>+B47</f>
        <v>0</v>
      </c>
      <c r="C63" s="299">
        <f t="shared" si="21"/>
        <v>0</v>
      </c>
      <c r="D63" s="299">
        <f t="shared" si="22"/>
        <v>0</v>
      </c>
      <c r="H63" s="465"/>
      <c r="I63" s="465"/>
      <c r="J63" s="465"/>
      <c r="AA63"/>
      <c r="AB63"/>
      <c r="AC63"/>
    </row>
    <row r="64" spans="1:29" x14ac:dyDescent="0.25">
      <c r="A64" s="100" t="s">
        <v>29</v>
      </c>
      <c r="B64" s="299">
        <f>+B48</f>
        <v>0</v>
      </c>
      <c r="C64" s="299">
        <f t="shared" si="21"/>
        <v>0</v>
      </c>
      <c r="D64" s="299">
        <f t="shared" si="22"/>
        <v>0</v>
      </c>
      <c r="H64" s="465"/>
      <c r="I64" s="465"/>
      <c r="J64" s="465"/>
      <c r="AA64"/>
      <c r="AB64"/>
      <c r="AC64"/>
    </row>
    <row r="65" spans="1:30" x14ac:dyDescent="0.25">
      <c r="A65" s="100" t="s">
        <v>31</v>
      </c>
      <c r="B65" s="299">
        <f>+B50</f>
        <v>0</v>
      </c>
      <c r="C65" s="299">
        <f t="shared" si="21"/>
        <v>0</v>
      </c>
      <c r="D65" s="299">
        <f t="shared" si="22"/>
        <v>0</v>
      </c>
      <c r="H65" s="465"/>
      <c r="I65" s="465"/>
      <c r="J65" s="465"/>
      <c r="AA65"/>
      <c r="AB65"/>
      <c r="AC65"/>
    </row>
    <row r="66" spans="1:30" ht="15.75" thickBot="1" x14ac:dyDescent="0.3">
      <c r="A66" s="527" t="s">
        <v>32</v>
      </c>
      <c r="B66" s="502">
        <f>+SUM(B60:B65)</f>
        <v>0</v>
      </c>
      <c r="C66" s="502">
        <f t="shared" si="21"/>
        <v>0</v>
      </c>
      <c r="D66" s="502">
        <f t="shared" si="22"/>
        <v>0</v>
      </c>
      <c r="H66" s="465"/>
      <c r="I66" s="465"/>
      <c r="J66" s="465"/>
      <c r="AA66"/>
      <c r="AB66"/>
      <c r="AC66"/>
    </row>
    <row r="67" spans="1:30" x14ac:dyDescent="0.25">
      <c r="K67"/>
      <c r="AD67" s="465"/>
    </row>
    <row r="68" spans="1:30" x14ac:dyDescent="0.25">
      <c r="K68"/>
      <c r="AD68" s="465"/>
    </row>
    <row r="69" spans="1:30" x14ac:dyDescent="0.25">
      <c r="K69"/>
      <c r="AD69" s="465"/>
    </row>
    <row r="70" spans="1:30" x14ac:dyDescent="0.25">
      <c r="K70"/>
      <c r="AD70" s="465"/>
    </row>
    <row r="71" spans="1:30" x14ac:dyDescent="0.25">
      <c r="K71"/>
      <c r="AD71" s="465"/>
    </row>
    <row r="72" spans="1:30" x14ac:dyDescent="0.25">
      <c r="K72"/>
      <c r="AD72" s="465"/>
    </row>
    <row r="73" spans="1:30" x14ac:dyDescent="0.25">
      <c r="K73"/>
      <c r="AD73" s="465"/>
    </row>
    <row r="74" spans="1:30" x14ac:dyDescent="0.25">
      <c r="K74"/>
      <c r="AD74" s="465"/>
    </row>
    <row r="75" spans="1:30" x14ac:dyDescent="0.25">
      <c r="K75"/>
      <c r="AD75" s="465"/>
    </row>
    <row r="76" spans="1:30" x14ac:dyDescent="0.25">
      <c r="K76"/>
      <c r="AD76" s="465"/>
    </row>
    <row r="77" spans="1:30" x14ac:dyDescent="0.25">
      <c r="K77"/>
      <c r="AD77" s="465"/>
    </row>
    <row r="78" spans="1:30" x14ac:dyDescent="0.25">
      <c r="K78"/>
      <c r="AD78" s="465"/>
    </row>
    <row r="79" spans="1:30" x14ac:dyDescent="0.25">
      <c r="K79"/>
      <c r="AD79" s="465"/>
    </row>
    <row r="80" spans="1:30" x14ac:dyDescent="0.25">
      <c r="K80"/>
      <c r="AD80" s="465"/>
    </row>
    <row r="81" spans="11:30" x14ac:dyDescent="0.25">
      <c r="K81"/>
      <c r="AD81" s="465"/>
    </row>
    <row r="82" spans="11:30" x14ac:dyDescent="0.25">
      <c r="K82"/>
      <c r="AD82" s="465"/>
    </row>
    <row r="83" spans="11:30" x14ac:dyDescent="0.25">
      <c r="K83"/>
      <c r="AD83" s="465"/>
    </row>
    <row r="84" spans="11:30" x14ac:dyDescent="0.25">
      <c r="K84"/>
      <c r="AD84" s="465"/>
    </row>
    <row r="85" spans="11:30" x14ac:dyDescent="0.25">
      <c r="K85"/>
      <c r="AD85" s="465"/>
    </row>
    <row r="86" spans="11:30" x14ac:dyDescent="0.25">
      <c r="K86"/>
      <c r="AD86" s="465"/>
    </row>
    <row r="87" spans="11:30" x14ac:dyDescent="0.25">
      <c r="K87"/>
      <c r="AD87" s="465"/>
    </row>
    <row r="88" spans="11:30" x14ac:dyDescent="0.25">
      <c r="K88"/>
      <c r="AD88" s="465"/>
    </row>
    <row r="89" spans="11:30" x14ac:dyDescent="0.25">
      <c r="K89"/>
      <c r="AD89" s="465"/>
    </row>
    <row r="90" spans="11:30" x14ac:dyDescent="0.25">
      <c r="K90"/>
      <c r="AD90" s="465"/>
    </row>
    <row r="91" spans="11:30" x14ac:dyDescent="0.25">
      <c r="K91"/>
      <c r="AD91" s="465"/>
    </row>
    <row r="92" spans="11:30" x14ac:dyDescent="0.25">
      <c r="K92"/>
      <c r="AD92" s="465"/>
    </row>
    <row r="93" spans="11:30" x14ac:dyDescent="0.25">
      <c r="K93"/>
      <c r="AD93" s="465"/>
    </row>
    <row r="94" spans="11:30" x14ac:dyDescent="0.25">
      <c r="K94"/>
      <c r="AD94" s="465"/>
    </row>
    <row r="95" spans="11:30" x14ac:dyDescent="0.25">
      <c r="K95"/>
      <c r="AD95" s="465"/>
    </row>
    <row r="96" spans="11:30" x14ac:dyDescent="0.25">
      <c r="K96"/>
      <c r="AD96" s="465"/>
    </row>
    <row r="97" spans="11:30" x14ac:dyDescent="0.25">
      <c r="K97"/>
      <c r="AD97" s="465"/>
    </row>
    <row r="98" spans="11:30" x14ac:dyDescent="0.25">
      <c r="K98"/>
      <c r="AD98" s="465"/>
    </row>
    <row r="99" spans="11:30" x14ac:dyDescent="0.25">
      <c r="K99"/>
      <c r="AD99" s="465"/>
    </row>
    <row r="100" spans="11:30" x14ac:dyDescent="0.25">
      <c r="K100"/>
      <c r="AD100" s="465"/>
    </row>
    <row r="101" spans="11:30" x14ac:dyDescent="0.25">
      <c r="K101"/>
      <c r="AD101" s="465"/>
    </row>
    <row r="102" spans="11:30" x14ac:dyDescent="0.25">
      <c r="K102"/>
      <c r="AD102" s="465"/>
    </row>
    <row r="103" spans="11:30" x14ac:dyDescent="0.25">
      <c r="K103"/>
      <c r="AD103" s="465"/>
    </row>
    <row r="104" spans="11:30" x14ac:dyDescent="0.25">
      <c r="K104"/>
      <c r="AD104" s="465"/>
    </row>
    <row r="105" spans="11:30" x14ac:dyDescent="0.25">
      <c r="K105"/>
      <c r="AD105" s="465"/>
    </row>
    <row r="106" spans="11:30" x14ac:dyDescent="0.25">
      <c r="K106"/>
      <c r="AD106" s="465"/>
    </row>
    <row r="107" spans="11:30" x14ac:dyDescent="0.25">
      <c r="K107"/>
      <c r="AD107" s="465"/>
    </row>
    <row r="108" spans="11:30" x14ac:dyDescent="0.25">
      <c r="K108"/>
      <c r="AD108" s="465"/>
    </row>
    <row r="109" spans="11:30" x14ac:dyDescent="0.25">
      <c r="K109"/>
      <c r="AD109" s="465"/>
    </row>
    <row r="110" spans="11:30" x14ac:dyDescent="0.25">
      <c r="K110"/>
      <c r="AD110" s="465"/>
    </row>
    <row r="111" spans="11:30" x14ac:dyDescent="0.25">
      <c r="K111"/>
      <c r="AD111" s="465"/>
    </row>
    <row r="112" spans="11:30" x14ac:dyDescent="0.25">
      <c r="K112"/>
      <c r="AD112" s="465"/>
    </row>
    <row r="113" spans="11:30" x14ac:dyDescent="0.25">
      <c r="K113"/>
      <c r="AD113" s="465"/>
    </row>
    <row r="114" spans="11:30" x14ac:dyDescent="0.25">
      <c r="K114"/>
      <c r="AD114" s="465"/>
    </row>
    <row r="115" spans="11:30" x14ac:dyDescent="0.25">
      <c r="K115"/>
      <c r="AD115" s="465"/>
    </row>
    <row r="116" spans="11:30" x14ac:dyDescent="0.25">
      <c r="K116"/>
      <c r="AD116" s="465"/>
    </row>
    <row r="117" spans="11:30" x14ac:dyDescent="0.25">
      <c r="K117"/>
      <c r="AD117" s="465"/>
    </row>
    <row r="118" spans="11:30" x14ac:dyDescent="0.25">
      <c r="K118"/>
      <c r="AD118" s="465"/>
    </row>
    <row r="119" spans="11:30" x14ac:dyDescent="0.25">
      <c r="K119"/>
      <c r="AD119" s="465"/>
    </row>
    <row r="120" spans="11:30" x14ac:dyDescent="0.25">
      <c r="K120"/>
      <c r="AD120" s="465"/>
    </row>
    <row r="121" spans="11:30" x14ac:dyDescent="0.25">
      <c r="K121"/>
      <c r="AD121" s="465"/>
    </row>
    <row r="122" spans="11:30" x14ac:dyDescent="0.25">
      <c r="K122"/>
      <c r="AD122" s="465"/>
    </row>
    <row r="123" spans="11:30" x14ac:dyDescent="0.25">
      <c r="K123"/>
      <c r="AD123" s="465"/>
    </row>
    <row r="124" spans="11:30" x14ac:dyDescent="0.25">
      <c r="K124"/>
      <c r="AD124" s="465"/>
    </row>
    <row r="125" spans="11:30" x14ac:dyDescent="0.25">
      <c r="K125"/>
      <c r="AD125" s="465"/>
    </row>
    <row r="126" spans="11:30" x14ac:dyDescent="0.25">
      <c r="K126"/>
      <c r="AD126" s="465"/>
    </row>
    <row r="127" spans="11:30" x14ac:dyDescent="0.25">
      <c r="K127"/>
      <c r="AD127" s="465"/>
    </row>
    <row r="128" spans="11:30" x14ac:dyDescent="0.25">
      <c r="K128"/>
      <c r="AD128" s="465"/>
    </row>
    <row r="129" spans="11:30" x14ac:dyDescent="0.25">
      <c r="K129"/>
      <c r="AD129" s="465"/>
    </row>
    <row r="130" spans="11:30" x14ac:dyDescent="0.25">
      <c r="K130"/>
      <c r="AD130" s="465"/>
    </row>
    <row r="131" spans="11:30" x14ac:dyDescent="0.25">
      <c r="K131"/>
      <c r="AD131" s="465"/>
    </row>
    <row r="132" spans="11:30" x14ac:dyDescent="0.25">
      <c r="K132"/>
      <c r="AD132" s="465"/>
    </row>
    <row r="133" spans="11:30" x14ac:dyDescent="0.25">
      <c r="K133"/>
      <c r="AD133" s="465"/>
    </row>
    <row r="134" spans="11:30" x14ac:dyDescent="0.25">
      <c r="K134"/>
      <c r="AD134" s="465"/>
    </row>
    <row r="135" spans="11:30" x14ac:dyDescent="0.25">
      <c r="K135"/>
      <c r="AD135" s="465"/>
    </row>
    <row r="136" spans="11:30" x14ac:dyDescent="0.25">
      <c r="K136" s="85"/>
      <c r="L136" s="85"/>
      <c r="M136"/>
      <c r="N136"/>
      <c r="O136"/>
      <c r="P136"/>
      <c r="Q136"/>
      <c r="R136"/>
      <c r="S136"/>
      <c r="T136"/>
      <c r="U136"/>
      <c r="V136"/>
      <c r="W136"/>
      <c r="X136"/>
      <c r="Y136"/>
      <c r="Z136"/>
      <c r="AA136"/>
      <c r="AB136"/>
      <c r="AC136"/>
    </row>
    <row r="137" spans="11:30" x14ac:dyDescent="0.25">
      <c r="K137"/>
      <c r="L137" s="89"/>
      <c r="M137"/>
      <c r="N137"/>
      <c r="O137"/>
      <c r="P137"/>
      <c r="Q137"/>
      <c r="R137"/>
      <c r="S137"/>
      <c r="T137"/>
      <c r="U137"/>
      <c r="V137"/>
      <c r="W137"/>
      <c r="X137"/>
      <c r="Y137"/>
      <c r="Z137"/>
      <c r="AA137"/>
      <c r="AB137"/>
      <c r="AC137"/>
    </row>
    <row r="138" spans="11:30" x14ac:dyDescent="0.25">
      <c r="K138"/>
      <c r="L138"/>
      <c r="M138"/>
      <c r="N138"/>
      <c r="O138"/>
      <c r="P138"/>
      <c r="Q138"/>
      <c r="R138"/>
      <c r="S138"/>
      <c r="T138"/>
      <c r="U138"/>
      <c r="V138"/>
      <c r="W138"/>
      <c r="X138"/>
      <c r="Y138"/>
      <c r="Z138"/>
      <c r="AA138"/>
      <c r="AB138"/>
      <c r="AC138"/>
    </row>
    <row r="139" spans="11:30" x14ac:dyDescent="0.25">
      <c r="K139"/>
      <c r="L139"/>
      <c r="M139"/>
      <c r="N139"/>
      <c r="O139"/>
      <c r="P139"/>
      <c r="Q139"/>
      <c r="R139"/>
      <c r="S139"/>
      <c r="T139"/>
      <c r="U139"/>
      <c r="V139"/>
      <c r="W139"/>
      <c r="X139"/>
      <c r="Y139"/>
      <c r="Z139"/>
      <c r="AA139"/>
      <c r="AB139"/>
      <c r="AC139"/>
    </row>
    <row r="140" spans="11:30" x14ac:dyDescent="0.25">
      <c r="K140"/>
      <c r="L140"/>
      <c r="M140"/>
      <c r="N140"/>
      <c r="O140"/>
      <c r="P140"/>
      <c r="Q140"/>
      <c r="R140"/>
      <c r="S140"/>
      <c r="T140"/>
      <c r="U140"/>
      <c r="V140"/>
      <c r="W140"/>
      <c r="X140"/>
      <c r="Y140"/>
      <c r="Z140"/>
      <c r="AA140"/>
      <c r="AB140"/>
      <c r="AC140"/>
    </row>
    <row r="141" spans="11:30" x14ac:dyDescent="0.25">
      <c r="K141"/>
      <c r="L141"/>
      <c r="M141"/>
      <c r="N141"/>
      <c r="O141"/>
      <c r="P141"/>
      <c r="Q141"/>
      <c r="R141"/>
      <c r="S141"/>
      <c r="T141"/>
      <c r="U141"/>
      <c r="V141"/>
      <c r="W141"/>
      <c r="X141"/>
      <c r="Y141"/>
      <c r="Z141"/>
      <c r="AA141"/>
      <c r="AB141"/>
      <c r="AC141"/>
    </row>
    <row r="142" spans="11:30" x14ac:dyDescent="0.25">
      <c r="K142"/>
      <c r="L142"/>
      <c r="M142"/>
      <c r="N142"/>
      <c r="O142"/>
      <c r="P142"/>
      <c r="Q142"/>
      <c r="R142"/>
      <c r="S142"/>
      <c r="T142"/>
      <c r="U142"/>
      <c r="V142"/>
      <c r="W142"/>
      <c r="X142"/>
      <c r="Y142"/>
      <c r="Z142"/>
      <c r="AA142"/>
      <c r="AB142"/>
      <c r="AC142"/>
    </row>
    <row r="143" spans="11:30" x14ac:dyDescent="0.25">
      <c r="K143"/>
      <c r="L143"/>
      <c r="M143"/>
      <c r="N143"/>
      <c r="O143"/>
      <c r="P143"/>
      <c r="Q143"/>
      <c r="R143"/>
      <c r="S143"/>
      <c r="T143"/>
      <c r="U143"/>
      <c r="V143"/>
      <c r="W143"/>
      <c r="X143"/>
      <c r="Y143"/>
      <c r="Z143"/>
      <c r="AA143"/>
      <c r="AB143"/>
      <c r="AC143"/>
    </row>
    <row r="144" spans="11:30" x14ac:dyDescent="0.25">
      <c r="K144"/>
      <c r="L144"/>
      <c r="M144"/>
      <c r="N144"/>
      <c r="O144"/>
      <c r="P144"/>
      <c r="Q144"/>
      <c r="R144"/>
      <c r="S144"/>
      <c r="T144"/>
      <c r="U144"/>
      <c r="V144"/>
      <c r="W144"/>
      <c r="X144"/>
      <c r="Y144"/>
      <c r="Z144"/>
      <c r="AA144"/>
      <c r="AB144"/>
      <c r="AC144"/>
    </row>
    <row r="145" spans="11:29" x14ac:dyDescent="0.25">
      <c r="K145"/>
      <c r="L145"/>
      <c r="M145"/>
      <c r="N145"/>
      <c r="O145"/>
      <c r="P145"/>
      <c r="Q145"/>
      <c r="R145"/>
      <c r="S145"/>
      <c r="T145"/>
      <c r="U145"/>
      <c r="V145"/>
      <c r="W145"/>
      <c r="X145"/>
      <c r="Y145"/>
      <c r="Z145"/>
      <c r="AA145"/>
      <c r="AB145"/>
      <c r="AC145"/>
    </row>
    <row r="146" spans="11:29" x14ac:dyDescent="0.25">
      <c r="K146"/>
      <c r="L146"/>
      <c r="M146"/>
      <c r="N146"/>
      <c r="O146"/>
      <c r="P146"/>
      <c r="Q146"/>
      <c r="R146"/>
      <c r="S146"/>
      <c r="T146"/>
      <c r="U146"/>
      <c r="V146"/>
      <c r="W146"/>
      <c r="X146"/>
      <c r="Y146"/>
      <c r="Z146"/>
      <c r="AA146"/>
      <c r="AB146"/>
      <c r="AC146"/>
    </row>
    <row r="147" spans="11:29" x14ac:dyDescent="0.25">
      <c r="K147"/>
      <c r="L147"/>
      <c r="M147"/>
      <c r="N147"/>
      <c r="O147"/>
      <c r="P147"/>
      <c r="Q147"/>
      <c r="R147"/>
      <c r="S147"/>
      <c r="T147"/>
      <c r="U147"/>
      <c r="V147"/>
      <c r="W147"/>
      <c r="X147"/>
      <c r="Y147"/>
      <c r="Z147"/>
      <c r="AA147"/>
      <c r="AB147"/>
      <c r="AC147"/>
    </row>
    <row r="148" spans="11:29" x14ac:dyDescent="0.25">
      <c r="K148"/>
      <c r="L148"/>
      <c r="M148"/>
      <c r="N148"/>
      <c r="O148"/>
      <c r="P148"/>
      <c r="Q148"/>
      <c r="R148"/>
      <c r="S148"/>
      <c r="T148"/>
      <c r="U148"/>
      <c r="V148"/>
      <c r="W148"/>
      <c r="X148"/>
      <c r="Y148"/>
      <c r="Z148"/>
      <c r="AA148"/>
      <c r="AB148"/>
      <c r="AC148"/>
    </row>
    <row r="149" spans="11:29" x14ac:dyDescent="0.25">
      <c r="K149"/>
      <c r="L149"/>
      <c r="M149"/>
      <c r="N149"/>
      <c r="O149"/>
      <c r="P149"/>
      <c r="Q149"/>
      <c r="R149"/>
      <c r="S149"/>
      <c r="T149"/>
      <c r="U149"/>
      <c r="V149"/>
      <c r="W149"/>
      <c r="X149"/>
      <c r="Y149"/>
      <c r="Z149"/>
      <c r="AA149"/>
      <c r="AB149"/>
      <c r="AC149"/>
    </row>
    <row r="150" spans="11:29" x14ac:dyDescent="0.25">
      <c r="K150"/>
      <c r="L150"/>
      <c r="M150"/>
      <c r="N150"/>
      <c r="O150"/>
      <c r="P150"/>
      <c r="Q150"/>
      <c r="R150"/>
      <c r="S150"/>
      <c r="T150"/>
      <c r="U150"/>
      <c r="V150"/>
      <c r="W150"/>
      <c r="X150"/>
      <c r="Y150"/>
      <c r="Z150"/>
      <c r="AA150"/>
      <c r="AB150"/>
      <c r="AC150"/>
    </row>
    <row r="151" spans="11:29" x14ac:dyDescent="0.25">
      <c r="K151"/>
      <c r="L151"/>
      <c r="M151"/>
      <c r="N151"/>
      <c r="O151"/>
      <c r="P151"/>
      <c r="Q151"/>
      <c r="R151"/>
      <c r="S151"/>
      <c r="T151"/>
      <c r="U151"/>
      <c r="V151"/>
      <c r="W151"/>
      <c r="X151"/>
      <c r="Y151"/>
      <c r="Z151"/>
      <c r="AA151"/>
      <c r="AB151"/>
      <c r="AC151"/>
    </row>
    <row r="152" spans="11:29" x14ac:dyDescent="0.25">
      <c r="K152"/>
      <c r="L152"/>
      <c r="M152"/>
      <c r="N152"/>
      <c r="O152"/>
      <c r="P152"/>
      <c r="Q152"/>
      <c r="R152"/>
      <c r="S152"/>
      <c r="T152"/>
      <c r="U152"/>
      <c r="V152"/>
      <c r="W152"/>
      <c r="X152"/>
      <c r="Y152"/>
      <c r="Z152"/>
      <c r="AA152"/>
      <c r="AB152"/>
      <c r="AC152"/>
    </row>
    <row r="153" spans="11:29" x14ac:dyDescent="0.25">
      <c r="K153"/>
      <c r="L153"/>
      <c r="M153"/>
      <c r="N153"/>
      <c r="O153"/>
      <c r="P153"/>
      <c r="Q153"/>
      <c r="R153"/>
      <c r="S153"/>
      <c r="T153"/>
      <c r="U153"/>
      <c r="V153"/>
      <c r="W153"/>
      <c r="X153"/>
      <c r="Y153"/>
      <c r="Z153"/>
      <c r="AA153"/>
      <c r="AB153"/>
      <c r="AC153"/>
    </row>
    <row r="154" spans="11:29" x14ac:dyDescent="0.25">
      <c r="K154"/>
      <c r="L154"/>
      <c r="M154"/>
      <c r="N154"/>
      <c r="O154"/>
      <c r="P154"/>
      <c r="Q154"/>
      <c r="R154"/>
      <c r="S154"/>
      <c r="T154"/>
      <c r="U154"/>
      <c r="V154"/>
      <c r="W154"/>
      <c r="X154"/>
      <c r="Y154"/>
      <c r="Z154"/>
      <c r="AA154"/>
      <c r="AB154"/>
      <c r="AC154"/>
    </row>
    <row r="155" spans="11:29" x14ac:dyDescent="0.25">
      <c r="K155"/>
      <c r="L155"/>
      <c r="M155"/>
      <c r="N155"/>
      <c r="O155"/>
      <c r="P155"/>
      <c r="Q155"/>
      <c r="R155"/>
      <c r="S155"/>
      <c r="T155"/>
      <c r="U155"/>
      <c r="V155"/>
      <c r="W155"/>
      <c r="X155"/>
      <c r="Y155"/>
      <c r="Z155"/>
      <c r="AA155"/>
      <c r="AB155"/>
      <c r="AC155"/>
    </row>
    <row r="156" spans="11:29" x14ac:dyDescent="0.25">
      <c r="K156"/>
      <c r="L156"/>
      <c r="M156"/>
      <c r="N156"/>
      <c r="O156"/>
      <c r="P156"/>
      <c r="Q156"/>
      <c r="R156"/>
      <c r="S156"/>
      <c r="T156"/>
      <c r="U156"/>
      <c r="V156"/>
      <c r="W156"/>
      <c r="X156"/>
      <c r="Y156"/>
      <c r="Z156"/>
      <c r="AA156"/>
      <c r="AB156"/>
      <c r="AC156"/>
    </row>
    <row r="157" spans="11:29" x14ac:dyDescent="0.25">
      <c r="K157"/>
      <c r="L157"/>
      <c r="M157"/>
      <c r="N157"/>
      <c r="O157"/>
      <c r="P157"/>
      <c r="Q157"/>
      <c r="R157"/>
      <c r="S157"/>
      <c r="T157"/>
      <c r="U157"/>
      <c r="V157"/>
      <c r="W157"/>
      <c r="X157"/>
      <c r="Y157"/>
      <c r="Z157"/>
      <c r="AA157"/>
      <c r="AB157"/>
      <c r="AC157"/>
    </row>
    <row r="158" spans="11:29" x14ac:dyDescent="0.25">
      <c r="K158"/>
      <c r="L158"/>
      <c r="M158"/>
      <c r="N158"/>
      <c r="O158"/>
      <c r="P158"/>
      <c r="Q158"/>
      <c r="R158"/>
      <c r="S158"/>
      <c r="T158"/>
      <c r="U158"/>
      <c r="V158"/>
      <c r="W158"/>
      <c r="X158"/>
      <c r="Y158"/>
      <c r="Z158"/>
      <c r="AA158"/>
      <c r="AB158"/>
      <c r="AC158"/>
    </row>
    <row r="159" spans="11:29" x14ac:dyDescent="0.25">
      <c r="K159"/>
      <c r="L159"/>
      <c r="M159"/>
      <c r="N159"/>
      <c r="O159"/>
      <c r="P159"/>
      <c r="Q159"/>
      <c r="R159"/>
      <c r="S159"/>
      <c r="T159"/>
      <c r="U159"/>
      <c r="V159"/>
      <c r="W159"/>
      <c r="X159"/>
      <c r="Y159"/>
      <c r="Z159"/>
      <c r="AA159"/>
      <c r="AB159"/>
      <c r="AC159"/>
    </row>
    <row r="160" spans="11:29" x14ac:dyDescent="0.25">
      <c r="K160"/>
      <c r="L160"/>
      <c r="M160"/>
      <c r="N160"/>
      <c r="O160"/>
      <c r="P160"/>
      <c r="Q160"/>
      <c r="R160"/>
      <c r="S160"/>
      <c r="T160"/>
      <c r="U160"/>
      <c r="V160"/>
      <c r="W160"/>
      <c r="X160"/>
      <c r="Y160"/>
      <c r="Z160"/>
      <c r="AA160"/>
      <c r="AB160"/>
      <c r="AC160"/>
    </row>
    <row r="161" spans="11:31" x14ac:dyDescent="0.25">
      <c r="K161"/>
      <c r="L161"/>
      <c r="M161"/>
      <c r="N161"/>
      <c r="O161"/>
      <c r="P161"/>
      <c r="Q161"/>
      <c r="R161"/>
      <c r="S161"/>
      <c r="T161"/>
      <c r="U161"/>
      <c r="V161"/>
      <c r="W161"/>
      <c r="X161"/>
      <c r="Y161"/>
      <c r="Z161"/>
      <c r="AA161"/>
      <c r="AB161"/>
      <c r="AC161"/>
    </row>
    <row r="162" spans="11:31" x14ac:dyDescent="0.25">
      <c r="K162"/>
      <c r="L162"/>
      <c r="M162"/>
      <c r="N162"/>
      <c r="O162"/>
      <c r="P162"/>
      <c r="Q162"/>
      <c r="R162"/>
      <c r="S162"/>
      <c r="T162"/>
      <c r="U162"/>
      <c r="V162"/>
      <c r="W162"/>
      <c r="X162"/>
      <c r="Y162"/>
      <c r="Z162"/>
      <c r="AA162"/>
      <c r="AB162"/>
      <c r="AC162"/>
    </row>
    <row r="163" spans="11:31" x14ac:dyDescent="0.25">
      <c r="K163"/>
      <c r="L163"/>
      <c r="M163"/>
      <c r="N163"/>
      <c r="O163"/>
      <c r="P163"/>
      <c r="Q163"/>
      <c r="R163"/>
      <c r="S163"/>
      <c r="T163"/>
      <c r="U163"/>
      <c r="V163"/>
      <c r="W163"/>
      <c r="X163"/>
      <c r="Y163"/>
      <c r="Z163"/>
      <c r="AA163"/>
      <c r="AB163"/>
      <c r="AC163"/>
    </row>
    <row r="164" spans="11:31" x14ac:dyDescent="0.25">
      <c r="K164"/>
      <c r="L164"/>
      <c r="M164"/>
      <c r="N164"/>
      <c r="O164"/>
      <c r="P164"/>
      <c r="Q164"/>
      <c r="R164"/>
      <c r="S164"/>
      <c r="T164"/>
      <c r="U164"/>
      <c r="V164"/>
      <c r="W164"/>
      <c r="X164"/>
      <c r="Y164"/>
      <c r="Z164"/>
      <c r="AA164"/>
      <c r="AB164"/>
      <c r="AC164"/>
    </row>
    <row r="165" spans="11:31" x14ac:dyDescent="0.25">
      <c r="K165"/>
      <c r="L165"/>
      <c r="M165"/>
      <c r="N165"/>
      <c r="O165"/>
      <c r="P165"/>
      <c r="Q165"/>
      <c r="R165"/>
      <c r="S165"/>
      <c r="T165"/>
      <c r="U165"/>
      <c r="V165"/>
      <c r="W165"/>
      <c r="X165"/>
      <c r="Y165"/>
      <c r="Z165"/>
      <c r="AA165"/>
      <c r="AB165"/>
      <c r="AC165"/>
    </row>
    <row r="166" spans="11:31" x14ac:dyDescent="0.25">
      <c r="K166"/>
      <c r="L166"/>
      <c r="M166"/>
      <c r="N166"/>
      <c r="O166"/>
      <c r="P166"/>
      <c r="Q166"/>
      <c r="R166"/>
      <c r="S166"/>
      <c r="T166"/>
      <c r="U166"/>
      <c r="V166"/>
      <c r="W166"/>
      <c r="X166"/>
      <c r="Y166"/>
      <c r="Z166"/>
      <c r="AA166"/>
      <c r="AB166"/>
      <c r="AC166"/>
    </row>
    <row r="167" spans="11:31" x14ac:dyDescent="0.25">
      <c r="K167"/>
      <c r="L167"/>
      <c r="M167"/>
      <c r="N167"/>
      <c r="O167"/>
      <c r="P167"/>
      <c r="Q167"/>
      <c r="R167"/>
      <c r="S167"/>
      <c r="T167"/>
      <c r="U167"/>
      <c r="V167"/>
      <c r="W167"/>
      <c r="X167"/>
      <c r="Y167"/>
      <c r="Z167"/>
      <c r="AA167"/>
      <c r="AB167"/>
      <c r="AC167"/>
    </row>
    <row r="168" spans="11:31" x14ac:dyDescent="0.25">
      <c r="K168"/>
      <c r="L168"/>
      <c r="M168"/>
      <c r="N168"/>
      <c r="O168"/>
      <c r="P168"/>
      <c r="Q168"/>
      <c r="R168"/>
      <c r="S168"/>
      <c r="T168"/>
      <c r="U168"/>
      <c r="V168"/>
      <c r="W168"/>
      <c r="X168"/>
      <c r="Y168"/>
      <c r="Z168"/>
      <c r="AA168"/>
      <c r="AB168"/>
      <c r="AC168"/>
    </row>
    <row r="169" spans="11:31" x14ac:dyDescent="0.25">
      <c r="K169"/>
      <c r="L169"/>
      <c r="M169"/>
      <c r="N169"/>
      <c r="O169"/>
      <c r="P169"/>
      <c r="Q169"/>
      <c r="R169"/>
      <c r="S169"/>
      <c r="T169"/>
      <c r="U169"/>
      <c r="V169"/>
      <c r="W169"/>
      <c r="X169"/>
      <c r="Y169"/>
      <c r="Z169"/>
      <c r="AA169"/>
      <c r="AB169"/>
      <c r="AC169"/>
    </row>
    <row r="170" spans="11:31" x14ac:dyDescent="0.25">
      <c r="K170"/>
      <c r="L170"/>
      <c r="M170"/>
      <c r="N170"/>
      <c r="O170"/>
      <c r="P170"/>
      <c r="Q170"/>
      <c r="R170"/>
      <c r="S170"/>
      <c r="T170"/>
      <c r="U170"/>
      <c r="V170"/>
      <c r="W170"/>
      <c r="X170"/>
      <c r="Y170"/>
      <c r="Z170"/>
      <c r="AA170"/>
      <c r="AB170"/>
      <c r="AC170"/>
    </row>
    <row r="171" spans="11:31" x14ac:dyDescent="0.25">
      <c r="K171"/>
      <c r="L171"/>
      <c r="M171"/>
      <c r="N171"/>
      <c r="O171"/>
      <c r="P171"/>
      <c r="Q171"/>
      <c r="R171"/>
      <c r="S171"/>
      <c r="T171"/>
      <c r="U171"/>
      <c r="V171"/>
      <c r="W171"/>
      <c r="X171"/>
      <c r="Y171"/>
      <c r="Z171"/>
      <c r="AA171"/>
      <c r="AB171"/>
      <c r="AC171"/>
    </row>
    <row r="172" spans="11:31" x14ac:dyDescent="0.25">
      <c r="K172"/>
      <c r="L172"/>
      <c r="M172"/>
      <c r="N172"/>
      <c r="O172"/>
      <c r="P172"/>
      <c r="Q172"/>
      <c r="R172"/>
      <c r="S172"/>
      <c r="T172"/>
      <c r="U172"/>
      <c r="V172"/>
      <c r="W172"/>
      <c r="X172"/>
      <c r="Y172"/>
      <c r="Z172"/>
      <c r="AA172"/>
      <c r="AB172"/>
      <c r="AC172"/>
    </row>
    <row r="173" spans="11:31" x14ac:dyDescent="0.25">
      <c r="K173"/>
      <c r="L173"/>
      <c r="M173"/>
      <c r="N173"/>
      <c r="O173"/>
      <c r="P173"/>
      <c r="Q173"/>
      <c r="R173"/>
      <c r="S173"/>
      <c r="T173"/>
      <c r="U173"/>
      <c r="V173"/>
      <c r="W173"/>
      <c r="X173"/>
      <c r="Y173"/>
      <c r="Z173"/>
      <c r="AA173"/>
      <c r="AB173"/>
      <c r="AC173"/>
    </row>
    <row r="174" spans="11:31" x14ac:dyDescent="0.25">
      <c r="K174"/>
      <c r="L174"/>
      <c r="M174"/>
      <c r="N174"/>
      <c r="O174"/>
      <c r="P174"/>
      <c r="Q174"/>
      <c r="R174"/>
      <c r="S174"/>
      <c r="T174"/>
      <c r="U174"/>
      <c r="V174"/>
      <c r="W174"/>
      <c r="X174"/>
      <c r="Y174"/>
      <c r="Z174"/>
      <c r="AA174"/>
      <c r="AB174"/>
      <c r="AC174"/>
    </row>
    <row r="175" spans="11:31" x14ac:dyDescent="0.25">
      <c r="K175"/>
      <c r="L175"/>
      <c r="AD175" s="465"/>
      <c r="AE175" s="465"/>
    </row>
  </sheetData>
  <sheetProtection selectLockedCells="1" selectUnlockedCells="1"/>
  <mergeCells count="2">
    <mergeCell ref="B1:I1"/>
    <mergeCell ref="B28:C28"/>
  </mergeCells>
  <pageMargins left="0.7" right="0.7" top="0.75" bottom="0.75" header="0.51180555555555551" footer="0.51180555555555551"/>
  <pageSetup paperSize="9" firstPageNumber="0"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2:U979"/>
  <sheetViews>
    <sheetView topLeftCell="A8" workbookViewId="0">
      <selection activeCell="H942" sqref="H942"/>
    </sheetView>
  </sheetViews>
  <sheetFormatPr baseColWidth="10" defaultRowHeight="15" x14ac:dyDescent="0.25"/>
  <cols>
    <col min="1" max="1" width="20" customWidth="1"/>
    <col min="2" max="2" width="23.28515625" customWidth="1"/>
    <col min="3" max="3" width="24.42578125" customWidth="1"/>
    <col min="4" max="4" width="22.7109375" customWidth="1"/>
    <col min="5" max="6" width="24.42578125" customWidth="1"/>
    <col min="7" max="7" width="25.7109375" bestFit="1" customWidth="1"/>
    <col min="8" max="8" width="27.140625" bestFit="1" customWidth="1"/>
    <col min="9" max="10" width="24.28515625" customWidth="1"/>
    <col min="11" max="11" width="18.28515625" customWidth="1"/>
    <col min="12" max="12" width="19.42578125" bestFit="1" customWidth="1"/>
    <col min="13" max="13" width="19" bestFit="1" customWidth="1"/>
    <col min="14" max="14" width="17" customWidth="1"/>
    <col min="15" max="15" width="15.42578125" customWidth="1"/>
    <col min="16" max="16" width="22.28515625" customWidth="1"/>
    <col min="17" max="17" width="16.42578125" customWidth="1"/>
    <col min="18" max="18" width="17.28515625" customWidth="1"/>
    <col min="19" max="19" width="15.42578125" customWidth="1"/>
  </cols>
  <sheetData>
    <row r="2" spans="1:10" ht="15" customHeight="1" x14ac:dyDescent="0.25">
      <c r="A2" s="1010" t="s">
        <v>418</v>
      </c>
      <c r="B2" s="1010"/>
      <c r="C2" s="1010"/>
      <c r="D2" s="1010"/>
      <c r="E2" s="1010"/>
      <c r="F2" s="1010"/>
      <c r="G2" s="1010"/>
      <c r="H2" s="1010"/>
    </row>
    <row r="3" spans="1:10" ht="15" customHeight="1" x14ac:dyDescent="0.25">
      <c r="A3" s="1010"/>
      <c r="B3" s="1010"/>
      <c r="C3" s="1010"/>
      <c r="D3" s="1010"/>
      <c r="E3" s="1010"/>
      <c r="F3" s="1010"/>
      <c r="G3" s="1010"/>
      <c r="H3" s="1010"/>
    </row>
    <row r="5" spans="1:10" x14ac:dyDescent="0.25">
      <c r="A5" t="s">
        <v>419</v>
      </c>
      <c r="B5" t="s">
        <v>420</v>
      </c>
      <c r="C5" t="s">
        <v>421</v>
      </c>
      <c r="D5" t="s">
        <v>422</v>
      </c>
      <c r="E5" t="s">
        <v>423</v>
      </c>
      <c r="F5" t="s">
        <v>424</v>
      </c>
      <c r="G5" t="s">
        <v>425</v>
      </c>
      <c r="H5" t="s">
        <v>426</v>
      </c>
      <c r="I5" t="s">
        <v>96</v>
      </c>
    </row>
    <row r="6" spans="1:10" x14ac:dyDescent="0.25">
      <c r="A6" t="s">
        <v>427</v>
      </c>
      <c r="B6" s="173">
        <v>3682800</v>
      </c>
      <c r="C6" s="173">
        <v>4583200</v>
      </c>
      <c r="D6" s="173">
        <v>4814700</v>
      </c>
      <c r="E6" s="173">
        <v>5650600</v>
      </c>
      <c r="F6" s="173">
        <v>9561600</v>
      </c>
      <c r="G6" s="173">
        <v>11253100</v>
      </c>
      <c r="H6" s="173">
        <v>11553100</v>
      </c>
      <c r="I6" s="530">
        <f>SUM('[1]CONSOLIDADO '!$B6:$H6)</f>
        <v>51099100</v>
      </c>
    </row>
    <row r="7" spans="1:10" x14ac:dyDescent="0.25">
      <c r="A7" t="s">
        <v>428</v>
      </c>
      <c r="B7" s="173">
        <v>2660400</v>
      </c>
      <c r="C7" s="173">
        <v>2645800</v>
      </c>
      <c r="D7" s="173">
        <v>2735300</v>
      </c>
      <c r="E7" s="173">
        <v>3816400</v>
      </c>
      <c r="F7" s="173">
        <v>5269500</v>
      </c>
      <c r="G7" s="173">
        <v>6317500</v>
      </c>
      <c r="H7" s="173">
        <v>6424200</v>
      </c>
      <c r="I7" s="530">
        <f>SUM('[1]CONSOLIDADO '!$B7:$H7)</f>
        <v>29869100</v>
      </c>
    </row>
    <row r="8" spans="1:10" x14ac:dyDescent="0.25">
      <c r="A8" t="s">
        <v>429</v>
      </c>
      <c r="B8" s="173">
        <v>0</v>
      </c>
      <c r="C8" s="173">
        <v>357700</v>
      </c>
      <c r="D8" s="173">
        <v>1234200</v>
      </c>
      <c r="E8" s="173">
        <v>1471000</v>
      </c>
      <c r="F8" s="173">
        <v>3588200</v>
      </c>
      <c r="G8" s="173">
        <v>3893500</v>
      </c>
      <c r="H8" s="173">
        <v>3002300</v>
      </c>
      <c r="I8" s="530">
        <f>SUM('[1]CONSOLIDADO '!$B8:$H8)</f>
        <v>13546900</v>
      </c>
    </row>
    <row r="9" spans="1:10" x14ac:dyDescent="0.25">
      <c r="A9" t="s">
        <v>430</v>
      </c>
      <c r="B9" s="173">
        <v>0</v>
      </c>
      <c r="C9" s="173">
        <v>0</v>
      </c>
      <c r="D9" s="173">
        <v>0</v>
      </c>
      <c r="E9" s="173">
        <v>1181800</v>
      </c>
      <c r="F9" s="173">
        <v>3542900</v>
      </c>
      <c r="G9" s="173">
        <v>4929100</v>
      </c>
      <c r="H9" s="173">
        <v>5513400</v>
      </c>
      <c r="I9" s="530">
        <f>SUM('[1]CONSOLIDADO '!$B9:$H9)</f>
        <v>15167200</v>
      </c>
    </row>
    <row r="10" spans="1:10" x14ac:dyDescent="0.25">
      <c r="A10" s="531" t="s">
        <v>10</v>
      </c>
      <c r="B10" s="530">
        <f t="shared" ref="B10:H10" si="0">SUM(B6:B9)</f>
        <v>6343200</v>
      </c>
      <c r="C10" s="530">
        <f t="shared" si="0"/>
        <v>7586700</v>
      </c>
      <c r="D10" s="530">
        <f t="shared" si="0"/>
        <v>8784200</v>
      </c>
      <c r="E10" s="530">
        <f t="shared" si="0"/>
        <v>12119800</v>
      </c>
      <c r="F10" s="530">
        <f t="shared" si="0"/>
        <v>21962200</v>
      </c>
      <c r="G10" s="530">
        <f t="shared" si="0"/>
        <v>26393200</v>
      </c>
      <c r="H10" s="530">
        <f t="shared" si="0"/>
        <v>26493000</v>
      </c>
      <c r="I10" s="530">
        <f>SUM('[1]CONSOLIDADO '!$B10:$H10)</f>
        <v>109682300</v>
      </c>
    </row>
    <row r="12" spans="1:10" ht="30" x14ac:dyDescent="0.25">
      <c r="A12" t="s">
        <v>419</v>
      </c>
      <c r="B12" s="532" t="s">
        <v>431</v>
      </c>
      <c r="C12" s="532" t="s">
        <v>432</v>
      </c>
      <c r="D12" s="532" t="s">
        <v>433</v>
      </c>
      <c r="E12" s="532" t="s">
        <v>434</v>
      </c>
      <c r="F12" s="532" t="s">
        <v>435</v>
      </c>
      <c r="G12" s="532" t="s">
        <v>436</v>
      </c>
      <c r="H12" s="532" t="s">
        <v>437</v>
      </c>
      <c r="I12" s="532" t="s">
        <v>96</v>
      </c>
      <c r="J12" s="533" t="s">
        <v>438</v>
      </c>
    </row>
    <row r="13" spans="1:10" x14ac:dyDescent="0.25">
      <c r="A13" t="s">
        <v>427</v>
      </c>
      <c r="B13" s="173">
        <v>11807300</v>
      </c>
      <c r="C13" s="173">
        <v>3737700</v>
      </c>
      <c r="D13" s="173">
        <v>3760100</v>
      </c>
      <c r="E13" s="173">
        <v>5313100</v>
      </c>
      <c r="F13" s="173">
        <v>9864800</v>
      </c>
      <c r="G13" s="173">
        <v>13514800</v>
      </c>
      <c r="H13" s="173">
        <v>13223800</v>
      </c>
      <c r="I13" s="530">
        <f>SUM('[1]CONSOLIDADO '!$B13:$H13)</f>
        <v>61221600</v>
      </c>
      <c r="J13" s="534">
        <f>'[1]CONSOLIDADO '!$I13-I6</f>
        <v>10122500</v>
      </c>
    </row>
    <row r="14" spans="1:10" x14ac:dyDescent="0.25">
      <c r="A14" t="s">
        <v>428</v>
      </c>
      <c r="B14" s="173">
        <v>6043300</v>
      </c>
      <c r="C14" s="173">
        <v>1937500</v>
      </c>
      <c r="D14" s="173">
        <v>1877600</v>
      </c>
      <c r="E14" s="173">
        <v>2543100</v>
      </c>
      <c r="F14" s="173">
        <v>5860000</v>
      </c>
      <c r="G14" s="173">
        <v>8861800</v>
      </c>
      <c r="H14" s="173">
        <v>7227800</v>
      </c>
      <c r="I14" s="530">
        <f>SUM('[1]CONSOLIDADO '!$B14:$H14)</f>
        <v>34351100</v>
      </c>
      <c r="J14" s="534">
        <f>'[1]CONSOLIDADO '!$I14-I7</f>
        <v>4482000</v>
      </c>
    </row>
    <row r="15" spans="1:10" x14ac:dyDescent="0.25">
      <c r="A15" t="s">
        <v>429</v>
      </c>
      <c r="B15" s="173">
        <v>2974300</v>
      </c>
      <c r="C15" s="173">
        <v>1325200</v>
      </c>
      <c r="D15" s="173">
        <v>1336800</v>
      </c>
      <c r="E15" s="173">
        <v>1815500</v>
      </c>
      <c r="F15" s="173">
        <v>3575700</v>
      </c>
      <c r="G15" s="173">
        <v>5158100</v>
      </c>
      <c r="H15" s="173">
        <v>5690800</v>
      </c>
      <c r="I15" s="530">
        <f>SUM('[1]CONSOLIDADO '!$B15:$H15)</f>
        <v>21876400</v>
      </c>
      <c r="J15" s="534">
        <f>'[1]CONSOLIDADO '!$I15-I8</f>
        <v>8329500</v>
      </c>
    </row>
    <row r="16" spans="1:10" x14ac:dyDescent="0.25">
      <c r="A16" t="s">
        <v>430</v>
      </c>
      <c r="B16" s="173">
        <v>8010700</v>
      </c>
      <c r="C16" s="173">
        <v>2462400</v>
      </c>
      <c r="D16" s="173">
        <v>3346600</v>
      </c>
      <c r="E16" s="173">
        <v>3607000</v>
      </c>
      <c r="F16" s="173">
        <v>7766700</v>
      </c>
      <c r="G16" s="173">
        <v>10244000</v>
      </c>
      <c r="H16" s="173">
        <v>10258300</v>
      </c>
      <c r="I16" s="530">
        <f>SUM('[1]CONSOLIDADO '!$B16:$H16)</f>
        <v>45695700</v>
      </c>
      <c r="J16" s="534">
        <f>'[1]CONSOLIDADO '!$I16-I9</f>
        <v>30528500</v>
      </c>
    </row>
    <row r="17" spans="1:10" x14ac:dyDescent="0.25">
      <c r="A17" s="531" t="s">
        <v>10</v>
      </c>
      <c r="B17" s="530">
        <f t="shared" ref="B17:H17" si="1">SUM(B13:B16)</f>
        <v>28835600</v>
      </c>
      <c r="C17" s="530">
        <f t="shared" si="1"/>
        <v>9462800</v>
      </c>
      <c r="D17" s="530">
        <f t="shared" si="1"/>
        <v>10321100</v>
      </c>
      <c r="E17" s="530">
        <f t="shared" si="1"/>
        <v>13278700</v>
      </c>
      <c r="F17" s="530">
        <f t="shared" si="1"/>
        <v>27067200</v>
      </c>
      <c r="G17" s="530">
        <f t="shared" si="1"/>
        <v>37778700</v>
      </c>
      <c r="H17" s="530">
        <f t="shared" si="1"/>
        <v>36400700</v>
      </c>
      <c r="I17" s="530">
        <f>SUM('[1]CONSOLIDADO '!$B17:$H17)</f>
        <v>163144800</v>
      </c>
      <c r="J17" s="534">
        <f>'[1]CONSOLIDADO '!$I17-I10</f>
        <v>53462500</v>
      </c>
    </row>
    <row r="19" spans="1:10" ht="30.75" thickBot="1" x14ac:dyDescent="0.3">
      <c r="A19" s="535" t="s">
        <v>419</v>
      </c>
      <c r="B19" s="536" t="s">
        <v>439</v>
      </c>
      <c r="C19" s="536" t="s">
        <v>440</v>
      </c>
      <c r="D19" s="536" t="s">
        <v>441</v>
      </c>
      <c r="E19" s="536" t="s">
        <v>442</v>
      </c>
      <c r="F19" s="536" t="s">
        <v>443</v>
      </c>
      <c r="G19" s="536" t="s">
        <v>444</v>
      </c>
      <c r="H19" s="536" t="s">
        <v>445</v>
      </c>
      <c r="I19" s="536" t="s">
        <v>96</v>
      </c>
      <c r="J19" s="537" t="s">
        <v>438</v>
      </c>
    </row>
    <row r="20" spans="1:10" ht="15.75" thickTop="1" x14ac:dyDescent="0.25">
      <c r="A20" s="538" t="s">
        <v>427</v>
      </c>
      <c r="B20" s="539">
        <v>3728700</v>
      </c>
      <c r="C20" s="539">
        <v>3875700</v>
      </c>
      <c r="D20" s="539">
        <v>4532300</v>
      </c>
      <c r="E20" s="539">
        <v>5097600</v>
      </c>
      <c r="F20" s="539">
        <v>11128600</v>
      </c>
      <c r="G20" s="539">
        <v>14110700</v>
      </c>
      <c r="H20" s="539">
        <v>14699800</v>
      </c>
      <c r="I20" s="540">
        <f>SUM('[1]CONSOLIDADO '!$B20:$H20)</f>
        <v>57173400</v>
      </c>
      <c r="J20" s="541">
        <f>I20-I13</f>
        <v>-4048200</v>
      </c>
    </row>
    <row r="21" spans="1:10" x14ac:dyDescent="0.25">
      <c r="A21" s="542" t="s">
        <v>428</v>
      </c>
      <c r="B21" s="543">
        <v>1399900</v>
      </c>
      <c r="C21" s="543">
        <v>2203400</v>
      </c>
      <c r="D21" s="543">
        <v>2640700</v>
      </c>
      <c r="E21" s="543">
        <v>2544500</v>
      </c>
      <c r="F21" s="543">
        <v>7239600</v>
      </c>
      <c r="G21" s="543">
        <v>9464100</v>
      </c>
      <c r="H21" s="543">
        <v>10435300</v>
      </c>
      <c r="I21" s="544">
        <f>SUM('[1]CONSOLIDADO '!$B21:$H21)</f>
        <v>35927500</v>
      </c>
      <c r="J21" s="545">
        <f>I21-I14</f>
        <v>1576400</v>
      </c>
    </row>
    <row r="22" spans="1:10" x14ac:dyDescent="0.25">
      <c r="A22" s="538" t="s">
        <v>429</v>
      </c>
      <c r="B22" s="539">
        <v>1837800</v>
      </c>
      <c r="C22" s="539">
        <v>997500</v>
      </c>
      <c r="D22" s="539">
        <v>1964800</v>
      </c>
      <c r="E22" s="539">
        <v>1861200</v>
      </c>
      <c r="F22" s="539">
        <v>6071600</v>
      </c>
      <c r="G22" s="539">
        <v>6633100</v>
      </c>
      <c r="H22" s="539">
        <v>7055900</v>
      </c>
      <c r="I22" s="540">
        <f>SUM('[1]CONSOLIDADO '!$B22:$H22)</f>
        <v>26421900</v>
      </c>
      <c r="J22" s="546">
        <f>I22-I15</f>
        <v>4545500</v>
      </c>
    </row>
    <row r="23" spans="1:10" x14ac:dyDescent="0.25">
      <c r="A23" s="542" t="s">
        <v>430</v>
      </c>
      <c r="B23" s="543">
        <v>3492300</v>
      </c>
      <c r="C23" s="543">
        <v>3409400</v>
      </c>
      <c r="D23" s="543">
        <v>3808700</v>
      </c>
      <c r="E23" s="543">
        <v>3946700</v>
      </c>
      <c r="F23" s="543">
        <v>8080400</v>
      </c>
      <c r="G23" s="543">
        <v>8565100</v>
      </c>
      <c r="H23" s="543">
        <v>11134700</v>
      </c>
      <c r="I23" s="544">
        <f>SUM('[1]CONSOLIDADO '!$B23:$H23)</f>
        <v>42437300</v>
      </c>
      <c r="J23" s="545">
        <f>I23-I16</f>
        <v>-3258400</v>
      </c>
    </row>
    <row r="24" spans="1:10" x14ac:dyDescent="0.25">
      <c r="A24" s="547" t="s">
        <v>10</v>
      </c>
      <c r="B24" s="548">
        <f t="shared" ref="B24:H24" si="2">SUM(B20:B23)</f>
        <v>10458700</v>
      </c>
      <c r="C24" s="548">
        <f t="shared" si="2"/>
        <v>10486000</v>
      </c>
      <c r="D24" s="548">
        <f t="shared" si="2"/>
        <v>12946500</v>
      </c>
      <c r="E24" s="548">
        <f t="shared" si="2"/>
        <v>13450000</v>
      </c>
      <c r="F24" s="548">
        <f t="shared" si="2"/>
        <v>32520200</v>
      </c>
      <c r="G24" s="548">
        <f t="shared" si="2"/>
        <v>38773000</v>
      </c>
      <c r="H24" s="548">
        <f t="shared" si="2"/>
        <v>43325700</v>
      </c>
      <c r="I24" s="548">
        <f>SUM('[1]CONSOLIDADO '!$B24:$H24)</f>
        <v>161960100</v>
      </c>
      <c r="J24" s="549">
        <f>I24-I17</f>
        <v>-1184700</v>
      </c>
    </row>
    <row r="26" spans="1:10" ht="30.75" thickBot="1" x14ac:dyDescent="0.3">
      <c r="A26" s="535" t="s">
        <v>419</v>
      </c>
      <c r="B26" s="550" t="s">
        <v>446</v>
      </c>
      <c r="C26" s="536" t="s">
        <v>447</v>
      </c>
      <c r="D26" s="536" t="s">
        <v>448</v>
      </c>
      <c r="E26" s="536" t="s">
        <v>449</v>
      </c>
      <c r="F26" s="536" t="s">
        <v>450</v>
      </c>
      <c r="G26" s="536" t="s">
        <v>451</v>
      </c>
      <c r="H26" s="536" t="s">
        <v>452</v>
      </c>
      <c r="I26" s="536" t="s">
        <v>96</v>
      </c>
      <c r="J26" s="537" t="s">
        <v>438</v>
      </c>
    </row>
    <row r="27" spans="1:10" ht="15.75" thickTop="1" x14ac:dyDescent="0.25">
      <c r="A27" s="538" t="s">
        <v>427</v>
      </c>
      <c r="B27" s="539">
        <v>14880900</v>
      </c>
      <c r="C27" s="539">
        <v>3040100</v>
      </c>
      <c r="D27" s="539">
        <v>2642500</v>
      </c>
      <c r="E27" s="539">
        <v>5472300</v>
      </c>
      <c r="F27" s="539">
        <v>11753300</v>
      </c>
      <c r="G27" s="539">
        <v>14756000</v>
      </c>
      <c r="H27" s="539">
        <v>14062000</v>
      </c>
      <c r="I27" s="540">
        <f>SUM('[1]CONSOLIDADO '!$B27:$H27)</f>
        <v>66607100</v>
      </c>
      <c r="J27" s="541">
        <f>I27-I20</f>
        <v>9433700</v>
      </c>
    </row>
    <row r="28" spans="1:10" x14ac:dyDescent="0.25">
      <c r="A28" s="542" t="s">
        <v>428</v>
      </c>
      <c r="B28" s="543">
        <v>8600300</v>
      </c>
      <c r="C28" s="543">
        <v>2378900</v>
      </c>
      <c r="D28" s="543">
        <v>2422000</v>
      </c>
      <c r="E28" s="543">
        <v>2112700</v>
      </c>
      <c r="F28" s="543">
        <v>7538600</v>
      </c>
      <c r="G28" s="543">
        <v>8390200</v>
      </c>
      <c r="H28" s="543">
        <v>8106500</v>
      </c>
      <c r="I28" s="544">
        <f>SUM('[1]CONSOLIDADO '!$B28:$H28)</f>
        <v>39549200</v>
      </c>
      <c r="J28" s="541">
        <f>I28-I21</f>
        <v>3621700</v>
      </c>
    </row>
    <row r="29" spans="1:10" x14ac:dyDescent="0.25">
      <c r="A29" s="538" t="s">
        <v>429</v>
      </c>
      <c r="B29" s="539">
        <v>6166400</v>
      </c>
      <c r="C29" s="539">
        <v>1322700</v>
      </c>
      <c r="D29" s="539">
        <v>1925000</v>
      </c>
      <c r="E29" s="539">
        <v>2544700</v>
      </c>
      <c r="F29" s="539">
        <v>5134500</v>
      </c>
      <c r="G29" s="539">
        <v>6347700</v>
      </c>
      <c r="H29" s="539">
        <v>8483500</v>
      </c>
      <c r="I29" s="540">
        <f>SUM('[1]CONSOLIDADO '!$B29:$H29)</f>
        <v>31924500</v>
      </c>
      <c r="J29" s="541">
        <f>I29-I22</f>
        <v>5502600</v>
      </c>
    </row>
    <row r="30" spans="1:10" x14ac:dyDescent="0.25">
      <c r="A30" s="542" t="s">
        <v>430</v>
      </c>
      <c r="B30" s="543">
        <v>12202800</v>
      </c>
      <c r="C30" s="543">
        <v>3312500</v>
      </c>
      <c r="D30" s="543">
        <v>3996000</v>
      </c>
      <c r="E30" s="543">
        <v>3813100</v>
      </c>
      <c r="F30" s="543">
        <v>8771100</v>
      </c>
      <c r="G30" s="543">
        <v>10147700</v>
      </c>
      <c r="H30" s="543">
        <v>12751900</v>
      </c>
      <c r="I30" s="544">
        <f>SUM('[1]CONSOLIDADO '!$B30:$H30)</f>
        <v>54995100</v>
      </c>
      <c r="J30" s="541">
        <f>I30-I23</f>
        <v>12557800</v>
      </c>
    </row>
    <row r="31" spans="1:10" x14ac:dyDescent="0.25">
      <c r="A31" s="547" t="s">
        <v>10</v>
      </c>
      <c r="B31" s="548">
        <f t="shared" ref="B31:H31" si="3">SUM(B27:B30)</f>
        <v>41850400</v>
      </c>
      <c r="C31" s="548">
        <f t="shared" si="3"/>
        <v>10054200</v>
      </c>
      <c r="D31" s="548">
        <f t="shared" si="3"/>
        <v>10985500</v>
      </c>
      <c r="E31" s="548">
        <f t="shared" si="3"/>
        <v>13942800</v>
      </c>
      <c r="F31" s="548">
        <f t="shared" si="3"/>
        <v>33197500</v>
      </c>
      <c r="G31" s="548">
        <f t="shared" si="3"/>
        <v>39641600</v>
      </c>
      <c r="H31" s="548">
        <f t="shared" si="3"/>
        <v>43403900</v>
      </c>
      <c r="I31" s="548">
        <f>SUM('[1]CONSOLIDADO '!$B31:$H31)</f>
        <v>193075900</v>
      </c>
      <c r="J31" s="541">
        <f>I31-I24</f>
        <v>31115800</v>
      </c>
    </row>
    <row r="33" spans="1:10" ht="30.75" thickBot="1" x14ac:dyDescent="0.3">
      <c r="A33" s="551" t="s">
        <v>419</v>
      </c>
      <c r="B33" s="232" t="s">
        <v>453</v>
      </c>
      <c r="C33" s="232" t="s">
        <v>454</v>
      </c>
      <c r="D33" s="232" t="s">
        <v>455</v>
      </c>
      <c r="E33" s="232" t="s">
        <v>456</v>
      </c>
      <c r="F33" s="232" t="s">
        <v>457</v>
      </c>
      <c r="G33" s="232" t="s">
        <v>458</v>
      </c>
      <c r="H33" s="232" t="s">
        <v>459</v>
      </c>
      <c r="I33" s="232" t="s">
        <v>96</v>
      </c>
      <c r="J33" s="552" t="s">
        <v>438</v>
      </c>
    </row>
    <row r="34" spans="1:10" ht="15.75" thickTop="1" x14ac:dyDescent="0.25">
      <c r="A34" s="553" t="s">
        <v>427</v>
      </c>
      <c r="B34" s="539">
        <v>3892000</v>
      </c>
      <c r="C34" s="539">
        <v>4203400</v>
      </c>
      <c r="D34" s="539">
        <v>4858100</v>
      </c>
      <c r="E34" s="539">
        <v>4783500</v>
      </c>
      <c r="F34" s="539">
        <v>11408400</v>
      </c>
      <c r="G34" s="539">
        <v>14050400</v>
      </c>
      <c r="H34" s="539">
        <v>13526300</v>
      </c>
      <c r="I34" s="540">
        <f>SUM('[1]CONSOLIDADO '!$B34:$H34)</f>
        <v>56722100</v>
      </c>
      <c r="J34" s="554">
        <f>I34-I27</f>
        <v>-9885000</v>
      </c>
    </row>
    <row r="35" spans="1:10" x14ac:dyDescent="0.25">
      <c r="A35" s="555" t="s">
        <v>428</v>
      </c>
      <c r="B35" s="543">
        <v>1916900</v>
      </c>
      <c r="C35" s="543">
        <v>2374000</v>
      </c>
      <c r="D35" s="543">
        <v>2545700</v>
      </c>
      <c r="E35" s="543">
        <v>3261600</v>
      </c>
      <c r="F35" s="543">
        <v>6841800</v>
      </c>
      <c r="G35" s="543">
        <v>9123800</v>
      </c>
      <c r="H35" s="543">
        <v>9043700</v>
      </c>
      <c r="I35" s="544">
        <f>SUM('[1]CONSOLIDADO '!$B35:$H35)</f>
        <v>35107500</v>
      </c>
      <c r="J35" s="554">
        <f>I35-I28</f>
        <v>-4441700</v>
      </c>
    </row>
    <row r="36" spans="1:10" x14ac:dyDescent="0.25">
      <c r="A36" s="553" t="s">
        <v>429</v>
      </c>
      <c r="B36" s="539">
        <v>1599100</v>
      </c>
      <c r="C36" s="539">
        <v>1751900</v>
      </c>
      <c r="D36" s="539">
        <v>1802100</v>
      </c>
      <c r="E36" s="539">
        <v>2538700</v>
      </c>
      <c r="F36" s="539">
        <v>6116800</v>
      </c>
      <c r="G36" s="539">
        <v>8395500</v>
      </c>
      <c r="H36" s="539">
        <v>7930300</v>
      </c>
      <c r="I36" s="540">
        <f>SUM('[1]CONSOLIDADO '!$B36:$H36)</f>
        <v>30134400</v>
      </c>
      <c r="J36" s="554">
        <f>I36-I29</f>
        <v>-1790100</v>
      </c>
    </row>
    <row r="37" spans="1:10" x14ac:dyDescent="0.25">
      <c r="A37" s="555" t="s">
        <v>430</v>
      </c>
      <c r="B37" s="543">
        <v>3119700</v>
      </c>
      <c r="C37" s="543">
        <v>4566600</v>
      </c>
      <c r="D37" s="543">
        <v>4536100</v>
      </c>
      <c r="E37" s="543">
        <v>4404300</v>
      </c>
      <c r="F37" s="543">
        <v>8181300</v>
      </c>
      <c r="G37" s="543">
        <v>10469200</v>
      </c>
      <c r="H37" s="543">
        <v>11432600</v>
      </c>
      <c r="I37" s="544">
        <f>SUM('[1]CONSOLIDADO '!$B37:$H37)</f>
        <v>46709800</v>
      </c>
      <c r="J37" s="554">
        <f>I37-I30</f>
        <v>-8285300</v>
      </c>
    </row>
    <row r="38" spans="1:10" ht="15.75" thickBot="1" x14ac:dyDescent="0.3">
      <c r="A38" s="556" t="s">
        <v>10</v>
      </c>
      <c r="B38" s="557">
        <f t="shared" ref="B38:H38" si="4">SUM(B34:B37)</f>
        <v>10527700</v>
      </c>
      <c r="C38" s="557">
        <f t="shared" si="4"/>
        <v>12895900</v>
      </c>
      <c r="D38" s="557">
        <f t="shared" si="4"/>
        <v>13742000</v>
      </c>
      <c r="E38" s="557">
        <f t="shared" si="4"/>
        <v>14988100</v>
      </c>
      <c r="F38" s="557">
        <f t="shared" si="4"/>
        <v>32548300</v>
      </c>
      <c r="G38" s="557">
        <f t="shared" si="4"/>
        <v>42038900</v>
      </c>
      <c r="H38" s="557">
        <f t="shared" si="4"/>
        <v>41932900</v>
      </c>
      <c r="I38" s="557">
        <f>SUM('[1]CONSOLIDADO '!$B38:$H38)</f>
        <v>168673800</v>
      </c>
      <c r="J38" s="558">
        <f>I38-I31</f>
        <v>-24402100</v>
      </c>
    </row>
    <row r="40" spans="1:10" ht="30.75" thickBot="1" x14ac:dyDescent="0.3">
      <c r="A40" s="559" t="s">
        <v>419</v>
      </c>
      <c r="B40" s="560" t="s">
        <v>460</v>
      </c>
      <c r="C40" s="561" t="s">
        <v>461</v>
      </c>
      <c r="D40" s="561" t="s">
        <v>462</v>
      </c>
      <c r="E40" s="561" t="s">
        <v>463</v>
      </c>
      <c r="F40" s="561" t="s">
        <v>464</v>
      </c>
      <c r="G40" s="561" t="s">
        <v>465</v>
      </c>
      <c r="H40" s="561" t="s">
        <v>466</v>
      </c>
      <c r="I40" s="561" t="s">
        <v>96</v>
      </c>
      <c r="J40" s="562" t="s">
        <v>438</v>
      </c>
    </row>
    <row r="41" spans="1:10" ht="15.75" thickTop="1" x14ac:dyDescent="0.25">
      <c r="A41" s="563" t="s">
        <v>427</v>
      </c>
      <c r="B41" s="539">
        <v>15071400</v>
      </c>
      <c r="C41" s="539">
        <v>3135300</v>
      </c>
      <c r="D41" s="539">
        <v>4854200</v>
      </c>
      <c r="E41" s="539">
        <v>4562200</v>
      </c>
      <c r="F41" s="539">
        <v>9841200</v>
      </c>
      <c r="G41" s="539">
        <v>14163500</v>
      </c>
      <c r="H41" s="539">
        <v>14437800</v>
      </c>
      <c r="I41" s="540">
        <f>SUM('[1]CONSOLIDADO '!$B41:$H41)</f>
        <v>66065600</v>
      </c>
      <c r="J41" s="564">
        <f>I41-I34</f>
        <v>9343500</v>
      </c>
    </row>
    <row r="42" spans="1:10" x14ac:dyDescent="0.25">
      <c r="A42" s="565" t="s">
        <v>428</v>
      </c>
      <c r="B42" s="543">
        <v>7661000</v>
      </c>
      <c r="C42" s="543">
        <v>1830700</v>
      </c>
      <c r="D42" s="543">
        <v>2057100</v>
      </c>
      <c r="E42" s="543">
        <v>2273300</v>
      </c>
      <c r="F42" s="543">
        <v>7450400</v>
      </c>
      <c r="G42" s="543">
        <v>10100900</v>
      </c>
      <c r="H42" s="543">
        <v>8690700</v>
      </c>
      <c r="I42" s="544">
        <f>SUM('[1]CONSOLIDADO '!$B42:$H42)</f>
        <v>40064100</v>
      </c>
      <c r="J42" s="564">
        <f>I42-I35</f>
        <v>4956600</v>
      </c>
    </row>
    <row r="43" spans="1:10" x14ac:dyDescent="0.25">
      <c r="A43" s="563" t="s">
        <v>429</v>
      </c>
      <c r="B43" s="539">
        <v>6767100</v>
      </c>
      <c r="C43" s="539">
        <v>1722600</v>
      </c>
      <c r="D43" s="539">
        <v>2201900</v>
      </c>
      <c r="E43" s="539">
        <v>2004700</v>
      </c>
      <c r="F43" s="539">
        <v>4956800</v>
      </c>
      <c r="G43" s="539">
        <v>8258000</v>
      </c>
      <c r="H43" s="539">
        <v>6728600</v>
      </c>
      <c r="I43" s="540">
        <f>SUM('[1]CONSOLIDADO '!$B43:$H43)</f>
        <v>32639700</v>
      </c>
      <c r="J43" s="564">
        <f>I43-I36</f>
        <v>2505300</v>
      </c>
    </row>
    <row r="44" spans="1:10" x14ac:dyDescent="0.25">
      <c r="A44" s="565" t="s">
        <v>430</v>
      </c>
      <c r="B44" s="543">
        <v>10536900</v>
      </c>
      <c r="C44" s="543">
        <v>3961000</v>
      </c>
      <c r="D44" s="543">
        <v>3705000</v>
      </c>
      <c r="E44" s="543">
        <v>1979200</v>
      </c>
      <c r="F44" s="543">
        <v>12125900</v>
      </c>
      <c r="G44" s="543">
        <v>11365400</v>
      </c>
      <c r="H44" s="543">
        <v>11867500</v>
      </c>
      <c r="I44" s="544">
        <f>SUM('[1]CONSOLIDADO '!$B44:$H44)</f>
        <v>55540900</v>
      </c>
      <c r="J44" s="564">
        <f>I44-I37</f>
        <v>8831100</v>
      </c>
    </row>
    <row r="45" spans="1:10" x14ac:dyDescent="0.25">
      <c r="A45" s="566" t="s">
        <v>10</v>
      </c>
      <c r="B45" s="567">
        <f t="shared" ref="B45:H45" si="5">SUM(B41:B44)</f>
        <v>40036400</v>
      </c>
      <c r="C45" s="567">
        <f t="shared" si="5"/>
        <v>10649600</v>
      </c>
      <c r="D45" s="567">
        <f t="shared" si="5"/>
        <v>12818200</v>
      </c>
      <c r="E45" s="567">
        <f t="shared" si="5"/>
        <v>10819400</v>
      </c>
      <c r="F45" s="567">
        <f t="shared" si="5"/>
        <v>34374300</v>
      </c>
      <c r="G45" s="567">
        <f t="shared" si="5"/>
        <v>43887800</v>
      </c>
      <c r="H45" s="567">
        <f t="shared" si="5"/>
        <v>41724600</v>
      </c>
      <c r="I45" s="567">
        <f>SUM('[1]CONSOLIDADO '!$B45:$H45)</f>
        <v>194310300</v>
      </c>
      <c r="J45" s="568">
        <f>I45-I38</f>
        <v>25636500</v>
      </c>
    </row>
    <row r="47" spans="1:10" ht="30.75" thickBot="1" x14ac:dyDescent="0.3">
      <c r="A47" s="559" t="s">
        <v>419</v>
      </c>
      <c r="B47" s="561" t="s">
        <v>467</v>
      </c>
      <c r="C47" s="561" t="s">
        <v>468</v>
      </c>
      <c r="D47" s="561" t="s">
        <v>469</v>
      </c>
      <c r="E47" s="561" t="s">
        <v>470</v>
      </c>
      <c r="F47" s="561" t="s">
        <v>471</v>
      </c>
      <c r="G47" s="561" t="s">
        <v>472</v>
      </c>
      <c r="H47" s="561" t="s">
        <v>473</v>
      </c>
      <c r="I47" s="561" t="s">
        <v>96</v>
      </c>
      <c r="J47" s="562" t="s">
        <v>438</v>
      </c>
    </row>
    <row r="48" spans="1:10" ht="15.75" thickTop="1" x14ac:dyDescent="0.25">
      <c r="A48" s="563" t="s">
        <v>427</v>
      </c>
      <c r="B48" s="539">
        <v>4410500</v>
      </c>
      <c r="C48" s="539">
        <v>4543500</v>
      </c>
      <c r="D48" s="539">
        <v>4787500</v>
      </c>
      <c r="E48" s="539">
        <v>4971400</v>
      </c>
      <c r="F48" s="539">
        <v>9853300</v>
      </c>
      <c r="G48" s="539">
        <v>14662200</v>
      </c>
      <c r="H48" s="539">
        <v>16147100</v>
      </c>
      <c r="I48" s="540">
        <f>SUM('[1]CONSOLIDADO '!$B48:$H48)</f>
        <v>59375500</v>
      </c>
      <c r="J48" s="564">
        <f>I48-I41</f>
        <v>-6690100</v>
      </c>
    </row>
    <row r="49" spans="1:12" x14ac:dyDescent="0.25">
      <c r="A49" s="565" t="s">
        <v>428</v>
      </c>
      <c r="B49" s="543">
        <v>1450800</v>
      </c>
      <c r="C49" s="543">
        <v>3036500</v>
      </c>
      <c r="D49" s="543">
        <v>2502200</v>
      </c>
      <c r="E49" s="543">
        <v>3823700</v>
      </c>
      <c r="F49" s="543">
        <v>7656000</v>
      </c>
      <c r="G49" s="543">
        <v>11136600</v>
      </c>
      <c r="H49" s="543">
        <v>9329600</v>
      </c>
      <c r="I49" s="544">
        <f>SUM('[1]CONSOLIDADO '!$B49:$H49)</f>
        <v>38935400</v>
      </c>
      <c r="J49" s="564">
        <f>I49-I42</f>
        <v>-1128700</v>
      </c>
    </row>
    <row r="50" spans="1:12" x14ac:dyDescent="0.25">
      <c r="A50" s="563" t="s">
        <v>429</v>
      </c>
      <c r="B50" s="539">
        <v>2083600</v>
      </c>
      <c r="C50" s="539">
        <v>1917500</v>
      </c>
      <c r="D50" s="539">
        <v>2339600</v>
      </c>
      <c r="E50" s="539">
        <v>2780200</v>
      </c>
      <c r="F50" s="539">
        <v>6226100</v>
      </c>
      <c r="G50" s="539">
        <v>7538100</v>
      </c>
      <c r="H50" s="539">
        <v>6982500</v>
      </c>
      <c r="I50" s="540">
        <f>SUM('[1]CONSOLIDADO '!$B50:$H50)</f>
        <v>29867600</v>
      </c>
      <c r="J50" s="564">
        <f>I50-I43</f>
        <v>-2772100</v>
      </c>
    </row>
    <row r="51" spans="1:12" x14ac:dyDescent="0.25">
      <c r="A51" s="565" t="s">
        <v>430</v>
      </c>
      <c r="B51" s="543">
        <v>2894000</v>
      </c>
      <c r="C51" s="543">
        <v>4260100</v>
      </c>
      <c r="D51" s="543">
        <v>4807800</v>
      </c>
      <c r="E51" s="543">
        <v>5265400</v>
      </c>
      <c r="F51" s="543">
        <v>8930000</v>
      </c>
      <c r="G51" s="543">
        <v>11142500</v>
      </c>
      <c r="H51" s="543">
        <v>12147600</v>
      </c>
      <c r="I51" s="540">
        <f>SUM('[1]CONSOLIDADO '!$B51:$H51)</f>
        <v>49447400</v>
      </c>
      <c r="J51" s="564">
        <f>I51-I44</f>
        <v>-6093500</v>
      </c>
    </row>
    <row r="52" spans="1:12" x14ac:dyDescent="0.25">
      <c r="A52" s="566" t="s">
        <v>10</v>
      </c>
      <c r="B52" s="567">
        <f t="shared" ref="B52:H52" si="6">SUM(B48:B51)</f>
        <v>10838900</v>
      </c>
      <c r="C52" s="567">
        <f t="shared" si="6"/>
        <v>13757600</v>
      </c>
      <c r="D52" s="567">
        <f t="shared" si="6"/>
        <v>14437100</v>
      </c>
      <c r="E52" s="567">
        <f t="shared" si="6"/>
        <v>16840700</v>
      </c>
      <c r="F52" s="567">
        <f t="shared" si="6"/>
        <v>32665400</v>
      </c>
      <c r="G52" s="567">
        <f t="shared" si="6"/>
        <v>44479400</v>
      </c>
      <c r="H52" s="567">
        <f t="shared" si="6"/>
        <v>44606800</v>
      </c>
      <c r="I52" s="567">
        <f>SUM('[1]CONSOLIDADO '!$B52:$H52)</f>
        <v>177625900</v>
      </c>
      <c r="J52" s="568">
        <f>I52-I45</f>
        <v>-16684400</v>
      </c>
    </row>
    <row r="54" spans="1:12" ht="30.75" thickBot="1" x14ac:dyDescent="0.3">
      <c r="A54" s="559" t="s">
        <v>419</v>
      </c>
      <c r="B54" s="561" t="s">
        <v>474</v>
      </c>
      <c r="C54" s="561" t="s">
        <v>475</v>
      </c>
      <c r="D54" s="561" t="s">
        <v>476</v>
      </c>
      <c r="E54" s="561" t="s">
        <v>477</v>
      </c>
      <c r="F54" s="561" t="s">
        <v>478</v>
      </c>
      <c r="G54" s="561" t="s">
        <v>479</v>
      </c>
      <c r="H54" s="561" t="s">
        <v>480</v>
      </c>
      <c r="I54" s="561" t="s">
        <v>96</v>
      </c>
      <c r="J54" s="562" t="s">
        <v>438</v>
      </c>
    </row>
    <row r="55" spans="1:12" ht="15.75" thickTop="1" x14ac:dyDescent="0.25">
      <c r="A55" s="563" t="s">
        <v>427</v>
      </c>
      <c r="B55" s="539">
        <v>5159400</v>
      </c>
      <c r="C55" s="539">
        <v>4991200</v>
      </c>
      <c r="D55" s="539">
        <v>5983000</v>
      </c>
      <c r="E55" s="539">
        <v>6001100</v>
      </c>
      <c r="F55" s="539">
        <v>10764300</v>
      </c>
      <c r="G55" s="539">
        <v>16410700</v>
      </c>
      <c r="H55" s="539">
        <v>14078500</v>
      </c>
      <c r="I55" s="540">
        <f>SUM('[1]CONSOLIDADO '!$B55:$H55)</f>
        <v>63388200</v>
      </c>
      <c r="J55" s="564">
        <f>I55-I48</f>
        <v>4012700</v>
      </c>
      <c r="L55" s="89"/>
    </row>
    <row r="56" spans="1:12" x14ac:dyDescent="0.25">
      <c r="A56" s="565" t="s">
        <v>428</v>
      </c>
      <c r="B56" s="543">
        <v>2556300</v>
      </c>
      <c r="C56" s="543">
        <v>2388300</v>
      </c>
      <c r="D56" s="543">
        <v>3015300</v>
      </c>
      <c r="E56" s="543">
        <v>3784100</v>
      </c>
      <c r="F56" s="543">
        <v>6968900</v>
      </c>
      <c r="G56" s="543">
        <v>10762500</v>
      </c>
      <c r="H56" s="543">
        <v>9141300</v>
      </c>
      <c r="I56" s="544">
        <f>SUM('[1]CONSOLIDADO '!$B56:$H56)</f>
        <v>38616700</v>
      </c>
      <c r="J56" s="564">
        <f>I56-I49</f>
        <v>-318700</v>
      </c>
      <c r="L56" s="89"/>
    </row>
    <row r="57" spans="1:12" x14ac:dyDescent="0.25">
      <c r="A57" s="563" t="s">
        <v>429</v>
      </c>
      <c r="B57" s="539">
        <v>2870800</v>
      </c>
      <c r="C57" s="539">
        <v>3692200</v>
      </c>
      <c r="D57" s="539">
        <v>3672900</v>
      </c>
      <c r="E57" s="539">
        <v>3516100</v>
      </c>
      <c r="F57" s="539">
        <v>6132700</v>
      </c>
      <c r="G57" s="543">
        <v>6992200</v>
      </c>
      <c r="H57" s="543">
        <v>7113400</v>
      </c>
      <c r="I57" s="540">
        <f>SUM('[1]CONSOLIDADO '!$B57:$H57)</f>
        <v>33990300</v>
      </c>
      <c r="J57" s="564">
        <f>I57-I50</f>
        <v>4122700</v>
      </c>
      <c r="L57" s="89"/>
    </row>
    <row r="58" spans="1:12" x14ac:dyDescent="0.25">
      <c r="A58" s="565" t="s">
        <v>430</v>
      </c>
      <c r="B58" s="543">
        <v>4310200</v>
      </c>
      <c r="C58" s="543">
        <v>4001900</v>
      </c>
      <c r="D58" s="543">
        <v>3637900</v>
      </c>
      <c r="E58" s="543">
        <v>5354500</v>
      </c>
      <c r="F58" s="543">
        <v>7340600</v>
      </c>
      <c r="G58" s="543">
        <v>12632700</v>
      </c>
      <c r="H58" s="543">
        <v>12516900</v>
      </c>
      <c r="I58" s="540">
        <f>SUM('[1]CONSOLIDADO '!$B58:$H58)</f>
        <v>49794700</v>
      </c>
      <c r="J58" s="564">
        <f>I58-I51</f>
        <v>347300</v>
      </c>
      <c r="L58" s="89"/>
    </row>
    <row r="59" spans="1:12" x14ac:dyDescent="0.25">
      <c r="A59" s="566" t="s">
        <v>10</v>
      </c>
      <c r="B59" s="567">
        <f t="shared" ref="B59:H59" si="7">SUM(B55:B58)</f>
        <v>14896700</v>
      </c>
      <c r="C59" s="567">
        <f t="shared" si="7"/>
        <v>15073600</v>
      </c>
      <c r="D59" s="567">
        <f t="shared" si="7"/>
        <v>16309100</v>
      </c>
      <c r="E59" s="567">
        <f t="shared" si="7"/>
        <v>18655800</v>
      </c>
      <c r="F59" s="567">
        <f t="shared" si="7"/>
        <v>31206500</v>
      </c>
      <c r="G59" s="567">
        <f t="shared" si="7"/>
        <v>46798100</v>
      </c>
      <c r="H59" s="567">
        <f t="shared" si="7"/>
        <v>42850100</v>
      </c>
      <c r="I59" s="567">
        <f>SUM('[1]CONSOLIDADO '!$B59:$H59)</f>
        <v>185789900</v>
      </c>
      <c r="J59" s="568">
        <f>I59-I52</f>
        <v>8164000</v>
      </c>
    </row>
    <row r="61" spans="1:12" ht="30.75" thickBot="1" x14ac:dyDescent="0.3">
      <c r="A61" s="559" t="s">
        <v>419</v>
      </c>
      <c r="B61" s="561" t="s">
        <v>481</v>
      </c>
      <c r="C61" s="561" t="s">
        <v>482</v>
      </c>
      <c r="D61" s="560" t="s">
        <v>483</v>
      </c>
      <c r="E61" s="561" t="s">
        <v>484</v>
      </c>
      <c r="F61" s="561" t="s">
        <v>485</v>
      </c>
      <c r="G61" s="561" t="s">
        <v>486</v>
      </c>
      <c r="H61" s="561" t="s">
        <v>487</v>
      </c>
      <c r="I61" s="561" t="s">
        <v>96</v>
      </c>
      <c r="J61" s="562" t="s">
        <v>438</v>
      </c>
    </row>
    <row r="62" spans="1:12" ht="15.75" thickTop="1" x14ac:dyDescent="0.25">
      <c r="A62" s="563" t="s">
        <v>427</v>
      </c>
      <c r="B62" s="539">
        <v>5292000</v>
      </c>
      <c r="C62" s="539">
        <v>9754800</v>
      </c>
      <c r="D62" s="539">
        <v>13578800</v>
      </c>
      <c r="E62" s="539">
        <v>4800800</v>
      </c>
      <c r="F62" s="539">
        <v>8252600</v>
      </c>
      <c r="G62" s="539">
        <v>13706700</v>
      </c>
      <c r="H62" s="539">
        <v>13224400</v>
      </c>
      <c r="I62" s="540">
        <f>SUM('[1]CONSOLIDADO '!$B62:$H62)</f>
        <v>68610100</v>
      </c>
      <c r="J62" s="564">
        <f>I62-I55</f>
        <v>5221900</v>
      </c>
    </row>
    <row r="63" spans="1:12" x14ac:dyDescent="0.25">
      <c r="A63" s="565" t="s">
        <v>428</v>
      </c>
      <c r="B63" s="543">
        <v>2779800</v>
      </c>
      <c r="C63" s="543">
        <v>7121200</v>
      </c>
      <c r="D63" s="543">
        <v>9126000</v>
      </c>
      <c r="E63" s="543">
        <v>3005500</v>
      </c>
      <c r="F63" s="543">
        <v>6356400</v>
      </c>
      <c r="G63" s="543">
        <v>8099200</v>
      </c>
      <c r="H63" s="543">
        <v>7496100</v>
      </c>
      <c r="I63" s="544">
        <f>SUM('[1]CONSOLIDADO '!$B63:$H63)</f>
        <v>43984200</v>
      </c>
      <c r="J63" s="564">
        <f>I63-I56</f>
        <v>5367500</v>
      </c>
      <c r="L63" s="89"/>
    </row>
    <row r="64" spans="1:12" x14ac:dyDescent="0.25">
      <c r="A64" s="563" t="s">
        <v>429</v>
      </c>
      <c r="B64" s="539">
        <v>2648900</v>
      </c>
      <c r="C64" s="539">
        <v>4425500</v>
      </c>
      <c r="D64" s="539">
        <v>6924500</v>
      </c>
      <c r="E64" s="539">
        <v>2478500</v>
      </c>
      <c r="F64" s="539">
        <v>4695400</v>
      </c>
      <c r="G64" s="539">
        <v>6902100</v>
      </c>
      <c r="H64" s="539">
        <v>7214700</v>
      </c>
      <c r="I64" s="540">
        <f>SUM('[1]CONSOLIDADO '!$B64:$H64)</f>
        <v>35289600</v>
      </c>
      <c r="J64" s="564">
        <f>I64-I57</f>
        <v>1299300</v>
      </c>
      <c r="L64" s="89"/>
    </row>
    <row r="65" spans="1:12" x14ac:dyDescent="0.25">
      <c r="A65" s="565" t="s">
        <v>430</v>
      </c>
      <c r="B65" s="543">
        <v>3548900</v>
      </c>
      <c r="C65" s="543">
        <v>5866000</v>
      </c>
      <c r="D65" s="543">
        <v>11535700</v>
      </c>
      <c r="E65" s="543">
        <v>4333200</v>
      </c>
      <c r="F65" s="543">
        <v>8102900</v>
      </c>
      <c r="G65" s="543">
        <v>9714000</v>
      </c>
      <c r="H65" s="543">
        <v>10624900</v>
      </c>
      <c r="I65" s="540">
        <f>SUM('[1]CONSOLIDADO '!$B65:$H65)</f>
        <v>53725600</v>
      </c>
      <c r="J65" s="564">
        <f>I65-I58</f>
        <v>3930900</v>
      </c>
      <c r="L65" s="89"/>
    </row>
    <row r="66" spans="1:12" x14ac:dyDescent="0.25">
      <c r="A66" s="566" t="s">
        <v>10</v>
      </c>
      <c r="B66" s="567">
        <f t="shared" ref="B66:H66" si="8">SUM(B62:B65)</f>
        <v>14269600</v>
      </c>
      <c r="C66" s="567">
        <f t="shared" si="8"/>
        <v>27167500</v>
      </c>
      <c r="D66" s="567">
        <f t="shared" si="8"/>
        <v>41165000</v>
      </c>
      <c r="E66" s="567">
        <f t="shared" si="8"/>
        <v>14618000</v>
      </c>
      <c r="F66" s="567">
        <f t="shared" si="8"/>
        <v>27407300</v>
      </c>
      <c r="G66" s="567">
        <f t="shared" si="8"/>
        <v>38422000</v>
      </c>
      <c r="H66" s="567">
        <f t="shared" si="8"/>
        <v>38560100</v>
      </c>
      <c r="I66" s="567">
        <f>SUM('[1]CONSOLIDADO '!$B66:$H66)</f>
        <v>201609500</v>
      </c>
      <c r="J66" s="568">
        <f>I66-I59</f>
        <v>15819600</v>
      </c>
    </row>
    <row r="68" spans="1:12" ht="30.75" thickBot="1" x14ac:dyDescent="0.3">
      <c r="A68" s="559" t="s">
        <v>419</v>
      </c>
      <c r="B68" s="561" t="s">
        <v>488</v>
      </c>
      <c r="C68" s="561" t="s">
        <v>489</v>
      </c>
      <c r="D68" s="561" t="s">
        <v>490</v>
      </c>
      <c r="E68" s="561" t="s">
        <v>491</v>
      </c>
      <c r="F68" s="561" t="s">
        <v>492</v>
      </c>
      <c r="G68" s="561" t="s">
        <v>493</v>
      </c>
      <c r="H68" s="561" t="s">
        <v>494</v>
      </c>
      <c r="I68" s="561" t="s">
        <v>96</v>
      </c>
      <c r="J68" s="562" t="s">
        <v>438</v>
      </c>
    </row>
    <row r="69" spans="1:12" ht="15.75" thickTop="1" x14ac:dyDescent="0.25">
      <c r="A69" s="563" t="s">
        <v>427</v>
      </c>
      <c r="B69" s="539">
        <v>5610500</v>
      </c>
      <c r="C69" s="539">
        <v>5196900</v>
      </c>
      <c r="D69" s="539">
        <v>7687200</v>
      </c>
      <c r="E69" s="539">
        <v>5619200</v>
      </c>
      <c r="F69" s="539">
        <v>10328600</v>
      </c>
      <c r="G69" s="539">
        <v>10891600</v>
      </c>
      <c r="H69" s="539">
        <v>11702200</v>
      </c>
      <c r="I69" s="540">
        <f>SUM(B69:H69)</f>
        <v>57036200</v>
      </c>
      <c r="J69" s="564">
        <f>I69-I62</f>
        <v>-11573900</v>
      </c>
    </row>
    <row r="70" spans="1:12" x14ac:dyDescent="0.25">
      <c r="A70" s="565" t="s">
        <v>428</v>
      </c>
      <c r="B70" s="543">
        <v>2389100</v>
      </c>
      <c r="C70" s="543">
        <v>3278300</v>
      </c>
      <c r="D70" s="543">
        <v>5177700</v>
      </c>
      <c r="E70" s="543">
        <v>3816800</v>
      </c>
      <c r="F70" s="543">
        <v>6451900</v>
      </c>
      <c r="G70" s="543">
        <v>8663200</v>
      </c>
      <c r="H70" s="543">
        <v>8665900</v>
      </c>
      <c r="I70" s="540">
        <f>SUM(B70:H70)</f>
        <v>38442900</v>
      </c>
      <c r="J70" s="564">
        <f>I70-I63</f>
        <v>-5541300</v>
      </c>
      <c r="L70" s="89"/>
    </row>
    <row r="71" spans="1:12" x14ac:dyDescent="0.25">
      <c r="A71" s="563" t="s">
        <v>429</v>
      </c>
      <c r="B71" s="539">
        <v>2775100</v>
      </c>
      <c r="C71" s="539">
        <v>3564100</v>
      </c>
      <c r="D71" s="539">
        <v>3840200</v>
      </c>
      <c r="E71" s="539">
        <v>3164500</v>
      </c>
      <c r="F71" s="539">
        <v>4853700</v>
      </c>
      <c r="G71" s="539">
        <v>8610200</v>
      </c>
      <c r="H71" s="539">
        <v>6532000</v>
      </c>
      <c r="I71" s="540">
        <f>SUM(B71:H71)</f>
        <v>33339800</v>
      </c>
      <c r="J71" s="564">
        <f>I71-I64</f>
        <v>-1949800</v>
      </c>
      <c r="L71" s="89"/>
    </row>
    <row r="72" spans="1:12" x14ac:dyDescent="0.25">
      <c r="A72" s="565" t="s">
        <v>430</v>
      </c>
      <c r="B72" s="543">
        <v>3948600</v>
      </c>
      <c r="C72" s="543">
        <v>4509900</v>
      </c>
      <c r="D72" s="543">
        <v>4731200</v>
      </c>
      <c r="E72" s="543">
        <v>3336000</v>
      </c>
      <c r="F72" s="543">
        <v>7871800</v>
      </c>
      <c r="G72" s="543">
        <v>7501300</v>
      </c>
      <c r="H72" s="543">
        <v>9957800</v>
      </c>
      <c r="I72" s="540">
        <f>SUM(B72:H72)</f>
        <v>41856600</v>
      </c>
      <c r="J72" s="564">
        <f>I72-I65</f>
        <v>-11869000</v>
      </c>
      <c r="L72" s="89"/>
    </row>
    <row r="73" spans="1:12" x14ac:dyDescent="0.25">
      <c r="A73" s="566" t="s">
        <v>10</v>
      </c>
      <c r="B73" s="567">
        <f t="shared" ref="B73:H73" si="9">SUM(B69:B72)</f>
        <v>14723300</v>
      </c>
      <c r="C73" s="567">
        <f t="shared" si="9"/>
        <v>16549200</v>
      </c>
      <c r="D73" s="567">
        <f t="shared" si="9"/>
        <v>21436300</v>
      </c>
      <c r="E73" s="567">
        <f t="shared" si="9"/>
        <v>15936500</v>
      </c>
      <c r="F73" s="567">
        <f t="shared" si="9"/>
        <v>29506000</v>
      </c>
      <c r="G73" s="567">
        <f t="shared" si="9"/>
        <v>35666300</v>
      </c>
      <c r="H73" s="567">
        <f t="shared" si="9"/>
        <v>36857900</v>
      </c>
      <c r="I73" s="567">
        <f>SUM('[1]CONSOLIDADO '!$B73:$H73)</f>
        <v>170675500</v>
      </c>
      <c r="J73" s="568">
        <f>I73-I66</f>
        <v>-30934000</v>
      </c>
      <c r="L73" s="89"/>
    </row>
    <row r="75" spans="1:12" ht="30.75" thickBot="1" x14ac:dyDescent="0.3">
      <c r="A75" s="559" t="s">
        <v>419</v>
      </c>
      <c r="B75" s="561" t="s">
        <v>495</v>
      </c>
      <c r="C75" s="561" t="s">
        <v>496</v>
      </c>
      <c r="D75" s="561" t="s">
        <v>497</v>
      </c>
      <c r="E75" s="561" t="s">
        <v>498</v>
      </c>
      <c r="F75" s="561" t="s">
        <v>499</v>
      </c>
      <c r="G75" s="561" t="s">
        <v>500</v>
      </c>
      <c r="H75" s="561" t="s">
        <v>501</v>
      </c>
      <c r="I75" s="561" t="s">
        <v>96</v>
      </c>
      <c r="J75" s="562" t="s">
        <v>438</v>
      </c>
    </row>
    <row r="76" spans="1:12" ht="15.75" thickTop="1" x14ac:dyDescent="0.25">
      <c r="A76" s="563" t="s">
        <v>427</v>
      </c>
      <c r="B76" s="539">
        <v>6435300</v>
      </c>
      <c r="C76" s="539">
        <v>6883300</v>
      </c>
      <c r="D76" s="539">
        <v>6259200</v>
      </c>
      <c r="E76" s="539">
        <v>8884900</v>
      </c>
      <c r="F76" s="539">
        <v>4069400</v>
      </c>
      <c r="G76" s="539">
        <v>11514100</v>
      </c>
      <c r="H76" s="539">
        <v>10112200</v>
      </c>
      <c r="I76" s="540">
        <f>SUM(B76:H76)</f>
        <v>54158400</v>
      </c>
      <c r="J76" s="564">
        <f>I76-I69</f>
        <v>-2877800</v>
      </c>
    </row>
    <row r="77" spans="1:12" x14ac:dyDescent="0.25">
      <c r="A77" s="565" t="s">
        <v>428</v>
      </c>
      <c r="B77" s="543">
        <v>3724900</v>
      </c>
      <c r="C77" s="543">
        <v>4445000</v>
      </c>
      <c r="D77" s="543">
        <v>4249800</v>
      </c>
      <c r="E77" s="543">
        <v>5356300</v>
      </c>
      <c r="F77" s="543">
        <v>3875600</v>
      </c>
      <c r="G77" s="543">
        <v>8466100</v>
      </c>
      <c r="H77" s="543">
        <v>8086400</v>
      </c>
      <c r="I77" s="540">
        <f>SUM(B77:H77)</f>
        <v>38204100</v>
      </c>
      <c r="J77" s="564">
        <f>I77-I70</f>
        <v>-238800</v>
      </c>
    </row>
    <row r="78" spans="1:12" x14ac:dyDescent="0.25">
      <c r="A78" s="563" t="s">
        <v>429</v>
      </c>
      <c r="B78" s="539">
        <v>3368400</v>
      </c>
      <c r="C78" s="539">
        <v>3817500</v>
      </c>
      <c r="D78" s="539">
        <v>5054200</v>
      </c>
      <c r="E78" s="539">
        <v>3970500</v>
      </c>
      <c r="F78" s="539">
        <v>3751200</v>
      </c>
      <c r="G78" s="539">
        <v>3409200</v>
      </c>
      <c r="H78" s="539">
        <v>7097400</v>
      </c>
      <c r="I78" s="540">
        <f>SUM(B78:H78)</f>
        <v>30468400</v>
      </c>
      <c r="J78" s="564">
        <f>I78-I71</f>
        <v>-2871400</v>
      </c>
    </row>
    <row r="79" spans="1:12" x14ac:dyDescent="0.25">
      <c r="A79" s="565" t="s">
        <v>430</v>
      </c>
      <c r="B79" s="543">
        <v>5142100</v>
      </c>
      <c r="C79" s="543">
        <v>5479000</v>
      </c>
      <c r="D79" s="543">
        <v>6036900</v>
      </c>
      <c r="E79" s="543">
        <v>4889700</v>
      </c>
      <c r="F79" s="543">
        <v>2747300</v>
      </c>
      <c r="G79" s="543">
        <v>6751600</v>
      </c>
      <c r="H79" s="543">
        <v>5786200</v>
      </c>
      <c r="I79" s="540">
        <f>SUM(B79:H79)</f>
        <v>36832800</v>
      </c>
      <c r="J79" s="564">
        <f>I79-I72</f>
        <v>-5023800</v>
      </c>
    </row>
    <row r="80" spans="1:12" x14ac:dyDescent="0.25">
      <c r="A80" s="566" t="s">
        <v>10</v>
      </c>
      <c r="B80" s="567">
        <f t="shared" ref="B80:H80" si="10">SUM(B76:B79)</f>
        <v>18670700</v>
      </c>
      <c r="C80" s="567">
        <f t="shared" si="10"/>
        <v>20624800</v>
      </c>
      <c r="D80" s="567">
        <f t="shared" si="10"/>
        <v>21600100</v>
      </c>
      <c r="E80" s="567">
        <f t="shared" si="10"/>
        <v>23101400</v>
      </c>
      <c r="F80" s="567">
        <f t="shared" si="10"/>
        <v>14443500</v>
      </c>
      <c r="G80" s="567">
        <f t="shared" si="10"/>
        <v>30141000</v>
      </c>
      <c r="H80" s="567">
        <f t="shared" si="10"/>
        <v>31082200</v>
      </c>
      <c r="I80" s="567">
        <f>SUM('[1]CONSOLIDADO '!$B80:$H80)</f>
        <v>159663700</v>
      </c>
      <c r="J80" s="568">
        <f>I80-I73</f>
        <v>-11011800</v>
      </c>
    </row>
    <row r="82" spans="1:10" ht="30.75" thickBot="1" x14ac:dyDescent="0.3">
      <c r="A82" s="559" t="s">
        <v>419</v>
      </c>
      <c r="B82" s="561" t="s">
        <v>502</v>
      </c>
      <c r="C82" s="561" t="s">
        <v>503</v>
      </c>
      <c r="D82" s="561" t="s">
        <v>504</v>
      </c>
      <c r="E82" s="561" t="s">
        <v>505</v>
      </c>
      <c r="F82" s="561" t="s">
        <v>506</v>
      </c>
      <c r="G82" s="561" t="s">
        <v>507</v>
      </c>
      <c r="H82" s="561" t="s">
        <v>508</v>
      </c>
      <c r="I82" s="561" t="s">
        <v>96</v>
      </c>
      <c r="J82" s="562" t="s">
        <v>438</v>
      </c>
    </row>
    <row r="83" spans="1:10" ht="15.75" thickTop="1" x14ac:dyDescent="0.25">
      <c r="A83" s="563" t="s">
        <v>427</v>
      </c>
      <c r="B83" s="539">
        <v>7080200</v>
      </c>
      <c r="C83" s="539">
        <v>5867800</v>
      </c>
      <c r="D83" s="539">
        <v>6476500</v>
      </c>
      <c r="E83" s="539">
        <v>5704000</v>
      </c>
      <c r="F83" s="539">
        <v>2829100</v>
      </c>
      <c r="G83" s="539">
        <v>9766000</v>
      </c>
      <c r="H83" s="539">
        <v>8400200</v>
      </c>
      <c r="I83" s="540">
        <f>SUM(B83:H83)</f>
        <v>46123800</v>
      </c>
      <c r="J83" s="564">
        <f>I83-I76</f>
        <v>-8034600</v>
      </c>
    </row>
    <row r="84" spans="1:10" x14ac:dyDescent="0.25">
      <c r="A84" s="565" t="s">
        <v>428</v>
      </c>
      <c r="B84" s="543">
        <v>5294900</v>
      </c>
      <c r="C84" s="543">
        <v>4538300</v>
      </c>
      <c r="D84" s="543">
        <v>5788200</v>
      </c>
      <c r="E84" s="543">
        <v>4757900</v>
      </c>
      <c r="F84" s="543">
        <v>2169500</v>
      </c>
      <c r="G84" s="543">
        <v>5832700</v>
      </c>
      <c r="H84" s="543">
        <v>5971300</v>
      </c>
      <c r="I84" s="540">
        <f>SUM(B84:H84)</f>
        <v>34352800</v>
      </c>
      <c r="J84" s="564">
        <f>I84-I77</f>
        <v>-3851300</v>
      </c>
    </row>
    <row r="85" spans="1:10" x14ac:dyDescent="0.25">
      <c r="A85" s="563" t="s">
        <v>429</v>
      </c>
      <c r="B85" s="539">
        <v>4690200</v>
      </c>
      <c r="C85" s="539">
        <v>4675900</v>
      </c>
      <c r="D85" s="539">
        <v>3981800</v>
      </c>
      <c r="E85" s="539">
        <v>5516900</v>
      </c>
      <c r="F85" s="539">
        <v>3235600</v>
      </c>
      <c r="G85" s="539">
        <v>1940800</v>
      </c>
      <c r="H85" s="539">
        <v>6228400</v>
      </c>
      <c r="I85" s="540">
        <f>SUM(B85:H85)</f>
        <v>30269600</v>
      </c>
      <c r="J85" s="564">
        <f>I85-I78</f>
        <v>-198800</v>
      </c>
    </row>
    <row r="86" spans="1:10" x14ac:dyDescent="0.25">
      <c r="A86" s="565" t="s">
        <v>430</v>
      </c>
      <c r="B86" s="543">
        <v>4303500</v>
      </c>
      <c r="C86" s="543">
        <v>4011500</v>
      </c>
      <c r="D86" s="543">
        <v>4713900</v>
      </c>
      <c r="E86" s="543">
        <v>4081200</v>
      </c>
      <c r="F86" s="543">
        <v>2250700</v>
      </c>
      <c r="G86" s="543">
        <v>5828500</v>
      </c>
      <c r="H86" s="543">
        <v>5035400</v>
      </c>
      <c r="I86" s="540">
        <f>SUM(B86:H86)</f>
        <v>30224700</v>
      </c>
      <c r="J86" s="564">
        <f>I86-I79</f>
        <v>-6608100</v>
      </c>
    </row>
    <row r="87" spans="1:10" x14ac:dyDescent="0.25">
      <c r="A87" s="566" t="s">
        <v>10</v>
      </c>
      <c r="B87" s="567">
        <f t="shared" ref="B87:H87" si="11">SUM(B83:B86)</f>
        <v>21368800</v>
      </c>
      <c r="C87" s="567">
        <f t="shared" si="11"/>
        <v>19093500</v>
      </c>
      <c r="D87" s="567">
        <f t="shared" si="11"/>
        <v>20960400</v>
      </c>
      <c r="E87" s="567">
        <f t="shared" si="11"/>
        <v>20060000</v>
      </c>
      <c r="F87" s="567">
        <f t="shared" si="11"/>
        <v>10484900</v>
      </c>
      <c r="G87" s="567">
        <f t="shared" si="11"/>
        <v>23368000</v>
      </c>
      <c r="H87" s="567">
        <f t="shared" si="11"/>
        <v>25635300</v>
      </c>
      <c r="I87" s="567">
        <f>SUM('[1]CONSOLIDADO '!$B87:$H87)</f>
        <v>140970900</v>
      </c>
      <c r="J87" s="568">
        <f>I87-I80</f>
        <v>-18692800</v>
      </c>
    </row>
    <row r="89" spans="1:10" ht="30.75" thickBot="1" x14ac:dyDescent="0.3">
      <c r="A89" s="559" t="s">
        <v>419</v>
      </c>
      <c r="B89" s="561" t="s">
        <v>509</v>
      </c>
      <c r="C89" s="561" t="s">
        <v>510</v>
      </c>
      <c r="D89" s="561" t="s">
        <v>511</v>
      </c>
      <c r="E89" s="561" t="s">
        <v>512</v>
      </c>
      <c r="F89" s="561" t="s">
        <v>513</v>
      </c>
      <c r="G89" s="561" t="s">
        <v>514</v>
      </c>
      <c r="H89" s="561" t="s">
        <v>515</v>
      </c>
      <c r="I89" s="561" t="s">
        <v>96</v>
      </c>
      <c r="J89" s="562" t="s">
        <v>438</v>
      </c>
    </row>
    <row r="90" spans="1:10" ht="15.75" thickTop="1" x14ac:dyDescent="0.25">
      <c r="A90" s="563" t="s">
        <v>427</v>
      </c>
      <c r="B90" s="539">
        <v>4537900</v>
      </c>
      <c r="C90" s="539">
        <v>5942900</v>
      </c>
      <c r="D90" s="539">
        <v>3064400</v>
      </c>
      <c r="E90" s="539">
        <v>6895600</v>
      </c>
      <c r="F90" s="539">
        <v>8483900</v>
      </c>
      <c r="G90" s="539">
        <v>10211800</v>
      </c>
      <c r="H90" s="539">
        <v>9190400</v>
      </c>
      <c r="I90" s="540">
        <f>SUM(B90:H90)</f>
        <v>48326900</v>
      </c>
      <c r="J90" s="564">
        <f>I90-I83</f>
        <v>2203100</v>
      </c>
    </row>
    <row r="91" spans="1:10" x14ac:dyDescent="0.25">
      <c r="A91" s="565" t="s">
        <v>428</v>
      </c>
      <c r="B91" s="543">
        <v>4297600</v>
      </c>
      <c r="C91" s="543">
        <v>3954000</v>
      </c>
      <c r="D91" s="543">
        <v>2998000</v>
      </c>
      <c r="E91" s="543">
        <v>3974800</v>
      </c>
      <c r="F91" s="543">
        <v>5991600</v>
      </c>
      <c r="G91" s="543">
        <v>6792400</v>
      </c>
      <c r="H91" s="543">
        <v>8947300</v>
      </c>
      <c r="I91" s="540">
        <f>SUM(B91:H91)</f>
        <v>36955700</v>
      </c>
      <c r="J91" s="564">
        <f>I91-I84</f>
        <v>2602900</v>
      </c>
    </row>
    <row r="92" spans="1:10" x14ac:dyDescent="0.25">
      <c r="A92" s="563" t="s">
        <v>429</v>
      </c>
      <c r="B92" s="539">
        <v>3908200</v>
      </c>
      <c r="C92" s="539">
        <v>3817200</v>
      </c>
      <c r="D92" s="539">
        <v>3188500</v>
      </c>
      <c r="E92" s="539">
        <v>4857500</v>
      </c>
      <c r="F92" s="539">
        <v>6108200</v>
      </c>
      <c r="G92" s="539">
        <v>6085400</v>
      </c>
      <c r="H92" s="539">
        <v>6207800</v>
      </c>
      <c r="I92" s="540">
        <f>SUM(B92:H92)</f>
        <v>34172800</v>
      </c>
      <c r="J92" s="564">
        <f>I92-I85</f>
        <v>3903200</v>
      </c>
    </row>
    <row r="93" spans="1:10" x14ac:dyDescent="0.25">
      <c r="A93" s="565" t="s">
        <v>430</v>
      </c>
      <c r="B93" s="543">
        <v>4152700</v>
      </c>
      <c r="C93" s="543">
        <v>4010700</v>
      </c>
      <c r="D93" s="543">
        <v>1846600</v>
      </c>
      <c r="E93" s="543">
        <v>3925400</v>
      </c>
      <c r="F93" s="543">
        <v>6234100</v>
      </c>
      <c r="G93" s="543">
        <v>5650200</v>
      </c>
      <c r="H93" s="543">
        <v>8173300</v>
      </c>
      <c r="I93" s="540">
        <f>SUM(B93:H93)</f>
        <v>33993000</v>
      </c>
      <c r="J93" s="564">
        <f>I93-I86</f>
        <v>3768300</v>
      </c>
    </row>
    <row r="94" spans="1:10" x14ac:dyDescent="0.25">
      <c r="A94" s="566" t="s">
        <v>10</v>
      </c>
      <c r="B94" s="567">
        <f t="shared" ref="B94:H94" si="12">SUM(B90:B93)</f>
        <v>16896400</v>
      </c>
      <c r="C94" s="567">
        <f t="shared" si="12"/>
        <v>17724800</v>
      </c>
      <c r="D94" s="567">
        <f t="shared" si="12"/>
        <v>11097500</v>
      </c>
      <c r="E94" s="567">
        <f t="shared" si="12"/>
        <v>19653300</v>
      </c>
      <c r="F94" s="567">
        <f t="shared" si="12"/>
        <v>26817800</v>
      </c>
      <c r="G94" s="567">
        <f t="shared" si="12"/>
        <v>28739800</v>
      </c>
      <c r="H94" s="567">
        <f t="shared" si="12"/>
        <v>32518800</v>
      </c>
      <c r="I94" s="567">
        <f>SUM('[1]CONSOLIDADO '!$B94:$H94)</f>
        <v>153448400</v>
      </c>
      <c r="J94" s="568">
        <f>I94-I87</f>
        <v>12477500</v>
      </c>
    </row>
    <row r="96" spans="1:10" ht="30.75" thickBot="1" x14ac:dyDescent="0.3">
      <c r="A96" s="559" t="s">
        <v>419</v>
      </c>
      <c r="B96" s="560" t="s">
        <v>516</v>
      </c>
      <c r="C96" s="561" t="s">
        <v>517</v>
      </c>
      <c r="D96" s="561" t="s">
        <v>518</v>
      </c>
      <c r="E96" s="561" t="s">
        <v>519</v>
      </c>
      <c r="F96" s="561" t="s">
        <v>520</v>
      </c>
      <c r="G96" s="561" t="s">
        <v>521</v>
      </c>
      <c r="H96" s="561" t="s">
        <v>522</v>
      </c>
      <c r="I96" s="561" t="s">
        <v>96</v>
      </c>
      <c r="J96" s="562" t="s">
        <v>438</v>
      </c>
    </row>
    <row r="97" spans="1:10" ht="15.75" thickTop="1" x14ac:dyDescent="0.25">
      <c r="A97" s="563" t="s">
        <v>427</v>
      </c>
      <c r="B97" s="539">
        <v>11903400</v>
      </c>
      <c r="C97" s="539">
        <v>5048900</v>
      </c>
      <c r="D97" s="539">
        <v>4032700</v>
      </c>
      <c r="E97" s="539">
        <v>4881400</v>
      </c>
      <c r="F97" s="539">
        <v>10138400</v>
      </c>
      <c r="G97" s="539">
        <v>12763800</v>
      </c>
      <c r="H97" s="539">
        <v>12776000</v>
      </c>
      <c r="I97" s="540">
        <f>SUM(B97:H97)</f>
        <v>61544600</v>
      </c>
      <c r="J97" s="564">
        <f>I97-I90</f>
        <v>13217700</v>
      </c>
    </row>
    <row r="98" spans="1:10" x14ac:dyDescent="0.25">
      <c r="A98" s="565" t="s">
        <v>428</v>
      </c>
      <c r="B98" s="543">
        <v>8601900</v>
      </c>
      <c r="C98" s="543">
        <v>3402100</v>
      </c>
      <c r="D98" s="543">
        <v>3562900</v>
      </c>
      <c r="E98" s="543">
        <v>3803600</v>
      </c>
      <c r="F98" s="543">
        <v>7401600</v>
      </c>
      <c r="G98" s="543">
        <v>9980400</v>
      </c>
      <c r="H98" s="543">
        <v>8785100</v>
      </c>
      <c r="I98" s="540">
        <f>SUM(B98:H98)</f>
        <v>45537600</v>
      </c>
      <c r="J98" s="564">
        <f>I98-I91</f>
        <v>8581900</v>
      </c>
    </row>
    <row r="99" spans="1:10" x14ac:dyDescent="0.25">
      <c r="A99" s="563" t="s">
        <v>429</v>
      </c>
      <c r="B99" s="539">
        <v>7188100</v>
      </c>
      <c r="C99" s="539">
        <v>3289400</v>
      </c>
      <c r="D99" s="539">
        <v>3400200</v>
      </c>
      <c r="E99" s="539">
        <v>3964900</v>
      </c>
      <c r="F99" s="539">
        <v>7050900</v>
      </c>
      <c r="G99" s="539">
        <v>8638800</v>
      </c>
      <c r="H99" s="539">
        <v>6828900</v>
      </c>
      <c r="I99" s="540">
        <f>SUM(B99:H99)</f>
        <v>40361200</v>
      </c>
      <c r="J99" s="564">
        <f>I99-I92</f>
        <v>6188400</v>
      </c>
    </row>
    <row r="100" spans="1:10" x14ac:dyDescent="0.25">
      <c r="A100" s="565" t="s">
        <v>430</v>
      </c>
      <c r="B100" s="543">
        <v>8569000</v>
      </c>
      <c r="C100" s="543">
        <v>3460100</v>
      </c>
      <c r="D100" s="543">
        <v>3944800</v>
      </c>
      <c r="E100" s="543">
        <v>4301300</v>
      </c>
      <c r="F100" s="543">
        <v>7848600</v>
      </c>
      <c r="G100" s="543">
        <v>9095500</v>
      </c>
      <c r="H100" s="543">
        <v>10144500</v>
      </c>
      <c r="I100" s="540">
        <f>SUM(B100:H100)</f>
        <v>47363800</v>
      </c>
      <c r="J100" s="564">
        <f>I100-I93</f>
        <v>13370800</v>
      </c>
    </row>
    <row r="101" spans="1:10" x14ac:dyDescent="0.25">
      <c r="A101" s="566" t="s">
        <v>10</v>
      </c>
      <c r="B101" s="567">
        <f t="shared" ref="B101:H101" si="13">SUM(B97:B100)</f>
        <v>36262400</v>
      </c>
      <c r="C101" s="567">
        <f t="shared" si="13"/>
        <v>15200500</v>
      </c>
      <c r="D101" s="567">
        <f t="shared" si="13"/>
        <v>14940600</v>
      </c>
      <c r="E101" s="567">
        <f t="shared" si="13"/>
        <v>16951200</v>
      </c>
      <c r="F101" s="567">
        <f t="shared" si="13"/>
        <v>32439500</v>
      </c>
      <c r="G101" s="567">
        <f t="shared" si="13"/>
        <v>40478500</v>
      </c>
      <c r="H101" s="567">
        <f t="shared" si="13"/>
        <v>38534500</v>
      </c>
      <c r="I101" s="567">
        <f>SUM('[1]CONSOLIDADO '!$B101:$H101)</f>
        <v>194807200</v>
      </c>
      <c r="J101" s="568">
        <f>I101-I94</f>
        <v>41358800</v>
      </c>
    </row>
    <row r="103" spans="1:10" ht="30.75" thickBot="1" x14ac:dyDescent="0.3">
      <c r="A103" s="559" t="s">
        <v>419</v>
      </c>
      <c r="B103" s="561" t="s">
        <v>523</v>
      </c>
      <c r="C103" s="561" t="s">
        <v>524</v>
      </c>
      <c r="D103" s="561" t="s">
        <v>525</v>
      </c>
      <c r="E103" s="561" t="s">
        <v>526</v>
      </c>
      <c r="F103" s="561" t="s">
        <v>527</v>
      </c>
      <c r="G103" s="561" t="s">
        <v>528</v>
      </c>
      <c r="H103" s="561" t="s">
        <v>529</v>
      </c>
      <c r="I103" s="561" t="s">
        <v>96</v>
      </c>
      <c r="J103" s="562" t="s">
        <v>438</v>
      </c>
    </row>
    <row r="104" spans="1:10" ht="15.75" thickTop="1" x14ac:dyDescent="0.25">
      <c r="A104" s="563" t="s">
        <v>427</v>
      </c>
      <c r="B104" s="539">
        <v>3913300</v>
      </c>
      <c r="C104" s="539">
        <v>4603500</v>
      </c>
      <c r="D104" s="539">
        <v>4607500</v>
      </c>
      <c r="E104" s="539">
        <v>5526400</v>
      </c>
      <c r="F104" s="539">
        <v>11093600</v>
      </c>
      <c r="G104" s="539">
        <v>12476100</v>
      </c>
      <c r="H104" s="539">
        <v>13117000</v>
      </c>
      <c r="I104" s="540">
        <f>SUM(B104:H104)</f>
        <v>55337400</v>
      </c>
      <c r="J104" s="564">
        <f>I104-I97</f>
        <v>-6207200</v>
      </c>
    </row>
    <row r="105" spans="1:10" x14ac:dyDescent="0.25">
      <c r="A105" s="565" t="s">
        <v>428</v>
      </c>
      <c r="B105" s="543">
        <v>3255800</v>
      </c>
      <c r="C105" s="543">
        <v>3365200</v>
      </c>
      <c r="D105" s="543">
        <v>3620900</v>
      </c>
      <c r="E105" s="543">
        <v>4105300</v>
      </c>
      <c r="F105" s="543">
        <v>8298300</v>
      </c>
      <c r="G105" s="543">
        <v>12035700</v>
      </c>
      <c r="H105" s="543">
        <v>8482400</v>
      </c>
      <c r="I105" s="540">
        <f>SUM(B105:H105)</f>
        <v>43163600</v>
      </c>
      <c r="J105" s="564">
        <f>I105-I98</f>
        <v>-2374000</v>
      </c>
    </row>
    <row r="106" spans="1:10" x14ac:dyDescent="0.25">
      <c r="A106" s="563" t="s">
        <v>429</v>
      </c>
      <c r="B106" s="539">
        <v>2466100</v>
      </c>
      <c r="C106" s="539">
        <v>3271000</v>
      </c>
      <c r="D106" s="539">
        <v>3524700</v>
      </c>
      <c r="E106" s="539">
        <v>3920600</v>
      </c>
      <c r="F106" s="539">
        <v>6698400</v>
      </c>
      <c r="G106" s="539">
        <v>8645400</v>
      </c>
      <c r="H106" s="539">
        <v>6463900</v>
      </c>
      <c r="I106" s="540">
        <f>SUM(B106:H106)</f>
        <v>34990100</v>
      </c>
      <c r="J106" s="564">
        <f>I106-I99</f>
        <v>-5371100</v>
      </c>
    </row>
    <row r="107" spans="1:10" x14ac:dyDescent="0.25">
      <c r="A107" s="565" t="s">
        <v>430</v>
      </c>
      <c r="B107" s="543">
        <v>3712700</v>
      </c>
      <c r="C107" s="543">
        <v>4277800</v>
      </c>
      <c r="D107" s="543">
        <v>3648700</v>
      </c>
      <c r="E107" s="543">
        <v>4941100</v>
      </c>
      <c r="F107" s="543">
        <v>7771500</v>
      </c>
      <c r="G107" s="543">
        <v>9655500</v>
      </c>
      <c r="H107" s="543">
        <v>10335200</v>
      </c>
      <c r="I107" s="540">
        <f>SUM(B107:H107)</f>
        <v>44342500</v>
      </c>
      <c r="J107" s="564">
        <f>I107-I100</f>
        <v>-3021300</v>
      </c>
    </row>
    <row r="108" spans="1:10" x14ac:dyDescent="0.25">
      <c r="A108" s="566" t="s">
        <v>10</v>
      </c>
      <c r="B108" s="567">
        <f t="shared" ref="B108:H108" si="14">SUM(B104:B107)</f>
        <v>13347900</v>
      </c>
      <c r="C108" s="567">
        <f t="shared" si="14"/>
        <v>15517500</v>
      </c>
      <c r="D108" s="567">
        <f>SUM(D104:D107)</f>
        <v>15401800</v>
      </c>
      <c r="E108" s="567">
        <f t="shared" si="14"/>
        <v>18493400</v>
      </c>
      <c r="F108" s="567">
        <f t="shared" si="14"/>
        <v>33861800</v>
      </c>
      <c r="G108" s="567">
        <f t="shared" si="14"/>
        <v>42812700</v>
      </c>
      <c r="H108" s="567">
        <f t="shared" si="14"/>
        <v>38398500</v>
      </c>
      <c r="I108" s="567">
        <f>SUM('[1]CONSOLIDADO '!$B108:$H108)</f>
        <v>177833600</v>
      </c>
      <c r="J108" s="568">
        <f>I108-I101</f>
        <v>-16973600</v>
      </c>
    </row>
    <row r="110" spans="1:10" ht="30.75" thickBot="1" x14ac:dyDescent="0.3">
      <c r="A110" s="559" t="s">
        <v>419</v>
      </c>
      <c r="B110" s="561" t="s">
        <v>530</v>
      </c>
      <c r="C110" s="561" t="s">
        <v>531</v>
      </c>
      <c r="D110" s="561" t="s">
        <v>532</v>
      </c>
      <c r="E110" s="561" t="s">
        <v>533</v>
      </c>
      <c r="F110" s="561" t="s">
        <v>534</v>
      </c>
      <c r="G110" s="561" t="s">
        <v>535</v>
      </c>
      <c r="H110" s="561" t="s">
        <v>536</v>
      </c>
      <c r="I110" s="561" t="s">
        <v>96</v>
      </c>
      <c r="J110" s="562" t="s">
        <v>438</v>
      </c>
    </row>
    <row r="111" spans="1:10" ht="15.75" thickTop="1" x14ac:dyDescent="0.25">
      <c r="A111" s="563" t="s">
        <v>427</v>
      </c>
      <c r="B111" s="569">
        <v>3726200</v>
      </c>
      <c r="C111" s="539">
        <v>4376100</v>
      </c>
      <c r="D111" s="539">
        <v>5271700</v>
      </c>
      <c r="E111" s="539">
        <v>5616000</v>
      </c>
      <c r="F111" s="539">
        <v>10774800</v>
      </c>
      <c r="G111" s="539">
        <v>14340200</v>
      </c>
      <c r="H111" s="539">
        <v>12635300</v>
      </c>
      <c r="I111" s="540">
        <f>SUM(B111:H111)</f>
        <v>56740300</v>
      </c>
      <c r="J111" s="564">
        <f>I111-I104</f>
        <v>1402900</v>
      </c>
    </row>
    <row r="112" spans="1:10" x14ac:dyDescent="0.25">
      <c r="A112" s="565" t="s">
        <v>428</v>
      </c>
      <c r="B112" s="570">
        <v>2742300</v>
      </c>
      <c r="C112" s="543">
        <v>3230900</v>
      </c>
      <c r="D112" s="543">
        <v>3535500</v>
      </c>
      <c r="E112" s="543">
        <v>3836700</v>
      </c>
      <c r="F112" s="543">
        <v>8186800</v>
      </c>
      <c r="G112" s="543">
        <v>14010200</v>
      </c>
      <c r="H112" s="543">
        <v>8963900</v>
      </c>
      <c r="I112" s="540">
        <f>SUM(B112:H112)</f>
        <v>44506300</v>
      </c>
      <c r="J112" s="564">
        <f>I112-I105</f>
        <v>1342700</v>
      </c>
    </row>
    <row r="113" spans="1:10" x14ac:dyDescent="0.25">
      <c r="A113" s="563" t="s">
        <v>429</v>
      </c>
      <c r="B113" s="569">
        <v>2735400</v>
      </c>
      <c r="C113" s="539">
        <v>3049100</v>
      </c>
      <c r="D113" s="539">
        <v>2484200</v>
      </c>
      <c r="E113" s="539">
        <v>3497200</v>
      </c>
      <c r="F113" s="539">
        <v>6927900</v>
      </c>
      <c r="G113" s="539">
        <v>9336800</v>
      </c>
      <c r="H113" s="539">
        <v>7459400</v>
      </c>
      <c r="I113" s="540">
        <f>SUM(B113:H113)</f>
        <v>35490000</v>
      </c>
      <c r="J113" s="564">
        <f>I113-I106</f>
        <v>499900</v>
      </c>
    </row>
    <row r="114" spans="1:10" x14ac:dyDescent="0.25">
      <c r="A114" s="565" t="s">
        <v>430</v>
      </c>
      <c r="B114" s="570">
        <v>2922100</v>
      </c>
      <c r="C114" s="543">
        <v>3988900</v>
      </c>
      <c r="D114" s="543">
        <v>4445100</v>
      </c>
      <c r="E114" s="543">
        <v>5237500</v>
      </c>
      <c r="F114" s="543">
        <v>7866800</v>
      </c>
      <c r="G114" s="543">
        <v>10183200</v>
      </c>
      <c r="H114" s="543">
        <v>12204400</v>
      </c>
      <c r="I114" s="540">
        <f>SUM(B114:H114)</f>
        <v>46848000</v>
      </c>
      <c r="J114" s="564">
        <f>I114-I107</f>
        <v>2505500</v>
      </c>
    </row>
    <row r="115" spans="1:10" x14ac:dyDescent="0.25">
      <c r="A115" s="566" t="s">
        <v>10</v>
      </c>
      <c r="B115" s="567">
        <f t="shared" ref="B115:H115" si="15">SUM(B111:B114)</f>
        <v>12126000</v>
      </c>
      <c r="C115" s="567">
        <f t="shared" si="15"/>
        <v>14645000</v>
      </c>
      <c r="D115" s="567">
        <f t="shared" si="15"/>
        <v>15736500</v>
      </c>
      <c r="E115" s="567">
        <f t="shared" si="15"/>
        <v>18187400</v>
      </c>
      <c r="F115" s="567">
        <f t="shared" si="15"/>
        <v>33756300</v>
      </c>
      <c r="G115" s="567">
        <f t="shared" si="15"/>
        <v>47870400</v>
      </c>
      <c r="H115" s="567">
        <f t="shared" si="15"/>
        <v>41263000</v>
      </c>
      <c r="I115" s="567">
        <f>SUM('[1]CONSOLIDADO '!$B115:$H115)</f>
        <v>183584600</v>
      </c>
      <c r="J115" s="568">
        <f>I115-I108</f>
        <v>5751000</v>
      </c>
    </row>
    <row r="117" spans="1:10" ht="30.75" thickBot="1" x14ac:dyDescent="0.3">
      <c r="A117" s="559" t="s">
        <v>419</v>
      </c>
      <c r="B117" s="561" t="s">
        <v>537</v>
      </c>
      <c r="C117" s="561" t="s">
        <v>538</v>
      </c>
      <c r="D117" s="561" t="s">
        <v>539</v>
      </c>
      <c r="E117" s="561" t="s">
        <v>540</v>
      </c>
      <c r="F117" s="561" t="s">
        <v>541</v>
      </c>
      <c r="G117" s="561" t="s">
        <v>542</v>
      </c>
      <c r="H117" s="561" t="s">
        <v>543</v>
      </c>
      <c r="I117" s="561" t="s">
        <v>96</v>
      </c>
      <c r="J117" s="562" t="s">
        <v>438</v>
      </c>
    </row>
    <row r="118" spans="1:10" ht="15.75" thickTop="1" x14ac:dyDescent="0.25">
      <c r="A118" s="563" t="s">
        <v>427</v>
      </c>
      <c r="B118" s="569">
        <v>4393600</v>
      </c>
      <c r="C118" s="539">
        <v>4162500</v>
      </c>
      <c r="D118" s="539">
        <v>4862400</v>
      </c>
      <c r="E118" s="539">
        <v>7050800</v>
      </c>
      <c r="F118" s="539">
        <v>10949700</v>
      </c>
      <c r="G118" s="539">
        <v>13692200</v>
      </c>
      <c r="H118" s="539">
        <v>14893000</v>
      </c>
      <c r="I118" s="540">
        <f>SUM(B118:H118)</f>
        <v>60004200</v>
      </c>
      <c r="J118" s="564">
        <f>I118-I111</f>
        <v>3263900</v>
      </c>
    </row>
    <row r="119" spans="1:10" x14ac:dyDescent="0.25">
      <c r="A119" s="565" t="s">
        <v>428</v>
      </c>
      <c r="B119" s="570">
        <v>2862100</v>
      </c>
      <c r="C119" s="543">
        <v>3725500</v>
      </c>
      <c r="D119" s="543">
        <v>2668000</v>
      </c>
      <c r="E119" s="543">
        <v>3310600</v>
      </c>
      <c r="F119" s="543">
        <v>9348900</v>
      </c>
      <c r="G119" s="543">
        <v>12687000</v>
      </c>
      <c r="H119" s="543">
        <v>11162000</v>
      </c>
      <c r="I119" s="540">
        <f>SUM(B119:H119)</f>
        <v>45764100</v>
      </c>
      <c r="J119" s="564">
        <f>I119-I112</f>
        <v>1257800</v>
      </c>
    </row>
    <row r="120" spans="1:10" x14ac:dyDescent="0.25">
      <c r="A120" s="563" t="s">
        <v>429</v>
      </c>
      <c r="B120" s="569">
        <v>2352200</v>
      </c>
      <c r="C120" s="539">
        <v>2371300</v>
      </c>
      <c r="D120" s="539">
        <v>2331600</v>
      </c>
      <c r="E120" s="539">
        <v>2742000</v>
      </c>
      <c r="F120" s="539">
        <v>5312000</v>
      </c>
      <c r="G120" s="539">
        <v>10191500</v>
      </c>
      <c r="H120" s="539">
        <v>7908000</v>
      </c>
      <c r="I120" s="540">
        <f>SUM(B120:H120)</f>
        <v>33208600</v>
      </c>
      <c r="J120" s="564">
        <f>I120-I113</f>
        <v>-2281400</v>
      </c>
    </row>
    <row r="121" spans="1:10" x14ac:dyDescent="0.25">
      <c r="A121" s="565" t="s">
        <v>430</v>
      </c>
      <c r="B121" s="570">
        <v>3246100</v>
      </c>
      <c r="C121" s="543">
        <v>4336500</v>
      </c>
      <c r="D121" s="543">
        <v>4242200</v>
      </c>
      <c r="E121" s="543">
        <v>3756700</v>
      </c>
      <c r="F121" s="543">
        <v>9969500</v>
      </c>
      <c r="G121" s="543">
        <v>12148900</v>
      </c>
      <c r="H121" s="543">
        <v>13004900</v>
      </c>
      <c r="I121" s="540">
        <f>SUM(B121:H121)</f>
        <v>50704800</v>
      </c>
      <c r="J121" s="564">
        <f>I121-I114</f>
        <v>3856800</v>
      </c>
    </row>
    <row r="122" spans="1:10" x14ac:dyDescent="0.25">
      <c r="A122" s="566" t="s">
        <v>10</v>
      </c>
      <c r="B122" s="567">
        <f t="shared" ref="B122:H122" si="16">SUM(B118:B121)</f>
        <v>12854000</v>
      </c>
      <c r="C122" s="567">
        <f t="shared" si="16"/>
        <v>14595800</v>
      </c>
      <c r="D122" s="567">
        <f t="shared" si="16"/>
        <v>14104200</v>
      </c>
      <c r="E122" s="567">
        <f t="shared" si="16"/>
        <v>16860100</v>
      </c>
      <c r="F122" s="567">
        <f t="shared" si="16"/>
        <v>35580100</v>
      </c>
      <c r="G122" s="567">
        <f t="shared" si="16"/>
        <v>48719600</v>
      </c>
      <c r="H122" s="567">
        <f t="shared" si="16"/>
        <v>46967900</v>
      </c>
      <c r="I122" s="567">
        <f>SUM('[1]CONSOLIDADO '!$B122:$H122)</f>
        <v>189681700</v>
      </c>
      <c r="J122" s="568">
        <f>I122-I115</f>
        <v>6097100</v>
      </c>
    </row>
    <row r="124" spans="1:10" ht="30.75" thickBot="1" x14ac:dyDescent="0.3">
      <c r="A124" s="559" t="s">
        <v>419</v>
      </c>
      <c r="B124" s="561" t="s">
        <v>217</v>
      </c>
      <c r="C124" s="561" t="s">
        <v>218</v>
      </c>
      <c r="D124" s="561" t="s">
        <v>219</v>
      </c>
      <c r="E124" s="561" t="s">
        <v>220</v>
      </c>
      <c r="F124" s="561" t="s">
        <v>221</v>
      </c>
      <c r="G124" s="561" t="s">
        <v>222</v>
      </c>
      <c r="H124" s="561" t="s">
        <v>223</v>
      </c>
      <c r="I124" s="561" t="s">
        <v>96</v>
      </c>
      <c r="J124" s="562" t="s">
        <v>438</v>
      </c>
    </row>
    <row r="125" spans="1:10" ht="15.75" thickTop="1" x14ac:dyDescent="0.25">
      <c r="A125" s="563" t="s">
        <v>427</v>
      </c>
      <c r="B125" s="569">
        <v>4092700</v>
      </c>
      <c r="C125" s="539">
        <v>3678000</v>
      </c>
      <c r="D125" s="539">
        <v>4473300</v>
      </c>
      <c r="E125" s="539">
        <v>6397300</v>
      </c>
      <c r="F125" s="539">
        <v>11893100</v>
      </c>
      <c r="G125" s="539">
        <v>14974300</v>
      </c>
      <c r="H125" s="539">
        <v>13229900</v>
      </c>
      <c r="I125" s="540">
        <f>SUM(B125:H125)</f>
        <v>58738600</v>
      </c>
      <c r="J125" s="564">
        <f>I125-I118</f>
        <v>-1265600</v>
      </c>
    </row>
    <row r="126" spans="1:10" ht="15.75" customHeight="1" x14ac:dyDescent="0.25">
      <c r="A126" s="565" t="s">
        <v>428</v>
      </c>
      <c r="B126" s="570">
        <v>2284000</v>
      </c>
      <c r="C126" s="543">
        <v>2391200</v>
      </c>
      <c r="D126" s="543">
        <v>2514400</v>
      </c>
      <c r="E126" s="543">
        <v>3708700</v>
      </c>
      <c r="F126" s="543">
        <v>9404100</v>
      </c>
      <c r="G126" s="543">
        <v>14116100</v>
      </c>
      <c r="H126" s="543">
        <v>10700500</v>
      </c>
      <c r="I126" s="540">
        <f>SUM(B126:H126)</f>
        <v>45119000</v>
      </c>
      <c r="J126" s="564">
        <f>I126-I119</f>
        <v>-645100</v>
      </c>
    </row>
    <row r="127" spans="1:10" x14ac:dyDescent="0.25">
      <c r="A127" s="563" t="s">
        <v>429</v>
      </c>
      <c r="B127" s="569">
        <v>1761000</v>
      </c>
      <c r="C127" s="539">
        <v>1878600</v>
      </c>
      <c r="D127" s="539">
        <v>2484000</v>
      </c>
      <c r="E127" s="539">
        <v>2585400</v>
      </c>
      <c r="F127" s="539">
        <v>6203000</v>
      </c>
      <c r="G127" s="539">
        <v>9345800</v>
      </c>
      <c r="H127" s="539">
        <v>7972400</v>
      </c>
      <c r="I127" s="540">
        <f>SUM(B127:H127)</f>
        <v>32230200</v>
      </c>
      <c r="J127" s="564">
        <f>I127-I120</f>
        <v>-978400</v>
      </c>
    </row>
    <row r="128" spans="1:10" x14ac:dyDescent="0.25">
      <c r="A128" s="565" t="s">
        <v>430</v>
      </c>
      <c r="B128" s="570">
        <v>3242100</v>
      </c>
      <c r="C128" s="543">
        <v>3850400</v>
      </c>
      <c r="D128" s="543">
        <v>3836500</v>
      </c>
      <c r="E128" s="543">
        <v>5411300</v>
      </c>
      <c r="F128" s="543">
        <v>11297000</v>
      </c>
      <c r="G128" s="543">
        <v>7494900</v>
      </c>
      <c r="H128" s="543">
        <v>11453500</v>
      </c>
      <c r="I128" s="540">
        <f>SUM(B128:H128)</f>
        <v>46585700</v>
      </c>
      <c r="J128" s="564">
        <f>I128-I121</f>
        <v>-4119100</v>
      </c>
    </row>
    <row r="129" spans="1:12" x14ac:dyDescent="0.25">
      <c r="A129" s="571" t="s">
        <v>544</v>
      </c>
      <c r="B129" s="572">
        <v>0</v>
      </c>
      <c r="C129" s="573">
        <v>0</v>
      </c>
      <c r="D129" s="573">
        <v>0</v>
      </c>
      <c r="E129" s="573">
        <v>0</v>
      </c>
      <c r="F129" s="573">
        <v>0</v>
      </c>
      <c r="G129" s="573">
        <v>3058800</v>
      </c>
      <c r="H129" s="573">
        <v>3605600</v>
      </c>
      <c r="I129" s="548">
        <f>G129+H129</f>
        <v>6664400</v>
      </c>
      <c r="J129" s="574">
        <v>0</v>
      </c>
    </row>
    <row r="130" spans="1:12" x14ac:dyDescent="0.25">
      <c r="A130" s="566" t="s">
        <v>10</v>
      </c>
      <c r="B130" s="567">
        <f t="shared" ref="B130:H130" si="17">SUM(B125:B128)</f>
        <v>11379800</v>
      </c>
      <c r="C130" s="567">
        <f t="shared" si="17"/>
        <v>11798200</v>
      </c>
      <c r="D130" s="567">
        <f t="shared" si="17"/>
        <v>13308200</v>
      </c>
      <c r="E130" s="567">
        <f t="shared" si="17"/>
        <v>18102700</v>
      </c>
      <c r="F130" s="567">
        <f t="shared" si="17"/>
        <v>38797200</v>
      </c>
      <c r="G130" s="567">
        <f t="shared" si="17"/>
        <v>45931100</v>
      </c>
      <c r="H130" s="567">
        <f t="shared" si="17"/>
        <v>43356300</v>
      </c>
      <c r="I130" s="567">
        <f>SUM(I125:I129)</f>
        <v>189337900</v>
      </c>
      <c r="J130" s="568">
        <f>I130-I122</f>
        <v>-343800</v>
      </c>
    </row>
    <row r="132" spans="1:12" ht="30.75" thickBot="1" x14ac:dyDescent="0.3">
      <c r="A132" s="559" t="s">
        <v>419</v>
      </c>
      <c r="B132" s="561" t="s">
        <v>225</v>
      </c>
      <c r="C132" s="561" t="s">
        <v>226</v>
      </c>
      <c r="D132" s="561" t="s">
        <v>227</v>
      </c>
      <c r="E132" s="561" t="s">
        <v>228</v>
      </c>
      <c r="F132" s="561" t="s">
        <v>229</v>
      </c>
      <c r="G132" s="561" t="s">
        <v>230</v>
      </c>
      <c r="H132" s="561" t="s">
        <v>231</v>
      </c>
      <c r="I132" s="561" t="s">
        <v>96</v>
      </c>
      <c r="J132" s="562" t="s">
        <v>438</v>
      </c>
    </row>
    <row r="133" spans="1:12" ht="15.75" thickTop="1" x14ac:dyDescent="0.25">
      <c r="A133" s="563" t="s">
        <v>427</v>
      </c>
      <c r="B133" s="569">
        <v>3374500</v>
      </c>
      <c r="C133" s="539">
        <v>3136200</v>
      </c>
      <c r="D133" s="539">
        <v>3526400</v>
      </c>
      <c r="E133" s="539">
        <v>4635700</v>
      </c>
      <c r="F133" s="539">
        <v>11554800</v>
      </c>
      <c r="G133" s="539">
        <v>15384100</v>
      </c>
      <c r="H133" s="539">
        <v>14606000</v>
      </c>
      <c r="I133" s="540">
        <f>SUM(B133:H133)</f>
        <v>56217700</v>
      </c>
      <c r="J133" s="564">
        <f t="shared" ref="J133:J138" si="18">I133-I125</f>
        <v>-2520900</v>
      </c>
    </row>
    <row r="134" spans="1:12" x14ac:dyDescent="0.25">
      <c r="A134" s="565" t="s">
        <v>428</v>
      </c>
      <c r="B134" s="570">
        <v>2080300</v>
      </c>
      <c r="C134" s="543">
        <v>3905700</v>
      </c>
      <c r="D134" s="543">
        <v>4448300</v>
      </c>
      <c r="E134" s="543">
        <v>3720090</v>
      </c>
      <c r="F134" s="543">
        <v>9424900</v>
      </c>
      <c r="G134" s="543">
        <v>11854200</v>
      </c>
      <c r="H134" s="543">
        <v>11002300</v>
      </c>
      <c r="I134" s="540">
        <f>SUM(B134:H134)</f>
        <v>46435790</v>
      </c>
      <c r="J134" s="564">
        <f t="shared" si="18"/>
        <v>1316790</v>
      </c>
    </row>
    <row r="135" spans="1:12" x14ac:dyDescent="0.25">
      <c r="A135" s="563" t="s">
        <v>429</v>
      </c>
      <c r="B135" s="569">
        <v>2141500</v>
      </c>
      <c r="C135" s="539">
        <v>2345700</v>
      </c>
      <c r="D135" s="539">
        <v>2459200</v>
      </c>
      <c r="E135" s="539">
        <v>2439700</v>
      </c>
      <c r="F135" s="539">
        <v>6142300</v>
      </c>
      <c r="G135" s="539">
        <v>10295400</v>
      </c>
      <c r="H135" s="539">
        <v>7824000</v>
      </c>
      <c r="I135" s="540">
        <f>SUM(B135:H135)</f>
        <v>33647800</v>
      </c>
      <c r="J135" s="564">
        <f t="shared" si="18"/>
        <v>1417600</v>
      </c>
    </row>
    <row r="136" spans="1:12" x14ac:dyDescent="0.25">
      <c r="A136" s="565" t="s">
        <v>430</v>
      </c>
      <c r="B136" s="570">
        <v>4034300</v>
      </c>
      <c r="C136" s="543">
        <v>3435300</v>
      </c>
      <c r="D136" s="543">
        <v>5465700</v>
      </c>
      <c r="E136" s="543">
        <v>5380400</v>
      </c>
      <c r="F136" s="543">
        <v>8832500</v>
      </c>
      <c r="G136" s="543">
        <v>9028100</v>
      </c>
      <c r="H136" s="543">
        <v>8882500</v>
      </c>
      <c r="I136" s="540">
        <f>SUM(B136:H136)</f>
        <v>45058800</v>
      </c>
      <c r="J136" s="564">
        <f t="shared" si="18"/>
        <v>-1526900</v>
      </c>
    </row>
    <row r="137" spans="1:12" x14ac:dyDescent="0.25">
      <c r="A137" s="571" t="s">
        <v>544</v>
      </c>
      <c r="B137" s="572">
        <v>3059500</v>
      </c>
      <c r="C137" s="573">
        <v>3520900</v>
      </c>
      <c r="D137" s="573">
        <v>2967100</v>
      </c>
      <c r="E137" s="573">
        <v>3710500</v>
      </c>
      <c r="F137" s="573">
        <v>6674100</v>
      </c>
      <c r="G137" s="573">
        <v>5730100</v>
      </c>
      <c r="H137" s="573">
        <v>2642200</v>
      </c>
      <c r="I137" s="540">
        <f>SUM(B137:H137)</f>
        <v>28304400</v>
      </c>
      <c r="J137" s="564">
        <f t="shared" si="18"/>
        <v>21640000</v>
      </c>
      <c r="L137">
        <v>1909000</v>
      </c>
    </row>
    <row r="138" spans="1:12" x14ac:dyDescent="0.25">
      <c r="A138" s="566" t="s">
        <v>10</v>
      </c>
      <c r="B138" s="567">
        <f>B133+B134+B135+B136+B137</f>
        <v>14690100</v>
      </c>
      <c r="C138" s="567">
        <f t="shared" ref="C138:I138" si="19">SUM(C133:C137)</f>
        <v>16343800</v>
      </c>
      <c r="D138" s="567">
        <f t="shared" si="19"/>
        <v>18866700</v>
      </c>
      <c r="E138" s="567">
        <f t="shared" si="19"/>
        <v>19886390</v>
      </c>
      <c r="F138" s="567">
        <f t="shared" si="19"/>
        <v>42628600</v>
      </c>
      <c r="G138" s="567">
        <f t="shared" si="19"/>
        <v>52291900</v>
      </c>
      <c r="H138" s="567">
        <f t="shared" si="19"/>
        <v>44957000</v>
      </c>
      <c r="I138" s="567">
        <f t="shared" si="19"/>
        <v>209664490</v>
      </c>
      <c r="J138" s="564">
        <f t="shared" si="18"/>
        <v>20326590</v>
      </c>
    </row>
    <row r="140" spans="1:12" ht="30.75" thickBot="1" x14ac:dyDescent="0.3">
      <c r="A140" s="559" t="s">
        <v>419</v>
      </c>
      <c r="B140" s="561" t="s">
        <v>233</v>
      </c>
      <c r="C140" s="561" t="s">
        <v>234</v>
      </c>
      <c r="D140" s="561" t="s">
        <v>235</v>
      </c>
      <c r="E140" s="561" t="s">
        <v>236</v>
      </c>
      <c r="F140" s="561" t="s">
        <v>237</v>
      </c>
      <c r="G140" s="561" t="s">
        <v>238</v>
      </c>
      <c r="H140" s="561" t="s">
        <v>239</v>
      </c>
      <c r="I140" s="561" t="s">
        <v>96</v>
      </c>
      <c r="J140" s="562" t="s">
        <v>438</v>
      </c>
    </row>
    <row r="141" spans="1:12" ht="15.75" thickTop="1" x14ac:dyDescent="0.25">
      <c r="A141" s="563" t="s">
        <v>427</v>
      </c>
      <c r="B141" s="569">
        <v>3592800</v>
      </c>
      <c r="C141" s="539">
        <v>4749400</v>
      </c>
      <c r="D141" s="539">
        <v>4240100</v>
      </c>
      <c r="E141" s="539">
        <v>5817400</v>
      </c>
      <c r="F141" s="539">
        <v>11311300</v>
      </c>
      <c r="G141" s="539">
        <v>15087500</v>
      </c>
      <c r="H141" s="539">
        <v>15029300</v>
      </c>
      <c r="I141" s="540">
        <f>SUM(B141:H141)</f>
        <v>59827800</v>
      </c>
      <c r="J141" s="564">
        <f t="shared" ref="J141:J146" si="20">I141-I133</f>
        <v>3610100</v>
      </c>
    </row>
    <row r="142" spans="1:12" x14ac:dyDescent="0.25">
      <c r="A142" s="565" t="s">
        <v>428</v>
      </c>
      <c r="B142" s="570">
        <v>2607800</v>
      </c>
      <c r="C142" s="543">
        <v>2287100</v>
      </c>
      <c r="D142" s="543">
        <v>2177600</v>
      </c>
      <c r="E142" s="543">
        <v>3729500</v>
      </c>
      <c r="F142" s="543">
        <v>10491700</v>
      </c>
      <c r="G142" s="543">
        <v>14581700</v>
      </c>
      <c r="H142" s="543">
        <v>11367000</v>
      </c>
      <c r="I142" s="540">
        <f>SUM(B142:H142)</f>
        <v>47242400</v>
      </c>
      <c r="J142" s="564">
        <f t="shared" si="20"/>
        <v>806610</v>
      </c>
    </row>
    <row r="143" spans="1:12" x14ac:dyDescent="0.25">
      <c r="A143" s="563" t="s">
        <v>429</v>
      </c>
      <c r="B143" s="569">
        <v>1915900</v>
      </c>
      <c r="C143" s="539">
        <v>2613800</v>
      </c>
      <c r="D143" s="539">
        <v>2343200</v>
      </c>
      <c r="E143" s="539">
        <v>3567000</v>
      </c>
      <c r="F143" s="539">
        <v>7353700</v>
      </c>
      <c r="G143" s="539">
        <v>10310600</v>
      </c>
      <c r="H143" s="539">
        <v>6978300</v>
      </c>
      <c r="I143" s="540">
        <f>SUM(B143:H143)</f>
        <v>35082500</v>
      </c>
      <c r="J143" s="564">
        <f t="shared" si="20"/>
        <v>1434700</v>
      </c>
    </row>
    <row r="144" spans="1:12" x14ac:dyDescent="0.25">
      <c r="A144" s="565" t="s">
        <v>430</v>
      </c>
      <c r="B144" s="570">
        <v>2943400</v>
      </c>
      <c r="C144" s="543">
        <v>3269900</v>
      </c>
      <c r="D144" s="543">
        <v>4138900</v>
      </c>
      <c r="E144" s="543">
        <v>5576300</v>
      </c>
      <c r="F144" s="543">
        <v>8762400</v>
      </c>
      <c r="G144" s="543">
        <v>9857600</v>
      </c>
      <c r="H144" s="543">
        <v>9482400</v>
      </c>
      <c r="I144" s="540">
        <f>SUM(B144:H144)</f>
        <v>44030900</v>
      </c>
      <c r="J144" s="564">
        <f t="shared" si="20"/>
        <v>-1027900</v>
      </c>
    </row>
    <row r="145" spans="1:10" x14ac:dyDescent="0.25">
      <c r="A145" s="571" t="s">
        <v>544</v>
      </c>
      <c r="B145" s="572">
        <v>3121400</v>
      </c>
      <c r="C145" s="573">
        <v>3570000</v>
      </c>
      <c r="D145" s="573">
        <v>3855200</v>
      </c>
      <c r="E145" s="573">
        <v>3493200</v>
      </c>
      <c r="F145" s="573">
        <v>7715200</v>
      </c>
      <c r="G145" s="573">
        <v>6698800</v>
      </c>
      <c r="H145" s="573">
        <v>7022200</v>
      </c>
      <c r="I145" s="540">
        <f>SUM(B145:H145)</f>
        <v>35476000</v>
      </c>
      <c r="J145" s="564">
        <f t="shared" si="20"/>
        <v>7171600</v>
      </c>
    </row>
    <row r="146" spans="1:10" x14ac:dyDescent="0.25">
      <c r="A146" s="566" t="s">
        <v>10</v>
      </c>
      <c r="B146" s="567">
        <f>B141+B142+B143+B144+B145</f>
        <v>14181300</v>
      </c>
      <c r="C146" s="567">
        <f t="shared" ref="C146:I146" si="21">SUM(C141:C145)</f>
        <v>16490200</v>
      </c>
      <c r="D146" s="567">
        <f t="shared" si="21"/>
        <v>16755000</v>
      </c>
      <c r="E146" s="567">
        <f t="shared" si="21"/>
        <v>22183400</v>
      </c>
      <c r="F146" s="567">
        <f t="shared" si="21"/>
        <v>45634300</v>
      </c>
      <c r="G146" s="567">
        <f t="shared" si="21"/>
        <v>56536200</v>
      </c>
      <c r="H146" s="567">
        <f t="shared" si="21"/>
        <v>49879200</v>
      </c>
      <c r="I146" s="567">
        <f t="shared" si="21"/>
        <v>221659600</v>
      </c>
      <c r="J146" s="564">
        <f t="shared" si="20"/>
        <v>11995110</v>
      </c>
    </row>
    <row r="148" spans="1:10" ht="32.25" customHeight="1" thickBot="1" x14ac:dyDescent="0.3">
      <c r="A148" s="551" t="s">
        <v>419</v>
      </c>
      <c r="B148" s="232" t="s">
        <v>241</v>
      </c>
      <c r="C148" s="232" t="s">
        <v>242</v>
      </c>
      <c r="D148" s="232" t="s">
        <v>243</v>
      </c>
      <c r="E148" s="232" t="s">
        <v>244</v>
      </c>
      <c r="F148" s="232" t="s">
        <v>245</v>
      </c>
      <c r="G148" s="232" t="s">
        <v>246</v>
      </c>
      <c r="H148" s="232" t="s">
        <v>247</v>
      </c>
      <c r="I148" s="561" t="s">
        <v>96</v>
      </c>
      <c r="J148" s="562" t="s">
        <v>438</v>
      </c>
    </row>
    <row r="149" spans="1:10" ht="15.75" thickTop="1" x14ac:dyDescent="0.25">
      <c r="A149" s="553" t="s">
        <v>427</v>
      </c>
      <c r="B149" s="575">
        <v>4597300</v>
      </c>
      <c r="C149" s="569">
        <v>4240800</v>
      </c>
      <c r="D149" s="569">
        <v>5847200</v>
      </c>
      <c r="E149" s="569">
        <v>5212600</v>
      </c>
      <c r="F149" s="569">
        <v>14020000</v>
      </c>
      <c r="G149" s="569">
        <v>15777500</v>
      </c>
      <c r="H149" s="569">
        <v>15926100</v>
      </c>
      <c r="I149" s="540">
        <f t="shared" ref="I149:I154" si="22">+SUM(B149:H149)</f>
        <v>65621500</v>
      </c>
      <c r="J149" s="564">
        <f t="shared" ref="J149:J154" si="23">I149-I141</f>
        <v>5793700</v>
      </c>
    </row>
    <row r="150" spans="1:10" x14ac:dyDescent="0.25">
      <c r="A150" s="555" t="s">
        <v>428</v>
      </c>
      <c r="B150" s="576">
        <v>2642100</v>
      </c>
      <c r="C150" s="570">
        <v>3501400</v>
      </c>
      <c r="D150" s="570">
        <v>3388000</v>
      </c>
      <c r="E150" s="570">
        <v>4042100</v>
      </c>
      <c r="F150" s="570">
        <v>10183500</v>
      </c>
      <c r="G150" s="570">
        <v>15358500</v>
      </c>
      <c r="H150" s="570">
        <v>12981300</v>
      </c>
      <c r="I150" s="540">
        <f t="shared" si="22"/>
        <v>52096900</v>
      </c>
      <c r="J150" s="564">
        <f t="shared" si="23"/>
        <v>4854500</v>
      </c>
    </row>
    <row r="151" spans="1:10" x14ac:dyDescent="0.25">
      <c r="A151" s="553" t="s">
        <v>429</v>
      </c>
      <c r="B151" s="575">
        <v>2204400</v>
      </c>
      <c r="C151" s="569">
        <v>2129200</v>
      </c>
      <c r="D151" s="569">
        <v>2420400</v>
      </c>
      <c r="E151" s="569">
        <v>2814700</v>
      </c>
      <c r="F151" s="569">
        <v>8057100</v>
      </c>
      <c r="G151" s="569">
        <v>10326700</v>
      </c>
      <c r="H151" s="569">
        <v>7583100</v>
      </c>
      <c r="I151" s="540">
        <f t="shared" si="22"/>
        <v>35535600</v>
      </c>
      <c r="J151" s="564">
        <f t="shared" si="23"/>
        <v>453100</v>
      </c>
    </row>
    <row r="152" spans="1:10" x14ac:dyDescent="0.25">
      <c r="A152" s="555" t="s">
        <v>430</v>
      </c>
      <c r="B152" s="576">
        <v>3780400</v>
      </c>
      <c r="C152" s="570">
        <v>4101400</v>
      </c>
      <c r="D152" s="570">
        <v>4148300</v>
      </c>
      <c r="E152" s="570">
        <v>4525100</v>
      </c>
      <c r="F152" s="570">
        <v>9428900</v>
      </c>
      <c r="G152" s="570">
        <v>10232700</v>
      </c>
      <c r="H152" s="570">
        <v>11030700</v>
      </c>
      <c r="I152" s="540">
        <f t="shared" si="22"/>
        <v>47247500</v>
      </c>
      <c r="J152" s="564">
        <f t="shared" si="23"/>
        <v>3216600</v>
      </c>
    </row>
    <row r="153" spans="1:10" x14ac:dyDescent="0.25">
      <c r="A153" s="577" t="s">
        <v>544</v>
      </c>
      <c r="B153" s="578">
        <v>3001000</v>
      </c>
      <c r="C153" s="572">
        <v>3574800</v>
      </c>
      <c r="D153" s="572">
        <v>4363000</v>
      </c>
      <c r="E153" s="572">
        <v>4692500</v>
      </c>
      <c r="F153" s="572">
        <v>9828400</v>
      </c>
      <c r="G153" s="572">
        <v>6953400</v>
      </c>
      <c r="H153" s="572">
        <v>5455600</v>
      </c>
      <c r="I153" s="540">
        <f t="shared" si="22"/>
        <v>37868700</v>
      </c>
      <c r="J153" s="564">
        <f t="shared" si="23"/>
        <v>2392700</v>
      </c>
    </row>
    <row r="154" spans="1:10" ht="15.75" thickBot="1" x14ac:dyDescent="0.3">
      <c r="A154" s="556" t="s">
        <v>10</v>
      </c>
      <c r="B154" s="579">
        <f>+SUM(B149:B153)</f>
        <v>16225200</v>
      </c>
      <c r="C154" s="579">
        <f t="shared" ref="C154:H154" si="24">+SUM(C149:C153)</f>
        <v>17547600</v>
      </c>
      <c r="D154" s="579">
        <f t="shared" si="24"/>
        <v>20166900</v>
      </c>
      <c r="E154" s="579">
        <f t="shared" si="24"/>
        <v>21287000</v>
      </c>
      <c r="F154" s="579">
        <f t="shared" si="24"/>
        <v>51517900</v>
      </c>
      <c r="G154" s="579">
        <f t="shared" si="24"/>
        <v>58648800</v>
      </c>
      <c r="H154" s="579">
        <f t="shared" si="24"/>
        <v>52976800</v>
      </c>
      <c r="I154" s="567">
        <f t="shared" si="22"/>
        <v>238370200</v>
      </c>
      <c r="J154" s="564">
        <f t="shared" si="23"/>
        <v>16710600</v>
      </c>
    </row>
    <row r="156" spans="1:10" ht="30.75" thickBot="1" x14ac:dyDescent="0.3">
      <c r="A156" s="551" t="s">
        <v>419</v>
      </c>
      <c r="B156" s="232" t="s">
        <v>249</v>
      </c>
      <c r="C156" s="232" t="s">
        <v>250</v>
      </c>
      <c r="D156" s="232" t="s">
        <v>251</v>
      </c>
      <c r="E156" s="232" t="s">
        <v>220</v>
      </c>
      <c r="F156" s="232" t="s">
        <v>221</v>
      </c>
      <c r="G156" s="232" t="s">
        <v>222</v>
      </c>
      <c r="H156" s="232" t="s">
        <v>223</v>
      </c>
      <c r="I156" s="561" t="s">
        <v>96</v>
      </c>
      <c r="J156" s="562" t="s">
        <v>438</v>
      </c>
    </row>
    <row r="157" spans="1:10" ht="15.75" thickTop="1" x14ac:dyDescent="0.25">
      <c r="A157" s="553" t="s">
        <v>427</v>
      </c>
      <c r="B157" s="575">
        <v>4270600</v>
      </c>
      <c r="C157" s="569">
        <v>6156400</v>
      </c>
      <c r="D157" s="569">
        <v>4389700</v>
      </c>
      <c r="E157" s="569">
        <v>5616500</v>
      </c>
      <c r="F157" s="569">
        <v>11233000</v>
      </c>
      <c r="G157" s="569">
        <v>15044700</v>
      </c>
      <c r="H157" s="569">
        <v>12640400</v>
      </c>
      <c r="I157" s="540">
        <f t="shared" ref="I157:I162" si="25">+SUM(B157:H157)</f>
        <v>59351300</v>
      </c>
      <c r="J157" s="564">
        <f t="shared" ref="J157:J162" si="26">I157-I149</f>
        <v>-6270200</v>
      </c>
    </row>
    <row r="158" spans="1:10" x14ac:dyDescent="0.25">
      <c r="A158" s="555" t="s">
        <v>428</v>
      </c>
      <c r="B158" s="576">
        <v>2994500</v>
      </c>
      <c r="C158" s="570">
        <v>5011800</v>
      </c>
      <c r="D158" s="570">
        <v>3048900</v>
      </c>
      <c r="E158" s="570">
        <v>3839200</v>
      </c>
      <c r="F158" s="570">
        <v>10228600</v>
      </c>
      <c r="G158" s="570">
        <v>13791400</v>
      </c>
      <c r="H158" s="570">
        <v>10290800</v>
      </c>
      <c r="I158" s="540">
        <f t="shared" si="25"/>
        <v>49205200</v>
      </c>
      <c r="J158" s="564">
        <f t="shared" si="26"/>
        <v>-2891700</v>
      </c>
    </row>
    <row r="159" spans="1:10" x14ac:dyDescent="0.25">
      <c r="A159" s="553" t="s">
        <v>429</v>
      </c>
      <c r="B159" s="575">
        <v>1934100</v>
      </c>
      <c r="C159" s="569">
        <v>4018300</v>
      </c>
      <c r="D159" s="569">
        <v>3183300</v>
      </c>
      <c r="E159" s="569">
        <v>2916900</v>
      </c>
      <c r="F159" s="569">
        <v>7482800</v>
      </c>
      <c r="G159" s="569">
        <v>8518900</v>
      </c>
      <c r="H159" s="569">
        <v>7910200</v>
      </c>
      <c r="I159" s="540">
        <f t="shared" si="25"/>
        <v>35964500</v>
      </c>
      <c r="J159" s="564">
        <f t="shared" si="26"/>
        <v>428900</v>
      </c>
    </row>
    <row r="160" spans="1:10" x14ac:dyDescent="0.25">
      <c r="A160" s="555" t="s">
        <v>430</v>
      </c>
      <c r="B160" s="576">
        <v>3079000</v>
      </c>
      <c r="C160" s="570">
        <v>4766700</v>
      </c>
      <c r="D160" s="570">
        <v>3977600</v>
      </c>
      <c r="E160" s="570">
        <v>4429500</v>
      </c>
      <c r="F160" s="570">
        <v>9429400</v>
      </c>
      <c r="G160" s="570">
        <v>10073900</v>
      </c>
      <c r="H160" s="570">
        <v>9701600</v>
      </c>
      <c r="I160" s="540">
        <f t="shared" si="25"/>
        <v>45457700</v>
      </c>
      <c r="J160" s="564">
        <f t="shared" si="26"/>
        <v>-1789800</v>
      </c>
    </row>
    <row r="161" spans="1:10" x14ac:dyDescent="0.25">
      <c r="A161" s="577" t="s">
        <v>544</v>
      </c>
      <c r="B161" s="578">
        <v>2980100</v>
      </c>
      <c r="C161" s="572">
        <v>4853400</v>
      </c>
      <c r="D161" s="572">
        <v>3498800</v>
      </c>
      <c r="E161" s="572">
        <v>4061900</v>
      </c>
      <c r="F161" s="572">
        <v>8220800</v>
      </c>
      <c r="G161" s="572">
        <v>6880100</v>
      </c>
      <c r="H161" s="572">
        <v>5712400</v>
      </c>
      <c r="I161" s="540">
        <f t="shared" si="25"/>
        <v>36207500</v>
      </c>
      <c r="J161" s="564">
        <f t="shared" si="26"/>
        <v>-1661200</v>
      </c>
    </row>
    <row r="162" spans="1:10" ht="15.75" thickBot="1" x14ac:dyDescent="0.3">
      <c r="A162" s="556" t="s">
        <v>10</v>
      </c>
      <c r="B162" s="579">
        <f>+SUM(B157:B161)</f>
        <v>15258300</v>
      </c>
      <c r="C162" s="579">
        <f t="shared" ref="C162:H162" si="27">+SUM(C157:C161)</f>
        <v>24806600</v>
      </c>
      <c r="D162" s="579">
        <f t="shared" si="27"/>
        <v>18098300</v>
      </c>
      <c r="E162" s="579">
        <f t="shared" si="27"/>
        <v>20864000</v>
      </c>
      <c r="F162" s="579">
        <f t="shared" si="27"/>
        <v>46594600</v>
      </c>
      <c r="G162" s="579">
        <f t="shared" si="27"/>
        <v>54309000</v>
      </c>
      <c r="H162" s="579">
        <f t="shared" si="27"/>
        <v>46255400</v>
      </c>
      <c r="I162" s="567">
        <f t="shared" si="25"/>
        <v>226186200</v>
      </c>
      <c r="J162" s="564">
        <f t="shared" si="26"/>
        <v>-12184000</v>
      </c>
    </row>
    <row r="164" spans="1:10" ht="30.75" thickBot="1" x14ac:dyDescent="0.3">
      <c r="A164" s="551" t="s">
        <v>419</v>
      </c>
      <c r="B164" s="232" t="s">
        <v>225</v>
      </c>
      <c r="C164" s="232" t="s">
        <v>226</v>
      </c>
      <c r="D164" s="232" t="s">
        <v>227</v>
      </c>
      <c r="E164" s="232" t="s">
        <v>228</v>
      </c>
      <c r="F164" s="232" t="s">
        <v>229</v>
      </c>
      <c r="G164" s="232" t="s">
        <v>230</v>
      </c>
      <c r="H164" s="232" t="s">
        <v>231</v>
      </c>
      <c r="I164" s="561" t="s">
        <v>96</v>
      </c>
      <c r="J164" s="562" t="s">
        <v>438</v>
      </c>
    </row>
    <row r="165" spans="1:10" ht="15.75" thickTop="1" x14ac:dyDescent="0.25">
      <c r="A165" s="553" t="s">
        <v>427</v>
      </c>
      <c r="B165" s="575">
        <v>3698800</v>
      </c>
      <c r="C165" s="569">
        <v>4350200</v>
      </c>
      <c r="D165" s="569">
        <v>5071500</v>
      </c>
      <c r="E165" s="569">
        <v>6946900</v>
      </c>
      <c r="F165" s="569">
        <v>11918100</v>
      </c>
      <c r="G165" s="569">
        <v>13016700</v>
      </c>
      <c r="H165" s="569">
        <v>14684100</v>
      </c>
      <c r="I165" s="540">
        <f t="shared" ref="I165:I170" si="28">+SUM(B165:H165)</f>
        <v>59686300</v>
      </c>
      <c r="J165" s="564">
        <f t="shared" ref="J165:J170" si="29">I165-I157</f>
        <v>335000</v>
      </c>
    </row>
    <row r="166" spans="1:10" x14ac:dyDescent="0.25">
      <c r="A166" s="555" t="s">
        <v>428</v>
      </c>
      <c r="B166" s="576">
        <v>2380600</v>
      </c>
      <c r="C166" s="570">
        <v>3170000</v>
      </c>
      <c r="D166" s="570">
        <v>3139400</v>
      </c>
      <c r="E166" s="570">
        <v>3115500</v>
      </c>
      <c r="F166" s="570">
        <v>8396000</v>
      </c>
      <c r="G166" s="570">
        <v>10809700</v>
      </c>
      <c r="H166" s="570">
        <v>9205100</v>
      </c>
      <c r="I166" s="540">
        <f t="shared" si="28"/>
        <v>40216300</v>
      </c>
      <c r="J166" s="564">
        <f t="shared" si="29"/>
        <v>-8988900</v>
      </c>
    </row>
    <row r="167" spans="1:10" x14ac:dyDescent="0.25">
      <c r="A167" s="553" t="s">
        <v>429</v>
      </c>
      <c r="B167" s="575">
        <v>2005400</v>
      </c>
      <c r="C167" s="569">
        <v>3365100</v>
      </c>
      <c r="D167" s="569">
        <v>2418100</v>
      </c>
      <c r="E167" s="569">
        <v>3664200</v>
      </c>
      <c r="F167" s="569">
        <v>6904600</v>
      </c>
      <c r="G167" s="569">
        <v>8857700</v>
      </c>
      <c r="H167" s="569">
        <v>8274700</v>
      </c>
      <c r="I167" s="540">
        <f t="shared" si="28"/>
        <v>35489800</v>
      </c>
      <c r="J167" s="564">
        <f t="shared" si="29"/>
        <v>-474700</v>
      </c>
    </row>
    <row r="168" spans="1:10" x14ac:dyDescent="0.25">
      <c r="A168" s="555" t="s">
        <v>430</v>
      </c>
      <c r="B168" s="576">
        <v>3442700</v>
      </c>
      <c r="C168" s="570">
        <v>4401200</v>
      </c>
      <c r="D168" s="570">
        <v>5313700</v>
      </c>
      <c r="E168" s="570">
        <v>4454700</v>
      </c>
      <c r="F168" s="570">
        <v>9586100</v>
      </c>
      <c r="G168" s="570">
        <v>8034200</v>
      </c>
      <c r="H168" s="570">
        <v>8267300</v>
      </c>
      <c r="I168" s="540">
        <f t="shared" si="28"/>
        <v>43499900</v>
      </c>
      <c r="J168" s="564">
        <f t="shared" si="29"/>
        <v>-1957800</v>
      </c>
    </row>
    <row r="169" spans="1:10" x14ac:dyDescent="0.25">
      <c r="A169" s="577" t="s">
        <v>544</v>
      </c>
      <c r="B169" s="578">
        <v>3170600</v>
      </c>
      <c r="C169" s="572">
        <v>3415800</v>
      </c>
      <c r="D169" s="572">
        <v>3771800</v>
      </c>
      <c r="E169" s="572">
        <v>4138600</v>
      </c>
      <c r="F169" s="572">
        <v>6814800</v>
      </c>
      <c r="G169" s="572">
        <v>5405800</v>
      </c>
      <c r="H169" s="572">
        <v>5408900</v>
      </c>
      <c r="I169" s="540">
        <f t="shared" si="28"/>
        <v>32126300</v>
      </c>
      <c r="J169" s="564">
        <f t="shared" si="29"/>
        <v>-4081200</v>
      </c>
    </row>
    <row r="170" spans="1:10" ht="15.75" thickBot="1" x14ac:dyDescent="0.3">
      <c r="A170" s="556" t="s">
        <v>10</v>
      </c>
      <c r="B170" s="579">
        <f>+SUM(B165:B169)</f>
        <v>14698100</v>
      </c>
      <c r="C170" s="579">
        <f t="shared" ref="C170:H170" si="30">+SUM(C165:C169)</f>
        <v>18702300</v>
      </c>
      <c r="D170" s="579">
        <f t="shared" si="30"/>
        <v>19714500</v>
      </c>
      <c r="E170" s="579">
        <f t="shared" si="30"/>
        <v>22319900</v>
      </c>
      <c r="F170" s="579">
        <f t="shared" si="30"/>
        <v>43619600</v>
      </c>
      <c r="G170" s="579">
        <f t="shared" si="30"/>
        <v>46124100</v>
      </c>
      <c r="H170" s="579">
        <f t="shared" si="30"/>
        <v>45840100</v>
      </c>
      <c r="I170" s="567">
        <f t="shared" si="28"/>
        <v>211018600</v>
      </c>
      <c r="J170" s="564">
        <f t="shared" si="29"/>
        <v>-15167600</v>
      </c>
    </row>
    <row r="172" spans="1:10" ht="30.75" thickBot="1" x14ac:dyDescent="0.3">
      <c r="A172" s="551" t="s">
        <v>419</v>
      </c>
      <c r="B172" s="232" t="s">
        <v>233</v>
      </c>
      <c r="C172" s="232" t="s">
        <v>234</v>
      </c>
      <c r="D172" s="232" t="s">
        <v>235</v>
      </c>
      <c r="E172" s="232" t="s">
        <v>236</v>
      </c>
      <c r="F172" s="232" t="s">
        <v>237</v>
      </c>
      <c r="G172" s="232" t="s">
        <v>238</v>
      </c>
      <c r="H172" s="232" t="s">
        <v>239</v>
      </c>
      <c r="I172" s="580" t="s">
        <v>96</v>
      </c>
      <c r="J172" s="562" t="s">
        <v>438</v>
      </c>
    </row>
    <row r="173" spans="1:10" ht="15.75" thickTop="1" x14ac:dyDescent="0.25">
      <c r="A173" s="553" t="s">
        <v>427</v>
      </c>
      <c r="B173" s="575">
        <v>14876900</v>
      </c>
      <c r="C173" s="569">
        <v>4087900</v>
      </c>
      <c r="D173" s="569">
        <v>9540000</v>
      </c>
      <c r="E173" s="569">
        <v>5795100</v>
      </c>
      <c r="F173" s="569">
        <v>11532500</v>
      </c>
      <c r="G173" s="569">
        <v>13624700</v>
      </c>
      <c r="H173" s="569">
        <v>12628400</v>
      </c>
      <c r="I173" s="581">
        <f t="shared" ref="I173:I178" si="31">+SUM(B173:H173)</f>
        <v>72085500</v>
      </c>
      <c r="J173" s="564">
        <f t="shared" ref="J173:J178" si="32">I173-I165</f>
        <v>12399200</v>
      </c>
    </row>
    <row r="174" spans="1:10" x14ac:dyDescent="0.25">
      <c r="A174" s="555" t="s">
        <v>428</v>
      </c>
      <c r="B174" s="576">
        <v>10032700</v>
      </c>
      <c r="C174" s="570">
        <v>2302900</v>
      </c>
      <c r="D174" s="570">
        <v>2488200</v>
      </c>
      <c r="E174" s="570">
        <v>2816600</v>
      </c>
      <c r="F174" s="570">
        <v>9158000</v>
      </c>
      <c r="G174" s="570">
        <v>12043800</v>
      </c>
      <c r="H174" s="570">
        <v>11534000</v>
      </c>
      <c r="I174" s="581">
        <f t="shared" si="31"/>
        <v>50376200</v>
      </c>
      <c r="J174" s="564">
        <f t="shared" si="32"/>
        <v>10159900</v>
      </c>
    </row>
    <row r="175" spans="1:10" x14ac:dyDescent="0.25">
      <c r="A175" s="553" t="s">
        <v>429</v>
      </c>
      <c r="B175" s="575">
        <v>7087900</v>
      </c>
      <c r="C175" s="569">
        <v>1791300</v>
      </c>
      <c r="D175" s="569">
        <v>2680500</v>
      </c>
      <c r="E175" s="569">
        <v>3391500</v>
      </c>
      <c r="F175" s="569">
        <v>7741900</v>
      </c>
      <c r="G175" s="569">
        <v>10283000</v>
      </c>
      <c r="H175" s="569">
        <v>8997600</v>
      </c>
      <c r="I175" s="581">
        <f t="shared" si="31"/>
        <v>41973700</v>
      </c>
      <c r="J175" s="564">
        <f t="shared" si="32"/>
        <v>6483900</v>
      </c>
    </row>
    <row r="176" spans="1:10" x14ac:dyDescent="0.25">
      <c r="A176" s="555" t="s">
        <v>430</v>
      </c>
      <c r="B176" s="576">
        <v>9944200</v>
      </c>
      <c r="C176" s="570">
        <v>4332900</v>
      </c>
      <c r="D176" s="570">
        <v>4571500</v>
      </c>
      <c r="E176" s="570">
        <v>4534800</v>
      </c>
      <c r="F176" s="570">
        <v>8874800</v>
      </c>
      <c r="G176" s="570">
        <v>10642400</v>
      </c>
      <c r="H176" s="570">
        <v>8712900</v>
      </c>
      <c r="I176" s="581">
        <f t="shared" si="31"/>
        <v>51613500</v>
      </c>
      <c r="J176" s="564">
        <f t="shared" si="32"/>
        <v>8113600</v>
      </c>
    </row>
    <row r="177" spans="1:10" x14ac:dyDescent="0.25">
      <c r="A177" s="577" t="s">
        <v>544</v>
      </c>
      <c r="B177" s="578">
        <v>5577300</v>
      </c>
      <c r="C177" s="572">
        <v>2651500</v>
      </c>
      <c r="D177" s="572">
        <v>3526000</v>
      </c>
      <c r="E177" s="572">
        <v>3851500</v>
      </c>
      <c r="F177" s="572">
        <v>6859400</v>
      </c>
      <c r="G177" s="572">
        <v>6504900</v>
      </c>
      <c r="H177" s="572">
        <v>5516700</v>
      </c>
      <c r="I177" s="581">
        <f t="shared" si="31"/>
        <v>34487300</v>
      </c>
      <c r="J177" s="564">
        <f t="shared" si="32"/>
        <v>2361000</v>
      </c>
    </row>
    <row r="178" spans="1:10" ht="15.75" thickBot="1" x14ac:dyDescent="0.3">
      <c r="A178" s="556" t="s">
        <v>10</v>
      </c>
      <c r="B178" s="579">
        <f>+SUM(B173:B177)</f>
        <v>47519000</v>
      </c>
      <c r="C178" s="579">
        <f t="shared" ref="C178:H178" si="33">+SUM(C173:C177)</f>
        <v>15166500</v>
      </c>
      <c r="D178" s="579">
        <f t="shared" si="33"/>
        <v>22806200</v>
      </c>
      <c r="E178" s="579">
        <f t="shared" si="33"/>
        <v>20389500</v>
      </c>
      <c r="F178" s="579">
        <f t="shared" si="33"/>
        <v>44166600</v>
      </c>
      <c r="G178" s="579">
        <f t="shared" si="33"/>
        <v>53098800</v>
      </c>
      <c r="H178" s="579">
        <f t="shared" si="33"/>
        <v>47389600</v>
      </c>
      <c r="I178" s="582">
        <f t="shared" si="31"/>
        <v>250536200</v>
      </c>
      <c r="J178" s="564">
        <f t="shared" si="32"/>
        <v>39517600</v>
      </c>
    </row>
    <row r="180" spans="1:10" ht="30.75" thickBot="1" x14ac:dyDescent="0.3">
      <c r="A180" s="551" t="s">
        <v>419</v>
      </c>
      <c r="B180" s="232" t="s">
        <v>241</v>
      </c>
      <c r="C180" s="232" t="s">
        <v>255</v>
      </c>
      <c r="D180" s="232" t="s">
        <v>256</v>
      </c>
      <c r="E180" s="232" t="s">
        <v>257</v>
      </c>
      <c r="F180" s="232" t="s">
        <v>258</v>
      </c>
      <c r="G180" s="232" t="s">
        <v>259</v>
      </c>
      <c r="H180" s="232" t="s">
        <v>260</v>
      </c>
      <c r="I180" s="580" t="s">
        <v>96</v>
      </c>
      <c r="J180" s="562" t="s">
        <v>438</v>
      </c>
    </row>
    <row r="181" spans="1:10" ht="15.75" thickTop="1" x14ac:dyDescent="0.25">
      <c r="A181" s="553" t="s">
        <v>427</v>
      </c>
      <c r="B181" s="575">
        <v>4133500</v>
      </c>
      <c r="C181" s="569">
        <v>4659100</v>
      </c>
      <c r="D181" s="569">
        <v>4558900</v>
      </c>
      <c r="E181" s="569">
        <v>6892400</v>
      </c>
      <c r="F181" s="569">
        <v>12938600</v>
      </c>
      <c r="G181" s="569">
        <v>15248700</v>
      </c>
      <c r="H181" s="569">
        <v>14109300</v>
      </c>
      <c r="I181" s="581">
        <f t="shared" ref="I181:I186" si="34">+SUM(B181:H181)</f>
        <v>62540500</v>
      </c>
      <c r="J181" s="564">
        <f t="shared" ref="J181:J186" si="35">I181-I173</f>
        <v>-9545000</v>
      </c>
    </row>
    <row r="182" spans="1:10" x14ac:dyDescent="0.25">
      <c r="A182" s="555" t="s">
        <v>428</v>
      </c>
      <c r="B182" s="576">
        <v>2776500</v>
      </c>
      <c r="C182" s="570">
        <v>3478700</v>
      </c>
      <c r="D182" s="570">
        <v>3940900</v>
      </c>
      <c r="E182" s="570">
        <v>4097500</v>
      </c>
      <c r="F182" s="570">
        <v>10577800</v>
      </c>
      <c r="G182" s="570">
        <v>13876200</v>
      </c>
      <c r="H182" s="570">
        <v>11785700</v>
      </c>
      <c r="I182" s="581">
        <f t="shared" si="34"/>
        <v>50533300</v>
      </c>
      <c r="J182" s="564">
        <f t="shared" si="35"/>
        <v>157100</v>
      </c>
    </row>
    <row r="183" spans="1:10" x14ac:dyDescent="0.25">
      <c r="A183" s="553" t="s">
        <v>429</v>
      </c>
      <c r="B183" s="575">
        <v>2552200</v>
      </c>
      <c r="C183" s="583">
        <v>1902600</v>
      </c>
      <c r="D183" s="583">
        <v>1823900</v>
      </c>
      <c r="E183" s="569">
        <v>3925000</v>
      </c>
      <c r="F183" s="569">
        <v>8314700</v>
      </c>
      <c r="G183" s="569">
        <v>9921000</v>
      </c>
      <c r="H183" s="569">
        <v>9008400</v>
      </c>
      <c r="I183" s="581">
        <f t="shared" si="34"/>
        <v>37447800</v>
      </c>
      <c r="J183" s="564">
        <f t="shared" si="35"/>
        <v>-4525900</v>
      </c>
    </row>
    <row r="184" spans="1:10" x14ac:dyDescent="0.25">
      <c r="A184" s="555" t="s">
        <v>430</v>
      </c>
      <c r="B184" s="576">
        <v>2859900</v>
      </c>
      <c r="C184" s="570">
        <v>3926200</v>
      </c>
      <c r="D184" s="570">
        <v>4778800</v>
      </c>
      <c r="E184" s="570">
        <v>4902600</v>
      </c>
      <c r="F184" s="570">
        <v>9370700</v>
      </c>
      <c r="G184" s="570">
        <v>9764100</v>
      </c>
      <c r="H184" s="570">
        <v>2125000</v>
      </c>
      <c r="I184" s="581">
        <f t="shared" si="34"/>
        <v>37727300</v>
      </c>
      <c r="J184" s="564">
        <f t="shared" si="35"/>
        <v>-13886200</v>
      </c>
    </row>
    <row r="185" spans="1:10" x14ac:dyDescent="0.25">
      <c r="A185" s="577" t="s">
        <v>544</v>
      </c>
      <c r="B185" s="578">
        <v>2835200</v>
      </c>
      <c r="C185" s="572">
        <v>3444600</v>
      </c>
      <c r="D185" s="572">
        <v>3371900</v>
      </c>
      <c r="E185" s="572">
        <v>4097400</v>
      </c>
      <c r="F185" s="572">
        <v>7059600</v>
      </c>
      <c r="G185" s="572">
        <v>7420600</v>
      </c>
      <c r="H185" s="572">
        <v>13568900</v>
      </c>
      <c r="I185" s="581">
        <f t="shared" si="34"/>
        <v>41798200</v>
      </c>
      <c r="J185" s="564">
        <f t="shared" si="35"/>
        <v>7310900</v>
      </c>
    </row>
    <row r="186" spans="1:10" ht="15.75" thickBot="1" x14ac:dyDescent="0.3">
      <c r="A186" s="556" t="s">
        <v>10</v>
      </c>
      <c r="B186" s="579">
        <f>+SUM(B181:B185)</f>
        <v>15157300</v>
      </c>
      <c r="C186" s="579">
        <f t="shared" ref="C186:H186" si="36">+SUM(C181:C185)</f>
        <v>17411200</v>
      </c>
      <c r="D186" s="579">
        <f t="shared" si="36"/>
        <v>18474400</v>
      </c>
      <c r="E186" s="579">
        <f t="shared" si="36"/>
        <v>23914900</v>
      </c>
      <c r="F186" s="579">
        <f t="shared" si="36"/>
        <v>48261400</v>
      </c>
      <c r="G186" s="579">
        <f t="shared" si="36"/>
        <v>56230600</v>
      </c>
      <c r="H186" s="579">
        <f t="shared" si="36"/>
        <v>50597300</v>
      </c>
      <c r="I186" s="582">
        <f t="shared" si="34"/>
        <v>230047100</v>
      </c>
      <c r="J186" s="564">
        <f t="shared" si="35"/>
        <v>-20489100</v>
      </c>
    </row>
    <row r="188" spans="1:10" ht="30.75" thickBot="1" x14ac:dyDescent="0.3">
      <c r="A188" s="551" t="s">
        <v>419</v>
      </c>
      <c r="B188" s="232" t="s">
        <v>262</v>
      </c>
      <c r="C188" s="232" t="s">
        <v>263</v>
      </c>
      <c r="D188" s="232" t="s">
        <v>264</v>
      </c>
      <c r="E188" s="232" t="s">
        <v>265</v>
      </c>
      <c r="F188" s="232" t="s">
        <v>266</v>
      </c>
      <c r="G188" s="232" t="s">
        <v>267</v>
      </c>
      <c r="H188" s="232" t="s">
        <v>105</v>
      </c>
      <c r="I188" s="580" t="s">
        <v>96</v>
      </c>
      <c r="J188" s="562" t="s">
        <v>438</v>
      </c>
    </row>
    <row r="189" spans="1:10" ht="15.75" thickTop="1" x14ac:dyDescent="0.25">
      <c r="A189" s="553" t="s">
        <v>427</v>
      </c>
      <c r="B189" s="575">
        <v>3451900</v>
      </c>
      <c r="C189" s="569">
        <v>5208500</v>
      </c>
      <c r="D189" s="569">
        <v>4930000</v>
      </c>
      <c r="E189" s="569">
        <v>5866600</v>
      </c>
      <c r="F189" s="569">
        <v>11780100</v>
      </c>
      <c r="G189" s="569">
        <v>15222000</v>
      </c>
      <c r="H189" s="569">
        <v>14572600</v>
      </c>
      <c r="I189" s="581">
        <f t="shared" ref="I189:I194" si="37">+SUM(B189:H189)</f>
        <v>61031700</v>
      </c>
      <c r="J189" s="564">
        <f t="shared" ref="J189:J194" si="38">I189-I181</f>
        <v>-1508800</v>
      </c>
    </row>
    <row r="190" spans="1:10" x14ac:dyDescent="0.25">
      <c r="A190" s="555" t="s">
        <v>428</v>
      </c>
      <c r="B190" s="576">
        <v>2653100</v>
      </c>
      <c r="C190" s="570">
        <v>3438700</v>
      </c>
      <c r="D190" s="570">
        <v>3784100</v>
      </c>
      <c r="E190" s="570">
        <v>3917800</v>
      </c>
      <c r="F190" s="570">
        <v>10338300</v>
      </c>
      <c r="G190" s="570">
        <v>13379200</v>
      </c>
      <c r="H190" s="570">
        <v>13794400</v>
      </c>
      <c r="I190" s="581">
        <f t="shared" si="37"/>
        <v>51305600</v>
      </c>
      <c r="J190" s="564">
        <f t="shared" si="38"/>
        <v>772300</v>
      </c>
    </row>
    <row r="191" spans="1:10" x14ac:dyDescent="0.25">
      <c r="A191" s="553" t="s">
        <v>429</v>
      </c>
      <c r="B191" s="575">
        <v>2824000</v>
      </c>
      <c r="C191" s="583">
        <v>2235100</v>
      </c>
      <c r="D191" s="583">
        <v>2977400</v>
      </c>
      <c r="E191" s="569">
        <v>2557500</v>
      </c>
      <c r="F191" s="569">
        <v>7662800</v>
      </c>
      <c r="G191" s="569">
        <v>10784600</v>
      </c>
      <c r="H191" s="569">
        <v>7297900</v>
      </c>
      <c r="I191" s="581">
        <f t="shared" si="37"/>
        <v>36339300</v>
      </c>
      <c r="J191" s="564">
        <f t="shared" si="38"/>
        <v>-1108500</v>
      </c>
    </row>
    <row r="192" spans="1:10" x14ac:dyDescent="0.25">
      <c r="A192" s="555" t="s">
        <v>430</v>
      </c>
      <c r="B192" s="576">
        <v>4088100</v>
      </c>
      <c r="C192" s="570">
        <v>2406700</v>
      </c>
      <c r="D192" s="570">
        <v>4117100</v>
      </c>
      <c r="E192" s="570">
        <v>5047200</v>
      </c>
      <c r="F192" s="570">
        <v>9831300</v>
      </c>
      <c r="G192" s="570">
        <v>9790300</v>
      </c>
      <c r="H192" s="570">
        <v>10244900</v>
      </c>
      <c r="I192" s="581">
        <f t="shared" si="37"/>
        <v>45525600</v>
      </c>
      <c r="J192" s="564">
        <f t="shared" si="38"/>
        <v>7798300</v>
      </c>
    </row>
    <row r="193" spans="1:10" x14ac:dyDescent="0.25">
      <c r="A193" s="577" t="s">
        <v>544</v>
      </c>
      <c r="B193" s="578">
        <v>3099900</v>
      </c>
      <c r="C193" s="572">
        <v>3941100</v>
      </c>
      <c r="D193" s="572">
        <v>3215800</v>
      </c>
      <c r="E193" s="572">
        <v>3820900</v>
      </c>
      <c r="F193" s="572">
        <v>7973400</v>
      </c>
      <c r="G193" s="572">
        <v>6480400</v>
      </c>
      <c r="H193" s="572">
        <v>7196900</v>
      </c>
      <c r="I193" s="581">
        <f t="shared" si="37"/>
        <v>35728400</v>
      </c>
      <c r="J193" s="564">
        <f t="shared" si="38"/>
        <v>-6069800</v>
      </c>
    </row>
    <row r="194" spans="1:10" ht="15.75" thickBot="1" x14ac:dyDescent="0.3">
      <c r="A194" s="556" t="s">
        <v>10</v>
      </c>
      <c r="B194" s="579">
        <f>+SUM(B189:B193)</f>
        <v>16117000</v>
      </c>
      <c r="C194" s="579">
        <f t="shared" ref="C194:H194" si="39">+SUM(C189:C193)</f>
        <v>17230100</v>
      </c>
      <c r="D194" s="579">
        <f t="shared" si="39"/>
        <v>19024400</v>
      </c>
      <c r="E194" s="579">
        <f t="shared" si="39"/>
        <v>21210000</v>
      </c>
      <c r="F194" s="579">
        <f t="shared" si="39"/>
        <v>47585900</v>
      </c>
      <c r="G194" s="579">
        <f t="shared" si="39"/>
        <v>55656500</v>
      </c>
      <c r="H194" s="579">
        <f t="shared" si="39"/>
        <v>53106700</v>
      </c>
      <c r="I194" s="582">
        <f t="shared" si="37"/>
        <v>229930600</v>
      </c>
      <c r="J194" s="564">
        <f t="shared" si="38"/>
        <v>-116500</v>
      </c>
    </row>
    <row r="196" spans="1:10" ht="30.75" thickBot="1" x14ac:dyDescent="0.3">
      <c r="A196" s="551" t="s">
        <v>419</v>
      </c>
      <c r="B196" s="232" t="s">
        <v>107</v>
      </c>
      <c r="C196" s="232" t="s">
        <v>108</v>
      </c>
      <c r="D196" s="232" t="s">
        <v>109</v>
      </c>
      <c r="E196" s="232" t="s">
        <v>110</v>
      </c>
      <c r="F196" s="232" t="s">
        <v>111</v>
      </c>
      <c r="G196" s="232" t="s">
        <v>112</v>
      </c>
      <c r="H196" s="232" t="s">
        <v>113</v>
      </c>
      <c r="I196" s="580" t="s">
        <v>96</v>
      </c>
      <c r="J196" s="562" t="s">
        <v>438</v>
      </c>
    </row>
    <row r="197" spans="1:10" ht="15.75" thickTop="1" x14ac:dyDescent="0.25">
      <c r="A197" s="553" t="s">
        <v>427</v>
      </c>
      <c r="B197" s="575">
        <v>3705400</v>
      </c>
      <c r="C197" s="569">
        <v>4523700</v>
      </c>
      <c r="D197" s="569">
        <v>5260900</v>
      </c>
      <c r="E197" s="569">
        <v>6577200</v>
      </c>
      <c r="F197" s="569">
        <v>14684900</v>
      </c>
      <c r="G197" s="569">
        <v>14661900</v>
      </c>
      <c r="H197" s="569">
        <v>11615600</v>
      </c>
      <c r="I197" s="581">
        <f t="shared" ref="I197:I202" si="40">+SUM(B197:H197)</f>
        <v>61029600</v>
      </c>
      <c r="J197" s="564">
        <f t="shared" ref="J197:J202" si="41">I197-I189</f>
        <v>-2100</v>
      </c>
    </row>
    <row r="198" spans="1:10" x14ac:dyDescent="0.25">
      <c r="A198" s="555" t="s">
        <v>428</v>
      </c>
      <c r="B198" s="576">
        <v>3175200</v>
      </c>
      <c r="C198" s="570">
        <v>3844200</v>
      </c>
      <c r="D198" s="570">
        <v>3872700</v>
      </c>
      <c r="E198" s="570">
        <v>4984100</v>
      </c>
      <c r="F198" s="570">
        <v>10406100</v>
      </c>
      <c r="G198" s="570">
        <v>14027000</v>
      </c>
      <c r="H198" s="570">
        <v>12596900</v>
      </c>
      <c r="I198" s="581">
        <f t="shared" si="40"/>
        <v>52906200</v>
      </c>
      <c r="J198" s="564">
        <f t="shared" si="41"/>
        <v>1600600</v>
      </c>
    </row>
    <row r="199" spans="1:10" x14ac:dyDescent="0.25">
      <c r="A199" s="553" t="s">
        <v>429</v>
      </c>
      <c r="B199" s="575">
        <v>2039800</v>
      </c>
      <c r="C199" s="583">
        <v>3055000</v>
      </c>
      <c r="D199" s="583">
        <v>2162900</v>
      </c>
      <c r="E199" s="569">
        <v>3313400</v>
      </c>
      <c r="F199" s="569">
        <v>7791300</v>
      </c>
      <c r="G199" s="569">
        <v>11511300</v>
      </c>
      <c r="H199" s="569">
        <v>9400200</v>
      </c>
      <c r="I199" s="581">
        <f t="shared" si="40"/>
        <v>39273900</v>
      </c>
      <c r="J199" s="564">
        <f t="shared" si="41"/>
        <v>2934600</v>
      </c>
    </row>
    <row r="200" spans="1:10" x14ac:dyDescent="0.25">
      <c r="A200" s="555" t="s">
        <v>430</v>
      </c>
      <c r="B200" s="576">
        <v>4172100</v>
      </c>
      <c r="C200" s="570">
        <v>4163600</v>
      </c>
      <c r="D200" s="570">
        <v>5051600</v>
      </c>
      <c r="E200" s="570">
        <v>5981700</v>
      </c>
      <c r="F200" s="570">
        <v>8293000</v>
      </c>
      <c r="G200" s="570">
        <v>7650400</v>
      </c>
      <c r="H200" s="570">
        <v>6869000</v>
      </c>
      <c r="I200" s="581">
        <f t="shared" si="40"/>
        <v>42181400</v>
      </c>
      <c r="J200" s="564">
        <f t="shared" si="41"/>
        <v>-3344200</v>
      </c>
    </row>
    <row r="201" spans="1:10" x14ac:dyDescent="0.25">
      <c r="A201" s="577" t="s">
        <v>544</v>
      </c>
      <c r="B201" s="578">
        <v>2377500</v>
      </c>
      <c r="C201" s="572">
        <v>4303400</v>
      </c>
      <c r="D201" s="572">
        <v>3583700</v>
      </c>
      <c r="E201" s="572">
        <v>4603900</v>
      </c>
      <c r="F201" s="572">
        <v>8609100</v>
      </c>
      <c r="G201" s="572">
        <v>6548400</v>
      </c>
      <c r="H201" s="572">
        <v>5265600</v>
      </c>
      <c r="I201" s="581">
        <f t="shared" si="40"/>
        <v>35291600</v>
      </c>
      <c r="J201" s="564">
        <f t="shared" si="41"/>
        <v>-436800</v>
      </c>
    </row>
    <row r="202" spans="1:10" ht="15.75" thickBot="1" x14ac:dyDescent="0.3">
      <c r="A202" s="556" t="s">
        <v>10</v>
      </c>
      <c r="B202" s="579">
        <f>+SUM(B197:B201)</f>
        <v>15470000</v>
      </c>
      <c r="C202" s="579">
        <f t="shared" ref="C202:H202" si="42">+SUM(C197:C201)</f>
        <v>19889900</v>
      </c>
      <c r="D202" s="579">
        <f t="shared" si="42"/>
        <v>19931800</v>
      </c>
      <c r="E202" s="579">
        <f t="shared" si="42"/>
        <v>25460300</v>
      </c>
      <c r="F202" s="579">
        <f t="shared" si="42"/>
        <v>49784400</v>
      </c>
      <c r="G202" s="579">
        <f t="shared" si="42"/>
        <v>54399000</v>
      </c>
      <c r="H202" s="579">
        <f t="shared" si="42"/>
        <v>45747300</v>
      </c>
      <c r="I202" s="582">
        <f t="shared" si="40"/>
        <v>230682700</v>
      </c>
      <c r="J202" s="564">
        <f t="shared" si="41"/>
        <v>752100</v>
      </c>
    </row>
    <row r="204" spans="1:10" ht="30.75" thickBot="1" x14ac:dyDescent="0.3">
      <c r="A204" s="551" t="s">
        <v>419</v>
      </c>
      <c r="B204" s="232" t="s">
        <v>270</v>
      </c>
      <c r="C204" s="232" t="s">
        <v>116</v>
      </c>
      <c r="D204" s="232" t="s">
        <v>117</v>
      </c>
      <c r="E204" s="232" t="s">
        <v>118</v>
      </c>
      <c r="F204" s="232" t="s">
        <v>119</v>
      </c>
      <c r="G204" s="232" t="s">
        <v>120</v>
      </c>
      <c r="H204" s="232" t="s">
        <v>121</v>
      </c>
      <c r="I204" s="580" t="s">
        <v>96</v>
      </c>
      <c r="J204" s="562" t="s">
        <v>438</v>
      </c>
    </row>
    <row r="205" spans="1:10" ht="15.75" thickTop="1" x14ac:dyDescent="0.25">
      <c r="A205" s="553" t="s">
        <v>427</v>
      </c>
      <c r="B205" s="575">
        <v>4537600</v>
      </c>
      <c r="C205" s="569">
        <v>6084700</v>
      </c>
      <c r="D205" s="569">
        <v>8861700</v>
      </c>
      <c r="E205" s="569">
        <v>8657400</v>
      </c>
      <c r="F205" s="569">
        <v>6463700</v>
      </c>
      <c r="G205" s="569">
        <v>11599400</v>
      </c>
      <c r="H205" s="569">
        <v>15123700</v>
      </c>
      <c r="I205" s="581">
        <v>61328200</v>
      </c>
      <c r="J205" s="564">
        <f t="shared" ref="J205:J210" si="43">I205-I197</f>
        <v>298600</v>
      </c>
    </row>
    <row r="206" spans="1:10" x14ac:dyDescent="0.25">
      <c r="A206" s="555" t="s">
        <v>428</v>
      </c>
      <c r="B206" s="576">
        <v>4541700</v>
      </c>
      <c r="C206" s="570">
        <v>5894800</v>
      </c>
      <c r="D206" s="570">
        <v>7445400</v>
      </c>
      <c r="E206" s="570">
        <v>7772500</v>
      </c>
      <c r="F206" s="570">
        <v>7771600</v>
      </c>
      <c r="G206" s="570">
        <v>10092500</v>
      </c>
      <c r="H206" s="570">
        <v>10933300</v>
      </c>
      <c r="I206" s="581">
        <v>54451800</v>
      </c>
      <c r="J206" s="564">
        <f t="shared" si="43"/>
        <v>1545600</v>
      </c>
    </row>
    <row r="207" spans="1:10" x14ac:dyDescent="0.25">
      <c r="A207" s="553" t="s">
        <v>429</v>
      </c>
      <c r="B207" s="575">
        <v>4378600</v>
      </c>
      <c r="C207" s="583">
        <v>4914700</v>
      </c>
      <c r="D207" s="583">
        <v>7259300</v>
      </c>
      <c r="E207" s="569">
        <v>5864600</v>
      </c>
      <c r="F207" s="569">
        <v>4621800</v>
      </c>
      <c r="G207" s="569">
        <v>7509400</v>
      </c>
      <c r="H207" s="569">
        <v>9033200</v>
      </c>
      <c r="I207" s="581">
        <v>43581600</v>
      </c>
      <c r="J207" s="564">
        <f t="shared" si="43"/>
        <v>4307700</v>
      </c>
    </row>
    <row r="208" spans="1:10" x14ac:dyDescent="0.25">
      <c r="A208" s="555" t="s">
        <v>430</v>
      </c>
      <c r="B208" s="576">
        <v>3820200</v>
      </c>
      <c r="C208" s="570">
        <v>4298400</v>
      </c>
      <c r="D208" s="570">
        <v>5692600</v>
      </c>
      <c r="E208" s="570">
        <v>3686200</v>
      </c>
      <c r="F208" s="570">
        <v>3820400</v>
      </c>
      <c r="G208" s="570">
        <v>6336400</v>
      </c>
      <c r="H208" s="570">
        <v>7674900</v>
      </c>
      <c r="I208" s="581">
        <v>35329100</v>
      </c>
      <c r="J208" s="564">
        <f t="shared" si="43"/>
        <v>-6852300</v>
      </c>
    </row>
    <row r="209" spans="1:10" x14ac:dyDescent="0.25">
      <c r="A209" s="577" t="s">
        <v>544</v>
      </c>
      <c r="B209" s="578">
        <v>3658100</v>
      </c>
      <c r="C209" s="572">
        <v>3701600</v>
      </c>
      <c r="D209" s="572">
        <v>5096800</v>
      </c>
      <c r="E209" s="572">
        <v>3435800</v>
      </c>
      <c r="F209" s="572">
        <v>3291300</v>
      </c>
      <c r="G209" s="572">
        <v>5005100</v>
      </c>
      <c r="H209" s="572">
        <v>5950500</v>
      </c>
      <c r="I209" s="581">
        <v>30139200</v>
      </c>
      <c r="J209" s="564">
        <f t="shared" si="43"/>
        <v>-5152400</v>
      </c>
    </row>
    <row r="210" spans="1:10" ht="15.75" thickBot="1" x14ac:dyDescent="0.3">
      <c r="A210" s="556" t="s">
        <v>10</v>
      </c>
      <c r="B210" s="579">
        <v>20936200</v>
      </c>
      <c r="C210" s="579">
        <v>24894200</v>
      </c>
      <c r="D210" s="579">
        <v>34355800</v>
      </c>
      <c r="E210" s="579">
        <v>29416500</v>
      </c>
      <c r="F210" s="579">
        <v>25968800</v>
      </c>
      <c r="G210" s="579">
        <v>40542800</v>
      </c>
      <c r="H210" s="579">
        <v>48715600</v>
      </c>
      <c r="I210" s="582">
        <v>224829900</v>
      </c>
      <c r="J210" s="564">
        <f t="shared" si="43"/>
        <v>-5852800</v>
      </c>
    </row>
    <row r="212" spans="1:10" ht="30.75" thickBot="1" x14ac:dyDescent="0.3">
      <c r="A212" s="551" t="s">
        <v>419</v>
      </c>
      <c r="B212" s="232" t="s">
        <v>123</v>
      </c>
      <c r="C212" s="232" t="s">
        <v>124</v>
      </c>
      <c r="D212" s="232" t="s">
        <v>125</v>
      </c>
      <c r="E212" s="232" t="s">
        <v>126</v>
      </c>
      <c r="F212" s="232" t="s">
        <v>127</v>
      </c>
      <c r="G212" s="232" t="s">
        <v>128</v>
      </c>
      <c r="H212" s="232" t="s">
        <v>272</v>
      </c>
      <c r="I212" s="580" t="s">
        <v>96</v>
      </c>
      <c r="J212" s="562" t="s">
        <v>438</v>
      </c>
    </row>
    <row r="213" spans="1:10" ht="15.75" thickTop="1" x14ac:dyDescent="0.25">
      <c r="A213" s="553" t="s">
        <v>427</v>
      </c>
      <c r="B213" s="575">
        <v>3599000</v>
      </c>
      <c r="C213" s="569">
        <v>4747200</v>
      </c>
      <c r="D213" s="569">
        <v>5097400</v>
      </c>
      <c r="E213" s="569">
        <v>5011800</v>
      </c>
      <c r="F213" s="569">
        <v>12661300</v>
      </c>
      <c r="G213" s="569">
        <v>10568400</v>
      </c>
      <c r="H213" s="569">
        <v>13415600</v>
      </c>
      <c r="I213" s="581">
        <v>55100700</v>
      </c>
      <c r="J213" s="564">
        <f t="shared" ref="J213:J218" si="44">I213-I205</f>
        <v>-6227500</v>
      </c>
    </row>
    <row r="214" spans="1:10" x14ac:dyDescent="0.25">
      <c r="A214" s="555" t="s">
        <v>428</v>
      </c>
      <c r="B214" s="576">
        <v>3269400</v>
      </c>
      <c r="C214" s="570">
        <v>2720100</v>
      </c>
      <c r="D214" s="570">
        <v>3334700</v>
      </c>
      <c r="E214" s="570">
        <v>4031100</v>
      </c>
      <c r="F214" s="570">
        <v>10379100</v>
      </c>
      <c r="G214" s="570">
        <v>14516500</v>
      </c>
      <c r="H214" s="570">
        <v>12478500</v>
      </c>
      <c r="I214" s="581">
        <v>50729400</v>
      </c>
      <c r="J214" s="564">
        <f t="shared" si="44"/>
        <v>-3722400</v>
      </c>
    </row>
    <row r="215" spans="1:10" x14ac:dyDescent="0.25">
      <c r="A215" s="553" t="s">
        <v>429</v>
      </c>
      <c r="B215" s="575">
        <v>3298500</v>
      </c>
      <c r="C215" s="583">
        <v>2363500</v>
      </c>
      <c r="D215" s="583">
        <v>2715700</v>
      </c>
      <c r="E215" s="569">
        <v>2923100</v>
      </c>
      <c r="F215" s="569">
        <v>9083700</v>
      </c>
      <c r="G215" s="569">
        <v>12466300</v>
      </c>
      <c r="H215" s="569">
        <v>7778900</v>
      </c>
      <c r="I215" s="581">
        <v>40629700</v>
      </c>
      <c r="J215" s="564">
        <f t="shared" si="44"/>
        <v>-2951900</v>
      </c>
    </row>
    <row r="216" spans="1:10" x14ac:dyDescent="0.25">
      <c r="A216" s="555" t="s">
        <v>430</v>
      </c>
      <c r="B216" s="576">
        <v>3313700</v>
      </c>
      <c r="C216" s="570">
        <v>3523200</v>
      </c>
      <c r="D216" s="570">
        <v>4286900</v>
      </c>
      <c r="E216" s="570">
        <v>4810800</v>
      </c>
      <c r="F216" s="570">
        <v>10067700</v>
      </c>
      <c r="G216" s="570">
        <v>9620200</v>
      </c>
      <c r="H216" s="570">
        <v>10361900</v>
      </c>
      <c r="I216" s="581">
        <v>45984400</v>
      </c>
      <c r="J216" s="564">
        <f t="shared" si="44"/>
        <v>10655300</v>
      </c>
    </row>
    <row r="217" spans="1:10" x14ac:dyDescent="0.25">
      <c r="A217" s="577" t="s">
        <v>544</v>
      </c>
      <c r="B217" s="578">
        <v>3117800</v>
      </c>
      <c r="C217" s="572">
        <v>2851300</v>
      </c>
      <c r="D217" s="572">
        <v>3795900</v>
      </c>
      <c r="E217" s="572">
        <v>3912800</v>
      </c>
      <c r="F217" s="572">
        <v>7900000</v>
      </c>
      <c r="G217" s="572">
        <v>6918600</v>
      </c>
      <c r="H217" s="572">
        <v>5883400</v>
      </c>
      <c r="I217" s="581">
        <v>34379800</v>
      </c>
      <c r="J217" s="564">
        <f t="shared" si="44"/>
        <v>4240600</v>
      </c>
    </row>
    <row r="218" spans="1:10" ht="15.75" thickBot="1" x14ac:dyDescent="0.3">
      <c r="A218" s="556" t="s">
        <v>10</v>
      </c>
      <c r="B218" s="579">
        <v>16598400</v>
      </c>
      <c r="C218" s="579">
        <v>16205300</v>
      </c>
      <c r="D218" s="579">
        <v>19230600</v>
      </c>
      <c r="E218" s="579">
        <v>20689600</v>
      </c>
      <c r="F218" s="579">
        <v>50091800</v>
      </c>
      <c r="G218" s="579">
        <v>54090000</v>
      </c>
      <c r="H218" s="579">
        <v>49918300</v>
      </c>
      <c r="I218" s="582">
        <v>226824000</v>
      </c>
      <c r="J218" s="564">
        <f t="shared" si="44"/>
        <v>1994100</v>
      </c>
    </row>
    <row r="220" spans="1:10" ht="30.75" thickBot="1" x14ac:dyDescent="0.3">
      <c r="A220" s="551" t="s">
        <v>419</v>
      </c>
      <c r="B220" s="232" t="s">
        <v>274</v>
      </c>
      <c r="C220" s="232" t="s">
        <v>275</v>
      </c>
      <c r="D220" s="232" t="s">
        <v>276</v>
      </c>
      <c r="E220" s="232" t="s">
        <v>277</v>
      </c>
      <c r="F220" s="232" t="s">
        <v>278</v>
      </c>
      <c r="G220" s="232" t="s">
        <v>279</v>
      </c>
      <c r="H220" s="232" t="s">
        <v>280</v>
      </c>
      <c r="I220" s="580" t="s">
        <v>96</v>
      </c>
      <c r="J220" s="562" t="s">
        <v>438</v>
      </c>
    </row>
    <row r="221" spans="1:10" ht="15.75" thickTop="1" x14ac:dyDescent="0.25">
      <c r="A221" s="553" t="s">
        <v>427</v>
      </c>
      <c r="B221" s="575">
        <v>3801300</v>
      </c>
      <c r="C221" s="569">
        <v>4553100</v>
      </c>
      <c r="D221" s="569">
        <v>4660700</v>
      </c>
      <c r="E221" s="569">
        <v>5086700</v>
      </c>
      <c r="F221" s="569">
        <v>12060100</v>
      </c>
      <c r="G221" s="569">
        <v>13529900</v>
      </c>
      <c r="H221" s="569">
        <v>8859400</v>
      </c>
      <c r="I221" s="581">
        <f t="shared" ref="I221:I226" si="45">+SUM(B221:H221)</f>
        <v>52551200</v>
      </c>
      <c r="J221" s="564">
        <f t="shared" ref="J221:J226" si="46">I221-I213</f>
        <v>-2549500</v>
      </c>
    </row>
    <row r="222" spans="1:10" x14ac:dyDescent="0.25">
      <c r="A222" s="555" t="s">
        <v>428</v>
      </c>
      <c r="B222" s="576">
        <v>2407600</v>
      </c>
      <c r="C222" s="570">
        <v>3775500</v>
      </c>
      <c r="D222" s="570">
        <v>3870700</v>
      </c>
      <c r="E222" s="570">
        <v>4263700</v>
      </c>
      <c r="F222" s="570">
        <v>9569500</v>
      </c>
      <c r="G222" s="570">
        <v>11968600</v>
      </c>
      <c r="H222" s="570">
        <v>10072500</v>
      </c>
      <c r="I222" s="581">
        <f t="shared" si="45"/>
        <v>45928100</v>
      </c>
      <c r="J222" s="564">
        <f t="shared" si="46"/>
        <v>-4801300</v>
      </c>
    </row>
    <row r="223" spans="1:10" x14ac:dyDescent="0.25">
      <c r="A223" s="553" t="s">
        <v>429</v>
      </c>
      <c r="B223" s="575">
        <v>2430900</v>
      </c>
      <c r="C223" s="583">
        <v>3074000</v>
      </c>
      <c r="D223" s="583">
        <v>3335300</v>
      </c>
      <c r="E223" s="569">
        <v>3518900</v>
      </c>
      <c r="F223" s="569">
        <v>7227200</v>
      </c>
      <c r="G223" s="569">
        <v>11615700</v>
      </c>
      <c r="H223" s="569">
        <v>9217700</v>
      </c>
      <c r="I223" s="581">
        <f t="shared" si="45"/>
        <v>40419700</v>
      </c>
      <c r="J223" s="564">
        <f t="shared" si="46"/>
        <v>-210000</v>
      </c>
    </row>
    <row r="224" spans="1:10" x14ac:dyDescent="0.25">
      <c r="A224" s="555" t="s">
        <v>430</v>
      </c>
      <c r="B224" s="576">
        <v>2678500</v>
      </c>
      <c r="C224" s="570">
        <v>4361500</v>
      </c>
      <c r="D224" s="570">
        <v>4370900</v>
      </c>
      <c r="E224" s="570">
        <v>5003300</v>
      </c>
      <c r="F224" s="570">
        <v>8855000</v>
      </c>
      <c r="G224" s="570">
        <v>8928400</v>
      </c>
      <c r="H224" s="570">
        <v>6609700</v>
      </c>
      <c r="I224" s="581">
        <f t="shared" si="45"/>
        <v>40807300</v>
      </c>
      <c r="J224" s="564">
        <f t="shared" si="46"/>
        <v>-5177100</v>
      </c>
    </row>
    <row r="225" spans="1:10" x14ac:dyDescent="0.25">
      <c r="A225" s="577" t="s">
        <v>544</v>
      </c>
      <c r="B225" s="578">
        <v>3277900</v>
      </c>
      <c r="C225" s="572">
        <v>3264500</v>
      </c>
      <c r="D225" s="572">
        <v>3468200</v>
      </c>
      <c r="E225" s="572">
        <v>3170200</v>
      </c>
      <c r="F225" s="572">
        <v>7840300</v>
      </c>
      <c r="G225" s="572">
        <v>6592100</v>
      </c>
      <c r="H225" s="572">
        <v>5446800</v>
      </c>
      <c r="I225" s="581">
        <f t="shared" si="45"/>
        <v>33060000</v>
      </c>
      <c r="J225" s="564">
        <f t="shared" si="46"/>
        <v>-1319800</v>
      </c>
    </row>
    <row r="226" spans="1:10" ht="15.75" thickBot="1" x14ac:dyDescent="0.3">
      <c r="A226" s="556" t="s">
        <v>10</v>
      </c>
      <c r="B226" s="579">
        <f>+SUM(B221:B225)</f>
        <v>14596200</v>
      </c>
      <c r="C226" s="579">
        <f t="shared" ref="C226:H226" si="47">+SUM(C221:C225)</f>
        <v>19028600</v>
      </c>
      <c r="D226" s="579">
        <f t="shared" si="47"/>
        <v>19705800</v>
      </c>
      <c r="E226" s="579">
        <f t="shared" si="47"/>
        <v>21042800</v>
      </c>
      <c r="F226" s="579">
        <f t="shared" si="47"/>
        <v>45552100</v>
      </c>
      <c r="G226" s="579">
        <f t="shared" si="47"/>
        <v>52634700</v>
      </c>
      <c r="H226" s="579">
        <f t="shared" si="47"/>
        <v>40206100</v>
      </c>
      <c r="I226" s="582">
        <f t="shared" si="45"/>
        <v>212766300</v>
      </c>
      <c r="J226" s="564">
        <f t="shared" si="46"/>
        <v>-14057700</v>
      </c>
    </row>
    <row r="228" spans="1:10" ht="30.75" thickBot="1" x14ac:dyDescent="0.3">
      <c r="A228" s="551" t="s">
        <v>419</v>
      </c>
      <c r="B228" s="232" t="s">
        <v>282</v>
      </c>
      <c r="C228" s="232" t="s">
        <v>4</v>
      </c>
      <c r="D228" s="232" t="s">
        <v>5</v>
      </c>
      <c r="E228" s="232" t="s">
        <v>6</v>
      </c>
      <c r="F228" s="232" t="s">
        <v>7</v>
      </c>
      <c r="G228" s="232" t="s">
        <v>283</v>
      </c>
      <c r="H228" s="232" t="s">
        <v>9</v>
      </c>
      <c r="I228" s="580" t="s">
        <v>96</v>
      </c>
      <c r="J228" s="562" t="s">
        <v>438</v>
      </c>
    </row>
    <row r="229" spans="1:10" ht="15.75" thickTop="1" x14ac:dyDescent="0.25">
      <c r="A229" s="553" t="s">
        <v>427</v>
      </c>
      <c r="B229" s="575">
        <v>3998500</v>
      </c>
      <c r="C229" s="569">
        <v>3267300</v>
      </c>
      <c r="D229" s="569">
        <v>4236300</v>
      </c>
      <c r="E229" s="569">
        <v>5259400</v>
      </c>
      <c r="F229" s="569">
        <v>12466400</v>
      </c>
      <c r="G229" s="569">
        <v>15272900</v>
      </c>
      <c r="H229" s="569">
        <v>14962700</v>
      </c>
      <c r="I229" s="581">
        <v>59463500</v>
      </c>
      <c r="J229" s="564">
        <f t="shared" ref="J229:J234" si="48">I229-I221</f>
        <v>6912300</v>
      </c>
    </row>
    <row r="230" spans="1:10" x14ac:dyDescent="0.25">
      <c r="A230" s="555" t="s">
        <v>428</v>
      </c>
      <c r="B230" s="576">
        <v>2128000</v>
      </c>
      <c r="C230" s="570">
        <v>3716500</v>
      </c>
      <c r="D230" s="570">
        <v>4107400</v>
      </c>
      <c r="E230" s="570">
        <v>4016400</v>
      </c>
      <c r="F230" s="570">
        <v>10027800</v>
      </c>
      <c r="G230" s="570">
        <v>14060100</v>
      </c>
      <c r="H230" s="570">
        <v>10889300</v>
      </c>
      <c r="I230" s="581">
        <v>48945500</v>
      </c>
      <c r="J230" s="564">
        <f t="shared" si="48"/>
        <v>3017400</v>
      </c>
    </row>
    <row r="231" spans="1:10" x14ac:dyDescent="0.25">
      <c r="A231" s="553" t="s">
        <v>429</v>
      </c>
      <c r="B231" s="575">
        <v>2474700</v>
      </c>
      <c r="C231" s="583">
        <v>2957700</v>
      </c>
      <c r="D231" s="583">
        <v>2613500</v>
      </c>
      <c r="E231" s="569">
        <v>3398500</v>
      </c>
      <c r="F231" s="569">
        <v>8485700</v>
      </c>
      <c r="G231" s="569">
        <v>11142100</v>
      </c>
      <c r="H231" s="569">
        <v>9211700</v>
      </c>
      <c r="I231" s="581">
        <v>40283900</v>
      </c>
      <c r="J231" s="564">
        <f t="shared" si="48"/>
        <v>-135800</v>
      </c>
    </row>
    <row r="232" spans="1:10" x14ac:dyDescent="0.25">
      <c r="A232" s="555" t="s">
        <v>430</v>
      </c>
      <c r="B232" s="576">
        <v>2975500</v>
      </c>
      <c r="C232" s="570">
        <v>3306300</v>
      </c>
      <c r="D232" s="570">
        <v>4017900</v>
      </c>
      <c r="E232" s="570">
        <v>5311500</v>
      </c>
      <c r="F232" s="570">
        <v>11300900</v>
      </c>
      <c r="G232" s="570">
        <v>9624000</v>
      </c>
      <c r="H232" s="570">
        <v>10403500</v>
      </c>
      <c r="I232" s="581">
        <v>46939600</v>
      </c>
      <c r="J232" s="564">
        <f t="shared" si="48"/>
        <v>6132300</v>
      </c>
    </row>
    <row r="233" spans="1:10" x14ac:dyDescent="0.25">
      <c r="A233" s="577" t="s">
        <v>544</v>
      </c>
      <c r="B233" s="578">
        <v>2558800</v>
      </c>
      <c r="C233" s="572">
        <v>3627100</v>
      </c>
      <c r="D233" s="572">
        <v>3092500</v>
      </c>
      <c r="E233" s="572">
        <v>4814600</v>
      </c>
      <c r="F233" s="572">
        <v>7804400</v>
      </c>
      <c r="G233" s="572">
        <v>8126100</v>
      </c>
      <c r="H233" s="572">
        <v>6124000</v>
      </c>
      <c r="I233" s="581">
        <v>36147500</v>
      </c>
      <c r="J233" s="564">
        <f t="shared" si="48"/>
        <v>3087500</v>
      </c>
    </row>
    <row r="234" spans="1:10" ht="15.75" thickBot="1" x14ac:dyDescent="0.3">
      <c r="A234" s="556" t="s">
        <v>10</v>
      </c>
      <c r="B234" s="579">
        <v>14135500</v>
      </c>
      <c r="C234" s="579">
        <v>16874900</v>
      </c>
      <c r="D234" s="579">
        <v>18067600</v>
      </c>
      <c r="E234" s="579">
        <v>22800400</v>
      </c>
      <c r="F234" s="579">
        <v>50085200</v>
      </c>
      <c r="G234" s="579">
        <v>58225200</v>
      </c>
      <c r="H234" s="579">
        <v>51591200</v>
      </c>
      <c r="I234" s="582">
        <v>231780000</v>
      </c>
      <c r="J234" s="564">
        <f t="shared" si="48"/>
        <v>19013700</v>
      </c>
    </row>
    <row r="236" spans="1:10" ht="30.75" thickBot="1" x14ac:dyDescent="0.3">
      <c r="A236" s="551" t="s">
        <v>419</v>
      </c>
      <c r="B236" s="232" t="s">
        <v>285</v>
      </c>
      <c r="C236" s="232" t="s">
        <v>37</v>
      </c>
      <c r="D236" s="232" t="s">
        <v>286</v>
      </c>
      <c r="E236" s="232" t="s">
        <v>39</v>
      </c>
      <c r="F236" s="232" t="s">
        <v>40</v>
      </c>
      <c r="G236" s="232" t="s">
        <v>287</v>
      </c>
      <c r="H236" s="232" t="s">
        <v>42</v>
      </c>
      <c r="I236" s="580" t="s">
        <v>96</v>
      </c>
      <c r="J236" s="562" t="s">
        <v>438</v>
      </c>
    </row>
    <row r="237" spans="1:10" ht="15.75" thickTop="1" x14ac:dyDescent="0.25">
      <c r="A237" s="553" t="s">
        <v>427</v>
      </c>
      <c r="B237" s="575">
        <v>3118700</v>
      </c>
      <c r="C237" s="569">
        <v>4941100</v>
      </c>
      <c r="D237" s="569">
        <v>4721100</v>
      </c>
      <c r="E237" s="569">
        <v>4976100</v>
      </c>
      <c r="F237" s="569">
        <v>12717000</v>
      </c>
      <c r="G237" s="569">
        <v>16255200</v>
      </c>
      <c r="H237" s="569">
        <v>13374500</v>
      </c>
      <c r="I237" s="581">
        <v>60103700</v>
      </c>
      <c r="J237" s="564">
        <f t="shared" ref="J237:J242" si="49">I237-I229</f>
        <v>640200</v>
      </c>
    </row>
    <row r="238" spans="1:10" x14ac:dyDescent="0.25">
      <c r="A238" s="555" t="s">
        <v>428</v>
      </c>
      <c r="B238" s="576">
        <v>2890000</v>
      </c>
      <c r="C238" s="570">
        <v>3037400</v>
      </c>
      <c r="D238" s="570">
        <v>3674000</v>
      </c>
      <c r="E238" s="570">
        <v>4266400</v>
      </c>
      <c r="F238" s="570">
        <v>8549800</v>
      </c>
      <c r="G238" s="570">
        <v>13113300</v>
      </c>
      <c r="H238" s="570">
        <v>11430500</v>
      </c>
      <c r="I238" s="581">
        <v>46961400</v>
      </c>
      <c r="J238" s="564">
        <f t="shared" si="49"/>
        <v>-1984100</v>
      </c>
    </row>
    <row r="239" spans="1:10" x14ac:dyDescent="0.25">
      <c r="A239" s="553" t="s">
        <v>429</v>
      </c>
      <c r="B239" s="575">
        <v>1701100</v>
      </c>
      <c r="C239" s="583">
        <v>3309700</v>
      </c>
      <c r="D239" s="583">
        <v>3253600</v>
      </c>
      <c r="E239" s="569">
        <v>4130800</v>
      </c>
      <c r="F239" s="569">
        <v>8127500</v>
      </c>
      <c r="G239" s="569">
        <v>11503200</v>
      </c>
      <c r="H239" s="569">
        <v>8147900</v>
      </c>
      <c r="I239" s="581">
        <v>40173800</v>
      </c>
      <c r="J239" s="564">
        <f t="shared" si="49"/>
        <v>-110100</v>
      </c>
    </row>
    <row r="240" spans="1:10" x14ac:dyDescent="0.25">
      <c r="A240" s="555" t="s">
        <v>430</v>
      </c>
      <c r="B240" s="576">
        <v>2544100</v>
      </c>
      <c r="C240" s="570">
        <v>4462300</v>
      </c>
      <c r="D240" s="570">
        <v>3707300</v>
      </c>
      <c r="E240" s="570">
        <v>4909900</v>
      </c>
      <c r="F240" s="570">
        <v>9901400</v>
      </c>
      <c r="G240" s="570">
        <v>7202700</v>
      </c>
      <c r="H240" s="570">
        <v>9839600</v>
      </c>
      <c r="I240" s="581">
        <v>42567300</v>
      </c>
      <c r="J240" s="564">
        <f t="shared" si="49"/>
        <v>-4372300</v>
      </c>
    </row>
    <row r="241" spans="1:10" x14ac:dyDescent="0.25">
      <c r="A241" s="577" t="s">
        <v>544</v>
      </c>
      <c r="B241" s="578">
        <v>3386600</v>
      </c>
      <c r="C241" s="572">
        <v>2877400</v>
      </c>
      <c r="D241" s="572">
        <v>3511900</v>
      </c>
      <c r="E241" s="572">
        <v>4356000</v>
      </c>
      <c r="F241" s="572">
        <v>8208000</v>
      </c>
      <c r="G241" s="572">
        <v>7453900</v>
      </c>
      <c r="H241" s="572">
        <v>5764700</v>
      </c>
      <c r="I241" s="581">
        <v>35558500</v>
      </c>
      <c r="J241" s="564">
        <f t="shared" si="49"/>
        <v>-589000</v>
      </c>
    </row>
    <row r="242" spans="1:10" ht="15.75" thickBot="1" x14ac:dyDescent="0.3">
      <c r="A242" s="556" t="s">
        <v>10</v>
      </c>
      <c r="B242" s="579">
        <v>13640500</v>
      </c>
      <c r="C242" s="579">
        <v>18627900</v>
      </c>
      <c r="D242" s="579">
        <v>18867900</v>
      </c>
      <c r="E242" s="579">
        <v>22639200</v>
      </c>
      <c r="F242" s="579">
        <v>47503700</v>
      </c>
      <c r="G242" s="579">
        <v>55528300</v>
      </c>
      <c r="H242" s="579">
        <v>48557200</v>
      </c>
      <c r="I242" s="582">
        <v>225364700</v>
      </c>
      <c r="J242" s="564">
        <f t="shared" si="49"/>
        <v>-6415300</v>
      </c>
    </row>
    <row r="244" spans="1:10" ht="30.75" thickBot="1" x14ac:dyDescent="0.3">
      <c r="A244" s="551" t="s">
        <v>419</v>
      </c>
      <c r="B244" s="232" t="s">
        <v>45</v>
      </c>
      <c r="C244" s="232" t="s">
        <v>289</v>
      </c>
      <c r="D244" s="232" t="s">
        <v>47</v>
      </c>
      <c r="E244" s="232" t="s">
        <v>48</v>
      </c>
      <c r="F244" s="232" t="s">
        <v>49</v>
      </c>
      <c r="G244" s="232" t="s">
        <v>50</v>
      </c>
      <c r="H244" s="232" t="s">
        <v>290</v>
      </c>
      <c r="I244" s="580" t="s">
        <v>96</v>
      </c>
      <c r="J244" s="562" t="s">
        <v>438</v>
      </c>
    </row>
    <row r="245" spans="1:10" ht="15.75" thickTop="1" x14ac:dyDescent="0.25">
      <c r="A245" s="553" t="s">
        <v>427</v>
      </c>
      <c r="B245" s="575">
        <v>3637400</v>
      </c>
      <c r="C245" s="569">
        <v>3715400</v>
      </c>
      <c r="D245" s="569">
        <v>4899100</v>
      </c>
      <c r="E245" s="569">
        <v>4519100</v>
      </c>
      <c r="F245" s="569">
        <v>11078200</v>
      </c>
      <c r="G245" s="569">
        <v>18883300</v>
      </c>
      <c r="H245" s="569">
        <v>13748900</v>
      </c>
      <c r="I245" s="581">
        <v>60481400</v>
      </c>
      <c r="J245" s="564">
        <f t="shared" ref="J245:J250" si="50">I245-I237</f>
        <v>377700</v>
      </c>
    </row>
    <row r="246" spans="1:10" x14ac:dyDescent="0.25">
      <c r="A246" s="555" t="s">
        <v>428</v>
      </c>
      <c r="B246" s="576">
        <v>2769300</v>
      </c>
      <c r="C246" s="570">
        <v>2707400</v>
      </c>
      <c r="D246" s="570">
        <v>3924900</v>
      </c>
      <c r="E246" s="570">
        <v>4102500</v>
      </c>
      <c r="F246" s="570">
        <v>8628100</v>
      </c>
      <c r="G246" s="570">
        <v>13738300</v>
      </c>
      <c r="H246" s="570">
        <v>11569900</v>
      </c>
      <c r="I246" s="581">
        <v>47440400</v>
      </c>
      <c r="J246" s="564">
        <f t="shared" si="50"/>
        <v>479000</v>
      </c>
    </row>
    <row r="247" spans="1:10" x14ac:dyDescent="0.25">
      <c r="A247" s="553" t="s">
        <v>429</v>
      </c>
      <c r="B247" s="575">
        <v>2259100</v>
      </c>
      <c r="C247" s="583">
        <v>2286500</v>
      </c>
      <c r="D247" s="583">
        <v>3104800</v>
      </c>
      <c r="E247" s="569">
        <v>4050200</v>
      </c>
      <c r="F247" s="569">
        <v>7855100</v>
      </c>
      <c r="G247" s="569">
        <v>12165000</v>
      </c>
      <c r="H247" s="569">
        <v>9763000</v>
      </c>
      <c r="I247" s="581">
        <v>41483700</v>
      </c>
      <c r="J247" s="564">
        <f t="shared" si="50"/>
        <v>1309900</v>
      </c>
    </row>
    <row r="248" spans="1:10" x14ac:dyDescent="0.25">
      <c r="A248" s="555" t="s">
        <v>430</v>
      </c>
      <c r="B248" s="576">
        <v>3748300</v>
      </c>
      <c r="C248" s="570">
        <v>3857600</v>
      </c>
      <c r="D248" s="570">
        <v>3925500</v>
      </c>
      <c r="E248" s="570">
        <v>5601500</v>
      </c>
      <c r="F248" s="570">
        <v>9017000</v>
      </c>
      <c r="G248" s="570">
        <v>12171600</v>
      </c>
      <c r="H248" s="570">
        <v>9372700</v>
      </c>
      <c r="I248" s="581">
        <v>47694200</v>
      </c>
      <c r="J248" s="564">
        <f t="shared" si="50"/>
        <v>5126900</v>
      </c>
    </row>
    <row r="249" spans="1:10" x14ac:dyDescent="0.25">
      <c r="A249" s="577" t="s">
        <v>544</v>
      </c>
      <c r="B249" s="578">
        <v>2190600</v>
      </c>
      <c r="C249" s="572">
        <v>3430000</v>
      </c>
      <c r="D249" s="572">
        <v>4676500</v>
      </c>
      <c r="E249" s="572">
        <v>4644500</v>
      </c>
      <c r="F249" s="572">
        <v>7312300</v>
      </c>
      <c r="G249" s="572">
        <v>8457700</v>
      </c>
      <c r="H249" s="572">
        <v>5768200</v>
      </c>
      <c r="I249" s="581">
        <v>36479800</v>
      </c>
      <c r="J249" s="564">
        <f t="shared" si="50"/>
        <v>921300</v>
      </c>
    </row>
    <row r="250" spans="1:10" ht="15.75" thickBot="1" x14ac:dyDescent="0.3">
      <c r="A250" s="556" t="s">
        <v>10</v>
      </c>
      <c r="B250" s="579">
        <v>14604700</v>
      </c>
      <c r="C250" s="579">
        <v>15996900</v>
      </c>
      <c r="D250" s="579">
        <v>20530800</v>
      </c>
      <c r="E250" s="579">
        <v>22917800</v>
      </c>
      <c r="F250" s="579">
        <v>43890700</v>
      </c>
      <c r="G250" s="579">
        <v>65415900</v>
      </c>
      <c r="H250" s="579">
        <v>50222700</v>
      </c>
      <c r="I250" s="582">
        <v>233579500</v>
      </c>
      <c r="J250" s="564">
        <f t="shared" si="50"/>
        <v>8214800</v>
      </c>
    </row>
    <row r="252" spans="1:10" ht="30.75" thickBot="1" x14ac:dyDescent="0.3">
      <c r="A252" s="551" t="s">
        <v>419</v>
      </c>
      <c r="B252" s="232" t="s">
        <v>53</v>
      </c>
      <c r="C252" s="232" t="s">
        <v>54</v>
      </c>
      <c r="D252" s="232" t="s">
        <v>292</v>
      </c>
      <c r="E252" s="232" t="s">
        <v>293</v>
      </c>
      <c r="F252" s="232" t="s">
        <v>294</v>
      </c>
      <c r="G252" s="232" t="s">
        <v>295</v>
      </c>
      <c r="H252" s="232" t="s">
        <v>296</v>
      </c>
      <c r="I252" s="580" t="s">
        <v>96</v>
      </c>
      <c r="J252" s="562" t="s">
        <v>438</v>
      </c>
    </row>
    <row r="253" spans="1:10" ht="15.75" thickTop="1" x14ac:dyDescent="0.25">
      <c r="A253" s="553" t="s">
        <v>427</v>
      </c>
      <c r="B253" s="575">
        <v>3432500</v>
      </c>
      <c r="C253" s="569">
        <v>4241400</v>
      </c>
      <c r="D253" s="569">
        <v>4729200</v>
      </c>
      <c r="E253" s="569">
        <v>6065500</v>
      </c>
      <c r="F253" s="569">
        <v>11941900</v>
      </c>
      <c r="G253" s="569">
        <v>12520800</v>
      </c>
      <c r="H253" s="569">
        <v>12268600</v>
      </c>
      <c r="I253" s="581">
        <v>55199900</v>
      </c>
      <c r="J253" s="564">
        <f t="shared" ref="J253:J258" si="51">I253-I245</f>
        <v>-5281500</v>
      </c>
    </row>
    <row r="254" spans="1:10" x14ac:dyDescent="0.25">
      <c r="A254" s="555" t="s">
        <v>428</v>
      </c>
      <c r="B254" s="576">
        <v>2859400</v>
      </c>
      <c r="C254" s="570">
        <v>3689300</v>
      </c>
      <c r="D254" s="570">
        <v>4648900</v>
      </c>
      <c r="E254" s="570">
        <v>4319900</v>
      </c>
      <c r="F254" s="570">
        <v>9907500</v>
      </c>
      <c r="G254" s="570">
        <v>12219000</v>
      </c>
      <c r="H254" s="570">
        <v>10809800</v>
      </c>
      <c r="I254" s="581">
        <v>48453800</v>
      </c>
      <c r="J254" s="564">
        <f t="shared" si="51"/>
        <v>1013400</v>
      </c>
    </row>
    <row r="255" spans="1:10" x14ac:dyDescent="0.25">
      <c r="A255" s="553" t="s">
        <v>429</v>
      </c>
      <c r="B255" s="575">
        <v>2729000</v>
      </c>
      <c r="C255" s="583">
        <v>3024600</v>
      </c>
      <c r="D255" s="583">
        <v>3307000</v>
      </c>
      <c r="E255" s="569">
        <v>3598200</v>
      </c>
      <c r="F255" s="569">
        <v>7218900</v>
      </c>
      <c r="G255" s="569">
        <v>10706400</v>
      </c>
      <c r="H255" s="569">
        <v>9786200</v>
      </c>
      <c r="I255" s="581">
        <v>40370300</v>
      </c>
      <c r="J255" s="564">
        <f t="shared" si="51"/>
        <v>-1113400</v>
      </c>
    </row>
    <row r="256" spans="1:10" x14ac:dyDescent="0.25">
      <c r="A256" s="555" t="s">
        <v>430</v>
      </c>
      <c r="B256" s="576">
        <v>3173500</v>
      </c>
      <c r="C256" s="570">
        <v>4776300</v>
      </c>
      <c r="D256" s="570">
        <v>5006500</v>
      </c>
      <c r="E256" s="570">
        <v>6056600</v>
      </c>
      <c r="F256" s="570">
        <v>8996500</v>
      </c>
      <c r="G256" s="570">
        <v>7878900</v>
      </c>
      <c r="H256" s="570">
        <v>7858100</v>
      </c>
      <c r="I256" s="581">
        <v>43746400</v>
      </c>
      <c r="J256" s="564">
        <f t="shared" si="51"/>
        <v>-3947800</v>
      </c>
    </row>
    <row r="257" spans="1:10" x14ac:dyDescent="0.25">
      <c r="A257" s="577" t="s">
        <v>544</v>
      </c>
      <c r="B257" s="578">
        <v>2705100</v>
      </c>
      <c r="C257" s="572">
        <v>4640300</v>
      </c>
      <c r="D257" s="572">
        <v>4187800</v>
      </c>
      <c r="E257" s="572">
        <v>4435300</v>
      </c>
      <c r="F257" s="572">
        <v>7488200</v>
      </c>
      <c r="G257" s="572">
        <v>6577800</v>
      </c>
      <c r="H257" s="572">
        <v>4514600</v>
      </c>
      <c r="I257" s="581">
        <v>34549100</v>
      </c>
      <c r="J257" s="564">
        <f t="shared" si="51"/>
        <v>-1930700</v>
      </c>
    </row>
    <row r="258" spans="1:10" ht="15.75" thickBot="1" x14ac:dyDescent="0.3">
      <c r="A258" s="556" t="s">
        <v>10</v>
      </c>
      <c r="B258" s="579">
        <v>14899500</v>
      </c>
      <c r="C258" s="579">
        <v>20371900</v>
      </c>
      <c r="D258" s="579">
        <v>21879400</v>
      </c>
      <c r="E258" s="579">
        <v>24475500</v>
      </c>
      <c r="F258" s="579">
        <v>45553000</v>
      </c>
      <c r="G258" s="579">
        <v>49902900</v>
      </c>
      <c r="H258" s="579">
        <v>45237300</v>
      </c>
      <c r="I258" s="582">
        <v>222319500</v>
      </c>
      <c r="J258" s="564">
        <f t="shared" si="51"/>
        <v>-11260000</v>
      </c>
    </row>
    <row r="260" spans="1:10" ht="30.75" thickBot="1" x14ac:dyDescent="0.3">
      <c r="A260" s="551" t="s">
        <v>419</v>
      </c>
      <c r="B260" s="232" t="s">
        <v>298</v>
      </c>
      <c r="C260" s="232" t="s">
        <v>299</v>
      </c>
      <c r="D260" s="232" t="s">
        <v>300</v>
      </c>
      <c r="E260" s="232" t="s">
        <v>301</v>
      </c>
      <c r="F260" s="232" t="s">
        <v>65</v>
      </c>
      <c r="G260" s="232" t="s">
        <v>66</v>
      </c>
      <c r="H260" s="232" t="s">
        <v>67</v>
      </c>
      <c r="I260" s="580" t="s">
        <v>96</v>
      </c>
      <c r="J260" s="562" t="s">
        <v>438</v>
      </c>
    </row>
    <row r="261" spans="1:10" ht="15.75" thickTop="1" x14ac:dyDescent="0.25">
      <c r="A261" s="553" t="s">
        <v>427</v>
      </c>
      <c r="B261" s="575">
        <v>11235300</v>
      </c>
      <c r="C261" s="569">
        <v>3088300</v>
      </c>
      <c r="D261" s="569">
        <v>5046500</v>
      </c>
      <c r="E261" s="569">
        <v>5345000</v>
      </c>
      <c r="F261" s="569">
        <v>10674700</v>
      </c>
      <c r="G261" s="569">
        <v>13214000</v>
      </c>
      <c r="H261" s="569">
        <v>12815800</v>
      </c>
      <c r="I261" s="581">
        <v>61419600</v>
      </c>
      <c r="J261" s="564">
        <f t="shared" ref="J261:J266" si="52">I261-I253</f>
        <v>6219700</v>
      </c>
    </row>
    <row r="262" spans="1:10" x14ac:dyDescent="0.25">
      <c r="A262" s="555" t="s">
        <v>428</v>
      </c>
      <c r="B262" s="576">
        <v>11050300</v>
      </c>
      <c r="C262" s="570">
        <v>3791500</v>
      </c>
      <c r="D262" s="570">
        <v>3500300</v>
      </c>
      <c r="E262" s="570">
        <v>4104800</v>
      </c>
      <c r="F262" s="570">
        <v>9915500</v>
      </c>
      <c r="G262" s="570">
        <v>12665100</v>
      </c>
      <c r="H262" s="570">
        <v>11748500</v>
      </c>
      <c r="I262" s="581">
        <v>56776000</v>
      </c>
      <c r="J262" s="564">
        <f t="shared" si="52"/>
        <v>8322200</v>
      </c>
    </row>
    <row r="263" spans="1:10" x14ac:dyDescent="0.25">
      <c r="A263" s="553" t="s">
        <v>429</v>
      </c>
      <c r="B263" s="575">
        <v>7319900</v>
      </c>
      <c r="C263" s="583">
        <v>1900300</v>
      </c>
      <c r="D263" s="583">
        <v>2857400</v>
      </c>
      <c r="E263" s="569">
        <v>3166200</v>
      </c>
      <c r="F263" s="569">
        <v>7776500</v>
      </c>
      <c r="G263" s="569">
        <v>9628100</v>
      </c>
      <c r="H263" s="569">
        <v>8730400</v>
      </c>
      <c r="I263" s="581">
        <v>41378800</v>
      </c>
      <c r="J263" s="564">
        <f t="shared" si="52"/>
        <v>1008500</v>
      </c>
    </row>
    <row r="264" spans="1:10" x14ac:dyDescent="0.25">
      <c r="A264" s="555" t="s">
        <v>430</v>
      </c>
      <c r="B264" s="576">
        <v>7910100</v>
      </c>
      <c r="C264" s="570">
        <v>3621700</v>
      </c>
      <c r="D264" s="570">
        <v>3574200</v>
      </c>
      <c r="E264" s="570">
        <v>5011100</v>
      </c>
      <c r="F264" s="570">
        <v>8453100</v>
      </c>
      <c r="G264" s="570">
        <v>7836300</v>
      </c>
      <c r="H264" s="570">
        <v>8701600</v>
      </c>
      <c r="I264" s="581">
        <v>45108100</v>
      </c>
      <c r="J264" s="564">
        <f t="shared" si="52"/>
        <v>1361700</v>
      </c>
    </row>
    <row r="265" spans="1:10" x14ac:dyDescent="0.25">
      <c r="A265" s="577" t="s">
        <v>544</v>
      </c>
      <c r="B265" s="578">
        <v>5847900</v>
      </c>
      <c r="C265" s="572">
        <v>2663000</v>
      </c>
      <c r="D265" s="572">
        <v>3102500</v>
      </c>
      <c r="E265" s="572">
        <v>3717900</v>
      </c>
      <c r="F265" s="572">
        <v>6767400</v>
      </c>
      <c r="G265" s="572">
        <v>5213500</v>
      </c>
      <c r="H265" s="572">
        <v>6069000</v>
      </c>
      <c r="I265" s="581">
        <v>33381200</v>
      </c>
      <c r="J265" s="564">
        <f t="shared" si="52"/>
        <v>-1167900</v>
      </c>
    </row>
    <row r="266" spans="1:10" ht="15.75" thickBot="1" x14ac:dyDescent="0.3">
      <c r="A266" s="556" t="s">
        <v>10</v>
      </c>
      <c r="B266" s="579">
        <v>43363500</v>
      </c>
      <c r="C266" s="579">
        <v>15064800</v>
      </c>
      <c r="D266" s="579">
        <v>18080900</v>
      </c>
      <c r="E266" s="579">
        <v>21345000</v>
      </c>
      <c r="F266" s="579">
        <v>43587200</v>
      </c>
      <c r="G266" s="579">
        <v>48557000</v>
      </c>
      <c r="H266" s="579">
        <v>48065300</v>
      </c>
      <c r="I266" s="582">
        <v>238063700</v>
      </c>
      <c r="J266" s="564">
        <f t="shared" si="52"/>
        <v>15744200</v>
      </c>
    </row>
    <row r="268" spans="1:10" ht="30.75" thickBot="1" x14ac:dyDescent="0.3">
      <c r="A268" s="551" t="s">
        <v>419</v>
      </c>
      <c r="B268" s="232" t="s">
        <v>70</v>
      </c>
      <c r="C268" s="232" t="s">
        <v>71</v>
      </c>
      <c r="D268" s="232" t="s">
        <v>72</v>
      </c>
      <c r="E268" s="232" t="s">
        <v>73</v>
      </c>
      <c r="F268" s="232" t="s">
        <v>74</v>
      </c>
      <c r="G268" s="232" t="s">
        <v>75</v>
      </c>
      <c r="H268" s="232" t="s">
        <v>76</v>
      </c>
      <c r="I268" s="580" t="s">
        <v>96</v>
      </c>
      <c r="J268" s="562" t="s">
        <v>438</v>
      </c>
    </row>
    <row r="269" spans="1:10" ht="15.75" thickTop="1" x14ac:dyDescent="0.25">
      <c r="A269" s="553" t="s">
        <v>427</v>
      </c>
      <c r="B269" s="575">
        <v>3413500</v>
      </c>
      <c r="C269" s="569">
        <v>4772100</v>
      </c>
      <c r="D269" s="569">
        <v>4948300</v>
      </c>
      <c r="E269" s="569">
        <v>5274800</v>
      </c>
      <c r="F269" s="569">
        <v>11101700</v>
      </c>
      <c r="G269" s="569">
        <v>13737400</v>
      </c>
      <c r="H269" s="569">
        <v>11163100</v>
      </c>
      <c r="I269" s="581">
        <f t="shared" ref="I269:I274" si="53">+SUM(B269:H269)</f>
        <v>54410900</v>
      </c>
      <c r="J269" s="564">
        <f t="shared" ref="J269:J274" si="54">I269-I261</f>
        <v>-7008700</v>
      </c>
    </row>
    <row r="270" spans="1:10" x14ac:dyDescent="0.25">
      <c r="A270" s="555" t="s">
        <v>428</v>
      </c>
      <c r="B270" s="576">
        <v>2506100</v>
      </c>
      <c r="C270" s="570">
        <v>3677100</v>
      </c>
      <c r="D270" s="570">
        <v>5397900</v>
      </c>
      <c r="E270" s="570">
        <v>4447100</v>
      </c>
      <c r="F270" s="570">
        <v>9359500</v>
      </c>
      <c r="G270" s="570">
        <v>10385500</v>
      </c>
      <c r="H270" s="570">
        <v>9114500</v>
      </c>
      <c r="I270" s="581">
        <f t="shared" si="53"/>
        <v>44887700</v>
      </c>
      <c r="J270" s="564">
        <f t="shared" si="54"/>
        <v>-11888300</v>
      </c>
    </row>
    <row r="271" spans="1:10" x14ac:dyDescent="0.25">
      <c r="A271" s="553" t="s">
        <v>429</v>
      </c>
      <c r="B271" s="575">
        <v>2075900</v>
      </c>
      <c r="C271" s="583">
        <v>2978300</v>
      </c>
      <c r="D271" s="583">
        <v>4164300</v>
      </c>
      <c r="E271" s="569">
        <v>4456400</v>
      </c>
      <c r="F271" s="569">
        <v>9420800</v>
      </c>
      <c r="G271" s="569">
        <v>10865900</v>
      </c>
      <c r="H271" s="569">
        <v>9012100</v>
      </c>
      <c r="I271" s="581">
        <f t="shared" si="53"/>
        <v>42973700</v>
      </c>
      <c r="J271" s="564">
        <f t="shared" si="54"/>
        <v>1594900</v>
      </c>
    </row>
    <row r="272" spans="1:10" x14ac:dyDescent="0.25">
      <c r="A272" s="555" t="s">
        <v>430</v>
      </c>
      <c r="B272" s="576">
        <v>2791500</v>
      </c>
      <c r="C272" s="570">
        <v>4080600</v>
      </c>
      <c r="D272" s="570">
        <v>4861500</v>
      </c>
      <c r="E272" s="570">
        <v>5794900</v>
      </c>
      <c r="F272" s="570">
        <v>7811900</v>
      </c>
      <c r="G272" s="570">
        <v>7510900</v>
      </c>
      <c r="H272" s="570">
        <v>7138600</v>
      </c>
      <c r="I272" s="581">
        <f t="shared" si="53"/>
        <v>39989900</v>
      </c>
      <c r="J272" s="564">
        <f t="shared" si="54"/>
        <v>-5118200</v>
      </c>
    </row>
    <row r="273" spans="1:10" x14ac:dyDescent="0.25">
      <c r="A273" s="577" t="s">
        <v>544</v>
      </c>
      <c r="B273" s="578">
        <v>3025800</v>
      </c>
      <c r="C273" s="572">
        <v>3394500</v>
      </c>
      <c r="D273" s="572">
        <v>4092700</v>
      </c>
      <c r="E273" s="572">
        <v>3860800</v>
      </c>
      <c r="F273" s="572">
        <v>7878700</v>
      </c>
      <c r="G273" s="572">
        <v>6047800</v>
      </c>
      <c r="H273" s="572">
        <v>4204300</v>
      </c>
      <c r="I273" s="581">
        <f t="shared" si="53"/>
        <v>32504600</v>
      </c>
      <c r="J273" s="564">
        <f t="shared" si="54"/>
        <v>-876600</v>
      </c>
    </row>
    <row r="274" spans="1:10" ht="15.75" thickBot="1" x14ac:dyDescent="0.3">
      <c r="A274" s="556" t="s">
        <v>10</v>
      </c>
      <c r="B274" s="579">
        <f>+SUM(B269:B273)</f>
        <v>13812800</v>
      </c>
      <c r="C274" s="579">
        <f t="shared" ref="C274:H274" si="55">+SUM(C269:C273)</f>
        <v>18902600</v>
      </c>
      <c r="D274" s="579">
        <f t="shared" si="55"/>
        <v>23464700</v>
      </c>
      <c r="E274" s="579">
        <f t="shared" si="55"/>
        <v>23834000</v>
      </c>
      <c r="F274" s="579">
        <f t="shared" si="55"/>
        <v>45572600</v>
      </c>
      <c r="G274" s="579">
        <f t="shared" si="55"/>
        <v>48547500</v>
      </c>
      <c r="H274" s="579">
        <f t="shared" si="55"/>
        <v>40632600</v>
      </c>
      <c r="I274" s="582">
        <f t="shared" si="53"/>
        <v>214766800</v>
      </c>
      <c r="J274" s="564">
        <f t="shared" si="54"/>
        <v>-23296900</v>
      </c>
    </row>
    <row r="276" spans="1:10" ht="30.75" thickBot="1" x14ac:dyDescent="0.3">
      <c r="A276" s="551" t="s">
        <v>419</v>
      </c>
      <c r="B276" s="232" t="s">
        <v>81</v>
      </c>
      <c r="C276" s="232" t="s">
        <v>82</v>
      </c>
      <c r="D276" s="232" t="s">
        <v>83</v>
      </c>
      <c r="E276" s="232" t="s">
        <v>84</v>
      </c>
      <c r="F276" s="232" t="s">
        <v>85</v>
      </c>
      <c r="G276" s="232" t="s">
        <v>86</v>
      </c>
      <c r="H276" s="232" t="s">
        <v>87</v>
      </c>
      <c r="I276" s="580" t="s">
        <v>96</v>
      </c>
      <c r="J276" s="562" t="s">
        <v>438</v>
      </c>
    </row>
    <row r="277" spans="1:10" ht="15.75" thickTop="1" x14ac:dyDescent="0.25">
      <c r="A277" s="553" t="s">
        <v>427</v>
      </c>
      <c r="B277" s="575">
        <v>4172000</v>
      </c>
      <c r="C277" s="569">
        <v>1485400</v>
      </c>
      <c r="D277" s="569">
        <v>5354100</v>
      </c>
      <c r="E277" s="569">
        <v>5888100</v>
      </c>
      <c r="F277" s="569">
        <v>10986200</v>
      </c>
      <c r="G277" s="569">
        <v>10245000</v>
      </c>
      <c r="H277" s="569">
        <v>9913700</v>
      </c>
      <c r="I277" s="581">
        <f t="shared" ref="I277:I282" si="56">+SUM(B277:H277)</f>
        <v>48044500</v>
      </c>
      <c r="J277" s="564">
        <f t="shared" ref="J277:J282" si="57">I277-I269</f>
        <v>-6366400</v>
      </c>
    </row>
    <row r="278" spans="1:10" x14ac:dyDescent="0.25">
      <c r="A278" s="555" t="s">
        <v>428</v>
      </c>
      <c r="B278" s="576">
        <v>3920400</v>
      </c>
      <c r="C278" s="570">
        <v>4884400</v>
      </c>
      <c r="D278" s="570">
        <v>4776200</v>
      </c>
      <c r="E278" s="570">
        <v>5044200</v>
      </c>
      <c r="F278" s="570">
        <v>9818900</v>
      </c>
      <c r="G278" s="570">
        <v>9294500</v>
      </c>
      <c r="H278" s="570">
        <v>9470900</v>
      </c>
      <c r="I278" s="581">
        <f t="shared" si="56"/>
        <v>47209500</v>
      </c>
      <c r="J278" s="564">
        <f t="shared" si="57"/>
        <v>2321800</v>
      </c>
    </row>
    <row r="279" spans="1:10" x14ac:dyDescent="0.25">
      <c r="A279" s="553" t="s">
        <v>429</v>
      </c>
      <c r="B279" s="575">
        <v>3427600</v>
      </c>
      <c r="C279" s="583">
        <v>2992500</v>
      </c>
      <c r="D279" s="583">
        <v>3308000</v>
      </c>
      <c r="E279" s="569">
        <v>3635800</v>
      </c>
      <c r="F279" s="569">
        <v>7756500</v>
      </c>
      <c r="G279" s="569">
        <v>7832500</v>
      </c>
      <c r="H279" s="569">
        <v>6654200</v>
      </c>
      <c r="I279" s="581">
        <f t="shared" si="56"/>
        <v>35607100</v>
      </c>
      <c r="J279" s="564">
        <f t="shared" si="57"/>
        <v>-7366600</v>
      </c>
    </row>
    <row r="280" spans="1:10" x14ac:dyDescent="0.25">
      <c r="A280" s="555" t="s">
        <v>430</v>
      </c>
      <c r="B280" s="576">
        <v>3592800</v>
      </c>
      <c r="C280" s="570">
        <v>4089600</v>
      </c>
      <c r="D280" s="570">
        <v>4068400</v>
      </c>
      <c r="E280" s="570">
        <v>4455800</v>
      </c>
      <c r="F280" s="570">
        <v>8304200</v>
      </c>
      <c r="G280" s="570">
        <v>6133700</v>
      </c>
      <c r="H280" s="570">
        <v>5744200</v>
      </c>
      <c r="I280" s="581">
        <f t="shared" si="56"/>
        <v>36388700</v>
      </c>
      <c r="J280" s="564">
        <f t="shared" si="57"/>
        <v>-3601200</v>
      </c>
    </row>
    <row r="281" spans="1:10" x14ac:dyDescent="0.25">
      <c r="A281" s="577" t="s">
        <v>544</v>
      </c>
      <c r="B281" s="578">
        <v>2337500</v>
      </c>
      <c r="C281" s="572">
        <v>4255800</v>
      </c>
      <c r="D281" s="572">
        <v>3342700</v>
      </c>
      <c r="E281" s="572">
        <v>3474200</v>
      </c>
      <c r="F281" s="572">
        <v>7685800</v>
      </c>
      <c r="G281" s="572">
        <v>4802900</v>
      </c>
      <c r="H281" s="572">
        <v>4137200</v>
      </c>
      <c r="I281" s="581">
        <f t="shared" si="56"/>
        <v>30036100</v>
      </c>
      <c r="J281" s="564">
        <f t="shared" si="57"/>
        <v>-2468500</v>
      </c>
    </row>
    <row r="282" spans="1:10" ht="15.75" thickBot="1" x14ac:dyDescent="0.3">
      <c r="A282" s="556" t="s">
        <v>10</v>
      </c>
      <c r="B282" s="579">
        <f t="shared" ref="B282:H282" si="58">+SUM(B277:B281)</f>
        <v>17450300</v>
      </c>
      <c r="C282" s="579">
        <f t="shared" si="58"/>
        <v>17707700</v>
      </c>
      <c r="D282" s="579">
        <f t="shared" si="58"/>
        <v>20849400</v>
      </c>
      <c r="E282" s="579">
        <f t="shared" si="58"/>
        <v>22498100</v>
      </c>
      <c r="F282" s="579">
        <f t="shared" si="58"/>
        <v>44551600</v>
      </c>
      <c r="G282" s="579">
        <f t="shared" si="58"/>
        <v>38308600</v>
      </c>
      <c r="H282" s="579">
        <f t="shared" si="58"/>
        <v>35920200</v>
      </c>
      <c r="I282" s="582">
        <f t="shared" si="56"/>
        <v>197285900</v>
      </c>
      <c r="J282" s="564">
        <f t="shared" si="57"/>
        <v>-17480900</v>
      </c>
    </row>
    <row r="284" spans="1:10" ht="30.75" thickBot="1" x14ac:dyDescent="0.3">
      <c r="A284" s="551" t="s">
        <v>419</v>
      </c>
      <c r="B284" s="232" t="s">
        <v>89</v>
      </c>
      <c r="C284" s="232" t="s">
        <v>90</v>
      </c>
      <c r="D284" s="232" t="s">
        <v>172</v>
      </c>
      <c r="E284" s="232" t="s">
        <v>92</v>
      </c>
      <c r="F284" s="232" t="s">
        <v>258</v>
      </c>
      <c r="G284" s="232" t="s">
        <v>259</v>
      </c>
      <c r="H284" s="232" t="s">
        <v>260</v>
      </c>
      <c r="I284" s="580" t="s">
        <v>96</v>
      </c>
      <c r="J284" s="562" t="s">
        <v>438</v>
      </c>
    </row>
    <row r="285" spans="1:10" ht="15.75" thickTop="1" x14ac:dyDescent="0.25">
      <c r="A285" s="553" t="s">
        <v>427</v>
      </c>
      <c r="B285" s="584">
        <v>10488600</v>
      </c>
      <c r="C285" s="569">
        <v>5293600</v>
      </c>
      <c r="D285" s="569">
        <v>5259200</v>
      </c>
      <c r="E285" s="569">
        <v>6888700</v>
      </c>
      <c r="F285" s="569">
        <v>9971700</v>
      </c>
      <c r="G285" s="569">
        <v>11660400</v>
      </c>
      <c r="H285" s="569">
        <v>9998000</v>
      </c>
      <c r="I285" s="581">
        <f t="shared" ref="I285:I290" si="59">+SUM(B285:H285)</f>
        <v>59560200</v>
      </c>
      <c r="J285" s="564">
        <f t="shared" ref="J285:J290" si="60">I285-I277</f>
        <v>11515700</v>
      </c>
    </row>
    <row r="286" spans="1:10" x14ac:dyDescent="0.25">
      <c r="A286" s="555" t="s">
        <v>428</v>
      </c>
      <c r="B286" s="576">
        <v>8735000</v>
      </c>
      <c r="C286" s="570">
        <v>4090300</v>
      </c>
      <c r="D286" s="570">
        <v>3512700</v>
      </c>
      <c r="E286" s="570">
        <v>5007000</v>
      </c>
      <c r="F286" s="570">
        <v>8337100</v>
      </c>
      <c r="G286" s="570">
        <v>10355600</v>
      </c>
      <c r="H286" s="570">
        <v>8195000</v>
      </c>
      <c r="I286" s="581">
        <f t="shared" si="59"/>
        <v>48232700</v>
      </c>
      <c r="J286" s="564">
        <f t="shared" si="60"/>
        <v>1023200</v>
      </c>
    </row>
    <row r="287" spans="1:10" x14ac:dyDescent="0.25">
      <c r="A287" s="553" t="s">
        <v>429</v>
      </c>
      <c r="B287" s="575">
        <v>7440400</v>
      </c>
      <c r="C287" s="583">
        <v>2468500</v>
      </c>
      <c r="D287" s="583">
        <v>3614200</v>
      </c>
      <c r="E287" s="569">
        <v>4614100</v>
      </c>
      <c r="F287" s="569">
        <v>8850900</v>
      </c>
      <c r="G287" s="569">
        <v>7937200</v>
      </c>
      <c r="H287" s="569">
        <v>7573000</v>
      </c>
      <c r="I287" s="581">
        <f t="shared" si="59"/>
        <v>42498300</v>
      </c>
      <c r="J287" s="564">
        <f t="shared" si="60"/>
        <v>6891200</v>
      </c>
    </row>
    <row r="288" spans="1:10" x14ac:dyDescent="0.25">
      <c r="A288" s="555" t="s">
        <v>430</v>
      </c>
      <c r="B288" s="585">
        <v>6975800</v>
      </c>
      <c r="C288" s="570">
        <v>3413300</v>
      </c>
      <c r="D288" s="570">
        <v>4271600</v>
      </c>
      <c r="E288" s="570">
        <v>6307000</v>
      </c>
      <c r="F288" s="570">
        <v>7102600</v>
      </c>
      <c r="G288" s="570">
        <v>6153700</v>
      </c>
      <c r="H288" s="570">
        <v>5997100</v>
      </c>
      <c r="I288" s="581">
        <f t="shared" si="59"/>
        <v>40221100</v>
      </c>
      <c r="J288" s="564">
        <f t="shared" si="60"/>
        <v>3832400</v>
      </c>
    </row>
    <row r="289" spans="1:10" x14ac:dyDescent="0.25">
      <c r="A289" s="577" t="s">
        <v>544</v>
      </c>
      <c r="B289" s="578">
        <v>5609600</v>
      </c>
      <c r="C289" s="572">
        <v>3074400</v>
      </c>
      <c r="D289" s="572">
        <v>4166400</v>
      </c>
      <c r="E289" s="572">
        <v>4587900</v>
      </c>
      <c r="F289" s="572">
        <v>8331500</v>
      </c>
      <c r="G289" s="572">
        <v>5905900</v>
      </c>
      <c r="H289" s="572">
        <v>4875600</v>
      </c>
      <c r="I289" s="581">
        <f t="shared" si="59"/>
        <v>36551300</v>
      </c>
      <c r="J289" s="564">
        <f t="shared" si="60"/>
        <v>6515200</v>
      </c>
    </row>
    <row r="290" spans="1:10" ht="15.75" thickBot="1" x14ac:dyDescent="0.3">
      <c r="A290" s="556" t="s">
        <v>10</v>
      </c>
      <c r="B290" s="579">
        <f>+SUM(B285:B289)</f>
        <v>39249400</v>
      </c>
      <c r="C290" s="579">
        <f t="shared" ref="C290:H290" si="61">+SUM(C285:C289)</f>
        <v>18340100</v>
      </c>
      <c r="D290" s="579">
        <f t="shared" si="61"/>
        <v>20824100</v>
      </c>
      <c r="E290" s="579">
        <f t="shared" si="61"/>
        <v>27404700</v>
      </c>
      <c r="F290" s="579">
        <f t="shared" si="61"/>
        <v>42593800</v>
      </c>
      <c r="G290" s="579">
        <f t="shared" si="61"/>
        <v>42012800</v>
      </c>
      <c r="H290" s="579">
        <f t="shared" si="61"/>
        <v>36638700</v>
      </c>
      <c r="I290" s="582">
        <f t="shared" si="59"/>
        <v>227063600</v>
      </c>
      <c r="J290" s="564">
        <f t="shared" si="60"/>
        <v>29777700</v>
      </c>
    </row>
    <row r="292" spans="1:10" ht="30.75" thickBot="1" x14ac:dyDescent="0.3">
      <c r="A292" s="551" t="s">
        <v>419</v>
      </c>
      <c r="B292" s="232" t="s">
        <v>262</v>
      </c>
      <c r="C292" s="232" t="s">
        <v>263</v>
      </c>
      <c r="D292" s="232" t="s">
        <v>264</v>
      </c>
      <c r="E292" s="232" t="s">
        <v>265</v>
      </c>
      <c r="F292" s="232" t="s">
        <v>266</v>
      </c>
      <c r="G292" s="232" t="s">
        <v>267</v>
      </c>
      <c r="H292" s="232" t="s">
        <v>105</v>
      </c>
      <c r="I292" s="580" t="s">
        <v>96</v>
      </c>
      <c r="J292" s="562" t="s">
        <v>438</v>
      </c>
    </row>
    <row r="293" spans="1:10" ht="15.75" thickTop="1" x14ac:dyDescent="0.25">
      <c r="A293" s="553" t="s">
        <v>427</v>
      </c>
      <c r="B293" s="584">
        <v>10129000</v>
      </c>
      <c r="C293" s="569">
        <v>4458800</v>
      </c>
      <c r="D293" s="569">
        <v>6904100</v>
      </c>
      <c r="E293" s="569">
        <v>5231600</v>
      </c>
      <c r="F293" s="569">
        <v>10748800</v>
      </c>
      <c r="G293" s="569">
        <v>11770700</v>
      </c>
      <c r="H293" s="569">
        <v>13492900</v>
      </c>
      <c r="I293" s="581">
        <f t="shared" ref="I293:I298" si="62">+SUM(B293:H293)</f>
        <v>62735900</v>
      </c>
      <c r="J293" s="564">
        <f t="shared" ref="J293:J298" si="63">I293-I285</f>
        <v>3175700</v>
      </c>
    </row>
    <row r="294" spans="1:10" x14ac:dyDescent="0.25">
      <c r="A294" s="555" t="s">
        <v>428</v>
      </c>
      <c r="B294" s="576">
        <v>7971700</v>
      </c>
      <c r="C294" s="570">
        <v>2879900</v>
      </c>
      <c r="D294" s="570">
        <v>5491800</v>
      </c>
      <c r="E294" s="570">
        <v>4083200</v>
      </c>
      <c r="F294" s="570">
        <v>8197300</v>
      </c>
      <c r="G294" s="570">
        <v>11355200</v>
      </c>
      <c r="H294" s="570">
        <v>12676200</v>
      </c>
      <c r="I294" s="581">
        <f t="shared" si="62"/>
        <v>52655300</v>
      </c>
      <c r="J294" s="564">
        <f t="shared" si="63"/>
        <v>4422600</v>
      </c>
    </row>
    <row r="295" spans="1:10" x14ac:dyDescent="0.25">
      <c r="A295" s="553" t="s">
        <v>429</v>
      </c>
      <c r="B295" s="575">
        <v>7020700</v>
      </c>
      <c r="C295" s="583">
        <v>2571800</v>
      </c>
      <c r="D295" s="583">
        <v>4241800</v>
      </c>
      <c r="E295" s="569">
        <v>3428800</v>
      </c>
      <c r="F295" s="569">
        <v>7537800</v>
      </c>
      <c r="G295" s="569">
        <v>9138400</v>
      </c>
      <c r="H295" s="569">
        <v>7432300</v>
      </c>
      <c r="I295" s="581">
        <f t="shared" si="62"/>
        <v>41371600</v>
      </c>
      <c r="J295" s="564">
        <f t="shared" si="63"/>
        <v>-1126700</v>
      </c>
    </row>
    <row r="296" spans="1:10" x14ac:dyDescent="0.25">
      <c r="A296" s="555" t="s">
        <v>430</v>
      </c>
      <c r="B296" s="585">
        <v>7116200</v>
      </c>
      <c r="C296" s="570">
        <v>2905800</v>
      </c>
      <c r="D296" s="570">
        <v>6278900</v>
      </c>
      <c r="E296" s="570">
        <v>3691400</v>
      </c>
      <c r="F296" s="570">
        <v>7593200</v>
      </c>
      <c r="G296" s="570">
        <v>6690400</v>
      </c>
      <c r="H296" s="570">
        <v>7154700</v>
      </c>
      <c r="I296" s="581">
        <f t="shared" si="62"/>
        <v>41430600</v>
      </c>
      <c r="J296" s="564">
        <f t="shared" si="63"/>
        <v>1209500</v>
      </c>
    </row>
    <row r="297" spans="1:10" x14ac:dyDescent="0.25">
      <c r="A297" s="577" t="s">
        <v>544</v>
      </c>
      <c r="B297" s="578">
        <v>4730200</v>
      </c>
      <c r="C297" s="572">
        <v>2305700</v>
      </c>
      <c r="D297" s="572">
        <v>4323800</v>
      </c>
      <c r="E297" s="572">
        <v>3508000</v>
      </c>
      <c r="F297" s="572">
        <v>6338100</v>
      </c>
      <c r="G297" s="572">
        <v>5637600</v>
      </c>
      <c r="H297" s="572">
        <v>5847300</v>
      </c>
      <c r="I297" s="581">
        <f t="shared" si="62"/>
        <v>32690700</v>
      </c>
      <c r="J297" s="564">
        <f t="shared" si="63"/>
        <v>-3860600</v>
      </c>
    </row>
    <row r="298" spans="1:10" ht="15.75" thickBot="1" x14ac:dyDescent="0.3">
      <c r="A298" s="556" t="s">
        <v>10</v>
      </c>
      <c r="B298" s="579">
        <f>+SUM(B293:B297)</f>
        <v>36967800</v>
      </c>
      <c r="C298" s="579">
        <f t="shared" ref="C298:H298" si="64">+SUM(C293:C297)</f>
        <v>15122000</v>
      </c>
      <c r="D298" s="579">
        <f t="shared" si="64"/>
        <v>27240400</v>
      </c>
      <c r="E298" s="579">
        <f t="shared" si="64"/>
        <v>19943000</v>
      </c>
      <c r="F298" s="579">
        <f t="shared" si="64"/>
        <v>40415200</v>
      </c>
      <c r="G298" s="579">
        <f t="shared" si="64"/>
        <v>44592300</v>
      </c>
      <c r="H298" s="579">
        <f t="shared" si="64"/>
        <v>46603400</v>
      </c>
      <c r="I298" s="582">
        <f t="shared" si="62"/>
        <v>230884100</v>
      </c>
      <c r="J298" s="564">
        <f t="shared" si="63"/>
        <v>3820500</v>
      </c>
    </row>
    <row r="300" spans="1:10" ht="30.75" thickBot="1" x14ac:dyDescent="0.3">
      <c r="A300" s="551" t="s">
        <v>419</v>
      </c>
      <c r="B300" s="232" t="s">
        <v>107</v>
      </c>
      <c r="C300" s="232" t="s">
        <v>108</v>
      </c>
      <c r="D300" s="232" t="s">
        <v>109</v>
      </c>
      <c r="E300" s="232" t="s">
        <v>110</v>
      </c>
      <c r="F300" s="232" t="s">
        <v>111</v>
      </c>
      <c r="G300" s="232" t="s">
        <v>112</v>
      </c>
      <c r="H300" s="232" t="s">
        <v>113</v>
      </c>
      <c r="I300" s="580" t="s">
        <v>96</v>
      </c>
      <c r="J300" s="562" t="s">
        <v>438</v>
      </c>
    </row>
    <row r="301" spans="1:10" ht="15.75" thickTop="1" x14ac:dyDescent="0.25">
      <c r="A301" s="553" t="s">
        <v>427</v>
      </c>
      <c r="B301" s="584">
        <v>4265500</v>
      </c>
      <c r="C301" s="569">
        <v>3974700</v>
      </c>
      <c r="D301" s="569">
        <v>4792200</v>
      </c>
      <c r="E301" s="569">
        <v>4904400</v>
      </c>
      <c r="F301" s="569">
        <v>10877900</v>
      </c>
      <c r="G301" s="569">
        <v>13012400</v>
      </c>
      <c r="H301" s="569">
        <v>10323600</v>
      </c>
      <c r="I301" s="581">
        <v>52150700</v>
      </c>
      <c r="J301" s="564">
        <f t="shared" ref="J301:J306" si="65">I301-I293</f>
        <v>-10585200</v>
      </c>
    </row>
    <row r="302" spans="1:10" x14ac:dyDescent="0.25">
      <c r="A302" s="555" t="s">
        <v>428</v>
      </c>
      <c r="B302" s="576">
        <v>2346200</v>
      </c>
      <c r="C302" s="570">
        <v>4613500</v>
      </c>
      <c r="D302" s="570">
        <v>4123100</v>
      </c>
      <c r="E302" s="570">
        <v>3894300</v>
      </c>
      <c r="F302" s="570">
        <v>7644400</v>
      </c>
      <c r="G302" s="570">
        <v>13150800</v>
      </c>
      <c r="H302" s="570">
        <v>7956600</v>
      </c>
      <c r="I302" s="581">
        <v>43728900</v>
      </c>
      <c r="J302" s="564">
        <f t="shared" si="65"/>
        <v>-8926400</v>
      </c>
    </row>
    <row r="303" spans="1:10" x14ac:dyDescent="0.25">
      <c r="A303" s="553" t="s">
        <v>429</v>
      </c>
      <c r="B303" s="575">
        <v>3134900</v>
      </c>
      <c r="C303" s="583">
        <v>2484400</v>
      </c>
      <c r="D303" s="583">
        <v>2786300</v>
      </c>
      <c r="E303" s="569">
        <v>3581700</v>
      </c>
      <c r="F303" s="569">
        <v>7630300</v>
      </c>
      <c r="G303" s="569">
        <v>10492400</v>
      </c>
      <c r="H303" s="569">
        <v>6711500</v>
      </c>
      <c r="I303" s="581">
        <v>36821500</v>
      </c>
      <c r="J303" s="564">
        <f t="shared" si="65"/>
        <v>-4550100</v>
      </c>
    </row>
    <row r="304" spans="1:10" x14ac:dyDescent="0.25">
      <c r="A304" s="555" t="s">
        <v>430</v>
      </c>
      <c r="B304" s="585">
        <v>3732300</v>
      </c>
      <c r="C304" s="570">
        <v>3506200</v>
      </c>
      <c r="D304" s="570">
        <v>4615900</v>
      </c>
      <c r="E304" s="570">
        <v>4679800</v>
      </c>
      <c r="F304" s="570">
        <v>7611500</v>
      </c>
      <c r="G304" s="570">
        <v>8002100</v>
      </c>
      <c r="H304" s="570">
        <v>6956900</v>
      </c>
      <c r="I304" s="581">
        <v>39104700</v>
      </c>
      <c r="J304" s="564">
        <f t="shared" si="65"/>
        <v>-2325900</v>
      </c>
    </row>
    <row r="305" spans="1:10" x14ac:dyDescent="0.25">
      <c r="A305" s="577" t="s">
        <v>544</v>
      </c>
      <c r="B305" s="578">
        <v>2594600</v>
      </c>
      <c r="C305" s="572">
        <v>2834100</v>
      </c>
      <c r="D305" s="572">
        <v>3629800</v>
      </c>
      <c r="E305" s="572">
        <v>4604500</v>
      </c>
      <c r="F305" s="572">
        <v>7154700</v>
      </c>
      <c r="G305" s="572">
        <v>5594200</v>
      </c>
      <c r="H305" s="572">
        <v>4083100</v>
      </c>
      <c r="I305" s="581">
        <v>30495000</v>
      </c>
      <c r="J305" s="564">
        <f t="shared" si="65"/>
        <v>-2195700</v>
      </c>
    </row>
    <row r="306" spans="1:10" ht="15.75" thickBot="1" x14ac:dyDescent="0.3">
      <c r="A306" s="556" t="s">
        <v>10</v>
      </c>
      <c r="B306" s="579">
        <v>16073500</v>
      </c>
      <c r="C306" s="579">
        <v>17412900</v>
      </c>
      <c r="D306" s="579">
        <v>19947300</v>
      </c>
      <c r="E306" s="579">
        <v>21664700</v>
      </c>
      <c r="F306" s="579">
        <v>40918800</v>
      </c>
      <c r="G306" s="579">
        <v>50251900</v>
      </c>
      <c r="H306" s="579">
        <v>36031700</v>
      </c>
      <c r="I306" s="582">
        <v>202300800</v>
      </c>
      <c r="J306" s="564">
        <f t="shared" si="65"/>
        <v>-28583300</v>
      </c>
    </row>
    <row r="308" spans="1:10" ht="30.75" thickBot="1" x14ac:dyDescent="0.3">
      <c r="A308" s="551" t="s">
        <v>419</v>
      </c>
      <c r="B308" s="232" t="s">
        <v>270</v>
      </c>
      <c r="C308" s="232" t="s">
        <v>116</v>
      </c>
      <c r="D308" s="232" t="s">
        <v>117</v>
      </c>
      <c r="E308" s="232" t="s">
        <v>118</v>
      </c>
      <c r="F308" s="232" t="s">
        <v>119</v>
      </c>
      <c r="G308" s="232" t="s">
        <v>120</v>
      </c>
      <c r="H308" s="232" t="s">
        <v>121</v>
      </c>
      <c r="I308" s="580" t="s">
        <v>96</v>
      </c>
      <c r="J308" s="562" t="s">
        <v>438</v>
      </c>
    </row>
    <row r="309" spans="1:10" ht="15.75" thickTop="1" x14ac:dyDescent="0.25">
      <c r="A309" s="553" t="s">
        <v>427</v>
      </c>
      <c r="B309" s="584">
        <v>4013100</v>
      </c>
      <c r="C309" s="569">
        <v>7774900</v>
      </c>
      <c r="D309" s="569">
        <v>10551300</v>
      </c>
      <c r="E309" s="569">
        <v>4411800</v>
      </c>
      <c r="F309" s="569">
        <v>7477700</v>
      </c>
      <c r="G309" s="569">
        <v>11270600</v>
      </c>
      <c r="H309" s="569">
        <v>13679000</v>
      </c>
      <c r="I309" s="581">
        <f t="shared" ref="I309:I314" si="66">+SUM(B309:H309)</f>
        <v>59178400</v>
      </c>
      <c r="J309" s="564">
        <f t="shared" ref="J309:J314" si="67">I309-I301</f>
        <v>7027700</v>
      </c>
    </row>
    <row r="310" spans="1:10" x14ac:dyDescent="0.25">
      <c r="A310" s="555" t="s">
        <v>428</v>
      </c>
      <c r="B310" s="576">
        <v>2460200</v>
      </c>
      <c r="C310" s="570">
        <v>6136000</v>
      </c>
      <c r="D310" s="570">
        <v>9432100</v>
      </c>
      <c r="E310" s="570">
        <v>3588900</v>
      </c>
      <c r="F310" s="570">
        <v>7549900</v>
      </c>
      <c r="G310" s="570">
        <v>10378800</v>
      </c>
      <c r="H310" s="570">
        <v>10536600</v>
      </c>
      <c r="I310" s="581">
        <f t="shared" si="66"/>
        <v>50082500</v>
      </c>
      <c r="J310" s="564">
        <f t="shared" si="67"/>
        <v>6353600</v>
      </c>
    </row>
    <row r="311" spans="1:10" x14ac:dyDescent="0.25">
      <c r="A311" s="553" t="s">
        <v>429</v>
      </c>
      <c r="B311" s="575">
        <v>2723100</v>
      </c>
      <c r="C311" s="583">
        <v>4415100</v>
      </c>
      <c r="D311" s="583">
        <v>7796200</v>
      </c>
      <c r="E311" s="569">
        <v>2290700</v>
      </c>
      <c r="F311" s="569">
        <v>7358900</v>
      </c>
      <c r="G311" s="569">
        <v>8219100</v>
      </c>
      <c r="H311" s="569">
        <v>6468900</v>
      </c>
      <c r="I311" s="581">
        <f t="shared" si="66"/>
        <v>39272000</v>
      </c>
      <c r="J311" s="564">
        <f t="shared" si="67"/>
        <v>2450500</v>
      </c>
    </row>
    <row r="312" spans="1:10" x14ac:dyDescent="0.25">
      <c r="A312" s="555" t="s">
        <v>430</v>
      </c>
      <c r="B312" s="585">
        <v>2947500</v>
      </c>
      <c r="C312" s="570">
        <v>5015300</v>
      </c>
      <c r="D312" s="570">
        <v>8105400</v>
      </c>
      <c r="E312" s="570">
        <v>3177800</v>
      </c>
      <c r="F312" s="570">
        <v>6030100</v>
      </c>
      <c r="G312" s="570">
        <v>7166300</v>
      </c>
      <c r="H312" s="570">
        <v>7338100</v>
      </c>
      <c r="I312" s="581">
        <f t="shared" si="66"/>
        <v>39780500</v>
      </c>
      <c r="J312" s="564">
        <f t="shared" si="67"/>
        <v>675800</v>
      </c>
    </row>
    <row r="313" spans="1:10" x14ac:dyDescent="0.25">
      <c r="A313" s="577" t="s">
        <v>544</v>
      </c>
      <c r="B313" s="578">
        <v>2970900</v>
      </c>
      <c r="C313" s="572">
        <v>5421900</v>
      </c>
      <c r="D313" s="572">
        <v>5237800</v>
      </c>
      <c r="E313" s="572">
        <v>2567200</v>
      </c>
      <c r="F313" s="572">
        <v>6311500</v>
      </c>
      <c r="G313" s="572">
        <v>5070700</v>
      </c>
      <c r="H313" s="572">
        <v>5034000</v>
      </c>
      <c r="I313" s="581">
        <f t="shared" si="66"/>
        <v>32614000</v>
      </c>
      <c r="J313" s="564">
        <f t="shared" si="67"/>
        <v>2119000</v>
      </c>
    </row>
    <row r="314" spans="1:10" ht="15.75" thickBot="1" x14ac:dyDescent="0.3">
      <c r="A314" s="556" t="s">
        <v>10</v>
      </c>
      <c r="B314" s="579">
        <f>+SUM(B309:B313)</f>
        <v>15114800</v>
      </c>
      <c r="C314" s="579">
        <f t="shared" ref="C314:H314" si="68">+SUM(C309:C313)</f>
        <v>28763200</v>
      </c>
      <c r="D314" s="579">
        <f t="shared" si="68"/>
        <v>41122800</v>
      </c>
      <c r="E314" s="579">
        <f t="shared" si="68"/>
        <v>16036400</v>
      </c>
      <c r="F314" s="579">
        <f t="shared" si="68"/>
        <v>34728100</v>
      </c>
      <c r="G314" s="579">
        <f t="shared" si="68"/>
        <v>42105500</v>
      </c>
      <c r="H314" s="579">
        <f t="shared" si="68"/>
        <v>43056600</v>
      </c>
      <c r="I314" s="582">
        <f t="shared" si="66"/>
        <v>220927400</v>
      </c>
      <c r="J314" s="564">
        <f t="shared" si="67"/>
        <v>18626600</v>
      </c>
    </row>
    <row r="316" spans="1:10" ht="30.75" thickBot="1" x14ac:dyDescent="0.3">
      <c r="A316" s="551" t="s">
        <v>419</v>
      </c>
      <c r="B316" s="232" t="s">
        <v>123</v>
      </c>
      <c r="C316" s="232" t="s">
        <v>124</v>
      </c>
      <c r="D316" s="232" t="s">
        <v>125</v>
      </c>
      <c r="E316" s="232" t="s">
        <v>126</v>
      </c>
      <c r="F316" s="232" t="s">
        <v>127</v>
      </c>
      <c r="G316" s="232" t="s">
        <v>128</v>
      </c>
      <c r="H316" s="232" t="s">
        <v>129</v>
      </c>
      <c r="I316" s="580" t="s">
        <v>96</v>
      </c>
      <c r="J316" s="562" t="s">
        <v>438</v>
      </c>
    </row>
    <row r="317" spans="1:10" ht="15.75" thickTop="1" x14ac:dyDescent="0.25">
      <c r="A317" s="553" t="s">
        <v>427</v>
      </c>
      <c r="B317" s="584">
        <v>3701400</v>
      </c>
      <c r="C317" s="569">
        <v>4955100</v>
      </c>
      <c r="D317" s="569">
        <v>3794500</v>
      </c>
      <c r="E317" s="569">
        <v>5506000</v>
      </c>
      <c r="F317" s="569">
        <v>12971600</v>
      </c>
      <c r="G317" s="569">
        <v>11813200</v>
      </c>
      <c r="H317" s="569">
        <v>10404000</v>
      </c>
      <c r="I317" s="581">
        <f t="shared" ref="I317:I322" si="69">+SUM(B317:H317)</f>
        <v>53145800</v>
      </c>
      <c r="J317" s="564">
        <f t="shared" ref="J317:J322" si="70">I317-I309</f>
        <v>-6032600</v>
      </c>
    </row>
    <row r="318" spans="1:10" x14ac:dyDescent="0.25">
      <c r="A318" s="555" t="s">
        <v>428</v>
      </c>
      <c r="B318" s="576">
        <v>2695500</v>
      </c>
      <c r="C318" s="570">
        <v>3129500</v>
      </c>
      <c r="D318" s="570">
        <v>3708500</v>
      </c>
      <c r="E318" s="570">
        <v>4277100</v>
      </c>
      <c r="F318" s="570">
        <v>8942800</v>
      </c>
      <c r="G318" s="570">
        <v>14839700</v>
      </c>
      <c r="H318" s="570">
        <v>8636100</v>
      </c>
      <c r="I318" s="581">
        <f t="shared" si="69"/>
        <v>46229200</v>
      </c>
      <c r="J318" s="564">
        <f t="shared" si="70"/>
        <v>-3853300</v>
      </c>
    </row>
    <row r="319" spans="1:10" x14ac:dyDescent="0.25">
      <c r="A319" s="553" t="s">
        <v>429</v>
      </c>
      <c r="B319" s="575">
        <v>2464300</v>
      </c>
      <c r="C319" s="583">
        <v>3248700</v>
      </c>
      <c r="D319" s="583">
        <v>2651000</v>
      </c>
      <c r="E319" s="569">
        <v>2873400</v>
      </c>
      <c r="F319" s="569">
        <v>8824800</v>
      </c>
      <c r="G319" s="569">
        <v>9531900</v>
      </c>
      <c r="H319" s="569">
        <v>8723600</v>
      </c>
      <c r="I319" s="581">
        <f t="shared" si="69"/>
        <v>38317700</v>
      </c>
      <c r="J319" s="564">
        <f t="shared" si="70"/>
        <v>-954300</v>
      </c>
    </row>
    <row r="320" spans="1:10" x14ac:dyDescent="0.25">
      <c r="A320" s="555" t="s">
        <v>430</v>
      </c>
      <c r="B320" s="585">
        <v>2941300</v>
      </c>
      <c r="C320" s="570">
        <v>2979800</v>
      </c>
      <c r="D320" s="570">
        <v>3565400</v>
      </c>
      <c r="E320" s="570">
        <v>3836300</v>
      </c>
      <c r="F320" s="570">
        <v>8720900</v>
      </c>
      <c r="G320" s="570">
        <v>8309000</v>
      </c>
      <c r="H320" s="570">
        <v>8108200</v>
      </c>
      <c r="I320" s="581">
        <f t="shared" si="69"/>
        <v>38460900</v>
      </c>
      <c r="J320" s="564">
        <f t="shared" si="70"/>
        <v>-1319600</v>
      </c>
    </row>
    <row r="321" spans="1:10" x14ac:dyDescent="0.25">
      <c r="A321" s="577" t="s">
        <v>544</v>
      </c>
      <c r="B321" s="578">
        <v>2338900</v>
      </c>
      <c r="C321" s="572">
        <v>3521300</v>
      </c>
      <c r="D321" s="572">
        <v>4073300</v>
      </c>
      <c r="E321" s="572">
        <v>4109100</v>
      </c>
      <c r="F321" s="572">
        <v>7272300</v>
      </c>
      <c r="G321" s="572">
        <v>6289300</v>
      </c>
      <c r="H321" s="572">
        <v>4699600</v>
      </c>
      <c r="I321" s="581">
        <f t="shared" si="69"/>
        <v>32303800</v>
      </c>
      <c r="J321" s="564">
        <f t="shared" si="70"/>
        <v>-310200</v>
      </c>
    </row>
    <row r="322" spans="1:10" ht="15.75" thickBot="1" x14ac:dyDescent="0.3">
      <c r="A322" s="556" t="s">
        <v>10</v>
      </c>
      <c r="B322" s="579">
        <f>+SUM(B317:B321)</f>
        <v>14141400</v>
      </c>
      <c r="C322" s="579">
        <f t="shared" ref="C322:H322" si="71">+SUM(C317:C321)</f>
        <v>17834400</v>
      </c>
      <c r="D322" s="579">
        <f t="shared" si="71"/>
        <v>17792700</v>
      </c>
      <c r="E322" s="579">
        <f t="shared" si="71"/>
        <v>20601900</v>
      </c>
      <c r="F322" s="579">
        <f t="shared" si="71"/>
        <v>46732400</v>
      </c>
      <c r="G322" s="579">
        <f t="shared" si="71"/>
        <v>50783100</v>
      </c>
      <c r="H322" s="579">
        <f t="shared" si="71"/>
        <v>40571500</v>
      </c>
      <c r="I322" s="582">
        <f t="shared" si="69"/>
        <v>208457400</v>
      </c>
      <c r="J322" s="564">
        <f t="shared" si="70"/>
        <v>-12470000</v>
      </c>
    </row>
    <row r="324" spans="1:10" ht="30.75" thickBot="1" x14ac:dyDescent="0.3">
      <c r="A324" s="551" t="s">
        <v>419</v>
      </c>
      <c r="B324" s="232" t="s">
        <v>310</v>
      </c>
      <c r="C324" s="232" t="s">
        <v>311</v>
      </c>
      <c r="D324" s="232" t="s">
        <v>312</v>
      </c>
      <c r="E324" s="232" t="s">
        <v>313</v>
      </c>
      <c r="F324" s="232" t="s">
        <v>314</v>
      </c>
      <c r="G324" s="232" t="s">
        <v>315</v>
      </c>
      <c r="H324" s="232" t="s">
        <v>316</v>
      </c>
      <c r="I324" s="580" t="s">
        <v>96</v>
      </c>
      <c r="J324" s="562" t="s">
        <v>438</v>
      </c>
    </row>
    <row r="325" spans="1:10" ht="15.75" thickTop="1" x14ac:dyDescent="0.25">
      <c r="A325" s="553" t="s">
        <v>427</v>
      </c>
      <c r="B325" s="584">
        <v>3920400</v>
      </c>
      <c r="C325" s="569">
        <v>6585500</v>
      </c>
      <c r="D325" s="569">
        <v>4867700</v>
      </c>
      <c r="E325" s="569">
        <v>5329800</v>
      </c>
      <c r="F325" s="569">
        <v>13586000</v>
      </c>
      <c r="G325" s="569">
        <v>11795200</v>
      </c>
      <c r="H325" s="569">
        <v>10101200</v>
      </c>
      <c r="I325" s="581">
        <f t="shared" ref="I325:I330" si="72">+SUM(B325:H325)</f>
        <v>56185800</v>
      </c>
      <c r="J325" s="564">
        <f t="shared" ref="J325:J330" si="73">I325-I317</f>
        <v>3040000</v>
      </c>
    </row>
    <row r="326" spans="1:10" x14ac:dyDescent="0.25">
      <c r="A326" s="555" t="s">
        <v>428</v>
      </c>
      <c r="B326" s="576">
        <v>3420100</v>
      </c>
      <c r="C326" s="570">
        <v>4174500</v>
      </c>
      <c r="D326" s="570">
        <v>3021100</v>
      </c>
      <c r="E326" s="570">
        <v>3310300</v>
      </c>
      <c r="F326" s="570">
        <v>11391900</v>
      </c>
      <c r="G326" s="570">
        <v>10449600</v>
      </c>
      <c r="H326" s="570">
        <v>8963500</v>
      </c>
      <c r="I326" s="581">
        <f t="shared" si="72"/>
        <v>44731000</v>
      </c>
      <c r="J326" s="564">
        <f t="shared" si="73"/>
        <v>-1498200</v>
      </c>
    </row>
    <row r="327" spans="1:10" x14ac:dyDescent="0.25">
      <c r="A327" s="553" t="s">
        <v>429</v>
      </c>
      <c r="B327" s="575">
        <v>1912100</v>
      </c>
      <c r="C327" s="583">
        <v>3650500</v>
      </c>
      <c r="D327" s="583">
        <v>2965300</v>
      </c>
      <c r="E327" s="569">
        <v>3452300</v>
      </c>
      <c r="F327" s="569">
        <v>7678300</v>
      </c>
      <c r="G327" s="569">
        <v>8805000</v>
      </c>
      <c r="H327" s="569">
        <v>6931400</v>
      </c>
      <c r="I327" s="581">
        <f t="shared" si="72"/>
        <v>35394900</v>
      </c>
      <c r="J327" s="564">
        <f t="shared" si="73"/>
        <v>-2922800</v>
      </c>
    </row>
    <row r="328" spans="1:10" x14ac:dyDescent="0.25">
      <c r="A328" s="555" t="s">
        <v>430</v>
      </c>
      <c r="B328" s="585">
        <v>3454500</v>
      </c>
      <c r="C328" s="570">
        <v>4155000</v>
      </c>
      <c r="D328" s="570">
        <v>3295700</v>
      </c>
      <c r="E328" s="570">
        <v>3726900</v>
      </c>
      <c r="F328" s="570">
        <v>8965900</v>
      </c>
      <c r="G328" s="570">
        <v>6295900</v>
      </c>
      <c r="H328" s="570">
        <v>7395800</v>
      </c>
      <c r="I328" s="581">
        <f t="shared" si="72"/>
        <v>37289700</v>
      </c>
      <c r="J328" s="564">
        <f t="shared" si="73"/>
        <v>-1171200</v>
      </c>
    </row>
    <row r="329" spans="1:10" x14ac:dyDescent="0.25">
      <c r="A329" s="577" t="s">
        <v>544</v>
      </c>
      <c r="B329" s="578">
        <v>3234000</v>
      </c>
      <c r="C329" s="572">
        <v>3895800</v>
      </c>
      <c r="D329" s="572">
        <v>3154500</v>
      </c>
      <c r="E329" s="572">
        <v>5082200</v>
      </c>
      <c r="F329" s="572">
        <v>7716500</v>
      </c>
      <c r="G329" s="572">
        <v>4931300</v>
      </c>
      <c r="H329" s="572">
        <v>4838900</v>
      </c>
      <c r="I329" s="581">
        <f t="shared" si="72"/>
        <v>32853200</v>
      </c>
      <c r="J329" s="564">
        <f t="shared" si="73"/>
        <v>549400</v>
      </c>
    </row>
    <row r="330" spans="1:10" ht="15.75" thickBot="1" x14ac:dyDescent="0.3">
      <c r="A330" s="556" t="s">
        <v>10</v>
      </c>
      <c r="B330" s="579">
        <f>+SUM(B325:B329)</f>
        <v>15941100</v>
      </c>
      <c r="C330" s="579">
        <f t="shared" ref="C330:H330" si="74">+SUM(C325:C329)</f>
        <v>22461300</v>
      </c>
      <c r="D330" s="579">
        <f t="shared" si="74"/>
        <v>17304300</v>
      </c>
      <c r="E330" s="579">
        <f t="shared" si="74"/>
        <v>20901500</v>
      </c>
      <c r="F330" s="579">
        <f t="shared" si="74"/>
        <v>49338600</v>
      </c>
      <c r="G330" s="579">
        <f t="shared" si="74"/>
        <v>42277000</v>
      </c>
      <c r="H330" s="579">
        <f t="shared" si="74"/>
        <v>38230800</v>
      </c>
      <c r="I330" s="582">
        <f t="shared" si="72"/>
        <v>206454600</v>
      </c>
      <c r="J330" s="564">
        <f t="shared" si="73"/>
        <v>-2002800</v>
      </c>
    </row>
    <row r="332" spans="1:10" ht="30.75" thickBot="1" x14ac:dyDescent="0.3">
      <c r="A332" s="551" t="s">
        <v>419</v>
      </c>
      <c r="B332" s="232" t="s">
        <v>318</v>
      </c>
      <c r="C332" s="232" t="s">
        <v>319</v>
      </c>
      <c r="D332" s="232" t="s">
        <v>141</v>
      </c>
      <c r="E332" s="232" t="s">
        <v>142</v>
      </c>
      <c r="F332" s="232" t="s">
        <v>143</v>
      </c>
      <c r="G332" s="232" t="s">
        <v>144</v>
      </c>
      <c r="H332" s="232" t="s">
        <v>145</v>
      </c>
      <c r="I332" s="580" t="s">
        <v>96</v>
      </c>
      <c r="J332" s="562" t="s">
        <v>438</v>
      </c>
    </row>
    <row r="333" spans="1:10" ht="15.75" thickTop="1" x14ac:dyDescent="0.25">
      <c r="A333" s="553" t="s">
        <v>427</v>
      </c>
      <c r="B333" s="584">
        <v>4061000</v>
      </c>
      <c r="C333" s="569">
        <v>6700700</v>
      </c>
      <c r="D333" s="569">
        <v>4149300</v>
      </c>
      <c r="E333" s="569">
        <v>4419600</v>
      </c>
      <c r="F333" s="569">
        <v>9407800</v>
      </c>
      <c r="G333" s="569">
        <v>14308300</v>
      </c>
      <c r="H333" s="569">
        <v>9713000</v>
      </c>
      <c r="I333" s="581">
        <f t="shared" ref="I333:I338" si="75">+SUM(B333:H333)</f>
        <v>52759700</v>
      </c>
      <c r="J333" s="564">
        <f t="shared" ref="J333:J338" si="76">I333-I325</f>
        <v>-3426100</v>
      </c>
    </row>
    <row r="334" spans="1:10" x14ac:dyDescent="0.25">
      <c r="A334" s="555" t="s">
        <v>428</v>
      </c>
      <c r="B334" s="576">
        <v>2135100</v>
      </c>
      <c r="C334" s="570">
        <v>4075700</v>
      </c>
      <c r="D334" s="570">
        <v>3547100</v>
      </c>
      <c r="E334" s="570">
        <v>3841300</v>
      </c>
      <c r="F334" s="570">
        <v>8207600</v>
      </c>
      <c r="G334" s="570">
        <v>13031600</v>
      </c>
      <c r="H334" s="570">
        <v>8104900</v>
      </c>
      <c r="I334" s="581">
        <f t="shared" si="75"/>
        <v>42943300</v>
      </c>
      <c r="J334" s="564">
        <f t="shared" si="76"/>
        <v>-1787700</v>
      </c>
    </row>
    <row r="335" spans="1:10" x14ac:dyDescent="0.25">
      <c r="A335" s="553" t="s">
        <v>429</v>
      </c>
      <c r="B335" s="575">
        <v>2115000</v>
      </c>
      <c r="C335" s="583">
        <v>3515800</v>
      </c>
      <c r="D335" s="583">
        <v>2416800</v>
      </c>
      <c r="E335" s="569">
        <v>2632800</v>
      </c>
      <c r="F335" s="569">
        <v>6762700</v>
      </c>
      <c r="G335" s="569">
        <v>7984900</v>
      </c>
      <c r="H335" s="569">
        <v>6542600</v>
      </c>
      <c r="I335" s="581">
        <f t="shared" si="75"/>
        <v>31970600</v>
      </c>
      <c r="J335" s="564">
        <f t="shared" si="76"/>
        <v>-3424300</v>
      </c>
    </row>
    <row r="336" spans="1:10" x14ac:dyDescent="0.25">
      <c r="A336" s="555" t="s">
        <v>430</v>
      </c>
      <c r="B336" s="585">
        <v>3361600</v>
      </c>
      <c r="C336" s="570">
        <v>5100200</v>
      </c>
      <c r="D336" s="570">
        <v>3586800</v>
      </c>
      <c r="E336" s="570">
        <v>4381100</v>
      </c>
      <c r="F336" s="570">
        <v>7099700</v>
      </c>
      <c r="G336" s="570">
        <v>8435100</v>
      </c>
      <c r="H336" s="570">
        <v>6123900</v>
      </c>
      <c r="I336" s="581">
        <f t="shared" si="75"/>
        <v>38088400</v>
      </c>
      <c r="J336" s="564">
        <f t="shared" si="76"/>
        <v>798700</v>
      </c>
    </row>
    <row r="337" spans="1:10" x14ac:dyDescent="0.25">
      <c r="A337" s="577" t="s">
        <v>544</v>
      </c>
      <c r="B337" s="578">
        <v>2549400</v>
      </c>
      <c r="C337" s="572">
        <v>4428300</v>
      </c>
      <c r="D337" s="572">
        <v>3867600</v>
      </c>
      <c r="E337" s="572">
        <v>3038600</v>
      </c>
      <c r="F337" s="572">
        <v>7118200</v>
      </c>
      <c r="G337" s="572">
        <v>5846600</v>
      </c>
      <c r="H337" s="572">
        <v>4617200</v>
      </c>
      <c r="I337" s="581">
        <f t="shared" si="75"/>
        <v>31465900</v>
      </c>
      <c r="J337" s="564">
        <f t="shared" si="76"/>
        <v>-1387300</v>
      </c>
    </row>
    <row r="338" spans="1:10" ht="15.75" thickBot="1" x14ac:dyDescent="0.3">
      <c r="A338" s="556" t="s">
        <v>10</v>
      </c>
      <c r="B338" s="579">
        <f>+SUM(B333:B337)</f>
        <v>14222100</v>
      </c>
      <c r="C338" s="579">
        <f t="shared" ref="C338:H338" si="77">+SUM(C333:C337)</f>
        <v>23820700</v>
      </c>
      <c r="D338" s="579">
        <f t="shared" si="77"/>
        <v>17567600</v>
      </c>
      <c r="E338" s="579">
        <f t="shared" si="77"/>
        <v>18313400</v>
      </c>
      <c r="F338" s="579">
        <f t="shared" si="77"/>
        <v>38596000</v>
      </c>
      <c r="G338" s="579">
        <f t="shared" si="77"/>
        <v>49606500</v>
      </c>
      <c r="H338" s="579">
        <f t="shared" si="77"/>
        <v>35101600</v>
      </c>
      <c r="I338" s="582">
        <f t="shared" si="75"/>
        <v>197227900</v>
      </c>
      <c r="J338" s="564">
        <f t="shared" si="76"/>
        <v>-9226700</v>
      </c>
    </row>
    <row r="340" spans="1:10" ht="30.75" thickBot="1" x14ac:dyDescent="0.3">
      <c r="A340" s="551" t="s">
        <v>419</v>
      </c>
      <c r="B340" s="232" t="s">
        <v>147</v>
      </c>
      <c r="C340" s="232" t="s">
        <v>148</v>
      </c>
      <c r="D340" s="232" t="s">
        <v>149</v>
      </c>
      <c r="E340" s="232" t="s">
        <v>150</v>
      </c>
      <c r="F340" s="232" t="s">
        <v>151</v>
      </c>
      <c r="G340" s="232" t="s">
        <v>152</v>
      </c>
      <c r="H340" s="232" t="s">
        <v>153</v>
      </c>
      <c r="I340" s="580" t="s">
        <v>96</v>
      </c>
      <c r="J340" s="562" t="s">
        <v>438</v>
      </c>
    </row>
    <row r="341" spans="1:10" ht="15.75" thickTop="1" x14ac:dyDescent="0.25">
      <c r="A341" s="553" t="s">
        <v>427</v>
      </c>
      <c r="B341" s="584">
        <v>10984300</v>
      </c>
      <c r="C341" s="569">
        <v>3333100</v>
      </c>
      <c r="D341" s="569">
        <v>4784700</v>
      </c>
      <c r="E341" s="569">
        <v>3891800</v>
      </c>
      <c r="F341" s="569">
        <v>9352800</v>
      </c>
      <c r="G341" s="569">
        <v>15000300</v>
      </c>
      <c r="H341" s="569">
        <v>9414500</v>
      </c>
      <c r="I341" s="581">
        <f t="shared" ref="I341:I346" si="78">+SUM(B341:H341)</f>
        <v>56761500</v>
      </c>
      <c r="J341" s="564">
        <f t="shared" ref="J341:J346" si="79">I341-I333</f>
        <v>4001800</v>
      </c>
    </row>
    <row r="342" spans="1:10" x14ac:dyDescent="0.25">
      <c r="A342" s="555" t="s">
        <v>428</v>
      </c>
      <c r="B342" s="576">
        <v>8284300</v>
      </c>
      <c r="C342" s="570">
        <v>2775400</v>
      </c>
      <c r="D342" s="570">
        <v>3227000</v>
      </c>
      <c r="E342" s="570">
        <v>2757900</v>
      </c>
      <c r="F342" s="570">
        <v>8708500</v>
      </c>
      <c r="G342" s="570">
        <v>13265800</v>
      </c>
      <c r="H342" s="570">
        <v>8159400</v>
      </c>
      <c r="I342" s="581">
        <f t="shared" si="78"/>
        <v>47178300</v>
      </c>
      <c r="J342" s="564">
        <f t="shared" si="79"/>
        <v>4235000</v>
      </c>
    </row>
    <row r="343" spans="1:10" x14ac:dyDescent="0.25">
      <c r="A343" s="553" t="s">
        <v>429</v>
      </c>
      <c r="B343" s="575">
        <v>6101600</v>
      </c>
      <c r="C343" s="583">
        <v>1835100</v>
      </c>
      <c r="D343" s="583">
        <v>2132300</v>
      </c>
      <c r="E343" s="569">
        <v>2478300</v>
      </c>
      <c r="F343" s="569">
        <v>5453200</v>
      </c>
      <c r="G343" s="569">
        <v>8983800</v>
      </c>
      <c r="H343" s="569">
        <v>6638000</v>
      </c>
      <c r="I343" s="581">
        <f t="shared" si="78"/>
        <v>33622300</v>
      </c>
      <c r="J343" s="564">
        <f t="shared" si="79"/>
        <v>1651700</v>
      </c>
    </row>
    <row r="344" spans="1:10" x14ac:dyDescent="0.25">
      <c r="A344" s="555" t="s">
        <v>430</v>
      </c>
      <c r="B344" s="585">
        <v>7560300</v>
      </c>
      <c r="C344" s="570">
        <v>3018000</v>
      </c>
      <c r="D344" s="570">
        <v>4177600</v>
      </c>
      <c r="E344" s="570">
        <v>4016300</v>
      </c>
      <c r="F344" s="570">
        <v>7227500</v>
      </c>
      <c r="G344" s="570">
        <v>10466200</v>
      </c>
      <c r="H344" s="570">
        <v>7744100</v>
      </c>
      <c r="I344" s="581">
        <f t="shared" si="78"/>
        <v>44210000</v>
      </c>
      <c r="J344" s="564">
        <f t="shared" si="79"/>
        <v>6121600</v>
      </c>
    </row>
    <row r="345" spans="1:10" x14ac:dyDescent="0.25">
      <c r="A345" s="577" t="s">
        <v>544</v>
      </c>
      <c r="B345" s="578">
        <v>3704000</v>
      </c>
      <c r="C345" s="572">
        <v>2983700</v>
      </c>
      <c r="D345" s="572">
        <v>3688500</v>
      </c>
      <c r="E345" s="572">
        <v>3157900</v>
      </c>
      <c r="F345" s="572">
        <v>6679200</v>
      </c>
      <c r="G345" s="572">
        <v>6149000</v>
      </c>
      <c r="H345" s="572">
        <v>5787400</v>
      </c>
      <c r="I345" s="581">
        <f t="shared" si="78"/>
        <v>32149700</v>
      </c>
      <c r="J345" s="564">
        <f t="shared" si="79"/>
        <v>683800</v>
      </c>
    </row>
    <row r="346" spans="1:10" ht="15.75" thickBot="1" x14ac:dyDescent="0.3">
      <c r="A346" s="556" t="s">
        <v>10</v>
      </c>
      <c r="B346" s="579">
        <f>+SUM(B341:B345)</f>
        <v>36634500</v>
      </c>
      <c r="C346" s="579">
        <f t="shared" ref="C346:H346" si="80">+SUM(C341:C345)</f>
        <v>13945300</v>
      </c>
      <c r="D346" s="579">
        <f t="shared" si="80"/>
        <v>18010100</v>
      </c>
      <c r="E346" s="579">
        <f t="shared" si="80"/>
        <v>16302200</v>
      </c>
      <c r="F346" s="579">
        <f t="shared" si="80"/>
        <v>37421200</v>
      </c>
      <c r="G346" s="579">
        <f t="shared" si="80"/>
        <v>53865100</v>
      </c>
      <c r="H346" s="579">
        <f t="shared" si="80"/>
        <v>37743400</v>
      </c>
      <c r="I346" s="582">
        <f t="shared" si="78"/>
        <v>213921800</v>
      </c>
      <c r="J346" s="564">
        <f t="shared" si="79"/>
        <v>16693900</v>
      </c>
    </row>
    <row r="348" spans="1:10" ht="30.75" thickBot="1" x14ac:dyDescent="0.3">
      <c r="A348" s="551" t="s">
        <v>419</v>
      </c>
      <c r="B348" s="232" t="s">
        <v>155</v>
      </c>
      <c r="C348" s="232" t="s">
        <v>156</v>
      </c>
      <c r="D348" s="232" t="s">
        <v>157</v>
      </c>
      <c r="E348" s="232" t="s">
        <v>158</v>
      </c>
      <c r="F348" s="232" t="s">
        <v>159</v>
      </c>
      <c r="G348" s="232" t="s">
        <v>160</v>
      </c>
      <c r="H348" s="232" t="s">
        <v>161</v>
      </c>
      <c r="I348" s="580" t="s">
        <v>96</v>
      </c>
      <c r="J348" s="562" t="s">
        <v>438</v>
      </c>
    </row>
    <row r="349" spans="1:10" ht="15.75" thickTop="1" x14ac:dyDescent="0.25">
      <c r="A349" s="553" t="s">
        <v>427</v>
      </c>
      <c r="B349" s="584">
        <v>1622000</v>
      </c>
      <c r="C349" s="569">
        <v>3845900</v>
      </c>
      <c r="D349" s="569">
        <v>3300800</v>
      </c>
      <c r="E349" s="569">
        <v>4055300</v>
      </c>
      <c r="F349" s="569">
        <v>9557300</v>
      </c>
      <c r="G349" s="569">
        <v>10938700</v>
      </c>
      <c r="H349" s="569">
        <v>10252200</v>
      </c>
      <c r="I349" s="581">
        <f>+SUM(B349:H349)</f>
        <v>43572200</v>
      </c>
      <c r="J349" s="564">
        <f>I349-I341</f>
        <v>-13189300</v>
      </c>
    </row>
    <row r="350" spans="1:10" x14ac:dyDescent="0.25">
      <c r="A350" s="555" t="s">
        <v>428</v>
      </c>
      <c r="B350" s="576">
        <v>3724600</v>
      </c>
      <c r="C350" s="570">
        <v>2877300</v>
      </c>
      <c r="D350" s="570">
        <v>2562600</v>
      </c>
      <c r="E350" s="570">
        <v>3061000</v>
      </c>
      <c r="F350" s="570">
        <v>7841000</v>
      </c>
      <c r="G350" s="570">
        <v>11011500</v>
      </c>
      <c r="H350" s="570">
        <v>8404300</v>
      </c>
      <c r="I350" s="581">
        <f t="shared" ref="I350:I355" si="81">+SUM(B350:H350)</f>
        <v>39482300</v>
      </c>
      <c r="J350" s="564">
        <f>I350-I342</f>
        <v>-7696000</v>
      </c>
    </row>
    <row r="351" spans="1:10" x14ac:dyDescent="0.25">
      <c r="A351" s="553" t="s">
        <v>429</v>
      </c>
      <c r="B351" s="575">
        <v>1582100</v>
      </c>
      <c r="C351" s="583">
        <v>2961400</v>
      </c>
      <c r="D351" s="583">
        <v>2178600</v>
      </c>
      <c r="E351" s="569">
        <v>3265800</v>
      </c>
      <c r="F351" s="569">
        <v>6140700</v>
      </c>
      <c r="G351" s="569">
        <v>7695000</v>
      </c>
      <c r="H351" s="569">
        <v>6823700</v>
      </c>
      <c r="I351" s="581">
        <f t="shared" si="81"/>
        <v>30647300</v>
      </c>
      <c r="J351" s="564">
        <f>I351-I343</f>
        <v>-2975000</v>
      </c>
    </row>
    <row r="352" spans="1:10" x14ac:dyDescent="0.25">
      <c r="A352" s="555" t="s">
        <v>430</v>
      </c>
      <c r="B352" s="585">
        <v>2311100</v>
      </c>
      <c r="C352" s="570">
        <v>4972500</v>
      </c>
      <c r="D352" s="570">
        <v>4535200</v>
      </c>
      <c r="E352" s="570">
        <v>4014500</v>
      </c>
      <c r="F352" s="570">
        <v>8412000</v>
      </c>
      <c r="G352" s="570">
        <v>8934100</v>
      </c>
      <c r="H352" s="570">
        <v>9920600</v>
      </c>
      <c r="I352" s="581">
        <f t="shared" si="81"/>
        <v>43100000</v>
      </c>
      <c r="J352" s="564">
        <f>I352-I344</f>
        <v>-1110000</v>
      </c>
    </row>
    <row r="353" spans="1:10" x14ac:dyDescent="0.25">
      <c r="A353" s="577" t="s">
        <v>544</v>
      </c>
      <c r="B353" s="578">
        <v>2504000</v>
      </c>
      <c r="C353" s="572">
        <v>3691400</v>
      </c>
      <c r="D353" s="572">
        <v>3781200</v>
      </c>
      <c r="E353" s="572">
        <v>3684100</v>
      </c>
      <c r="F353" s="572">
        <v>8243200</v>
      </c>
      <c r="G353" s="572">
        <v>6235300</v>
      </c>
      <c r="H353" s="572">
        <v>4808600</v>
      </c>
      <c r="I353" s="581">
        <f t="shared" si="81"/>
        <v>32947800</v>
      </c>
      <c r="J353" s="564">
        <f>I353-I345</f>
        <v>798100</v>
      </c>
    </row>
    <row r="354" spans="1:10" x14ac:dyDescent="0.25">
      <c r="A354" s="577" t="s">
        <v>545</v>
      </c>
      <c r="B354" s="578">
        <v>0</v>
      </c>
      <c r="C354" s="572">
        <v>0</v>
      </c>
      <c r="D354" s="572">
        <v>0</v>
      </c>
      <c r="E354" s="572">
        <v>0</v>
      </c>
      <c r="F354" s="572">
        <v>2462900</v>
      </c>
      <c r="G354" s="572">
        <v>3700400</v>
      </c>
      <c r="H354" s="572">
        <v>3581400</v>
      </c>
      <c r="I354" s="581">
        <f t="shared" si="81"/>
        <v>9744700</v>
      </c>
      <c r="J354" s="564">
        <v>0</v>
      </c>
    </row>
    <row r="355" spans="1:10" ht="15.75" thickBot="1" x14ac:dyDescent="0.3">
      <c r="A355" s="556" t="s">
        <v>10</v>
      </c>
      <c r="B355" s="579">
        <f t="shared" ref="B355:H355" si="82">+SUM(B349:B354)</f>
        <v>11743800</v>
      </c>
      <c r="C355" s="579">
        <f t="shared" si="82"/>
        <v>18348500</v>
      </c>
      <c r="D355" s="579">
        <f t="shared" si="82"/>
        <v>16358400</v>
      </c>
      <c r="E355" s="579">
        <f t="shared" si="82"/>
        <v>18080700</v>
      </c>
      <c r="F355" s="579">
        <f t="shared" si="82"/>
        <v>42657100</v>
      </c>
      <c r="G355" s="579">
        <f t="shared" si="82"/>
        <v>48515000</v>
      </c>
      <c r="H355" s="579">
        <f t="shared" si="82"/>
        <v>43790800</v>
      </c>
      <c r="I355" s="582">
        <f t="shared" si="81"/>
        <v>199494300</v>
      </c>
      <c r="J355" s="564">
        <f>I355-I346</f>
        <v>-14427500</v>
      </c>
    </row>
    <row r="357" spans="1:10" ht="30.75" thickBot="1" x14ac:dyDescent="0.3">
      <c r="A357" s="551" t="s">
        <v>419</v>
      </c>
      <c r="B357" s="232" t="s">
        <v>163</v>
      </c>
      <c r="C357" s="232" t="s">
        <v>164</v>
      </c>
      <c r="D357" s="232" t="s">
        <v>323</v>
      </c>
      <c r="E357" s="232" t="s">
        <v>324</v>
      </c>
      <c r="F357" s="232" t="s">
        <v>325</v>
      </c>
      <c r="G357" s="232" t="s">
        <v>326</v>
      </c>
      <c r="H357" s="232" t="s">
        <v>327</v>
      </c>
      <c r="I357" s="580" t="s">
        <v>96</v>
      </c>
      <c r="J357" s="562" t="s">
        <v>438</v>
      </c>
    </row>
    <row r="358" spans="1:10" ht="15.75" thickTop="1" x14ac:dyDescent="0.25">
      <c r="A358" s="553" t="s">
        <v>427</v>
      </c>
      <c r="B358" s="584">
        <v>2819300</v>
      </c>
      <c r="C358" s="569">
        <v>2597900</v>
      </c>
      <c r="D358" s="569">
        <v>4874400</v>
      </c>
      <c r="E358" s="569">
        <v>4581200</v>
      </c>
      <c r="F358" s="569">
        <v>11126900</v>
      </c>
      <c r="G358" s="569">
        <v>12436500</v>
      </c>
      <c r="H358" s="569">
        <v>11588800</v>
      </c>
      <c r="I358" s="581">
        <f>+SUM(B358:H358)</f>
        <v>50025000</v>
      </c>
      <c r="J358" s="564">
        <f t="shared" ref="J358:J363" si="83">I358-I349</f>
        <v>6452800</v>
      </c>
    </row>
    <row r="359" spans="1:10" x14ac:dyDescent="0.25">
      <c r="A359" s="555" t="s">
        <v>428</v>
      </c>
      <c r="B359" s="576">
        <v>1587700</v>
      </c>
      <c r="C359" s="570">
        <v>3075700</v>
      </c>
      <c r="D359" s="570">
        <v>3512400</v>
      </c>
      <c r="E359" s="570">
        <v>3396900</v>
      </c>
      <c r="F359" s="570">
        <v>9264500</v>
      </c>
      <c r="G359" s="570">
        <v>12389900</v>
      </c>
      <c r="H359" s="570">
        <v>9917500</v>
      </c>
      <c r="I359" s="581">
        <f t="shared" ref="I359:I365" si="84">+SUM(B359:H359)</f>
        <v>43144600</v>
      </c>
      <c r="J359" s="564">
        <f t="shared" si="83"/>
        <v>3662300</v>
      </c>
    </row>
    <row r="360" spans="1:10" x14ac:dyDescent="0.25">
      <c r="A360" s="553" t="s">
        <v>429</v>
      </c>
      <c r="B360" s="575">
        <v>2423400</v>
      </c>
      <c r="C360" s="583">
        <v>2427300</v>
      </c>
      <c r="D360" s="583">
        <v>3383300</v>
      </c>
      <c r="E360" s="569">
        <v>2671400</v>
      </c>
      <c r="F360" s="569">
        <v>6687900</v>
      </c>
      <c r="G360" s="569">
        <v>8367000</v>
      </c>
      <c r="H360" s="569">
        <v>6566700</v>
      </c>
      <c r="I360" s="581">
        <f t="shared" si="84"/>
        <v>32527000</v>
      </c>
      <c r="J360" s="564">
        <f t="shared" si="83"/>
        <v>1879700</v>
      </c>
    </row>
    <row r="361" spans="1:10" x14ac:dyDescent="0.25">
      <c r="A361" s="555" t="s">
        <v>430</v>
      </c>
      <c r="B361" s="585">
        <v>3149500</v>
      </c>
      <c r="C361" s="570">
        <v>3087900</v>
      </c>
      <c r="D361" s="570">
        <v>4300500</v>
      </c>
      <c r="E361" s="570">
        <v>3680700</v>
      </c>
      <c r="F361" s="570">
        <v>8992100</v>
      </c>
      <c r="G361" s="570">
        <v>9055100</v>
      </c>
      <c r="H361" s="570">
        <v>8519900</v>
      </c>
      <c r="I361" s="581">
        <f t="shared" si="84"/>
        <v>40785700</v>
      </c>
      <c r="J361" s="564">
        <f t="shared" si="83"/>
        <v>-2314300</v>
      </c>
    </row>
    <row r="362" spans="1:10" x14ac:dyDescent="0.25">
      <c r="A362" s="577" t="s">
        <v>544</v>
      </c>
      <c r="B362" s="578">
        <v>2217500</v>
      </c>
      <c r="C362" s="572">
        <v>3112600</v>
      </c>
      <c r="D362" s="572">
        <v>3646500</v>
      </c>
      <c r="E362" s="572">
        <v>3323100</v>
      </c>
      <c r="F362" s="572">
        <v>8358900</v>
      </c>
      <c r="G362" s="572">
        <v>6198500</v>
      </c>
      <c r="H362" s="572">
        <v>4625500</v>
      </c>
      <c r="I362" s="581">
        <f t="shared" si="84"/>
        <v>31482600</v>
      </c>
      <c r="J362" s="564">
        <f t="shared" si="83"/>
        <v>-1465200</v>
      </c>
    </row>
    <row r="363" spans="1:10" x14ac:dyDescent="0.25">
      <c r="A363" s="577" t="s">
        <v>545</v>
      </c>
      <c r="B363" s="578">
        <v>1136900</v>
      </c>
      <c r="C363" s="572">
        <v>1523700</v>
      </c>
      <c r="D363" s="572">
        <v>1001200</v>
      </c>
      <c r="E363" s="572">
        <v>1922100</v>
      </c>
      <c r="F363" s="572">
        <v>4271200</v>
      </c>
      <c r="G363" s="572">
        <v>4808400</v>
      </c>
      <c r="H363" s="572">
        <v>3964800</v>
      </c>
      <c r="I363" s="581">
        <f t="shared" si="84"/>
        <v>18628300</v>
      </c>
      <c r="J363" s="564">
        <f t="shared" si="83"/>
        <v>8883600</v>
      </c>
    </row>
    <row r="364" spans="1:10" x14ac:dyDescent="0.25">
      <c r="A364" s="577" t="s">
        <v>546</v>
      </c>
      <c r="B364" s="578"/>
      <c r="C364" s="572"/>
      <c r="D364" s="572"/>
      <c r="E364" s="572"/>
      <c r="F364" s="572">
        <v>3765200</v>
      </c>
      <c r="G364" s="572">
        <v>4090400</v>
      </c>
      <c r="H364" s="572">
        <v>4442000</v>
      </c>
      <c r="I364" s="581">
        <f t="shared" si="84"/>
        <v>12297600</v>
      </c>
      <c r="J364" s="564">
        <v>0</v>
      </c>
    </row>
    <row r="365" spans="1:10" ht="15.75" thickBot="1" x14ac:dyDescent="0.3">
      <c r="A365" s="556" t="s">
        <v>10</v>
      </c>
      <c r="B365" s="579">
        <f t="shared" ref="B365:H365" si="85">+SUM(B358:B364)</f>
        <v>13334300</v>
      </c>
      <c r="C365" s="579">
        <f t="shared" si="85"/>
        <v>15825100</v>
      </c>
      <c r="D365" s="579">
        <f t="shared" si="85"/>
        <v>20718300</v>
      </c>
      <c r="E365" s="579">
        <f t="shared" si="85"/>
        <v>19575400</v>
      </c>
      <c r="F365" s="579">
        <f t="shared" si="85"/>
        <v>52466700</v>
      </c>
      <c r="G365" s="579">
        <f t="shared" si="85"/>
        <v>57345800</v>
      </c>
      <c r="H365" s="579">
        <f t="shared" si="85"/>
        <v>49625200</v>
      </c>
      <c r="I365" s="582">
        <f t="shared" si="84"/>
        <v>228890800</v>
      </c>
      <c r="J365" s="564">
        <f>I365-I355</f>
        <v>29396500</v>
      </c>
    </row>
    <row r="367" spans="1:10" ht="30.75" thickBot="1" x14ac:dyDescent="0.3">
      <c r="A367" s="586" t="s">
        <v>419</v>
      </c>
      <c r="B367" s="587" t="s">
        <v>329</v>
      </c>
      <c r="C367" s="232" t="s">
        <v>330</v>
      </c>
      <c r="D367" s="232" t="s">
        <v>331</v>
      </c>
      <c r="E367" s="232" t="s">
        <v>332</v>
      </c>
      <c r="F367" s="232" t="s">
        <v>333</v>
      </c>
      <c r="G367" s="232" t="s">
        <v>334</v>
      </c>
      <c r="H367" s="232" t="s">
        <v>335</v>
      </c>
      <c r="I367" s="580" t="s">
        <v>96</v>
      </c>
      <c r="J367" s="562" t="s">
        <v>438</v>
      </c>
    </row>
    <row r="368" spans="1:10" ht="15.75" thickTop="1" x14ac:dyDescent="0.25">
      <c r="A368" s="588" t="s">
        <v>427</v>
      </c>
      <c r="B368" s="589">
        <v>3554600</v>
      </c>
      <c r="C368" s="569">
        <v>3688200</v>
      </c>
      <c r="D368" s="569">
        <v>4231000</v>
      </c>
      <c r="E368" s="569">
        <v>2249100</v>
      </c>
      <c r="F368" s="569">
        <v>11179200</v>
      </c>
      <c r="G368" s="569">
        <v>12050400</v>
      </c>
      <c r="H368" s="569">
        <v>10785600</v>
      </c>
      <c r="I368" s="581">
        <f>+SUM(B368:H368)</f>
        <v>47738100</v>
      </c>
      <c r="J368" s="564">
        <f t="shared" ref="J368:J375" si="86">I368-I358</f>
        <v>-2286900</v>
      </c>
    </row>
    <row r="369" spans="1:10" x14ac:dyDescent="0.25">
      <c r="A369" s="590" t="s">
        <v>428</v>
      </c>
      <c r="B369" s="591">
        <v>2593400</v>
      </c>
      <c r="C369" s="570">
        <v>2794300</v>
      </c>
      <c r="D369" s="570">
        <v>2934800</v>
      </c>
      <c r="E369" s="570">
        <v>3616800</v>
      </c>
      <c r="F369" s="570">
        <v>8138200</v>
      </c>
      <c r="G369" s="570">
        <v>12272500</v>
      </c>
      <c r="H369" s="570">
        <v>8338700</v>
      </c>
      <c r="I369" s="581">
        <f t="shared" ref="I369:I375" si="87">+SUM(B369:H369)</f>
        <v>40688700</v>
      </c>
      <c r="J369" s="564">
        <f t="shared" si="86"/>
        <v>-2455900</v>
      </c>
    </row>
    <row r="370" spans="1:10" x14ac:dyDescent="0.25">
      <c r="A370" s="588" t="s">
        <v>429</v>
      </c>
      <c r="B370" s="592">
        <v>1203700</v>
      </c>
      <c r="C370" s="583">
        <v>1875800</v>
      </c>
      <c r="D370" s="583">
        <v>2153600</v>
      </c>
      <c r="E370" s="569">
        <v>2163100</v>
      </c>
      <c r="F370" s="569">
        <v>5957000</v>
      </c>
      <c r="G370" s="569">
        <v>7446800</v>
      </c>
      <c r="H370" s="569">
        <v>6980900</v>
      </c>
      <c r="I370" s="581">
        <f t="shared" si="87"/>
        <v>27780900</v>
      </c>
      <c r="J370" s="564">
        <f t="shared" si="86"/>
        <v>-4746100</v>
      </c>
    </row>
    <row r="371" spans="1:10" x14ac:dyDescent="0.25">
      <c r="A371" s="590" t="s">
        <v>430</v>
      </c>
      <c r="B371" s="591">
        <v>3716200</v>
      </c>
      <c r="C371" s="570">
        <v>2917500</v>
      </c>
      <c r="D371" s="570">
        <v>3642100</v>
      </c>
      <c r="E371" s="570">
        <v>5015900</v>
      </c>
      <c r="F371" s="570">
        <v>8982000</v>
      </c>
      <c r="G371" s="570">
        <v>7716100</v>
      </c>
      <c r="H371" s="570">
        <v>8113400</v>
      </c>
      <c r="I371" s="581">
        <f t="shared" si="87"/>
        <v>40103200</v>
      </c>
      <c r="J371" s="564">
        <f t="shared" si="86"/>
        <v>-682500</v>
      </c>
    </row>
    <row r="372" spans="1:10" x14ac:dyDescent="0.25">
      <c r="A372" s="590" t="s">
        <v>544</v>
      </c>
      <c r="B372" s="591">
        <v>2385500</v>
      </c>
      <c r="C372" s="570">
        <v>3542200</v>
      </c>
      <c r="D372" s="570">
        <v>3774100</v>
      </c>
      <c r="E372" s="570">
        <v>4135400</v>
      </c>
      <c r="F372" s="570">
        <v>6349700</v>
      </c>
      <c r="G372" s="570">
        <v>6073300</v>
      </c>
      <c r="H372" s="570">
        <v>4336900</v>
      </c>
      <c r="I372" s="581">
        <f t="shared" si="87"/>
        <v>30597100</v>
      </c>
      <c r="J372" s="564">
        <f t="shared" si="86"/>
        <v>-885500</v>
      </c>
    </row>
    <row r="373" spans="1:10" x14ac:dyDescent="0.25">
      <c r="A373" s="590" t="s">
        <v>545</v>
      </c>
      <c r="B373" s="591">
        <v>1052000</v>
      </c>
      <c r="C373" s="570">
        <v>1355500</v>
      </c>
      <c r="D373" s="570">
        <v>1618800</v>
      </c>
      <c r="E373" s="570">
        <v>3979900</v>
      </c>
      <c r="F373" s="570">
        <v>4186900</v>
      </c>
      <c r="G373" s="570">
        <v>5233300</v>
      </c>
      <c r="H373" s="570">
        <v>3264800</v>
      </c>
      <c r="I373" s="581">
        <f>+SUM(B373:H373)</f>
        <v>20691200</v>
      </c>
      <c r="J373" s="564">
        <f t="shared" si="86"/>
        <v>2062900</v>
      </c>
    </row>
    <row r="374" spans="1:10" x14ac:dyDescent="0.25">
      <c r="A374" s="590" t="s">
        <v>546</v>
      </c>
      <c r="B374" s="591"/>
      <c r="C374" s="570"/>
      <c r="D374" s="570">
        <v>1280700</v>
      </c>
      <c r="E374" s="570">
        <v>1653300</v>
      </c>
      <c r="F374" s="570">
        <v>2702800</v>
      </c>
      <c r="G374" s="570">
        <v>4189000</v>
      </c>
      <c r="H374" s="570">
        <v>2446900</v>
      </c>
      <c r="I374" s="581">
        <f>+SUM(B374:H374)</f>
        <v>12272700</v>
      </c>
      <c r="J374" s="564">
        <f t="shared" si="86"/>
        <v>-24900</v>
      </c>
    </row>
    <row r="375" spans="1:10" ht="15.75" thickBot="1" x14ac:dyDescent="0.3">
      <c r="A375" s="593" t="s">
        <v>10</v>
      </c>
      <c r="B375" s="594">
        <f t="shared" ref="B375:H375" si="88">+SUM(B368:B374)</f>
        <v>14505400</v>
      </c>
      <c r="C375" s="579">
        <f t="shared" si="88"/>
        <v>16173500</v>
      </c>
      <c r="D375" s="579">
        <f t="shared" si="88"/>
        <v>19635100</v>
      </c>
      <c r="E375" s="579">
        <f t="shared" si="88"/>
        <v>22813500</v>
      </c>
      <c r="F375" s="579">
        <f t="shared" si="88"/>
        <v>47495800</v>
      </c>
      <c r="G375" s="579">
        <f t="shared" si="88"/>
        <v>54981400</v>
      </c>
      <c r="H375" s="579">
        <f t="shared" si="88"/>
        <v>44267200</v>
      </c>
      <c r="I375" s="582">
        <f t="shared" si="87"/>
        <v>219871900</v>
      </c>
      <c r="J375" s="564">
        <f t="shared" si="86"/>
        <v>-9018900</v>
      </c>
    </row>
    <row r="377" spans="1:10" ht="30.75" thickBot="1" x14ac:dyDescent="0.3">
      <c r="A377" s="586" t="s">
        <v>419</v>
      </c>
      <c r="B377" s="587" t="s">
        <v>337</v>
      </c>
      <c r="C377" s="232" t="s">
        <v>338</v>
      </c>
      <c r="D377" s="232" t="s">
        <v>339</v>
      </c>
      <c r="E377" s="232" t="s">
        <v>340</v>
      </c>
      <c r="F377" s="232" t="s">
        <v>341</v>
      </c>
      <c r="G377" s="232" t="s">
        <v>342</v>
      </c>
      <c r="H377" s="232" t="s">
        <v>343</v>
      </c>
      <c r="I377" s="580" t="s">
        <v>96</v>
      </c>
      <c r="J377" s="562" t="s">
        <v>438</v>
      </c>
    </row>
    <row r="378" spans="1:10" ht="15.75" thickTop="1" x14ac:dyDescent="0.25">
      <c r="A378" s="588" t="s">
        <v>427</v>
      </c>
      <c r="B378" s="589">
        <v>2909000</v>
      </c>
      <c r="C378" s="569">
        <v>3644300</v>
      </c>
      <c r="D378" s="569">
        <v>4106900</v>
      </c>
      <c r="E378" s="569">
        <v>3709600</v>
      </c>
      <c r="F378" s="569">
        <v>10300600</v>
      </c>
      <c r="G378" s="569">
        <v>11873300</v>
      </c>
      <c r="H378" s="569">
        <v>11807450</v>
      </c>
      <c r="I378" s="581">
        <f>+SUM(B378:H378)</f>
        <v>48351150</v>
      </c>
      <c r="J378" s="564">
        <f t="shared" ref="J378:J385" si="89">I378-I368</f>
        <v>613050</v>
      </c>
    </row>
    <row r="379" spans="1:10" x14ac:dyDescent="0.25">
      <c r="A379" s="590" t="s">
        <v>428</v>
      </c>
      <c r="B379" s="591">
        <v>2776400</v>
      </c>
      <c r="C379" s="570">
        <v>2160700</v>
      </c>
      <c r="D379" s="570">
        <v>3037300</v>
      </c>
      <c r="E379" s="570">
        <v>3217900</v>
      </c>
      <c r="F379" s="570">
        <v>8612100</v>
      </c>
      <c r="G379" s="570">
        <v>11563500</v>
      </c>
      <c r="H379" s="570">
        <v>10655450</v>
      </c>
      <c r="I379" s="581">
        <f t="shared" ref="I379:I385" si="90">+SUM(B379:H379)</f>
        <v>42023350</v>
      </c>
      <c r="J379" s="564">
        <f t="shared" si="89"/>
        <v>1334650</v>
      </c>
    </row>
    <row r="380" spans="1:10" x14ac:dyDescent="0.25">
      <c r="A380" s="588" t="s">
        <v>429</v>
      </c>
      <c r="B380" s="592">
        <v>1570400</v>
      </c>
      <c r="C380" s="583">
        <v>1876100</v>
      </c>
      <c r="D380" s="583">
        <v>2034900</v>
      </c>
      <c r="E380" s="569">
        <v>2447200</v>
      </c>
      <c r="F380" s="569">
        <v>7670200</v>
      </c>
      <c r="G380" s="569">
        <v>9641700</v>
      </c>
      <c r="H380" s="569">
        <v>6578100</v>
      </c>
      <c r="I380" s="581">
        <f t="shared" si="90"/>
        <v>31818600</v>
      </c>
      <c r="J380" s="564">
        <f t="shared" si="89"/>
        <v>4037700</v>
      </c>
    </row>
    <row r="381" spans="1:10" x14ac:dyDescent="0.25">
      <c r="A381" s="590" t="s">
        <v>430</v>
      </c>
      <c r="B381" s="591">
        <v>3496000</v>
      </c>
      <c r="C381" s="570">
        <v>3604500</v>
      </c>
      <c r="D381" s="570">
        <v>2804700</v>
      </c>
      <c r="E381" s="570">
        <v>5874300</v>
      </c>
      <c r="F381" s="570">
        <v>8184400</v>
      </c>
      <c r="G381" s="570">
        <v>8746100</v>
      </c>
      <c r="H381" s="570">
        <v>9645500</v>
      </c>
      <c r="I381" s="581">
        <f t="shared" si="90"/>
        <v>42355500</v>
      </c>
      <c r="J381" s="564">
        <f t="shared" si="89"/>
        <v>2252300</v>
      </c>
    </row>
    <row r="382" spans="1:10" x14ac:dyDescent="0.25">
      <c r="A382" s="590" t="s">
        <v>544</v>
      </c>
      <c r="B382" s="591">
        <v>2485600</v>
      </c>
      <c r="C382" s="570">
        <v>3158500</v>
      </c>
      <c r="D382" s="570">
        <v>3644600</v>
      </c>
      <c r="E382" s="570">
        <v>3542900</v>
      </c>
      <c r="F382" s="570">
        <v>8164700</v>
      </c>
      <c r="G382" s="570">
        <v>6575000</v>
      </c>
      <c r="H382" s="570">
        <v>6223600</v>
      </c>
      <c r="I382" s="581">
        <f t="shared" si="90"/>
        <v>33794900</v>
      </c>
      <c r="J382" s="564">
        <f t="shared" si="89"/>
        <v>3197800</v>
      </c>
    </row>
    <row r="383" spans="1:10" x14ac:dyDescent="0.25">
      <c r="A383" s="590" t="s">
        <v>545</v>
      </c>
      <c r="B383" s="591">
        <v>1449400</v>
      </c>
      <c r="C383" s="570">
        <v>1092600</v>
      </c>
      <c r="D383" s="570">
        <v>1498600</v>
      </c>
      <c r="E383" s="570">
        <v>1619900</v>
      </c>
      <c r="F383" s="570">
        <v>3486900</v>
      </c>
      <c r="G383" s="570">
        <v>3701100</v>
      </c>
      <c r="H383" s="570">
        <v>4204300</v>
      </c>
      <c r="I383" s="581">
        <f>+SUM(B383:H383)</f>
        <v>17052800</v>
      </c>
      <c r="J383" s="564">
        <f t="shared" si="89"/>
        <v>-3638400</v>
      </c>
    </row>
    <row r="384" spans="1:10" x14ac:dyDescent="0.25">
      <c r="A384" s="590" t="s">
        <v>546</v>
      </c>
      <c r="B384" s="591">
        <v>623300</v>
      </c>
      <c r="C384" s="570">
        <v>1022600</v>
      </c>
      <c r="D384" s="570">
        <v>848100</v>
      </c>
      <c r="E384" s="570">
        <v>1187800</v>
      </c>
      <c r="F384" s="570">
        <v>2379100</v>
      </c>
      <c r="G384" s="570">
        <v>5527550</v>
      </c>
      <c r="H384" s="570">
        <v>2758000</v>
      </c>
      <c r="I384" s="581">
        <f>+SUM(B384:H384)</f>
        <v>14346450</v>
      </c>
      <c r="J384" s="564">
        <f t="shared" si="89"/>
        <v>2073750</v>
      </c>
    </row>
    <row r="385" spans="1:13" ht="15.75" thickBot="1" x14ac:dyDescent="0.3">
      <c r="A385" s="593" t="s">
        <v>10</v>
      </c>
      <c r="B385" s="594">
        <v>15310100</v>
      </c>
      <c r="C385" s="579">
        <v>16559300</v>
      </c>
      <c r="D385" s="579">
        <v>17975100</v>
      </c>
      <c r="E385" s="579">
        <v>21599600</v>
      </c>
      <c r="F385" s="579">
        <v>48798000</v>
      </c>
      <c r="G385" s="579">
        <v>57628250</v>
      </c>
      <c r="H385" s="579">
        <v>51872400</v>
      </c>
      <c r="I385" s="582">
        <f t="shared" si="90"/>
        <v>229742750</v>
      </c>
      <c r="J385" s="564">
        <f t="shared" si="89"/>
        <v>9870850</v>
      </c>
    </row>
    <row r="387" spans="1:13" ht="30.75" thickBot="1" x14ac:dyDescent="0.3">
      <c r="A387" s="586" t="s">
        <v>419</v>
      </c>
      <c r="B387" s="587" t="s">
        <v>345</v>
      </c>
      <c r="C387" s="232" t="s">
        <v>346</v>
      </c>
      <c r="D387" s="232" t="s">
        <v>347</v>
      </c>
      <c r="E387" s="232" t="s">
        <v>348</v>
      </c>
      <c r="F387" s="232" t="s">
        <v>349</v>
      </c>
      <c r="G387" s="232" t="s">
        <v>350</v>
      </c>
      <c r="H387" s="232" t="s">
        <v>351</v>
      </c>
      <c r="I387" s="580" t="s">
        <v>96</v>
      </c>
      <c r="J387" s="562" t="s">
        <v>438</v>
      </c>
    </row>
    <row r="388" spans="1:13" ht="15.75" thickTop="1" x14ac:dyDescent="0.25">
      <c r="A388" s="588" t="s">
        <v>427</v>
      </c>
      <c r="B388" s="589">
        <v>3347300</v>
      </c>
      <c r="C388" s="569">
        <v>3315700</v>
      </c>
      <c r="D388" s="569">
        <v>3613400</v>
      </c>
      <c r="E388" s="569">
        <v>3638700</v>
      </c>
      <c r="F388" s="569">
        <v>9106300</v>
      </c>
      <c r="G388" s="569">
        <v>11596700</v>
      </c>
      <c r="H388" s="569">
        <v>9666400</v>
      </c>
      <c r="I388" s="581">
        <f>+SUM(B388:H388)</f>
        <v>44284500</v>
      </c>
      <c r="J388" s="564">
        <f t="shared" ref="J388:J393" si="91">I388-I378</f>
        <v>-4066650</v>
      </c>
      <c r="L388">
        <v>44284500</v>
      </c>
      <c r="M388" s="89">
        <f>+I388-L388</f>
        <v>0</v>
      </c>
    </row>
    <row r="389" spans="1:13" x14ac:dyDescent="0.25">
      <c r="A389" s="590" t="s">
        <v>428</v>
      </c>
      <c r="B389" s="591">
        <v>1953000</v>
      </c>
      <c r="C389" s="570">
        <v>2611500</v>
      </c>
      <c r="D389" s="570">
        <v>3266000</v>
      </c>
      <c r="E389" s="570">
        <v>3780800</v>
      </c>
      <c r="F389" s="570">
        <v>8583800</v>
      </c>
      <c r="G389" s="570">
        <v>11924600</v>
      </c>
      <c r="H389" s="570">
        <v>9070500</v>
      </c>
      <c r="I389" s="581">
        <f t="shared" ref="I389:I396" si="92">+SUM(B389:H389)</f>
        <v>41190200</v>
      </c>
      <c r="J389" s="564">
        <f t="shared" si="91"/>
        <v>-833150</v>
      </c>
      <c r="L389">
        <v>41190200</v>
      </c>
    </row>
    <row r="390" spans="1:13" x14ac:dyDescent="0.25">
      <c r="A390" s="588" t="s">
        <v>429</v>
      </c>
      <c r="B390" s="592">
        <v>2082000</v>
      </c>
      <c r="C390" s="583">
        <v>2354700</v>
      </c>
      <c r="D390" s="583">
        <v>2072100</v>
      </c>
      <c r="E390" s="569">
        <v>3295800</v>
      </c>
      <c r="F390" s="569">
        <v>6583100</v>
      </c>
      <c r="G390" s="569">
        <v>9490500</v>
      </c>
      <c r="H390" s="569">
        <v>6576900</v>
      </c>
      <c r="I390" s="581">
        <f t="shared" si="92"/>
        <v>32455100</v>
      </c>
      <c r="J390" s="564">
        <f t="shared" si="91"/>
        <v>636500</v>
      </c>
      <c r="L390">
        <v>32455100</v>
      </c>
    </row>
    <row r="391" spans="1:13" x14ac:dyDescent="0.25">
      <c r="A391" s="590" t="s">
        <v>430</v>
      </c>
      <c r="B391" s="591">
        <v>2645800</v>
      </c>
      <c r="C391" s="570">
        <v>3409200</v>
      </c>
      <c r="D391" s="570">
        <v>3268200</v>
      </c>
      <c r="E391" s="570">
        <v>3193700</v>
      </c>
      <c r="F391" s="570">
        <v>7112300</v>
      </c>
      <c r="G391" s="570">
        <v>6723500</v>
      </c>
      <c r="H391" s="570">
        <v>5830700</v>
      </c>
      <c r="I391" s="581">
        <f t="shared" si="92"/>
        <v>32183400</v>
      </c>
      <c r="J391" s="564">
        <f t="shared" si="91"/>
        <v>-10172100</v>
      </c>
      <c r="L391">
        <v>32183400</v>
      </c>
    </row>
    <row r="392" spans="1:13" x14ac:dyDescent="0.25">
      <c r="A392" s="590" t="s">
        <v>544</v>
      </c>
      <c r="B392" s="591">
        <v>2502100</v>
      </c>
      <c r="C392" s="570">
        <v>3024500</v>
      </c>
      <c r="D392" s="570">
        <v>2790900</v>
      </c>
      <c r="E392" s="570">
        <v>3838100</v>
      </c>
      <c r="F392" s="570">
        <v>6979600</v>
      </c>
      <c r="G392" s="570">
        <v>5027500</v>
      </c>
      <c r="H392" s="570">
        <v>5738200</v>
      </c>
      <c r="I392" s="581">
        <f t="shared" si="92"/>
        <v>29900900</v>
      </c>
      <c r="J392" s="564">
        <f t="shared" si="91"/>
        <v>-3894000</v>
      </c>
      <c r="L392">
        <v>29900900</v>
      </c>
    </row>
    <row r="393" spans="1:13" x14ac:dyDescent="0.25">
      <c r="A393" s="590" t="s">
        <v>545</v>
      </c>
      <c r="B393" s="591">
        <v>899600</v>
      </c>
      <c r="C393" s="570">
        <v>1130300</v>
      </c>
      <c r="D393" s="570">
        <v>1515100</v>
      </c>
      <c r="E393" s="570">
        <v>1162300</v>
      </c>
      <c r="F393" s="570">
        <v>3824800</v>
      </c>
      <c r="G393" s="570">
        <v>5077300</v>
      </c>
      <c r="H393" s="570">
        <v>5073800</v>
      </c>
      <c r="I393" s="581">
        <f t="shared" si="92"/>
        <v>18683200</v>
      </c>
      <c r="J393" s="564">
        <f t="shared" si="91"/>
        <v>1630400</v>
      </c>
      <c r="L393">
        <v>18683200</v>
      </c>
    </row>
    <row r="394" spans="1:13" x14ac:dyDescent="0.25">
      <c r="A394" s="590" t="s">
        <v>547</v>
      </c>
      <c r="B394" s="591"/>
      <c r="C394" s="570"/>
      <c r="D394" s="570">
        <v>908600</v>
      </c>
      <c r="E394" s="570">
        <v>3176400</v>
      </c>
      <c r="F394" s="570">
        <v>6296300</v>
      </c>
      <c r="G394" s="570">
        <v>5002000</v>
      </c>
      <c r="H394" s="570">
        <v>4324000</v>
      </c>
      <c r="I394" s="581">
        <f t="shared" si="92"/>
        <v>19707300</v>
      </c>
      <c r="J394" s="564">
        <v>0</v>
      </c>
      <c r="L394">
        <v>19707300</v>
      </c>
    </row>
    <row r="395" spans="1:13" ht="15.75" customHeight="1" x14ac:dyDescent="0.25">
      <c r="A395" s="590" t="s">
        <v>546</v>
      </c>
      <c r="B395" s="591">
        <v>1134300</v>
      </c>
      <c r="C395" s="570">
        <v>787600</v>
      </c>
      <c r="D395" s="570">
        <v>632900</v>
      </c>
      <c r="E395" s="570">
        <v>884300</v>
      </c>
      <c r="F395" s="570">
        <v>2146500</v>
      </c>
      <c r="G395" s="570">
        <v>2788300</v>
      </c>
      <c r="H395" s="570">
        <v>3105600</v>
      </c>
      <c r="I395" s="581">
        <f t="shared" si="92"/>
        <v>11479500</v>
      </c>
      <c r="J395" s="564">
        <f>I395-I384</f>
        <v>-2866950</v>
      </c>
      <c r="L395">
        <v>11479500</v>
      </c>
    </row>
    <row r="396" spans="1:13" ht="15.75" thickBot="1" x14ac:dyDescent="0.3">
      <c r="A396" s="593" t="s">
        <v>10</v>
      </c>
      <c r="B396" s="594">
        <v>14564100</v>
      </c>
      <c r="C396" s="579">
        <v>16633500</v>
      </c>
      <c r="D396" s="579">
        <v>18067200</v>
      </c>
      <c r="E396" s="579">
        <v>22970100</v>
      </c>
      <c r="F396" s="579">
        <v>50632700</v>
      </c>
      <c r="G396" s="579">
        <v>57630400</v>
      </c>
      <c r="H396" s="579">
        <v>49386100</v>
      </c>
      <c r="I396" s="582">
        <f t="shared" si="92"/>
        <v>229884100</v>
      </c>
      <c r="J396" s="564">
        <f>I396-I385</f>
        <v>141350</v>
      </c>
      <c r="L396">
        <v>229884100</v>
      </c>
    </row>
    <row r="397" spans="1:13" ht="15.75" thickBot="1" x14ac:dyDescent="0.3"/>
    <row r="398" spans="1:13" ht="30.75" thickBot="1" x14ac:dyDescent="0.3">
      <c r="A398" s="586" t="s">
        <v>419</v>
      </c>
      <c r="B398" s="587" t="s">
        <v>600</v>
      </c>
      <c r="C398" s="232" t="s">
        <v>601</v>
      </c>
      <c r="D398" s="232" t="s">
        <v>602</v>
      </c>
      <c r="E398" s="232" t="s">
        <v>603</v>
      </c>
      <c r="F398" s="232" t="s">
        <v>604</v>
      </c>
      <c r="G398" s="232" t="s">
        <v>174</v>
      </c>
      <c r="H398" s="232" t="s">
        <v>175</v>
      </c>
      <c r="I398" s="580" t="s">
        <v>96</v>
      </c>
      <c r="J398" s="562" t="s">
        <v>438</v>
      </c>
    </row>
    <row r="399" spans="1:13" ht="15.75" thickTop="1" x14ac:dyDescent="0.25">
      <c r="A399" s="588" t="s">
        <v>427</v>
      </c>
      <c r="B399" s="589">
        <v>2937400</v>
      </c>
      <c r="C399" s="569">
        <v>3831500</v>
      </c>
      <c r="D399" s="569">
        <v>4134200</v>
      </c>
      <c r="E399" s="569">
        <v>4664800</v>
      </c>
      <c r="F399" s="569">
        <v>11108500</v>
      </c>
      <c r="G399" s="569">
        <v>12454200</v>
      </c>
      <c r="H399" s="569">
        <v>10444500</v>
      </c>
      <c r="I399" s="581">
        <f t="shared" ref="I399:I407" si="93">+SUM(B399:H399)</f>
        <v>49575100</v>
      </c>
      <c r="J399" s="564">
        <f t="shared" ref="J399:J407" si="94">I399-I388</f>
        <v>5290600</v>
      </c>
    </row>
    <row r="400" spans="1:13" x14ac:dyDescent="0.25">
      <c r="A400" s="590" t="s">
        <v>428</v>
      </c>
      <c r="B400" s="591">
        <v>2248600</v>
      </c>
      <c r="C400" s="570">
        <v>2338400</v>
      </c>
      <c r="D400" s="570">
        <v>3035100</v>
      </c>
      <c r="E400" s="570">
        <v>3518800</v>
      </c>
      <c r="F400" s="570">
        <v>7180700</v>
      </c>
      <c r="G400" s="570">
        <v>10770700</v>
      </c>
      <c r="H400" s="570">
        <v>9684700</v>
      </c>
      <c r="I400" s="581">
        <f t="shared" si="93"/>
        <v>38777000</v>
      </c>
      <c r="J400" s="564">
        <f t="shared" si="94"/>
        <v>-2413200</v>
      </c>
    </row>
    <row r="401" spans="1:10" x14ac:dyDescent="0.25">
      <c r="A401" s="588" t="s">
        <v>429</v>
      </c>
      <c r="B401" s="592">
        <v>1822100</v>
      </c>
      <c r="C401" s="583">
        <v>2090800</v>
      </c>
      <c r="D401" s="583">
        <v>2252600</v>
      </c>
      <c r="E401" s="569">
        <v>2816400</v>
      </c>
      <c r="F401" s="569">
        <v>7674100</v>
      </c>
      <c r="G401" s="569">
        <v>8281900</v>
      </c>
      <c r="H401" s="569">
        <v>7207000</v>
      </c>
      <c r="I401" s="581">
        <f t="shared" si="93"/>
        <v>32144900</v>
      </c>
      <c r="J401" s="564">
        <f t="shared" si="94"/>
        <v>-310200</v>
      </c>
    </row>
    <row r="402" spans="1:10" x14ac:dyDescent="0.25">
      <c r="A402" s="590" t="s">
        <v>430</v>
      </c>
      <c r="B402" s="591">
        <v>2208100</v>
      </c>
      <c r="C402" s="570">
        <v>2635600</v>
      </c>
      <c r="D402" s="570">
        <v>3007100</v>
      </c>
      <c r="E402" s="570">
        <v>2945500</v>
      </c>
      <c r="F402" s="570">
        <v>7784300</v>
      </c>
      <c r="G402" s="570">
        <v>5265100</v>
      </c>
      <c r="H402" s="570">
        <v>6393500</v>
      </c>
      <c r="I402" s="581">
        <f t="shared" si="93"/>
        <v>30239200</v>
      </c>
      <c r="J402" s="564">
        <f t="shared" si="94"/>
        <v>-1944200</v>
      </c>
    </row>
    <row r="403" spans="1:10" x14ac:dyDescent="0.25">
      <c r="A403" s="590" t="s">
        <v>544</v>
      </c>
      <c r="B403" s="591">
        <v>2122000</v>
      </c>
      <c r="C403" s="570">
        <v>2922400</v>
      </c>
      <c r="D403" s="570">
        <v>2686800</v>
      </c>
      <c r="E403" s="570">
        <v>3179100</v>
      </c>
      <c r="F403" s="570">
        <v>7535800</v>
      </c>
      <c r="G403" s="570">
        <v>5445400</v>
      </c>
      <c r="H403" s="570">
        <v>5132600</v>
      </c>
      <c r="I403" s="581">
        <f t="shared" si="93"/>
        <v>29024100</v>
      </c>
      <c r="J403" s="564">
        <f t="shared" si="94"/>
        <v>-876800</v>
      </c>
    </row>
    <row r="404" spans="1:10" x14ac:dyDescent="0.25">
      <c r="A404" s="590" t="s">
        <v>545</v>
      </c>
      <c r="B404" s="591">
        <v>825000</v>
      </c>
      <c r="C404" s="570">
        <v>1048500</v>
      </c>
      <c r="D404" s="570">
        <v>1933600</v>
      </c>
      <c r="E404" s="570">
        <v>1625300</v>
      </c>
      <c r="F404" s="570">
        <v>3695700</v>
      </c>
      <c r="G404" s="570">
        <v>4555700</v>
      </c>
      <c r="H404" s="570">
        <v>3892100</v>
      </c>
      <c r="I404" s="581">
        <f t="shared" si="93"/>
        <v>17575900</v>
      </c>
      <c r="J404" s="564">
        <f t="shared" si="94"/>
        <v>-1107300</v>
      </c>
    </row>
    <row r="405" spans="1:10" x14ac:dyDescent="0.25">
      <c r="A405" s="590" t="s">
        <v>547</v>
      </c>
      <c r="B405" s="591">
        <v>2732100</v>
      </c>
      <c r="C405" s="570">
        <v>2439000</v>
      </c>
      <c r="D405" s="570">
        <v>3042100</v>
      </c>
      <c r="E405" s="570">
        <v>3095300</v>
      </c>
      <c r="F405" s="570">
        <v>5950700</v>
      </c>
      <c r="G405" s="570">
        <v>4916600</v>
      </c>
      <c r="H405" s="570">
        <v>3682100</v>
      </c>
      <c r="I405" s="581">
        <f t="shared" si="93"/>
        <v>25857900</v>
      </c>
      <c r="J405" s="564">
        <f t="shared" si="94"/>
        <v>6150600</v>
      </c>
    </row>
    <row r="406" spans="1:10" x14ac:dyDescent="0.25">
      <c r="A406" s="590" t="s">
        <v>546</v>
      </c>
      <c r="B406" s="591">
        <v>661800</v>
      </c>
      <c r="C406" s="570">
        <v>657500</v>
      </c>
      <c r="D406" s="570">
        <v>1244000</v>
      </c>
      <c r="E406" s="570">
        <v>1598600</v>
      </c>
      <c r="F406" s="570">
        <v>2378000</v>
      </c>
      <c r="G406" s="570">
        <v>3212500</v>
      </c>
      <c r="H406" s="570">
        <v>3282100</v>
      </c>
      <c r="I406" s="581">
        <f t="shared" si="93"/>
        <v>13034500</v>
      </c>
      <c r="J406" s="564">
        <f t="shared" si="94"/>
        <v>1555000</v>
      </c>
    </row>
    <row r="407" spans="1:10" ht="15.75" thickBot="1" x14ac:dyDescent="0.3">
      <c r="A407" s="593" t="s">
        <v>10</v>
      </c>
      <c r="B407" s="594">
        <f t="shared" ref="B407:H407" si="95">+SUM(B399:B406)</f>
        <v>15557100</v>
      </c>
      <c r="C407" s="579">
        <f t="shared" si="95"/>
        <v>17963700</v>
      </c>
      <c r="D407" s="579">
        <f t="shared" si="95"/>
        <v>21335500</v>
      </c>
      <c r="E407" s="579">
        <f t="shared" si="95"/>
        <v>23443800</v>
      </c>
      <c r="F407" s="579">
        <f t="shared" si="95"/>
        <v>53307800</v>
      </c>
      <c r="G407" s="579">
        <f t="shared" si="95"/>
        <v>54902100</v>
      </c>
      <c r="H407" s="579">
        <f t="shared" si="95"/>
        <v>49718600</v>
      </c>
      <c r="I407" s="582">
        <f t="shared" si="93"/>
        <v>236228600</v>
      </c>
      <c r="J407" s="564">
        <f t="shared" si="94"/>
        <v>6344500</v>
      </c>
    </row>
    <row r="408" spans="1:10" ht="15.75" thickBot="1" x14ac:dyDescent="0.3"/>
    <row r="409" spans="1:10" ht="30.75" thickBot="1" x14ac:dyDescent="0.3">
      <c r="A409" s="586" t="s">
        <v>419</v>
      </c>
      <c r="B409" s="587" t="s">
        <v>608</v>
      </c>
      <c r="C409" s="232" t="s">
        <v>609</v>
      </c>
      <c r="D409" s="232" t="s">
        <v>610</v>
      </c>
      <c r="E409" s="232" t="s">
        <v>611</v>
      </c>
      <c r="F409" s="232" t="s">
        <v>612</v>
      </c>
      <c r="G409" s="232" t="s">
        <v>613</v>
      </c>
      <c r="H409" s="232" t="s">
        <v>614</v>
      </c>
      <c r="I409" s="580" t="s">
        <v>96</v>
      </c>
      <c r="J409" s="562" t="s">
        <v>438</v>
      </c>
    </row>
    <row r="410" spans="1:10" ht="15.75" thickTop="1" x14ac:dyDescent="0.25">
      <c r="A410" s="588" t="s">
        <v>427</v>
      </c>
      <c r="B410" s="589">
        <v>2714400</v>
      </c>
      <c r="C410" s="569">
        <v>4120400</v>
      </c>
      <c r="D410" s="569">
        <v>3668500</v>
      </c>
      <c r="E410" s="569">
        <v>4334400</v>
      </c>
      <c r="F410" s="569">
        <v>9883700</v>
      </c>
      <c r="G410" s="569">
        <v>11017300</v>
      </c>
      <c r="H410" s="569">
        <v>10344500</v>
      </c>
      <c r="I410" s="581">
        <f t="shared" ref="I410:I418" si="96">+SUM(B410:H410)</f>
        <v>46083200</v>
      </c>
      <c r="J410" s="564">
        <f t="shared" ref="J410:J418" si="97">I410-I399</f>
        <v>-3491900</v>
      </c>
    </row>
    <row r="411" spans="1:10" x14ac:dyDescent="0.25">
      <c r="A411" s="590" t="s">
        <v>428</v>
      </c>
      <c r="B411" s="591">
        <v>2428300</v>
      </c>
      <c r="C411" s="570">
        <v>3096800</v>
      </c>
      <c r="D411" s="570">
        <v>2793700</v>
      </c>
      <c r="E411" s="570">
        <v>3681800</v>
      </c>
      <c r="F411" s="570">
        <v>9656600</v>
      </c>
      <c r="G411" s="570">
        <v>11341500</v>
      </c>
      <c r="H411" s="570">
        <v>9132900</v>
      </c>
      <c r="I411" s="581">
        <f t="shared" si="96"/>
        <v>42131600</v>
      </c>
      <c r="J411" s="564">
        <f t="shared" si="97"/>
        <v>3354600</v>
      </c>
    </row>
    <row r="412" spans="1:10" x14ac:dyDescent="0.25">
      <c r="A412" s="588" t="s">
        <v>429</v>
      </c>
      <c r="B412" s="592">
        <v>1761600</v>
      </c>
      <c r="C412" s="583">
        <v>2569800</v>
      </c>
      <c r="D412" s="583">
        <v>2209100</v>
      </c>
      <c r="E412" s="569">
        <v>3186400</v>
      </c>
      <c r="F412" s="569">
        <v>7422300</v>
      </c>
      <c r="G412" s="569">
        <v>9132100</v>
      </c>
      <c r="H412" s="569">
        <v>5570400</v>
      </c>
      <c r="I412" s="581">
        <f t="shared" si="96"/>
        <v>31851700</v>
      </c>
      <c r="J412" s="564">
        <f t="shared" si="97"/>
        <v>-293200</v>
      </c>
    </row>
    <row r="413" spans="1:10" x14ac:dyDescent="0.25">
      <c r="A413" s="590" t="s">
        <v>430</v>
      </c>
      <c r="B413" s="591">
        <v>3202500</v>
      </c>
      <c r="C413" s="570">
        <v>2765700</v>
      </c>
      <c r="D413" s="570">
        <v>2584300</v>
      </c>
      <c r="E413" s="570">
        <v>3673100</v>
      </c>
      <c r="F413" s="570">
        <v>4858700</v>
      </c>
      <c r="G413" s="570">
        <v>5311600</v>
      </c>
      <c r="H413" s="570">
        <v>5941400</v>
      </c>
      <c r="I413" s="581">
        <f t="shared" si="96"/>
        <v>28337300</v>
      </c>
      <c r="J413" s="564">
        <f t="shared" si="97"/>
        <v>-1901900</v>
      </c>
    </row>
    <row r="414" spans="1:10" x14ac:dyDescent="0.25">
      <c r="A414" s="590" t="s">
        <v>544</v>
      </c>
      <c r="B414" s="591">
        <v>2152100</v>
      </c>
      <c r="C414" s="570">
        <v>3366700</v>
      </c>
      <c r="D414" s="570">
        <v>2572200</v>
      </c>
      <c r="E414" s="570">
        <v>3560100</v>
      </c>
      <c r="F414" s="570">
        <v>6403400</v>
      </c>
      <c r="G414" s="570">
        <v>5834200</v>
      </c>
      <c r="H414" s="570">
        <v>5595600</v>
      </c>
      <c r="I414" s="581">
        <f t="shared" si="96"/>
        <v>29484300</v>
      </c>
      <c r="J414" s="564">
        <f t="shared" si="97"/>
        <v>460200</v>
      </c>
    </row>
    <row r="415" spans="1:10" x14ac:dyDescent="0.25">
      <c r="A415" s="590" t="s">
        <v>545</v>
      </c>
      <c r="B415" s="591">
        <v>1219100</v>
      </c>
      <c r="C415" s="570">
        <v>1199000</v>
      </c>
      <c r="D415" s="570">
        <v>1929000</v>
      </c>
      <c r="E415" s="570">
        <v>1531700</v>
      </c>
      <c r="F415" s="570">
        <v>4088000</v>
      </c>
      <c r="G415" s="570">
        <v>3776900</v>
      </c>
      <c r="H415" s="570">
        <v>3624400</v>
      </c>
      <c r="I415" s="581">
        <f t="shared" si="96"/>
        <v>17368100</v>
      </c>
      <c r="J415" s="564">
        <f t="shared" si="97"/>
        <v>-207800</v>
      </c>
    </row>
    <row r="416" spans="1:10" x14ac:dyDescent="0.25">
      <c r="A416" s="590" t="s">
        <v>547</v>
      </c>
      <c r="B416" s="591">
        <v>2335700</v>
      </c>
      <c r="C416" s="570">
        <v>2832700</v>
      </c>
      <c r="D416" s="570">
        <v>3016800</v>
      </c>
      <c r="E416" s="570">
        <v>4393900</v>
      </c>
      <c r="F416" s="570">
        <v>6027300</v>
      </c>
      <c r="G416" s="570">
        <v>4179400</v>
      </c>
      <c r="H416" s="570">
        <v>4169400</v>
      </c>
      <c r="I416" s="581">
        <f t="shared" si="96"/>
        <v>26955200</v>
      </c>
      <c r="J416" s="564">
        <f t="shared" si="97"/>
        <v>1097300</v>
      </c>
    </row>
    <row r="417" spans="1:10" x14ac:dyDescent="0.25">
      <c r="A417" s="590" t="s">
        <v>546</v>
      </c>
      <c r="B417" s="591">
        <v>896900</v>
      </c>
      <c r="C417" s="570">
        <v>1247400</v>
      </c>
      <c r="D417" s="570">
        <v>927200</v>
      </c>
      <c r="E417" s="570">
        <v>1853900</v>
      </c>
      <c r="F417" s="570">
        <v>1565000</v>
      </c>
      <c r="G417" s="570">
        <v>3632700</v>
      </c>
      <c r="H417" s="570">
        <v>3752100</v>
      </c>
      <c r="I417" s="581">
        <f t="shared" si="96"/>
        <v>13875200</v>
      </c>
      <c r="J417" s="564">
        <f t="shared" si="97"/>
        <v>840700</v>
      </c>
    </row>
    <row r="418" spans="1:10" ht="15.75" thickBot="1" x14ac:dyDescent="0.3">
      <c r="A418" s="593" t="s">
        <v>10</v>
      </c>
      <c r="B418" s="594">
        <f t="shared" ref="B418:H418" si="98">+SUM(B410:B417)</f>
        <v>16710600</v>
      </c>
      <c r="C418" s="579">
        <f t="shared" si="98"/>
        <v>21198500</v>
      </c>
      <c r="D418" s="579">
        <f t="shared" si="98"/>
        <v>19700800</v>
      </c>
      <c r="E418" s="579">
        <f t="shared" si="98"/>
        <v>26215300</v>
      </c>
      <c r="F418" s="579">
        <f t="shared" si="98"/>
        <v>49905000</v>
      </c>
      <c r="G418" s="579">
        <f t="shared" si="98"/>
        <v>54225700</v>
      </c>
      <c r="H418" s="579">
        <f t="shared" si="98"/>
        <v>48130700</v>
      </c>
      <c r="I418" s="582">
        <f t="shared" si="96"/>
        <v>236086600</v>
      </c>
      <c r="J418" s="564">
        <f t="shared" si="97"/>
        <v>-142000</v>
      </c>
    </row>
    <row r="419" spans="1:10" ht="15.75" thickBot="1" x14ac:dyDescent="0.3"/>
    <row r="420" spans="1:10" ht="30.75" thickBot="1" x14ac:dyDescent="0.3">
      <c r="A420" s="586" t="s">
        <v>419</v>
      </c>
      <c r="B420" s="587" t="s">
        <v>185</v>
      </c>
      <c r="C420" s="232" t="s">
        <v>186</v>
      </c>
      <c r="D420" s="232" t="s">
        <v>187</v>
      </c>
      <c r="E420" s="232" t="s">
        <v>188</v>
      </c>
      <c r="F420" s="232" t="s">
        <v>189</v>
      </c>
      <c r="G420" s="232" t="s">
        <v>190</v>
      </c>
      <c r="H420" s="232" t="s">
        <v>191</v>
      </c>
      <c r="I420" s="580" t="s">
        <v>96</v>
      </c>
      <c r="J420" s="562" t="s">
        <v>438</v>
      </c>
    </row>
    <row r="421" spans="1:10" ht="15.75" thickTop="1" x14ac:dyDescent="0.25">
      <c r="A421" s="588" t="s">
        <v>427</v>
      </c>
      <c r="B421" s="589">
        <v>3746000</v>
      </c>
      <c r="C421" s="569">
        <v>5519100</v>
      </c>
      <c r="D421" s="569">
        <v>4983700</v>
      </c>
      <c r="E421" s="569">
        <v>4368300</v>
      </c>
      <c r="F421" s="569">
        <v>9279700</v>
      </c>
      <c r="G421" s="569">
        <v>7970800</v>
      </c>
      <c r="H421" s="569">
        <v>9944900</v>
      </c>
      <c r="I421" s="581">
        <f t="shared" ref="I421:I429" si="99">+SUM(B421:H421)</f>
        <v>45812500</v>
      </c>
      <c r="J421" s="564">
        <f t="shared" ref="J421:J429" si="100">I421-I410</f>
        <v>-270700</v>
      </c>
    </row>
    <row r="422" spans="1:10" x14ac:dyDescent="0.25">
      <c r="A422" s="590" t="s">
        <v>428</v>
      </c>
      <c r="B422" s="591">
        <v>2674900</v>
      </c>
      <c r="C422" s="570">
        <v>4184900</v>
      </c>
      <c r="D422" s="570">
        <v>4116700</v>
      </c>
      <c r="E422" s="570">
        <v>4079600</v>
      </c>
      <c r="F422" s="570">
        <v>7632600</v>
      </c>
      <c r="G422" s="570">
        <v>9669100</v>
      </c>
      <c r="H422" s="570">
        <v>8140500</v>
      </c>
      <c r="I422" s="581">
        <f t="shared" si="99"/>
        <v>40498300</v>
      </c>
      <c r="J422" s="564">
        <f t="shared" si="100"/>
        <v>-1633300</v>
      </c>
    </row>
    <row r="423" spans="1:10" x14ac:dyDescent="0.25">
      <c r="A423" s="588" t="s">
        <v>429</v>
      </c>
      <c r="B423" s="592">
        <v>2396000</v>
      </c>
      <c r="C423" s="583">
        <v>2612600</v>
      </c>
      <c r="D423" s="583">
        <v>3320800</v>
      </c>
      <c r="E423" s="569">
        <v>3413100</v>
      </c>
      <c r="F423" s="569">
        <v>6186100</v>
      </c>
      <c r="G423" s="569">
        <v>7348000</v>
      </c>
      <c r="H423" s="569">
        <v>6955700</v>
      </c>
      <c r="I423" s="581">
        <f t="shared" si="99"/>
        <v>32232300</v>
      </c>
      <c r="J423" s="564">
        <f t="shared" si="100"/>
        <v>380600</v>
      </c>
    </row>
    <row r="424" spans="1:10" x14ac:dyDescent="0.25">
      <c r="A424" s="590" t="s">
        <v>430</v>
      </c>
      <c r="B424" s="591">
        <v>3275000</v>
      </c>
      <c r="C424" s="570">
        <v>4229000</v>
      </c>
      <c r="D424" s="570">
        <v>2836800</v>
      </c>
      <c r="E424" s="570">
        <v>2853400</v>
      </c>
      <c r="F424" s="570">
        <v>5802500</v>
      </c>
      <c r="G424" s="570">
        <v>4907300</v>
      </c>
      <c r="H424" s="570">
        <v>4932500</v>
      </c>
      <c r="I424" s="581">
        <f t="shared" si="99"/>
        <v>28836500</v>
      </c>
      <c r="J424" s="564">
        <f t="shared" si="100"/>
        <v>499200</v>
      </c>
    </row>
    <row r="425" spans="1:10" x14ac:dyDescent="0.25">
      <c r="A425" s="590" t="s">
        <v>544</v>
      </c>
      <c r="B425" s="591">
        <v>2891100</v>
      </c>
      <c r="C425" s="570">
        <v>3390800</v>
      </c>
      <c r="D425" s="570">
        <v>2902700</v>
      </c>
      <c r="E425" s="570">
        <v>4386800</v>
      </c>
      <c r="F425" s="570">
        <v>6293500</v>
      </c>
      <c r="G425" s="570">
        <v>5356000</v>
      </c>
      <c r="H425" s="570">
        <v>5855500</v>
      </c>
      <c r="I425" s="581">
        <f t="shared" si="99"/>
        <v>31076400</v>
      </c>
      <c r="J425" s="564">
        <f t="shared" si="100"/>
        <v>1592100</v>
      </c>
    </row>
    <row r="426" spans="1:10" x14ac:dyDescent="0.25">
      <c r="A426" s="590" t="s">
        <v>545</v>
      </c>
      <c r="B426" s="591">
        <v>1305600</v>
      </c>
      <c r="C426" s="570">
        <v>2255700</v>
      </c>
      <c r="D426" s="570">
        <v>1871100</v>
      </c>
      <c r="E426" s="570">
        <v>2004300</v>
      </c>
      <c r="F426" s="570">
        <v>2458200</v>
      </c>
      <c r="G426" s="570">
        <v>3826500</v>
      </c>
      <c r="H426" s="570">
        <v>3932200</v>
      </c>
      <c r="I426" s="581">
        <f t="shared" si="99"/>
        <v>17653600</v>
      </c>
      <c r="J426" s="564">
        <f t="shared" si="100"/>
        <v>285500</v>
      </c>
    </row>
    <row r="427" spans="1:10" x14ac:dyDescent="0.25">
      <c r="A427" s="590" t="s">
        <v>547</v>
      </c>
      <c r="B427" s="591">
        <v>1985700</v>
      </c>
      <c r="C427" s="570">
        <v>3702400</v>
      </c>
      <c r="D427" s="570">
        <v>3123000</v>
      </c>
      <c r="E427" s="570">
        <v>3040100</v>
      </c>
      <c r="F427" s="570">
        <v>5373600</v>
      </c>
      <c r="G427" s="570">
        <v>3869300</v>
      </c>
      <c r="H427" s="570">
        <v>3954000</v>
      </c>
      <c r="I427" s="581">
        <f t="shared" si="99"/>
        <v>25048100</v>
      </c>
      <c r="J427" s="564">
        <f t="shared" si="100"/>
        <v>-1907100</v>
      </c>
    </row>
    <row r="428" spans="1:10" x14ac:dyDescent="0.25">
      <c r="A428" s="590" t="s">
        <v>546</v>
      </c>
      <c r="B428" s="591">
        <v>1069900</v>
      </c>
      <c r="C428" s="570">
        <v>1086900</v>
      </c>
      <c r="D428" s="570">
        <v>1812400</v>
      </c>
      <c r="E428" s="570">
        <v>1376400</v>
      </c>
      <c r="F428" s="570">
        <v>2870300</v>
      </c>
      <c r="G428" s="570">
        <v>3983500</v>
      </c>
      <c r="H428" s="570">
        <v>3868600</v>
      </c>
      <c r="I428" s="581">
        <f t="shared" si="99"/>
        <v>16068000</v>
      </c>
      <c r="J428" s="564">
        <f t="shared" si="100"/>
        <v>2192800</v>
      </c>
    </row>
    <row r="429" spans="1:10" ht="15.75" thickBot="1" x14ac:dyDescent="0.3">
      <c r="A429" s="593" t="s">
        <v>10</v>
      </c>
      <c r="B429" s="594">
        <f t="shared" ref="B429:H429" si="101">+SUM(B421:B428)</f>
        <v>19344200</v>
      </c>
      <c r="C429" s="579">
        <f t="shared" si="101"/>
        <v>26981400</v>
      </c>
      <c r="D429" s="579">
        <f t="shared" si="101"/>
        <v>24967200</v>
      </c>
      <c r="E429" s="579">
        <f t="shared" si="101"/>
        <v>25522000</v>
      </c>
      <c r="F429" s="579">
        <f t="shared" si="101"/>
        <v>45896500</v>
      </c>
      <c r="G429" s="579">
        <f t="shared" si="101"/>
        <v>46930500</v>
      </c>
      <c r="H429" s="579">
        <f t="shared" si="101"/>
        <v>47583900</v>
      </c>
      <c r="I429" s="582">
        <f t="shared" si="99"/>
        <v>237225700</v>
      </c>
      <c r="J429" s="564">
        <f t="shared" si="100"/>
        <v>1139100</v>
      </c>
    </row>
    <row r="430" spans="1:10" ht="15.75" thickBot="1" x14ac:dyDescent="0.3"/>
    <row r="431" spans="1:10" ht="30.75" thickBot="1" x14ac:dyDescent="0.3">
      <c r="A431" s="586" t="s">
        <v>419</v>
      </c>
      <c r="B431" s="587" t="s">
        <v>193</v>
      </c>
      <c r="C431" s="232" t="s">
        <v>194</v>
      </c>
      <c r="D431" s="232" t="s">
        <v>195</v>
      </c>
      <c r="E431" s="232" t="s">
        <v>196</v>
      </c>
      <c r="F431" s="232" t="s">
        <v>197</v>
      </c>
      <c r="G431" s="232" t="s">
        <v>198</v>
      </c>
      <c r="H431" s="232" t="s">
        <v>199</v>
      </c>
      <c r="I431" s="580" t="s">
        <v>96</v>
      </c>
      <c r="J431" s="562" t="s">
        <v>438</v>
      </c>
    </row>
    <row r="432" spans="1:10" ht="15.75" thickTop="1" x14ac:dyDescent="0.25">
      <c r="A432" s="588" t="s">
        <v>427</v>
      </c>
      <c r="B432" s="589">
        <v>11569300</v>
      </c>
      <c r="C432" s="569">
        <v>2704000</v>
      </c>
      <c r="D432" s="569">
        <v>4106300</v>
      </c>
      <c r="E432" s="569">
        <v>3862900</v>
      </c>
      <c r="F432" s="569">
        <v>8953300</v>
      </c>
      <c r="G432" s="569">
        <v>10492700</v>
      </c>
      <c r="H432" s="569">
        <v>11127100</v>
      </c>
      <c r="I432" s="581">
        <f t="shared" ref="I432:I441" si="102">+SUM(B432:H432)</f>
        <v>52815600</v>
      </c>
      <c r="J432" s="564">
        <f t="shared" ref="J432:J439" si="103">I432-I421</f>
        <v>7003100</v>
      </c>
    </row>
    <row r="433" spans="1:10" x14ac:dyDescent="0.25">
      <c r="A433" s="590" t="s">
        <v>428</v>
      </c>
      <c r="B433" s="591">
        <v>9918700</v>
      </c>
      <c r="C433" s="570">
        <v>2115600</v>
      </c>
      <c r="D433" s="570">
        <v>2672300</v>
      </c>
      <c r="E433" s="570">
        <v>2719900</v>
      </c>
      <c r="F433" s="570">
        <v>8371200</v>
      </c>
      <c r="G433" s="570">
        <v>10258000</v>
      </c>
      <c r="H433" s="570">
        <v>11276400</v>
      </c>
      <c r="I433" s="581">
        <f t="shared" si="102"/>
        <v>47332100</v>
      </c>
      <c r="J433" s="564">
        <f t="shared" si="103"/>
        <v>6833800</v>
      </c>
    </row>
    <row r="434" spans="1:10" x14ac:dyDescent="0.25">
      <c r="A434" s="588" t="s">
        <v>429</v>
      </c>
      <c r="B434" s="592">
        <v>5942000</v>
      </c>
      <c r="C434" s="583">
        <v>1761600</v>
      </c>
      <c r="D434" s="583">
        <v>2163700</v>
      </c>
      <c r="E434" s="569">
        <v>2458700</v>
      </c>
      <c r="F434" s="569">
        <v>4831200</v>
      </c>
      <c r="G434" s="569">
        <v>8901400</v>
      </c>
      <c r="H434" s="569">
        <v>5639500</v>
      </c>
      <c r="I434" s="581">
        <f t="shared" si="102"/>
        <v>31698100</v>
      </c>
      <c r="J434" s="564">
        <f t="shared" si="103"/>
        <v>-534200</v>
      </c>
    </row>
    <row r="435" spans="1:10" x14ac:dyDescent="0.25">
      <c r="A435" s="590" t="s">
        <v>430</v>
      </c>
      <c r="B435" s="591">
        <v>7090600</v>
      </c>
      <c r="C435" s="570">
        <v>2322600</v>
      </c>
      <c r="D435" s="570">
        <v>2071900</v>
      </c>
      <c r="E435" s="570">
        <v>2816000</v>
      </c>
      <c r="F435" s="570">
        <v>6778000</v>
      </c>
      <c r="G435" s="570">
        <v>6301000</v>
      </c>
      <c r="H435" s="570">
        <v>9131900</v>
      </c>
      <c r="I435" s="581">
        <f t="shared" si="102"/>
        <v>36512000</v>
      </c>
      <c r="J435" s="564">
        <f t="shared" si="103"/>
        <v>7675500</v>
      </c>
    </row>
    <row r="436" spans="1:10" x14ac:dyDescent="0.25">
      <c r="A436" s="590" t="s">
        <v>544</v>
      </c>
      <c r="B436" s="591">
        <v>4321400</v>
      </c>
      <c r="C436" s="570">
        <v>2056000</v>
      </c>
      <c r="D436" s="570">
        <v>2968200</v>
      </c>
      <c r="E436" s="570">
        <v>3023000</v>
      </c>
      <c r="F436" s="570">
        <v>7723800</v>
      </c>
      <c r="G436" s="570">
        <v>6693500</v>
      </c>
      <c r="H436" s="570">
        <v>6058200</v>
      </c>
      <c r="I436" s="581">
        <f t="shared" si="102"/>
        <v>32844100</v>
      </c>
      <c r="J436" s="564">
        <f t="shared" si="103"/>
        <v>1767700</v>
      </c>
    </row>
    <row r="437" spans="1:10" x14ac:dyDescent="0.25">
      <c r="A437" s="590" t="s">
        <v>545</v>
      </c>
      <c r="B437" s="591">
        <v>3977600</v>
      </c>
      <c r="C437" s="570">
        <v>1296500</v>
      </c>
      <c r="D437" s="570">
        <v>1360100</v>
      </c>
      <c r="E437" s="570">
        <v>1429800</v>
      </c>
      <c r="F437" s="570">
        <v>4287300</v>
      </c>
      <c r="G437" s="570">
        <v>4319700</v>
      </c>
      <c r="H437" s="570">
        <v>4272100</v>
      </c>
      <c r="I437" s="581">
        <f t="shared" si="102"/>
        <v>20943100</v>
      </c>
      <c r="J437" s="564">
        <f t="shared" si="103"/>
        <v>3289500</v>
      </c>
    </row>
    <row r="438" spans="1:10" x14ac:dyDescent="0.25">
      <c r="A438" s="590" t="s">
        <v>547</v>
      </c>
      <c r="B438" s="591">
        <v>4278100</v>
      </c>
      <c r="C438" s="570">
        <v>1885400</v>
      </c>
      <c r="D438" s="570">
        <v>3096200</v>
      </c>
      <c r="E438" s="570">
        <v>3269400</v>
      </c>
      <c r="F438" s="570">
        <v>5911000</v>
      </c>
      <c r="G438" s="570">
        <v>4779100</v>
      </c>
      <c r="H438" s="570">
        <v>4190700</v>
      </c>
      <c r="I438" s="581">
        <f t="shared" si="102"/>
        <v>27409900</v>
      </c>
      <c r="J438" s="564">
        <f t="shared" si="103"/>
        <v>2361800</v>
      </c>
    </row>
    <row r="439" spans="1:10" x14ac:dyDescent="0.25">
      <c r="A439" s="680" t="s">
        <v>546</v>
      </c>
      <c r="B439" s="591">
        <v>2899500</v>
      </c>
      <c r="C439" s="570">
        <v>661300</v>
      </c>
      <c r="D439" s="570">
        <v>1011900</v>
      </c>
      <c r="E439" s="570">
        <v>740500</v>
      </c>
      <c r="F439" s="570">
        <v>1992300</v>
      </c>
      <c r="G439" s="570">
        <v>2976600</v>
      </c>
      <c r="H439" s="570">
        <v>3195700</v>
      </c>
      <c r="I439" s="581">
        <f t="shared" si="102"/>
        <v>13477800</v>
      </c>
      <c r="J439" s="564">
        <f t="shared" si="103"/>
        <v>-2590200</v>
      </c>
    </row>
    <row r="440" spans="1:10" x14ac:dyDescent="0.25">
      <c r="A440" s="680" t="s">
        <v>622</v>
      </c>
      <c r="B440" s="591">
        <v>0</v>
      </c>
      <c r="C440" s="570">
        <v>0</v>
      </c>
      <c r="D440" s="570">
        <v>0</v>
      </c>
      <c r="E440" s="570">
        <v>907700</v>
      </c>
      <c r="F440" s="570">
        <v>6794000</v>
      </c>
      <c r="G440" s="570">
        <v>10975500</v>
      </c>
      <c r="H440" s="570">
        <v>11834200</v>
      </c>
      <c r="I440" s="581">
        <f t="shared" si="102"/>
        <v>30511400</v>
      </c>
      <c r="J440" s="564">
        <f>I440-I428</f>
        <v>14443400</v>
      </c>
    </row>
    <row r="441" spans="1:10" ht="15.75" thickBot="1" x14ac:dyDescent="0.3">
      <c r="A441" s="593" t="s">
        <v>10</v>
      </c>
      <c r="B441" s="594">
        <v>49997200</v>
      </c>
      <c r="C441" s="579">
        <v>14803000</v>
      </c>
      <c r="D441" s="579">
        <v>19450600</v>
      </c>
      <c r="E441" s="579">
        <v>21227900</v>
      </c>
      <c r="F441" s="579">
        <v>55642100</v>
      </c>
      <c r="G441" s="579">
        <v>65697500</v>
      </c>
      <c r="H441" s="579">
        <v>66725800</v>
      </c>
      <c r="I441" s="582">
        <f t="shared" si="102"/>
        <v>293544100</v>
      </c>
      <c r="J441" s="564">
        <f>I441-I429</f>
        <v>56318400</v>
      </c>
    </row>
    <row r="442" spans="1:10" ht="15.75" thickBot="1" x14ac:dyDescent="0.3"/>
    <row r="443" spans="1:10" ht="30.75" thickBot="1" x14ac:dyDescent="0.3">
      <c r="A443" s="586" t="s">
        <v>419</v>
      </c>
      <c r="B443" s="587" t="s">
        <v>201</v>
      </c>
      <c r="C443" s="232" t="s">
        <v>202</v>
      </c>
      <c r="D443" s="232" t="s">
        <v>203</v>
      </c>
      <c r="E443" s="232" t="s">
        <v>204</v>
      </c>
      <c r="F443" s="232" t="s">
        <v>205</v>
      </c>
      <c r="G443" s="232" t="s">
        <v>206</v>
      </c>
      <c r="H443" s="232" t="s">
        <v>207</v>
      </c>
      <c r="I443" s="580" t="s">
        <v>96</v>
      </c>
      <c r="J443" s="562" t="s">
        <v>438</v>
      </c>
    </row>
    <row r="444" spans="1:10" ht="15.75" thickTop="1" x14ac:dyDescent="0.25">
      <c r="A444" s="588" t="s">
        <v>427</v>
      </c>
      <c r="B444" s="589">
        <v>3872200</v>
      </c>
      <c r="C444" s="569">
        <v>3025400</v>
      </c>
      <c r="D444" s="569">
        <v>3822400</v>
      </c>
      <c r="E444" s="569">
        <v>5167900</v>
      </c>
      <c r="F444" s="569">
        <v>10284700</v>
      </c>
      <c r="G444" s="569">
        <v>13229900</v>
      </c>
      <c r="H444" s="569">
        <v>9902800</v>
      </c>
      <c r="I444" s="581">
        <f t="shared" ref="I444:I453" si="104">+SUM(B444:H444)</f>
        <v>49305300</v>
      </c>
      <c r="J444" s="564">
        <f>I444-I432</f>
        <v>-3510300</v>
      </c>
    </row>
    <row r="445" spans="1:10" x14ac:dyDescent="0.25">
      <c r="A445" s="590" t="s">
        <v>428</v>
      </c>
      <c r="B445" s="591">
        <v>2170400</v>
      </c>
      <c r="C445" s="570">
        <v>2555500</v>
      </c>
      <c r="D445" s="570">
        <v>2657200</v>
      </c>
      <c r="E445" s="570">
        <v>4061400</v>
      </c>
      <c r="F445" s="570">
        <v>7435600</v>
      </c>
      <c r="G445" s="570">
        <v>11523500</v>
      </c>
      <c r="H445" s="570">
        <v>9720600</v>
      </c>
      <c r="I445" s="581">
        <f t="shared" si="104"/>
        <v>40124200</v>
      </c>
      <c r="J445" s="564">
        <f t="shared" ref="J445:J453" si="105">I445-I433</f>
        <v>-7207900</v>
      </c>
    </row>
    <row r="446" spans="1:10" x14ac:dyDescent="0.25">
      <c r="A446" s="588" t="s">
        <v>429</v>
      </c>
      <c r="B446" s="592">
        <v>2254200</v>
      </c>
      <c r="C446" s="583">
        <v>2277100</v>
      </c>
      <c r="D446" s="583">
        <v>2373500</v>
      </c>
      <c r="E446" s="569">
        <v>2700600</v>
      </c>
      <c r="F446" s="569">
        <v>7057500</v>
      </c>
      <c r="G446" s="569">
        <v>9047900</v>
      </c>
      <c r="H446" s="569">
        <v>7137700</v>
      </c>
      <c r="I446" s="581">
        <f t="shared" si="104"/>
        <v>32848500</v>
      </c>
      <c r="J446" s="564">
        <f t="shared" si="105"/>
        <v>1150400</v>
      </c>
    </row>
    <row r="447" spans="1:10" x14ac:dyDescent="0.25">
      <c r="A447" s="590" t="s">
        <v>430</v>
      </c>
      <c r="B447" s="591">
        <v>2789000</v>
      </c>
      <c r="C447" s="570">
        <v>3170900</v>
      </c>
      <c r="D447" s="570">
        <v>2642700</v>
      </c>
      <c r="E447" s="570">
        <v>3665000</v>
      </c>
      <c r="F447" s="570">
        <v>6611300</v>
      </c>
      <c r="G447" s="570">
        <v>6780600</v>
      </c>
      <c r="H447" s="570">
        <v>7259100</v>
      </c>
      <c r="I447" s="581">
        <f t="shared" si="104"/>
        <v>32918600</v>
      </c>
      <c r="J447" s="564">
        <f t="shared" si="105"/>
        <v>-3593400</v>
      </c>
    </row>
    <row r="448" spans="1:10" x14ac:dyDescent="0.25">
      <c r="A448" s="590" t="s">
        <v>544</v>
      </c>
      <c r="B448" s="591">
        <v>2842100</v>
      </c>
      <c r="C448" s="570">
        <v>2945300</v>
      </c>
      <c r="D448" s="570">
        <v>3444500</v>
      </c>
      <c r="E448" s="570">
        <v>3638800</v>
      </c>
      <c r="F448" s="570">
        <v>7343500</v>
      </c>
      <c r="G448" s="570">
        <v>6457600</v>
      </c>
      <c r="H448" s="570">
        <v>4633100</v>
      </c>
      <c r="I448" s="581">
        <f t="shared" si="104"/>
        <v>31304900</v>
      </c>
      <c r="J448" s="564">
        <f t="shared" si="105"/>
        <v>-1539200</v>
      </c>
    </row>
    <row r="449" spans="1:10" x14ac:dyDescent="0.25">
      <c r="A449" s="590" t="s">
        <v>545</v>
      </c>
      <c r="B449" s="591">
        <v>949000</v>
      </c>
      <c r="C449" s="570">
        <v>1543400</v>
      </c>
      <c r="D449" s="570">
        <v>1596300</v>
      </c>
      <c r="E449" s="570">
        <v>1682100</v>
      </c>
      <c r="F449" s="570">
        <v>3390800</v>
      </c>
      <c r="G449" s="570">
        <v>8787800</v>
      </c>
      <c r="H449" s="570">
        <v>4111700</v>
      </c>
      <c r="I449" s="581">
        <f t="shared" si="104"/>
        <v>22061100</v>
      </c>
      <c r="J449" s="564">
        <f t="shared" si="105"/>
        <v>1118000</v>
      </c>
    </row>
    <row r="450" spans="1:10" x14ac:dyDescent="0.25">
      <c r="A450" s="590" t="s">
        <v>547</v>
      </c>
      <c r="B450" s="591">
        <v>3123500</v>
      </c>
      <c r="C450" s="570">
        <v>2866000</v>
      </c>
      <c r="D450" s="570">
        <v>2472800</v>
      </c>
      <c r="E450" s="570">
        <v>3405100</v>
      </c>
      <c r="F450" s="570">
        <v>6741600</v>
      </c>
      <c r="G450" s="570">
        <v>4974200</v>
      </c>
      <c r="H450" s="570">
        <v>3596200</v>
      </c>
      <c r="I450" s="581">
        <f t="shared" si="104"/>
        <v>27179400</v>
      </c>
      <c r="J450" s="564">
        <f t="shared" si="105"/>
        <v>-230500</v>
      </c>
    </row>
    <row r="451" spans="1:10" x14ac:dyDescent="0.25">
      <c r="A451" s="680" t="s">
        <v>546</v>
      </c>
      <c r="B451" s="591">
        <v>1042000</v>
      </c>
      <c r="C451" s="570">
        <v>1201200</v>
      </c>
      <c r="D451" s="570">
        <v>867100</v>
      </c>
      <c r="E451" s="570">
        <v>1249000</v>
      </c>
      <c r="F451" s="570">
        <v>2544200</v>
      </c>
      <c r="G451" s="570">
        <v>4277400</v>
      </c>
      <c r="H451" s="570">
        <v>2879900</v>
      </c>
      <c r="I451" s="581">
        <f t="shared" si="104"/>
        <v>14060800</v>
      </c>
      <c r="J451" s="564">
        <f t="shared" si="105"/>
        <v>583000</v>
      </c>
    </row>
    <row r="452" spans="1:10" x14ac:dyDescent="0.25">
      <c r="A452" s="680" t="s">
        <v>622</v>
      </c>
      <c r="B452" s="591">
        <v>2420800</v>
      </c>
      <c r="C452" s="570">
        <v>3180500</v>
      </c>
      <c r="D452" s="570">
        <v>4401800</v>
      </c>
      <c r="E452" s="570">
        <v>4510900</v>
      </c>
      <c r="F452" s="570">
        <v>10226300</v>
      </c>
      <c r="G452" s="570">
        <v>15455100</v>
      </c>
      <c r="H452" s="570">
        <v>13518100</v>
      </c>
      <c r="I452" s="581">
        <f t="shared" si="104"/>
        <v>53713500</v>
      </c>
      <c r="J452" s="564">
        <f t="shared" si="105"/>
        <v>23202100</v>
      </c>
    </row>
    <row r="453" spans="1:10" ht="15.75" thickBot="1" x14ac:dyDescent="0.3">
      <c r="A453" s="593" t="s">
        <v>10</v>
      </c>
      <c r="B453" s="594">
        <f>+SUM(B444:B452)</f>
        <v>21463200</v>
      </c>
      <c r="C453" s="579">
        <f t="shared" ref="C453:H453" si="106">+SUM(C444:C452)</f>
        <v>22765300</v>
      </c>
      <c r="D453" s="579">
        <f t="shared" si="106"/>
        <v>24278300</v>
      </c>
      <c r="E453" s="579">
        <f t="shared" si="106"/>
        <v>30080800</v>
      </c>
      <c r="F453" s="579">
        <f t="shared" si="106"/>
        <v>61635500</v>
      </c>
      <c r="G453" s="579">
        <f t="shared" si="106"/>
        <v>80534000</v>
      </c>
      <c r="H453" s="579">
        <f t="shared" si="106"/>
        <v>62759200</v>
      </c>
      <c r="I453" s="582">
        <f t="shared" si="104"/>
        <v>303516300</v>
      </c>
      <c r="J453" s="564">
        <f t="shared" si="105"/>
        <v>9972200</v>
      </c>
    </row>
    <row r="454" spans="1:10" ht="15.75" thickBot="1" x14ac:dyDescent="0.3"/>
    <row r="455" spans="1:10" ht="30.75" thickBot="1" x14ac:dyDescent="0.3">
      <c r="A455" s="586" t="s">
        <v>419</v>
      </c>
      <c r="B455" s="587" t="s">
        <v>209</v>
      </c>
      <c r="C455" s="232" t="s">
        <v>242</v>
      </c>
      <c r="D455" s="232" t="s">
        <v>243</v>
      </c>
      <c r="E455" s="232" t="s">
        <v>244</v>
      </c>
      <c r="F455" s="232" t="s">
        <v>245</v>
      </c>
      <c r="G455" s="232" t="s">
        <v>246</v>
      </c>
      <c r="H455" s="232" t="s">
        <v>247</v>
      </c>
      <c r="I455" s="580" t="s">
        <v>96</v>
      </c>
      <c r="J455" s="562" t="s">
        <v>438</v>
      </c>
    </row>
    <row r="456" spans="1:10" ht="15.75" thickTop="1" x14ac:dyDescent="0.25">
      <c r="A456" s="588" t="s">
        <v>427</v>
      </c>
      <c r="B456" s="589">
        <v>3853500</v>
      </c>
      <c r="C456" s="569">
        <v>3687000</v>
      </c>
      <c r="D456" s="569">
        <v>3345200</v>
      </c>
      <c r="E456" s="569">
        <v>5087400</v>
      </c>
      <c r="F456" s="569">
        <v>10096400</v>
      </c>
      <c r="G456" s="569">
        <v>9863900</v>
      </c>
      <c r="H456" s="569">
        <v>10035700</v>
      </c>
      <c r="I456" s="581">
        <v>45969100</v>
      </c>
      <c r="J456" s="564">
        <f>I456-I444</f>
        <v>-3336200</v>
      </c>
    </row>
    <row r="457" spans="1:10" x14ac:dyDescent="0.25">
      <c r="A457" s="590" t="s">
        <v>428</v>
      </c>
      <c r="B457" s="591">
        <v>4939900</v>
      </c>
      <c r="C457" s="570">
        <v>2672300</v>
      </c>
      <c r="D457" s="570">
        <v>3002300</v>
      </c>
      <c r="E457" s="570">
        <v>4005000</v>
      </c>
      <c r="F457" s="570">
        <v>7283400</v>
      </c>
      <c r="G457" s="570">
        <v>11149200</v>
      </c>
      <c r="H457" s="570">
        <v>11108700</v>
      </c>
      <c r="I457" s="581">
        <v>44160800</v>
      </c>
      <c r="J457" s="564">
        <f t="shared" ref="J457:J465" si="107">I457-I445</f>
        <v>4036600</v>
      </c>
    </row>
    <row r="458" spans="1:10" x14ac:dyDescent="0.25">
      <c r="A458" s="588" t="s">
        <v>429</v>
      </c>
      <c r="B458" s="592">
        <v>3566400</v>
      </c>
      <c r="C458" s="583">
        <v>2111700</v>
      </c>
      <c r="D458" s="583">
        <v>2797100</v>
      </c>
      <c r="E458" s="569">
        <v>2534000</v>
      </c>
      <c r="F458" s="569">
        <v>6276300</v>
      </c>
      <c r="G458" s="569">
        <v>7099700</v>
      </c>
      <c r="H458" s="569">
        <v>6337900</v>
      </c>
      <c r="I458" s="581">
        <v>30723100</v>
      </c>
      <c r="J458" s="564">
        <f t="shared" si="107"/>
        <v>-2125400</v>
      </c>
    </row>
    <row r="459" spans="1:10" x14ac:dyDescent="0.25">
      <c r="A459" s="590" t="s">
        <v>430</v>
      </c>
      <c r="B459" s="591">
        <v>2366700</v>
      </c>
      <c r="C459" s="570">
        <v>2268200</v>
      </c>
      <c r="D459" s="570">
        <v>2468100</v>
      </c>
      <c r="E459" s="570">
        <v>3525200</v>
      </c>
      <c r="F459" s="570">
        <v>3560600</v>
      </c>
      <c r="G459" s="570">
        <v>8346800</v>
      </c>
      <c r="H459" s="570">
        <v>5853800</v>
      </c>
      <c r="I459" s="581">
        <v>28389400</v>
      </c>
      <c r="J459" s="564">
        <f t="shared" si="107"/>
        <v>-4529200</v>
      </c>
    </row>
    <row r="460" spans="1:10" x14ac:dyDescent="0.25">
      <c r="A460" s="590" t="s">
        <v>544</v>
      </c>
      <c r="B460" s="591">
        <v>3562600</v>
      </c>
      <c r="C460" s="570">
        <v>1959700</v>
      </c>
      <c r="D460" s="570">
        <v>3802600</v>
      </c>
      <c r="E460" s="570">
        <v>3321400</v>
      </c>
      <c r="F460" s="570">
        <v>8324700</v>
      </c>
      <c r="G460" s="570">
        <v>5263600</v>
      </c>
      <c r="H460" s="570">
        <v>6160600</v>
      </c>
      <c r="I460" s="581">
        <v>32395200</v>
      </c>
      <c r="J460" s="564">
        <f t="shared" si="107"/>
        <v>1090300</v>
      </c>
    </row>
    <row r="461" spans="1:10" x14ac:dyDescent="0.25">
      <c r="A461" s="590" t="s">
        <v>545</v>
      </c>
      <c r="B461" s="591">
        <v>1944500</v>
      </c>
      <c r="C461" s="570">
        <v>1358100</v>
      </c>
      <c r="D461" s="570">
        <v>1700500</v>
      </c>
      <c r="E461" s="570">
        <v>774100</v>
      </c>
      <c r="F461" s="570">
        <v>3324300</v>
      </c>
      <c r="G461" s="570">
        <v>3724300</v>
      </c>
      <c r="H461" s="570">
        <v>4392600</v>
      </c>
      <c r="I461" s="581">
        <v>17218400</v>
      </c>
      <c r="J461" s="564">
        <f t="shared" si="107"/>
        <v>-4842700</v>
      </c>
    </row>
    <row r="462" spans="1:10" x14ac:dyDescent="0.25">
      <c r="A462" s="590" t="s">
        <v>547</v>
      </c>
      <c r="B462" s="591">
        <v>2739300</v>
      </c>
      <c r="C462" s="570">
        <v>2339700</v>
      </c>
      <c r="D462" s="570">
        <v>3325200</v>
      </c>
      <c r="E462" s="570">
        <v>3516100</v>
      </c>
      <c r="F462" s="570">
        <v>7017700</v>
      </c>
      <c r="G462" s="570">
        <v>3569800</v>
      </c>
      <c r="H462" s="570">
        <v>4443600</v>
      </c>
      <c r="I462" s="581">
        <v>26951400</v>
      </c>
      <c r="J462" s="564">
        <f t="shared" si="107"/>
        <v>-228000</v>
      </c>
    </row>
    <row r="463" spans="1:10" x14ac:dyDescent="0.25">
      <c r="A463" s="680" t="s">
        <v>546</v>
      </c>
      <c r="B463" s="591">
        <v>3272000</v>
      </c>
      <c r="C463" s="570">
        <v>1023600</v>
      </c>
      <c r="D463" s="570">
        <v>779900</v>
      </c>
      <c r="E463" s="570">
        <v>863700</v>
      </c>
      <c r="F463" s="570">
        <v>2242900</v>
      </c>
      <c r="G463" s="570">
        <v>3211200</v>
      </c>
      <c r="H463" s="570">
        <v>4038500</v>
      </c>
      <c r="I463" s="581">
        <v>15431800</v>
      </c>
      <c r="J463" s="564">
        <f t="shared" si="107"/>
        <v>1371000</v>
      </c>
    </row>
    <row r="464" spans="1:10" x14ac:dyDescent="0.25">
      <c r="A464" s="680" t="s">
        <v>622</v>
      </c>
      <c r="B464" s="591">
        <v>3371400</v>
      </c>
      <c r="C464" s="570">
        <v>3004400</v>
      </c>
      <c r="D464" s="570">
        <v>3643000</v>
      </c>
      <c r="E464" s="570">
        <v>4147500</v>
      </c>
      <c r="F464" s="570">
        <v>9892300</v>
      </c>
      <c r="G464" s="570">
        <v>12889600</v>
      </c>
      <c r="H464" s="570">
        <v>13730900</v>
      </c>
      <c r="I464" s="581">
        <v>50679100</v>
      </c>
      <c r="J464" s="564">
        <f t="shared" si="107"/>
        <v>-3034400</v>
      </c>
    </row>
    <row r="465" spans="1:10" ht="15.75" thickBot="1" x14ac:dyDescent="0.3">
      <c r="A465" s="593" t="s">
        <v>10</v>
      </c>
      <c r="B465" s="594">
        <v>29616300</v>
      </c>
      <c r="C465" s="579">
        <v>20424700</v>
      </c>
      <c r="D465" s="579">
        <v>24863900</v>
      </c>
      <c r="E465" s="579">
        <v>27774400</v>
      </c>
      <c r="F465" s="579">
        <v>58018600</v>
      </c>
      <c r="G465" s="579">
        <v>65118100</v>
      </c>
      <c r="H465" s="579">
        <v>66102300</v>
      </c>
      <c r="I465" s="582">
        <v>291918300</v>
      </c>
      <c r="J465" s="564">
        <f t="shared" si="107"/>
        <v>-11598000</v>
      </c>
    </row>
    <row r="466" spans="1:10" ht="15.75" thickBot="1" x14ac:dyDescent="0.3"/>
    <row r="467" spans="1:10" ht="30.75" thickBot="1" x14ac:dyDescent="0.3">
      <c r="A467" s="586" t="s">
        <v>419</v>
      </c>
      <c r="B467" s="587" t="s">
        <v>249</v>
      </c>
      <c r="C467" s="232" t="s">
        <v>250</v>
      </c>
      <c r="D467" s="232" t="s">
        <v>251</v>
      </c>
      <c r="E467" s="232" t="s">
        <v>220</v>
      </c>
      <c r="F467" s="232" t="s">
        <v>221</v>
      </c>
      <c r="G467" s="232" t="s">
        <v>222</v>
      </c>
      <c r="H467" s="232" t="s">
        <v>223</v>
      </c>
      <c r="I467" s="580" t="s">
        <v>96</v>
      </c>
      <c r="J467" s="562" t="s">
        <v>438</v>
      </c>
    </row>
    <row r="468" spans="1:10" ht="15.75" thickTop="1" x14ac:dyDescent="0.25">
      <c r="A468" s="588" t="s">
        <v>427</v>
      </c>
      <c r="B468" s="589">
        <v>9198000</v>
      </c>
      <c r="C468" s="569">
        <v>3133500</v>
      </c>
      <c r="D468" s="569">
        <v>3267700</v>
      </c>
      <c r="E468" s="569">
        <v>4733400</v>
      </c>
      <c r="F468" s="569">
        <v>12516200</v>
      </c>
      <c r="G468" s="569">
        <v>9544300</v>
      </c>
      <c r="H468" s="569">
        <v>10617200</v>
      </c>
      <c r="I468" s="581">
        <f t="shared" ref="I468:I477" si="108">+SUM(B468:H468)</f>
        <v>53010300</v>
      </c>
      <c r="J468" s="564">
        <f>I468-I456</f>
        <v>7041200</v>
      </c>
    </row>
    <row r="469" spans="1:10" x14ac:dyDescent="0.25">
      <c r="A469" s="590" t="s">
        <v>428</v>
      </c>
      <c r="B469" s="591">
        <v>7436300</v>
      </c>
      <c r="C469" s="570">
        <v>2019800</v>
      </c>
      <c r="D469" s="570">
        <v>2716600</v>
      </c>
      <c r="E469" s="570">
        <v>3964100</v>
      </c>
      <c r="F469" s="570">
        <v>9835900</v>
      </c>
      <c r="G469" s="570">
        <v>9733600</v>
      </c>
      <c r="H469" s="570">
        <v>8422900</v>
      </c>
      <c r="I469" s="581">
        <f t="shared" si="108"/>
        <v>44129200</v>
      </c>
      <c r="J469" s="564">
        <f t="shared" ref="J469:J477" si="109">I469-I457</f>
        <v>-31600</v>
      </c>
    </row>
    <row r="470" spans="1:10" x14ac:dyDescent="0.25">
      <c r="A470" s="588" t="s">
        <v>429</v>
      </c>
      <c r="B470" s="592">
        <v>6011500</v>
      </c>
      <c r="C470" s="583">
        <v>1449100</v>
      </c>
      <c r="D470" s="583">
        <v>2314400</v>
      </c>
      <c r="E470" s="569">
        <v>2921500</v>
      </c>
      <c r="F470" s="569">
        <v>6630400</v>
      </c>
      <c r="G470" s="569">
        <v>7539500</v>
      </c>
      <c r="H470" s="569">
        <v>7806400</v>
      </c>
      <c r="I470" s="581">
        <f t="shared" si="108"/>
        <v>34672800</v>
      </c>
      <c r="J470" s="564">
        <f t="shared" si="109"/>
        <v>3949700</v>
      </c>
    </row>
    <row r="471" spans="1:10" x14ac:dyDescent="0.25">
      <c r="A471" s="590" t="s">
        <v>430</v>
      </c>
      <c r="B471" s="591">
        <v>5567200</v>
      </c>
      <c r="C471" s="570">
        <v>3052100</v>
      </c>
      <c r="D471" s="570">
        <v>1967300</v>
      </c>
      <c r="E471" s="570">
        <v>3581500</v>
      </c>
      <c r="F471" s="570">
        <v>6725500</v>
      </c>
      <c r="G471" s="570">
        <v>6560600</v>
      </c>
      <c r="H471" s="570">
        <v>6087900</v>
      </c>
      <c r="I471" s="581">
        <f t="shared" si="108"/>
        <v>33542100</v>
      </c>
      <c r="J471" s="564">
        <f t="shared" si="109"/>
        <v>5152700</v>
      </c>
    </row>
    <row r="472" spans="1:10" x14ac:dyDescent="0.25">
      <c r="A472" s="590" t="s">
        <v>544</v>
      </c>
      <c r="B472" s="591">
        <v>4641200</v>
      </c>
      <c r="C472" s="570">
        <v>2541500</v>
      </c>
      <c r="D472" s="570">
        <v>2584900</v>
      </c>
      <c r="E472" s="570">
        <v>3691700</v>
      </c>
      <c r="F472" s="570">
        <v>8518200</v>
      </c>
      <c r="G472" s="570">
        <v>5441600</v>
      </c>
      <c r="H472" s="570">
        <v>5121000</v>
      </c>
      <c r="I472" s="581">
        <f t="shared" si="108"/>
        <v>32540100</v>
      </c>
      <c r="J472" s="564">
        <f t="shared" si="109"/>
        <v>144900</v>
      </c>
    </row>
    <row r="473" spans="1:10" x14ac:dyDescent="0.25">
      <c r="A473" s="590" t="s">
        <v>545</v>
      </c>
      <c r="B473" s="591">
        <v>2979300</v>
      </c>
      <c r="C473" s="570">
        <v>986600</v>
      </c>
      <c r="D473" s="570">
        <v>1070400</v>
      </c>
      <c r="E473" s="570">
        <v>1811000</v>
      </c>
      <c r="F473" s="570">
        <v>4505500</v>
      </c>
      <c r="G473" s="570">
        <v>3684600</v>
      </c>
      <c r="H473" s="570">
        <v>3386500</v>
      </c>
      <c r="I473" s="581">
        <f t="shared" si="108"/>
        <v>18423900</v>
      </c>
      <c r="J473" s="564">
        <f t="shared" si="109"/>
        <v>1205500</v>
      </c>
    </row>
    <row r="474" spans="1:10" x14ac:dyDescent="0.25">
      <c r="A474" s="590" t="s">
        <v>547</v>
      </c>
      <c r="B474" s="591">
        <v>3365800</v>
      </c>
      <c r="C474" s="570">
        <v>3034300</v>
      </c>
      <c r="D474" s="570">
        <v>2610900</v>
      </c>
      <c r="E474" s="570">
        <v>3395000</v>
      </c>
      <c r="F474" s="570">
        <v>7122600</v>
      </c>
      <c r="G474" s="570">
        <v>4751800</v>
      </c>
      <c r="H474" s="570">
        <v>4484900</v>
      </c>
      <c r="I474" s="581">
        <f t="shared" si="108"/>
        <v>28765300</v>
      </c>
      <c r="J474" s="564">
        <f t="shared" si="109"/>
        <v>1813900</v>
      </c>
    </row>
    <row r="475" spans="1:10" x14ac:dyDescent="0.25">
      <c r="A475" s="680" t="s">
        <v>546</v>
      </c>
      <c r="B475" s="591">
        <v>2753700</v>
      </c>
      <c r="C475" s="570">
        <v>691900</v>
      </c>
      <c r="D475" s="570">
        <v>768800</v>
      </c>
      <c r="E475" s="570">
        <v>704800</v>
      </c>
      <c r="F475" s="570">
        <v>1954700</v>
      </c>
      <c r="G475" s="570">
        <v>2520100</v>
      </c>
      <c r="H475" s="570">
        <v>4563100</v>
      </c>
      <c r="I475" s="581">
        <f t="shared" si="108"/>
        <v>13957100</v>
      </c>
      <c r="J475" s="564">
        <f t="shared" si="109"/>
        <v>-1474700</v>
      </c>
    </row>
    <row r="476" spans="1:10" x14ac:dyDescent="0.25">
      <c r="A476" s="680" t="s">
        <v>622</v>
      </c>
      <c r="B476" s="591">
        <v>10534700</v>
      </c>
      <c r="C476" s="570">
        <v>2505400</v>
      </c>
      <c r="D476" s="570">
        <v>2946500</v>
      </c>
      <c r="E476" s="570">
        <v>4683300</v>
      </c>
      <c r="F476" s="570">
        <v>10459200</v>
      </c>
      <c r="G476" s="570">
        <v>13758000</v>
      </c>
      <c r="H476" s="570">
        <v>12972700</v>
      </c>
      <c r="I476" s="581">
        <f t="shared" si="108"/>
        <v>57859800</v>
      </c>
      <c r="J476" s="564">
        <f t="shared" si="109"/>
        <v>7180700</v>
      </c>
    </row>
    <row r="477" spans="1:10" ht="15.75" thickBot="1" x14ac:dyDescent="0.3">
      <c r="A477" s="593" t="s">
        <v>10</v>
      </c>
      <c r="B477" s="594">
        <f t="shared" ref="B477:H477" si="110">+SUM(B468:B476)</f>
        <v>52487700</v>
      </c>
      <c r="C477" s="579">
        <f t="shared" si="110"/>
        <v>19414200</v>
      </c>
      <c r="D477" s="579">
        <f t="shared" si="110"/>
        <v>20247500</v>
      </c>
      <c r="E477" s="579">
        <f t="shared" si="110"/>
        <v>29486300</v>
      </c>
      <c r="F477" s="579">
        <f t="shared" si="110"/>
        <v>68268200</v>
      </c>
      <c r="G477" s="579">
        <f t="shared" si="110"/>
        <v>63534100</v>
      </c>
      <c r="H477" s="579">
        <f t="shared" si="110"/>
        <v>63462600</v>
      </c>
      <c r="I477" s="582">
        <f t="shared" si="108"/>
        <v>316900600</v>
      </c>
      <c r="J477" s="564">
        <f t="shared" si="109"/>
        <v>24982300</v>
      </c>
    </row>
    <row r="478" spans="1:10" ht="15.75" thickBot="1" x14ac:dyDescent="0.3"/>
    <row r="479" spans="1:10" ht="30.75" thickBot="1" x14ac:dyDescent="0.3">
      <c r="A479" s="586" t="s">
        <v>419</v>
      </c>
      <c r="B479" s="587" t="s">
        <v>225</v>
      </c>
      <c r="C479" s="232" t="s">
        <v>226</v>
      </c>
      <c r="D479" s="232" t="s">
        <v>227</v>
      </c>
      <c r="E479" s="232" t="s">
        <v>228</v>
      </c>
      <c r="F479" s="232" t="s">
        <v>229</v>
      </c>
      <c r="G479" s="232" t="s">
        <v>230</v>
      </c>
      <c r="H479" s="232" t="s">
        <v>231</v>
      </c>
      <c r="I479" s="580" t="s">
        <v>96</v>
      </c>
      <c r="J479" s="562" t="s">
        <v>438</v>
      </c>
    </row>
    <row r="480" spans="1:10" ht="15.75" thickTop="1" x14ac:dyDescent="0.25">
      <c r="A480" s="588" t="s">
        <v>427</v>
      </c>
      <c r="B480" s="589">
        <v>9861300</v>
      </c>
      <c r="C480" s="569">
        <v>2972400</v>
      </c>
      <c r="D480" s="569">
        <v>3832900</v>
      </c>
      <c r="E480" s="569">
        <v>3978100</v>
      </c>
      <c r="F480" s="569">
        <v>9108200</v>
      </c>
      <c r="G480" s="569">
        <v>11492200</v>
      </c>
      <c r="H480" s="569">
        <v>12504300</v>
      </c>
      <c r="I480" s="581">
        <f t="shared" ref="I480:I489" si="111">+SUM(B480:H480)</f>
        <v>53749400</v>
      </c>
      <c r="J480" s="564">
        <f>I480-I468</f>
        <v>739100</v>
      </c>
    </row>
    <row r="481" spans="1:10" x14ac:dyDescent="0.25">
      <c r="A481" s="590" t="s">
        <v>428</v>
      </c>
      <c r="B481" s="591">
        <v>9041400</v>
      </c>
      <c r="C481" s="570">
        <v>2442100</v>
      </c>
      <c r="D481" s="570">
        <v>2997000</v>
      </c>
      <c r="E481" s="570">
        <v>3457500</v>
      </c>
      <c r="F481" s="570">
        <v>8837000</v>
      </c>
      <c r="G481" s="570">
        <v>9557000</v>
      </c>
      <c r="H481" s="570">
        <v>9596800</v>
      </c>
      <c r="I481" s="581">
        <f t="shared" si="111"/>
        <v>45928800</v>
      </c>
      <c r="J481" s="564">
        <f t="shared" ref="J481:J489" si="112">I481-I469</f>
        <v>1799600</v>
      </c>
    </row>
    <row r="482" spans="1:10" x14ac:dyDescent="0.25">
      <c r="A482" s="588" t="s">
        <v>429</v>
      </c>
      <c r="B482" s="592">
        <v>6120300</v>
      </c>
      <c r="C482" s="583">
        <v>1710000</v>
      </c>
      <c r="D482" s="583">
        <v>2223200</v>
      </c>
      <c r="E482" s="569">
        <v>2880000</v>
      </c>
      <c r="F482" s="569">
        <v>6111400</v>
      </c>
      <c r="G482" s="569">
        <v>9415900</v>
      </c>
      <c r="H482" s="569">
        <v>6866100</v>
      </c>
      <c r="I482" s="581">
        <f t="shared" si="111"/>
        <v>35326900</v>
      </c>
      <c r="J482" s="564">
        <f t="shared" si="112"/>
        <v>654100</v>
      </c>
    </row>
    <row r="483" spans="1:10" x14ac:dyDescent="0.25">
      <c r="A483" s="590" t="s">
        <v>430</v>
      </c>
      <c r="B483" s="591">
        <v>5903700</v>
      </c>
      <c r="C483" s="570">
        <v>3037200</v>
      </c>
      <c r="D483" s="570">
        <v>2928100</v>
      </c>
      <c r="E483" s="570">
        <v>2469100</v>
      </c>
      <c r="F483" s="570">
        <v>5993300</v>
      </c>
      <c r="G483" s="570">
        <v>7534700</v>
      </c>
      <c r="H483" s="570">
        <v>6122400</v>
      </c>
      <c r="I483" s="581">
        <f t="shared" si="111"/>
        <v>33988500</v>
      </c>
      <c r="J483" s="564">
        <f t="shared" si="112"/>
        <v>446400</v>
      </c>
    </row>
    <row r="484" spans="1:10" x14ac:dyDescent="0.25">
      <c r="A484" s="590" t="s">
        <v>544</v>
      </c>
      <c r="B484" s="591">
        <v>5419400</v>
      </c>
      <c r="C484" s="570">
        <v>3142000</v>
      </c>
      <c r="D484" s="570">
        <v>3021000</v>
      </c>
      <c r="E484" s="570">
        <v>3543100</v>
      </c>
      <c r="F484" s="570">
        <v>7182700</v>
      </c>
      <c r="G484" s="570">
        <v>7171500</v>
      </c>
      <c r="H484" s="570">
        <v>6447700</v>
      </c>
      <c r="I484" s="581">
        <f t="shared" si="111"/>
        <v>35927400</v>
      </c>
      <c r="J484" s="564">
        <f t="shared" si="112"/>
        <v>3387300</v>
      </c>
    </row>
    <row r="485" spans="1:10" x14ac:dyDescent="0.25">
      <c r="A485" s="590" t="s">
        <v>545</v>
      </c>
      <c r="B485" s="591">
        <v>4281000</v>
      </c>
      <c r="C485" s="570">
        <v>981800</v>
      </c>
      <c r="D485" s="570">
        <v>1669400</v>
      </c>
      <c r="E485" s="570">
        <v>1419600</v>
      </c>
      <c r="F485" s="570">
        <v>3404300</v>
      </c>
      <c r="G485" s="570">
        <v>4630500</v>
      </c>
      <c r="H485" s="570">
        <v>4235300</v>
      </c>
      <c r="I485" s="581">
        <f t="shared" si="111"/>
        <v>20621900</v>
      </c>
      <c r="J485" s="564">
        <f t="shared" si="112"/>
        <v>2198000</v>
      </c>
    </row>
    <row r="486" spans="1:10" x14ac:dyDescent="0.25">
      <c r="A486" s="590" t="s">
        <v>547</v>
      </c>
      <c r="B486" s="591">
        <v>4702000</v>
      </c>
      <c r="C486" s="570">
        <v>3574500</v>
      </c>
      <c r="D486" s="570">
        <v>3018000</v>
      </c>
      <c r="E486" s="570">
        <v>3693400</v>
      </c>
      <c r="F486" s="570">
        <v>6596400</v>
      </c>
      <c r="G486" s="570">
        <v>3815000</v>
      </c>
      <c r="H486" s="570">
        <v>5204400</v>
      </c>
      <c r="I486" s="581">
        <f t="shared" si="111"/>
        <v>30603700</v>
      </c>
      <c r="J486" s="564">
        <f t="shared" si="112"/>
        <v>1838400</v>
      </c>
    </row>
    <row r="487" spans="1:10" x14ac:dyDescent="0.25">
      <c r="A487" s="680" t="s">
        <v>546</v>
      </c>
      <c r="B487" s="591">
        <v>2623200</v>
      </c>
      <c r="C487" s="570">
        <v>910800</v>
      </c>
      <c r="D487" s="570">
        <v>842800</v>
      </c>
      <c r="E487" s="570">
        <v>1208900</v>
      </c>
      <c r="F487" s="570">
        <v>1735100</v>
      </c>
      <c r="G487" s="570">
        <v>3890400</v>
      </c>
      <c r="H487" s="570">
        <v>3514100</v>
      </c>
      <c r="I487" s="581">
        <f t="shared" si="111"/>
        <v>14725300</v>
      </c>
      <c r="J487" s="564">
        <f t="shared" si="112"/>
        <v>768200</v>
      </c>
    </row>
    <row r="488" spans="1:10" x14ac:dyDescent="0.25">
      <c r="A488" s="680" t="s">
        <v>622</v>
      </c>
      <c r="B488" s="591">
        <v>11193100</v>
      </c>
      <c r="C488" s="570">
        <v>2956600</v>
      </c>
      <c r="D488" s="570">
        <v>2811300</v>
      </c>
      <c r="E488" s="570">
        <v>3766300</v>
      </c>
      <c r="F488" s="570">
        <v>8650900</v>
      </c>
      <c r="G488" s="570">
        <v>13714500</v>
      </c>
      <c r="H488" s="570">
        <v>10225900</v>
      </c>
      <c r="I488" s="581">
        <f t="shared" si="111"/>
        <v>53318600</v>
      </c>
      <c r="J488" s="564">
        <f t="shared" si="112"/>
        <v>-4541200</v>
      </c>
    </row>
    <row r="489" spans="1:10" ht="15.75" thickBot="1" x14ac:dyDescent="0.3">
      <c r="A489" s="593" t="s">
        <v>10</v>
      </c>
      <c r="B489" s="594">
        <f t="shared" ref="B489:H489" si="113">+SUM(B480:B488)</f>
        <v>59145400</v>
      </c>
      <c r="C489" s="579">
        <f t="shared" si="113"/>
        <v>21727400</v>
      </c>
      <c r="D489" s="579">
        <f t="shared" si="113"/>
        <v>23343700</v>
      </c>
      <c r="E489" s="579">
        <f t="shared" si="113"/>
        <v>26416000</v>
      </c>
      <c r="F489" s="579">
        <f t="shared" si="113"/>
        <v>57619300</v>
      </c>
      <c r="G489" s="579">
        <f t="shared" si="113"/>
        <v>71221700</v>
      </c>
      <c r="H489" s="579">
        <f t="shared" si="113"/>
        <v>64717000</v>
      </c>
      <c r="I489" s="582">
        <f t="shared" si="111"/>
        <v>324190500</v>
      </c>
      <c r="J489" s="564">
        <f t="shared" si="112"/>
        <v>7289900</v>
      </c>
    </row>
    <row r="490" spans="1:10" ht="15.75" thickBot="1" x14ac:dyDescent="0.3"/>
    <row r="491" spans="1:10" ht="30.75" thickBot="1" x14ac:dyDescent="0.3">
      <c r="A491" s="586" t="s">
        <v>419</v>
      </c>
      <c r="B491" s="587" t="s">
        <v>233</v>
      </c>
      <c r="C491" s="232" t="s">
        <v>234</v>
      </c>
      <c r="D491" s="232" t="s">
        <v>235</v>
      </c>
      <c r="E491" s="232" t="s">
        <v>236</v>
      </c>
      <c r="F491" s="232" t="s">
        <v>237</v>
      </c>
      <c r="G491" s="232" t="s">
        <v>238</v>
      </c>
      <c r="H491" s="232" t="s">
        <v>239</v>
      </c>
      <c r="I491" s="580" t="s">
        <v>96</v>
      </c>
      <c r="J491" s="562" t="s">
        <v>438</v>
      </c>
    </row>
    <row r="492" spans="1:10" ht="15.75" thickTop="1" x14ac:dyDescent="0.25">
      <c r="A492" s="588" t="s">
        <v>427</v>
      </c>
      <c r="B492" s="589">
        <v>4118300</v>
      </c>
      <c r="C492" s="569">
        <v>3964100</v>
      </c>
      <c r="D492" s="569">
        <v>3881500</v>
      </c>
      <c r="E492" s="569">
        <v>5178100</v>
      </c>
      <c r="F492" s="569">
        <v>10427100</v>
      </c>
      <c r="G492" s="569">
        <v>11456100</v>
      </c>
      <c r="H492" s="569">
        <v>11523500</v>
      </c>
      <c r="I492" s="581">
        <f t="shared" ref="I492:I501" si="114">+SUM(B492:H492)</f>
        <v>50548700</v>
      </c>
      <c r="J492" s="564">
        <f>I492-I480</f>
        <v>-3200700</v>
      </c>
    </row>
    <row r="493" spans="1:10" x14ac:dyDescent="0.25">
      <c r="A493" s="590" t="s">
        <v>428</v>
      </c>
      <c r="B493" s="591">
        <v>3197500</v>
      </c>
      <c r="C493" s="570">
        <v>2866800</v>
      </c>
      <c r="D493" s="570">
        <v>4618400</v>
      </c>
      <c r="E493" s="570">
        <v>4563500</v>
      </c>
      <c r="F493" s="570">
        <v>7840100</v>
      </c>
      <c r="G493" s="570">
        <v>11236400</v>
      </c>
      <c r="H493" s="570">
        <v>10099300</v>
      </c>
      <c r="I493" s="581">
        <f t="shared" si="114"/>
        <v>44422000</v>
      </c>
      <c r="J493" s="564">
        <f t="shared" ref="J493:J501" si="115">I493-I481</f>
        <v>-1506800</v>
      </c>
    </row>
    <row r="494" spans="1:10" x14ac:dyDescent="0.25">
      <c r="A494" s="588" t="s">
        <v>429</v>
      </c>
      <c r="B494" s="592">
        <v>2509400</v>
      </c>
      <c r="C494" s="583">
        <v>2364900</v>
      </c>
      <c r="D494" s="583">
        <v>2532000</v>
      </c>
      <c r="E494" s="569">
        <v>2485400</v>
      </c>
      <c r="F494" s="569">
        <v>6157300</v>
      </c>
      <c r="G494" s="569">
        <v>8976900</v>
      </c>
      <c r="H494" s="569">
        <v>6785000</v>
      </c>
      <c r="I494" s="581">
        <f t="shared" si="114"/>
        <v>31810900</v>
      </c>
      <c r="J494" s="564">
        <f t="shared" si="115"/>
        <v>-3516000</v>
      </c>
    </row>
    <row r="495" spans="1:10" x14ac:dyDescent="0.25">
      <c r="A495" s="590" t="s">
        <v>430</v>
      </c>
      <c r="B495" s="591">
        <v>2736400</v>
      </c>
      <c r="C495" s="570">
        <v>2929600</v>
      </c>
      <c r="D495" s="570">
        <v>3109200</v>
      </c>
      <c r="E495" s="570">
        <v>3649600</v>
      </c>
      <c r="F495" s="570">
        <v>5832400</v>
      </c>
      <c r="G495" s="570">
        <v>7220500</v>
      </c>
      <c r="H495" s="570">
        <v>6095600</v>
      </c>
      <c r="I495" s="581">
        <f t="shared" si="114"/>
        <v>31573300</v>
      </c>
      <c r="J495" s="564">
        <f t="shared" si="115"/>
        <v>-2415200</v>
      </c>
    </row>
    <row r="496" spans="1:10" x14ac:dyDescent="0.25">
      <c r="A496" s="590" t="s">
        <v>544</v>
      </c>
      <c r="B496" s="591">
        <v>3404000</v>
      </c>
      <c r="C496" s="570">
        <v>3319600</v>
      </c>
      <c r="D496" s="570">
        <v>3094800</v>
      </c>
      <c r="E496" s="570">
        <v>3757300</v>
      </c>
      <c r="F496" s="570">
        <v>6781800</v>
      </c>
      <c r="G496" s="570">
        <v>6760400</v>
      </c>
      <c r="H496" s="570">
        <v>5247300</v>
      </c>
      <c r="I496" s="581">
        <f t="shared" si="114"/>
        <v>32365200</v>
      </c>
      <c r="J496" s="564">
        <f t="shared" si="115"/>
        <v>-3562200</v>
      </c>
    </row>
    <row r="497" spans="1:10" x14ac:dyDescent="0.25">
      <c r="A497" s="590" t="s">
        <v>545</v>
      </c>
      <c r="B497" s="591">
        <v>1342300</v>
      </c>
      <c r="C497" s="570">
        <v>2003200</v>
      </c>
      <c r="D497" s="570">
        <v>1337900</v>
      </c>
      <c r="E497" s="570">
        <v>1548000</v>
      </c>
      <c r="F497" s="570">
        <v>4016300</v>
      </c>
      <c r="G497" s="570">
        <v>4375600</v>
      </c>
      <c r="H497" s="570">
        <v>3637700</v>
      </c>
      <c r="I497" s="581">
        <f t="shared" si="114"/>
        <v>18261000</v>
      </c>
      <c r="J497" s="564">
        <f t="shared" si="115"/>
        <v>-2360900</v>
      </c>
    </row>
    <row r="498" spans="1:10" x14ac:dyDescent="0.25">
      <c r="A498" s="590" t="s">
        <v>547</v>
      </c>
      <c r="B498" s="591">
        <v>2341300</v>
      </c>
      <c r="C498" s="570">
        <v>2930900</v>
      </c>
      <c r="D498" s="570">
        <v>4048200</v>
      </c>
      <c r="E498" s="570">
        <v>3167800</v>
      </c>
      <c r="F498" s="570">
        <v>5560100</v>
      </c>
      <c r="G498" s="570">
        <v>5559600</v>
      </c>
      <c r="H498" s="570">
        <v>4805800</v>
      </c>
      <c r="I498" s="581">
        <f t="shared" si="114"/>
        <v>28413700</v>
      </c>
      <c r="J498" s="564">
        <f t="shared" si="115"/>
        <v>-2190000</v>
      </c>
    </row>
    <row r="499" spans="1:10" x14ac:dyDescent="0.25">
      <c r="A499" s="680" t="s">
        <v>546</v>
      </c>
      <c r="B499" s="591">
        <v>736100</v>
      </c>
      <c r="C499" s="570">
        <v>920500</v>
      </c>
      <c r="D499" s="570">
        <v>876600</v>
      </c>
      <c r="E499" s="570">
        <v>1188600</v>
      </c>
      <c r="F499" s="570">
        <v>1793600</v>
      </c>
      <c r="G499" s="570">
        <v>3106500</v>
      </c>
      <c r="H499" s="570">
        <v>2611900</v>
      </c>
      <c r="I499" s="581">
        <f t="shared" si="114"/>
        <v>11233800</v>
      </c>
      <c r="J499" s="564">
        <f t="shared" si="115"/>
        <v>-3491500</v>
      </c>
    </row>
    <row r="500" spans="1:10" x14ac:dyDescent="0.25">
      <c r="A500" s="680" t="s">
        <v>622</v>
      </c>
      <c r="B500" s="591">
        <v>2500500</v>
      </c>
      <c r="C500" s="570">
        <v>3001900</v>
      </c>
      <c r="D500" s="570">
        <v>3552900</v>
      </c>
      <c r="E500" s="570">
        <v>4313500</v>
      </c>
      <c r="F500" s="570">
        <v>9840300</v>
      </c>
      <c r="G500" s="570">
        <v>14152600</v>
      </c>
      <c r="H500" s="570">
        <v>11418500</v>
      </c>
      <c r="I500" s="581">
        <f t="shared" si="114"/>
        <v>48780200</v>
      </c>
      <c r="J500" s="564">
        <f t="shared" si="115"/>
        <v>-4538400</v>
      </c>
    </row>
    <row r="501" spans="1:10" ht="15.75" thickBot="1" x14ac:dyDescent="0.3">
      <c r="A501" s="593" t="s">
        <v>10</v>
      </c>
      <c r="B501" s="594">
        <f t="shared" ref="B501:H501" si="116">+SUM(B492:B500)</f>
        <v>22885800</v>
      </c>
      <c r="C501" s="579">
        <f t="shared" si="116"/>
        <v>24301500</v>
      </c>
      <c r="D501" s="579">
        <f t="shared" si="116"/>
        <v>27051500</v>
      </c>
      <c r="E501" s="579">
        <f t="shared" si="116"/>
        <v>29851800</v>
      </c>
      <c r="F501" s="579">
        <f t="shared" si="116"/>
        <v>58249000</v>
      </c>
      <c r="G501" s="579">
        <f t="shared" si="116"/>
        <v>72844600</v>
      </c>
      <c r="H501" s="579">
        <f t="shared" si="116"/>
        <v>62224600</v>
      </c>
      <c r="I501" s="582">
        <f t="shared" si="114"/>
        <v>297408800</v>
      </c>
      <c r="J501" s="564">
        <f t="shared" si="115"/>
        <v>-26781700</v>
      </c>
    </row>
    <row r="502" spans="1:10" ht="15.75" thickBot="1" x14ac:dyDescent="0.3"/>
    <row r="503" spans="1:10" ht="30.75" thickBot="1" x14ac:dyDescent="0.3">
      <c r="A503" s="586" t="s">
        <v>419</v>
      </c>
      <c r="B503" s="587" t="s">
        <v>241</v>
      </c>
      <c r="C503" s="232" t="s">
        <v>255</v>
      </c>
      <c r="D503" s="232" t="s">
        <v>256</v>
      </c>
      <c r="E503" s="232" t="s">
        <v>324</v>
      </c>
      <c r="F503" s="232" t="s">
        <v>325</v>
      </c>
      <c r="G503" s="232" t="s">
        <v>326</v>
      </c>
      <c r="H503" s="232" t="s">
        <v>327</v>
      </c>
      <c r="I503" s="580" t="s">
        <v>96</v>
      </c>
      <c r="J503" s="562" t="s">
        <v>438</v>
      </c>
    </row>
    <row r="504" spans="1:10" ht="15.75" thickTop="1" x14ac:dyDescent="0.25">
      <c r="A504" s="588" t="s">
        <v>427</v>
      </c>
      <c r="B504" s="589">
        <v>2947300</v>
      </c>
      <c r="C504" s="569">
        <v>3853800</v>
      </c>
      <c r="D504" s="569">
        <v>5608800</v>
      </c>
      <c r="E504" s="569">
        <v>5736500</v>
      </c>
      <c r="F504" s="569">
        <v>10112100</v>
      </c>
      <c r="G504" s="569">
        <v>11714100</v>
      </c>
      <c r="H504" s="569">
        <v>11205300</v>
      </c>
      <c r="I504" s="581">
        <f t="shared" ref="I504:I513" si="117">+SUM(B504:H504)</f>
        <v>51177900</v>
      </c>
      <c r="J504" s="564">
        <f>I504-I492</f>
        <v>629200</v>
      </c>
    </row>
    <row r="505" spans="1:10" x14ac:dyDescent="0.25">
      <c r="A505" s="590" t="s">
        <v>428</v>
      </c>
      <c r="B505" s="591">
        <v>2999700</v>
      </c>
      <c r="C505" s="570">
        <v>3410300</v>
      </c>
      <c r="D505" s="570">
        <v>3521900</v>
      </c>
      <c r="E505" s="570">
        <v>4059000</v>
      </c>
      <c r="F505" s="570">
        <v>8665200</v>
      </c>
      <c r="G505" s="570">
        <v>11421800</v>
      </c>
      <c r="H505" s="570">
        <v>10852900</v>
      </c>
      <c r="I505" s="581">
        <f t="shared" si="117"/>
        <v>44930800</v>
      </c>
      <c r="J505" s="564">
        <f t="shared" ref="J505:J513" si="118">I505-I493</f>
        <v>508800</v>
      </c>
    </row>
    <row r="506" spans="1:10" x14ac:dyDescent="0.25">
      <c r="A506" s="588" t="s">
        <v>429</v>
      </c>
      <c r="B506" s="592">
        <v>1993000</v>
      </c>
      <c r="C506" s="583">
        <v>3576200</v>
      </c>
      <c r="D506" s="583">
        <v>3425800</v>
      </c>
      <c r="E506" s="569">
        <v>3417300</v>
      </c>
      <c r="F506" s="569">
        <v>5900900</v>
      </c>
      <c r="G506" s="569">
        <v>8714400</v>
      </c>
      <c r="H506" s="569">
        <v>7575600</v>
      </c>
      <c r="I506" s="581">
        <f t="shared" si="117"/>
        <v>34603200</v>
      </c>
      <c r="J506" s="564">
        <f t="shared" si="118"/>
        <v>2792300</v>
      </c>
    </row>
    <row r="507" spans="1:10" x14ac:dyDescent="0.25">
      <c r="A507" s="590" t="s">
        <v>430</v>
      </c>
      <c r="B507" s="591">
        <v>2382300</v>
      </c>
      <c r="C507" s="570">
        <v>3256100</v>
      </c>
      <c r="D507" s="570">
        <v>3448300</v>
      </c>
      <c r="E507" s="570">
        <v>3256700</v>
      </c>
      <c r="F507" s="570">
        <v>6688100</v>
      </c>
      <c r="G507" s="570">
        <v>8216200</v>
      </c>
      <c r="H507" s="570">
        <v>7318400</v>
      </c>
      <c r="I507" s="581">
        <f t="shared" si="117"/>
        <v>34566100</v>
      </c>
      <c r="J507" s="564">
        <f t="shared" si="118"/>
        <v>2992800</v>
      </c>
    </row>
    <row r="508" spans="1:10" x14ac:dyDescent="0.25">
      <c r="A508" s="590" t="s">
        <v>544</v>
      </c>
      <c r="B508" s="591">
        <v>3797000</v>
      </c>
      <c r="C508" s="570">
        <v>3847900</v>
      </c>
      <c r="D508" s="570">
        <v>4655600</v>
      </c>
      <c r="E508" s="570">
        <v>5560500</v>
      </c>
      <c r="F508" s="570">
        <v>7393700</v>
      </c>
      <c r="G508" s="570">
        <v>5892700</v>
      </c>
      <c r="H508" s="570">
        <v>5821500</v>
      </c>
      <c r="I508" s="581">
        <f t="shared" si="117"/>
        <v>36968900</v>
      </c>
      <c r="J508" s="564">
        <f t="shared" si="118"/>
        <v>4603700</v>
      </c>
    </row>
    <row r="509" spans="1:10" x14ac:dyDescent="0.25">
      <c r="A509" s="590" t="s">
        <v>545</v>
      </c>
      <c r="B509" s="591">
        <v>1907100</v>
      </c>
      <c r="C509" s="570">
        <v>2306100</v>
      </c>
      <c r="D509" s="570">
        <v>2603100</v>
      </c>
      <c r="E509" s="570">
        <v>3147100</v>
      </c>
      <c r="F509" s="570">
        <v>4430600</v>
      </c>
      <c r="G509" s="570">
        <v>5591200</v>
      </c>
      <c r="H509" s="570">
        <v>4581700</v>
      </c>
      <c r="I509" s="581">
        <f t="shared" si="117"/>
        <v>24566900</v>
      </c>
      <c r="J509" s="564">
        <f t="shared" si="118"/>
        <v>6305900</v>
      </c>
    </row>
    <row r="510" spans="1:10" x14ac:dyDescent="0.25">
      <c r="A510" s="590" t="s">
        <v>547</v>
      </c>
      <c r="B510" s="591">
        <v>2605900</v>
      </c>
      <c r="C510" s="570">
        <v>3721300</v>
      </c>
      <c r="D510" s="570">
        <v>4507900</v>
      </c>
      <c r="E510" s="570">
        <v>4152800</v>
      </c>
      <c r="F510" s="570">
        <v>6288500</v>
      </c>
      <c r="G510" s="570">
        <v>5035800</v>
      </c>
      <c r="H510" s="570">
        <v>5466200</v>
      </c>
      <c r="I510" s="581">
        <f t="shared" si="117"/>
        <v>31778400</v>
      </c>
      <c r="J510" s="564">
        <f t="shared" si="118"/>
        <v>3364700</v>
      </c>
    </row>
    <row r="511" spans="1:10" x14ac:dyDescent="0.25">
      <c r="A511" s="680" t="s">
        <v>546</v>
      </c>
      <c r="B511" s="591">
        <v>1734900</v>
      </c>
      <c r="C511" s="570">
        <v>1643000</v>
      </c>
      <c r="D511" s="570">
        <v>1871100</v>
      </c>
      <c r="E511" s="570">
        <v>2171100</v>
      </c>
      <c r="F511" s="570">
        <v>2691400</v>
      </c>
      <c r="G511" s="570">
        <v>3447300</v>
      </c>
      <c r="H511" s="570">
        <v>3858600</v>
      </c>
      <c r="I511" s="581">
        <f t="shared" si="117"/>
        <v>17417400</v>
      </c>
      <c r="J511" s="564">
        <f t="shared" si="118"/>
        <v>6183600</v>
      </c>
    </row>
    <row r="512" spans="1:10" x14ac:dyDescent="0.25">
      <c r="A512" s="680" t="s">
        <v>622</v>
      </c>
      <c r="B512" s="591">
        <v>3293300</v>
      </c>
      <c r="C512" s="570">
        <v>3711100</v>
      </c>
      <c r="D512" s="570">
        <v>4799900</v>
      </c>
      <c r="E512" s="570">
        <v>3938800</v>
      </c>
      <c r="F512" s="570">
        <v>9445100</v>
      </c>
      <c r="G512" s="570">
        <v>12748400</v>
      </c>
      <c r="H512" s="570">
        <v>10905900</v>
      </c>
      <c r="I512" s="581">
        <f t="shared" si="117"/>
        <v>48842500</v>
      </c>
      <c r="J512" s="564">
        <f t="shared" si="118"/>
        <v>62300</v>
      </c>
    </row>
    <row r="513" spans="1:10" ht="15.75" thickBot="1" x14ac:dyDescent="0.3">
      <c r="A513" s="593" t="s">
        <v>10</v>
      </c>
      <c r="B513" s="594">
        <f t="shared" ref="B513:H513" si="119">+SUM(B504:B512)</f>
        <v>23660500</v>
      </c>
      <c r="C513" s="579">
        <f t="shared" si="119"/>
        <v>29325800</v>
      </c>
      <c r="D513" s="579">
        <f t="shared" si="119"/>
        <v>34442400</v>
      </c>
      <c r="E513" s="579">
        <f t="shared" si="119"/>
        <v>35439800</v>
      </c>
      <c r="F513" s="579">
        <f t="shared" si="119"/>
        <v>61615600</v>
      </c>
      <c r="G513" s="579">
        <f t="shared" si="119"/>
        <v>72781900</v>
      </c>
      <c r="H513" s="579">
        <f t="shared" si="119"/>
        <v>67586100</v>
      </c>
      <c r="I513" s="582">
        <f t="shared" si="117"/>
        <v>324852100</v>
      </c>
      <c r="J513" s="564">
        <f t="shared" si="118"/>
        <v>27443300</v>
      </c>
    </row>
    <row r="514" spans="1:10" ht="15.75" thickBot="1" x14ac:dyDescent="0.3"/>
    <row r="515" spans="1:10" ht="30.75" thickBot="1" x14ac:dyDescent="0.3">
      <c r="A515" s="586" t="s">
        <v>419</v>
      </c>
      <c r="B515" s="587" t="s">
        <v>329</v>
      </c>
      <c r="C515" s="232" t="s">
        <v>330</v>
      </c>
      <c r="D515" s="232" t="s">
        <v>331</v>
      </c>
      <c r="E515" s="232" t="s">
        <v>332</v>
      </c>
      <c r="F515" s="232" t="s">
        <v>333</v>
      </c>
      <c r="G515" s="232" t="s">
        <v>334</v>
      </c>
      <c r="H515" s="232" t="s">
        <v>335</v>
      </c>
      <c r="I515" s="580" t="s">
        <v>96</v>
      </c>
      <c r="J515" s="562" t="s">
        <v>438</v>
      </c>
    </row>
    <row r="516" spans="1:10" ht="15.75" thickTop="1" x14ac:dyDescent="0.25">
      <c r="A516" s="588" t="s">
        <v>427</v>
      </c>
      <c r="B516" s="589">
        <v>3901800</v>
      </c>
      <c r="C516" s="569">
        <v>5021300</v>
      </c>
      <c r="D516" s="569">
        <v>7851900</v>
      </c>
      <c r="E516" s="569">
        <v>10555300</v>
      </c>
      <c r="F516" s="569">
        <v>7003200</v>
      </c>
      <c r="G516" s="569">
        <v>10526300</v>
      </c>
      <c r="H516" s="569">
        <v>9852300</v>
      </c>
      <c r="I516" s="581">
        <f t="shared" ref="I516:I524" si="120">+SUM(B516:H516)</f>
        <v>54712100</v>
      </c>
      <c r="J516" s="564">
        <f>I516-I504</f>
        <v>3534200</v>
      </c>
    </row>
    <row r="517" spans="1:10" x14ac:dyDescent="0.25">
      <c r="A517" s="590" t="s">
        <v>428</v>
      </c>
      <c r="B517" s="591">
        <v>2752200</v>
      </c>
      <c r="C517" s="570">
        <v>3649200</v>
      </c>
      <c r="D517" s="570">
        <v>7312200</v>
      </c>
      <c r="E517" s="570">
        <v>8641550</v>
      </c>
      <c r="F517" s="570">
        <v>6037100</v>
      </c>
      <c r="G517" s="570">
        <v>10379700</v>
      </c>
      <c r="H517" s="570">
        <v>8191100</v>
      </c>
      <c r="I517" s="581">
        <f t="shared" si="120"/>
        <v>46963050</v>
      </c>
      <c r="J517" s="564">
        <f t="shared" ref="J517:J525" si="121">I517-I505</f>
        <v>2032250</v>
      </c>
    </row>
    <row r="518" spans="1:10" x14ac:dyDescent="0.25">
      <c r="A518" s="588" t="s">
        <v>429</v>
      </c>
      <c r="B518" s="592">
        <v>2847900</v>
      </c>
      <c r="C518" s="583">
        <v>3204600</v>
      </c>
      <c r="D518" s="583">
        <v>4902000</v>
      </c>
      <c r="E518" s="569">
        <v>6969200</v>
      </c>
      <c r="F518" s="569">
        <v>5671000</v>
      </c>
      <c r="G518" s="569">
        <v>6966200</v>
      </c>
      <c r="H518" s="569">
        <v>7311100</v>
      </c>
      <c r="I518" s="581">
        <f t="shared" si="120"/>
        <v>37872000</v>
      </c>
      <c r="J518" s="564">
        <f t="shared" si="121"/>
        <v>3268800</v>
      </c>
    </row>
    <row r="519" spans="1:10" x14ac:dyDescent="0.25">
      <c r="A519" s="590" t="s">
        <v>430</v>
      </c>
      <c r="B519" s="591">
        <v>2622900</v>
      </c>
      <c r="C519" s="570">
        <v>4316000</v>
      </c>
      <c r="D519" s="570">
        <v>5614300</v>
      </c>
      <c r="E519" s="570">
        <v>6519300</v>
      </c>
      <c r="F519" s="570">
        <v>4884300</v>
      </c>
      <c r="G519" s="570">
        <v>7038200</v>
      </c>
      <c r="H519" s="570">
        <v>7220600</v>
      </c>
      <c r="I519" s="581">
        <f t="shared" si="120"/>
        <v>38215600</v>
      </c>
      <c r="J519" s="564">
        <f t="shared" si="121"/>
        <v>3649500</v>
      </c>
    </row>
    <row r="520" spans="1:10" x14ac:dyDescent="0.25">
      <c r="A520" s="590" t="s">
        <v>544</v>
      </c>
      <c r="B520" s="591">
        <v>3527200</v>
      </c>
      <c r="C520" s="570">
        <v>3059300</v>
      </c>
      <c r="D520" s="570">
        <v>5150500</v>
      </c>
      <c r="E520" s="570">
        <v>6005700</v>
      </c>
      <c r="F520" s="570">
        <v>5216000</v>
      </c>
      <c r="G520" s="570">
        <v>6385300</v>
      </c>
      <c r="H520" s="570">
        <v>4036800</v>
      </c>
      <c r="I520" s="581">
        <f t="shared" si="120"/>
        <v>33380800</v>
      </c>
      <c r="J520" s="564">
        <f t="shared" si="121"/>
        <v>-3588100</v>
      </c>
    </row>
    <row r="521" spans="1:10" x14ac:dyDescent="0.25">
      <c r="A521" s="590" t="s">
        <v>545</v>
      </c>
      <c r="B521" s="591">
        <v>1360400</v>
      </c>
      <c r="C521" s="570">
        <v>1441900</v>
      </c>
      <c r="D521" s="570">
        <v>3780100</v>
      </c>
      <c r="E521" s="570">
        <v>4340300</v>
      </c>
      <c r="F521" s="570">
        <v>4103300</v>
      </c>
      <c r="G521" s="570">
        <v>4614700</v>
      </c>
      <c r="H521" s="570">
        <v>3791400</v>
      </c>
      <c r="I521" s="581">
        <f t="shared" si="120"/>
        <v>23432100</v>
      </c>
      <c r="J521" s="564">
        <f t="shared" si="121"/>
        <v>-1134800</v>
      </c>
    </row>
    <row r="522" spans="1:10" x14ac:dyDescent="0.25">
      <c r="A522" s="590" t="s">
        <v>547</v>
      </c>
      <c r="B522" s="591">
        <v>3091100</v>
      </c>
      <c r="C522" s="570">
        <v>2810100</v>
      </c>
      <c r="D522" s="570">
        <v>5264900</v>
      </c>
      <c r="E522" s="570">
        <v>4249700</v>
      </c>
      <c r="F522" s="570">
        <v>3653200</v>
      </c>
      <c r="G522" s="570">
        <v>4163400</v>
      </c>
      <c r="H522" s="570">
        <v>3323900</v>
      </c>
      <c r="I522" s="581">
        <f t="shared" si="120"/>
        <v>26556300</v>
      </c>
      <c r="J522" s="564">
        <f t="shared" si="121"/>
        <v>-5222100</v>
      </c>
    </row>
    <row r="523" spans="1:10" x14ac:dyDescent="0.25">
      <c r="A523" s="680" t="s">
        <v>546</v>
      </c>
      <c r="B523" s="591">
        <v>1327000</v>
      </c>
      <c r="C523" s="570">
        <v>2041700</v>
      </c>
      <c r="D523" s="570">
        <v>2266100</v>
      </c>
      <c r="E523" s="570">
        <v>3370900</v>
      </c>
      <c r="F523" s="570">
        <v>2183100</v>
      </c>
      <c r="G523" s="570">
        <v>3724200</v>
      </c>
      <c r="H523" s="570">
        <v>3529000</v>
      </c>
      <c r="I523" s="581">
        <f t="shared" si="120"/>
        <v>18442000</v>
      </c>
      <c r="J523" s="564">
        <f t="shared" si="121"/>
        <v>1024600</v>
      </c>
    </row>
    <row r="524" spans="1:10" x14ac:dyDescent="0.25">
      <c r="A524" s="680" t="s">
        <v>622</v>
      </c>
      <c r="B524" s="591">
        <v>3161700</v>
      </c>
      <c r="C524" s="570">
        <v>3623200</v>
      </c>
      <c r="D524" s="570">
        <v>7718600</v>
      </c>
      <c r="E524" s="570">
        <v>10060900</v>
      </c>
      <c r="F524" s="570">
        <v>6336800</v>
      </c>
      <c r="G524" s="570">
        <v>10606800</v>
      </c>
      <c r="H524" s="570">
        <v>8309300</v>
      </c>
      <c r="I524" s="581">
        <f t="shared" si="120"/>
        <v>49817300</v>
      </c>
      <c r="J524" s="564">
        <f t="shared" si="121"/>
        <v>974800</v>
      </c>
    </row>
    <row r="525" spans="1:10" ht="15.75" thickBot="1" x14ac:dyDescent="0.3">
      <c r="A525" s="593" t="s">
        <v>10</v>
      </c>
      <c r="B525" s="594">
        <f t="shared" ref="B525:I525" si="122">+SUM(B516:B524)</f>
        <v>24592200</v>
      </c>
      <c r="C525" s="594">
        <f t="shared" si="122"/>
        <v>29167300</v>
      </c>
      <c r="D525" s="594">
        <f t="shared" si="122"/>
        <v>49860600</v>
      </c>
      <c r="E525" s="594">
        <f t="shared" si="122"/>
        <v>60712850</v>
      </c>
      <c r="F525" s="594">
        <f t="shared" si="122"/>
        <v>45088000</v>
      </c>
      <c r="G525" s="594">
        <f t="shared" si="122"/>
        <v>64404800</v>
      </c>
      <c r="H525" s="594">
        <f t="shared" si="122"/>
        <v>55565500</v>
      </c>
      <c r="I525" s="594">
        <f t="shared" si="122"/>
        <v>329391250</v>
      </c>
      <c r="J525" s="564">
        <f t="shared" si="121"/>
        <v>4539150</v>
      </c>
    </row>
    <row r="526" spans="1:10" ht="15.75" thickBot="1" x14ac:dyDescent="0.3"/>
    <row r="527" spans="1:10" ht="30.75" thickBot="1" x14ac:dyDescent="0.3">
      <c r="A527" s="586" t="s">
        <v>419</v>
      </c>
      <c r="B527" s="587" t="s">
        <v>337</v>
      </c>
      <c r="C527" s="232" t="s">
        <v>338</v>
      </c>
      <c r="D527" s="232" t="s">
        <v>339</v>
      </c>
      <c r="E527" s="232" t="s">
        <v>340</v>
      </c>
      <c r="F527" s="232" t="s">
        <v>341</v>
      </c>
      <c r="G527" s="232" t="s">
        <v>342</v>
      </c>
      <c r="H527" s="232" t="s">
        <v>343</v>
      </c>
      <c r="I527" s="580" t="s">
        <v>96</v>
      </c>
      <c r="J527" s="562" t="s">
        <v>438</v>
      </c>
    </row>
    <row r="528" spans="1:10" ht="15.75" thickTop="1" x14ac:dyDescent="0.25">
      <c r="A528" s="588" t="s">
        <v>427</v>
      </c>
      <c r="B528" s="589">
        <v>3634500</v>
      </c>
      <c r="C528" s="569">
        <v>4370100</v>
      </c>
      <c r="D528" s="569">
        <v>5768500</v>
      </c>
      <c r="E528" s="569">
        <v>5605000</v>
      </c>
      <c r="F528" s="569">
        <v>8768300</v>
      </c>
      <c r="G528" s="569">
        <v>9006300</v>
      </c>
      <c r="H528" s="569">
        <v>9228000</v>
      </c>
      <c r="I528" s="581">
        <f t="shared" ref="I528:I536" si="123">+SUM(B528:H528)</f>
        <v>46380700</v>
      </c>
      <c r="J528" s="564">
        <f>I528-I516</f>
        <v>-8331400</v>
      </c>
    </row>
    <row r="529" spans="1:10" x14ac:dyDescent="0.25">
      <c r="A529" s="590" t="s">
        <v>428</v>
      </c>
      <c r="B529" s="591">
        <v>2811000</v>
      </c>
      <c r="C529" s="570">
        <v>3879200</v>
      </c>
      <c r="D529" s="570">
        <v>4203000</v>
      </c>
      <c r="E529" s="570">
        <v>5961000</v>
      </c>
      <c r="F529" s="570">
        <v>7665800</v>
      </c>
      <c r="G529" s="570">
        <v>7836900</v>
      </c>
      <c r="H529" s="570">
        <v>8190600</v>
      </c>
      <c r="I529" s="581">
        <f t="shared" si="123"/>
        <v>40547500</v>
      </c>
      <c r="J529" s="564">
        <f t="shared" ref="J529:J537" si="124">I529-I517</f>
        <v>-6415550</v>
      </c>
    </row>
    <row r="530" spans="1:10" x14ac:dyDescent="0.25">
      <c r="A530" s="588" t="s">
        <v>429</v>
      </c>
      <c r="B530" s="592">
        <v>2312800</v>
      </c>
      <c r="C530" s="583">
        <v>3188600</v>
      </c>
      <c r="D530" s="583">
        <v>3723700</v>
      </c>
      <c r="E530" s="569">
        <v>3673800</v>
      </c>
      <c r="F530" s="569">
        <v>4631400</v>
      </c>
      <c r="G530" s="569">
        <v>8112900</v>
      </c>
      <c r="H530" s="569">
        <v>7133500</v>
      </c>
      <c r="I530" s="581">
        <f t="shared" si="123"/>
        <v>32776700</v>
      </c>
      <c r="J530" s="564">
        <f t="shared" si="124"/>
        <v>-5095300</v>
      </c>
    </row>
    <row r="531" spans="1:10" x14ac:dyDescent="0.25">
      <c r="A531" s="590" t="s">
        <v>430</v>
      </c>
      <c r="B531" s="591">
        <v>2577000</v>
      </c>
      <c r="C531" s="570">
        <v>2628400</v>
      </c>
      <c r="D531" s="570">
        <v>4887600</v>
      </c>
      <c r="E531" s="570">
        <v>1267400</v>
      </c>
      <c r="F531" s="570">
        <v>6808400</v>
      </c>
      <c r="G531" s="570">
        <v>6091400</v>
      </c>
      <c r="H531" s="570">
        <v>5331800</v>
      </c>
      <c r="I531" s="581">
        <f t="shared" si="123"/>
        <v>29592000</v>
      </c>
      <c r="J531" s="564">
        <f t="shared" si="124"/>
        <v>-8623600</v>
      </c>
    </row>
    <row r="532" spans="1:10" x14ac:dyDescent="0.25">
      <c r="A532" s="590" t="s">
        <v>544</v>
      </c>
      <c r="B532" s="591">
        <v>2830000</v>
      </c>
      <c r="C532" s="570">
        <v>2800500</v>
      </c>
      <c r="D532" s="570">
        <v>3883700</v>
      </c>
      <c r="E532" s="570">
        <v>8325000</v>
      </c>
      <c r="F532" s="570">
        <v>6790300</v>
      </c>
      <c r="G532" s="570">
        <v>4774000</v>
      </c>
      <c r="H532" s="570">
        <v>5141700</v>
      </c>
      <c r="I532" s="581">
        <f t="shared" si="123"/>
        <v>34545200</v>
      </c>
      <c r="J532" s="564">
        <f t="shared" si="124"/>
        <v>1164400</v>
      </c>
    </row>
    <row r="533" spans="1:10" x14ac:dyDescent="0.25">
      <c r="A533" s="590" t="s">
        <v>545</v>
      </c>
      <c r="B533" s="591">
        <v>1697500</v>
      </c>
      <c r="C533" s="570">
        <v>2391800</v>
      </c>
      <c r="D533" s="570">
        <v>2350200</v>
      </c>
      <c r="E533" s="570">
        <v>2669100</v>
      </c>
      <c r="F533" s="570">
        <v>4269500</v>
      </c>
      <c r="G533" s="570">
        <v>4099800</v>
      </c>
      <c r="H533" s="570">
        <v>3594900</v>
      </c>
      <c r="I533" s="581">
        <f t="shared" si="123"/>
        <v>21072800</v>
      </c>
      <c r="J533" s="564">
        <f t="shared" si="124"/>
        <v>-2359300</v>
      </c>
    </row>
    <row r="534" spans="1:10" x14ac:dyDescent="0.25">
      <c r="A534" s="590" t="s">
        <v>547</v>
      </c>
      <c r="B534" s="591">
        <v>2883300</v>
      </c>
      <c r="C534" s="570">
        <v>3389200</v>
      </c>
      <c r="D534" s="570">
        <v>10244100</v>
      </c>
      <c r="E534" s="570">
        <v>4521400</v>
      </c>
      <c r="F534" s="570">
        <v>5656000</v>
      </c>
      <c r="G534" s="570">
        <v>3834900</v>
      </c>
      <c r="H534" s="570">
        <v>3322000</v>
      </c>
      <c r="I534" s="581">
        <f t="shared" si="123"/>
        <v>33850900</v>
      </c>
      <c r="J534" s="564">
        <f t="shared" si="124"/>
        <v>7294600</v>
      </c>
    </row>
    <row r="535" spans="1:10" x14ac:dyDescent="0.25">
      <c r="A535" s="680" t="s">
        <v>546</v>
      </c>
      <c r="B535" s="591">
        <v>1583300</v>
      </c>
      <c r="C535" s="570">
        <v>1184900</v>
      </c>
      <c r="D535" s="570">
        <v>1464400</v>
      </c>
      <c r="E535" s="570">
        <v>2373800</v>
      </c>
      <c r="F535" s="570">
        <v>1994700</v>
      </c>
      <c r="G535" s="570">
        <v>4437000</v>
      </c>
      <c r="H535" s="570">
        <v>4100400</v>
      </c>
      <c r="I535" s="581">
        <f t="shared" si="123"/>
        <v>17138500</v>
      </c>
      <c r="J535" s="564">
        <f t="shared" si="124"/>
        <v>-1303500</v>
      </c>
    </row>
    <row r="536" spans="1:10" x14ac:dyDescent="0.25">
      <c r="A536" s="680" t="s">
        <v>622</v>
      </c>
      <c r="B536" s="591">
        <v>3019800</v>
      </c>
      <c r="C536" s="570">
        <v>3643400</v>
      </c>
      <c r="D536" s="570">
        <v>5002000</v>
      </c>
      <c r="E536" s="570">
        <v>4871900</v>
      </c>
      <c r="F536" s="570">
        <v>6727100</v>
      </c>
      <c r="G536" s="570">
        <v>8882500</v>
      </c>
      <c r="H536" s="570">
        <v>8480200</v>
      </c>
      <c r="I536" s="581">
        <f t="shared" si="123"/>
        <v>40626900</v>
      </c>
      <c r="J536" s="564">
        <f t="shared" si="124"/>
        <v>-9190400</v>
      </c>
    </row>
    <row r="537" spans="1:10" ht="15.75" thickBot="1" x14ac:dyDescent="0.3">
      <c r="A537" s="593" t="s">
        <v>10</v>
      </c>
      <c r="B537" s="594">
        <f t="shared" ref="B537:I537" si="125">+SUM(B528:B536)</f>
        <v>23349200</v>
      </c>
      <c r="C537" s="594">
        <f t="shared" si="125"/>
        <v>27476100</v>
      </c>
      <c r="D537" s="594">
        <f t="shared" si="125"/>
        <v>41527200</v>
      </c>
      <c r="E537" s="594">
        <f t="shared" si="125"/>
        <v>39268400</v>
      </c>
      <c r="F537" s="594">
        <f t="shared" si="125"/>
        <v>53311500</v>
      </c>
      <c r="G537" s="594">
        <f t="shared" si="125"/>
        <v>57075700</v>
      </c>
      <c r="H537" s="594">
        <f t="shared" si="125"/>
        <v>54523100</v>
      </c>
      <c r="I537" s="594">
        <f t="shared" si="125"/>
        <v>296531200</v>
      </c>
      <c r="J537" s="564">
        <f t="shared" si="124"/>
        <v>-32860050</v>
      </c>
    </row>
    <row r="538" spans="1:10" ht="15.75" thickBot="1" x14ac:dyDescent="0.3"/>
    <row r="539" spans="1:10" ht="30.75" thickBot="1" x14ac:dyDescent="0.3">
      <c r="A539" s="586" t="s">
        <v>419</v>
      </c>
      <c r="B539" s="587" t="s">
        <v>345</v>
      </c>
      <c r="C539" s="232" t="s">
        <v>346</v>
      </c>
      <c r="D539" s="232" t="s">
        <v>347</v>
      </c>
      <c r="E539" s="232" t="s">
        <v>348</v>
      </c>
      <c r="F539" s="232" t="s">
        <v>349</v>
      </c>
      <c r="G539" s="232" t="s">
        <v>350</v>
      </c>
      <c r="H539" s="232" t="s">
        <v>351</v>
      </c>
      <c r="I539" s="580" t="s">
        <v>96</v>
      </c>
      <c r="J539" s="562" t="s">
        <v>438</v>
      </c>
    </row>
    <row r="540" spans="1:10" ht="15.75" thickTop="1" x14ac:dyDescent="0.25">
      <c r="A540" s="588" t="s">
        <v>427</v>
      </c>
      <c r="B540" s="589">
        <v>3824300</v>
      </c>
      <c r="C540" s="569">
        <v>5241100</v>
      </c>
      <c r="D540" s="569">
        <v>6024400</v>
      </c>
      <c r="E540" s="569">
        <v>6211400</v>
      </c>
      <c r="F540" s="569">
        <v>7742500</v>
      </c>
      <c r="G540" s="569">
        <v>3653200</v>
      </c>
      <c r="H540" s="569">
        <v>9515600</v>
      </c>
      <c r="I540" s="581">
        <f t="shared" ref="I540:I548" si="126">+SUM(B540:H540)</f>
        <v>42212500</v>
      </c>
      <c r="J540" s="564">
        <f>I540-I528</f>
        <v>-4168200</v>
      </c>
    </row>
    <row r="541" spans="1:10" x14ac:dyDescent="0.25">
      <c r="A541" s="590" t="s">
        <v>428</v>
      </c>
      <c r="B541" s="591">
        <v>3533700</v>
      </c>
      <c r="C541" s="570">
        <v>3531200</v>
      </c>
      <c r="D541" s="570">
        <v>3987200</v>
      </c>
      <c r="E541" s="570">
        <v>5146800</v>
      </c>
      <c r="F541" s="570">
        <v>5605000</v>
      </c>
      <c r="G541" s="570">
        <v>3439900</v>
      </c>
      <c r="H541" s="570">
        <v>8575700</v>
      </c>
      <c r="I541" s="581">
        <f t="shared" si="126"/>
        <v>33819500</v>
      </c>
      <c r="J541" s="564">
        <f t="shared" ref="J541:J549" si="127">I541-I529</f>
        <v>-6728000</v>
      </c>
    </row>
    <row r="542" spans="1:10" x14ac:dyDescent="0.25">
      <c r="A542" s="588" t="s">
        <v>429</v>
      </c>
      <c r="B542" s="592">
        <v>3245500</v>
      </c>
      <c r="C542" s="583">
        <v>3496600</v>
      </c>
      <c r="D542" s="583">
        <v>5386800</v>
      </c>
      <c r="E542" s="569">
        <v>5836700</v>
      </c>
      <c r="F542" s="569">
        <v>6863000</v>
      </c>
      <c r="G542" s="569">
        <v>3467800</v>
      </c>
      <c r="H542" s="569">
        <v>3523000</v>
      </c>
      <c r="I542" s="581">
        <f t="shared" si="126"/>
        <v>31819400</v>
      </c>
      <c r="J542" s="564">
        <f t="shared" si="127"/>
        <v>-957300</v>
      </c>
    </row>
    <row r="543" spans="1:10" x14ac:dyDescent="0.25">
      <c r="A543" s="590" t="s">
        <v>430</v>
      </c>
      <c r="B543" s="591">
        <v>2756900</v>
      </c>
      <c r="C543" s="570">
        <v>3187700</v>
      </c>
      <c r="D543" s="570">
        <v>3852800</v>
      </c>
      <c r="E543" s="570">
        <v>3727700</v>
      </c>
      <c r="F543" s="570">
        <v>5195300</v>
      </c>
      <c r="G543" s="570">
        <v>1821900</v>
      </c>
      <c r="H543" s="570">
        <v>4730400</v>
      </c>
      <c r="I543" s="581">
        <f t="shared" si="126"/>
        <v>25272700</v>
      </c>
      <c r="J543" s="564">
        <f t="shared" si="127"/>
        <v>-4319300</v>
      </c>
    </row>
    <row r="544" spans="1:10" x14ac:dyDescent="0.25">
      <c r="A544" s="590" t="s">
        <v>544</v>
      </c>
      <c r="B544" s="591">
        <v>4004400</v>
      </c>
      <c r="C544" s="570">
        <v>3027000</v>
      </c>
      <c r="D544" s="570">
        <v>4316700</v>
      </c>
      <c r="E544" s="570">
        <v>4591200</v>
      </c>
      <c r="F544" s="570">
        <v>4960900</v>
      </c>
      <c r="G544" s="570">
        <v>2091100</v>
      </c>
      <c r="H544" s="570">
        <v>3537900</v>
      </c>
      <c r="I544" s="581">
        <f t="shared" si="126"/>
        <v>26529200</v>
      </c>
      <c r="J544" s="564">
        <f t="shared" si="127"/>
        <v>-8016000</v>
      </c>
    </row>
    <row r="545" spans="1:10" x14ac:dyDescent="0.25">
      <c r="A545" s="590" t="s">
        <v>545</v>
      </c>
      <c r="B545" s="591">
        <v>2621800</v>
      </c>
      <c r="C545" s="570">
        <v>1887000</v>
      </c>
      <c r="D545" s="570">
        <v>2471600</v>
      </c>
      <c r="E545" s="570">
        <v>2076400</v>
      </c>
      <c r="F545" s="570">
        <v>2912100</v>
      </c>
      <c r="G545" s="570">
        <v>1009900</v>
      </c>
      <c r="H545" s="570">
        <v>4932600</v>
      </c>
      <c r="I545" s="581">
        <f t="shared" si="126"/>
        <v>17911400</v>
      </c>
      <c r="J545" s="564">
        <f t="shared" si="127"/>
        <v>-3161400</v>
      </c>
    </row>
    <row r="546" spans="1:10" x14ac:dyDescent="0.25">
      <c r="A546" s="590" t="s">
        <v>547</v>
      </c>
      <c r="B546" s="591">
        <v>3052800</v>
      </c>
      <c r="C546" s="570">
        <v>3341300</v>
      </c>
      <c r="D546" s="570">
        <v>3933600</v>
      </c>
      <c r="E546" s="570">
        <v>4027300</v>
      </c>
      <c r="F546" s="570">
        <v>4075100</v>
      </c>
      <c r="G546" s="570">
        <v>720800</v>
      </c>
      <c r="H546" s="570">
        <v>2531600</v>
      </c>
      <c r="I546" s="581">
        <f t="shared" si="126"/>
        <v>21682500</v>
      </c>
      <c r="J546" s="564">
        <f t="shared" si="127"/>
        <v>-12168400</v>
      </c>
    </row>
    <row r="547" spans="1:10" x14ac:dyDescent="0.25">
      <c r="A547" s="680" t="s">
        <v>546</v>
      </c>
      <c r="B547" s="591">
        <v>2006900</v>
      </c>
      <c r="C547" s="570">
        <v>1372800</v>
      </c>
      <c r="D547" s="570">
        <v>2968600</v>
      </c>
      <c r="E547" s="570">
        <v>2628200</v>
      </c>
      <c r="F547" s="570">
        <v>2932500</v>
      </c>
      <c r="G547" s="570">
        <v>1726700</v>
      </c>
      <c r="H547" s="570">
        <v>2697600</v>
      </c>
      <c r="I547" s="581">
        <f t="shared" si="126"/>
        <v>16333300</v>
      </c>
      <c r="J547" s="564">
        <f t="shared" si="127"/>
        <v>-805200</v>
      </c>
    </row>
    <row r="548" spans="1:10" x14ac:dyDescent="0.25">
      <c r="A548" s="680" t="s">
        <v>622</v>
      </c>
      <c r="B548" s="591">
        <v>4290200</v>
      </c>
      <c r="C548" s="570">
        <v>4614600</v>
      </c>
      <c r="D548" s="570">
        <v>4693500</v>
      </c>
      <c r="E548" s="570">
        <v>4961200</v>
      </c>
      <c r="F548" s="570">
        <v>6318550</v>
      </c>
      <c r="G548" s="570">
        <v>4196100</v>
      </c>
      <c r="H548" s="570">
        <v>8879100</v>
      </c>
      <c r="I548" s="581">
        <f t="shared" si="126"/>
        <v>37953250</v>
      </c>
      <c r="J548" s="564">
        <f t="shared" si="127"/>
        <v>-2673650</v>
      </c>
    </row>
    <row r="549" spans="1:10" ht="15.75" thickBot="1" x14ac:dyDescent="0.3">
      <c r="A549" s="593" t="s">
        <v>10</v>
      </c>
      <c r="B549" s="594">
        <f t="shared" ref="B549:I549" si="128">+SUM(B540:B548)</f>
        <v>29336500</v>
      </c>
      <c r="C549" s="594">
        <f t="shared" si="128"/>
        <v>29699300</v>
      </c>
      <c r="D549" s="594">
        <f t="shared" si="128"/>
        <v>37635200</v>
      </c>
      <c r="E549" s="594">
        <f t="shared" si="128"/>
        <v>39206900</v>
      </c>
      <c r="F549" s="594">
        <f t="shared" si="128"/>
        <v>46604950</v>
      </c>
      <c r="G549" s="594">
        <f t="shared" si="128"/>
        <v>22127400</v>
      </c>
      <c r="H549" s="594">
        <f t="shared" si="128"/>
        <v>48923500</v>
      </c>
      <c r="I549" s="594">
        <f t="shared" si="128"/>
        <v>253533750</v>
      </c>
      <c r="J549" s="564">
        <f t="shared" si="127"/>
        <v>-42997450</v>
      </c>
    </row>
    <row r="550" spans="1:10" ht="15.75" thickBot="1" x14ac:dyDescent="0.3"/>
    <row r="551" spans="1:10" ht="30.75" thickBot="1" x14ac:dyDescent="0.3">
      <c r="A551" s="586" t="s">
        <v>419</v>
      </c>
      <c r="B551" s="587" t="s">
        <v>600</v>
      </c>
      <c r="C551" s="232" t="s">
        <v>601</v>
      </c>
      <c r="D551" s="232" t="s">
        <v>602</v>
      </c>
      <c r="E551" s="232" t="s">
        <v>603</v>
      </c>
      <c r="F551" s="232" t="s">
        <v>604</v>
      </c>
      <c r="G551" s="232" t="s">
        <v>653</v>
      </c>
      <c r="H551" s="232" t="s">
        <v>272</v>
      </c>
      <c r="I551" s="580" t="s">
        <v>96</v>
      </c>
      <c r="J551" s="562" t="s">
        <v>438</v>
      </c>
    </row>
    <row r="552" spans="1:10" ht="15.75" thickTop="1" x14ac:dyDescent="0.25">
      <c r="A552" s="588" t="s">
        <v>427</v>
      </c>
      <c r="B552" s="589">
        <v>4871500</v>
      </c>
      <c r="C552" s="569">
        <v>5178600</v>
      </c>
      <c r="D552" s="569">
        <v>4586700</v>
      </c>
      <c r="E552" s="569">
        <v>4967700</v>
      </c>
      <c r="F552" s="569">
        <v>4935900</v>
      </c>
      <c r="G552" s="569">
        <v>2458900</v>
      </c>
      <c r="H552" s="569">
        <v>6188100</v>
      </c>
      <c r="I552" s="581">
        <f t="shared" ref="I552:I560" si="129">+SUM(B552:H552)</f>
        <v>33187400</v>
      </c>
      <c r="J552" s="564">
        <f>I552-I540</f>
        <v>-9025100</v>
      </c>
    </row>
    <row r="553" spans="1:10" x14ac:dyDescent="0.25">
      <c r="A553" s="590" t="s">
        <v>428</v>
      </c>
      <c r="B553" s="591">
        <v>4413600</v>
      </c>
      <c r="C553" s="570">
        <v>4523200</v>
      </c>
      <c r="D553" s="570">
        <v>3756300</v>
      </c>
      <c r="E553" s="570">
        <v>4880400</v>
      </c>
      <c r="F553" s="570">
        <v>5372300</v>
      </c>
      <c r="G553" s="570">
        <v>2631500</v>
      </c>
      <c r="H553" s="570">
        <v>5642100</v>
      </c>
      <c r="I553" s="581">
        <f t="shared" si="129"/>
        <v>31219400</v>
      </c>
      <c r="J553" s="564">
        <f t="shared" ref="J553:J561" si="130">I553-I541</f>
        <v>-2600100</v>
      </c>
    </row>
    <row r="554" spans="1:10" x14ac:dyDescent="0.25">
      <c r="A554" s="588" t="s">
        <v>429</v>
      </c>
      <c r="B554" s="592">
        <v>4573900</v>
      </c>
      <c r="C554" s="583">
        <v>4659600</v>
      </c>
      <c r="D554" s="583">
        <v>5217500</v>
      </c>
      <c r="E554" s="569">
        <v>5181700</v>
      </c>
      <c r="F554" s="569">
        <v>5672000</v>
      </c>
      <c r="G554" s="569">
        <v>3008200</v>
      </c>
      <c r="H554" s="569">
        <v>3151000</v>
      </c>
      <c r="I554" s="581">
        <f t="shared" si="129"/>
        <v>31463900</v>
      </c>
      <c r="J554" s="564">
        <f t="shared" si="130"/>
        <v>-355500</v>
      </c>
    </row>
    <row r="555" spans="1:10" x14ac:dyDescent="0.25">
      <c r="A555" s="590" t="s">
        <v>430</v>
      </c>
      <c r="B555" s="591">
        <v>2757800</v>
      </c>
      <c r="C555" s="570">
        <v>2814500</v>
      </c>
      <c r="D555" s="570">
        <v>3065300</v>
      </c>
      <c r="E555" s="570">
        <v>2559100</v>
      </c>
      <c r="F555" s="570">
        <v>2904500</v>
      </c>
      <c r="G555" s="570">
        <v>1574800</v>
      </c>
      <c r="H555" s="570">
        <v>3881600</v>
      </c>
      <c r="I555" s="581">
        <f t="shared" si="129"/>
        <v>19557600</v>
      </c>
      <c r="J555" s="564">
        <f t="shared" si="130"/>
        <v>-5715100</v>
      </c>
    </row>
    <row r="556" spans="1:10" x14ac:dyDescent="0.25">
      <c r="A556" s="590" t="s">
        <v>544</v>
      </c>
      <c r="B556" s="591">
        <v>3390400</v>
      </c>
      <c r="C556" s="570">
        <v>3395900</v>
      </c>
      <c r="D556" s="570">
        <v>3710600</v>
      </c>
      <c r="E556" s="570">
        <v>3881800</v>
      </c>
      <c r="F556" s="570">
        <v>3433600</v>
      </c>
      <c r="G556" s="570">
        <v>1566300</v>
      </c>
      <c r="H556" s="570">
        <v>3350700</v>
      </c>
      <c r="I556" s="581">
        <f t="shared" si="129"/>
        <v>22729300</v>
      </c>
      <c r="J556" s="564">
        <f t="shared" si="130"/>
        <v>-3799900</v>
      </c>
    </row>
    <row r="557" spans="1:10" x14ac:dyDescent="0.25">
      <c r="A557" s="590" t="s">
        <v>545</v>
      </c>
      <c r="B557" s="591">
        <v>2354200</v>
      </c>
      <c r="C557" s="570">
        <v>2489200</v>
      </c>
      <c r="D557" s="570">
        <v>2232400</v>
      </c>
      <c r="E557" s="570">
        <v>2440200</v>
      </c>
      <c r="F557" s="570">
        <v>2570400</v>
      </c>
      <c r="G557" s="570">
        <v>915100</v>
      </c>
      <c r="H557" s="570">
        <v>3198100</v>
      </c>
      <c r="I557" s="581">
        <f t="shared" si="129"/>
        <v>16199600</v>
      </c>
      <c r="J557" s="564">
        <f t="shared" si="130"/>
        <v>-1711800</v>
      </c>
    </row>
    <row r="558" spans="1:10" x14ac:dyDescent="0.25">
      <c r="A558" s="590" t="s">
        <v>547</v>
      </c>
      <c r="B558" s="591">
        <v>2260300</v>
      </c>
      <c r="C558" s="570">
        <v>1809500</v>
      </c>
      <c r="D558" s="570">
        <v>2687100</v>
      </c>
      <c r="E558" s="570">
        <v>3600900</v>
      </c>
      <c r="F558" s="570">
        <v>2204400</v>
      </c>
      <c r="G558" s="570">
        <v>1115200</v>
      </c>
      <c r="H558" s="570">
        <v>1728900</v>
      </c>
      <c r="I558" s="581">
        <f t="shared" si="129"/>
        <v>15406300</v>
      </c>
      <c r="J558" s="564">
        <f t="shared" si="130"/>
        <v>-6276200</v>
      </c>
    </row>
    <row r="559" spans="1:10" x14ac:dyDescent="0.25">
      <c r="A559" s="680" t="s">
        <v>546</v>
      </c>
      <c r="B559" s="591">
        <v>2374200</v>
      </c>
      <c r="C559" s="570">
        <v>2610800</v>
      </c>
      <c r="D559" s="570">
        <v>2647000</v>
      </c>
      <c r="E559" s="570">
        <v>2491400</v>
      </c>
      <c r="F559" s="570">
        <v>3295400</v>
      </c>
      <c r="G559" s="570">
        <v>1949600</v>
      </c>
      <c r="H559" s="570">
        <v>1722000</v>
      </c>
      <c r="I559" s="581">
        <f t="shared" si="129"/>
        <v>17090400</v>
      </c>
      <c r="J559" s="564">
        <f t="shared" si="130"/>
        <v>757100</v>
      </c>
    </row>
    <row r="560" spans="1:10" x14ac:dyDescent="0.25">
      <c r="A560" s="680" t="s">
        <v>622</v>
      </c>
      <c r="B560" s="591">
        <v>4979800</v>
      </c>
      <c r="C560" s="570">
        <v>4939600</v>
      </c>
      <c r="D560" s="570">
        <v>5141300</v>
      </c>
      <c r="E560" s="570">
        <v>5481500</v>
      </c>
      <c r="F560" s="570">
        <v>6283900</v>
      </c>
      <c r="G560" s="570">
        <v>2796900</v>
      </c>
      <c r="H560" s="570">
        <v>5721800</v>
      </c>
      <c r="I560" s="581">
        <f t="shared" si="129"/>
        <v>35344800</v>
      </c>
      <c r="J560" s="564">
        <f t="shared" si="130"/>
        <v>-2608450</v>
      </c>
    </row>
    <row r="561" spans="1:10" ht="15.75" thickBot="1" x14ac:dyDescent="0.3">
      <c r="A561" s="593" t="s">
        <v>10</v>
      </c>
      <c r="B561" s="594">
        <f t="shared" ref="B561:I561" si="131">+SUM(B552:B560)</f>
        <v>31975700</v>
      </c>
      <c r="C561" s="594">
        <f t="shared" si="131"/>
        <v>32420900</v>
      </c>
      <c r="D561" s="594">
        <f t="shared" si="131"/>
        <v>33044200</v>
      </c>
      <c r="E561" s="594">
        <f t="shared" si="131"/>
        <v>35484700</v>
      </c>
      <c r="F561" s="594">
        <f t="shared" si="131"/>
        <v>36672400</v>
      </c>
      <c r="G561" s="594">
        <f t="shared" si="131"/>
        <v>18016500</v>
      </c>
      <c r="H561" s="594">
        <f t="shared" si="131"/>
        <v>34584300</v>
      </c>
      <c r="I561" s="594">
        <f t="shared" si="131"/>
        <v>222198700</v>
      </c>
      <c r="J561" s="564">
        <f t="shared" si="130"/>
        <v>-31335050</v>
      </c>
    </row>
    <row r="562" spans="1:10" ht="15.75" thickBot="1" x14ac:dyDescent="0.3"/>
    <row r="563" spans="1:10" ht="30.75" thickBot="1" x14ac:dyDescent="0.3">
      <c r="A563" s="586" t="s">
        <v>419</v>
      </c>
      <c r="B563" s="587" t="s">
        <v>274</v>
      </c>
      <c r="C563" s="232" t="s">
        <v>275</v>
      </c>
      <c r="D563" s="232" t="s">
        <v>658</v>
      </c>
      <c r="E563" s="232" t="s">
        <v>277</v>
      </c>
      <c r="F563" s="232" t="s">
        <v>278</v>
      </c>
      <c r="G563" s="232" t="s">
        <v>279</v>
      </c>
      <c r="H563" s="232" t="s">
        <v>280</v>
      </c>
      <c r="I563" s="580" t="s">
        <v>96</v>
      </c>
      <c r="J563" s="562" t="s">
        <v>438</v>
      </c>
    </row>
    <row r="564" spans="1:10" ht="15.75" thickTop="1" x14ac:dyDescent="0.25">
      <c r="A564" s="588" t="s">
        <v>427</v>
      </c>
      <c r="B564" s="589">
        <v>4369700</v>
      </c>
      <c r="C564" s="569">
        <v>4259200</v>
      </c>
      <c r="D564" s="569">
        <v>4448500</v>
      </c>
      <c r="E564" s="569">
        <v>4259900</v>
      </c>
      <c r="F564" s="569">
        <v>6558500</v>
      </c>
      <c r="G564" s="569">
        <v>6731400</v>
      </c>
      <c r="H564" s="569">
        <v>7058000</v>
      </c>
      <c r="I564" s="581">
        <f t="shared" ref="I564:I572" si="132">+SUM(B564:H564)</f>
        <v>37685200</v>
      </c>
      <c r="J564" s="564">
        <f>I564-I552</f>
        <v>4497800</v>
      </c>
    </row>
    <row r="565" spans="1:10" x14ac:dyDescent="0.25">
      <c r="A565" s="590" t="s">
        <v>428</v>
      </c>
      <c r="B565" s="591">
        <v>3490700</v>
      </c>
      <c r="C565" s="570">
        <v>3811700</v>
      </c>
      <c r="D565" s="570">
        <v>4207500</v>
      </c>
      <c r="E565" s="570">
        <v>3895400</v>
      </c>
      <c r="F565" s="570">
        <v>5166000</v>
      </c>
      <c r="G565" s="570">
        <v>5701600</v>
      </c>
      <c r="H565" s="570">
        <v>6730900</v>
      </c>
      <c r="I565" s="581">
        <f t="shared" si="132"/>
        <v>33003800</v>
      </c>
      <c r="J565" s="564">
        <f t="shared" ref="J565:J573" si="133">I565-I553</f>
        <v>1784400</v>
      </c>
    </row>
    <row r="566" spans="1:10" x14ac:dyDescent="0.25">
      <c r="A566" s="588" t="s">
        <v>429</v>
      </c>
      <c r="B566" s="592">
        <v>4216500</v>
      </c>
      <c r="C566" s="583">
        <v>3491500</v>
      </c>
      <c r="D566" s="583">
        <v>3704400</v>
      </c>
      <c r="E566" s="569">
        <v>3891300</v>
      </c>
      <c r="F566" s="569">
        <v>5065500</v>
      </c>
      <c r="G566" s="569">
        <v>5171100</v>
      </c>
      <c r="H566" s="569">
        <v>5463200</v>
      </c>
      <c r="I566" s="581">
        <f t="shared" si="132"/>
        <v>31003500</v>
      </c>
      <c r="J566" s="564">
        <f t="shared" si="133"/>
        <v>-460400</v>
      </c>
    </row>
    <row r="567" spans="1:10" x14ac:dyDescent="0.25">
      <c r="A567" s="590" t="s">
        <v>430</v>
      </c>
      <c r="B567" s="591">
        <v>3057900</v>
      </c>
      <c r="C567" s="570">
        <v>2787800</v>
      </c>
      <c r="D567" s="570">
        <v>2160400</v>
      </c>
      <c r="E567" s="570">
        <v>2987600</v>
      </c>
      <c r="F567" s="570">
        <v>3473900</v>
      </c>
      <c r="G567" s="570">
        <v>3390200</v>
      </c>
      <c r="H567" s="570">
        <v>3690800</v>
      </c>
      <c r="I567" s="581">
        <f t="shared" si="132"/>
        <v>21548600</v>
      </c>
      <c r="J567" s="564">
        <f t="shared" si="133"/>
        <v>1991000</v>
      </c>
    </row>
    <row r="568" spans="1:10" x14ac:dyDescent="0.25">
      <c r="A568" s="590" t="s">
        <v>544</v>
      </c>
      <c r="B568" s="591">
        <v>2792000</v>
      </c>
      <c r="C568" s="570">
        <v>3352000</v>
      </c>
      <c r="D568" s="570">
        <v>3577400</v>
      </c>
      <c r="E568" s="570">
        <v>3837800</v>
      </c>
      <c r="F568" s="570">
        <v>4452300</v>
      </c>
      <c r="G568" s="570">
        <v>3071100</v>
      </c>
      <c r="H568" s="570">
        <v>3439800</v>
      </c>
      <c r="I568" s="581">
        <f t="shared" si="132"/>
        <v>24522400</v>
      </c>
      <c r="J568" s="564">
        <f t="shared" si="133"/>
        <v>1793100</v>
      </c>
    </row>
    <row r="569" spans="1:10" x14ac:dyDescent="0.25">
      <c r="A569" s="590" t="s">
        <v>545</v>
      </c>
      <c r="B569" s="591">
        <v>2178600</v>
      </c>
      <c r="C569" s="570">
        <v>2155500</v>
      </c>
      <c r="D569" s="570">
        <v>2088000</v>
      </c>
      <c r="E569" s="570">
        <v>1616700</v>
      </c>
      <c r="F569" s="570">
        <v>2266700</v>
      </c>
      <c r="G569" s="570">
        <v>1832400</v>
      </c>
      <c r="H569" s="570">
        <v>3297500</v>
      </c>
      <c r="I569" s="581">
        <f t="shared" si="132"/>
        <v>15435400</v>
      </c>
      <c r="J569" s="564">
        <f t="shared" si="133"/>
        <v>-764200</v>
      </c>
    </row>
    <row r="570" spans="1:10" x14ac:dyDescent="0.25">
      <c r="A570" s="590" t="s">
        <v>547</v>
      </c>
      <c r="B570" s="591">
        <v>2325700</v>
      </c>
      <c r="C570" s="570">
        <v>1533800</v>
      </c>
      <c r="D570" s="570">
        <v>2926300</v>
      </c>
      <c r="E570" s="570">
        <v>2834700</v>
      </c>
      <c r="F570" s="570">
        <v>3438900</v>
      </c>
      <c r="G570" s="570">
        <v>1817800</v>
      </c>
      <c r="H570" s="570">
        <v>3138300</v>
      </c>
      <c r="I570" s="581">
        <f t="shared" si="132"/>
        <v>18015500</v>
      </c>
      <c r="J570" s="564">
        <f t="shared" si="133"/>
        <v>2609200</v>
      </c>
    </row>
    <row r="571" spans="1:10" x14ac:dyDescent="0.25">
      <c r="A571" s="680" t="s">
        <v>546</v>
      </c>
      <c r="B571" s="591">
        <v>2195000</v>
      </c>
      <c r="C571" s="570">
        <v>1414600</v>
      </c>
      <c r="D571" s="570">
        <v>2157400</v>
      </c>
      <c r="E571" s="570">
        <v>1494600</v>
      </c>
      <c r="F571" s="570">
        <v>2283900</v>
      </c>
      <c r="G571" s="570">
        <v>3542000</v>
      </c>
      <c r="H571" s="570">
        <v>2148700</v>
      </c>
      <c r="I571" s="581">
        <f t="shared" si="132"/>
        <v>15236200</v>
      </c>
      <c r="J571" s="564">
        <f t="shared" si="133"/>
        <v>-1854200</v>
      </c>
    </row>
    <row r="572" spans="1:10" x14ac:dyDescent="0.25">
      <c r="A572" s="680" t="s">
        <v>622</v>
      </c>
      <c r="B572" s="591">
        <v>3967300</v>
      </c>
      <c r="C572" s="570">
        <v>4727000</v>
      </c>
      <c r="D572" s="570">
        <v>4066200</v>
      </c>
      <c r="E572" s="570">
        <v>4670000</v>
      </c>
      <c r="F572" s="570">
        <v>5945400</v>
      </c>
      <c r="G572" s="570">
        <v>6068200</v>
      </c>
      <c r="H572" s="570">
        <v>6794400</v>
      </c>
      <c r="I572" s="581">
        <f t="shared" si="132"/>
        <v>36238500</v>
      </c>
      <c r="J572" s="564">
        <f t="shared" si="133"/>
        <v>893700</v>
      </c>
    </row>
    <row r="573" spans="1:10" ht="15.75" thickBot="1" x14ac:dyDescent="0.3">
      <c r="A573" s="593" t="s">
        <v>10</v>
      </c>
      <c r="B573" s="594">
        <f t="shared" ref="B573:I573" si="134">+SUM(B564:B572)</f>
        <v>28593400</v>
      </c>
      <c r="C573" s="594">
        <f t="shared" si="134"/>
        <v>27533100</v>
      </c>
      <c r="D573" s="594">
        <f t="shared" si="134"/>
        <v>29336100</v>
      </c>
      <c r="E573" s="594">
        <f t="shared" si="134"/>
        <v>29488000</v>
      </c>
      <c r="F573" s="594">
        <f t="shared" si="134"/>
        <v>38651100</v>
      </c>
      <c r="G573" s="594">
        <f t="shared" si="134"/>
        <v>37325800</v>
      </c>
      <c r="H573" s="594">
        <f t="shared" si="134"/>
        <v>41761600</v>
      </c>
      <c r="I573" s="594">
        <f t="shared" si="134"/>
        <v>232689100</v>
      </c>
      <c r="J573" s="564">
        <f t="shared" si="133"/>
        <v>10490400</v>
      </c>
    </row>
    <row r="574" spans="1:10" ht="15.75" thickBot="1" x14ac:dyDescent="0.3"/>
    <row r="575" spans="1:10" ht="30.75" thickBot="1" x14ac:dyDescent="0.3">
      <c r="A575" s="586" t="s">
        <v>419</v>
      </c>
      <c r="B575" s="587" t="s">
        <v>282</v>
      </c>
      <c r="C575" s="232" t="s">
        <v>4</v>
      </c>
      <c r="D575" s="232" t="s">
        <v>5</v>
      </c>
      <c r="E575" s="232" t="s">
        <v>6</v>
      </c>
      <c r="F575" s="232" t="s">
        <v>7</v>
      </c>
      <c r="G575" s="232" t="s">
        <v>283</v>
      </c>
      <c r="H575" s="232" t="s">
        <v>9</v>
      </c>
      <c r="I575" s="580" t="s">
        <v>96</v>
      </c>
      <c r="J575" s="562" t="s">
        <v>438</v>
      </c>
    </row>
    <row r="576" spans="1:10" ht="15.75" thickTop="1" x14ac:dyDescent="0.25">
      <c r="A576" s="588" t="s">
        <v>427</v>
      </c>
      <c r="B576" s="589">
        <v>6260400</v>
      </c>
      <c r="C576" s="569">
        <v>3110500</v>
      </c>
      <c r="D576" s="569">
        <v>4556600</v>
      </c>
      <c r="E576" s="569">
        <v>3874600</v>
      </c>
      <c r="F576" s="569">
        <v>8352400</v>
      </c>
      <c r="G576" s="569">
        <v>9950000</v>
      </c>
      <c r="H576" s="569">
        <v>7899600</v>
      </c>
      <c r="I576" s="581">
        <f t="shared" ref="I576:I584" si="135">+SUM(B576:H576)</f>
        <v>44004100</v>
      </c>
      <c r="J576" s="564">
        <f>I576-I564</f>
        <v>6318900</v>
      </c>
    </row>
    <row r="577" spans="1:10" x14ac:dyDescent="0.25">
      <c r="A577" s="590" t="s">
        <v>428</v>
      </c>
      <c r="B577" s="591">
        <v>6998200</v>
      </c>
      <c r="C577" s="570">
        <v>2937800</v>
      </c>
      <c r="D577" s="570">
        <v>3168000</v>
      </c>
      <c r="E577" s="570">
        <v>4050300</v>
      </c>
      <c r="F577" s="570">
        <v>6922400</v>
      </c>
      <c r="G577" s="570">
        <v>8469700</v>
      </c>
      <c r="H577" s="570">
        <v>5874100</v>
      </c>
      <c r="I577" s="581">
        <f t="shared" si="135"/>
        <v>38420500</v>
      </c>
      <c r="J577" s="564">
        <f t="shared" ref="J577:J585" si="136">I577-I565</f>
        <v>5416700</v>
      </c>
    </row>
    <row r="578" spans="1:10" x14ac:dyDescent="0.25">
      <c r="A578" s="588" t="s">
        <v>429</v>
      </c>
      <c r="B578" s="592">
        <v>5283200</v>
      </c>
      <c r="C578" s="583">
        <v>2780100</v>
      </c>
      <c r="D578" s="583">
        <v>2970200</v>
      </c>
      <c r="E578" s="569">
        <v>3344100</v>
      </c>
      <c r="F578" s="569">
        <v>5804500</v>
      </c>
      <c r="G578" s="569">
        <v>7496900</v>
      </c>
      <c r="H578" s="569">
        <v>6642600</v>
      </c>
      <c r="I578" s="581">
        <f t="shared" si="135"/>
        <v>34321600</v>
      </c>
      <c r="J578" s="564">
        <f t="shared" si="136"/>
        <v>3318100</v>
      </c>
    </row>
    <row r="579" spans="1:10" x14ac:dyDescent="0.25">
      <c r="A579" s="590" t="s">
        <v>430</v>
      </c>
      <c r="B579" s="591">
        <v>3782200</v>
      </c>
      <c r="C579" s="570">
        <v>2441100</v>
      </c>
      <c r="D579" s="570">
        <v>2605300</v>
      </c>
      <c r="E579" s="570">
        <v>1888000</v>
      </c>
      <c r="F579" s="570">
        <v>5513600</v>
      </c>
      <c r="G579" s="570">
        <v>5652300</v>
      </c>
      <c r="H579" s="570">
        <v>5204700</v>
      </c>
      <c r="I579" s="581">
        <f t="shared" si="135"/>
        <v>27087200</v>
      </c>
      <c r="J579" s="564">
        <f t="shared" si="136"/>
        <v>5538600</v>
      </c>
    </row>
    <row r="580" spans="1:10" x14ac:dyDescent="0.25">
      <c r="A580" s="590" t="s">
        <v>544</v>
      </c>
      <c r="B580" s="591">
        <v>3672900</v>
      </c>
      <c r="C580" s="570">
        <v>2439200</v>
      </c>
      <c r="D580" s="570">
        <v>3064100</v>
      </c>
      <c r="E580" s="570">
        <v>2923300</v>
      </c>
      <c r="F580" s="570">
        <v>6221400</v>
      </c>
      <c r="G580" s="570">
        <v>5364100</v>
      </c>
      <c r="H580" s="570">
        <v>4824400</v>
      </c>
      <c r="I580" s="581">
        <f t="shared" si="135"/>
        <v>28509400</v>
      </c>
      <c r="J580" s="564">
        <f t="shared" si="136"/>
        <v>3987000</v>
      </c>
    </row>
    <row r="581" spans="1:10" x14ac:dyDescent="0.25">
      <c r="A581" s="590" t="s">
        <v>545</v>
      </c>
      <c r="B581" s="591">
        <v>2314600</v>
      </c>
      <c r="C581" s="570">
        <v>1076300</v>
      </c>
      <c r="D581" s="570">
        <v>1954200</v>
      </c>
      <c r="E581" s="570">
        <v>1894300</v>
      </c>
      <c r="F581" s="570">
        <v>3134200</v>
      </c>
      <c r="G581" s="570">
        <v>3839200</v>
      </c>
      <c r="H581" s="570">
        <v>3232700</v>
      </c>
      <c r="I581" s="581">
        <f t="shared" si="135"/>
        <v>17445500</v>
      </c>
      <c r="J581" s="564">
        <f t="shared" si="136"/>
        <v>2010100</v>
      </c>
    </row>
    <row r="582" spans="1:10" x14ac:dyDescent="0.25">
      <c r="A582" s="590" t="s">
        <v>547</v>
      </c>
      <c r="B582" s="591">
        <v>2477400</v>
      </c>
      <c r="C582" s="570">
        <v>1848600</v>
      </c>
      <c r="D582" s="570">
        <v>2598000</v>
      </c>
      <c r="E582" s="570">
        <v>3062500</v>
      </c>
      <c r="F582" s="570">
        <v>4054800</v>
      </c>
      <c r="G582" s="570">
        <v>4359600</v>
      </c>
      <c r="H582" s="570">
        <v>2952600</v>
      </c>
      <c r="I582" s="581">
        <f t="shared" si="135"/>
        <v>21353500</v>
      </c>
      <c r="J582" s="564">
        <f t="shared" si="136"/>
        <v>3338000</v>
      </c>
    </row>
    <row r="583" spans="1:10" x14ac:dyDescent="0.25">
      <c r="A583" s="680" t="s">
        <v>546</v>
      </c>
      <c r="B583" s="591">
        <v>2320700</v>
      </c>
      <c r="C583" s="570">
        <v>1499500</v>
      </c>
      <c r="D583" s="570">
        <v>1421900</v>
      </c>
      <c r="E583" s="570">
        <v>1064600</v>
      </c>
      <c r="F583" s="570">
        <v>2067400</v>
      </c>
      <c r="G583" s="570">
        <v>3552100</v>
      </c>
      <c r="H583" s="570">
        <v>2512700</v>
      </c>
      <c r="I583" s="581">
        <f t="shared" si="135"/>
        <v>14438900</v>
      </c>
      <c r="J583" s="564">
        <f t="shared" si="136"/>
        <v>-797300</v>
      </c>
    </row>
    <row r="584" spans="1:10" x14ac:dyDescent="0.25">
      <c r="A584" s="680" t="s">
        <v>622</v>
      </c>
      <c r="B584" s="591">
        <v>6613400</v>
      </c>
      <c r="C584" s="570">
        <v>2453100</v>
      </c>
      <c r="D584" s="570">
        <v>2260300</v>
      </c>
      <c r="E584" s="570">
        <v>2959700</v>
      </c>
      <c r="F584" s="570">
        <v>7290800</v>
      </c>
      <c r="G584" s="570">
        <v>11264500</v>
      </c>
      <c r="H584" s="570">
        <v>7505700</v>
      </c>
      <c r="I584" s="581">
        <f t="shared" si="135"/>
        <v>40347500</v>
      </c>
      <c r="J584" s="564">
        <f t="shared" si="136"/>
        <v>4109000</v>
      </c>
    </row>
    <row r="585" spans="1:10" ht="15.75" thickBot="1" x14ac:dyDescent="0.3">
      <c r="A585" s="593" t="s">
        <v>10</v>
      </c>
      <c r="B585" s="594">
        <f t="shared" ref="B585:I585" si="137">+SUM(B576:B584)</f>
        <v>39723000</v>
      </c>
      <c r="C585" s="594">
        <f t="shared" si="137"/>
        <v>20586200</v>
      </c>
      <c r="D585" s="594">
        <f t="shared" si="137"/>
        <v>24598600</v>
      </c>
      <c r="E585" s="594">
        <f t="shared" si="137"/>
        <v>25061400</v>
      </c>
      <c r="F585" s="594">
        <f t="shared" si="137"/>
        <v>49361500</v>
      </c>
      <c r="G585" s="594">
        <f t="shared" si="137"/>
        <v>59948400</v>
      </c>
      <c r="H585" s="594">
        <f t="shared" si="137"/>
        <v>46649100</v>
      </c>
      <c r="I585" s="594">
        <f t="shared" si="137"/>
        <v>265928200</v>
      </c>
      <c r="J585" s="564">
        <f t="shared" si="136"/>
        <v>33239100</v>
      </c>
    </row>
    <row r="586" spans="1:10" ht="15.75" thickBot="1" x14ac:dyDescent="0.3"/>
    <row r="587" spans="1:10" ht="30.75" thickBot="1" x14ac:dyDescent="0.3">
      <c r="A587" s="586" t="s">
        <v>419</v>
      </c>
      <c r="B587" s="587" t="s">
        <v>285</v>
      </c>
      <c r="C587" s="232" t="s">
        <v>37</v>
      </c>
      <c r="D587" s="232" t="s">
        <v>286</v>
      </c>
      <c r="E587" s="232" t="s">
        <v>39</v>
      </c>
      <c r="F587" s="232" t="s">
        <v>40</v>
      </c>
      <c r="G587" s="232" t="s">
        <v>287</v>
      </c>
      <c r="H587" s="232" t="s">
        <v>42</v>
      </c>
      <c r="I587" s="580" t="s">
        <v>96</v>
      </c>
      <c r="J587" s="562" t="s">
        <v>438</v>
      </c>
    </row>
    <row r="588" spans="1:10" ht="15.75" thickTop="1" x14ac:dyDescent="0.25">
      <c r="A588" s="588" t="s">
        <v>427</v>
      </c>
      <c r="B588" s="589">
        <v>3392200</v>
      </c>
      <c r="C588" s="569">
        <v>4647300</v>
      </c>
      <c r="D588" s="569">
        <v>4064100</v>
      </c>
      <c r="E588" s="569">
        <v>4323800</v>
      </c>
      <c r="F588" s="569">
        <v>9445300</v>
      </c>
      <c r="G588" s="569">
        <v>8957700</v>
      </c>
      <c r="H588" s="569">
        <v>9220800</v>
      </c>
      <c r="I588" s="581">
        <f t="shared" ref="I588:I596" si="138">+SUM(B588:H588)</f>
        <v>44051200</v>
      </c>
      <c r="J588" s="564">
        <f>I588-I576</f>
        <v>47100</v>
      </c>
    </row>
    <row r="589" spans="1:10" x14ac:dyDescent="0.25">
      <c r="A589" s="590" t="s">
        <v>428</v>
      </c>
      <c r="B589" s="591">
        <v>2853300</v>
      </c>
      <c r="C589" s="570">
        <v>2739800</v>
      </c>
      <c r="D589" s="570">
        <v>3721500</v>
      </c>
      <c r="E589" s="570">
        <v>4256000</v>
      </c>
      <c r="F589" s="570">
        <v>8277600</v>
      </c>
      <c r="G589" s="570">
        <v>10270800</v>
      </c>
      <c r="H589" s="570">
        <v>8726000</v>
      </c>
      <c r="I589" s="581">
        <f t="shared" si="138"/>
        <v>40845000</v>
      </c>
      <c r="J589" s="564">
        <f t="shared" ref="J589:J597" si="139">I589-I577</f>
        <v>2424500</v>
      </c>
    </row>
    <row r="590" spans="1:10" x14ac:dyDescent="0.25">
      <c r="A590" s="588" t="s">
        <v>429</v>
      </c>
      <c r="B590" s="592">
        <v>2598400</v>
      </c>
      <c r="C590" s="583">
        <v>2685300</v>
      </c>
      <c r="D590" s="583">
        <v>3094800</v>
      </c>
      <c r="E590" s="569">
        <v>3331700</v>
      </c>
      <c r="F590" s="569">
        <v>6330400</v>
      </c>
      <c r="G590" s="569">
        <v>9068700</v>
      </c>
      <c r="H590" s="569">
        <v>6495800</v>
      </c>
      <c r="I590" s="581">
        <f t="shared" si="138"/>
        <v>33605100</v>
      </c>
      <c r="J590" s="564">
        <f t="shared" si="139"/>
        <v>-716500</v>
      </c>
    </row>
    <row r="591" spans="1:10" x14ac:dyDescent="0.25">
      <c r="A591" s="590" t="s">
        <v>430</v>
      </c>
      <c r="B591" s="591">
        <v>2128800</v>
      </c>
      <c r="C591" s="570">
        <v>2767600</v>
      </c>
      <c r="D591" s="570">
        <v>2946300</v>
      </c>
      <c r="E591" s="570">
        <v>2866600</v>
      </c>
      <c r="F591" s="570">
        <v>4922100</v>
      </c>
      <c r="G591" s="570">
        <v>5525700</v>
      </c>
      <c r="H591" s="570">
        <v>6888500</v>
      </c>
      <c r="I591" s="581">
        <f t="shared" si="138"/>
        <v>28045600</v>
      </c>
      <c r="J591" s="564">
        <f t="shared" si="139"/>
        <v>958400</v>
      </c>
    </row>
    <row r="592" spans="1:10" x14ac:dyDescent="0.25">
      <c r="A592" s="590" t="s">
        <v>544</v>
      </c>
      <c r="B592" s="591">
        <v>2565100</v>
      </c>
      <c r="C592" s="570">
        <v>3426800</v>
      </c>
      <c r="D592" s="570">
        <v>3396400</v>
      </c>
      <c r="E592" s="570">
        <v>3846200</v>
      </c>
      <c r="F592" s="570">
        <v>7393100</v>
      </c>
      <c r="G592" s="570">
        <v>6256100</v>
      </c>
      <c r="H592" s="570">
        <v>4400600</v>
      </c>
      <c r="I592" s="581">
        <f t="shared" si="138"/>
        <v>31284300</v>
      </c>
      <c r="J592" s="564">
        <f t="shared" si="139"/>
        <v>2774900</v>
      </c>
    </row>
    <row r="593" spans="1:10" x14ac:dyDescent="0.25">
      <c r="A593" s="590" t="s">
        <v>545</v>
      </c>
      <c r="B593" s="591">
        <v>1488700</v>
      </c>
      <c r="C593" s="570">
        <v>1268900</v>
      </c>
      <c r="D593" s="570">
        <v>1688200</v>
      </c>
      <c r="E593" s="570">
        <v>2348300</v>
      </c>
      <c r="F593" s="570">
        <v>3469900</v>
      </c>
      <c r="G593" s="570">
        <v>4743100</v>
      </c>
      <c r="H593" s="570">
        <v>3995100</v>
      </c>
      <c r="I593" s="581">
        <f t="shared" si="138"/>
        <v>19002200</v>
      </c>
      <c r="J593" s="564">
        <f t="shared" si="139"/>
        <v>1556700</v>
      </c>
    </row>
    <row r="594" spans="1:10" x14ac:dyDescent="0.25">
      <c r="A594" s="590" t="s">
        <v>547</v>
      </c>
      <c r="B594" s="591">
        <v>2198600</v>
      </c>
      <c r="C594" s="570">
        <v>2424400</v>
      </c>
      <c r="D594" s="570">
        <v>2417800</v>
      </c>
      <c r="E594" s="570">
        <v>2572200</v>
      </c>
      <c r="F594" s="570">
        <v>4327900</v>
      </c>
      <c r="G594" s="570">
        <v>3839700</v>
      </c>
      <c r="H594" s="570">
        <v>3532800</v>
      </c>
      <c r="I594" s="581">
        <f t="shared" si="138"/>
        <v>21313400</v>
      </c>
      <c r="J594" s="564">
        <f t="shared" si="139"/>
        <v>-40100</v>
      </c>
    </row>
    <row r="595" spans="1:10" x14ac:dyDescent="0.25">
      <c r="A595" s="680" t="s">
        <v>546</v>
      </c>
      <c r="B595" s="591">
        <v>814400</v>
      </c>
      <c r="C595" s="570">
        <v>1314200</v>
      </c>
      <c r="D595" s="570">
        <v>1431200</v>
      </c>
      <c r="E595" s="570">
        <v>1145800</v>
      </c>
      <c r="F595" s="570">
        <v>2034400</v>
      </c>
      <c r="G595" s="570">
        <v>4730300</v>
      </c>
      <c r="H595" s="570">
        <v>3490600</v>
      </c>
      <c r="I595" s="581">
        <f t="shared" si="138"/>
        <v>14960900</v>
      </c>
      <c r="J595" s="564">
        <f t="shared" si="139"/>
        <v>522000</v>
      </c>
    </row>
    <row r="596" spans="1:10" x14ac:dyDescent="0.25">
      <c r="A596" s="680" t="s">
        <v>622</v>
      </c>
      <c r="B596" s="591">
        <v>2279800</v>
      </c>
      <c r="C596" s="570">
        <v>3198900</v>
      </c>
      <c r="D596" s="570">
        <v>3036900</v>
      </c>
      <c r="E596" s="570">
        <v>4058300</v>
      </c>
      <c r="F596" s="570">
        <v>9053600</v>
      </c>
      <c r="G596" s="570">
        <v>9050600</v>
      </c>
      <c r="H596" s="570">
        <v>9185600</v>
      </c>
      <c r="I596" s="581">
        <f t="shared" si="138"/>
        <v>39863700</v>
      </c>
      <c r="J596" s="564">
        <f t="shared" si="139"/>
        <v>-483800</v>
      </c>
    </row>
    <row r="597" spans="1:10" ht="15.75" thickBot="1" x14ac:dyDescent="0.3">
      <c r="A597" s="593" t="s">
        <v>10</v>
      </c>
      <c r="B597" s="594">
        <f t="shared" ref="B597:I597" si="140">+SUM(B588:B596)</f>
        <v>20319300</v>
      </c>
      <c r="C597" s="594">
        <f t="shared" si="140"/>
        <v>24473200</v>
      </c>
      <c r="D597" s="594">
        <f t="shared" si="140"/>
        <v>25797200</v>
      </c>
      <c r="E597" s="594">
        <f t="shared" si="140"/>
        <v>28748900</v>
      </c>
      <c r="F597" s="594">
        <f t="shared" si="140"/>
        <v>55254300</v>
      </c>
      <c r="G597" s="594">
        <f t="shared" si="140"/>
        <v>62442700</v>
      </c>
      <c r="H597" s="594">
        <f t="shared" si="140"/>
        <v>55935800</v>
      </c>
      <c r="I597" s="594">
        <f t="shared" si="140"/>
        <v>272971400</v>
      </c>
      <c r="J597" s="564">
        <f t="shared" si="139"/>
        <v>7043200</v>
      </c>
    </row>
    <row r="598" spans="1:10" ht="15.75" thickBot="1" x14ac:dyDescent="0.3"/>
    <row r="599" spans="1:10" ht="30.75" thickBot="1" x14ac:dyDescent="0.3">
      <c r="A599" s="586" t="s">
        <v>419</v>
      </c>
      <c r="B599" s="587" t="s">
        <v>45</v>
      </c>
      <c r="C599" s="232" t="s">
        <v>289</v>
      </c>
      <c r="D599" s="232" t="s">
        <v>47</v>
      </c>
      <c r="E599" s="232" t="s">
        <v>48</v>
      </c>
      <c r="F599" s="232" t="s">
        <v>49</v>
      </c>
      <c r="G599" s="232" t="s">
        <v>50</v>
      </c>
      <c r="H599" s="232" t="s">
        <v>290</v>
      </c>
      <c r="I599" s="580" t="s">
        <v>96</v>
      </c>
      <c r="J599" s="562" t="s">
        <v>438</v>
      </c>
    </row>
    <row r="600" spans="1:10" ht="15.75" thickTop="1" x14ac:dyDescent="0.25">
      <c r="A600" s="588" t="s">
        <v>427</v>
      </c>
      <c r="B600" s="589">
        <v>2639900</v>
      </c>
      <c r="C600" s="569">
        <v>4114300</v>
      </c>
      <c r="D600" s="569">
        <v>3785200</v>
      </c>
      <c r="E600" s="569">
        <v>4710000</v>
      </c>
      <c r="F600" s="569">
        <v>9662900</v>
      </c>
      <c r="G600" s="569">
        <v>10618500</v>
      </c>
      <c r="H600" s="569">
        <v>9874300</v>
      </c>
      <c r="I600" s="581">
        <f t="shared" ref="I600:I608" si="141">+SUM(B600:H600)</f>
        <v>45405100</v>
      </c>
      <c r="J600" s="564">
        <f>I600-I588</f>
        <v>1353900</v>
      </c>
    </row>
    <row r="601" spans="1:10" x14ac:dyDescent="0.25">
      <c r="A601" s="590" t="s">
        <v>428</v>
      </c>
      <c r="B601" s="591">
        <v>2235600</v>
      </c>
      <c r="C601" s="570">
        <v>3045000</v>
      </c>
      <c r="D601" s="570">
        <v>3387800</v>
      </c>
      <c r="E601" s="570">
        <v>2842800</v>
      </c>
      <c r="F601" s="570">
        <v>8688100</v>
      </c>
      <c r="G601" s="570">
        <v>10309400</v>
      </c>
      <c r="H601" s="570">
        <v>6277800</v>
      </c>
      <c r="I601" s="581">
        <f t="shared" si="141"/>
        <v>36786500</v>
      </c>
      <c r="J601" s="564">
        <f t="shared" ref="J601:J609" si="142">I601-I589</f>
        <v>-4058500</v>
      </c>
    </row>
    <row r="602" spans="1:10" x14ac:dyDescent="0.25">
      <c r="A602" s="588" t="s">
        <v>429</v>
      </c>
      <c r="B602" s="592">
        <v>1927900</v>
      </c>
      <c r="C602" s="583">
        <v>2675000</v>
      </c>
      <c r="D602" s="583">
        <v>3137600</v>
      </c>
      <c r="E602" s="569">
        <v>2895700</v>
      </c>
      <c r="F602" s="569">
        <v>6115500</v>
      </c>
      <c r="G602" s="569">
        <v>7353200</v>
      </c>
      <c r="H602" s="569">
        <v>5524800</v>
      </c>
      <c r="I602" s="581">
        <f t="shared" si="141"/>
        <v>29629700</v>
      </c>
      <c r="J602" s="564">
        <f t="shared" si="142"/>
        <v>-3975400</v>
      </c>
    </row>
    <row r="603" spans="1:10" x14ac:dyDescent="0.25">
      <c r="A603" s="590" t="s">
        <v>430</v>
      </c>
      <c r="B603" s="591">
        <v>2103500</v>
      </c>
      <c r="C603" s="570">
        <v>3318700</v>
      </c>
      <c r="D603" s="570">
        <v>3273100</v>
      </c>
      <c r="E603" s="570">
        <v>3548500</v>
      </c>
      <c r="F603" s="570">
        <v>6617200</v>
      </c>
      <c r="G603" s="570">
        <v>6988600</v>
      </c>
      <c r="H603" s="570">
        <v>6790000</v>
      </c>
      <c r="I603" s="581">
        <f t="shared" si="141"/>
        <v>32639600</v>
      </c>
      <c r="J603" s="564">
        <f t="shared" si="142"/>
        <v>4594000</v>
      </c>
    </row>
    <row r="604" spans="1:10" x14ac:dyDescent="0.25">
      <c r="A604" s="590" t="s">
        <v>544</v>
      </c>
      <c r="B604" s="591">
        <v>2836100</v>
      </c>
      <c r="C604" s="570">
        <v>2791400</v>
      </c>
      <c r="D604" s="570">
        <v>3795400</v>
      </c>
      <c r="E604" s="570">
        <v>4161400</v>
      </c>
      <c r="F604" s="570">
        <v>6142200</v>
      </c>
      <c r="G604" s="570">
        <v>6072500</v>
      </c>
      <c r="H604" s="570">
        <v>5262800</v>
      </c>
      <c r="I604" s="581">
        <f t="shared" si="141"/>
        <v>31061800</v>
      </c>
      <c r="J604" s="564">
        <f t="shared" si="142"/>
        <v>-222500</v>
      </c>
    </row>
    <row r="605" spans="1:10" x14ac:dyDescent="0.25">
      <c r="A605" s="590" t="s">
        <v>545</v>
      </c>
      <c r="B605" s="591">
        <v>1237700</v>
      </c>
      <c r="C605" s="570">
        <v>1394700</v>
      </c>
      <c r="D605" s="570">
        <v>1241600</v>
      </c>
      <c r="E605" s="570">
        <v>1628700</v>
      </c>
      <c r="F605" s="570">
        <v>3747900</v>
      </c>
      <c r="G605" s="570">
        <v>4235300</v>
      </c>
      <c r="H605" s="570">
        <v>2904800</v>
      </c>
      <c r="I605" s="581">
        <f t="shared" si="141"/>
        <v>16390700</v>
      </c>
      <c r="J605" s="564">
        <f t="shared" si="142"/>
        <v>-2611500</v>
      </c>
    </row>
    <row r="606" spans="1:10" x14ac:dyDescent="0.25">
      <c r="A606" s="590" t="s">
        <v>547</v>
      </c>
      <c r="B606" s="591">
        <v>1738900</v>
      </c>
      <c r="C606" s="570">
        <v>1921100</v>
      </c>
      <c r="D606" s="570">
        <v>2289800</v>
      </c>
      <c r="E606" s="570">
        <v>2481000</v>
      </c>
      <c r="F606" s="570">
        <v>4030500</v>
      </c>
      <c r="G606" s="570">
        <v>3625300</v>
      </c>
      <c r="H606" s="570">
        <v>3095900</v>
      </c>
      <c r="I606" s="581">
        <f t="shared" si="141"/>
        <v>19182500</v>
      </c>
      <c r="J606" s="564">
        <f t="shared" si="142"/>
        <v>-2130900</v>
      </c>
    </row>
    <row r="607" spans="1:10" x14ac:dyDescent="0.25">
      <c r="A607" s="680" t="s">
        <v>546</v>
      </c>
      <c r="B607" s="591">
        <v>569700</v>
      </c>
      <c r="C607" s="570">
        <v>1036000</v>
      </c>
      <c r="D607" s="570">
        <v>1546000</v>
      </c>
      <c r="E607" s="570">
        <v>1528900</v>
      </c>
      <c r="F607" s="570">
        <v>2124200</v>
      </c>
      <c r="G607" s="570">
        <v>3322200</v>
      </c>
      <c r="H607" s="570">
        <v>2625700</v>
      </c>
      <c r="I607" s="581">
        <f t="shared" si="141"/>
        <v>12752700</v>
      </c>
      <c r="J607" s="564">
        <f t="shared" si="142"/>
        <v>-2208200</v>
      </c>
    </row>
    <row r="608" spans="1:10" x14ac:dyDescent="0.25">
      <c r="A608" s="680" t="s">
        <v>622</v>
      </c>
      <c r="B608" s="591">
        <v>1867700</v>
      </c>
      <c r="C608" s="570">
        <v>2567600</v>
      </c>
      <c r="D608" s="570">
        <v>3163000</v>
      </c>
      <c r="E608" s="570">
        <v>2819600</v>
      </c>
      <c r="F608" s="570">
        <v>8731950</v>
      </c>
      <c r="G608" s="570">
        <v>10040700</v>
      </c>
      <c r="H608" s="570">
        <v>7733200</v>
      </c>
      <c r="I608" s="581">
        <f t="shared" si="141"/>
        <v>36923750</v>
      </c>
      <c r="J608" s="564">
        <f t="shared" si="142"/>
        <v>-2939950</v>
      </c>
    </row>
    <row r="609" spans="1:10" ht="15.75" thickBot="1" x14ac:dyDescent="0.3">
      <c r="A609" s="593" t="s">
        <v>10</v>
      </c>
      <c r="B609" s="594">
        <f t="shared" ref="B609:I609" si="143">+SUM(B600:B608)</f>
        <v>17157000</v>
      </c>
      <c r="C609" s="594">
        <f t="shared" si="143"/>
        <v>22863800</v>
      </c>
      <c r="D609" s="594">
        <f t="shared" si="143"/>
        <v>25619500</v>
      </c>
      <c r="E609" s="594">
        <f t="shared" si="143"/>
        <v>26616600</v>
      </c>
      <c r="F609" s="594">
        <f t="shared" si="143"/>
        <v>55860450</v>
      </c>
      <c r="G609" s="594">
        <f t="shared" si="143"/>
        <v>62565700</v>
      </c>
      <c r="H609" s="594">
        <f t="shared" si="143"/>
        <v>50089300</v>
      </c>
      <c r="I609" s="594">
        <f t="shared" si="143"/>
        <v>260772350</v>
      </c>
      <c r="J609" s="564">
        <f t="shared" si="142"/>
        <v>-12199050</v>
      </c>
    </row>
    <row r="610" spans="1:10" ht="15.75" thickBot="1" x14ac:dyDescent="0.3"/>
    <row r="611" spans="1:10" ht="30.75" thickBot="1" x14ac:dyDescent="0.3">
      <c r="A611" s="586" t="s">
        <v>419</v>
      </c>
      <c r="B611" s="587" t="s">
        <v>53</v>
      </c>
      <c r="C611" s="232" t="s">
        <v>54</v>
      </c>
      <c r="D611" s="232" t="s">
        <v>292</v>
      </c>
      <c r="E611" s="232" t="s">
        <v>293</v>
      </c>
      <c r="F611" s="232" t="s">
        <v>294</v>
      </c>
      <c r="G611" s="232" t="s">
        <v>295</v>
      </c>
      <c r="H611" s="232" t="s">
        <v>296</v>
      </c>
      <c r="I611" s="580" t="s">
        <v>96</v>
      </c>
      <c r="J611" s="562" t="s">
        <v>438</v>
      </c>
    </row>
    <row r="612" spans="1:10" ht="15.75" thickTop="1" x14ac:dyDescent="0.25">
      <c r="A612" s="588" t="s">
        <v>427</v>
      </c>
      <c r="B612" s="589">
        <v>3642500</v>
      </c>
      <c r="C612" s="569">
        <v>3578300</v>
      </c>
      <c r="D612" s="569">
        <v>3434400</v>
      </c>
      <c r="E612" s="569">
        <v>4449300</v>
      </c>
      <c r="F612" s="569">
        <v>9970500</v>
      </c>
      <c r="G612" s="569">
        <v>11723550</v>
      </c>
      <c r="H612" s="569">
        <v>10970000</v>
      </c>
      <c r="I612" s="581">
        <f t="shared" ref="I612:I622" si="144">+SUM(B612:H612)</f>
        <v>47768550</v>
      </c>
      <c r="J612" s="564">
        <f>I612-I600</f>
        <v>2363450</v>
      </c>
    </row>
    <row r="613" spans="1:10" x14ac:dyDescent="0.25">
      <c r="A613" s="590" t="s">
        <v>428</v>
      </c>
      <c r="B613" s="591">
        <v>1994300</v>
      </c>
      <c r="C613" s="570">
        <v>2589500</v>
      </c>
      <c r="D613" s="570">
        <v>2837300</v>
      </c>
      <c r="E613" s="570">
        <v>3831200</v>
      </c>
      <c r="F613" s="570">
        <v>9080400</v>
      </c>
      <c r="G613" s="570">
        <v>9539200</v>
      </c>
      <c r="H613" s="570">
        <v>8579500</v>
      </c>
      <c r="I613" s="581">
        <f t="shared" si="144"/>
        <v>38451400</v>
      </c>
      <c r="J613" s="564">
        <f t="shared" ref="J613:J620" si="145">I613-I601</f>
        <v>1664900</v>
      </c>
    </row>
    <row r="614" spans="1:10" x14ac:dyDescent="0.25">
      <c r="A614" s="588" t="s">
        <v>429</v>
      </c>
      <c r="B614" s="592">
        <v>2644000</v>
      </c>
      <c r="C614" s="583">
        <v>2958600</v>
      </c>
      <c r="D614" s="583">
        <v>2467900</v>
      </c>
      <c r="E614" s="569">
        <v>2268800</v>
      </c>
      <c r="F614" s="569">
        <v>6169300</v>
      </c>
      <c r="G614" s="569">
        <v>8857000</v>
      </c>
      <c r="H614" s="569">
        <v>5600100</v>
      </c>
      <c r="I614" s="581">
        <f t="shared" si="144"/>
        <v>30965700</v>
      </c>
      <c r="J614" s="564">
        <f t="shared" si="145"/>
        <v>1336000</v>
      </c>
    </row>
    <row r="615" spans="1:10" x14ac:dyDescent="0.25">
      <c r="A615" s="590" t="s">
        <v>430</v>
      </c>
      <c r="B615" s="591">
        <v>2372600</v>
      </c>
      <c r="C615" s="570">
        <v>3222200</v>
      </c>
      <c r="D615" s="570">
        <v>2363300</v>
      </c>
      <c r="E615" s="570">
        <v>2919000</v>
      </c>
      <c r="F615" s="570">
        <v>5532300</v>
      </c>
      <c r="G615" s="570">
        <v>5181200</v>
      </c>
      <c r="H615" s="570">
        <v>6980000</v>
      </c>
      <c r="I615" s="581">
        <f t="shared" si="144"/>
        <v>28570600</v>
      </c>
      <c r="J615" s="564">
        <f t="shared" si="145"/>
        <v>-4069000</v>
      </c>
    </row>
    <row r="616" spans="1:10" x14ac:dyDescent="0.25">
      <c r="A616" s="590" t="s">
        <v>544</v>
      </c>
      <c r="B616" s="591">
        <v>2793700</v>
      </c>
      <c r="C616" s="570">
        <v>3701600</v>
      </c>
      <c r="D616" s="570">
        <v>2987900</v>
      </c>
      <c r="E616" s="570">
        <v>4121300</v>
      </c>
      <c r="F616" s="570">
        <v>6137200</v>
      </c>
      <c r="G616" s="570">
        <v>4141400</v>
      </c>
      <c r="H616" s="570">
        <v>4431500</v>
      </c>
      <c r="I616" s="581">
        <f t="shared" si="144"/>
        <v>28314600</v>
      </c>
      <c r="J616" s="564">
        <f t="shared" si="145"/>
        <v>-2747200</v>
      </c>
    </row>
    <row r="617" spans="1:10" x14ac:dyDescent="0.25">
      <c r="A617" s="590" t="s">
        <v>545</v>
      </c>
      <c r="B617" s="591">
        <v>1049700</v>
      </c>
      <c r="C617" s="570">
        <v>1720300</v>
      </c>
      <c r="D617" s="570">
        <v>1640700</v>
      </c>
      <c r="E617" s="570">
        <v>1976100</v>
      </c>
      <c r="F617" s="570">
        <v>3795600</v>
      </c>
      <c r="G617" s="570">
        <v>5015100</v>
      </c>
      <c r="H617" s="570">
        <v>4844300</v>
      </c>
      <c r="I617" s="581">
        <f t="shared" si="144"/>
        <v>20041800</v>
      </c>
      <c r="J617" s="564">
        <f t="shared" si="145"/>
        <v>3651100</v>
      </c>
    </row>
    <row r="618" spans="1:10" x14ac:dyDescent="0.25">
      <c r="A618" s="590" t="s">
        <v>547</v>
      </c>
      <c r="B618" s="591">
        <v>2122500</v>
      </c>
      <c r="C618" s="570">
        <v>2704300</v>
      </c>
      <c r="D618" s="570">
        <v>2900400</v>
      </c>
      <c r="E618" s="570">
        <v>2512100</v>
      </c>
      <c r="F618" s="570">
        <v>5350000</v>
      </c>
      <c r="G618" s="570">
        <v>3784800</v>
      </c>
      <c r="H618" s="570">
        <v>4208300</v>
      </c>
      <c r="I618" s="581">
        <f t="shared" si="144"/>
        <v>23582400</v>
      </c>
      <c r="J618" s="564">
        <f t="shared" si="145"/>
        <v>4399900</v>
      </c>
    </row>
    <row r="619" spans="1:10" x14ac:dyDescent="0.25">
      <c r="A619" s="680" t="s">
        <v>546</v>
      </c>
      <c r="B619" s="591">
        <v>787700</v>
      </c>
      <c r="C619" s="570">
        <v>1249800</v>
      </c>
      <c r="D619" s="570">
        <v>1079000</v>
      </c>
      <c r="E619" s="570">
        <v>1033000</v>
      </c>
      <c r="F619" s="570">
        <v>1875700</v>
      </c>
      <c r="G619" s="570">
        <v>2876700</v>
      </c>
      <c r="H619" s="570">
        <v>3161300</v>
      </c>
      <c r="I619" s="581">
        <f t="shared" si="144"/>
        <v>12063200</v>
      </c>
      <c r="J619" s="564">
        <f t="shared" si="145"/>
        <v>-689500</v>
      </c>
    </row>
    <row r="620" spans="1:10" x14ac:dyDescent="0.25">
      <c r="A620" s="680" t="s">
        <v>622</v>
      </c>
      <c r="B620" s="591">
        <v>2749600</v>
      </c>
      <c r="C620" s="570">
        <v>2698200</v>
      </c>
      <c r="D620" s="570">
        <v>3082500</v>
      </c>
      <c r="E620" s="570">
        <v>3247000</v>
      </c>
      <c r="F620" s="570">
        <v>8804500</v>
      </c>
      <c r="G620" s="570">
        <v>10308000</v>
      </c>
      <c r="H620" s="570">
        <v>9195200</v>
      </c>
      <c r="I620" s="581">
        <f t="shared" si="144"/>
        <v>40085000</v>
      </c>
      <c r="J620" s="564">
        <f t="shared" si="145"/>
        <v>3161250</v>
      </c>
    </row>
    <row r="621" spans="1:10" x14ac:dyDescent="0.25">
      <c r="A621" s="680" t="s">
        <v>671</v>
      </c>
      <c r="B621" s="591">
        <v>0</v>
      </c>
      <c r="C621" s="570">
        <v>1123100</v>
      </c>
      <c r="D621" s="570">
        <v>3936600</v>
      </c>
      <c r="E621" s="570">
        <v>3564300</v>
      </c>
      <c r="F621" s="570">
        <v>6414700</v>
      </c>
      <c r="G621" s="570">
        <v>7275700</v>
      </c>
      <c r="H621" s="570">
        <v>5428100</v>
      </c>
      <c r="I621" s="581">
        <f t="shared" si="144"/>
        <v>27742500</v>
      </c>
      <c r="J621" s="564">
        <v>0</v>
      </c>
    </row>
    <row r="622" spans="1:10" x14ac:dyDescent="0.25">
      <c r="A622" s="680" t="s">
        <v>672</v>
      </c>
      <c r="B622" s="591">
        <v>0</v>
      </c>
      <c r="C622" s="570">
        <v>0</v>
      </c>
      <c r="D622" s="570">
        <v>0</v>
      </c>
      <c r="E622" s="570">
        <v>0</v>
      </c>
      <c r="F622" s="570">
        <v>5343600</v>
      </c>
      <c r="G622" s="570">
        <v>0</v>
      </c>
      <c r="H622" s="570">
        <v>0</v>
      </c>
      <c r="I622" s="581">
        <f t="shared" si="144"/>
        <v>5343600</v>
      </c>
      <c r="J622" s="564">
        <v>0</v>
      </c>
    </row>
    <row r="623" spans="1:10" ht="15.75" thickBot="1" x14ac:dyDescent="0.3">
      <c r="A623" s="593" t="s">
        <v>10</v>
      </c>
      <c r="B623" s="594">
        <f t="shared" ref="B623:I623" si="146">+SUM(B612:B622)</f>
        <v>20156600</v>
      </c>
      <c r="C623" s="594">
        <f t="shared" si="146"/>
        <v>25545900</v>
      </c>
      <c r="D623" s="594">
        <f t="shared" si="146"/>
        <v>26730000</v>
      </c>
      <c r="E623" s="594">
        <f t="shared" si="146"/>
        <v>29922100</v>
      </c>
      <c r="F623" s="594">
        <f t="shared" si="146"/>
        <v>68473800</v>
      </c>
      <c r="G623" s="594">
        <f t="shared" si="146"/>
        <v>68702650</v>
      </c>
      <c r="H623" s="594">
        <f t="shared" si="146"/>
        <v>63398300</v>
      </c>
      <c r="I623" s="594">
        <f t="shared" si="146"/>
        <v>302929350</v>
      </c>
      <c r="J623" s="564">
        <f>I623-I609</f>
        <v>42157000</v>
      </c>
    </row>
    <row r="624" spans="1:10" ht="15.75" thickBot="1" x14ac:dyDescent="0.3"/>
    <row r="625" spans="1:10" ht="30.75" thickBot="1" x14ac:dyDescent="0.3">
      <c r="A625" s="586" t="s">
        <v>419</v>
      </c>
      <c r="B625" s="587" t="s">
        <v>298</v>
      </c>
      <c r="C625" s="232" t="s">
        <v>299</v>
      </c>
      <c r="D625" s="232" t="s">
        <v>300</v>
      </c>
      <c r="E625" s="232" t="s">
        <v>301</v>
      </c>
      <c r="F625" s="232" t="s">
        <v>65</v>
      </c>
      <c r="G625" s="232" t="s">
        <v>66</v>
      </c>
      <c r="H625" s="232" t="s">
        <v>67</v>
      </c>
      <c r="I625" s="601" t="s">
        <v>96</v>
      </c>
      <c r="J625" s="746" t="s">
        <v>438</v>
      </c>
    </row>
    <row r="626" spans="1:10" ht="15.75" thickTop="1" x14ac:dyDescent="0.25">
      <c r="A626" s="588" t="s">
        <v>427</v>
      </c>
      <c r="B626" s="589">
        <v>3252200</v>
      </c>
      <c r="C626" s="569">
        <v>3340100</v>
      </c>
      <c r="D626" s="569">
        <v>3967900</v>
      </c>
      <c r="E626" s="569">
        <v>3199500</v>
      </c>
      <c r="F626" s="569">
        <v>10059700</v>
      </c>
      <c r="G626" s="569">
        <v>10681900</v>
      </c>
      <c r="H626" s="569">
        <v>9981100</v>
      </c>
      <c r="I626" s="744">
        <f t="shared" ref="I626:I636" si="147">+SUM(B626:H626)</f>
        <v>44482400</v>
      </c>
      <c r="J626" s="747">
        <f>+I626-I612</f>
        <v>-3286150</v>
      </c>
    </row>
    <row r="627" spans="1:10" x14ac:dyDescent="0.25">
      <c r="A627" s="590" t="s">
        <v>428</v>
      </c>
      <c r="B627" s="591">
        <v>1467600</v>
      </c>
      <c r="C627" s="570">
        <v>3063500</v>
      </c>
      <c r="D627" s="570">
        <v>2371800</v>
      </c>
      <c r="E627" s="570">
        <v>2966100</v>
      </c>
      <c r="F627" s="570">
        <v>7923800</v>
      </c>
      <c r="G627" s="570">
        <v>11350600</v>
      </c>
      <c r="H627" s="570">
        <v>9741500</v>
      </c>
      <c r="I627" s="744">
        <f t="shared" si="147"/>
        <v>38884900</v>
      </c>
      <c r="J627" s="747">
        <f t="shared" ref="J627:J637" si="148">+I627-I613</f>
        <v>433500</v>
      </c>
    </row>
    <row r="628" spans="1:10" x14ac:dyDescent="0.25">
      <c r="A628" s="588" t="s">
        <v>429</v>
      </c>
      <c r="B628" s="592">
        <v>1866300</v>
      </c>
      <c r="C628" s="583">
        <v>2079600</v>
      </c>
      <c r="D628" s="583">
        <v>1923100</v>
      </c>
      <c r="E628" s="569">
        <v>2810500</v>
      </c>
      <c r="F628" s="569">
        <v>5541900</v>
      </c>
      <c r="G628" s="569">
        <v>8461400</v>
      </c>
      <c r="H628" s="569">
        <v>5638700</v>
      </c>
      <c r="I628" s="744">
        <f t="shared" si="147"/>
        <v>28321500</v>
      </c>
      <c r="J628" s="747">
        <f t="shared" si="148"/>
        <v>-2644200</v>
      </c>
    </row>
    <row r="629" spans="1:10" x14ac:dyDescent="0.25">
      <c r="A629" s="590" t="s">
        <v>430</v>
      </c>
      <c r="B629" s="591">
        <v>1892200</v>
      </c>
      <c r="C629" s="570">
        <v>2400700</v>
      </c>
      <c r="D629" s="570">
        <v>2402000</v>
      </c>
      <c r="E629" s="570">
        <v>1957700</v>
      </c>
      <c r="F629" s="570">
        <v>6311500</v>
      </c>
      <c r="G629" s="570">
        <v>5732600</v>
      </c>
      <c r="H629" s="570">
        <v>6694900</v>
      </c>
      <c r="I629" s="744">
        <f t="shared" si="147"/>
        <v>27391600</v>
      </c>
      <c r="J629" s="747">
        <f t="shared" si="148"/>
        <v>-1179000</v>
      </c>
    </row>
    <row r="630" spans="1:10" x14ac:dyDescent="0.25">
      <c r="A630" s="590" t="s">
        <v>544</v>
      </c>
      <c r="B630" s="591">
        <v>2871900</v>
      </c>
      <c r="C630" s="570">
        <v>1973200</v>
      </c>
      <c r="D630" s="570">
        <v>2507300</v>
      </c>
      <c r="E630" s="570">
        <v>2957000</v>
      </c>
      <c r="F630" s="570">
        <v>5534200</v>
      </c>
      <c r="G630" s="570">
        <v>4886200</v>
      </c>
      <c r="H630" s="570">
        <v>3791800</v>
      </c>
      <c r="I630" s="744">
        <f t="shared" si="147"/>
        <v>24521600</v>
      </c>
      <c r="J630" s="747">
        <f t="shared" si="148"/>
        <v>-3793000</v>
      </c>
    </row>
    <row r="631" spans="1:10" x14ac:dyDescent="0.25">
      <c r="A631" s="590" t="s">
        <v>545</v>
      </c>
      <c r="B631" s="591">
        <v>1121600</v>
      </c>
      <c r="C631" s="570">
        <v>1600300</v>
      </c>
      <c r="D631" s="570">
        <v>1518100</v>
      </c>
      <c r="E631" s="570">
        <v>1671900</v>
      </c>
      <c r="F631" s="570">
        <v>3726800</v>
      </c>
      <c r="G631" s="570">
        <v>4112500</v>
      </c>
      <c r="H631" s="570">
        <v>4112900</v>
      </c>
      <c r="I631" s="744">
        <f t="shared" si="147"/>
        <v>17864100</v>
      </c>
      <c r="J631" s="747">
        <f t="shared" si="148"/>
        <v>-2177700</v>
      </c>
    </row>
    <row r="632" spans="1:10" x14ac:dyDescent="0.25">
      <c r="A632" s="590" t="s">
        <v>547</v>
      </c>
      <c r="B632" s="591">
        <v>1942000</v>
      </c>
      <c r="C632" s="570">
        <v>2426500</v>
      </c>
      <c r="D632" s="570">
        <v>2610700</v>
      </c>
      <c r="E632" s="570">
        <v>2953000</v>
      </c>
      <c r="F632" s="570">
        <v>4166500</v>
      </c>
      <c r="G632" s="570">
        <v>3614400</v>
      </c>
      <c r="H632" s="570">
        <v>4717600</v>
      </c>
      <c r="I632" s="744">
        <f t="shared" si="147"/>
        <v>22430700</v>
      </c>
      <c r="J632" s="747">
        <f t="shared" si="148"/>
        <v>-1151700</v>
      </c>
    </row>
    <row r="633" spans="1:10" x14ac:dyDescent="0.25">
      <c r="A633" s="680" t="s">
        <v>546</v>
      </c>
      <c r="B633" s="591">
        <v>1105400</v>
      </c>
      <c r="C633" s="570">
        <v>443000</v>
      </c>
      <c r="D633" s="570">
        <v>587200</v>
      </c>
      <c r="E633" s="570">
        <v>965100</v>
      </c>
      <c r="F633" s="570">
        <v>2216300</v>
      </c>
      <c r="G633" s="570">
        <v>3093400</v>
      </c>
      <c r="H633" s="570">
        <v>2798100</v>
      </c>
      <c r="I633" s="744">
        <f t="shared" si="147"/>
        <v>11208500</v>
      </c>
      <c r="J633" s="747">
        <f t="shared" si="148"/>
        <v>-854700</v>
      </c>
    </row>
    <row r="634" spans="1:10" x14ac:dyDescent="0.25">
      <c r="A634" s="680" t="s">
        <v>622</v>
      </c>
      <c r="B634" s="591">
        <v>2574300</v>
      </c>
      <c r="C634" s="570">
        <v>2492000</v>
      </c>
      <c r="D634" s="570">
        <v>2274100</v>
      </c>
      <c r="E634" s="570">
        <v>2977800</v>
      </c>
      <c r="F634" s="570">
        <v>7794500</v>
      </c>
      <c r="G634" s="570">
        <v>11392000</v>
      </c>
      <c r="H634" s="570">
        <v>8413600</v>
      </c>
      <c r="I634" s="744">
        <f t="shared" si="147"/>
        <v>37918300</v>
      </c>
      <c r="J634" s="747">
        <f t="shared" si="148"/>
        <v>-2166700</v>
      </c>
    </row>
    <row r="635" spans="1:10" x14ac:dyDescent="0.25">
      <c r="A635" s="680" t="s">
        <v>671</v>
      </c>
      <c r="B635" s="591">
        <v>2186700</v>
      </c>
      <c r="C635" s="570">
        <v>3061700</v>
      </c>
      <c r="D635" s="570">
        <v>2668700</v>
      </c>
      <c r="E635" s="570">
        <v>3833300</v>
      </c>
      <c r="F635" s="570">
        <v>6878100</v>
      </c>
      <c r="G635" s="570">
        <v>7268900</v>
      </c>
      <c r="H635" s="570">
        <v>6412500</v>
      </c>
      <c r="I635" s="744">
        <f t="shared" si="147"/>
        <v>32309900</v>
      </c>
      <c r="J635" s="747">
        <f t="shared" si="148"/>
        <v>4567400</v>
      </c>
    </row>
    <row r="636" spans="1:10" x14ac:dyDescent="0.25">
      <c r="A636" s="680" t="s">
        <v>672</v>
      </c>
      <c r="B636" s="591">
        <v>5270700</v>
      </c>
      <c r="C636" s="570">
        <v>4577100</v>
      </c>
      <c r="D636" s="570">
        <v>4494700</v>
      </c>
      <c r="E636" s="570">
        <v>4653200</v>
      </c>
      <c r="F636" s="570">
        <v>6376500</v>
      </c>
      <c r="G636" s="570">
        <v>698200</v>
      </c>
      <c r="H636" s="570">
        <v>0</v>
      </c>
      <c r="I636" s="744">
        <f t="shared" si="147"/>
        <v>26070400</v>
      </c>
      <c r="J636" s="747">
        <f t="shared" si="148"/>
        <v>20726800</v>
      </c>
    </row>
    <row r="637" spans="1:10" ht="15.75" thickBot="1" x14ac:dyDescent="0.3">
      <c r="A637" s="593" t="s">
        <v>10</v>
      </c>
      <c r="B637" s="594">
        <f t="shared" ref="B637:I637" si="149">+SUM(B626:B636)</f>
        <v>25550900</v>
      </c>
      <c r="C637" s="594">
        <f t="shared" si="149"/>
        <v>27457700</v>
      </c>
      <c r="D637" s="594">
        <f t="shared" si="149"/>
        <v>27325600</v>
      </c>
      <c r="E637" s="594">
        <f t="shared" si="149"/>
        <v>30945100</v>
      </c>
      <c r="F637" s="594">
        <f t="shared" si="149"/>
        <v>66529800</v>
      </c>
      <c r="G637" s="594">
        <f t="shared" si="149"/>
        <v>71292100</v>
      </c>
      <c r="H637" s="594">
        <f t="shared" si="149"/>
        <v>62302700</v>
      </c>
      <c r="I637" s="745">
        <f t="shared" si="149"/>
        <v>311403900</v>
      </c>
      <c r="J637" s="748">
        <f t="shared" si="148"/>
        <v>8474550</v>
      </c>
    </row>
    <row r="638" spans="1:10" ht="15.75" thickBot="1" x14ac:dyDescent="0.3"/>
    <row r="639" spans="1:10" ht="30.75" thickBot="1" x14ac:dyDescent="0.3">
      <c r="A639" s="586" t="s">
        <v>419</v>
      </c>
      <c r="B639" s="587" t="s">
        <v>70</v>
      </c>
      <c r="C639" s="232" t="s">
        <v>71</v>
      </c>
      <c r="D639" s="232" t="s">
        <v>72</v>
      </c>
      <c r="E639" s="232" t="s">
        <v>73</v>
      </c>
      <c r="F639" s="232" t="s">
        <v>74</v>
      </c>
      <c r="G639" s="232" t="s">
        <v>75</v>
      </c>
      <c r="H639" s="232" t="s">
        <v>76</v>
      </c>
      <c r="I639" s="601" t="s">
        <v>96</v>
      </c>
      <c r="J639" s="746" t="s">
        <v>438</v>
      </c>
    </row>
    <row r="640" spans="1:10" ht="15.75" thickTop="1" x14ac:dyDescent="0.25">
      <c r="A640" s="588" t="s">
        <v>427</v>
      </c>
      <c r="B640" s="589">
        <v>2340800</v>
      </c>
      <c r="C640" s="569">
        <v>3643500</v>
      </c>
      <c r="D640" s="569">
        <v>4483500</v>
      </c>
      <c r="E640" s="569">
        <v>3487600</v>
      </c>
      <c r="F640" s="569">
        <v>7825500</v>
      </c>
      <c r="G640" s="569">
        <v>11724300</v>
      </c>
      <c r="H640" s="569">
        <v>10349300</v>
      </c>
      <c r="I640" s="744">
        <f t="shared" ref="I640:I651" si="150">+SUM(B640:H640)</f>
        <v>43854500</v>
      </c>
      <c r="J640" s="747">
        <f>+I640-I626</f>
        <v>-627900</v>
      </c>
    </row>
    <row r="641" spans="1:10" x14ac:dyDescent="0.25">
      <c r="A641" s="590" t="s">
        <v>428</v>
      </c>
      <c r="B641" s="591">
        <v>1809900</v>
      </c>
      <c r="C641" s="570">
        <v>3271100</v>
      </c>
      <c r="D641" s="570">
        <v>2782600</v>
      </c>
      <c r="E641" s="570">
        <v>3414700</v>
      </c>
      <c r="F641" s="570">
        <v>7863000</v>
      </c>
      <c r="G641" s="570">
        <v>10199400</v>
      </c>
      <c r="H641" s="570">
        <v>7956800</v>
      </c>
      <c r="I641" s="744">
        <f t="shared" si="150"/>
        <v>37297500</v>
      </c>
      <c r="J641" s="747">
        <f t="shared" ref="J641:J650" si="151">+I641-I627</f>
        <v>-1587400</v>
      </c>
    </row>
    <row r="642" spans="1:10" x14ac:dyDescent="0.25">
      <c r="A642" s="588" t="s">
        <v>429</v>
      </c>
      <c r="B642" s="592">
        <v>1819600</v>
      </c>
      <c r="C642" s="583">
        <v>2586300</v>
      </c>
      <c r="D642" s="583">
        <v>3265500</v>
      </c>
      <c r="E642" s="569">
        <v>2926200</v>
      </c>
      <c r="F642" s="569">
        <v>5275300</v>
      </c>
      <c r="G642" s="569">
        <v>8603800</v>
      </c>
      <c r="H642" s="569">
        <v>6051600</v>
      </c>
      <c r="I642" s="744">
        <f t="shared" si="150"/>
        <v>30528300</v>
      </c>
      <c r="J642" s="747">
        <f t="shared" si="151"/>
        <v>2206800</v>
      </c>
    </row>
    <row r="643" spans="1:10" x14ac:dyDescent="0.25">
      <c r="A643" s="590" t="s">
        <v>430</v>
      </c>
      <c r="B643" s="591">
        <v>2174400</v>
      </c>
      <c r="C643" s="570">
        <v>2693900</v>
      </c>
      <c r="D643" s="570">
        <v>2046400</v>
      </c>
      <c r="E643" s="570">
        <v>2775000</v>
      </c>
      <c r="F643" s="570">
        <v>5013500</v>
      </c>
      <c r="G643" s="570">
        <v>5904200</v>
      </c>
      <c r="H643" s="570">
        <v>7078300</v>
      </c>
      <c r="I643" s="744">
        <f t="shared" si="150"/>
        <v>27685700</v>
      </c>
      <c r="J643" s="747">
        <f t="shared" si="151"/>
        <v>294100</v>
      </c>
    </row>
    <row r="644" spans="1:10" x14ac:dyDescent="0.25">
      <c r="A644" s="590" t="s">
        <v>544</v>
      </c>
      <c r="B644" s="591">
        <v>2115200</v>
      </c>
      <c r="C644" s="570">
        <v>2878300</v>
      </c>
      <c r="D644" s="570">
        <v>3418000</v>
      </c>
      <c r="E644" s="570">
        <v>4564600</v>
      </c>
      <c r="F644" s="570">
        <v>6065300</v>
      </c>
      <c r="G644" s="570">
        <v>4828000</v>
      </c>
      <c r="H644" s="570">
        <v>3885400</v>
      </c>
      <c r="I644" s="744">
        <f t="shared" si="150"/>
        <v>27754800</v>
      </c>
      <c r="J644" s="747">
        <f t="shared" si="151"/>
        <v>3233200</v>
      </c>
    </row>
    <row r="645" spans="1:10" x14ac:dyDescent="0.25">
      <c r="A645" s="590" t="s">
        <v>545</v>
      </c>
      <c r="B645" s="591">
        <v>1193800</v>
      </c>
      <c r="C645" s="570">
        <v>1469600</v>
      </c>
      <c r="D645" s="570">
        <v>1787400</v>
      </c>
      <c r="E645" s="570">
        <v>1693500</v>
      </c>
      <c r="F645" s="570">
        <v>4546100</v>
      </c>
      <c r="G645" s="570">
        <v>3757900</v>
      </c>
      <c r="H645" s="570">
        <v>4539400</v>
      </c>
      <c r="I645" s="744">
        <f t="shared" si="150"/>
        <v>18987700</v>
      </c>
      <c r="J645" s="747">
        <f t="shared" si="151"/>
        <v>1123600</v>
      </c>
    </row>
    <row r="646" spans="1:10" x14ac:dyDescent="0.25">
      <c r="A646" s="590" t="s">
        <v>547</v>
      </c>
      <c r="B646" s="591">
        <v>2404400</v>
      </c>
      <c r="C646" s="570">
        <v>2491700</v>
      </c>
      <c r="D646" s="570">
        <v>2358800</v>
      </c>
      <c r="E646" s="570">
        <v>2363500</v>
      </c>
      <c r="F646" s="570">
        <v>5717400</v>
      </c>
      <c r="G646" s="570">
        <v>3656600</v>
      </c>
      <c r="H646" s="570">
        <v>3425400</v>
      </c>
      <c r="I646" s="744">
        <f t="shared" si="150"/>
        <v>22417800</v>
      </c>
      <c r="J646" s="747">
        <f t="shared" si="151"/>
        <v>-12900</v>
      </c>
    </row>
    <row r="647" spans="1:10" x14ac:dyDescent="0.25">
      <c r="A647" s="680" t="s">
        <v>546</v>
      </c>
      <c r="B647" s="591">
        <v>740300</v>
      </c>
      <c r="C647" s="570">
        <v>889400</v>
      </c>
      <c r="D647" s="570">
        <v>839400</v>
      </c>
      <c r="E647" s="570">
        <v>1065300</v>
      </c>
      <c r="F647" s="570">
        <v>1654300</v>
      </c>
      <c r="G647" s="570">
        <v>2820000</v>
      </c>
      <c r="H647" s="570">
        <v>3203800</v>
      </c>
      <c r="I647" s="744">
        <f t="shared" si="150"/>
        <v>11212500</v>
      </c>
      <c r="J647" s="747">
        <f t="shared" si="151"/>
        <v>4000</v>
      </c>
    </row>
    <row r="648" spans="1:10" x14ac:dyDescent="0.25">
      <c r="A648" s="680" t="s">
        <v>622</v>
      </c>
      <c r="B648" s="591">
        <v>1660300</v>
      </c>
      <c r="C648" s="570">
        <v>2803100</v>
      </c>
      <c r="D648" s="570">
        <v>2691000</v>
      </c>
      <c r="E648" s="570">
        <v>3201100</v>
      </c>
      <c r="F648" s="570">
        <v>7491300</v>
      </c>
      <c r="G648" s="570">
        <v>11164000</v>
      </c>
      <c r="H648" s="570">
        <v>7567700</v>
      </c>
      <c r="I648" s="744">
        <f t="shared" si="150"/>
        <v>36578500</v>
      </c>
      <c r="J648" s="747">
        <f t="shared" si="151"/>
        <v>-1339800</v>
      </c>
    </row>
    <row r="649" spans="1:10" x14ac:dyDescent="0.25">
      <c r="A649" s="680" t="s">
        <v>671</v>
      </c>
      <c r="B649" s="591">
        <v>2072100</v>
      </c>
      <c r="C649" s="570">
        <v>3305300</v>
      </c>
      <c r="D649" s="570">
        <v>3308700</v>
      </c>
      <c r="E649" s="570">
        <v>3583900</v>
      </c>
      <c r="F649" s="570">
        <v>6144300</v>
      </c>
      <c r="G649" s="570">
        <v>6662000</v>
      </c>
      <c r="H649" s="570">
        <v>5463900</v>
      </c>
      <c r="I649" s="744">
        <f t="shared" si="150"/>
        <v>30540200</v>
      </c>
      <c r="J649" s="747">
        <f t="shared" si="151"/>
        <v>-1769700</v>
      </c>
    </row>
    <row r="650" spans="1:10" x14ac:dyDescent="0.25">
      <c r="A650" s="680" t="s">
        <v>672</v>
      </c>
      <c r="B650" s="591">
        <v>3686000</v>
      </c>
      <c r="C650" s="570">
        <v>3600900</v>
      </c>
      <c r="D650" s="570">
        <v>3256000</v>
      </c>
      <c r="E650" s="570">
        <v>3916600</v>
      </c>
      <c r="F650" s="570">
        <v>4271700</v>
      </c>
      <c r="G650" s="570"/>
      <c r="H650" s="570"/>
      <c r="I650" s="744">
        <f t="shared" si="150"/>
        <v>18731200</v>
      </c>
      <c r="J650" s="747">
        <f t="shared" si="151"/>
        <v>-7339200</v>
      </c>
    </row>
    <row r="651" spans="1:10" x14ac:dyDescent="0.25">
      <c r="A651" s="749" t="s">
        <v>682</v>
      </c>
      <c r="B651" s="750"/>
      <c r="C651" s="572"/>
      <c r="D651" s="572"/>
      <c r="E651" s="572"/>
      <c r="F651" s="572">
        <v>2255900</v>
      </c>
      <c r="G651" s="572">
        <v>4468100</v>
      </c>
      <c r="H651" s="572">
        <v>2609300</v>
      </c>
      <c r="I651" s="751">
        <f t="shared" si="150"/>
        <v>9333300</v>
      </c>
      <c r="J651" s="752"/>
    </row>
    <row r="652" spans="1:10" ht="15.75" thickBot="1" x14ac:dyDescent="0.3">
      <c r="A652" s="593" t="s">
        <v>10</v>
      </c>
      <c r="B652" s="594">
        <f>+SUM(B640:B651)</f>
        <v>22016800</v>
      </c>
      <c r="C652" s="594">
        <f t="shared" ref="C652:H652" si="152">+SUM(C640:C651)</f>
        <v>29633100</v>
      </c>
      <c r="D652" s="594">
        <f t="shared" si="152"/>
        <v>30237300</v>
      </c>
      <c r="E652" s="594">
        <f t="shared" si="152"/>
        <v>32992000</v>
      </c>
      <c r="F652" s="594">
        <f t="shared" si="152"/>
        <v>64123600</v>
      </c>
      <c r="G652" s="594">
        <f t="shared" si="152"/>
        <v>73788300</v>
      </c>
      <c r="H652" s="594">
        <f t="shared" si="152"/>
        <v>62130900</v>
      </c>
      <c r="I652" s="745">
        <f>+SUM(I640:I651)</f>
        <v>314922000</v>
      </c>
      <c r="J652" s="748">
        <f>+I652-I637</f>
        <v>3518100</v>
      </c>
    </row>
    <row r="653" spans="1:10" ht="15.75" thickBot="1" x14ac:dyDescent="0.3"/>
    <row r="654" spans="1:10" ht="30.75" thickBot="1" x14ac:dyDescent="0.3">
      <c r="A654" s="586" t="s">
        <v>419</v>
      </c>
      <c r="B654" s="587" t="s">
        <v>81</v>
      </c>
      <c r="C654" s="232" t="s">
        <v>82</v>
      </c>
      <c r="D654" s="232" t="s">
        <v>83</v>
      </c>
      <c r="E654" s="232" t="s">
        <v>84</v>
      </c>
      <c r="F654" s="232" t="s">
        <v>85</v>
      </c>
      <c r="G654" s="232" t="s">
        <v>86</v>
      </c>
      <c r="H654" s="232" t="s">
        <v>87</v>
      </c>
      <c r="I654" s="601" t="s">
        <v>96</v>
      </c>
      <c r="J654" s="746" t="s">
        <v>438</v>
      </c>
    </row>
    <row r="655" spans="1:10" ht="15.75" thickTop="1" x14ac:dyDescent="0.25">
      <c r="A655" s="588" t="s">
        <v>427</v>
      </c>
      <c r="B655" s="589">
        <v>3562000</v>
      </c>
      <c r="C655" s="569">
        <v>3804100</v>
      </c>
      <c r="D655" s="569">
        <v>3413400</v>
      </c>
      <c r="E655" s="569">
        <v>3848200</v>
      </c>
      <c r="F655" s="569">
        <v>10380600</v>
      </c>
      <c r="G655" s="569">
        <v>13339300</v>
      </c>
      <c r="H655" s="569">
        <v>10034300</v>
      </c>
      <c r="I655" s="744">
        <f t="shared" ref="I655:I666" si="153">+SUM(B655:H655)</f>
        <v>48381900</v>
      </c>
      <c r="J655" s="747">
        <f>+I655-I640</f>
        <v>4527400</v>
      </c>
    </row>
    <row r="656" spans="1:10" x14ac:dyDescent="0.25">
      <c r="A656" s="590" t="s">
        <v>428</v>
      </c>
      <c r="B656" s="591">
        <v>2288800</v>
      </c>
      <c r="C656" s="570">
        <v>2316700</v>
      </c>
      <c r="D656" s="570">
        <v>2605800</v>
      </c>
      <c r="E656" s="570">
        <v>2481500</v>
      </c>
      <c r="F656" s="570">
        <v>8829500</v>
      </c>
      <c r="G656" s="570">
        <v>11136900</v>
      </c>
      <c r="H656" s="570">
        <v>9262800</v>
      </c>
      <c r="I656" s="744">
        <f t="shared" si="153"/>
        <v>38922000</v>
      </c>
      <c r="J656" s="747">
        <f t="shared" ref="J656:J667" si="154">+I656-I641</f>
        <v>1624500</v>
      </c>
    </row>
    <row r="657" spans="1:10" x14ac:dyDescent="0.25">
      <c r="A657" s="588" t="s">
        <v>429</v>
      </c>
      <c r="B657" s="592">
        <v>1786400</v>
      </c>
      <c r="C657" s="583">
        <v>1959700</v>
      </c>
      <c r="D657" s="583">
        <v>2461800</v>
      </c>
      <c r="E657" s="569">
        <v>2143500</v>
      </c>
      <c r="F657" s="569">
        <v>5253500</v>
      </c>
      <c r="G657" s="569">
        <v>6887700</v>
      </c>
      <c r="H657" s="569">
        <v>4910400</v>
      </c>
      <c r="I657" s="744">
        <f t="shared" si="153"/>
        <v>25403000</v>
      </c>
      <c r="J657" s="747">
        <f t="shared" si="154"/>
        <v>-5125300</v>
      </c>
    </row>
    <row r="658" spans="1:10" x14ac:dyDescent="0.25">
      <c r="A658" s="590" t="s">
        <v>430</v>
      </c>
      <c r="B658" s="591">
        <v>2078000</v>
      </c>
      <c r="C658" s="570">
        <v>2098300</v>
      </c>
      <c r="D658" s="570">
        <v>2213700</v>
      </c>
      <c r="E658" s="570">
        <v>2625400</v>
      </c>
      <c r="F658" s="570">
        <v>4917600</v>
      </c>
      <c r="G658" s="570">
        <v>5147500</v>
      </c>
      <c r="H658" s="570">
        <v>6319100</v>
      </c>
      <c r="I658" s="744">
        <f t="shared" si="153"/>
        <v>25399600</v>
      </c>
      <c r="J658" s="747">
        <f t="shared" si="154"/>
        <v>-2286100</v>
      </c>
    </row>
    <row r="659" spans="1:10" x14ac:dyDescent="0.25">
      <c r="A659" s="590" t="s">
        <v>544</v>
      </c>
      <c r="B659" s="591">
        <v>2654300</v>
      </c>
      <c r="C659" s="570">
        <v>2614100</v>
      </c>
      <c r="D659" s="570">
        <v>2896000</v>
      </c>
      <c r="E659" s="570">
        <v>3461400</v>
      </c>
      <c r="F659" s="570">
        <v>6162900</v>
      </c>
      <c r="G659" s="570">
        <v>3683300</v>
      </c>
      <c r="H659" s="570">
        <v>4682100</v>
      </c>
      <c r="I659" s="744">
        <f t="shared" si="153"/>
        <v>26154100</v>
      </c>
      <c r="J659" s="747">
        <f t="shared" si="154"/>
        <v>-1600700</v>
      </c>
    </row>
    <row r="660" spans="1:10" x14ac:dyDescent="0.25">
      <c r="A660" s="590" t="s">
        <v>545</v>
      </c>
      <c r="B660" s="591">
        <v>1431400</v>
      </c>
      <c r="C660" s="570">
        <v>1739900</v>
      </c>
      <c r="D660" s="570">
        <v>2117600</v>
      </c>
      <c r="E660" s="570">
        <v>2274500</v>
      </c>
      <c r="F660" s="570">
        <v>3610300</v>
      </c>
      <c r="G660" s="570">
        <v>4757000</v>
      </c>
      <c r="H660" s="570">
        <v>3852700</v>
      </c>
      <c r="I660" s="744">
        <f t="shared" si="153"/>
        <v>19783400</v>
      </c>
      <c r="J660" s="747">
        <f t="shared" si="154"/>
        <v>795700</v>
      </c>
    </row>
    <row r="661" spans="1:10" x14ac:dyDescent="0.25">
      <c r="A661" s="590" t="s">
        <v>547</v>
      </c>
      <c r="B661" s="591">
        <v>1653500</v>
      </c>
      <c r="C661" s="570">
        <v>1922400</v>
      </c>
      <c r="D661" s="570">
        <v>1718600</v>
      </c>
      <c r="E661" s="570">
        <v>2211100</v>
      </c>
      <c r="F661" s="570">
        <v>4817000</v>
      </c>
      <c r="G661" s="570">
        <v>4715100</v>
      </c>
      <c r="H661" s="570">
        <v>4148900</v>
      </c>
      <c r="I661" s="744">
        <f t="shared" si="153"/>
        <v>21186600</v>
      </c>
      <c r="J661" s="747">
        <f t="shared" si="154"/>
        <v>-1231200</v>
      </c>
    </row>
    <row r="662" spans="1:10" x14ac:dyDescent="0.25">
      <c r="A662" s="680" t="s">
        <v>546</v>
      </c>
      <c r="B662" s="591">
        <v>815300</v>
      </c>
      <c r="C662" s="570">
        <v>393200</v>
      </c>
      <c r="D662" s="570">
        <v>906900</v>
      </c>
      <c r="E662" s="570">
        <v>709600</v>
      </c>
      <c r="F662" s="570">
        <v>2049000</v>
      </c>
      <c r="G662" s="570">
        <v>2849600</v>
      </c>
      <c r="H662" s="570">
        <v>3577600</v>
      </c>
      <c r="I662" s="744">
        <f t="shared" si="153"/>
        <v>11301200</v>
      </c>
      <c r="J662" s="747">
        <f t="shared" si="154"/>
        <v>88700</v>
      </c>
    </row>
    <row r="663" spans="1:10" x14ac:dyDescent="0.25">
      <c r="A663" s="680" t="s">
        <v>622</v>
      </c>
      <c r="B663" s="591">
        <v>1853000</v>
      </c>
      <c r="C663" s="570">
        <v>2660700</v>
      </c>
      <c r="D663" s="570">
        <v>1632600</v>
      </c>
      <c r="E663" s="570">
        <v>2645800</v>
      </c>
      <c r="F663" s="570">
        <v>7089300</v>
      </c>
      <c r="G663" s="570">
        <v>10896400</v>
      </c>
      <c r="H663" s="570">
        <v>6912300</v>
      </c>
      <c r="I663" s="744">
        <f t="shared" si="153"/>
        <v>33690100</v>
      </c>
      <c r="J663" s="747">
        <f t="shared" si="154"/>
        <v>-2888400</v>
      </c>
    </row>
    <row r="664" spans="1:10" x14ac:dyDescent="0.25">
      <c r="A664" s="680" t="s">
        <v>671</v>
      </c>
      <c r="B664" s="591">
        <v>2150400</v>
      </c>
      <c r="C664" s="570">
        <v>2726400</v>
      </c>
      <c r="D664" s="570">
        <v>3088600</v>
      </c>
      <c r="E664" s="570">
        <v>3365800</v>
      </c>
      <c r="F664" s="570">
        <v>6761800</v>
      </c>
      <c r="G664" s="570">
        <v>6861500</v>
      </c>
      <c r="H664" s="570">
        <v>5722100</v>
      </c>
      <c r="I664" s="744">
        <f t="shared" si="153"/>
        <v>30676600</v>
      </c>
      <c r="J664" s="747">
        <f t="shared" si="154"/>
        <v>136400</v>
      </c>
    </row>
    <row r="665" spans="1:10" x14ac:dyDescent="0.25">
      <c r="A665" s="680" t="s">
        <v>672</v>
      </c>
      <c r="B665" s="591">
        <v>2954700</v>
      </c>
      <c r="C665" s="570">
        <v>3129300</v>
      </c>
      <c r="D665" s="570">
        <v>3682700</v>
      </c>
      <c r="E665" s="570">
        <v>3124600</v>
      </c>
      <c r="F665" s="570">
        <v>4112300</v>
      </c>
      <c r="G665" s="570"/>
      <c r="H665" s="570"/>
      <c r="I665" s="744">
        <f t="shared" si="153"/>
        <v>17003600</v>
      </c>
      <c r="J665" s="747">
        <f t="shared" si="154"/>
        <v>-1727600</v>
      </c>
    </row>
    <row r="666" spans="1:10" x14ac:dyDescent="0.25">
      <c r="A666" s="749" t="s">
        <v>682</v>
      </c>
      <c r="B666" s="750">
        <v>780000</v>
      </c>
      <c r="C666" s="572">
        <v>843200</v>
      </c>
      <c r="D666" s="572">
        <v>1378100</v>
      </c>
      <c r="E666" s="572">
        <v>1012300</v>
      </c>
      <c r="F666" s="572">
        <v>4071900</v>
      </c>
      <c r="G666" s="572">
        <v>4485500</v>
      </c>
      <c r="H666" s="572">
        <v>4471500</v>
      </c>
      <c r="I666" s="751">
        <f t="shared" si="153"/>
        <v>17042500</v>
      </c>
      <c r="J666" s="752">
        <f t="shared" si="154"/>
        <v>7709200</v>
      </c>
    </row>
    <row r="667" spans="1:10" ht="15.75" thickBot="1" x14ac:dyDescent="0.3">
      <c r="A667" s="593" t="s">
        <v>10</v>
      </c>
      <c r="B667" s="594">
        <f>+SUM(B655:B666)</f>
        <v>24007800</v>
      </c>
      <c r="C667" s="594">
        <f t="shared" ref="C667:H667" si="155">+SUM(C655:C666)</f>
        <v>26208000</v>
      </c>
      <c r="D667" s="594">
        <f t="shared" si="155"/>
        <v>28115800</v>
      </c>
      <c r="E667" s="594">
        <f t="shared" si="155"/>
        <v>29903700</v>
      </c>
      <c r="F667" s="594">
        <f t="shared" si="155"/>
        <v>68055700</v>
      </c>
      <c r="G667" s="594">
        <f t="shared" si="155"/>
        <v>74759800</v>
      </c>
      <c r="H667" s="594">
        <f t="shared" si="155"/>
        <v>63893800</v>
      </c>
      <c r="I667" s="745">
        <f>+SUM(I655:I666)</f>
        <v>314944600</v>
      </c>
      <c r="J667" s="748">
        <f t="shared" si="154"/>
        <v>22600</v>
      </c>
    </row>
    <row r="668" spans="1:10" ht="15.75" thickBot="1" x14ac:dyDescent="0.3"/>
    <row r="669" spans="1:10" ht="30.75" thickBot="1" x14ac:dyDescent="0.3">
      <c r="A669" s="586" t="s">
        <v>419</v>
      </c>
      <c r="B669" s="587" t="s">
        <v>89</v>
      </c>
      <c r="C669" s="232" t="s">
        <v>90</v>
      </c>
      <c r="D669" s="232" t="s">
        <v>172</v>
      </c>
      <c r="E669" s="232" t="s">
        <v>324</v>
      </c>
      <c r="F669" s="232" t="s">
        <v>325</v>
      </c>
      <c r="G669" s="232" t="s">
        <v>326</v>
      </c>
      <c r="H669" s="232" t="s">
        <v>327</v>
      </c>
      <c r="I669" s="601" t="s">
        <v>96</v>
      </c>
      <c r="J669" s="746" t="s">
        <v>438</v>
      </c>
    </row>
    <row r="670" spans="1:10" ht="15.75" thickTop="1" x14ac:dyDescent="0.25">
      <c r="A670" s="588" t="s">
        <v>427</v>
      </c>
      <c r="B670" s="589">
        <v>2073100</v>
      </c>
      <c r="C670" s="569">
        <v>3764600</v>
      </c>
      <c r="D670" s="569">
        <v>5450600</v>
      </c>
      <c r="E670" s="569">
        <v>4347200</v>
      </c>
      <c r="F670" s="569">
        <v>9091200</v>
      </c>
      <c r="G670" s="569">
        <v>11710900</v>
      </c>
      <c r="H670" s="569">
        <v>10076200</v>
      </c>
      <c r="I670" s="744">
        <f t="shared" ref="I670:I681" si="156">+SUM(B670:H670)</f>
        <v>46513800</v>
      </c>
      <c r="J670" s="747">
        <f>+I670-I655</f>
        <v>-1868100</v>
      </c>
    </row>
    <row r="671" spans="1:10" x14ac:dyDescent="0.25">
      <c r="A671" s="590" t="s">
        <v>428</v>
      </c>
      <c r="B671" s="591">
        <v>2281400</v>
      </c>
      <c r="C671" s="570">
        <v>3007600</v>
      </c>
      <c r="D671" s="570">
        <v>4324300</v>
      </c>
      <c r="E671" s="570">
        <v>3098800</v>
      </c>
      <c r="F671" s="570">
        <v>9185900</v>
      </c>
      <c r="G671" s="570">
        <v>12483800</v>
      </c>
      <c r="H671" s="570">
        <v>8467100</v>
      </c>
      <c r="I671" s="744">
        <f t="shared" si="156"/>
        <v>42848900</v>
      </c>
      <c r="J671" s="747">
        <f t="shared" ref="J671:J682" si="157">+I671-I656</f>
        <v>3926900</v>
      </c>
    </row>
    <row r="672" spans="1:10" x14ac:dyDescent="0.25">
      <c r="A672" s="588" t="s">
        <v>429</v>
      </c>
      <c r="B672" s="592">
        <v>1685700</v>
      </c>
      <c r="C672" s="583">
        <v>2112700</v>
      </c>
      <c r="D672" s="583">
        <v>2812000</v>
      </c>
      <c r="E672" s="569">
        <v>2818800</v>
      </c>
      <c r="F672" s="569">
        <v>6164200</v>
      </c>
      <c r="G672" s="569">
        <v>7330200</v>
      </c>
      <c r="H672" s="569">
        <v>5549600</v>
      </c>
      <c r="I672" s="744">
        <f t="shared" si="156"/>
        <v>28473200</v>
      </c>
      <c r="J672" s="747">
        <f t="shared" si="157"/>
        <v>3070200</v>
      </c>
    </row>
    <row r="673" spans="1:10" x14ac:dyDescent="0.25">
      <c r="A673" s="590" t="s">
        <v>430</v>
      </c>
      <c r="B673" s="591">
        <v>1832400</v>
      </c>
      <c r="C673" s="570">
        <v>3029600</v>
      </c>
      <c r="D673" s="570">
        <v>3460700</v>
      </c>
      <c r="E673" s="570">
        <v>3111900</v>
      </c>
      <c r="F673" s="570">
        <v>6857300</v>
      </c>
      <c r="G673" s="570">
        <v>5715900</v>
      </c>
      <c r="H673" s="570">
        <v>5813300</v>
      </c>
      <c r="I673" s="744">
        <f t="shared" si="156"/>
        <v>29821100</v>
      </c>
      <c r="J673" s="747">
        <f t="shared" si="157"/>
        <v>4421500</v>
      </c>
    </row>
    <row r="674" spans="1:10" x14ac:dyDescent="0.25">
      <c r="A674" s="590" t="s">
        <v>544</v>
      </c>
      <c r="B674" s="591">
        <v>2358400</v>
      </c>
      <c r="C674" s="570">
        <v>2997000</v>
      </c>
      <c r="D674" s="570">
        <v>3882600</v>
      </c>
      <c r="E674" s="570">
        <v>4168800</v>
      </c>
      <c r="F674" s="570">
        <v>6922000</v>
      </c>
      <c r="G674" s="570">
        <v>5073800</v>
      </c>
      <c r="H674" s="570">
        <v>3934300</v>
      </c>
      <c r="I674" s="744">
        <f t="shared" si="156"/>
        <v>29336900</v>
      </c>
      <c r="J674" s="747">
        <f t="shared" si="157"/>
        <v>3182800</v>
      </c>
    </row>
    <row r="675" spans="1:10" x14ac:dyDescent="0.25">
      <c r="A675" s="590" t="s">
        <v>545</v>
      </c>
      <c r="B675" s="591">
        <v>1126800</v>
      </c>
      <c r="C675" s="570">
        <v>1631400</v>
      </c>
      <c r="D675" s="570">
        <v>2043500</v>
      </c>
      <c r="E675" s="570">
        <v>1644700</v>
      </c>
      <c r="F675" s="570">
        <v>3950300</v>
      </c>
      <c r="G675" s="570">
        <v>4486700</v>
      </c>
      <c r="H675" s="570">
        <v>3973000</v>
      </c>
      <c r="I675" s="744">
        <f t="shared" si="156"/>
        <v>18856400</v>
      </c>
      <c r="J675" s="747">
        <f t="shared" si="157"/>
        <v>-927000</v>
      </c>
    </row>
    <row r="676" spans="1:10" x14ac:dyDescent="0.25">
      <c r="A676" s="590" t="s">
        <v>547</v>
      </c>
      <c r="B676" s="591">
        <v>1706500</v>
      </c>
      <c r="C676" s="570">
        <v>1958400</v>
      </c>
      <c r="D676" s="570">
        <v>2955400</v>
      </c>
      <c r="E676" s="570">
        <v>3052900</v>
      </c>
      <c r="F676" s="570">
        <v>4819200</v>
      </c>
      <c r="G676" s="570">
        <v>3715400</v>
      </c>
      <c r="H676" s="570">
        <v>4138500</v>
      </c>
      <c r="I676" s="744">
        <f t="shared" si="156"/>
        <v>22346300</v>
      </c>
      <c r="J676" s="747">
        <f t="shared" si="157"/>
        <v>1159700</v>
      </c>
    </row>
    <row r="677" spans="1:10" x14ac:dyDescent="0.25">
      <c r="A677" s="680" t="s">
        <v>546</v>
      </c>
      <c r="B677" s="591">
        <v>551200</v>
      </c>
      <c r="C677" s="570">
        <v>1118200</v>
      </c>
      <c r="D677" s="570">
        <v>1253000</v>
      </c>
      <c r="E677" s="570">
        <v>1624400</v>
      </c>
      <c r="F677" s="570">
        <v>1920900</v>
      </c>
      <c r="G677" s="570">
        <v>3554800</v>
      </c>
      <c r="H677" s="570">
        <v>3529300</v>
      </c>
      <c r="I677" s="744">
        <f t="shared" si="156"/>
        <v>13551800</v>
      </c>
      <c r="J677" s="747">
        <f t="shared" si="157"/>
        <v>2250600</v>
      </c>
    </row>
    <row r="678" spans="1:10" x14ac:dyDescent="0.25">
      <c r="A678" s="680" t="s">
        <v>622</v>
      </c>
      <c r="B678" s="591">
        <v>2091400</v>
      </c>
      <c r="C678" s="570">
        <v>2291900</v>
      </c>
      <c r="D678" s="570">
        <v>3403100</v>
      </c>
      <c r="E678" s="570">
        <v>2883200</v>
      </c>
      <c r="F678" s="570">
        <v>8757200</v>
      </c>
      <c r="G678" s="570">
        <v>10604400</v>
      </c>
      <c r="H678" s="570">
        <v>8901300</v>
      </c>
      <c r="I678" s="744">
        <f t="shared" si="156"/>
        <v>38932500</v>
      </c>
      <c r="J678" s="747">
        <f t="shared" si="157"/>
        <v>5242400</v>
      </c>
    </row>
    <row r="679" spans="1:10" x14ac:dyDescent="0.25">
      <c r="A679" s="680" t="s">
        <v>671</v>
      </c>
      <c r="B679" s="591">
        <v>2639200</v>
      </c>
      <c r="C679" s="570">
        <v>2970100</v>
      </c>
      <c r="D679" s="570">
        <v>3962400</v>
      </c>
      <c r="E679" s="570">
        <v>3742400</v>
      </c>
      <c r="F679" s="570">
        <v>7384900</v>
      </c>
      <c r="G679" s="570">
        <v>7255900</v>
      </c>
      <c r="H679" s="570">
        <v>5627700</v>
      </c>
      <c r="I679" s="744">
        <f t="shared" si="156"/>
        <v>33582600</v>
      </c>
      <c r="J679" s="747">
        <f t="shared" si="157"/>
        <v>2906000</v>
      </c>
    </row>
    <row r="680" spans="1:10" x14ac:dyDescent="0.25">
      <c r="A680" s="680" t="s">
        <v>672</v>
      </c>
      <c r="B680" s="591">
        <v>2411500</v>
      </c>
      <c r="C680" s="570">
        <v>2494500</v>
      </c>
      <c r="D680" s="570">
        <v>2126000</v>
      </c>
      <c r="E680" s="570">
        <v>3282200</v>
      </c>
      <c r="F680" s="570">
        <v>4094600</v>
      </c>
      <c r="G680" s="570"/>
      <c r="H680" s="570"/>
      <c r="I680" s="744">
        <f t="shared" si="156"/>
        <v>14408800</v>
      </c>
      <c r="J680" s="747">
        <f t="shared" si="157"/>
        <v>-2594800</v>
      </c>
    </row>
    <row r="681" spans="1:10" x14ac:dyDescent="0.25">
      <c r="A681" s="749" t="s">
        <v>682</v>
      </c>
      <c r="B681" s="750">
        <v>1090200</v>
      </c>
      <c r="C681" s="572">
        <v>1282700</v>
      </c>
      <c r="D681" s="572">
        <v>1295600</v>
      </c>
      <c r="E681" s="572">
        <v>2101800</v>
      </c>
      <c r="F681" s="572">
        <v>4006600</v>
      </c>
      <c r="G681" s="572">
        <v>6661700</v>
      </c>
      <c r="H681" s="572">
        <v>4987900</v>
      </c>
      <c r="I681" s="751">
        <f t="shared" si="156"/>
        <v>21426500</v>
      </c>
      <c r="J681" s="752">
        <f t="shared" si="157"/>
        <v>4384000</v>
      </c>
    </row>
    <row r="682" spans="1:10" ht="15.75" thickBot="1" x14ac:dyDescent="0.3">
      <c r="A682" s="593" t="s">
        <v>10</v>
      </c>
      <c r="B682" s="594">
        <f>+SUM(B670:B681)</f>
        <v>21847800</v>
      </c>
      <c r="C682" s="594">
        <f t="shared" ref="C682:H682" si="158">+SUM(C670:C681)</f>
        <v>28658700</v>
      </c>
      <c r="D682" s="594">
        <f t="shared" si="158"/>
        <v>36969200</v>
      </c>
      <c r="E682" s="594">
        <f t="shared" si="158"/>
        <v>35877100</v>
      </c>
      <c r="F682" s="594">
        <f t="shared" si="158"/>
        <v>73154300</v>
      </c>
      <c r="G682" s="594">
        <f t="shared" si="158"/>
        <v>78593500</v>
      </c>
      <c r="H682" s="594">
        <f t="shared" si="158"/>
        <v>64998200</v>
      </c>
      <c r="I682" s="745">
        <f>+SUM(I670:I681)</f>
        <v>340098800</v>
      </c>
      <c r="J682" s="748">
        <f t="shared" si="157"/>
        <v>25154200</v>
      </c>
    </row>
    <row r="683" spans="1:10" ht="15.75" thickBot="1" x14ac:dyDescent="0.3"/>
    <row r="684" spans="1:10" ht="30.75" thickBot="1" x14ac:dyDescent="0.3">
      <c r="A684" s="586" t="s">
        <v>419</v>
      </c>
      <c r="B684" s="587" t="s">
        <v>329</v>
      </c>
      <c r="C684" s="232" t="s">
        <v>330</v>
      </c>
      <c r="D684" s="232" t="s">
        <v>331</v>
      </c>
      <c r="E684" s="232" t="s">
        <v>332</v>
      </c>
      <c r="F684" s="232" t="s">
        <v>333</v>
      </c>
      <c r="G684" s="232" t="s">
        <v>334</v>
      </c>
      <c r="H684" s="232" t="s">
        <v>335</v>
      </c>
      <c r="I684" s="601" t="s">
        <v>96</v>
      </c>
      <c r="J684" s="746" t="s">
        <v>438</v>
      </c>
    </row>
    <row r="685" spans="1:10" ht="15.75" thickTop="1" x14ac:dyDescent="0.25">
      <c r="A685" s="588" t="s">
        <v>427</v>
      </c>
      <c r="B685" s="589">
        <v>2500900</v>
      </c>
      <c r="C685" s="569">
        <v>3662300</v>
      </c>
      <c r="D685" s="569">
        <v>3688400</v>
      </c>
      <c r="E685" s="569">
        <v>6564500</v>
      </c>
      <c r="F685" s="569">
        <v>10944400</v>
      </c>
      <c r="G685" s="569">
        <v>12017900</v>
      </c>
      <c r="H685" s="569">
        <v>9816700</v>
      </c>
      <c r="I685" s="744">
        <f t="shared" ref="I685:I696" si="159">+SUM(B685:H685)</f>
        <v>49195100</v>
      </c>
      <c r="J685" s="747">
        <f>+I685-I670</f>
        <v>2681300</v>
      </c>
    </row>
    <row r="686" spans="1:10" x14ac:dyDescent="0.25">
      <c r="A686" s="590" t="s">
        <v>428</v>
      </c>
      <c r="B686" s="591">
        <v>2261100</v>
      </c>
      <c r="C686" s="570">
        <v>2814800</v>
      </c>
      <c r="D686" s="570">
        <v>2490900</v>
      </c>
      <c r="E686" s="570">
        <v>5291700</v>
      </c>
      <c r="F686" s="570">
        <v>9060800</v>
      </c>
      <c r="G686" s="570">
        <v>12742300</v>
      </c>
      <c r="H686" s="570">
        <v>9174100</v>
      </c>
      <c r="I686" s="744">
        <f t="shared" si="159"/>
        <v>43835700</v>
      </c>
      <c r="J686" s="747">
        <f t="shared" ref="J686:J697" si="160">+I686-I671</f>
        <v>986800</v>
      </c>
    </row>
    <row r="687" spans="1:10" x14ac:dyDescent="0.25">
      <c r="A687" s="588" t="s">
        <v>429</v>
      </c>
      <c r="B687" s="592">
        <v>1250100</v>
      </c>
      <c r="C687" s="583">
        <v>2271400</v>
      </c>
      <c r="D687" s="583">
        <v>2463000</v>
      </c>
      <c r="E687" s="569">
        <v>4646100</v>
      </c>
      <c r="F687" s="569">
        <v>5854500</v>
      </c>
      <c r="G687" s="569">
        <v>7686600</v>
      </c>
      <c r="H687" s="569">
        <v>6294100</v>
      </c>
      <c r="I687" s="744">
        <f t="shared" si="159"/>
        <v>30465800</v>
      </c>
      <c r="J687" s="747">
        <f t="shared" si="160"/>
        <v>1992600</v>
      </c>
    </row>
    <row r="688" spans="1:10" x14ac:dyDescent="0.25">
      <c r="A688" s="590" t="s">
        <v>430</v>
      </c>
      <c r="B688" s="591">
        <v>1740800</v>
      </c>
      <c r="C688" s="570">
        <v>2523800</v>
      </c>
      <c r="D688" s="570">
        <v>2321900</v>
      </c>
      <c r="E688" s="570">
        <v>2582300</v>
      </c>
      <c r="F688" s="570">
        <v>5896300</v>
      </c>
      <c r="G688" s="570">
        <v>5871000</v>
      </c>
      <c r="H688" s="570">
        <v>6458500</v>
      </c>
      <c r="I688" s="744">
        <f t="shared" si="159"/>
        <v>27394600</v>
      </c>
      <c r="J688" s="747">
        <f t="shared" si="160"/>
        <v>-2426500</v>
      </c>
    </row>
    <row r="689" spans="1:10" x14ac:dyDescent="0.25">
      <c r="A689" s="590" t="s">
        <v>544</v>
      </c>
      <c r="B689" s="591">
        <v>2499600</v>
      </c>
      <c r="C689" s="570">
        <v>2688400</v>
      </c>
      <c r="D689" s="570">
        <v>3457300</v>
      </c>
      <c r="E689" s="570">
        <v>4175900</v>
      </c>
      <c r="F689" s="570">
        <v>5024300</v>
      </c>
      <c r="G689" s="570">
        <v>5528400</v>
      </c>
      <c r="H689" s="570">
        <v>4227200</v>
      </c>
      <c r="I689" s="744">
        <f t="shared" si="159"/>
        <v>27601100</v>
      </c>
      <c r="J689" s="747">
        <f t="shared" si="160"/>
        <v>-1735800</v>
      </c>
    </row>
    <row r="690" spans="1:10" x14ac:dyDescent="0.25">
      <c r="A690" s="590" t="s">
        <v>545</v>
      </c>
      <c r="B690" s="591">
        <v>1221400</v>
      </c>
      <c r="C690" s="570">
        <v>779500</v>
      </c>
      <c r="D690" s="570">
        <v>1249400</v>
      </c>
      <c r="E690" s="570">
        <v>1422600</v>
      </c>
      <c r="F690" s="570">
        <v>4201100</v>
      </c>
      <c r="G690" s="570">
        <v>4160000</v>
      </c>
      <c r="H690" s="570">
        <v>3497800</v>
      </c>
      <c r="I690" s="744">
        <f t="shared" si="159"/>
        <v>16531800</v>
      </c>
      <c r="J690" s="747">
        <f t="shared" si="160"/>
        <v>-2324600</v>
      </c>
    </row>
    <row r="691" spans="1:10" x14ac:dyDescent="0.25">
      <c r="A691" s="590" t="s">
        <v>547</v>
      </c>
      <c r="B691" s="591">
        <v>1832500</v>
      </c>
      <c r="C691" s="570">
        <v>1859400</v>
      </c>
      <c r="D691" s="570">
        <v>2247200</v>
      </c>
      <c r="E691" s="570">
        <v>2530100</v>
      </c>
      <c r="F691" s="570">
        <v>5254800</v>
      </c>
      <c r="G691" s="570">
        <v>4275600</v>
      </c>
      <c r="H691" s="570">
        <v>3775900</v>
      </c>
      <c r="I691" s="744">
        <f t="shared" si="159"/>
        <v>21775500</v>
      </c>
      <c r="J691" s="747">
        <f t="shared" si="160"/>
        <v>-570800</v>
      </c>
    </row>
    <row r="692" spans="1:10" x14ac:dyDescent="0.25">
      <c r="A692" s="680" t="s">
        <v>546</v>
      </c>
      <c r="B692" s="591">
        <v>1632100</v>
      </c>
      <c r="C692" s="570">
        <v>628600</v>
      </c>
      <c r="D692" s="570">
        <v>805400</v>
      </c>
      <c r="E692" s="570">
        <v>2433200</v>
      </c>
      <c r="F692" s="570">
        <v>2257700</v>
      </c>
      <c r="G692" s="570">
        <v>3016400</v>
      </c>
      <c r="H692" s="570">
        <v>3565700</v>
      </c>
      <c r="I692" s="744">
        <f t="shared" si="159"/>
        <v>14339100</v>
      </c>
      <c r="J692" s="747">
        <f t="shared" si="160"/>
        <v>787300</v>
      </c>
    </row>
    <row r="693" spans="1:10" x14ac:dyDescent="0.25">
      <c r="A693" s="680" t="s">
        <v>622</v>
      </c>
      <c r="B693" s="591">
        <v>1982900</v>
      </c>
      <c r="C693" s="570">
        <v>2560200</v>
      </c>
      <c r="D693" s="570">
        <v>2566800</v>
      </c>
      <c r="E693" s="570">
        <v>5028500</v>
      </c>
      <c r="F693" s="570">
        <v>8243000</v>
      </c>
      <c r="G693" s="570">
        <v>12887200</v>
      </c>
      <c r="H693" s="570">
        <v>8815000</v>
      </c>
      <c r="I693" s="744">
        <f t="shared" si="159"/>
        <v>42083600</v>
      </c>
      <c r="J693" s="747">
        <f t="shared" si="160"/>
        <v>3151100</v>
      </c>
    </row>
    <row r="694" spans="1:10" x14ac:dyDescent="0.25">
      <c r="A694" s="680" t="s">
        <v>671</v>
      </c>
      <c r="B694" s="591">
        <v>2008200</v>
      </c>
      <c r="C694" s="570">
        <v>2451300</v>
      </c>
      <c r="D694" s="570">
        <v>2710800</v>
      </c>
      <c r="E694" s="570">
        <v>4654100</v>
      </c>
      <c r="F694" s="570">
        <v>7445400</v>
      </c>
      <c r="G694" s="570">
        <v>8142600</v>
      </c>
      <c r="H694" s="570">
        <v>6462200</v>
      </c>
      <c r="I694" s="744">
        <f t="shared" si="159"/>
        <v>33874600</v>
      </c>
      <c r="J694" s="747">
        <f t="shared" si="160"/>
        <v>292000</v>
      </c>
    </row>
    <row r="695" spans="1:10" x14ac:dyDescent="0.25">
      <c r="A695" s="680" t="s">
        <v>672</v>
      </c>
      <c r="B695" s="591">
        <v>2823000</v>
      </c>
      <c r="C695" s="570">
        <v>2369600</v>
      </c>
      <c r="D695" s="570">
        <v>2815500</v>
      </c>
      <c r="E695" s="570">
        <v>3016700</v>
      </c>
      <c r="F695" s="570">
        <v>3385000</v>
      </c>
      <c r="G695" s="570">
        <v>0</v>
      </c>
      <c r="H695" s="570">
        <v>0</v>
      </c>
      <c r="I695" s="744">
        <f t="shared" si="159"/>
        <v>14409800</v>
      </c>
      <c r="J695" s="747">
        <f t="shared" si="160"/>
        <v>1000</v>
      </c>
    </row>
    <row r="696" spans="1:10" x14ac:dyDescent="0.25">
      <c r="A696" s="749" t="s">
        <v>682</v>
      </c>
      <c r="B696" s="750">
        <v>783500</v>
      </c>
      <c r="C696" s="572">
        <v>633400</v>
      </c>
      <c r="D696" s="572">
        <v>1658950</v>
      </c>
      <c r="E696" s="572">
        <v>1824100</v>
      </c>
      <c r="F696" s="572">
        <v>3281000</v>
      </c>
      <c r="G696" s="572">
        <v>6183500</v>
      </c>
      <c r="H696" s="572">
        <v>4079700</v>
      </c>
      <c r="I696" s="751">
        <f t="shared" si="159"/>
        <v>18444150</v>
      </c>
      <c r="J696" s="752">
        <f t="shared" si="160"/>
        <v>-2982350</v>
      </c>
    </row>
    <row r="697" spans="1:10" ht="15.75" thickBot="1" x14ac:dyDescent="0.3">
      <c r="A697" s="593" t="s">
        <v>10</v>
      </c>
      <c r="B697" s="594">
        <f>+SUM(B685:B696)</f>
        <v>22536100</v>
      </c>
      <c r="C697" s="594">
        <f t="shared" ref="C697:H697" si="161">+SUM(C685:C696)</f>
        <v>25242700</v>
      </c>
      <c r="D697" s="594">
        <f t="shared" si="161"/>
        <v>28475550</v>
      </c>
      <c r="E697" s="594">
        <f t="shared" si="161"/>
        <v>44169800</v>
      </c>
      <c r="F697" s="594">
        <f t="shared" si="161"/>
        <v>70848300</v>
      </c>
      <c r="G697" s="594">
        <f t="shared" si="161"/>
        <v>82511500</v>
      </c>
      <c r="H697" s="594">
        <f t="shared" si="161"/>
        <v>66166900</v>
      </c>
      <c r="I697" s="745">
        <f>+SUM(I685:I696)</f>
        <v>339950850</v>
      </c>
      <c r="J697" s="748">
        <f t="shared" si="160"/>
        <v>-147950</v>
      </c>
    </row>
    <row r="698" spans="1:10" ht="15.75" thickBot="1" x14ac:dyDescent="0.3"/>
    <row r="699" spans="1:10" ht="30.75" thickBot="1" x14ac:dyDescent="0.3">
      <c r="A699" s="586" t="s">
        <v>419</v>
      </c>
      <c r="B699" s="587" t="s">
        <v>337</v>
      </c>
      <c r="C699" s="232" t="s">
        <v>338</v>
      </c>
      <c r="D699" s="232" t="s">
        <v>339</v>
      </c>
      <c r="E699" s="232" t="s">
        <v>340</v>
      </c>
      <c r="F699" s="232" t="s">
        <v>341</v>
      </c>
      <c r="G699" s="232" t="s">
        <v>342</v>
      </c>
      <c r="H699" s="232" t="s">
        <v>343</v>
      </c>
      <c r="I699" s="601" t="s">
        <v>96</v>
      </c>
      <c r="J699" s="746" t="s">
        <v>438</v>
      </c>
    </row>
    <row r="700" spans="1:10" ht="15.75" thickTop="1" x14ac:dyDescent="0.25">
      <c r="A700" s="588" t="s">
        <v>427</v>
      </c>
      <c r="B700" s="589">
        <v>3268100</v>
      </c>
      <c r="C700" s="569">
        <v>3094600</v>
      </c>
      <c r="D700" s="569">
        <v>4143500</v>
      </c>
      <c r="E700" s="569">
        <v>5067300</v>
      </c>
      <c r="F700" s="569">
        <v>9386400</v>
      </c>
      <c r="G700" s="569">
        <v>10192000</v>
      </c>
      <c r="H700" s="569">
        <v>8886300</v>
      </c>
      <c r="I700" s="744">
        <f t="shared" ref="I700:I711" si="162">+SUM(B700:H700)</f>
        <v>44038200</v>
      </c>
      <c r="J700" s="747">
        <f>+I700-I685</f>
        <v>-5156900</v>
      </c>
    </row>
    <row r="701" spans="1:10" x14ac:dyDescent="0.25">
      <c r="A701" s="590" t="s">
        <v>428</v>
      </c>
      <c r="B701" s="591">
        <v>2845600</v>
      </c>
      <c r="C701" s="570">
        <v>3099000</v>
      </c>
      <c r="D701" s="570">
        <v>3046800</v>
      </c>
      <c r="E701" s="570">
        <v>3502400</v>
      </c>
      <c r="F701" s="570">
        <v>8704600</v>
      </c>
      <c r="G701" s="570">
        <v>10109100</v>
      </c>
      <c r="H701" s="570">
        <v>8884200</v>
      </c>
      <c r="I701" s="744">
        <f t="shared" si="162"/>
        <v>40191700</v>
      </c>
      <c r="J701" s="747">
        <f t="shared" ref="J701:J712" si="163">+I701-I686</f>
        <v>-3644000</v>
      </c>
    </row>
    <row r="702" spans="1:10" x14ac:dyDescent="0.25">
      <c r="A702" s="588" t="s">
        <v>429</v>
      </c>
      <c r="B702" s="592">
        <v>1483400</v>
      </c>
      <c r="C702" s="583">
        <v>1974300</v>
      </c>
      <c r="D702" s="583">
        <v>2051100</v>
      </c>
      <c r="E702" s="569">
        <v>2376600</v>
      </c>
      <c r="F702" s="569">
        <v>5220000</v>
      </c>
      <c r="G702" s="569">
        <v>6657300</v>
      </c>
      <c r="H702" s="569">
        <v>5585300</v>
      </c>
      <c r="I702" s="744">
        <f t="shared" si="162"/>
        <v>25348000</v>
      </c>
      <c r="J702" s="747">
        <f t="shared" si="163"/>
        <v>-5117800</v>
      </c>
    </row>
    <row r="703" spans="1:10" x14ac:dyDescent="0.25">
      <c r="A703" s="590" t="s">
        <v>430</v>
      </c>
      <c r="B703" s="591">
        <v>2440200</v>
      </c>
      <c r="C703" s="570">
        <v>2227700</v>
      </c>
      <c r="D703" s="570">
        <v>2895900</v>
      </c>
      <c r="E703" s="570">
        <v>2696900</v>
      </c>
      <c r="F703" s="570">
        <v>5220000</v>
      </c>
      <c r="G703" s="570">
        <v>4987100</v>
      </c>
      <c r="H703" s="570">
        <v>4885200</v>
      </c>
      <c r="I703" s="744">
        <f t="shared" si="162"/>
        <v>25353000</v>
      </c>
      <c r="J703" s="747">
        <f t="shared" si="163"/>
        <v>-2041600</v>
      </c>
    </row>
    <row r="704" spans="1:10" x14ac:dyDescent="0.25">
      <c r="A704" s="590" t="s">
        <v>544</v>
      </c>
      <c r="B704" s="591">
        <v>2278900</v>
      </c>
      <c r="C704" s="570">
        <v>2383600</v>
      </c>
      <c r="D704" s="570">
        <v>3211200</v>
      </c>
      <c r="E704" s="570">
        <v>2966700</v>
      </c>
      <c r="F704" s="570">
        <v>6327200</v>
      </c>
      <c r="G704" s="570">
        <v>3721500</v>
      </c>
      <c r="H704" s="570">
        <v>3424200</v>
      </c>
      <c r="I704" s="744">
        <f t="shared" si="162"/>
        <v>24313300</v>
      </c>
      <c r="J704" s="747">
        <f t="shared" si="163"/>
        <v>-3287800</v>
      </c>
    </row>
    <row r="705" spans="1:10" x14ac:dyDescent="0.25">
      <c r="A705" s="590" t="s">
        <v>545</v>
      </c>
      <c r="B705" s="591">
        <v>648600</v>
      </c>
      <c r="C705" s="570">
        <v>1658400</v>
      </c>
      <c r="D705" s="570">
        <v>1832000</v>
      </c>
      <c r="E705" s="570">
        <v>1567400</v>
      </c>
      <c r="F705" s="570">
        <v>3891000</v>
      </c>
      <c r="G705" s="570">
        <v>4041200</v>
      </c>
      <c r="H705" s="570">
        <v>3314900</v>
      </c>
      <c r="I705" s="744">
        <f t="shared" si="162"/>
        <v>16953500</v>
      </c>
      <c r="J705" s="747">
        <f t="shared" si="163"/>
        <v>421700</v>
      </c>
    </row>
    <row r="706" spans="1:10" x14ac:dyDescent="0.25">
      <c r="A706" s="590" t="s">
        <v>547</v>
      </c>
      <c r="B706" s="591">
        <v>1462100</v>
      </c>
      <c r="C706" s="570">
        <v>2337500</v>
      </c>
      <c r="D706" s="570">
        <v>2069100</v>
      </c>
      <c r="E706" s="570">
        <v>3076600</v>
      </c>
      <c r="F706" s="570">
        <v>4999400</v>
      </c>
      <c r="G706" s="570">
        <v>3621800</v>
      </c>
      <c r="H706" s="570">
        <v>2938400</v>
      </c>
      <c r="I706" s="744">
        <f t="shared" si="162"/>
        <v>20504900</v>
      </c>
      <c r="J706" s="747">
        <f t="shared" si="163"/>
        <v>-1270600</v>
      </c>
    </row>
    <row r="707" spans="1:10" x14ac:dyDescent="0.25">
      <c r="A707" s="680" t="s">
        <v>546</v>
      </c>
      <c r="B707" s="591">
        <v>775800</v>
      </c>
      <c r="C707" s="570">
        <v>1107000</v>
      </c>
      <c r="D707" s="570">
        <v>570200</v>
      </c>
      <c r="E707" s="570">
        <v>906100</v>
      </c>
      <c r="F707" s="570">
        <v>1878700</v>
      </c>
      <c r="G707" s="570">
        <v>2798300</v>
      </c>
      <c r="H707" s="570">
        <v>4219300</v>
      </c>
      <c r="I707" s="744">
        <f t="shared" si="162"/>
        <v>12255400</v>
      </c>
      <c r="J707" s="747">
        <f t="shared" si="163"/>
        <v>-2083700</v>
      </c>
    </row>
    <row r="708" spans="1:10" x14ac:dyDescent="0.25">
      <c r="A708" s="680" t="s">
        <v>622</v>
      </c>
      <c r="B708" s="591">
        <v>1977400</v>
      </c>
      <c r="C708" s="570">
        <v>2196100</v>
      </c>
      <c r="D708" s="570">
        <v>2764200</v>
      </c>
      <c r="E708" s="570">
        <v>3344800</v>
      </c>
      <c r="F708" s="570">
        <v>8475300</v>
      </c>
      <c r="G708" s="570">
        <v>10504900</v>
      </c>
      <c r="H708" s="570">
        <v>9017300</v>
      </c>
      <c r="I708" s="744">
        <f t="shared" si="162"/>
        <v>38280000</v>
      </c>
      <c r="J708" s="747">
        <f t="shared" si="163"/>
        <v>-3803600</v>
      </c>
    </row>
    <row r="709" spans="1:10" x14ac:dyDescent="0.25">
      <c r="A709" s="680" t="s">
        <v>671</v>
      </c>
      <c r="B709" s="591">
        <v>3000200</v>
      </c>
      <c r="C709" s="570">
        <v>3612500</v>
      </c>
      <c r="D709" s="570">
        <v>3371000</v>
      </c>
      <c r="E709" s="570">
        <v>4025900</v>
      </c>
      <c r="F709" s="570">
        <v>7740200</v>
      </c>
      <c r="G709" s="570">
        <v>7172900</v>
      </c>
      <c r="H709" s="570">
        <v>6262700</v>
      </c>
      <c r="I709" s="744">
        <f t="shared" si="162"/>
        <v>35185400</v>
      </c>
      <c r="J709" s="747">
        <f t="shared" si="163"/>
        <v>1310800</v>
      </c>
    </row>
    <row r="710" spans="1:10" x14ac:dyDescent="0.25">
      <c r="A710" s="680" t="s">
        <v>672</v>
      </c>
      <c r="B710" s="591">
        <v>1139900</v>
      </c>
      <c r="C710" s="570">
        <v>1716200</v>
      </c>
      <c r="D710" s="570">
        <v>1473100</v>
      </c>
      <c r="E710" s="570">
        <v>1950900</v>
      </c>
      <c r="F710" s="570">
        <v>1896800</v>
      </c>
      <c r="G710" s="570">
        <v>0</v>
      </c>
      <c r="H710" s="570">
        <v>0</v>
      </c>
      <c r="I710" s="744">
        <f t="shared" si="162"/>
        <v>8176900</v>
      </c>
      <c r="J710" s="747">
        <f t="shared" si="163"/>
        <v>-6232900</v>
      </c>
    </row>
    <row r="711" spans="1:10" x14ac:dyDescent="0.25">
      <c r="A711" s="749" t="s">
        <v>682</v>
      </c>
      <c r="B711" s="750">
        <v>992600</v>
      </c>
      <c r="C711" s="572">
        <v>1446500</v>
      </c>
      <c r="D711" s="572">
        <v>728700</v>
      </c>
      <c r="E711" s="572">
        <v>1832200</v>
      </c>
      <c r="F711" s="572">
        <v>3793100</v>
      </c>
      <c r="G711" s="572">
        <v>4406300</v>
      </c>
      <c r="H711" s="572">
        <v>3946000</v>
      </c>
      <c r="I711" s="751">
        <f t="shared" si="162"/>
        <v>17145400</v>
      </c>
      <c r="J711" s="752">
        <f t="shared" si="163"/>
        <v>-1298750</v>
      </c>
    </row>
    <row r="712" spans="1:10" ht="15.75" thickBot="1" x14ac:dyDescent="0.3">
      <c r="A712" s="593" t="s">
        <v>10</v>
      </c>
      <c r="B712" s="594">
        <f>+SUM(B700:B711)</f>
        <v>22312800</v>
      </c>
      <c r="C712" s="594">
        <f t="shared" ref="C712:H712" si="164">+SUM(C700:C711)</f>
        <v>26853400</v>
      </c>
      <c r="D712" s="594">
        <f t="shared" si="164"/>
        <v>28156800</v>
      </c>
      <c r="E712" s="594">
        <f t="shared" si="164"/>
        <v>33313800</v>
      </c>
      <c r="F712" s="594">
        <f t="shared" si="164"/>
        <v>67532700</v>
      </c>
      <c r="G712" s="594">
        <f t="shared" si="164"/>
        <v>68212400</v>
      </c>
      <c r="H712" s="594">
        <f t="shared" si="164"/>
        <v>61363800</v>
      </c>
      <c r="I712" s="745">
        <f>+SUM(I700:I711)</f>
        <v>307745700</v>
      </c>
      <c r="J712" s="748">
        <f t="shared" si="163"/>
        <v>-32205150</v>
      </c>
    </row>
    <row r="713" spans="1:10" ht="15.75" thickBot="1" x14ac:dyDescent="0.3"/>
    <row r="714" spans="1:10" ht="30.75" thickBot="1" x14ac:dyDescent="0.3">
      <c r="A714" s="586" t="s">
        <v>419</v>
      </c>
      <c r="B714" s="587" t="s">
        <v>345</v>
      </c>
      <c r="C714" s="232" t="s">
        <v>346</v>
      </c>
      <c r="D714" s="232" t="s">
        <v>347</v>
      </c>
      <c r="E714" s="232" t="s">
        <v>348</v>
      </c>
      <c r="F714" s="232" t="s">
        <v>349</v>
      </c>
      <c r="G714" s="232" t="s">
        <v>350</v>
      </c>
      <c r="H714" s="232" t="s">
        <v>351</v>
      </c>
      <c r="I714" s="601" t="s">
        <v>96</v>
      </c>
      <c r="J714" s="746" t="s">
        <v>438</v>
      </c>
    </row>
    <row r="715" spans="1:10" ht="15.75" thickTop="1" x14ac:dyDescent="0.25">
      <c r="A715" s="588" t="s">
        <v>427</v>
      </c>
      <c r="B715" s="589">
        <v>9737550</v>
      </c>
      <c r="C715" s="569">
        <v>3687600</v>
      </c>
      <c r="D715" s="569">
        <v>2950300</v>
      </c>
      <c r="E715" s="569">
        <v>4031100</v>
      </c>
      <c r="F715" s="569">
        <v>9303200</v>
      </c>
      <c r="G715" s="569">
        <v>13079800</v>
      </c>
      <c r="H715" s="569">
        <v>7294100</v>
      </c>
      <c r="I715" s="744">
        <f t="shared" ref="I715:I726" si="165">+SUM(B715:H715)</f>
        <v>50083650</v>
      </c>
      <c r="J715" s="747">
        <f>+I715-I700</f>
        <v>6045450</v>
      </c>
    </row>
    <row r="716" spans="1:10" x14ac:dyDescent="0.25">
      <c r="A716" s="590" t="s">
        <v>428</v>
      </c>
      <c r="B716" s="591">
        <v>9246100</v>
      </c>
      <c r="C716" s="570">
        <v>2818700</v>
      </c>
      <c r="D716" s="570">
        <v>2845700</v>
      </c>
      <c r="E716" s="570">
        <v>2682300</v>
      </c>
      <c r="F716" s="570">
        <v>7814500</v>
      </c>
      <c r="G716" s="570">
        <v>9595500</v>
      </c>
      <c r="H716" s="570">
        <v>7864000</v>
      </c>
      <c r="I716" s="744">
        <f t="shared" si="165"/>
        <v>42866800</v>
      </c>
      <c r="J716" s="747">
        <f t="shared" ref="J716:J727" si="166">+I716-I701</f>
        <v>2675100</v>
      </c>
    </row>
    <row r="717" spans="1:10" x14ac:dyDescent="0.25">
      <c r="A717" s="588" t="s">
        <v>429</v>
      </c>
      <c r="B717" s="592">
        <v>5816400</v>
      </c>
      <c r="C717" s="583">
        <v>1335400</v>
      </c>
      <c r="D717" s="583">
        <v>1607700</v>
      </c>
      <c r="E717" s="569">
        <v>2237900</v>
      </c>
      <c r="F717" s="569">
        <v>5819700</v>
      </c>
      <c r="G717" s="569">
        <v>7030400</v>
      </c>
      <c r="H717" s="569">
        <v>5915300</v>
      </c>
      <c r="I717" s="744">
        <f t="shared" si="165"/>
        <v>29762800</v>
      </c>
      <c r="J717" s="747">
        <f t="shared" si="166"/>
        <v>4414800</v>
      </c>
    </row>
    <row r="718" spans="1:10" x14ac:dyDescent="0.25">
      <c r="A718" s="590" t="s">
        <v>430</v>
      </c>
      <c r="B718" s="591">
        <v>5928100</v>
      </c>
      <c r="C718" s="570">
        <v>1656900</v>
      </c>
      <c r="D718" s="570">
        <v>2077900</v>
      </c>
      <c r="E718" s="570">
        <v>3125200</v>
      </c>
      <c r="F718" s="570">
        <v>5494500</v>
      </c>
      <c r="G718" s="570">
        <v>5693500</v>
      </c>
      <c r="H718" s="570">
        <v>5169000</v>
      </c>
      <c r="I718" s="744">
        <f t="shared" si="165"/>
        <v>29145100</v>
      </c>
      <c r="J718" s="747">
        <f t="shared" si="166"/>
        <v>3792100</v>
      </c>
    </row>
    <row r="719" spans="1:10" x14ac:dyDescent="0.25">
      <c r="A719" s="590" t="s">
        <v>544</v>
      </c>
      <c r="B719" s="591">
        <v>4093800</v>
      </c>
      <c r="C719" s="570">
        <v>2619900</v>
      </c>
      <c r="D719" s="570">
        <v>3296600</v>
      </c>
      <c r="E719" s="570">
        <v>2466900</v>
      </c>
      <c r="F719" s="570">
        <v>5438400</v>
      </c>
      <c r="G719" s="570">
        <v>4418000</v>
      </c>
      <c r="H719" s="570">
        <v>3789300</v>
      </c>
      <c r="I719" s="744">
        <f t="shared" si="165"/>
        <v>26122900</v>
      </c>
      <c r="J719" s="747">
        <f t="shared" si="166"/>
        <v>1809600</v>
      </c>
    </row>
    <row r="720" spans="1:10" x14ac:dyDescent="0.25">
      <c r="A720" s="590" t="s">
        <v>545</v>
      </c>
      <c r="B720" s="591">
        <v>3626000</v>
      </c>
      <c r="C720" s="570">
        <v>1326400</v>
      </c>
      <c r="D720" s="570">
        <v>1572800</v>
      </c>
      <c r="E720" s="570">
        <v>1642500</v>
      </c>
      <c r="F720" s="570">
        <v>3587100</v>
      </c>
      <c r="G720" s="570">
        <v>4087200</v>
      </c>
      <c r="H720" s="570">
        <v>3424300</v>
      </c>
      <c r="I720" s="744">
        <f t="shared" si="165"/>
        <v>19266300</v>
      </c>
      <c r="J720" s="747">
        <f t="shared" si="166"/>
        <v>2312800</v>
      </c>
    </row>
    <row r="721" spans="1:10" x14ac:dyDescent="0.25">
      <c r="A721" s="590" t="s">
        <v>547</v>
      </c>
      <c r="B721" s="591">
        <v>3875100</v>
      </c>
      <c r="C721" s="570">
        <v>2248900</v>
      </c>
      <c r="D721" s="570">
        <v>2129500</v>
      </c>
      <c r="E721" s="570">
        <v>2096000</v>
      </c>
      <c r="F721" s="570">
        <v>4279500</v>
      </c>
      <c r="G721" s="570">
        <v>4659400</v>
      </c>
      <c r="H721" s="570">
        <v>3720500</v>
      </c>
      <c r="I721" s="744">
        <f t="shared" si="165"/>
        <v>23008900</v>
      </c>
      <c r="J721" s="747">
        <f t="shared" si="166"/>
        <v>2504000</v>
      </c>
    </row>
    <row r="722" spans="1:10" x14ac:dyDescent="0.25">
      <c r="A722" s="680" t="s">
        <v>546</v>
      </c>
      <c r="B722" s="591">
        <v>2730900</v>
      </c>
      <c r="C722" s="570">
        <v>575100</v>
      </c>
      <c r="D722" s="570">
        <v>860900</v>
      </c>
      <c r="E722" s="570">
        <v>597300</v>
      </c>
      <c r="F722" s="570">
        <v>1867100</v>
      </c>
      <c r="G722" s="570">
        <v>3207200</v>
      </c>
      <c r="H722" s="570">
        <v>3277500</v>
      </c>
      <c r="I722" s="744">
        <f t="shared" si="165"/>
        <v>13116000</v>
      </c>
      <c r="J722" s="747">
        <f t="shared" si="166"/>
        <v>860600</v>
      </c>
    </row>
    <row r="723" spans="1:10" x14ac:dyDescent="0.25">
      <c r="A723" s="680" t="s">
        <v>622</v>
      </c>
      <c r="B723" s="591">
        <v>7886100</v>
      </c>
      <c r="C723" s="570">
        <v>1931400</v>
      </c>
      <c r="D723" s="570">
        <v>2730600</v>
      </c>
      <c r="E723" s="570">
        <v>2413900</v>
      </c>
      <c r="F723" s="570">
        <v>7350200</v>
      </c>
      <c r="G723" s="570">
        <v>9789400</v>
      </c>
      <c r="H723" s="570">
        <v>8850200</v>
      </c>
      <c r="I723" s="744">
        <f t="shared" si="165"/>
        <v>40951800</v>
      </c>
      <c r="J723" s="747">
        <f t="shared" si="166"/>
        <v>2671800</v>
      </c>
    </row>
    <row r="724" spans="1:10" x14ac:dyDescent="0.25">
      <c r="A724" s="680" t="s">
        <v>671</v>
      </c>
      <c r="B724" s="591">
        <v>5635100</v>
      </c>
      <c r="C724" s="570">
        <v>2658600</v>
      </c>
      <c r="D724" s="570">
        <v>2773300</v>
      </c>
      <c r="E724" s="570">
        <v>3654200</v>
      </c>
      <c r="F724" s="570">
        <v>6052900</v>
      </c>
      <c r="G724" s="570">
        <v>7510100</v>
      </c>
      <c r="H724" s="570">
        <v>5392300</v>
      </c>
      <c r="I724" s="744">
        <f t="shared" si="165"/>
        <v>33676500</v>
      </c>
      <c r="J724" s="747">
        <f t="shared" si="166"/>
        <v>-1508900</v>
      </c>
    </row>
    <row r="725" spans="1:10" x14ac:dyDescent="0.25">
      <c r="A725" s="680" t="s">
        <v>672</v>
      </c>
      <c r="B725" s="591">
        <v>0</v>
      </c>
      <c r="C725" s="570">
        <v>2013000</v>
      </c>
      <c r="D725" s="570">
        <v>2154700</v>
      </c>
      <c r="E725" s="570">
        <v>2951000</v>
      </c>
      <c r="F725" s="570">
        <v>2473300</v>
      </c>
      <c r="G725" s="570">
        <v>0</v>
      </c>
      <c r="H725" s="570">
        <v>0</v>
      </c>
      <c r="I725" s="744">
        <f t="shared" si="165"/>
        <v>9592000</v>
      </c>
      <c r="J725" s="747">
        <f t="shared" si="166"/>
        <v>1415100</v>
      </c>
    </row>
    <row r="726" spans="1:10" x14ac:dyDescent="0.25">
      <c r="A726" s="749" t="s">
        <v>682</v>
      </c>
      <c r="B726" s="750">
        <v>3585500</v>
      </c>
      <c r="C726" s="572">
        <v>1171800</v>
      </c>
      <c r="D726" s="572">
        <v>1432800</v>
      </c>
      <c r="E726" s="572">
        <v>885600</v>
      </c>
      <c r="F726" s="572">
        <v>4002100</v>
      </c>
      <c r="G726" s="572">
        <v>4665700</v>
      </c>
      <c r="H726" s="572">
        <v>4124900</v>
      </c>
      <c r="I726" s="751">
        <f t="shared" si="165"/>
        <v>19868400</v>
      </c>
      <c r="J726" s="752">
        <f t="shared" si="166"/>
        <v>2723000</v>
      </c>
    </row>
    <row r="727" spans="1:10" ht="15.75" thickBot="1" x14ac:dyDescent="0.3">
      <c r="A727" s="593" t="s">
        <v>10</v>
      </c>
      <c r="B727" s="594">
        <f>+SUM(B715:B726)</f>
        <v>62160650</v>
      </c>
      <c r="C727" s="594">
        <f t="shared" ref="C727:H727" si="167">+SUM(C715:C726)</f>
        <v>24043700</v>
      </c>
      <c r="D727" s="594">
        <f t="shared" si="167"/>
        <v>26432800</v>
      </c>
      <c r="E727" s="594">
        <f t="shared" si="167"/>
        <v>28783900</v>
      </c>
      <c r="F727" s="594">
        <f t="shared" si="167"/>
        <v>63482500</v>
      </c>
      <c r="G727" s="594">
        <f t="shared" si="167"/>
        <v>73736200</v>
      </c>
      <c r="H727" s="594">
        <f t="shared" si="167"/>
        <v>58821400</v>
      </c>
      <c r="I727" s="745">
        <f>+SUM(I715:I726)</f>
        <v>337461150</v>
      </c>
      <c r="J727" s="748">
        <f t="shared" si="166"/>
        <v>29715450</v>
      </c>
    </row>
    <row r="728" spans="1:10" ht="15.75" thickBot="1" x14ac:dyDescent="0.3"/>
    <row r="729" spans="1:10" ht="30.75" thickBot="1" x14ac:dyDescent="0.3">
      <c r="A729" s="586" t="s">
        <v>419</v>
      </c>
      <c r="B729" s="587" t="s">
        <v>600</v>
      </c>
      <c r="C729" s="232" t="s">
        <v>601</v>
      </c>
      <c r="D729" s="232" t="s">
        <v>602</v>
      </c>
      <c r="E729" s="232" t="s">
        <v>603</v>
      </c>
      <c r="F729" s="232" t="s">
        <v>604</v>
      </c>
      <c r="G729" s="232" t="s">
        <v>653</v>
      </c>
      <c r="H729" s="232" t="s">
        <v>272</v>
      </c>
      <c r="I729" s="601" t="s">
        <v>96</v>
      </c>
      <c r="J729" s="746" t="s">
        <v>438</v>
      </c>
    </row>
    <row r="730" spans="1:10" ht="15.75" thickTop="1" x14ac:dyDescent="0.25">
      <c r="A730" s="588" t="s">
        <v>427</v>
      </c>
      <c r="B730" s="589">
        <v>2135500</v>
      </c>
      <c r="C730" s="569">
        <v>2585100</v>
      </c>
      <c r="D730" s="569">
        <v>3407600</v>
      </c>
      <c r="E730" s="569">
        <v>3649000</v>
      </c>
      <c r="F730" s="569">
        <v>5844300</v>
      </c>
      <c r="G730" s="569">
        <v>8393000</v>
      </c>
      <c r="H730" s="569">
        <v>6301000</v>
      </c>
      <c r="I730" s="744">
        <f t="shared" ref="I730:I742" si="168">+SUM(B730:H730)</f>
        <v>32315500</v>
      </c>
      <c r="J730" s="747">
        <f>+I730-I715</f>
        <v>-17768150</v>
      </c>
    </row>
    <row r="731" spans="1:10" x14ac:dyDescent="0.25">
      <c r="A731" s="590" t="s">
        <v>428</v>
      </c>
      <c r="B731" s="591">
        <v>2125600</v>
      </c>
      <c r="C731" s="570">
        <v>2432000</v>
      </c>
      <c r="D731" s="570">
        <v>2439400</v>
      </c>
      <c r="E731" s="570">
        <v>2733200</v>
      </c>
      <c r="F731" s="570">
        <v>6242600</v>
      </c>
      <c r="G731" s="570">
        <v>9948200</v>
      </c>
      <c r="H731" s="570">
        <v>6895600</v>
      </c>
      <c r="I731" s="744">
        <f t="shared" si="168"/>
        <v>32816600</v>
      </c>
      <c r="J731" s="747">
        <f t="shared" ref="J731:J740" si="169">+I731-I716</f>
        <v>-10050200</v>
      </c>
    </row>
    <row r="732" spans="1:10" x14ac:dyDescent="0.25">
      <c r="A732" s="588" t="s">
        <v>429</v>
      </c>
      <c r="B732" s="592">
        <v>1428900</v>
      </c>
      <c r="C732" s="583">
        <v>2038700</v>
      </c>
      <c r="D732" s="583">
        <v>1657200</v>
      </c>
      <c r="E732" s="569">
        <v>2710100</v>
      </c>
      <c r="F732" s="569">
        <v>4529200</v>
      </c>
      <c r="G732" s="569">
        <v>7518300</v>
      </c>
      <c r="H732" s="569">
        <v>6441400</v>
      </c>
      <c r="I732" s="744">
        <f t="shared" si="168"/>
        <v>26323800</v>
      </c>
      <c r="J732" s="747">
        <f t="shared" si="169"/>
        <v>-3439000</v>
      </c>
    </row>
    <row r="733" spans="1:10" x14ac:dyDescent="0.25">
      <c r="A733" s="590" t="s">
        <v>430</v>
      </c>
      <c r="B733" s="591">
        <v>1965900</v>
      </c>
      <c r="C733" s="570">
        <v>2451000</v>
      </c>
      <c r="D733" s="570">
        <v>2641400</v>
      </c>
      <c r="E733" s="570">
        <v>2391600</v>
      </c>
      <c r="F733" s="570">
        <v>4117300</v>
      </c>
      <c r="G733" s="570">
        <v>5895200</v>
      </c>
      <c r="H733" s="570">
        <v>3889100</v>
      </c>
      <c r="I733" s="744">
        <f t="shared" si="168"/>
        <v>23351500</v>
      </c>
      <c r="J733" s="747">
        <f t="shared" si="169"/>
        <v>-5793600</v>
      </c>
    </row>
    <row r="734" spans="1:10" x14ac:dyDescent="0.25">
      <c r="A734" s="590" t="s">
        <v>544</v>
      </c>
      <c r="B734" s="591">
        <v>3422300</v>
      </c>
      <c r="C734" s="570">
        <v>2043700</v>
      </c>
      <c r="D734" s="570">
        <v>3470100</v>
      </c>
      <c r="E734" s="570">
        <v>2861300</v>
      </c>
      <c r="F734" s="570">
        <v>4878500</v>
      </c>
      <c r="G734" s="570">
        <v>4128200</v>
      </c>
      <c r="H734" s="570">
        <v>2895700</v>
      </c>
      <c r="I734" s="744">
        <f t="shared" si="168"/>
        <v>23699800</v>
      </c>
      <c r="J734" s="747">
        <f t="shared" si="169"/>
        <v>-2423100</v>
      </c>
    </row>
    <row r="735" spans="1:10" x14ac:dyDescent="0.25">
      <c r="A735" s="590" t="s">
        <v>545</v>
      </c>
      <c r="B735" s="591">
        <v>1745000</v>
      </c>
      <c r="C735" s="570">
        <v>1524700</v>
      </c>
      <c r="D735" s="570">
        <v>1858000</v>
      </c>
      <c r="E735" s="570">
        <v>969200</v>
      </c>
      <c r="F735" s="570">
        <v>2893300</v>
      </c>
      <c r="G735" s="570">
        <v>5369600</v>
      </c>
      <c r="H735" s="570">
        <v>4262700</v>
      </c>
      <c r="I735" s="744">
        <f t="shared" si="168"/>
        <v>18622500</v>
      </c>
      <c r="J735" s="747">
        <f t="shared" si="169"/>
        <v>-643800</v>
      </c>
    </row>
    <row r="736" spans="1:10" x14ac:dyDescent="0.25">
      <c r="A736" s="590" t="s">
        <v>547</v>
      </c>
      <c r="B736" s="591">
        <v>1867000</v>
      </c>
      <c r="C736" s="570">
        <v>1990600</v>
      </c>
      <c r="D736" s="570">
        <v>3064800</v>
      </c>
      <c r="E736" s="570">
        <v>2480000</v>
      </c>
      <c r="F736" s="570">
        <v>4286500</v>
      </c>
      <c r="G736" s="570">
        <v>3232150</v>
      </c>
      <c r="H736" s="570">
        <v>3154900</v>
      </c>
      <c r="I736" s="744">
        <f t="shared" si="168"/>
        <v>20075950</v>
      </c>
      <c r="J736" s="747">
        <f t="shared" si="169"/>
        <v>-2932950</v>
      </c>
    </row>
    <row r="737" spans="1:10" x14ac:dyDescent="0.25">
      <c r="A737" s="680" t="s">
        <v>546</v>
      </c>
      <c r="B737" s="591">
        <v>942300</v>
      </c>
      <c r="C737" s="570">
        <v>700900</v>
      </c>
      <c r="D737" s="570">
        <v>1033900</v>
      </c>
      <c r="E737" s="570">
        <v>1319100</v>
      </c>
      <c r="F737" s="570">
        <v>2890500</v>
      </c>
      <c r="G737" s="570">
        <v>3655900</v>
      </c>
      <c r="H737" s="570">
        <v>3324300</v>
      </c>
      <c r="I737" s="744">
        <f t="shared" si="168"/>
        <v>13866900</v>
      </c>
      <c r="J737" s="747">
        <f t="shared" si="169"/>
        <v>750900</v>
      </c>
    </row>
    <row r="738" spans="1:10" x14ac:dyDescent="0.25">
      <c r="A738" s="680" t="s">
        <v>622</v>
      </c>
      <c r="B738" s="591">
        <v>1920900</v>
      </c>
      <c r="C738" s="570">
        <v>2117700</v>
      </c>
      <c r="D738" s="570">
        <v>2064600</v>
      </c>
      <c r="E738" s="570">
        <v>3055400</v>
      </c>
      <c r="F738" s="570">
        <v>5368100</v>
      </c>
      <c r="G738" s="570">
        <v>10733900</v>
      </c>
      <c r="H738" s="570">
        <v>8330700</v>
      </c>
      <c r="I738" s="744">
        <f t="shared" si="168"/>
        <v>33591300</v>
      </c>
      <c r="J738" s="747">
        <f t="shared" si="169"/>
        <v>-7360500</v>
      </c>
    </row>
    <row r="739" spans="1:10" x14ac:dyDescent="0.25">
      <c r="A739" s="680" t="s">
        <v>671</v>
      </c>
      <c r="B739" s="591">
        <v>2671700</v>
      </c>
      <c r="C739" s="570">
        <v>2518600</v>
      </c>
      <c r="D739" s="570">
        <v>3441900</v>
      </c>
      <c r="E739" s="570">
        <v>3537100</v>
      </c>
      <c r="F739" s="570">
        <v>6710800</v>
      </c>
      <c r="G739" s="570">
        <v>7719200</v>
      </c>
      <c r="H739" s="570">
        <v>4649100</v>
      </c>
      <c r="I739" s="744">
        <f t="shared" si="168"/>
        <v>31248400</v>
      </c>
      <c r="J739" s="747">
        <f t="shared" si="169"/>
        <v>-2428100</v>
      </c>
    </row>
    <row r="740" spans="1:10" x14ac:dyDescent="0.25">
      <c r="A740" s="680" t="s">
        <v>672</v>
      </c>
      <c r="B740" s="591">
        <v>2586700</v>
      </c>
      <c r="C740" s="570">
        <v>2086300</v>
      </c>
      <c r="D740" s="570">
        <v>2466400</v>
      </c>
      <c r="E740" s="570">
        <v>2638700</v>
      </c>
      <c r="F740" s="570">
        <v>2593900</v>
      </c>
      <c r="G740" s="570">
        <v>0</v>
      </c>
      <c r="H740" s="570">
        <v>0</v>
      </c>
      <c r="I740" s="744">
        <f t="shared" si="168"/>
        <v>12372000</v>
      </c>
      <c r="J740" s="747">
        <f t="shared" si="169"/>
        <v>2780000</v>
      </c>
    </row>
    <row r="741" spans="1:10" x14ac:dyDescent="0.25">
      <c r="A741" s="680" t="s">
        <v>682</v>
      </c>
      <c r="B741" s="591">
        <v>925000</v>
      </c>
      <c r="C741" s="570">
        <v>1019900</v>
      </c>
      <c r="D741" s="570">
        <v>1102900</v>
      </c>
      <c r="E741" s="570">
        <v>1722700</v>
      </c>
      <c r="F741" s="570">
        <v>3840400</v>
      </c>
      <c r="G741" s="570">
        <v>5122100</v>
      </c>
      <c r="H741" s="570">
        <v>3657600</v>
      </c>
      <c r="I741" s="744">
        <f t="shared" si="168"/>
        <v>17390600</v>
      </c>
      <c r="J741" s="747">
        <f>+I741-I726</f>
        <v>-2477800</v>
      </c>
    </row>
    <row r="742" spans="1:10" x14ac:dyDescent="0.25">
      <c r="A742" s="680" t="s">
        <v>709</v>
      </c>
      <c r="B742" s="591">
        <v>0</v>
      </c>
      <c r="C742" s="570">
        <v>0</v>
      </c>
      <c r="D742" s="570">
        <v>0</v>
      </c>
      <c r="E742" s="570">
        <v>0</v>
      </c>
      <c r="F742" s="570">
        <v>36900</v>
      </c>
      <c r="G742" s="570">
        <v>9095200</v>
      </c>
      <c r="H742" s="570">
        <v>5771100</v>
      </c>
      <c r="I742" s="744">
        <f t="shared" si="168"/>
        <v>14903200</v>
      </c>
      <c r="J742" s="747"/>
    </row>
    <row r="743" spans="1:10" ht="15.75" thickBot="1" x14ac:dyDescent="0.3">
      <c r="A743" s="593" t="s">
        <v>10</v>
      </c>
      <c r="B743" s="594">
        <f>+SUM(B730:B742)</f>
        <v>23736800</v>
      </c>
      <c r="C743" s="594">
        <f t="shared" ref="C743:H743" si="170">+SUM(C730:C742)</f>
        <v>23509200</v>
      </c>
      <c r="D743" s="594">
        <f t="shared" si="170"/>
        <v>28648200</v>
      </c>
      <c r="E743" s="594">
        <f t="shared" si="170"/>
        <v>30067400</v>
      </c>
      <c r="F743" s="594">
        <f t="shared" si="170"/>
        <v>54232300</v>
      </c>
      <c r="G743" s="594">
        <f t="shared" si="170"/>
        <v>80810950</v>
      </c>
      <c r="H743" s="594">
        <f t="shared" si="170"/>
        <v>59573200</v>
      </c>
      <c r="I743" s="745">
        <f>+SUM(I730:I742)</f>
        <v>300578050</v>
      </c>
      <c r="J743" s="748">
        <f>+I743-I727</f>
        <v>-36883100</v>
      </c>
    </row>
    <row r="744" spans="1:10" ht="15.75" thickBot="1" x14ac:dyDescent="0.3"/>
    <row r="745" spans="1:10" ht="30.75" thickBot="1" x14ac:dyDescent="0.3">
      <c r="A745" s="586" t="s">
        <v>419</v>
      </c>
      <c r="B745" s="587" t="s">
        <v>274</v>
      </c>
      <c r="C745" s="232" t="s">
        <v>275</v>
      </c>
      <c r="D745" s="232" t="s">
        <v>276</v>
      </c>
      <c r="E745" s="232" t="s">
        <v>277</v>
      </c>
      <c r="F745" s="232" t="s">
        <v>278</v>
      </c>
      <c r="G745" s="232" t="s">
        <v>279</v>
      </c>
      <c r="H745" s="232" t="s">
        <v>280</v>
      </c>
      <c r="I745" s="601" t="s">
        <v>96</v>
      </c>
      <c r="J745" s="746" t="s">
        <v>438</v>
      </c>
    </row>
    <row r="746" spans="1:10" ht="15.75" thickTop="1" x14ac:dyDescent="0.25">
      <c r="A746" s="588" t="s">
        <v>427</v>
      </c>
      <c r="B746" s="589">
        <v>2648800</v>
      </c>
      <c r="C746" s="569">
        <v>4859200</v>
      </c>
      <c r="D746" s="569">
        <v>5287700</v>
      </c>
      <c r="E746" s="569">
        <v>6237800</v>
      </c>
      <c r="F746" s="569">
        <v>4991300</v>
      </c>
      <c r="G746" s="569">
        <v>6381000</v>
      </c>
      <c r="H746" s="569">
        <v>7712700</v>
      </c>
      <c r="I746" s="744">
        <f t="shared" ref="I746:I758" si="171">+SUM(B746:H746)</f>
        <v>38118500</v>
      </c>
      <c r="J746" s="747">
        <f>+I746-I730</f>
        <v>5803000</v>
      </c>
    </row>
    <row r="747" spans="1:10" x14ac:dyDescent="0.25">
      <c r="A747" s="590" t="s">
        <v>428</v>
      </c>
      <c r="B747" s="591">
        <v>4129000</v>
      </c>
      <c r="C747" s="570">
        <v>4881700</v>
      </c>
      <c r="D747" s="570">
        <v>5396500</v>
      </c>
      <c r="E747" s="570">
        <v>5877000</v>
      </c>
      <c r="F747" s="570">
        <v>5473200</v>
      </c>
      <c r="G747" s="570">
        <v>7700500</v>
      </c>
      <c r="H747" s="570">
        <v>8951100</v>
      </c>
      <c r="I747" s="744">
        <f t="shared" si="171"/>
        <v>42409000</v>
      </c>
      <c r="J747" s="747">
        <f t="shared" ref="J747:J758" si="172">+I747-I731</f>
        <v>9592400</v>
      </c>
    </row>
    <row r="748" spans="1:10" x14ac:dyDescent="0.25">
      <c r="A748" s="588" t="s">
        <v>429</v>
      </c>
      <c r="B748" s="592">
        <v>2527700</v>
      </c>
      <c r="C748" s="583">
        <v>4331800</v>
      </c>
      <c r="D748" s="583">
        <v>5526000</v>
      </c>
      <c r="E748" s="569">
        <v>3595200</v>
      </c>
      <c r="F748" s="569">
        <v>2908000</v>
      </c>
      <c r="G748" s="569">
        <v>5382900</v>
      </c>
      <c r="H748" s="569">
        <v>6303600</v>
      </c>
      <c r="I748" s="744">
        <f t="shared" si="171"/>
        <v>30575200</v>
      </c>
      <c r="J748" s="747">
        <f t="shared" si="172"/>
        <v>4251400</v>
      </c>
    </row>
    <row r="749" spans="1:10" x14ac:dyDescent="0.25">
      <c r="A749" s="590" t="s">
        <v>430</v>
      </c>
      <c r="B749" s="591">
        <v>1649100</v>
      </c>
      <c r="C749" s="570">
        <v>3343500</v>
      </c>
      <c r="D749" s="570">
        <v>2987900</v>
      </c>
      <c r="E749" s="570">
        <v>2925900</v>
      </c>
      <c r="F749" s="570">
        <v>2591900</v>
      </c>
      <c r="G749" s="570">
        <v>3868300</v>
      </c>
      <c r="H749" s="570">
        <v>5142300</v>
      </c>
      <c r="I749" s="744">
        <f t="shared" si="171"/>
        <v>22508900</v>
      </c>
      <c r="J749" s="747">
        <f t="shared" si="172"/>
        <v>-842600</v>
      </c>
    </row>
    <row r="750" spans="1:10" x14ac:dyDescent="0.25">
      <c r="A750" s="590" t="s">
        <v>544</v>
      </c>
      <c r="B750" s="591">
        <v>3428300</v>
      </c>
      <c r="C750" s="570">
        <v>3993100</v>
      </c>
      <c r="D750" s="570">
        <v>3781800</v>
      </c>
      <c r="E750" s="570">
        <v>2777500</v>
      </c>
      <c r="F750" s="570">
        <v>3295400</v>
      </c>
      <c r="G750" s="570">
        <v>2218600</v>
      </c>
      <c r="H750" s="570">
        <v>3673900</v>
      </c>
      <c r="I750" s="744">
        <f t="shared" si="171"/>
        <v>23168600</v>
      </c>
      <c r="J750" s="747">
        <f t="shared" si="172"/>
        <v>-531200</v>
      </c>
    </row>
    <row r="751" spans="1:10" x14ac:dyDescent="0.25">
      <c r="A751" s="590" t="s">
        <v>545</v>
      </c>
      <c r="B751" s="591">
        <v>2182400</v>
      </c>
      <c r="C751" s="570">
        <v>2945200</v>
      </c>
      <c r="D751" s="570">
        <v>3332900</v>
      </c>
      <c r="E751" s="570">
        <v>3157100</v>
      </c>
      <c r="F751" s="570">
        <v>3308900</v>
      </c>
      <c r="G751" s="570">
        <v>3607100</v>
      </c>
      <c r="H751" s="570">
        <v>6799200</v>
      </c>
      <c r="I751" s="744">
        <f t="shared" si="171"/>
        <v>25332800</v>
      </c>
      <c r="J751" s="747">
        <f t="shared" si="172"/>
        <v>6710300</v>
      </c>
    </row>
    <row r="752" spans="1:10" x14ac:dyDescent="0.25">
      <c r="A752" s="590" t="s">
        <v>547</v>
      </c>
      <c r="B752" s="591">
        <v>2623700</v>
      </c>
      <c r="C752" s="570">
        <v>3038300</v>
      </c>
      <c r="D752" s="570">
        <v>3578600</v>
      </c>
      <c r="E752" s="570">
        <v>2299100</v>
      </c>
      <c r="F752" s="570">
        <v>2380800</v>
      </c>
      <c r="G752" s="570">
        <v>2611100</v>
      </c>
      <c r="H752" s="570">
        <v>3519600</v>
      </c>
      <c r="I752" s="744">
        <f t="shared" si="171"/>
        <v>20051200</v>
      </c>
      <c r="J752" s="747">
        <f t="shared" si="172"/>
        <v>-24750</v>
      </c>
    </row>
    <row r="753" spans="1:10" x14ac:dyDescent="0.25">
      <c r="A753" s="680" t="s">
        <v>546</v>
      </c>
      <c r="B753" s="591">
        <v>1546100</v>
      </c>
      <c r="C753" s="570">
        <v>2009000</v>
      </c>
      <c r="D753" s="570">
        <v>3410500</v>
      </c>
      <c r="E753" s="570">
        <v>2072300</v>
      </c>
      <c r="F753" s="570">
        <v>2580300</v>
      </c>
      <c r="G753" s="570">
        <v>2581300</v>
      </c>
      <c r="H753" s="570">
        <v>2823800</v>
      </c>
      <c r="I753" s="744">
        <f t="shared" si="171"/>
        <v>17023300</v>
      </c>
      <c r="J753" s="747">
        <f t="shared" si="172"/>
        <v>3156400</v>
      </c>
    </row>
    <row r="754" spans="1:10" x14ac:dyDescent="0.25">
      <c r="A754" s="680" t="s">
        <v>622</v>
      </c>
      <c r="B754" s="591">
        <v>3279800</v>
      </c>
      <c r="C754" s="570">
        <v>4317300</v>
      </c>
      <c r="D754" s="570">
        <v>5368800</v>
      </c>
      <c r="E754" s="570">
        <v>6264950</v>
      </c>
      <c r="F754" s="570">
        <v>6536100</v>
      </c>
      <c r="G754" s="570">
        <v>8629200</v>
      </c>
      <c r="H754" s="570">
        <v>8982700</v>
      </c>
      <c r="I754" s="744">
        <f t="shared" si="171"/>
        <v>43378850</v>
      </c>
      <c r="J754" s="747">
        <f t="shared" si="172"/>
        <v>9787550</v>
      </c>
    </row>
    <row r="755" spans="1:10" x14ac:dyDescent="0.25">
      <c r="A755" s="680" t="s">
        <v>671</v>
      </c>
      <c r="B755" s="591">
        <v>3047900</v>
      </c>
      <c r="C755" s="570">
        <v>3711900</v>
      </c>
      <c r="D755" s="570">
        <v>4590200</v>
      </c>
      <c r="E755" s="570">
        <v>3575000</v>
      </c>
      <c r="F755" s="570">
        <v>4311900</v>
      </c>
      <c r="G755" s="570">
        <v>4654100</v>
      </c>
      <c r="H755" s="570">
        <v>5425500</v>
      </c>
      <c r="I755" s="744">
        <f t="shared" si="171"/>
        <v>29316500</v>
      </c>
      <c r="J755" s="747">
        <f t="shared" si="172"/>
        <v>-1931900</v>
      </c>
    </row>
    <row r="756" spans="1:10" x14ac:dyDescent="0.25">
      <c r="A756" s="680" t="s">
        <v>672</v>
      </c>
      <c r="B756" s="591">
        <v>422100</v>
      </c>
      <c r="C756" s="570">
        <v>545000</v>
      </c>
      <c r="D756" s="570">
        <v>0</v>
      </c>
      <c r="E756" s="570">
        <v>0</v>
      </c>
      <c r="F756" s="570">
        <v>0</v>
      </c>
      <c r="G756" s="570">
        <v>0</v>
      </c>
      <c r="H756" s="570">
        <v>0</v>
      </c>
      <c r="I756" s="744">
        <f t="shared" si="171"/>
        <v>967100</v>
      </c>
      <c r="J756" s="747">
        <f t="shared" si="172"/>
        <v>-11404900</v>
      </c>
    </row>
    <row r="757" spans="1:10" x14ac:dyDescent="0.25">
      <c r="A757" s="680" t="s">
        <v>682</v>
      </c>
      <c r="B757" s="591">
        <v>1636200</v>
      </c>
      <c r="C757" s="570">
        <v>2184200</v>
      </c>
      <c r="D757" s="570">
        <v>3001000</v>
      </c>
      <c r="E757" s="570">
        <v>2667400</v>
      </c>
      <c r="F757" s="570">
        <v>2900300</v>
      </c>
      <c r="G757" s="570">
        <v>3817900</v>
      </c>
      <c r="H757" s="570">
        <v>4786600</v>
      </c>
      <c r="I757" s="744">
        <f t="shared" si="171"/>
        <v>20993600</v>
      </c>
      <c r="J757" s="747">
        <f t="shared" si="172"/>
        <v>3603000</v>
      </c>
    </row>
    <row r="758" spans="1:10" x14ac:dyDescent="0.25">
      <c r="A758" s="680" t="s">
        <v>709</v>
      </c>
      <c r="B758" s="591">
        <v>2841800</v>
      </c>
      <c r="C758" s="570">
        <v>4299200</v>
      </c>
      <c r="D758" s="570">
        <v>5354200</v>
      </c>
      <c r="E758" s="570">
        <v>4833700</v>
      </c>
      <c r="F758" s="570">
        <v>3567600</v>
      </c>
      <c r="G758" s="570">
        <v>4900500</v>
      </c>
      <c r="H758" s="570">
        <v>4588900</v>
      </c>
      <c r="I758" s="744">
        <f t="shared" si="171"/>
        <v>30385900</v>
      </c>
      <c r="J758" s="747">
        <f t="shared" si="172"/>
        <v>15482700</v>
      </c>
    </row>
    <row r="759" spans="1:10" ht="15.75" thickBot="1" x14ac:dyDescent="0.3">
      <c r="A759" s="593" t="s">
        <v>10</v>
      </c>
      <c r="B759" s="594">
        <f>+SUM(B746:B758)</f>
        <v>31962900</v>
      </c>
      <c r="C759" s="594">
        <f t="shared" ref="C759:H759" si="173">+SUM(C746:C758)</f>
        <v>44459400</v>
      </c>
      <c r="D759" s="594">
        <f t="shared" si="173"/>
        <v>51616100</v>
      </c>
      <c r="E759" s="594">
        <f t="shared" si="173"/>
        <v>46282950</v>
      </c>
      <c r="F759" s="594">
        <f t="shared" si="173"/>
        <v>44845700</v>
      </c>
      <c r="G759" s="594">
        <f t="shared" si="173"/>
        <v>56352500</v>
      </c>
      <c r="H759" s="594">
        <f t="shared" si="173"/>
        <v>68709900</v>
      </c>
      <c r="I759" s="745">
        <f>+SUM(I746:I758)</f>
        <v>344229450</v>
      </c>
      <c r="J759" s="748">
        <f>+I759-I743</f>
        <v>43651400</v>
      </c>
    </row>
    <row r="760" spans="1:10" ht="15.75" thickBot="1" x14ac:dyDescent="0.3"/>
    <row r="761" spans="1:10" ht="30.75" thickBot="1" x14ac:dyDescent="0.3">
      <c r="A761" s="586" t="s">
        <v>419</v>
      </c>
      <c r="B761" s="587" t="s">
        <v>282</v>
      </c>
      <c r="C761" s="232" t="s">
        <v>4</v>
      </c>
      <c r="D761" s="232" t="s">
        <v>5</v>
      </c>
      <c r="E761" s="232" t="s">
        <v>983</v>
      </c>
      <c r="F761" s="232" t="s">
        <v>7</v>
      </c>
      <c r="G761" s="232" t="s">
        <v>283</v>
      </c>
      <c r="H761" s="232" t="s">
        <v>9</v>
      </c>
      <c r="I761" s="601" t="s">
        <v>96</v>
      </c>
      <c r="J761" s="746" t="s">
        <v>438</v>
      </c>
    </row>
    <row r="762" spans="1:10" ht="15.75" thickTop="1" x14ac:dyDescent="0.25">
      <c r="A762" s="588" t="s">
        <v>427</v>
      </c>
      <c r="B762" s="589">
        <v>2956800</v>
      </c>
      <c r="C762" s="569">
        <v>2469500</v>
      </c>
      <c r="D762" s="569">
        <v>2914000</v>
      </c>
      <c r="E762" s="569">
        <v>4359000</v>
      </c>
      <c r="F762" s="569">
        <v>7484000</v>
      </c>
      <c r="G762" s="569">
        <v>10315200</v>
      </c>
      <c r="H762" s="569">
        <v>8973600</v>
      </c>
      <c r="I762" s="744">
        <f t="shared" ref="I762:I774" si="174">+SUM(B762:H762)</f>
        <v>39472100</v>
      </c>
      <c r="J762" s="747">
        <f>+I762-I746</f>
        <v>1353600</v>
      </c>
    </row>
    <row r="763" spans="1:10" x14ac:dyDescent="0.25">
      <c r="A763" s="590" t="s">
        <v>428</v>
      </c>
      <c r="B763" s="591">
        <v>2281200</v>
      </c>
      <c r="C763" s="570">
        <v>2326200</v>
      </c>
      <c r="D763" s="570">
        <v>2925500</v>
      </c>
      <c r="E763" s="570">
        <v>3298400</v>
      </c>
      <c r="F763" s="570">
        <v>8321400</v>
      </c>
      <c r="G763" s="570">
        <v>12675700</v>
      </c>
      <c r="H763" s="570">
        <v>10598500</v>
      </c>
      <c r="I763" s="744">
        <f t="shared" si="174"/>
        <v>42426900</v>
      </c>
      <c r="J763" s="747">
        <f t="shared" ref="J763:J774" si="175">+I763-I747</f>
        <v>17900</v>
      </c>
    </row>
    <row r="764" spans="1:10" x14ac:dyDescent="0.25">
      <c r="A764" s="588" t="s">
        <v>429</v>
      </c>
      <c r="B764" s="592">
        <v>1531600</v>
      </c>
      <c r="C764" s="583">
        <v>2141700</v>
      </c>
      <c r="D764" s="583">
        <v>2464600</v>
      </c>
      <c r="E764" s="569">
        <v>2438800</v>
      </c>
      <c r="F764" s="569">
        <v>5549800</v>
      </c>
      <c r="G764" s="569">
        <v>7741200</v>
      </c>
      <c r="H764" s="569">
        <v>6312400</v>
      </c>
      <c r="I764" s="744">
        <f t="shared" si="174"/>
        <v>28180100</v>
      </c>
      <c r="J764" s="747">
        <f t="shared" si="175"/>
        <v>-2395100</v>
      </c>
    </row>
    <row r="765" spans="1:10" x14ac:dyDescent="0.25">
      <c r="A765" s="590" t="s">
        <v>430</v>
      </c>
      <c r="B765" s="591">
        <v>2009600</v>
      </c>
      <c r="C765" s="570">
        <v>1872500</v>
      </c>
      <c r="D765" s="570">
        <v>2829500</v>
      </c>
      <c r="E765" s="570">
        <v>2774300</v>
      </c>
      <c r="F765" s="570">
        <v>5203000</v>
      </c>
      <c r="G765" s="570">
        <v>6340400</v>
      </c>
      <c r="H765" s="570">
        <v>7090100</v>
      </c>
      <c r="I765" s="744">
        <f t="shared" si="174"/>
        <v>28119400</v>
      </c>
      <c r="J765" s="747">
        <f t="shared" si="175"/>
        <v>5610500</v>
      </c>
    </row>
    <row r="766" spans="1:10" x14ac:dyDescent="0.25">
      <c r="A766" s="590" t="s">
        <v>544</v>
      </c>
      <c r="B766" s="591">
        <v>2234200</v>
      </c>
      <c r="C766" s="570">
        <v>2712500</v>
      </c>
      <c r="D766" s="570">
        <v>2414600</v>
      </c>
      <c r="E766" s="570">
        <v>3445000</v>
      </c>
      <c r="F766" s="570">
        <v>6600500</v>
      </c>
      <c r="G766" s="570">
        <v>4880700</v>
      </c>
      <c r="H766" s="570">
        <v>3719400</v>
      </c>
      <c r="I766" s="744">
        <f t="shared" si="174"/>
        <v>26006900</v>
      </c>
      <c r="J766" s="747">
        <f t="shared" si="175"/>
        <v>2838300</v>
      </c>
    </row>
    <row r="767" spans="1:10" x14ac:dyDescent="0.25">
      <c r="A767" s="590" t="s">
        <v>545</v>
      </c>
      <c r="B767" s="591">
        <v>1630200</v>
      </c>
      <c r="C767" s="570">
        <v>1546500</v>
      </c>
      <c r="D767" s="570">
        <v>2368100</v>
      </c>
      <c r="E767" s="570">
        <v>2404400</v>
      </c>
      <c r="F767" s="570">
        <v>5760100</v>
      </c>
      <c r="G767" s="570">
        <v>7923600</v>
      </c>
      <c r="H767" s="570">
        <v>6130000</v>
      </c>
      <c r="I767" s="744">
        <f t="shared" si="174"/>
        <v>27762900</v>
      </c>
      <c r="J767" s="747">
        <f t="shared" si="175"/>
        <v>2430100</v>
      </c>
    </row>
    <row r="768" spans="1:10" x14ac:dyDescent="0.25">
      <c r="A768" s="590" t="s">
        <v>547</v>
      </c>
      <c r="B768" s="591">
        <v>2013700</v>
      </c>
      <c r="C768" s="570">
        <v>2421500</v>
      </c>
      <c r="D768" s="570">
        <v>2004000</v>
      </c>
      <c r="E768" s="570">
        <v>3116600</v>
      </c>
      <c r="F768" s="570">
        <v>4626500</v>
      </c>
      <c r="G768" s="570">
        <v>3950000</v>
      </c>
      <c r="H768" s="570">
        <v>4089900</v>
      </c>
      <c r="I768" s="744">
        <f t="shared" si="174"/>
        <v>22222200</v>
      </c>
      <c r="J768" s="747">
        <f t="shared" si="175"/>
        <v>2171000</v>
      </c>
    </row>
    <row r="769" spans="1:10" x14ac:dyDescent="0.25">
      <c r="A769" s="680" t="s">
        <v>546</v>
      </c>
      <c r="B769" s="591">
        <v>479000</v>
      </c>
      <c r="C769" s="570">
        <v>703600</v>
      </c>
      <c r="D769" s="570">
        <v>1409200</v>
      </c>
      <c r="E769" s="570">
        <v>899300</v>
      </c>
      <c r="F769" s="570">
        <v>2492000</v>
      </c>
      <c r="G769" s="570">
        <v>3393800</v>
      </c>
      <c r="H769" s="570">
        <v>3690000</v>
      </c>
      <c r="I769" s="744">
        <f t="shared" si="174"/>
        <v>13066900</v>
      </c>
      <c r="J769" s="747">
        <f t="shared" si="175"/>
        <v>-3956400</v>
      </c>
    </row>
    <row r="770" spans="1:10" x14ac:dyDescent="0.25">
      <c r="A770" s="680" t="s">
        <v>622</v>
      </c>
      <c r="B770" s="591">
        <v>2371400</v>
      </c>
      <c r="C770" s="570">
        <v>2045600</v>
      </c>
      <c r="D770" s="570">
        <v>2196500</v>
      </c>
      <c r="E770" s="570">
        <v>3151500</v>
      </c>
      <c r="F770" s="570">
        <v>8076200</v>
      </c>
      <c r="G770" s="570">
        <v>11688500</v>
      </c>
      <c r="H770" s="570">
        <v>8745200</v>
      </c>
      <c r="I770" s="744">
        <f t="shared" si="174"/>
        <v>38274900</v>
      </c>
      <c r="J770" s="747">
        <f t="shared" si="175"/>
        <v>-5103950</v>
      </c>
    </row>
    <row r="771" spans="1:10" x14ac:dyDescent="0.25">
      <c r="A771" s="680" t="s">
        <v>671</v>
      </c>
      <c r="B771" s="591">
        <v>2273100</v>
      </c>
      <c r="C771" s="570">
        <v>2992300</v>
      </c>
      <c r="D771" s="570">
        <v>2649600</v>
      </c>
      <c r="E771" s="570">
        <v>3339000</v>
      </c>
      <c r="F771" s="570">
        <v>6048400</v>
      </c>
      <c r="G771" s="570">
        <v>6858800</v>
      </c>
      <c r="H771" s="570">
        <v>5224300</v>
      </c>
      <c r="I771" s="744">
        <f t="shared" si="174"/>
        <v>29385500</v>
      </c>
      <c r="J771" s="747">
        <f t="shared" si="175"/>
        <v>69000</v>
      </c>
    </row>
    <row r="772" spans="1:10" x14ac:dyDescent="0.25">
      <c r="A772" s="680" t="s">
        <v>672</v>
      </c>
      <c r="B772" s="591">
        <v>1230500</v>
      </c>
      <c r="C772" s="570">
        <v>2370300</v>
      </c>
      <c r="D772" s="570">
        <v>1912000</v>
      </c>
      <c r="E772" s="570">
        <v>2669100</v>
      </c>
      <c r="F772" s="570">
        <v>2327500</v>
      </c>
      <c r="G772" s="570">
        <v>0</v>
      </c>
      <c r="H772" s="570">
        <v>0</v>
      </c>
      <c r="I772" s="744">
        <f t="shared" si="174"/>
        <v>10509400</v>
      </c>
      <c r="J772" s="747">
        <f t="shared" si="175"/>
        <v>9542300</v>
      </c>
    </row>
    <row r="773" spans="1:10" x14ac:dyDescent="0.25">
      <c r="A773" s="680" t="s">
        <v>682</v>
      </c>
      <c r="B773" s="591">
        <v>1287700</v>
      </c>
      <c r="C773" s="570">
        <v>1085600</v>
      </c>
      <c r="D773" s="570">
        <v>965000</v>
      </c>
      <c r="E773" s="570">
        <v>2195000</v>
      </c>
      <c r="F773" s="570">
        <v>3887200</v>
      </c>
      <c r="G773" s="570">
        <v>5779300</v>
      </c>
      <c r="H773" s="570">
        <v>5348900</v>
      </c>
      <c r="I773" s="744">
        <f t="shared" si="174"/>
        <v>20548700</v>
      </c>
      <c r="J773" s="747">
        <f t="shared" si="175"/>
        <v>-444900</v>
      </c>
    </row>
    <row r="774" spans="1:10" x14ac:dyDescent="0.25">
      <c r="A774" s="680" t="s">
        <v>709</v>
      </c>
      <c r="B774" s="591">
        <v>1872100</v>
      </c>
      <c r="C774" s="570">
        <v>2093600</v>
      </c>
      <c r="D774" s="570">
        <v>2260800</v>
      </c>
      <c r="E774" s="570">
        <v>2676200</v>
      </c>
      <c r="F774" s="570">
        <v>6109500</v>
      </c>
      <c r="G774" s="570">
        <v>7469800</v>
      </c>
      <c r="H774" s="570">
        <v>5318600</v>
      </c>
      <c r="I774" s="744">
        <f t="shared" si="174"/>
        <v>27800600</v>
      </c>
      <c r="J774" s="747">
        <f t="shared" si="175"/>
        <v>-2585300</v>
      </c>
    </row>
    <row r="775" spans="1:10" ht="15.75" thickBot="1" x14ac:dyDescent="0.3">
      <c r="A775" s="593" t="s">
        <v>10</v>
      </c>
      <c r="B775" s="594">
        <f>+SUM(B762:B774)</f>
        <v>24171100</v>
      </c>
      <c r="C775" s="594">
        <f t="shared" ref="C775:H775" si="176">+SUM(C762:C774)</f>
        <v>26781400</v>
      </c>
      <c r="D775" s="594">
        <f t="shared" si="176"/>
        <v>29313400</v>
      </c>
      <c r="E775" s="594">
        <f t="shared" si="176"/>
        <v>36766600</v>
      </c>
      <c r="F775" s="594">
        <f t="shared" si="176"/>
        <v>72486100</v>
      </c>
      <c r="G775" s="594">
        <f t="shared" si="176"/>
        <v>89017000</v>
      </c>
      <c r="H775" s="594">
        <f t="shared" si="176"/>
        <v>75240900</v>
      </c>
      <c r="I775" s="745">
        <f>+SUM(I762:I774)</f>
        <v>353776500</v>
      </c>
      <c r="J775" s="748">
        <f>+I775-I759</f>
        <v>9547050</v>
      </c>
    </row>
    <row r="776" spans="1:10" ht="15.75" thickBot="1" x14ac:dyDescent="0.3"/>
    <row r="777" spans="1:10" ht="30.75" thickBot="1" x14ac:dyDescent="0.3">
      <c r="A777" s="586" t="s">
        <v>419</v>
      </c>
      <c r="B777" s="587" t="s">
        <v>285</v>
      </c>
      <c r="C777" s="232" t="s">
        <v>37</v>
      </c>
      <c r="D777" s="232" t="s">
        <v>286</v>
      </c>
      <c r="E777" s="232" t="s">
        <v>39</v>
      </c>
      <c r="F777" s="232" t="s">
        <v>40</v>
      </c>
      <c r="G777" s="232" t="s">
        <v>287</v>
      </c>
      <c r="H777" s="232" t="s">
        <v>42</v>
      </c>
      <c r="I777" s="601" t="s">
        <v>96</v>
      </c>
      <c r="J777" s="746" t="s">
        <v>438</v>
      </c>
    </row>
    <row r="778" spans="1:10" ht="15.75" thickTop="1" x14ac:dyDescent="0.25">
      <c r="A778" s="588" t="s">
        <v>427</v>
      </c>
      <c r="B778" s="589">
        <v>2619300</v>
      </c>
      <c r="C778" s="569">
        <v>3105900</v>
      </c>
      <c r="D778" s="569">
        <v>3578400</v>
      </c>
      <c r="E778" s="569">
        <v>4109300</v>
      </c>
      <c r="F778" s="569">
        <v>9905500</v>
      </c>
      <c r="G778" s="569">
        <v>10880600</v>
      </c>
      <c r="H778" s="569">
        <v>8252600</v>
      </c>
      <c r="I778" s="744">
        <f t="shared" ref="I778:I790" si="177">+SUM(B778:H778)</f>
        <v>42451600</v>
      </c>
      <c r="J778" s="747">
        <f>+I778-I762</f>
        <v>2979500</v>
      </c>
    </row>
    <row r="779" spans="1:10" x14ac:dyDescent="0.25">
      <c r="A779" s="590" t="s">
        <v>428</v>
      </c>
      <c r="B779" s="591">
        <v>2390600</v>
      </c>
      <c r="C779" s="570">
        <v>2663900</v>
      </c>
      <c r="D779" s="570">
        <v>2654500</v>
      </c>
      <c r="E779" s="570">
        <v>4108200</v>
      </c>
      <c r="F779" s="570">
        <v>8562200</v>
      </c>
      <c r="G779" s="570">
        <v>12873500</v>
      </c>
      <c r="H779" s="570">
        <v>8929500</v>
      </c>
      <c r="I779" s="744">
        <f t="shared" si="177"/>
        <v>42182400</v>
      </c>
      <c r="J779" s="747">
        <f t="shared" ref="J779:J790" si="178">+I779-I763</f>
        <v>-244500</v>
      </c>
    </row>
    <row r="780" spans="1:10" x14ac:dyDescent="0.25">
      <c r="A780" s="588" t="s">
        <v>429</v>
      </c>
      <c r="B780" s="592">
        <v>2008400</v>
      </c>
      <c r="C780" s="583">
        <v>1926900</v>
      </c>
      <c r="D780" s="583">
        <v>2157500</v>
      </c>
      <c r="E780" s="569">
        <v>2299400</v>
      </c>
      <c r="F780" s="569">
        <v>5542000</v>
      </c>
      <c r="G780" s="569">
        <v>6913800</v>
      </c>
      <c r="H780" s="569">
        <v>5691500</v>
      </c>
      <c r="I780" s="744">
        <f t="shared" si="177"/>
        <v>26539500</v>
      </c>
      <c r="J780" s="747">
        <f t="shared" si="178"/>
        <v>-1640600</v>
      </c>
    </row>
    <row r="781" spans="1:10" x14ac:dyDescent="0.25">
      <c r="A781" s="590" t="s">
        <v>430</v>
      </c>
      <c r="B781" s="591">
        <v>1917300</v>
      </c>
      <c r="C781" s="570">
        <v>2875900</v>
      </c>
      <c r="D781" s="570">
        <v>2954700</v>
      </c>
      <c r="E781" s="570">
        <v>2001700</v>
      </c>
      <c r="F781" s="570">
        <v>6253600</v>
      </c>
      <c r="G781" s="570">
        <v>7416200</v>
      </c>
      <c r="H781" s="570">
        <v>5081600</v>
      </c>
      <c r="I781" s="744">
        <f t="shared" si="177"/>
        <v>28501000</v>
      </c>
      <c r="J781" s="747">
        <f t="shared" si="178"/>
        <v>381600</v>
      </c>
    </row>
    <row r="782" spans="1:10" x14ac:dyDescent="0.25">
      <c r="A782" s="590" t="s">
        <v>544</v>
      </c>
      <c r="B782" s="591">
        <v>1681200</v>
      </c>
      <c r="C782" s="570">
        <v>2264900</v>
      </c>
      <c r="D782" s="570">
        <v>2572600</v>
      </c>
      <c r="E782" s="570">
        <v>3912400</v>
      </c>
      <c r="F782" s="570">
        <v>5990100</v>
      </c>
      <c r="G782" s="570">
        <v>5195400</v>
      </c>
      <c r="H782" s="570">
        <v>3980500</v>
      </c>
      <c r="I782" s="744">
        <f t="shared" si="177"/>
        <v>25597100</v>
      </c>
      <c r="J782" s="747">
        <f t="shared" si="178"/>
        <v>-409800</v>
      </c>
    </row>
    <row r="783" spans="1:10" x14ac:dyDescent="0.25">
      <c r="A783" s="590" t="s">
        <v>545</v>
      </c>
      <c r="B783" s="591">
        <v>1290400</v>
      </c>
      <c r="C783" s="570">
        <v>2238900</v>
      </c>
      <c r="D783" s="570">
        <v>2132500</v>
      </c>
      <c r="E783" s="570">
        <v>2216000</v>
      </c>
      <c r="F783" s="570">
        <v>5624000</v>
      </c>
      <c r="G783" s="570">
        <v>7482900</v>
      </c>
      <c r="H783" s="570">
        <v>5237600</v>
      </c>
      <c r="I783" s="744">
        <f t="shared" si="177"/>
        <v>26222300</v>
      </c>
      <c r="J783" s="747">
        <f t="shared" si="178"/>
        <v>-1540600</v>
      </c>
    </row>
    <row r="784" spans="1:10" x14ac:dyDescent="0.25">
      <c r="A784" s="590" t="s">
        <v>547</v>
      </c>
      <c r="B784" s="591">
        <v>2061700</v>
      </c>
      <c r="C784" s="570">
        <v>2012600</v>
      </c>
      <c r="D784" s="570">
        <v>2570300</v>
      </c>
      <c r="E784" s="570">
        <v>2642300</v>
      </c>
      <c r="F784" s="570">
        <v>5271500</v>
      </c>
      <c r="G784" s="570">
        <v>4900200</v>
      </c>
      <c r="H784" s="570">
        <v>3500700</v>
      </c>
      <c r="I784" s="744">
        <f t="shared" si="177"/>
        <v>22959300</v>
      </c>
      <c r="J784" s="747">
        <f t="shared" si="178"/>
        <v>737100</v>
      </c>
    </row>
    <row r="785" spans="1:10" x14ac:dyDescent="0.25">
      <c r="A785" s="680" t="s">
        <v>546</v>
      </c>
      <c r="B785" s="591">
        <v>466700</v>
      </c>
      <c r="C785" s="570">
        <v>769700</v>
      </c>
      <c r="D785" s="570">
        <v>1250000</v>
      </c>
      <c r="E785" s="570">
        <v>635200</v>
      </c>
      <c r="F785" s="570">
        <v>2749700</v>
      </c>
      <c r="G785" s="570">
        <v>3504100</v>
      </c>
      <c r="H785" s="570">
        <v>2772400</v>
      </c>
      <c r="I785" s="744">
        <f t="shared" si="177"/>
        <v>12147800</v>
      </c>
      <c r="J785" s="747">
        <f t="shared" si="178"/>
        <v>-919100</v>
      </c>
    </row>
    <row r="786" spans="1:10" x14ac:dyDescent="0.25">
      <c r="A786" s="680" t="s">
        <v>622</v>
      </c>
      <c r="B786" s="591">
        <v>1876500</v>
      </c>
      <c r="C786" s="570">
        <v>2209700</v>
      </c>
      <c r="D786" s="570">
        <v>2682100</v>
      </c>
      <c r="E786" s="570">
        <v>2677800</v>
      </c>
      <c r="F786" s="570">
        <v>7379100</v>
      </c>
      <c r="G786" s="570">
        <v>11886400</v>
      </c>
      <c r="H786" s="570">
        <v>9838600</v>
      </c>
      <c r="I786" s="744">
        <f t="shared" si="177"/>
        <v>38550200</v>
      </c>
      <c r="J786" s="747">
        <f t="shared" si="178"/>
        <v>275300</v>
      </c>
    </row>
    <row r="787" spans="1:10" x14ac:dyDescent="0.25">
      <c r="A787" s="680" t="s">
        <v>671</v>
      </c>
      <c r="B787" s="591">
        <v>2341800</v>
      </c>
      <c r="C787" s="570">
        <v>2632600</v>
      </c>
      <c r="D787" s="570">
        <v>3430900</v>
      </c>
      <c r="E787" s="570">
        <v>3560700</v>
      </c>
      <c r="F787" s="570">
        <v>6542100</v>
      </c>
      <c r="G787" s="570">
        <v>8314400</v>
      </c>
      <c r="H787" s="570">
        <v>5365800</v>
      </c>
      <c r="I787" s="744">
        <f t="shared" si="177"/>
        <v>32188300</v>
      </c>
      <c r="J787" s="747">
        <f t="shared" si="178"/>
        <v>2802800</v>
      </c>
    </row>
    <row r="788" spans="1:10" x14ac:dyDescent="0.25">
      <c r="A788" s="680" t="s">
        <v>672</v>
      </c>
      <c r="B788" s="591">
        <v>2916800</v>
      </c>
      <c r="C788" s="570">
        <v>2184400</v>
      </c>
      <c r="D788" s="570">
        <v>2922400</v>
      </c>
      <c r="E788" s="570">
        <v>1790300</v>
      </c>
      <c r="F788" s="570">
        <v>2515100</v>
      </c>
      <c r="G788" s="570">
        <v>0</v>
      </c>
      <c r="H788" s="570">
        <v>0</v>
      </c>
      <c r="I788" s="744">
        <f t="shared" si="177"/>
        <v>12329000</v>
      </c>
      <c r="J788" s="747">
        <f t="shared" si="178"/>
        <v>1819600</v>
      </c>
    </row>
    <row r="789" spans="1:10" x14ac:dyDescent="0.25">
      <c r="A789" s="680" t="s">
        <v>682</v>
      </c>
      <c r="B789" s="591">
        <v>987800</v>
      </c>
      <c r="C789" s="570">
        <v>1319800</v>
      </c>
      <c r="D789" s="570">
        <v>865600</v>
      </c>
      <c r="E789" s="570">
        <v>1685100</v>
      </c>
      <c r="F789" s="570">
        <v>3788100</v>
      </c>
      <c r="G789" s="570">
        <v>5965400</v>
      </c>
      <c r="H789" s="570">
        <v>4556100</v>
      </c>
      <c r="I789" s="744">
        <f t="shared" si="177"/>
        <v>19167900</v>
      </c>
      <c r="J789" s="747">
        <f t="shared" si="178"/>
        <v>-1380800</v>
      </c>
    </row>
    <row r="790" spans="1:10" x14ac:dyDescent="0.25">
      <c r="A790" s="680" t="s">
        <v>709</v>
      </c>
      <c r="B790" s="591">
        <v>1805000</v>
      </c>
      <c r="C790" s="570">
        <v>2175100</v>
      </c>
      <c r="D790" s="570">
        <v>2650000</v>
      </c>
      <c r="E790" s="570">
        <v>2695700</v>
      </c>
      <c r="F790" s="570">
        <v>5076300</v>
      </c>
      <c r="G790" s="570">
        <v>6750700</v>
      </c>
      <c r="H790" s="570">
        <v>5601200</v>
      </c>
      <c r="I790" s="744">
        <f t="shared" si="177"/>
        <v>26754000</v>
      </c>
      <c r="J790" s="747">
        <f t="shared" si="178"/>
        <v>-1046600</v>
      </c>
    </row>
    <row r="791" spans="1:10" ht="15.75" thickBot="1" x14ac:dyDescent="0.3">
      <c r="A791" s="593" t="s">
        <v>10</v>
      </c>
      <c r="B791" s="594">
        <f>+SUM(B778:B790)</f>
        <v>24363500</v>
      </c>
      <c r="C791" s="594">
        <f t="shared" ref="C791:H791" si="179">+SUM(C778:C790)</f>
        <v>28380300</v>
      </c>
      <c r="D791" s="594">
        <f t="shared" si="179"/>
        <v>32421500</v>
      </c>
      <c r="E791" s="594">
        <f t="shared" si="179"/>
        <v>34334100</v>
      </c>
      <c r="F791" s="594">
        <f t="shared" si="179"/>
        <v>75199300</v>
      </c>
      <c r="G791" s="594">
        <f t="shared" si="179"/>
        <v>92083600</v>
      </c>
      <c r="H791" s="594">
        <f t="shared" si="179"/>
        <v>68808100</v>
      </c>
      <c r="I791" s="745">
        <f>+SUM(I778:I790)</f>
        <v>355590400</v>
      </c>
      <c r="J791" s="748">
        <f>+I791-I775</f>
        <v>1813900</v>
      </c>
    </row>
    <row r="792" spans="1:10" ht="15.75" thickBot="1" x14ac:dyDescent="0.3"/>
    <row r="793" spans="1:10" ht="30.75" thickBot="1" x14ac:dyDescent="0.3">
      <c r="A793" s="586" t="s">
        <v>419</v>
      </c>
      <c r="B793" s="829" t="s">
        <v>45</v>
      </c>
      <c r="C793" s="830" t="s">
        <v>289</v>
      </c>
      <c r="D793" s="831" t="s">
        <v>47</v>
      </c>
      <c r="E793" s="831" t="s">
        <v>48</v>
      </c>
      <c r="F793" s="831" t="s">
        <v>49</v>
      </c>
      <c r="G793" s="831" t="s">
        <v>50</v>
      </c>
      <c r="H793" s="831" t="s">
        <v>290</v>
      </c>
      <c r="I793" s="601" t="s">
        <v>96</v>
      </c>
      <c r="J793" s="746" t="s">
        <v>438</v>
      </c>
    </row>
    <row r="794" spans="1:10" ht="15.75" thickTop="1" x14ac:dyDescent="0.25">
      <c r="A794" s="832" t="s">
        <v>427</v>
      </c>
      <c r="B794" s="833">
        <v>2505900</v>
      </c>
      <c r="C794" s="834">
        <v>2818600</v>
      </c>
      <c r="D794" s="835">
        <v>3649000</v>
      </c>
      <c r="E794" s="835">
        <v>3338800</v>
      </c>
      <c r="F794" s="835">
        <v>8173400</v>
      </c>
      <c r="G794" s="835">
        <v>9454400</v>
      </c>
      <c r="H794" s="835">
        <v>7607100</v>
      </c>
      <c r="I794" s="744">
        <f t="shared" ref="I794:I807" si="180">+SUM(B794:H794)</f>
        <v>37547200</v>
      </c>
      <c r="J794" s="747">
        <f>+I794-I778</f>
        <v>-4904400</v>
      </c>
    </row>
    <row r="795" spans="1:10" x14ac:dyDescent="0.25">
      <c r="A795" s="836" t="s">
        <v>428</v>
      </c>
      <c r="B795" s="837">
        <v>2180200</v>
      </c>
      <c r="C795" s="838">
        <v>2616900</v>
      </c>
      <c r="D795" s="839">
        <v>3484600</v>
      </c>
      <c r="E795" s="839">
        <v>3223700</v>
      </c>
      <c r="F795" s="840">
        <v>7765500</v>
      </c>
      <c r="G795" s="840">
        <v>9703400</v>
      </c>
      <c r="H795" s="839">
        <v>8652700</v>
      </c>
      <c r="I795" s="744">
        <f t="shared" si="180"/>
        <v>37627000</v>
      </c>
      <c r="J795" s="747">
        <f t="shared" ref="J795:J806" si="181">+I795-I779</f>
        <v>-4555400</v>
      </c>
    </row>
    <row r="796" spans="1:10" x14ac:dyDescent="0.25">
      <c r="A796" s="832" t="s">
        <v>429</v>
      </c>
      <c r="B796" s="592">
        <v>1814200</v>
      </c>
      <c r="C796" s="583">
        <v>1549800</v>
      </c>
      <c r="D796" s="841">
        <v>2163700</v>
      </c>
      <c r="E796" s="834">
        <v>2176300</v>
      </c>
      <c r="F796" s="835">
        <v>5544800</v>
      </c>
      <c r="G796" s="835">
        <v>7405900</v>
      </c>
      <c r="H796" s="835">
        <v>5685700</v>
      </c>
      <c r="I796" s="744">
        <f t="shared" si="180"/>
        <v>26340400</v>
      </c>
      <c r="J796" s="747">
        <f t="shared" si="181"/>
        <v>-199100</v>
      </c>
    </row>
    <row r="797" spans="1:10" x14ac:dyDescent="0.25">
      <c r="A797" s="836" t="s">
        <v>430</v>
      </c>
      <c r="B797" s="837">
        <v>1982900</v>
      </c>
      <c r="C797" s="838">
        <v>2186900</v>
      </c>
      <c r="D797" s="839">
        <v>2610400</v>
      </c>
      <c r="E797" s="839">
        <v>2977600</v>
      </c>
      <c r="F797" s="839">
        <v>5679700</v>
      </c>
      <c r="G797" s="839">
        <v>5778700</v>
      </c>
      <c r="H797" s="839">
        <v>5162100</v>
      </c>
      <c r="I797" s="744">
        <f t="shared" si="180"/>
        <v>26378300</v>
      </c>
      <c r="J797" s="747">
        <f t="shared" si="181"/>
        <v>-2122700</v>
      </c>
    </row>
    <row r="798" spans="1:10" x14ac:dyDescent="0.25">
      <c r="A798" s="842" t="s">
        <v>544</v>
      </c>
      <c r="B798" s="843">
        <v>2171900</v>
      </c>
      <c r="C798" s="844">
        <v>2678400</v>
      </c>
      <c r="D798" s="845">
        <v>3264700</v>
      </c>
      <c r="E798" s="845">
        <v>4246400</v>
      </c>
      <c r="F798" s="845">
        <v>6067600</v>
      </c>
      <c r="G798" s="845">
        <v>4272400</v>
      </c>
      <c r="H798" s="845">
        <v>4053300</v>
      </c>
      <c r="I798" s="744">
        <f t="shared" si="180"/>
        <v>26754700</v>
      </c>
      <c r="J798" s="747">
        <f t="shared" si="181"/>
        <v>1157600</v>
      </c>
    </row>
    <row r="799" spans="1:10" x14ac:dyDescent="0.25">
      <c r="A799" s="836" t="s">
        <v>545</v>
      </c>
      <c r="B799" s="843">
        <v>1481200</v>
      </c>
      <c r="C799" s="844">
        <v>2438300</v>
      </c>
      <c r="D799" s="845">
        <v>2750700</v>
      </c>
      <c r="E799" s="845">
        <v>3467300</v>
      </c>
      <c r="F799" s="845">
        <v>4971900</v>
      </c>
      <c r="G799" s="845">
        <v>6391800</v>
      </c>
      <c r="H799" s="845">
        <v>5104000</v>
      </c>
      <c r="I799" s="744">
        <f t="shared" si="180"/>
        <v>26605200</v>
      </c>
      <c r="J799" s="747">
        <f t="shared" si="181"/>
        <v>382900</v>
      </c>
    </row>
    <row r="800" spans="1:10" x14ac:dyDescent="0.25">
      <c r="A800" s="836" t="s">
        <v>547</v>
      </c>
      <c r="B800" s="843">
        <v>1411900</v>
      </c>
      <c r="C800" s="844">
        <v>2252500</v>
      </c>
      <c r="D800" s="845">
        <v>1801800</v>
      </c>
      <c r="E800" s="845">
        <v>2987100</v>
      </c>
      <c r="F800" s="845">
        <v>4542600</v>
      </c>
      <c r="G800" s="845">
        <v>3940500</v>
      </c>
      <c r="H800" s="845">
        <v>4290200</v>
      </c>
      <c r="I800" s="744">
        <f t="shared" si="180"/>
        <v>21226600</v>
      </c>
      <c r="J800" s="747">
        <f t="shared" si="181"/>
        <v>-1732700</v>
      </c>
    </row>
    <row r="801" spans="1:10" x14ac:dyDescent="0.25">
      <c r="A801" s="836" t="s">
        <v>546</v>
      </c>
      <c r="B801" s="843">
        <v>717700</v>
      </c>
      <c r="C801" s="844">
        <v>892300</v>
      </c>
      <c r="D801" s="845">
        <v>1205000</v>
      </c>
      <c r="E801" s="845">
        <v>953900</v>
      </c>
      <c r="F801" s="845">
        <v>2501200</v>
      </c>
      <c r="G801" s="845">
        <v>4918000</v>
      </c>
      <c r="H801" s="845">
        <v>4455400</v>
      </c>
      <c r="I801" s="744">
        <f t="shared" si="180"/>
        <v>15643500</v>
      </c>
      <c r="J801" s="747">
        <f t="shared" si="181"/>
        <v>3495700</v>
      </c>
    </row>
    <row r="802" spans="1:10" x14ac:dyDescent="0.25">
      <c r="A802" s="842" t="s">
        <v>622</v>
      </c>
      <c r="B802" s="843">
        <v>2173500</v>
      </c>
      <c r="C802" s="843">
        <v>2023700</v>
      </c>
      <c r="D802" s="845">
        <v>2628400</v>
      </c>
      <c r="E802" s="845">
        <v>3001700</v>
      </c>
      <c r="F802" s="845">
        <v>7841600</v>
      </c>
      <c r="G802" s="845">
        <v>10437100</v>
      </c>
      <c r="H802" s="845">
        <v>7862200</v>
      </c>
      <c r="I802" s="744">
        <f t="shared" si="180"/>
        <v>35968200</v>
      </c>
      <c r="J802" s="747">
        <f t="shared" si="181"/>
        <v>-2582000</v>
      </c>
    </row>
    <row r="803" spans="1:10" x14ac:dyDescent="0.25">
      <c r="A803" s="842" t="s">
        <v>671</v>
      </c>
      <c r="B803" s="843">
        <v>2170000</v>
      </c>
      <c r="C803" s="844">
        <v>2288400</v>
      </c>
      <c r="D803" s="845">
        <v>2721100</v>
      </c>
      <c r="E803" s="845">
        <v>3149800</v>
      </c>
      <c r="F803" s="845">
        <v>6344800</v>
      </c>
      <c r="G803" s="845">
        <v>7117800</v>
      </c>
      <c r="H803" s="845">
        <v>4103000</v>
      </c>
      <c r="I803" s="744">
        <f t="shared" si="180"/>
        <v>27894900</v>
      </c>
      <c r="J803" s="747">
        <f t="shared" si="181"/>
        <v>-4293400</v>
      </c>
    </row>
    <row r="804" spans="1:10" x14ac:dyDescent="0.25">
      <c r="A804" s="842" t="s">
        <v>672</v>
      </c>
      <c r="B804" s="843">
        <v>1408800</v>
      </c>
      <c r="C804" s="844">
        <v>2265500</v>
      </c>
      <c r="D804" s="845">
        <v>2424000</v>
      </c>
      <c r="E804" s="845">
        <v>1302300</v>
      </c>
      <c r="F804" s="845">
        <v>2405400</v>
      </c>
      <c r="G804" s="845">
        <v>0</v>
      </c>
      <c r="H804" s="845">
        <v>0</v>
      </c>
      <c r="I804" s="744">
        <f t="shared" si="180"/>
        <v>9806000</v>
      </c>
      <c r="J804" s="747">
        <f t="shared" si="181"/>
        <v>-2523000</v>
      </c>
    </row>
    <row r="805" spans="1:10" x14ac:dyDescent="0.25">
      <c r="A805" s="842" t="s">
        <v>682</v>
      </c>
      <c r="B805" s="843">
        <v>989900</v>
      </c>
      <c r="C805" s="844">
        <v>1030900</v>
      </c>
      <c r="D805" s="845">
        <v>1007100</v>
      </c>
      <c r="E805" s="845">
        <v>1193800</v>
      </c>
      <c r="F805" s="845">
        <v>4706100</v>
      </c>
      <c r="G805" s="845">
        <v>5272200</v>
      </c>
      <c r="H805" s="845">
        <v>4109700</v>
      </c>
      <c r="I805" s="744">
        <f t="shared" si="180"/>
        <v>18309700</v>
      </c>
      <c r="J805" s="747">
        <f t="shared" si="181"/>
        <v>-858200</v>
      </c>
    </row>
    <row r="806" spans="1:10" x14ac:dyDescent="0.25">
      <c r="A806" s="842" t="s">
        <v>709</v>
      </c>
      <c r="B806" s="843">
        <v>1334900</v>
      </c>
      <c r="C806" s="844">
        <v>2386600</v>
      </c>
      <c r="D806" s="845">
        <v>2364200</v>
      </c>
      <c r="E806" s="845">
        <v>2624700</v>
      </c>
      <c r="F806" s="845">
        <v>5374700</v>
      </c>
      <c r="G806" s="845">
        <v>6858700</v>
      </c>
      <c r="H806" s="845">
        <v>4007200</v>
      </c>
      <c r="I806" s="744">
        <f t="shared" si="180"/>
        <v>24951000</v>
      </c>
      <c r="J806" s="747">
        <f t="shared" si="181"/>
        <v>-1803000</v>
      </c>
    </row>
    <row r="807" spans="1:10" x14ac:dyDescent="0.25">
      <c r="A807" s="842" t="s">
        <v>984</v>
      </c>
      <c r="B807" s="843"/>
      <c r="C807" s="844"/>
      <c r="D807" s="845">
        <v>3421500</v>
      </c>
      <c r="E807" s="845">
        <v>3492000</v>
      </c>
      <c r="F807" s="845">
        <v>8891700</v>
      </c>
      <c r="G807" s="845">
        <v>9937100</v>
      </c>
      <c r="H807" s="845">
        <v>8525400</v>
      </c>
      <c r="I807" s="744">
        <f t="shared" si="180"/>
        <v>34267700</v>
      </c>
      <c r="J807" s="747">
        <f>+I807</f>
        <v>34267700</v>
      </c>
    </row>
    <row r="808" spans="1:10" ht="15.75" thickBot="1" x14ac:dyDescent="0.3">
      <c r="A808" s="846" t="s">
        <v>10</v>
      </c>
      <c r="B808" s="594">
        <f>+SUM(B794:B807)</f>
        <v>22343000</v>
      </c>
      <c r="C808" s="594">
        <f t="shared" ref="C808:H808" si="182">+SUM(C794:C807)</f>
        <v>27428800</v>
      </c>
      <c r="D808" s="594">
        <f t="shared" si="182"/>
        <v>35496200</v>
      </c>
      <c r="E808" s="594">
        <f t="shared" si="182"/>
        <v>38135400</v>
      </c>
      <c r="F808" s="594">
        <f t="shared" si="182"/>
        <v>80811000</v>
      </c>
      <c r="G808" s="594">
        <f t="shared" si="182"/>
        <v>91488000</v>
      </c>
      <c r="H808" s="594">
        <f t="shared" si="182"/>
        <v>73618000</v>
      </c>
      <c r="I808" s="745">
        <f>+SUM(I794:I807)</f>
        <v>369320400</v>
      </c>
      <c r="J808" s="748">
        <f>+I808-I791</f>
        <v>13730000</v>
      </c>
    </row>
    <row r="809" spans="1:10" ht="15.75" thickBot="1" x14ac:dyDescent="0.3"/>
    <row r="810" spans="1:10" ht="30.75" thickBot="1" x14ac:dyDescent="0.3">
      <c r="A810" s="586" t="s">
        <v>419</v>
      </c>
      <c r="B810" s="829" t="s">
        <v>53</v>
      </c>
      <c r="C810" s="830" t="s">
        <v>242</v>
      </c>
      <c r="D810" s="831" t="s">
        <v>243</v>
      </c>
      <c r="E810" s="831" t="s">
        <v>244</v>
      </c>
      <c r="F810" s="831" t="s">
        <v>245</v>
      </c>
      <c r="G810" s="831" t="s">
        <v>246</v>
      </c>
      <c r="H810" s="831" t="s">
        <v>247</v>
      </c>
      <c r="I810" s="601" t="s">
        <v>96</v>
      </c>
      <c r="J810" s="746" t="s">
        <v>438</v>
      </c>
    </row>
    <row r="811" spans="1:10" ht="15.75" thickTop="1" x14ac:dyDescent="0.25">
      <c r="A811" s="832" t="s">
        <v>427</v>
      </c>
      <c r="B811" s="833">
        <v>5340300</v>
      </c>
      <c r="C811" s="834">
        <v>6482500</v>
      </c>
      <c r="D811" s="835">
        <v>2893900</v>
      </c>
      <c r="E811" s="835">
        <v>3345300</v>
      </c>
      <c r="F811" s="835">
        <v>8317300</v>
      </c>
      <c r="G811" s="835">
        <v>9519200</v>
      </c>
      <c r="H811" s="835">
        <v>7955600</v>
      </c>
      <c r="I811" s="744">
        <f t="shared" ref="I811:I824" si="183">+SUM(B811:H811)</f>
        <v>43854100</v>
      </c>
      <c r="J811" s="747">
        <f>+I811-I794</f>
        <v>6306900</v>
      </c>
    </row>
    <row r="812" spans="1:10" x14ac:dyDescent="0.25">
      <c r="A812" s="836" t="s">
        <v>428</v>
      </c>
      <c r="B812" s="837">
        <v>6352600</v>
      </c>
      <c r="C812" s="838">
        <v>8175200</v>
      </c>
      <c r="D812" s="839">
        <v>2360800</v>
      </c>
      <c r="E812" s="839">
        <v>3082300</v>
      </c>
      <c r="F812" s="840">
        <v>8811800</v>
      </c>
      <c r="G812" s="840">
        <v>10119800</v>
      </c>
      <c r="H812" s="839">
        <v>9018600</v>
      </c>
      <c r="I812" s="744">
        <f t="shared" si="183"/>
        <v>47921100</v>
      </c>
      <c r="J812" s="747">
        <f t="shared" ref="J812:J825" si="184">+I812-I795</f>
        <v>10294100</v>
      </c>
    </row>
    <row r="813" spans="1:10" x14ac:dyDescent="0.25">
      <c r="A813" s="832" t="s">
        <v>429</v>
      </c>
      <c r="B813" s="592">
        <v>3182500</v>
      </c>
      <c r="C813" s="583">
        <v>5429900</v>
      </c>
      <c r="D813" s="841">
        <v>1646400</v>
      </c>
      <c r="E813" s="834">
        <v>728400</v>
      </c>
      <c r="F813" s="835">
        <v>4560600</v>
      </c>
      <c r="G813" s="835">
        <v>6536900</v>
      </c>
      <c r="H813" s="835">
        <v>5046900</v>
      </c>
      <c r="I813" s="744">
        <f t="shared" si="183"/>
        <v>27131600</v>
      </c>
      <c r="J813" s="747">
        <f t="shared" si="184"/>
        <v>791200</v>
      </c>
    </row>
    <row r="814" spans="1:10" x14ac:dyDescent="0.25">
      <c r="A814" s="836" t="s">
        <v>430</v>
      </c>
      <c r="B814" s="837">
        <v>4314100</v>
      </c>
      <c r="C814" s="838">
        <v>4032600</v>
      </c>
      <c r="D814" s="839">
        <v>2852100</v>
      </c>
      <c r="E814" s="839">
        <v>2525100</v>
      </c>
      <c r="F814" s="839">
        <v>5507800</v>
      </c>
      <c r="G814" s="839">
        <v>5978500</v>
      </c>
      <c r="H814" s="839">
        <v>3306300</v>
      </c>
      <c r="I814" s="744">
        <f t="shared" si="183"/>
        <v>28516500</v>
      </c>
      <c r="J814" s="747">
        <f t="shared" si="184"/>
        <v>2138200</v>
      </c>
    </row>
    <row r="815" spans="1:10" x14ac:dyDescent="0.25">
      <c r="A815" s="842" t="s">
        <v>544</v>
      </c>
      <c r="B815" s="843">
        <v>4476800</v>
      </c>
      <c r="C815" s="844">
        <v>3314100</v>
      </c>
      <c r="D815" s="845">
        <v>2946300</v>
      </c>
      <c r="E815" s="845">
        <v>2585700</v>
      </c>
      <c r="F815" s="845">
        <v>5996800</v>
      </c>
      <c r="G815" s="845">
        <v>4535600</v>
      </c>
      <c r="H815" s="845">
        <v>5104100</v>
      </c>
      <c r="I815" s="744">
        <f t="shared" si="183"/>
        <v>28959400</v>
      </c>
      <c r="J815" s="747">
        <f t="shared" si="184"/>
        <v>2204700</v>
      </c>
    </row>
    <row r="816" spans="1:10" x14ac:dyDescent="0.25">
      <c r="A816" s="836" t="s">
        <v>545</v>
      </c>
      <c r="B816" s="843">
        <v>4225800</v>
      </c>
      <c r="C816" s="844">
        <v>5100500</v>
      </c>
      <c r="D816" s="845">
        <v>1315300</v>
      </c>
      <c r="E816" s="845">
        <v>2781900</v>
      </c>
      <c r="F816" s="845">
        <v>4370200</v>
      </c>
      <c r="G816" s="845">
        <v>7051900</v>
      </c>
      <c r="H816" s="845">
        <v>6378800</v>
      </c>
      <c r="I816" s="744">
        <f t="shared" si="183"/>
        <v>31224400</v>
      </c>
      <c r="J816" s="747">
        <f t="shared" si="184"/>
        <v>4619200</v>
      </c>
    </row>
    <row r="817" spans="1:10" x14ac:dyDescent="0.25">
      <c r="A817" s="836" t="s">
        <v>547</v>
      </c>
      <c r="B817" s="843">
        <v>3051800</v>
      </c>
      <c r="C817" s="844">
        <v>3592000</v>
      </c>
      <c r="D817" s="845">
        <v>1893400</v>
      </c>
      <c r="E817" s="845">
        <v>2030000</v>
      </c>
      <c r="F817" s="845">
        <v>4043400</v>
      </c>
      <c r="G817" s="845">
        <v>3479900</v>
      </c>
      <c r="H817" s="845">
        <v>3886200</v>
      </c>
      <c r="I817" s="744">
        <f t="shared" si="183"/>
        <v>21976700</v>
      </c>
      <c r="J817" s="747">
        <f t="shared" si="184"/>
        <v>750100</v>
      </c>
    </row>
    <row r="818" spans="1:10" x14ac:dyDescent="0.25">
      <c r="A818" s="836" t="s">
        <v>546</v>
      </c>
      <c r="B818" s="843">
        <v>1796900</v>
      </c>
      <c r="C818" s="844">
        <v>4614200</v>
      </c>
      <c r="D818" s="845">
        <v>1399800</v>
      </c>
      <c r="E818" s="845">
        <v>632000</v>
      </c>
      <c r="F818" s="845">
        <v>1732700</v>
      </c>
      <c r="G818" s="845">
        <v>2940200</v>
      </c>
      <c r="H818" s="845">
        <v>3494200</v>
      </c>
      <c r="I818" s="744">
        <f t="shared" si="183"/>
        <v>16610000</v>
      </c>
      <c r="J818" s="747">
        <f t="shared" si="184"/>
        <v>966500</v>
      </c>
    </row>
    <row r="819" spans="1:10" x14ac:dyDescent="0.25">
      <c r="A819" s="842" t="s">
        <v>622</v>
      </c>
      <c r="B819" s="843">
        <v>5390300</v>
      </c>
      <c r="C819" s="843">
        <v>8478000</v>
      </c>
      <c r="D819" s="845">
        <v>2515700</v>
      </c>
      <c r="E819" s="845">
        <v>1914800</v>
      </c>
      <c r="F819" s="845">
        <v>7459400</v>
      </c>
      <c r="G819" s="845">
        <v>11153700</v>
      </c>
      <c r="H819" s="845">
        <v>7822900</v>
      </c>
      <c r="I819" s="744">
        <f t="shared" si="183"/>
        <v>44734800</v>
      </c>
      <c r="J819" s="747">
        <f t="shared" si="184"/>
        <v>8766600</v>
      </c>
    </row>
    <row r="820" spans="1:10" x14ac:dyDescent="0.25">
      <c r="A820" s="842" t="s">
        <v>671</v>
      </c>
      <c r="B820" s="843">
        <v>4454000</v>
      </c>
      <c r="C820" s="844">
        <v>5087500</v>
      </c>
      <c r="D820" s="845">
        <v>2454700</v>
      </c>
      <c r="E820" s="845">
        <v>2906100</v>
      </c>
      <c r="F820" s="845">
        <v>6309200</v>
      </c>
      <c r="G820" s="845">
        <v>7699500</v>
      </c>
      <c r="H820" s="845">
        <v>4363600</v>
      </c>
      <c r="I820" s="744">
        <f t="shared" si="183"/>
        <v>33274600</v>
      </c>
      <c r="J820" s="747">
        <f t="shared" si="184"/>
        <v>5379700</v>
      </c>
    </row>
    <row r="821" spans="1:10" x14ac:dyDescent="0.25">
      <c r="A821" s="842" t="s">
        <v>672</v>
      </c>
      <c r="B821" s="843">
        <v>1427800</v>
      </c>
      <c r="C821" s="844">
        <v>0</v>
      </c>
      <c r="D821" s="845">
        <v>1237200</v>
      </c>
      <c r="E821" s="845">
        <v>1710700</v>
      </c>
      <c r="F821" s="845">
        <v>2268900</v>
      </c>
      <c r="G821" s="845">
        <v>0</v>
      </c>
      <c r="H821" s="845">
        <v>0</v>
      </c>
      <c r="I821" s="744">
        <f t="shared" si="183"/>
        <v>6644600</v>
      </c>
      <c r="J821" s="747">
        <f t="shared" si="184"/>
        <v>-3161400</v>
      </c>
    </row>
    <row r="822" spans="1:10" x14ac:dyDescent="0.25">
      <c r="A822" s="842" t="s">
        <v>682</v>
      </c>
      <c r="B822" s="843">
        <v>2452600</v>
      </c>
      <c r="C822" s="844">
        <v>3950600</v>
      </c>
      <c r="D822" s="845">
        <v>620200</v>
      </c>
      <c r="E822" s="845">
        <v>1546000</v>
      </c>
      <c r="F822" s="845">
        <v>4114100</v>
      </c>
      <c r="G822" s="845">
        <v>5214600</v>
      </c>
      <c r="H822" s="845">
        <v>4731200</v>
      </c>
      <c r="I822" s="744">
        <f t="shared" si="183"/>
        <v>22629300</v>
      </c>
      <c r="J822" s="747">
        <f t="shared" si="184"/>
        <v>4319600</v>
      </c>
    </row>
    <row r="823" spans="1:10" x14ac:dyDescent="0.25">
      <c r="A823" s="842" t="s">
        <v>709</v>
      </c>
      <c r="B823" s="843">
        <v>3795000</v>
      </c>
      <c r="C823" s="844">
        <v>4691700</v>
      </c>
      <c r="D823" s="845">
        <v>1740900</v>
      </c>
      <c r="E823" s="845">
        <v>2011100</v>
      </c>
      <c r="F823" s="845">
        <v>4393800</v>
      </c>
      <c r="G823" s="845">
        <v>4936500</v>
      </c>
      <c r="H823" s="845">
        <v>4636700</v>
      </c>
      <c r="I823" s="744">
        <f t="shared" si="183"/>
        <v>26205700</v>
      </c>
      <c r="J823" s="747">
        <f t="shared" si="184"/>
        <v>1254700</v>
      </c>
    </row>
    <row r="824" spans="1:10" x14ac:dyDescent="0.25">
      <c r="A824" s="842" t="s">
        <v>984</v>
      </c>
      <c r="B824" s="843">
        <v>4594500</v>
      </c>
      <c r="C824" s="844">
        <v>8332200</v>
      </c>
      <c r="D824" s="845">
        <v>2162500</v>
      </c>
      <c r="E824" s="845">
        <v>2977700</v>
      </c>
      <c r="F824" s="845">
        <v>7674800</v>
      </c>
      <c r="G824" s="845">
        <v>9764100</v>
      </c>
      <c r="H824" s="845">
        <v>8042700</v>
      </c>
      <c r="I824" s="744">
        <f t="shared" si="183"/>
        <v>43548500</v>
      </c>
      <c r="J824" s="747">
        <f t="shared" si="184"/>
        <v>9280800</v>
      </c>
    </row>
    <row r="825" spans="1:10" ht="15.75" thickBot="1" x14ac:dyDescent="0.3">
      <c r="A825" s="846" t="s">
        <v>10</v>
      </c>
      <c r="B825" s="594">
        <f>+SUM(B811:B824)</f>
        <v>54855000</v>
      </c>
      <c r="C825" s="594">
        <f t="shared" ref="C825:H825" si="185">+SUM(C811:C824)</f>
        <v>71281000</v>
      </c>
      <c r="D825" s="594">
        <f t="shared" si="185"/>
        <v>28039200</v>
      </c>
      <c r="E825" s="594">
        <f t="shared" si="185"/>
        <v>30777100</v>
      </c>
      <c r="F825" s="594">
        <f t="shared" si="185"/>
        <v>75560800</v>
      </c>
      <c r="G825" s="594">
        <f t="shared" si="185"/>
        <v>88930400</v>
      </c>
      <c r="H825" s="594">
        <f t="shared" si="185"/>
        <v>73787800</v>
      </c>
      <c r="I825" s="745">
        <f>+SUM(I811:I824)</f>
        <v>423231300</v>
      </c>
      <c r="J825" s="748">
        <f t="shared" si="184"/>
        <v>53910900</v>
      </c>
    </row>
    <row r="826" spans="1:10" ht="15.75" thickBot="1" x14ac:dyDescent="0.3"/>
    <row r="827" spans="1:10" ht="30.75" thickBot="1" x14ac:dyDescent="0.3">
      <c r="A827" s="586" t="s">
        <v>419</v>
      </c>
      <c r="B827" s="829" t="s">
        <v>249</v>
      </c>
      <c r="C827" s="830" t="s">
        <v>250</v>
      </c>
      <c r="D827" s="831" t="s">
        <v>251</v>
      </c>
      <c r="E827" s="831" t="s">
        <v>220</v>
      </c>
      <c r="F827" s="831" t="s">
        <v>221</v>
      </c>
      <c r="G827" s="831" t="s">
        <v>222</v>
      </c>
      <c r="H827" s="831" t="s">
        <v>223</v>
      </c>
      <c r="I827" s="601" t="s">
        <v>96</v>
      </c>
      <c r="J827" s="746" t="s">
        <v>438</v>
      </c>
    </row>
    <row r="828" spans="1:10" ht="15.75" thickTop="1" x14ac:dyDescent="0.25">
      <c r="A828" s="832" t="s">
        <v>427</v>
      </c>
      <c r="B828" s="833">
        <v>2162000</v>
      </c>
      <c r="C828" s="834">
        <v>2885900</v>
      </c>
      <c r="D828" s="835">
        <v>3607500</v>
      </c>
      <c r="E828" s="835">
        <v>4085300</v>
      </c>
      <c r="F828" s="835">
        <v>9192700</v>
      </c>
      <c r="G828" s="835">
        <v>9801800</v>
      </c>
      <c r="H828" s="835">
        <v>7269900</v>
      </c>
      <c r="I828" s="744">
        <f t="shared" ref="I828:I841" si="186">+SUM(B828:H828)</f>
        <v>39005100</v>
      </c>
      <c r="J828" s="747">
        <f>+I828-I811</f>
        <v>-4849000</v>
      </c>
    </row>
    <row r="829" spans="1:10" x14ac:dyDescent="0.25">
      <c r="A829" s="836" t="s">
        <v>428</v>
      </c>
      <c r="B829" s="837">
        <v>2113300</v>
      </c>
      <c r="C829" s="838">
        <v>2255100</v>
      </c>
      <c r="D829" s="839">
        <v>2853000</v>
      </c>
      <c r="E829" s="839">
        <v>2922200</v>
      </c>
      <c r="F829" s="840">
        <v>8567500</v>
      </c>
      <c r="G829" s="840">
        <v>9483000</v>
      </c>
      <c r="H829" s="839">
        <v>8028400</v>
      </c>
      <c r="I829" s="744">
        <f t="shared" si="186"/>
        <v>36222500</v>
      </c>
      <c r="J829" s="747">
        <f t="shared" ref="J829:J842" si="187">+I829-I812</f>
        <v>-11698600</v>
      </c>
    </row>
    <row r="830" spans="1:10" x14ac:dyDescent="0.25">
      <c r="A830" s="832" t="s">
        <v>429</v>
      </c>
      <c r="B830" s="592">
        <v>1764100</v>
      </c>
      <c r="C830" s="583">
        <v>1337800</v>
      </c>
      <c r="D830" s="841">
        <v>2285000</v>
      </c>
      <c r="E830" s="834">
        <v>2049000</v>
      </c>
      <c r="F830" s="835">
        <v>4827800</v>
      </c>
      <c r="G830" s="835">
        <v>6136600</v>
      </c>
      <c r="H830" s="835">
        <v>4924900</v>
      </c>
      <c r="I830" s="744">
        <f t="shared" si="186"/>
        <v>23325200</v>
      </c>
      <c r="J830" s="747">
        <f t="shared" si="187"/>
        <v>-3806400</v>
      </c>
    </row>
    <row r="831" spans="1:10" x14ac:dyDescent="0.25">
      <c r="A831" s="836" t="s">
        <v>430</v>
      </c>
      <c r="B831" s="837">
        <v>2041100</v>
      </c>
      <c r="C831" s="838">
        <v>1942900</v>
      </c>
      <c r="D831" s="839">
        <v>2415900</v>
      </c>
      <c r="E831" s="839">
        <v>2357800</v>
      </c>
      <c r="F831" s="839">
        <v>4466700</v>
      </c>
      <c r="G831" s="839">
        <v>5135900</v>
      </c>
      <c r="H831" s="839">
        <v>4221500</v>
      </c>
      <c r="I831" s="744">
        <f t="shared" si="186"/>
        <v>22581800</v>
      </c>
      <c r="J831" s="747">
        <f t="shared" si="187"/>
        <v>-5934700</v>
      </c>
    </row>
    <row r="832" spans="1:10" x14ac:dyDescent="0.25">
      <c r="A832" s="842" t="s">
        <v>544</v>
      </c>
      <c r="B832" s="843">
        <v>2285200</v>
      </c>
      <c r="C832" s="844">
        <v>3034000</v>
      </c>
      <c r="D832" s="845">
        <v>2636800</v>
      </c>
      <c r="E832" s="845">
        <v>3251200</v>
      </c>
      <c r="F832" s="845">
        <v>7504500</v>
      </c>
      <c r="G832" s="845">
        <v>3908400</v>
      </c>
      <c r="H832" s="845">
        <v>2481800</v>
      </c>
      <c r="I832" s="744">
        <f t="shared" si="186"/>
        <v>25101900</v>
      </c>
      <c r="J832" s="747">
        <f t="shared" si="187"/>
        <v>-3857500</v>
      </c>
    </row>
    <row r="833" spans="1:10" x14ac:dyDescent="0.25">
      <c r="A833" s="836" t="s">
        <v>545</v>
      </c>
      <c r="B833" s="843">
        <v>1584300</v>
      </c>
      <c r="C833" s="844">
        <v>1866500</v>
      </c>
      <c r="D833" s="845">
        <v>1578500</v>
      </c>
      <c r="E833" s="845">
        <v>2187500</v>
      </c>
      <c r="F833" s="845">
        <v>4724500</v>
      </c>
      <c r="G833" s="845">
        <v>6210200</v>
      </c>
      <c r="H833" s="845">
        <v>4078400</v>
      </c>
      <c r="I833" s="744">
        <f t="shared" si="186"/>
        <v>22229900</v>
      </c>
      <c r="J833" s="747">
        <f t="shared" si="187"/>
        <v>-8994500</v>
      </c>
    </row>
    <row r="834" spans="1:10" x14ac:dyDescent="0.25">
      <c r="A834" s="836" t="s">
        <v>547</v>
      </c>
      <c r="B834" s="843">
        <v>1953600</v>
      </c>
      <c r="C834" s="844">
        <v>1947800</v>
      </c>
      <c r="D834" s="845">
        <v>2412100</v>
      </c>
      <c r="E834" s="845">
        <v>2570200</v>
      </c>
      <c r="F834" s="845">
        <v>4922400</v>
      </c>
      <c r="G834" s="845">
        <v>4038000</v>
      </c>
      <c r="H834" s="845">
        <v>3709800</v>
      </c>
      <c r="I834" s="744">
        <f t="shared" si="186"/>
        <v>21553900</v>
      </c>
      <c r="J834" s="747">
        <f t="shared" si="187"/>
        <v>-422800</v>
      </c>
    </row>
    <row r="835" spans="1:10" x14ac:dyDescent="0.25">
      <c r="A835" s="836" t="s">
        <v>546</v>
      </c>
      <c r="B835" s="843">
        <v>1304800</v>
      </c>
      <c r="C835" s="844">
        <v>838800</v>
      </c>
      <c r="D835" s="845">
        <v>1100100</v>
      </c>
      <c r="E835" s="845">
        <v>924900</v>
      </c>
      <c r="F835" s="845">
        <v>1955200</v>
      </c>
      <c r="G835" s="845">
        <v>4046000</v>
      </c>
      <c r="H835" s="845">
        <v>3084100</v>
      </c>
      <c r="I835" s="744">
        <f t="shared" si="186"/>
        <v>13253900</v>
      </c>
      <c r="J835" s="747">
        <f t="shared" si="187"/>
        <v>-3356100</v>
      </c>
    </row>
    <row r="836" spans="1:10" x14ac:dyDescent="0.25">
      <c r="A836" s="842" t="s">
        <v>622</v>
      </c>
      <c r="B836" s="843">
        <v>1929400</v>
      </c>
      <c r="C836" s="843">
        <v>1923900</v>
      </c>
      <c r="D836" s="845">
        <v>1767100</v>
      </c>
      <c r="E836" s="845">
        <v>2676400</v>
      </c>
      <c r="F836" s="845">
        <v>8288300</v>
      </c>
      <c r="G836" s="845">
        <v>9640100</v>
      </c>
      <c r="H836" s="845">
        <v>7540800</v>
      </c>
      <c r="I836" s="744">
        <f t="shared" si="186"/>
        <v>33766000</v>
      </c>
      <c r="J836" s="747">
        <f t="shared" si="187"/>
        <v>-10968800</v>
      </c>
    </row>
    <row r="837" spans="1:10" x14ac:dyDescent="0.25">
      <c r="A837" s="842" t="s">
        <v>671</v>
      </c>
      <c r="B837" s="843">
        <v>2174100</v>
      </c>
      <c r="C837" s="844">
        <v>2143400</v>
      </c>
      <c r="D837" s="845">
        <v>2650400</v>
      </c>
      <c r="E837" s="845">
        <v>4065700</v>
      </c>
      <c r="F837" s="845">
        <v>5986900</v>
      </c>
      <c r="G837" s="845">
        <v>6006800</v>
      </c>
      <c r="H837" s="845">
        <v>5076100</v>
      </c>
      <c r="I837" s="744">
        <f t="shared" si="186"/>
        <v>28103400</v>
      </c>
      <c r="J837" s="747">
        <f t="shared" si="187"/>
        <v>-5171200</v>
      </c>
    </row>
    <row r="838" spans="1:10" x14ac:dyDescent="0.25">
      <c r="A838" s="842" t="s">
        <v>672</v>
      </c>
      <c r="B838" s="843">
        <v>1722300</v>
      </c>
      <c r="C838" s="844">
        <v>1660100</v>
      </c>
      <c r="D838" s="845">
        <v>2078300</v>
      </c>
      <c r="E838" s="845">
        <v>2313000</v>
      </c>
      <c r="F838" s="845">
        <v>2481100</v>
      </c>
      <c r="G838" s="845">
        <v>0</v>
      </c>
      <c r="H838" s="845">
        <v>0</v>
      </c>
      <c r="I838" s="744">
        <f t="shared" si="186"/>
        <v>10254800</v>
      </c>
      <c r="J838" s="747">
        <f t="shared" si="187"/>
        <v>3610200</v>
      </c>
    </row>
    <row r="839" spans="1:10" x14ac:dyDescent="0.25">
      <c r="A839" s="842" t="s">
        <v>682</v>
      </c>
      <c r="B839" s="843">
        <v>1043800</v>
      </c>
      <c r="C839" s="844">
        <v>948700</v>
      </c>
      <c r="D839" s="845">
        <v>1422200</v>
      </c>
      <c r="E839" s="845">
        <v>1202200</v>
      </c>
      <c r="F839" s="845">
        <v>3396800</v>
      </c>
      <c r="G839" s="845">
        <v>4288200</v>
      </c>
      <c r="H839" s="845">
        <v>3801200</v>
      </c>
      <c r="I839" s="744">
        <f t="shared" si="186"/>
        <v>16103100</v>
      </c>
      <c r="J839" s="747">
        <f t="shared" si="187"/>
        <v>-6526200</v>
      </c>
    </row>
    <row r="840" spans="1:10" x14ac:dyDescent="0.25">
      <c r="A840" s="842" t="s">
        <v>709</v>
      </c>
      <c r="B840" s="843">
        <v>1177800</v>
      </c>
      <c r="C840" s="844">
        <v>1846400</v>
      </c>
      <c r="D840" s="845">
        <v>1807300</v>
      </c>
      <c r="E840" s="845">
        <v>2230700</v>
      </c>
      <c r="F840" s="845">
        <v>4583800</v>
      </c>
      <c r="G840" s="845">
        <v>5799400</v>
      </c>
      <c r="H840" s="845">
        <v>4724400</v>
      </c>
      <c r="I840" s="744">
        <f t="shared" si="186"/>
        <v>22169800</v>
      </c>
      <c r="J840" s="747">
        <f t="shared" si="187"/>
        <v>-4035900</v>
      </c>
    </row>
    <row r="841" spans="1:10" x14ac:dyDescent="0.25">
      <c r="A841" s="842" t="s">
        <v>984</v>
      </c>
      <c r="B841" s="843">
        <v>2304600</v>
      </c>
      <c r="C841" s="844">
        <v>2248200</v>
      </c>
      <c r="D841" s="845">
        <v>2771000</v>
      </c>
      <c r="E841" s="845">
        <v>2902100</v>
      </c>
      <c r="F841" s="845">
        <v>7030600</v>
      </c>
      <c r="G841" s="845">
        <v>8757800</v>
      </c>
      <c r="H841" s="845">
        <v>6491100</v>
      </c>
      <c r="I841" s="744">
        <f t="shared" si="186"/>
        <v>32505400</v>
      </c>
      <c r="J841" s="747">
        <f t="shared" si="187"/>
        <v>-11043100</v>
      </c>
    </row>
    <row r="842" spans="1:10" ht="15.75" thickBot="1" x14ac:dyDescent="0.3">
      <c r="A842" s="846" t="s">
        <v>10</v>
      </c>
      <c r="B842" s="594">
        <f>+SUM(B828:B841)</f>
        <v>25560400</v>
      </c>
      <c r="C842" s="594">
        <f t="shared" ref="C842:H842" si="188">+SUM(C828:C841)</f>
        <v>26879500</v>
      </c>
      <c r="D842" s="594">
        <f t="shared" si="188"/>
        <v>31385200</v>
      </c>
      <c r="E842" s="594">
        <f t="shared" si="188"/>
        <v>35738200</v>
      </c>
      <c r="F842" s="594">
        <f t="shared" si="188"/>
        <v>77928800</v>
      </c>
      <c r="G842" s="594">
        <f t="shared" si="188"/>
        <v>83252200</v>
      </c>
      <c r="H842" s="594">
        <f t="shared" si="188"/>
        <v>65432400</v>
      </c>
      <c r="I842" s="745">
        <f>+SUM(I828:I841)</f>
        <v>346176700</v>
      </c>
      <c r="J842" s="748">
        <f t="shared" si="187"/>
        <v>-77054600</v>
      </c>
    </row>
    <row r="843" spans="1:10" ht="15.75" thickBot="1" x14ac:dyDescent="0.3"/>
    <row r="844" spans="1:10" ht="30.75" thickBot="1" x14ac:dyDescent="0.3">
      <c r="A844" s="586" t="s">
        <v>419</v>
      </c>
      <c r="B844" s="829" t="s">
        <v>225</v>
      </c>
      <c r="C844" s="830" t="s">
        <v>226</v>
      </c>
      <c r="D844" s="831" t="s">
        <v>227</v>
      </c>
      <c r="E844" s="831" t="s">
        <v>228</v>
      </c>
      <c r="F844" s="831" t="s">
        <v>229</v>
      </c>
      <c r="G844" s="831" t="s">
        <v>230</v>
      </c>
      <c r="H844" s="831" t="s">
        <v>231</v>
      </c>
      <c r="I844" s="601" t="s">
        <v>96</v>
      </c>
      <c r="J844" s="746" t="s">
        <v>438</v>
      </c>
    </row>
    <row r="845" spans="1:10" ht="15.75" thickTop="1" x14ac:dyDescent="0.25">
      <c r="A845" s="832" t="s">
        <v>427</v>
      </c>
      <c r="B845" s="833">
        <v>2125800</v>
      </c>
      <c r="C845" s="834">
        <v>2871300</v>
      </c>
      <c r="D845" s="835">
        <v>3304100</v>
      </c>
      <c r="E845" s="835">
        <v>2914900</v>
      </c>
      <c r="F845" s="835">
        <v>7939400</v>
      </c>
      <c r="G845" s="835">
        <v>9667400</v>
      </c>
      <c r="H845" s="835">
        <v>8583900</v>
      </c>
      <c r="I845" s="744">
        <f t="shared" ref="I845:I858" si="189">+SUM(B845:H845)</f>
        <v>37406800</v>
      </c>
      <c r="J845" s="747">
        <f>+I845-I828</f>
        <v>-1598300</v>
      </c>
    </row>
    <row r="846" spans="1:10" x14ac:dyDescent="0.25">
      <c r="A846" s="836" t="s">
        <v>428</v>
      </c>
      <c r="B846" s="837">
        <v>1817100</v>
      </c>
      <c r="C846" s="838">
        <v>2582700</v>
      </c>
      <c r="D846" s="839">
        <v>2771500</v>
      </c>
      <c r="E846" s="839">
        <v>3634300</v>
      </c>
      <c r="F846" s="840">
        <v>7310400</v>
      </c>
      <c r="G846" s="840">
        <v>9799300</v>
      </c>
      <c r="H846" s="839">
        <v>9217000</v>
      </c>
      <c r="I846" s="744">
        <f t="shared" si="189"/>
        <v>37132300</v>
      </c>
      <c r="J846" s="747">
        <f t="shared" ref="J846:J859" si="190">+I846-I829</f>
        <v>909800</v>
      </c>
    </row>
    <row r="847" spans="1:10" x14ac:dyDescent="0.25">
      <c r="A847" s="832" t="s">
        <v>429</v>
      </c>
      <c r="B847" s="592">
        <v>1683100</v>
      </c>
      <c r="C847" s="583">
        <v>2528100</v>
      </c>
      <c r="D847" s="841">
        <v>2702000</v>
      </c>
      <c r="E847" s="834">
        <v>2779800</v>
      </c>
      <c r="F847" s="835">
        <v>5216500</v>
      </c>
      <c r="G847" s="835">
        <v>6649800</v>
      </c>
      <c r="H847" s="835">
        <v>5871400</v>
      </c>
      <c r="I847" s="744">
        <f t="shared" si="189"/>
        <v>27430700</v>
      </c>
      <c r="J847" s="747">
        <f t="shared" si="190"/>
        <v>4105500</v>
      </c>
    </row>
    <row r="848" spans="1:10" x14ac:dyDescent="0.25">
      <c r="A848" s="836" t="s">
        <v>430</v>
      </c>
      <c r="B848" s="837">
        <v>1519400</v>
      </c>
      <c r="C848" s="838">
        <v>2615100</v>
      </c>
      <c r="D848" s="839">
        <v>3254800</v>
      </c>
      <c r="E848" s="839">
        <v>2585200</v>
      </c>
      <c r="F848" s="839">
        <v>5640400</v>
      </c>
      <c r="G848" s="839">
        <v>4868100</v>
      </c>
      <c r="H848" s="839">
        <v>4659800</v>
      </c>
      <c r="I848" s="744">
        <f t="shared" si="189"/>
        <v>25142800</v>
      </c>
      <c r="J848" s="747">
        <f t="shared" si="190"/>
        <v>2561000</v>
      </c>
    </row>
    <row r="849" spans="1:10" x14ac:dyDescent="0.25">
      <c r="A849" s="842" t="s">
        <v>544</v>
      </c>
      <c r="B849" s="843">
        <v>1935100</v>
      </c>
      <c r="C849" s="844">
        <v>4149300</v>
      </c>
      <c r="D849" s="845">
        <v>3119400</v>
      </c>
      <c r="E849" s="845">
        <v>2821100</v>
      </c>
      <c r="F849" s="845">
        <v>5471800</v>
      </c>
      <c r="G849" s="845">
        <v>3742900</v>
      </c>
      <c r="H849" s="845">
        <v>3442300</v>
      </c>
      <c r="I849" s="744">
        <f t="shared" si="189"/>
        <v>24681900</v>
      </c>
      <c r="J849" s="747">
        <f t="shared" si="190"/>
        <v>-420000</v>
      </c>
    </row>
    <row r="850" spans="1:10" x14ac:dyDescent="0.25">
      <c r="A850" s="836" t="s">
        <v>545</v>
      </c>
      <c r="B850" s="843">
        <v>1211300</v>
      </c>
      <c r="C850" s="844">
        <v>2538400</v>
      </c>
      <c r="D850" s="845">
        <v>1802700</v>
      </c>
      <c r="E850" s="845">
        <v>2663200</v>
      </c>
      <c r="F850" s="845">
        <v>5107400</v>
      </c>
      <c r="G850" s="845">
        <v>6115700</v>
      </c>
      <c r="H850" s="845">
        <v>5672600</v>
      </c>
      <c r="I850" s="744">
        <f t="shared" si="189"/>
        <v>25111300</v>
      </c>
      <c r="J850" s="747">
        <f t="shared" si="190"/>
        <v>2881400</v>
      </c>
    </row>
    <row r="851" spans="1:10" x14ac:dyDescent="0.25">
      <c r="A851" s="836" t="s">
        <v>547</v>
      </c>
      <c r="B851" s="843">
        <v>1639600</v>
      </c>
      <c r="C851" s="844">
        <v>2405000</v>
      </c>
      <c r="D851" s="845">
        <v>2025200</v>
      </c>
      <c r="E851" s="845">
        <v>2541600</v>
      </c>
      <c r="F851" s="845">
        <v>5066200</v>
      </c>
      <c r="G851" s="845">
        <v>4695300</v>
      </c>
      <c r="H851" s="845">
        <v>3950400</v>
      </c>
      <c r="I851" s="744">
        <f t="shared" si="189"/>
        <v>22323300</v>
      </c>
      <c r="J851" s="747">
        <f t="shared" si="190"/>
        <v>769400</v>
      </c>
    </row>
    <row r="852" spans="1:10" x14ac:dyDescent="0.25">
      <c r="A852" s="836" t="s">
        <v>546</v>
      </c>
      <c r="B852" s="843">
        <v>707000</v>
      </c>
      <c r="C852" s="844">
        <v>1160600</v>
      </c>
      <c r="D852" s="845">
        <v>899400</v>
      </c>
      <c r="E852" s="845">
        <v>772800</v>
      </c>
      <c r="F852" s="845">
        <v>1986200</v>
      </c>
      <c r="G852" s="845">
        <v>3212300</v>
      </c>
      <c r="H852" s="845">
        <v>3564500</v>
      </c>
      <c r="I852" s="744">
        <f t="shared" si="189"/>
        <v>12302800</v>
      </c>
      <c r="J852" s="747">
        <f t="shared" si="190"/>
        <v>-951100</v>
      </c>
    </row>
    <row r="853" spans="1:10" x14ac:dyDescent="0.25">
      <c r="A853" s="842" t="s">
        <v>622</v>
      </c>
      <c r="B853" s="843">
        <v>1438200</v>
      </c>
      <c r="C853" s="843">
        <v>2803600</v>
      </c>
      <c r="D853" s="845">
        <v>2100700</v>
      </c>
      <c r="E853" s="845">
        <v>3804200</v>
      </c>
      <c r="F853" s="845">
        <v>6123700</v>
      </c>
      <c r="G853" s="845">
        <v>9297900</v>
      </c>
      <c r="H853" s="845">
        <v>7541900</v>
      </c>
      <c r="I853" s="744">
        <f t="shared" si="189"/>
        <v>33110200</v>
      </c>
      <c r="J853" s="747">
        <f t="shared" si="190"/>
        <v>-655800</v>
      </c>
    </row>
    <row r="854" spans="1:10" x14ac:dyDescent="0.25">
      <c r="A854" s="842" t="s">
        <v>671</v>
      </c>
      <c r="B854" s="843">
        <v>2553000</v>
      </c>
      <c r="C854" s="844">
        <v>2695900</v>
      </c>
      <c r="D854" s="845">
        <v>1702700</v>
      </c>
      <c r="E854" s="845">
        <v>3058800</v>
      </c>
      <c r="F854" s="845">
        <v>5699000</v>
      </c>
      <c r="G854" s="845">
        <v>6915800</v>
      </c>
      <c r="H854" s="845">
        <v>4539800</v>
      </c>
      <c r="I854" s="744">
        <f t="shared" si="189"/>
        <v>27165000</v>
      </c>
      <c r="J854" s="747">
        <f t="shared" si="190"/>
        <v>-938400</v>
      </c>
    </row>
    <row r="855" spans="1:10" x14ac:dyDescent="0.25">
      <c r="A855" s="842" t="s">
        <v>672</v>
      </c>
      <c r="B855" s="843">
        <v>1474200</v>
      </c>
      <c r="C855" s="844">
        <v>1082800</v>
      </c>
      <c r="D855" s="845">
        <v>1105200</v>
      </c>
      <c r="E855" s="845">
        <v>1391700</v>
      </c>
      <c r="F855" s="845">
        <v>1497900</v>
      </c>
      <c r="G855" s="845">
        <v>0</v>
      </c>
      <c r="H855" s="845">
        <v>0</v>
      </c>
      <c r="I855" s="744">
        <f t="shared" si="189"/>
        <v>6551800</v>
      </c>
      <c r="J855" s="747">
        <f t="shared" si="190"/>
        <v>-3703000</v>
      </c>
    </row>
    <row r="856" spans="1:10" x14ac:dyDescent="0.25">
      <c r="A856" s="842" t="s">
        <v>682</v>
      </c>
      <c r="B856" s="843">
        <v>1206700</v>
      </c>
      <c r="C856" s="844">
        <v>1266100</v>
      </c>
      <c r="D856" s="845">
        <v>1719600</v>
      </c>
      <c r="E856" s="845">
        <v>1203900</v>
      </c>
      <c r="F856" s="845">
        <v>4529200</v>
      </c>
      <c r="G856" s="845">
        <v>4621700</v>
      </c>
      <c r="H856" s="845">
        <v>4389500</v>
      </c>
      <c r="I856" s="744">
        <f t="shared" si="189"/>
        <v>18936700</v>
      </c>
      <c r="J856" s="747">
        <f t="shared" si="190"/>
        <v>2833600</v>
      </c>
    </row>
    <row r="857" spans="1:10" x14ac:dyDescent="0.25">
      <c r="A857" s="842" t="s">
        <v>709</v>
      </c>
      <c r="B857" s="843">
        <v>1061200</v>
      </c>
      <c r="C857" s="844">
        <v>1899600</v>
      </c>
      <c r="D857" s="845">
        <v>1519000</v>
      </c>
      <c r="E857" s="845">
        <v>2173400</v>
      </c>
      <c r="F857" s="845">
        <v>4573500</v>
      </c>
      <c r="G857" s="845">
        <v>6040400</v>
      </c>
      <c r="H857" s="845">
        <v>3988900</v>
      </c>
      <c r="I857" s="744">
        <f t="shared" si="189"/>
        <v>21256000</v>
      </c>
      <c r="J857" s="747">
        <f t="shared" si="190"/>
        <v>-913800</v>
      </c>
    </row>
    <row r="858" spans="1:10" x14ac:dyDescent="0.25">
      <c r="A858" s="842" t="s">
        <v>984</v>
      </c>
      <c r="B858" s="843">
        <v>1874300</v>
      </c>
      <c r="C858" s="844">
        <v>2864700</v>
      </c>
      <c r="D858" s="845">
        <v>2058300</v>
      </c>
      <c r="E858" s="845">
        <v>3777300</v>
      </c>
      <c r="F858" s="845">
        <v>5833100</v>
      </c>
      <c r="G858" s="845">
        <v>7837000</v>
      </c>
      <c r="H858" s="845">
        <v>6284300</v>
      </c>
      <c r="I858" s="744">
        <f t="shared" si="189"/>
        <v>30529000</v>
      </c>
      <c r="J858" s="747">
        <f t="shared" si="190"/>
        <v>-1976400</v>
      </c>
    </row>
    <row r="859" spans="1:10" ht="15.75" thickBot="1" x14ac:dyDescent="0.3">
      <c r="A859" s="846" t="s">
        <v>10</v>
      </c>
      <c r="B859" s="594">
        <v>22246000</v>
      </c>
      <c r="C859" s="594">
        <v>33463200</v>
      </c>
      <c r="D859" s="594">
        <v>30084600</v>
      </c>
      <c r="E859" s="594">
        <v>36122200</v>
      </c>
      <c r="F859" s="594">
        <v>71994700</v>
      </c>
      <c r="G859" s="594">
        <v>83463600</v>
      </c>
      <c r="H859" s="594">
        <v>71706300</v>
      </c>
      <c r="I859" s="745">
        <f>+SUM(I845:I858)</f>
        <v>349080600</v>
      </c>
      <c r="J859" s="748">
        <f t="shared" si="190"/>
        <v>2903900</v>
      </c>
    </row>
    <row r="860" spans="1:10" ht="15.75" thickBot="1" x14ac:dyDescent="0.3"/>
    <row r="861" spans="1:10" ht="30.75" thickBot="1" x14ac:dyDescent="0.3">
      <c r="A861" s="586" t="s">
        <v>419</v>
      </c>
      <c r="B861" s="829" t="s">
        <v>233</v>
      </c>
      <c r="C861" s="830" t="s">
        <v>234</v>
      </c>
      <c r="D861" s="831" t="s">
        <v>235</v>
      </c>
      <c r="E861" s="831" t="s">
        <v>236</v>
      </c>
      <c r="F861" s="831" t="s">
        <v>237</v>
      </c>
      <c r="G861" s="831" t="s">
        <v>238</v>
      </c>
      <c r="H861" s="831" t="s">
        <v>239</v>
      </c>
      <c r="I861" s="601" t="s">
        <v>96</v>
      </c>
      <c r="J861" s="746" t="s">
        <v>438</v>
      </c>
    </row>
    <row r="862" spans="1:10" ht="15.75" thickTop="1" x14ac:dyDescent="0.25">
      <c r="A862" s="832" t="s">
        <v>427</v>
      </c>
      <c r="B862" s="833">
        <v>6888400</v>
      </c>
      <c r="C862" s="834">
        <v>1871800</v>
      </c>
      <c r="D862" s="835">
        <v>3035200</v>
      </c>
      <c r="E862" s="835">
        <v>3407500</v>
      </c>
      <c r="F862" s="835">
        <v>7485900</v>
      </c>
      <c r="G862" s="835">
        <v>8410500</v>
      </c>
      <c r="H862" s="835">
        <v>8870400</v>
      </c>
      <c r="I862" s="744">
        <f t="shared" ref="I862:I875" si="191">+SUM(B862:H862)</f>
        <v>39969700</v>
      </c>
      <c r="J862" s="747">
        <f>+I862-I845</f>
        <v>2562900</v>
      </c>
    </row>
    <row r="863" spans="1:10" x14ac:dyDescent="0.25">
      <c r="A863" s="836" t="s">
        <v>428</v>
      </c>
      <c r="B863" s="837">
        <v>7841500</v>
      </c>
      <c r="C863" s="838">
        <v>1907700</v>
      </c>
      <c r="D863" s="839">
        <v>3193800</v>
      </c>
      <c r="E863" s="839">
        <v>2864000</v>
      </c>
      <c r="F863" s="840">
        <v>7573500</v>
      </c>
      <c r="G863" s="840">
        <v>9900000</v>
      </c>
      <c r="H863" s="839">
        <v>9400500</v>
      </c>
      <c r="I863" s="744">
        <f t="shared" si="191"/>
        <v>42681000</v>
      </c>
      <c r="J863" s="747">
        <f t="shared" ref="J863:J876" si="192">+I863-I846</f>
        <v>5548700</v>
      </c>
    </row>
    <row r="864" spans="1:10" x14ac:dyDescent="0.25">
      <c r="A864" s="832" t="s">
        <v>429</v>
      </c>
      <c r="B864" s="592">
        <v>4832500</v>
      </c>
      <c r="C864" s="583">
        <v>1307100</v>
      </c>
      <c r="D864" s="841">
        <v>1543300</v>
      </c>
      <c r="E864" s="834">
        <v>2337900</v>
      </c>
      <c r="F864" s="835">
        <v>4801400</v>
      </c>
      <c r="G864" s="835">
        <v>7039600</v>
      </c>
      <c r="H864" s="835">
        <v>4582900</v>
      </c>
      <c r="I864" s="744">
        <f t="shared" si="191"/>
        <v>26444700</v>
      </c>
      <c r="J864" s="747">
        <f t="shared" si="192"/>
        <v>-986000</v>
      </c>
    </row>
    <row r="865" spans="1:21" x14ac:dyDescent="0.25">
      <c r="A865" s="836" t="s">
        <v>430</v>
      </c>
      <c r="B865" s="837">
        <v>5421100</v>
      </c>
      <c r="C865" s="838">
        <v>2001100</v>
      </c>
      <c r="D865" s="839">
        <v>2235100</v>
      </c>
      <c r="E865" s="839">
        <v>2918400</v>
      </c>
      <c r="F865" s="839">
        <v>5211700</v>
      </c>
      <c r="G865" s="839">
        <v>5433400</v>
      </c>
      <c r="H865" s="839">
        <v>5559200</v>
      </c>
      <c r="I865" s="744">
        <f t="shared" si="191"/>
        <v>28780000</v>
      </c>
      <c r="J865" s="747">
        <f t="shared" si="192"/>
        <v>3637200</v>
      </c>
    </row>
    <row r="866" spans="1:21" x14ac:dyDescent="0.25">
      <c r="A866" s="842" t="s">
        <v>544</v>
      </c>
      <c r="B866" s="843">
        <v>3620400</v>
      </c>
      <c r="C866" s="844">
        <v>2684500</v>
      </c>
      <c r="D866" s="845">
        <v>1816200</v>
      </c>
      <c r="E866" s="845">
        <v>2608400</v>
      </c>
      <c r="F866" s="845">
        <v>6134400</v>
      </c>
      <c r="G866" s="845">
        <v>4466300</v>
      </c>
      <c r="H866" s="845">
        <v>2758600</v>
      </c>
      <c r="I866" s="744">
        <f t="shared" si="191"/>
        <v>24088800</v>
      </c>
      <c r="J866" s="747">
        <f t="shared" si="192"/>
        <v>-593100</v>
      </c>
    </row>
    <row r="867" spans="1:21" x14ac:dyDescent="0.25">
      <c r="A867" s="836" t="s">
        <v>545</v>
      </c>
      <c r="B867" s="843">
        <v>4408600</v>
      </c>
      <c r="C867" s="844">
        <v>1878900</v>
      </c>
      <c r="D867" s="845">
        <v>1983500</v>
      </c>
      <c r="E867" s="845">
        <v>1858900</v>
      </c>
      <c r="F867" s="845">
        <v>5558300</v>
      </c>
      <c r="G867" s="845">
        <v>6598500</v>
      </c>
      <c r="H867" s="845">
        <v>5929400</v>
      </c>
      <c r="I867" s="744">
        <f t="shared" si="191"/>
        <v>28216100</v>
      </c>
      <c r="J867" s="747">
        <f t="shared" si="192"/>
        <v>3104800</v>
      </c>
    </row>
    <row r="868" spans="1:21" x14ac:dyDescent="0.25">
      <c r="A868" s="836" t="s">
        <v>547</v>
      </c>
      <c r="B868" s="843">
        <v>3329400</v>
      </c>
      <c r="C868" s="844">
        <v>2096100</v>
      </c>
      <c r="D868" s="845">
        <v>2074900</v>
      </c>
      <c r="E868" s="845">
        <v>1959200</v>
      </c>
      <c r="F868" s="845">
        <v>5869900</v>
      </c>
      <c r="G868" s="845">
        <v>3379700</v>
      </c>
      <c r="H868" s="845">
        <v>4050100</v>
      </c>
      <c r="I868" s="744">
        <f t="shared" si="191"/>
        <v>22759300</v>
      </c>
      <c r="J868" s="747">
        <f t="shared" si="192"/>
        <v>436000</v>
      </c>
    </row>
    <row r="869" spans="1:21" x14ac:dyDescent="0.25">
      <c r="A869" s="836" t="s">
        <v>546</v>
      </c>
      <c r="B869" s="843">
        <v>2723300</v>
      </c>
      <c r="C869" s="844">
        <v>424200</v>
      </c>
      <c r="D869" s="845">
        <v>977800</v>
      </c>
      <c r="E869" s="845">
        <v>483300</v>
      </c>
      <c r="F869" s="845">
        <v>1957500</v>
      </c>
      <c r="G869" s="845">
        <v>2590200</v>
      </c>
      <c r="H869" s="845">
        <v>2727400</v>
      </c>
      <c r="I869" s="744">
        <f t="shared" si="191"/>
        <v>11883700</v>
      </c>
      <c r="J869" s="747">
        <f t="shared" si="192"/>
        <v>-419100</v>
      </c>
    </row>
    <row r="870" spans="1:21" x14ac:dyDescent="0.25">
      <c r="A870" s="842" t="s">
        <v>622</v>
      </c>
      <c r="B870" s="843">
        <v>8072100</v>
      </c>
      <c r="C870" s="843">
        <v>1712700</v>
      </c>
      <c r="D870" s="845">
        <v>1608200</v>
      </c>
      <c r="E870" s="845">
        <v>2216000</v>
      </c>
      <c r="F870" s="845">
        <v>7352400</v>
      </c>
      <c r="G870" s="845">
        <v>9804300</v>
      </c>
      <c r="H870" s="845">
        <v>8343300</v>
      </c>
      <c r="I870" s="744">
        <f t="shared" si="191"/>
        <v>39109000</v>
      </c>
      <c r="J870" s="747">
        <f t="shared" si="192"/>
        <v>5998800</v>
      </c>
    </row>
    <row r="871" spans="1:21" x14ac:dyDescent="0.25">
      <c r="A871" s="842" t="s">
        <v>671</v>
      </c>
      <c r="B871" s="843">
        <v>5242700</v>
      </c>
      <c r="C871" s="844">
        <v>1872500</v>
      </c>
      <c r="D871" s="845">
        <v>2788600</v>
      </c>
      <c r="E871" s="845">
        <v>2452800</v>
      </c>
      <c r="F871" s="845">
        <v>6013100</v>
      </c>
      <c r="G871" s="845">
        <v>5869200</v>
      </c>
      <c r="H871" s="845">
        <v>4606200</v>
      </c>
      <c r="I871" s="744">
        <f t="shared" si="191"/>
        <v>28845100</v>
      </c>
      <c r="J871" s="747">
        <f t="shared" si="192"/>
        <v>1680100</v>
      </c>
    </row>
    <row r="872" spans="1:21" x14ac:dyDescent="0.25">
      <c r="A872" s="842" t="s">
        <v>672</v>
      </c>
      <c r="B872" s="843">
        <v>0</v>
      </c>
      <c r="C872" s="844">
        <v>1096900</v>
      </c>
      <c r="D872" s="845">
        <v>1120400</v>
      </c>
      <c r="E872" s="845">
        <v>924300</v>
      </c>
      <c r="F872" s="845">
        <v>1227800</v>
      </c>
      <c r="G872" s="845">
        <v>0</v>
      </c>
      <c r="H872" s="845">
        <v>0</v>
      </c>
      <c r="I872" s="744">
        <f t="shared" si="191"/>
        <v>4369400</v>
      </c>
      <c r="J872" s="747">
        <f t="shared" si="192"/>
        <v>-2182400</v>
      </c>
    </row>
    <row r="873" spans="1:21" x14ac:dyDescent="0.25">
      <c r="A873" s="842" t="s">
        <v>682</v>
      </c>
      <c r="B873" s="843">
        <v>3483300</v>
      </c>
      <c r="C873" s="844">
        <v>959500</v>
      </c>
      <c r="D873" s="845">
        <v>1099600</v>
      </c>
      <c r="E873" s="845">
        <v>1137200</v>
      </c>
      <c r="F873" s="845">
        <v>3627300</v>
      </c>
      <c r="G873" s="845">
        <v>5721600</v>
      </c>
      <c r="H873" s="845">
        <v>2862000</v>
      </c>
      <c r="I873" s="744">
        <f t="shared" si="191"/>
        <v>18890500</v>
      </c>
      <c r="J873" s="747">
        <f t="shared" si="192"/>
        <v>-46200</v>
      </c>
    </row>
    <row r="874" spans="1:21" x14ac:dyDescent="0.25">
      <c r="A874" s="842" t="s">
        <v>709</v>
      </c>
      <c r="B874" s="843">
        <v>3685500</v>
      </c>
      <c r="C874" s="844">
        <v>1323100</v>
      </c>
      <c r="D874" s="845">
        <v>2393300</v>
      </c>
      <c r="E874" s="845">
        <v>2349900</v>
      </c>
      <c r="F874" s="845">
        <v>4191800</v>
      </c>
      <c r="G874" s="845">
        <v>6134600</v>
      </c>
      <c r="H874" s="845">
        <v>4274600</v>
      </c>
      <c r="I874" s="744">
        <f t="shared" si="191"/>
        <v>24352800</v>
      </c>
      <c r="J874" s="747">
        <f t="shared" si="192"/>
        <v>3096800</v>
      </c>
    </row>
    <row r="875" spans="1:21" x14ac:dyDescent="0.25">
      <c r="A875" s="842" t="s">
        <v>984</v>
      </c>
      <c r="B875" s="843">
        <v>5602100</v>
      </c>
      <c r="C875" s="844">
        <v>2050000</v>
      </c>
      <c r="D875" s="845">
        <v>2309000</v>
      </c>
      <c r="E875" s="845">
        <v>3468700</v>
      </c>
      <c r="F875" s="845">
        <v>6239700</v>
      </c>
      <c r="G875" s="845">
        <v>8189600</v>
      </c>
      <c r="H875" s="845">
        <v>5920300</v>
      </c>
      <c r="I875" s="744">
        <f t="shared" si="191"/>
        <v>33779400</v>
      </c>
      <c r="J875" s="747">
        <f t="shared" si="192"/>
        <v>3250400</v>
      </c>
    </row>
    <row r="876" spans="1:21" ht="15.75" thickBot="1" x14ac:dyDescent="0.3">
      <c r="A876" s="846" t="s">
        <v>10</v>
      </c>
      <c r="B876" s="594">
        <v>65150900</v>
      </c>
      <c r="C876" s="594">
        <v>23186100</v>
      </c>
      <c r="D876" s="594">
        <v>28178900</v>
      </c>
      <c r="E876" s="594">
        <v>30986500</v>
      </c>
      <c r="F876" s="594">
        <v>73244700</v>
      </c>
      <c r="G876" s="594">
        <v>83537500</v>
      </c>
      <c r="H876" s="594">
        <v>69884900</v>
      </c>
      <c r="I876" s="745">
        <f>+SUM(I862:I875)</f>
        <v>374169500</v>
      </c>
      <c r="J876" s="748">
        <f t="shared" si="192"/>
        <v>25088900</v>
      </c>
    </row>
    <row r="877" spans="1:21" ht="15.75" thickBot="1" x14ac:dyDescent="0.3"/>
    <row r="878" spans="1:21" ht="15.75" thickBot="1" x14ac:dyDescent="0.3">
      <c r="A878" s="551" t="s">
        <v>419</v>
      </c>
      <c r="B878" s="595" t="s">
        <v>548</v>
      </c>
      <c r="C878" s="232" t="s">
        <v>549</v>
      </c>
      <c r="D878" s="232" t="s">
        <v>550</v>
      </c>
      <c r="E878" s="232" t="s">
        <v>551</v>
      </c>
      <c r="F878" s="232" t="s">
        <v>552</v>
      </c>
      <c r="G878" s="232" t="s">
        <v>553</v>
      </c>
      <c r="H878" s="232" t="s">
        <v>554</v>
      </c>
      <c r="I878" s="232" t="s">
        <v>555</v>
      </c>
      <c r="J878" s="232" t="s">
        <v>556</v>
      </c>
    </row>
    <row r="879" spans="1:21" ht="15.75" thickTop="1" x14ac:dyDescent="0.25">
      <c r="A879" s="553" t="s">
        <v>427</v>
      </c>
      <c r="B879" s="539">
        <v>438019201</v>
      </c>
      <c r="C879" s="539">
        <f>+I6</f>
        <v>51099100</v>
      </c>
      <c r="D879" s="539">
        <f>+I13</f>
        <v>61221600</v>
      </c>
      <c r="E879" s="539">
        <f>+I20</f>
        <v>57173400</v>
      </c>
      <c r="F879" s="539">
        <f>+I27</f>
        <v>66607100</v>
      </c>
      <c r="G879" s="539">
        <f>+I34</f>
        <v>56722100</v>
      </c>
      <c r="H879" s="539">
        <f>I41</f>
        <v>66065600</v>
      </c>
      <c r="I879" s="539">
        <f>I48</f>
        <v>59375500</v>
      </c>
      <c r="J879" s="539">
        <f>I55</f>
        <v>63388200</v>
      </c>
      <c r="K879" s="89">
        <f>+SUM(B879:J879)</f>
        <v>919671801</v>
      </c>
      <c r="U879" s="89"/>
    </row>
    <row r="880" spans="1:21" x14ac:dyDescent="0.25">
      <c r="A880" s="555" t="s">
        <v>428</v>
      </c>
      <c r="B880" s="539">
        <v>128980900</v>
      </c>
      <c r="C880" s="539">
        <f>+I7</f>
        <v>29869100</v>
      </c>
      <c r="D880" s="539">
        <f>+I14</f>
        <v>34351100</v>
      </c>
      <c r="E880" s="539">
        <f>+I21</f>
        <v>35927500</v>
      </c>
      <c r="F880" s="539">
        <f>+I28</f>
        <v>39549200</v>
      </c>
      <c r="G880" s="539">
        <f>+I35</f>
        <v>35107500</v>
      </c>
      <c r="H880" s="539">
        <f>I42</f>
        <v>40064100</v>
      </c>
      <c r="I880" s="539">
        <f>I49</f>
        <v>38935400</v>
      </c>
      <c r="J880" s="539">
        <f>I56</f>
        <v>38616700</v>
      </c>
      <c r="K880" s="89">
        <f>+SUM(B880:J880)</f>
        <v>421401500</v>
      </c>
    </row>
    <row r="881" spans="1:11" x14ac:dyDescent="0.25">
      <c r="A881" s="553" t="s">
        <v>429</v>
      </c>
      <c r="B881" s="538">
        <v>0</v>
      </c>
      <c r="C881" s="539">
        <f>+I8</f>
        <v>13546900</v>
      </c>
      <c r="D881" s="539">
        <f>+I15</f>
        <v>21876400</v>
      </c>
      <c r="E881" s="539">
        <f>+I22</f>
        <v>26421900</v>
      </c>
      <c r="F881" s="539">
        <f>+I29</f>
        <v>31924500</v>
      </c>
      <c r="G881" s="539">
        <f>+I36</f>
        <v>30134400</v>
      </c>
      <c r="H881" s="539">
        <f>I43</f>
        <v>32639700</v>
      </c>
      <c r="I881" s="539">
        <f>I50</f>
        <v>29867600</v>
      </c>
      <c r="J881" s="539">
        <f>I57</f>
        <v>33990300</v>
      </c>
      <c r="K881" s="89">
        <f>+SUM(B881:J881)</f>
        <v>220401700</v>
      </c>
    </row>
    <row r="882" spans="1:11" ht="15.75" thickBot="1" x14ac:dyDescent="0.3">
      <c r="A882" s="577" t="s">
        <v>430</v>
      </c>
      <c r="B882" s="596">
        <v>0</v>
      </c>
      <c r="C882" s="597">
        <f>+I9</f>
        <v>15167200</v>
      </c>
      <c r="D882" s="597">
        <f>+I16</f>
        <v>45695700</v>
      </c>
      <c r="E882" s="597">
        <f>+I23</f>
        <v>42437300</v>
      </c>
      <c r="F882" s="597">
        <f>+I30</f>
        <v>54995100</v>
      </c>
      <c r="G882" s="597">
        <f>+I37</f>
        <v>46709800</v>
      </c>
      <c r="H882" s="597">
        <f>I44</f>
        <v>55540900</v>
      </c>
      <c r="I882" s="597">
        <f>I51</f>
        <v>49447400</v>
      </c>
      <c r="J882" s="597">
        <f>I58</f>
        <v>49794700</v>
      </c>
      <c r="K882" s="89">
        <f>+SUM(B882:J882)</f>
        <v>359788100</v>
      </c>
    </row>
    <row r="883" spans="1:11" ht="15.75" thickBot="1" x14ac:dyDescent="0.3">
      <c r="A883" s="598" t="s">
        <v>10</v>
      </c>
      <c r="B883" s="599">
        <f t="shared" ref="B883:H883" si="193">SUM(B879:B882)</f>
        <v>567000101</v>
      </c>
      <c r="C883" s="599">
        <f t="shared" si="193"/>
        <v>109682300</v>
      </c>
      <c r="D883" s="599">
        <f t="shared" si="193"/>
        <v>163144800</v>
      </c>
      <c r="E883" s="599">
        <f t="shared" si="193"/>
        <v>161960100</v>
      </c>
      <c r="F883" s="599">
        <f t="shared" si="193"/>
        <v>193075900</v>
      </c>
      <c r="G883" s="599">
        <f t="shared" si="193"/>
        <v>168673800</v>
      </c>
      <c r="H883" s="599">
        <f t="shared" si="193"/>
        <v>194310300</v>
      </c>
      <c r="I883" s="599">
        <f>I52</f>
        <v>177625900</v>
      </c>
      <c r="J883" s="600">
        <f>I59</f>
        <v>185789900</v>
      </c>
      <c r="K883" s="89">
        <f>+SUM(B883:J883)</f>
        <v>1921263101</v>
      </c>
    </row>
    <row r="884" spans="1:11" ht="15.75" thickBot="1" x14ac:dyDescent="0.3">
      <c r="A884" s="551" t="s">
        <v>419</v>
      </c>
      <c r="B884" s="232" t="s">
        <v>557</v>
      </c>
      <c r="C884" s="232" t="s">
        <v>558</v>
      </c>
      <c r="D884" s="232" t="s">
        <v>559</v>
      </c>
      <c r="E884" s="232" t="s">
        <v>560</v>
      </c>
      <c r="F884" s="232" t="s">
        <v>561</v>
      </c>
      <c r="G884" s="232" t="s">
        <v>562</v>
      </c>
      <c r="H884" s="232" t="s">
        <v>563</v>
      </c>
      <c r="I884" s="601" t="s">
        <v>564</v>
      </c>
      <c r="J884" s="580" t="s">
        <v>565</v>
      </c>
    </row>
    <row r="885" spans="1:11" ht="15.75" thickTop="1" x14ac:dyDescent="0.25">
      <c r="A885" s="553" t="s">
        <v>427</v>
      </c>
      <c r="B885" s="539">
        <f>I62</f>
        <v>68610100</v>
      </c>
      <c r="C885" s="539">
        <f>I69</f>
        <v>57036200</v>
      </c>
      <c r="D885" s="539">
        <f>I76</f>
        <v>54158400</v>
      </c>
      <c r="E885" s="539">
        <f>I83</f>
        <v>46123800</v>
      </c>
      <c r="F885" s="539">
        <f>I90</f>
        <v>48326900</v>
      </c>
      <c r="G885" s="539">
        <f>I97</f>
        <v>61544600</v>
      </c>
      <c r="H885" s="539">
        <f>I104</f>
        <v>55337400</v>
      </c>
      <c r="I885" s="602">
        <f>I111</f>
        <v>56740300</v>
      </c>
      <c r="J885" s="603">
        <f>I118</f>
        <v>60004200</v>
      </c>
      <c r="K885" s="89">
        <f>+SUM(B885:J885)</f>
        <v>507881900</v>
      </c>
    </row>
    <row r="886" spans="1:11" x14ac:dyDescent="0.25">
      <c r="A886" s="555" t="s">
        <v>428</v>
      </c>
      <c r="B886" s="539">
        <f>I63</f>
        <v>43984200</v>
      </c>
      <c r="C886" s="539">
        <f>I70</f>
        <v>38442900</v>
      </c>
      <c r="D886" s="539">
        <f>I77</f>
        <v>38204100</v>
      </c>
      <c r="E886" s="539">
        <f>I84</f>
        <v>34352800</v>
      </c>
      <c r="F886" s="539">
        <f>I91</f>
        <v>36955700</v>
      </c>
      <c r="G886" s="539">
        <f>I98</f>
        <v>45537600</v>
      </c>
      <c r="H886" s="539">
        <f>I105</f>
        <v>43163600</v>
      </c>
      <c r="I886" s="602">
        <f>I112</f>
        <v>44506300</v>
      </c>
      <c r="J886" s="603">
        <f>I119</f>
        <v>45764100</v>
      </c>
      <c r="K886" s="89">
        <f>+SUM(B886:J886)</f>
        <v>370911300</v>
      </c>
    </row>
    <row r="887" spans="1:11" x14ac:dyDescent="0.25">
      <c r="A887" s="553" t="s">
        <v>429</v>
      </c>
      <c r="B887" s="539">
        <f>I64</f>
        <v>35289600</v>
      </c>
      <c r="C887" s="539">
        <f>I71</f>
        <v>33339800</v>
      </c>
      <c r="D887" s="539">
        <f>I78</f>
        <v>30468400</v>
      </c>
      <c r="E887" s="539">
        <f>I85</f>
        <v>30269600</v>
      </c>
      <c r="F887" s="539">
        <f>I92</f>
        <v>34172800</v>
      </c>
      <c r="G887" s="539">
        <f>I99</f>
        <v>40361200</v>
      </c>
      <c r="H887" s="539">
        <f>I106</f>
        <v>34990100</v>
      </c>
      <c r="I887" s="602">
        <f>I113</f>
        <v>35490000</v>
      </c>
      <c r="J887" s="603">
        <f>I120</f>
        <v>33208600</v>
      </c>
      <c r="K887" s="89">
        <f>+SUM(B887:J887)</f>
        <v>307590100</v>
      </c>
    </row>
    <row r="888" spans="1:11" ht="15.75" thickBot="1" x14ac:dyDescent="0.3">
      <c r="A888" s="577" t="s">
        <v>430</v>
      </c>
      <c r="B888" s="597">
        <f>I65</f>
        <v>53725600</v>
      </c>
      <c r="C888" s="597">
        <f>I72</f>
        <v>41856600</v>
      </c>
      <c r="D888" s="597">
        <f>I79</f>
        <v>36832800</v>
      </c>
      <c r="E888" s="597">
        <f>I86</f>
        <v>30224700</v>
      </c>
      <c r="F888" s="597">
        <f>I93</f>
        <v>33993000</v>
      </c>
      <c r="G888" s="597">
        <f>I100</f>
        <v>47363800</v>
      </c>
      <c r="H888" s="597">
        <f>I107</f>
        <v>44342500</v>
      </c>
      <c r="I888" s="602">
        <f>I114</f>
        <v>46848000</v>
      </c>
      <c r="J888" s="604">
        <f>I121</f>
        <v>50704800</v>
      </c>
      <c r="K888" s="89">
        <f>+SUM(B888:J888)</f>
        <v>385891800</v>
      </c>
    </row>
    <row r="889" spans="1:11" ht="15.75" thickBot="1" x14ac:dyDescent="0.3">
      <c r="A889" s="598" t="s">
        <v>10</v>
      </c>
      <c r="B889" s="600">
        <f>SUM(B885:B888)</f>
        <v>201609500</v>
      </c>
      <c r="C889" s="600">
        <f>I73</f>
        <v>170675500</v>
      </c>
      <c r="D889" s="600">
        <f>I80</f>
        <v>159663700</v>
      </c>
      <c r="E889" s="600">
        <f>I87</f>
        <v>140970900</v>
      </c>
      <c r="F889" s="600">
        <f>SUM(F885:F888)</f>
        <v>153448400</v>
      </c>
      <c r="G889" s="600">
        <f>I101</f>
        <v>194807200</v>
      </c>
      <c r="H889" s="599">
        <f>I108</f>
        <v>177833600</v>
      </c>
      <c r="I889" s="605">
        <f>I115</f>
        <v>183584600</v>
      </c>
      <c r="J889" s="606">
        <f>I122</f>
        <v>189681700</v>
      </c>
      <c r="K889" s="89">
        <f>+SUM(B889:J889)</f>
        <v>1572275100</v>
      </c>
    </row>
    <row r="890" spans="1:11" ht="15.75" thickBot="1" x14ac:dyDescent="0.3">
      <c r="A890" s="551" t="s">
        <v>419</v>
      </c>
      <c r="B890" s="601" t="s">
        <v>566</v>
      </c>
      <c r="C890" s="601" t="s">
        <v>567</v>
      </c>
      <c r="D890" s="601" t="s">
        <v>568</v>
      </c>
      <c r="E890" s="601" t="s">
        <v>569</v>
      </c>
      <c r="F890" s="601" t="s">
        <v>570</v>
      </c>
      <c r="G890" s="601" t="s">
        <v>571</v>
      </c>
      <c r="H890" s="601" t="s">
        <v>572</v>
      </c>
      <c r="I890" s="601" t="s">
        <v>573</v>
      </c>
      <c r="J890" s="601" t="s">
        <v>574</v>
      </c>
    </row>
    <row r="891" spans="1:11" ht="15.75" thickTop="1" x14ac:dyDescent="0.25">
      <c r="A891" s="553" t="s">
        <v>427</v>
      </c>
      <c r="B891" s="607">
        <f t="shared" ref="B891:B896" si="194">I125</f>
        <v>58738600</v>
      </c>
      <c r="C891" s="607">
        <f>I133</f>
        <v>56217700</v>
      </c>
      <c r="D891" s="607">
        <f t="shared" ref="D891:D896" si="195">I141</f>
        <v>59827800</v>
      </c>
      <c r="E891" s="607">
        <f t="shared" ref="E891:E896" si="196">+I149</f>
        <v>65621500</v>
      </c>
      <c r="F891" s="607">
        <f t="shared" ref="F891:F896" si="197">+I157</f>
        <v>59351300</v>
      </c>
      <c r="G891" s="607">
        <f t="shared" ref="G891:G896" si="198">+I165</f>
        <v>59686300</v>
      </c>
      <c r="H891" s="607">
        <f t="shared" ref="H891:H896" si="199">+I173</f>
        <v>72085500</v>
      </c>
      <c r="I891" s="607">
        <f t="shared" ref="I891:I896" si="200">+I181</f>
        <v>62540500</v>
      </c>
      <c r="J891" s="607">
        <f t="shared" ref="J891:J896" si="201">+I189</f>
        <v>61031700</v>
      </c>
      <c r="K891" s="89">
        <f t="shared" ref="K891:K896" si="202">+SUM(B891:J891)</f>
        <v>555100900</v>
      </c>
    </row>
    <row r="892" spans="1:11" x14ac:dyDescent="0.25">
      <c r="A892" s="555" t="s">
        <v>428</v>
      </c>
      <c r="B892" s="607">
        <f t="shared" si="194"/>
        <v>45119000</v>
      </c>
      <c r="C892" s="607">
        <f>I134</f>
        <v>46435790</v>
      </c>
      <c r="D892" s="607">
        <f t="shared" si="195"/>
        <v>47242400</v>
      </c>
      <c r="E892" s="607">
        <f t="shared" si="196"/>
        <v>52096900</v>
      </c>
      <c r="F892" s="607">
        <f t="shared" si="197"/>
        <v>49205200</v>
      </c>
      <c r="G892" s="607">
        <f t="shared" si="198"/>
        <v>40216300</v>
      </c>
      <c r="H892" s="607">
        <f t="shared" si="199"/>
        <v>50376200</v>
      </c>
      <c r="I892" s="607">
        <f t="shared" si="200"/>
        <v>50533300</v>
      </c>
      <c r="J892" s="607">
        <f t="shared" si="201"/>
        <v>51305600</v>
      </c>
      <c r="K892" s="89">
        <f t="shared" si="202"/>
        <v>432530690</v>
      </c>
    </row>
    <row r="893" spans="1:11" x14ac:dyDescent="0.25">
      <c r="A893" s="553" t="s">
        <v>429</v>
      </c>
      <c r="B893" s="607">
        <f t="shared" si="194"/>
        <v>32230200</v>
      </c>
      <c r="C893" s="607">
        <f>I135</f>
        <v>33647800</v>
      </c>
      <c r="D893" s="607">
        <f t="shared" si="195"/>
        <v>35082500</v>
      </c>
      <c r="E893" s="607">
        <f t="shared" si="196"/>
        <v>35535600</v>
      </c>
      <c r="F893" s="607">
        <f t="shared" si="197"/>
        <v>35964500</v>
      </c>
      <c r="G893" s="607">
        <f t="shared" si="198"/>
        <v>35489800</v>
      </c>
      <c r="H893" s="607">
        <f t="shared" si="199"/>
        <v>41973700</v>
      </c>
      <c r="I893" s="607">
        <f t="shared" si="200"/>
        <v>37447800</v>
      </c>
      <c r="J893" s="607">
        <f t="shared" si="201"/>
        <v>36339300</v>
      </c>
      <c r="K893" s="89">
        <f t="shared" si="202"/>
        <v>323711200</v>
      </c>
    </row>
    <row r="894" spans="1:11" x14ac:dyDescent="0.25">
      <c r="A894" s="577" t="s">
        <v>430</v>
      </c>
      <c r="B894" s="607">
        <f t="shared" si="194"/>
        <v>46585700</v>
      </c>
      <c r="C894" s="607">
        <f>I136</f>
        <v>45058800</v>
      </c>
      <c r="D894" s="607">
        <f t="shared" si="195"/>
        <v>44030900</v>
      </c>
      <c r="E894" s="607">
        <f t="shared" si="196"/>
        <v>47247500</v>
      </c>
      <c r="F894" s="607">
        <f t="shared" si="197"/>
        <v>45457700</v>
      </c>
      <c r="G894" s="607">
        <f t="shared" si="198"/>
        <v>43499900</v>
      </c>
      <c r="H894" s="607">
        <f t="shared" si="199"/>
        <v>51613500</v>
      </c>
      <c r="I894" s="607">
        <f t="shared" si="200"/>
        <v>37727300</v>
      </c>
      <c r="J894" s="607">
        <f t="shared" si="201"/>
        <v>45525600</v>
      </c>
      <c r="K894" s="89">
        <f t="shared" si="202"/>
        <v>406746900</v>
      </c>
    </row>
    <row r="895" spans="1:11" ht="15.75" thickBot="1" x14ac:dyDescent="0.3">
      <c r="A895" s="577" t="s">
        <v>544</v>
      </c>
      <c r="B895" s="608">
        <f t="shared" si="194"/>
        <v>6664400</v>
      </c>
      <c r="C895" s="607">
        <f>I137</f>
        <v>28304400</v>
      </c>
      <c r="D895" s="608">
        <f t="shared" si="195"/>
        <v>35476000</v>
      </c>
      <c r="E895" s="608">
        <f t="shared" si="196"/>
        <v>37868700</v>
      </c>
      <c r="F895" s="608">
        <f t="shared" si="197"/>
        <v>36207500</v>
      </c>
      <c r="G895" s="608">
        <f t="shared" si="198"/>
        <v>32126300</v>
      </c>
      <c r="H895" s="607">
        <f t="shared" si="199"/>
        <v>34487300</v>
      </c>
      <c r="I895" s="607">
        <f t="shared" si="200"/>
        <v>41798200</v>
      </c>
      <c r="J895" s="607">
        <f t="shared" si="201"/>
        <v>35728400</v>
      </c>
      <c r="K895" s="89">
        <f t="shared" si="202"/>
        <v>288661200</v>
      </c>
    </row>
    <row r="896" spans="1:11" ht="15.75" thickBot="1" x14ac:dyDescent="0.3">
      <c r="A896" s="598" t="s">
        <v>10</v>
      </c>
      <c r="B896" s="609">
        <f t="shared" si="194"/>
        <v>189337900</v>
      </c>
      <c r="C896" s="610">
        <f>SUM(C891:C895)</f>
        <v>209664490</v>
      </c>
      <c r="D896" s="610">
        <f t="shared" si="195"/>
        <v>221659600</v>
      </c>
      <c r="E896" s="611">
        <f t="shared" si="196"/>
        <v>238370200</v>
      </c>
      <c r="F896" s="611">
        <f t="shared" si="197"/>
        <v>226186200</v>
      </c>
      <c r="G896" s="611">
        <f t="shared" si="198"/>
        <v>211018600</v>
      </c>
      <c r="H896" s="611">
        <f t="shared" si="199"/>
        <v>250536200</v>
      </c>
      <c r="I896" s="611">
        <f t="shared" si="200"/>
        <v>230047100</v>
      </c>
      <c r="J896" s="611">
        <f t="shared" si="201"/>
        <v>229930600</v>
      </c>
      <c r="K896" s="89">
        <f t="shared" si="202"/>
        <v>2006750890</v>
      </c>
    </row>
    <row r="897" spans="1:11" ht="15.75" thickBot="1" x14ac:dyDescent="0.3">
      <c r="A897" s="551" t="s">
        <v>419</v>
      </c>
      <c r="B897" s="601" t="s">
        <v>575</v>
      </c>
      <c r="C897" s="601" t="s">
        <v>576</v>
      </c>
      <c r="D897" s="601" t="s">
        <v>577</v>
      </c>
      <c r="E897" s="580" t="s">
        <v>578</v>
      </c>
      <c r="F897" s="580" t="s">
        <v>579</v>
      </c>
      <c r="G897" s="580" t="s">
        <v>580</v>
      </c>
      <c r="H897" s="580" t="s">
        <v>581</v>
      </c>
      <c r="I897" s="580" t="s">
        <v>582</v>
      </c>
      <c r="J897" s="580" t="s">
        <v>583</v>
      </c>
    </row>
    <row r="898" spans="1:11" ht="15.75" thickTop="1" x14ac:dyDescent="0.25">
      <c r="A898" s="553" t="s">
        <v>427</v>
      </c>
      <c r="B898" s="607">
        <f t="shared" ref="B898:B903" si="203">+I197</f>
        <v>61029600</v>
      </c>
      <c r="C898" s="612">
        <f t="shared" ref="C898:C903" si="204">+I205</f>
        <v>61328200</v>
      </c>
      <c r="D898" s="612">
        <f t="shared" ref="D898:D903" si="205">+I213</f>
        <v>55100700</v>
      </c>
      <c r="E898" s="612">
        <f t="shared" ref="E898:E903" si="206">+I221</f>
        <v>52551200</v>
      </c>
      <c r="F898" s="612">
        <f t="shared" ref="F898:F903" si="207">+I229</f>
        <v>59463500</v>
      </c>
      <c r="G898" s="612">
        <f t="shared" ref="G898:G903" si="208">+I237</f>
        <v>60103700</v>
      </c>
      <c r="H898" s="612">
        <f t="shared" ref="H898:H903" si="209">+I245</f>
        <v>60481400</v>
      </c>
      <c r="I898" s="612">
        <f t="shared" ref="I898:I903" si="210">+I253</f>
        <v>55199900</v>
      </c>
      <c r="J898" s="612">
        <f t="shared" ref="J898:J903" si="211">+I261</f>
        <v>61419600</v>
      </c>
      <c r="K898" s="89">
        <f t="shared" ref="K898:K903" si="212">+SUM(B898:J898)</f>
        <v>526677800</v>
      </c>
    </row>
    <row r="899" spans="1:11" x14ac:dyDescent="0.25">
      <c r="A899" s="555" t="s">
        <v>428</v>
      </c>
      <c r="B899" s="607">
        <f t="shared" si="203"/>
        <v>52906200</v>
      </c>
      <c r="C899" s="612">
        <f t="shared" si="204"/>
        <v>54451800</v>
      </c>
      <c r="D899" s="612">
        <f t="shared" si="205"/>
        <v>50729400</v>
      </c>
      <c r="E899" s="612">
        <f t="shared" si="206"/>
        <v>45928100</v>
      </c>
      <c r="F899" s="612">
        <f t="shared" si="207"/>
        <v>48945500</v>
      </c>
      <c r="G899" s="612">
        <f t="shared" si="208"/>
        <v>46961400</v>
      </c>
      <c r="H899" s="612">
        <f t="shared" si="209"/>
        <v>47440400</v>
      </c>
      <c r="I899" s="612">
        <f t="shared" si="210"/>
        <v>48453800</v>
      </c>
      <c r="J899" s="612">
        <f t="shared" si="211"/>
        <v>56776000</v>
      </c>
      <c r="K899" s="89">
        <f t="shared" si="212"/>
        <v>452592600</v>
      </c>
    </row>
    <row r="900" spans="1:11" x14ac:dyDescent="0.25">
      <c r="A900" s="553" t="s">
        <v>429</v>
      </c>
      <c r="B900" s="607">
        <f t="shared" si="203"/>
        <v>39273900</v>
      </c>
      <c r="C900" s="612">
        <f t="shared" si="204"/>
        <v>43581600</v>
      </c>
      <c r="D900" s="612">
        <f t="shared" si="205"/>
        <v>40629700</v>
      </c>
      <c r="E900" s="612">
        <f t="shared" si="206"/>
        <v>40419700</v>
      </c>
      <c r="F900" s="612">
        <f t="shared" si="207"/>
        <v>40283900</v>
      </c>
      <c r="G900" s="612">
        <f t="shared" si="208"/>
        <v>40173800</v>
      </c>
      <c r="H900" s="612">
        <f t="shared" si="209"/>
        <v>41483700</v>
      </c>
      <c r="I900" s="612">
        <f t="shared" si="210"/>
        <v>40370300</v>
      </c>
      <c r="J900" s="612">
        <f t="shared" si="211"/>
        <v>41378800</v>
      </c>
      <c r="K900" s="89">
        <f t="shared" si="212"/>
        <v>367595400</v>
      </c>
    </row>
    <row r="901" spans="1:11" x14ac:dyDescent="0.25">
      <c r="A901" s="577" t="s">
        <v>430</v>
      </c>
      <c r="B901" s="607">
        <f t="shared" si="203"/>
        <v>42181400</v>
      </c>
      <c r="C901" s="612">
        <f t="shared" si="204"/>
        <v>35329100</v>
      </c>
      <c r="D901" s="612">
        <f t="shared" si="205"/>
        <v>45984400</v>
      </c>
      <c r="E901" s="612">
        <f t="shared" si="206"/>
        <v>40807300</v>
      </c>
      <c r="F901" s="612">
        <f t="shared" si="207"/>
        <v>46939600</v>
      </c>
      <c r="G901" s="612">
        <f t="shared" si="208"/>
        <v>42567300</v>
      </c>
      <c r="H901" s="612">
        <f t="shared" si="209"/>
        <v>47694200</v>
      </c>
      <c r="I901" s="612">
        <f t="shared" si="210"/>
        <v>43746400</v>
      </c>
      <c r="J901" s="612">
        <f t="shared" si="211"/>
        <v>45108100</v>
      </c>
      <c r="K901" s="89">
        <f t="shared" si="212"/>
        <v>390357800</v>
      </c>
    </row>
    <row r="902" spans="1:11" ht="15.75" thickBot="1" x14ac:dyDescent="0.3">
      <c r="A902" s="577" t="s">
        <v>544</v>
      </c>
      <c r="B902" s="607">
        <f t="shared" si="203"/>
        <v>35291600</v>
      </c>
      <c r="C902" s="612">
        <f t="shared" si="204"/>
        <v>30139200</v>
      </c>
      <c r="D902" s="612">
        <f t="shared" si="205"/>
        <v>34379800</v>
      </c>
      <c r="E902" s="612">
        <f t="shared" si="206"/>
        <v>33060000</v>
      </c>
      <c r="F902" s="612">
        <f t="shared" si="207"/>
        <v>36147500</v>
      </c>
      <c r="G902" s="612">
        <f t="shared" si="208"/>
        <v>35558500</v>
      </c>
      <c r="H902" s="612">
        <f t="shared" si="209"/>
        <v>36479800</v>
      </c>
      <c r="I902" s="612">
        <f t="shared" si="210"/>
        <v>34549100</v>
      </c>
      <c r="J902" s="612">
        <f t="shared" si="211"/>
        <v>33381200</v>
      </c>
      <c r="K902" s="89">
        <f t="shared" si="212"/>
        <v>308986700</v>
      </c>
    </row>
    <row r="903" spans="1:11" ht="15.75" thickBot="1" x14ac:dyDescent="0.3">
      <c r="A903" s="598" t="s">
        <v>10</v>
      </c>
      <c r="B903" s="611">
        <f t="shared" si="203"/>
        <v>230682700</v>
      </c>
      <c r="C903" s="611">
        <f t="shared" si="204"/>
        <v>224829900</v>
      </c>
      <c r="D903" s="611">
        <f t="shared" si="205"/>
        <v>226824000</v>
      </c>
      <c r="E903" s="611">
        <f t="shared" si="206"/>
        <v>212766300</v>
      </c>
      <c r="F903" s="611">
        <f t="shared" si="207"/>
        <v>231780000</v>
      </c>
      <c r="G903" s="611">
        <f t="shared" si="208"/>
        <v>225364700</v>
      </c>
      <c r="H903" s="611">
        <f t="shared" si="209"/>
        <v>233579500</v>
      </c>
      <c r="I903" s="611">
        <f t="shared" si="210"/>
        <v>222319500</v>
      </c>
      <c r="J903" s="611">
        <f t="shared" si="211"/>
        <v>238063700</v>
      </c>
      <c r="K903" s="89">
        <f t="shared" si="212"/>
        <v>2046210300</v>
      </c>
    </row>
    <row r="904" spans="1:11" ht="15.75" thickBot="1" x14ac:dyDescent="0.3">
      <c r="A904" s="551" t="s">
        <v>419</v>
      </c>
      <c r="B904" s="601" t="s">
        <v>584</v>
      </c>
      <c r="C904" s="601" t="s">
        <v>585</v>
      </c>
      <c r="D904" s="601" t="s">
        <v>586</v>
      </c>
      <c r="E904" s="601" t="s">
        <v>587</v>
      </c>
      <c r="F904" s="601" t="s">
        <v>588</v>
      </c>
      <c r="G904" s="601" t="s">
        <v>589</v>
      </c>
      <c r="H904" s="601" t="s">
        <v>590</v>
      </c>
      <c r="I904" s="601" t="s">
        <v>591</v>
      </c>
      <c r="J904" s="601" t="s">
        <v>592</v>
      </c>
    </row>
    <row r="905" spans="1:11" ht="15.75" thickTop="1" x14ac:dyDescent="0.25">
      <c r="A905" s="553" t="s">
        <v>427</v>
      </c>
      <c r="B905" s="607">
        <f t="shared" ref="B905:B910" si="213">+I269</f>
        <v>54410900</v>
      </c>
      <c r="C905" s="607">
        <f t="shared" ref="C905:C910" si="214">+I277</f>
        <v>48044500</v>
      </c>
      <c r="D905" s="607">
        <f t="shared" ref="D905:D910" si="215">+I285</f>
        <v>59560200</v>
      </c>
      <c r="E905" s="607">
        <f t="shared" ref="E905:E910" si="216">+I293</f>
        <v>62735900</v>
      </c>
      <c r="F905" s="607">
        <f t="shared" ref="F905:F910" si="217">+I301</f>
        <v>52150700</v>
      </c>
      <c r="G905" s="607">
        <f t="shared" ref="G905:G910" si="218">+I309</f>
        <v>59178400</v>
      </c>
      <c r="H905" s="607">
        <f t="shared" ref="H905:H910" si="219">+I317</f>
        <v>53145800</v>
      </c>
      <c r="I905" s="607">
        <f t="shared" ref="I905:I910" si="220">+I325</f>
        <v>56185800</v>
      </c>
      <c r="J905" s="607">
        <f t="shared" ref="J905:J910" si="221">+I333</f>
        <v>52759700</v>
      </c>
      <c r="K905" s="89">
        <f t="shared" ref="K905:K910" si="222">+SUM(B905:J905)</f>
        <v>498171900</v>
      </c>
    </row>
    <row r="906" spans="1:11" x14ac:dyDescent="0.25">
      <c r="A906" s="555" t="s">
        <v>428</v>
      </c>
      <c r="B906" s="607">
        <f t="shared" si="213"/>
        <v>44887700</v>
      </c>
      <c r="C906" s="607">
        <f t="shared" si="214"/>
        <v>47209500</v>
      </c>
      <c r="D906" s="607">
        <f t="shared" si="215"/>
        <v>48232700</v>
      </c>
      <c r="E906" s="607">
        <f t="shared" si="216"/>
        <v>52655300</v>
      </c>
      <c r="F906" s="607">
        <f t="shared" si="217"/>
        <v>43728900</v>
      </c>
      <c r="G906" s="607">
        <f t="shared" si="218"/>
        <v>50082500</v>
      </c>
      <c r="H906" s="607">
        <f t="shared" si="219"/>
        <v>46229200</v>
      </c>
      <c r="I906" s="607">
        <f t="shared" si="220"/>
        <v>44731000</v>
      </c>
      <c r="J906" s="607">
        <f t="shared" si="221"/>
        <v>42943300</v>
      </c>
      <c r="K906" s="89">
        <f t="shared" si="222"/>
        <v>420700100</v>
      </c>
    </row>
    <row r="907" spans="1:11" x14ac:dyDescent="0.25">
      <c r="A907" s="553" t="s">
        <v>429</v>
      </c>
      <c r="B907" s="607">
        <f t="shared" si="213"/>
        <v>42973700</v>
      </c>
      <c r="C907" s="607">
        <f t="shared" si="214"/>
        <v>35607100</v>
      </c>
      <c r="D907" s="607">
        <f t="shared" si="215"/>
        <v>42498300</v>
      </c>
      <c r="E907" s="607">
        <f t="shared" si="216"/>
        <v>41371600</v>
      </c>
      <c r="F907" s="607">
        <f t="shared" si="217"/>
        <v>36821500</v>
      </c>
      <c r="G907" s="607">
        <f t="shared" si="218"/>
        <v>39272000</v>
      </c>
      <c r="H907" s="607">
        <f t="shared" si="219"/>
        <v>38317700</v>
      </c>
      <c r="I907" s="607">
        <f t="shared" si="220"/>
        <v>35394900</v>
      </c>
      <c r="J907" s="607">
        <f t="shared" si="221"/>
        <v>31970600</v>
      </c>
      <c r="K907" s="89">
        <f t="shared" si="222"/>
        <v>344227400</v>
      </c>
    </row>
    <row r="908" spans="1:11" x14ac:dyDescent="0.25">
      <c r="A908" s="577" t="s">
        <v>430</v>
      </c>
      <c r="B908" s="607">
        <f t="shared" si="213"/>
        <v>39989900</v>
      </c>
      <c r="C908" s="607">
        <f t="shared" si="214"/>
        <v>36388700</v>
      </c>
      <c r="D908" s="607">
        <f t="shared" si="215"/>
        <v>40221100</v>
      </c>
      <c r="E908" s="607">
        <f t="shared" si="216"/>
        <v>41430600</v>
      </c>
      <c r="F908" s="607">
        <f t="shared" si="217"/>
        <v>39104700</v>
      </c>
      <c r="G908" s="607">
        <f t="shared" si="218"/>
        <v>39780500</v>
      </c>
      <c r="H908" s="607">
        <f t="shared" si="219"/>
        <v>38460900</v>
      </c>
      <c r="I908" s="607">
        <f t="shared" si="220"/>
        <v>37289700</v>
      </c>
      <c r="J908" s="607">
        <f t="shared" si="221"/>
        <v>38088400</v>
      </c>
      <c r="K908" s="89">
        <f t="shared" si="222"/>
        <v>350754500</v>
      </c>
    </row>
    <row r="909" spans="1:11" ht="15.75" thickBot="1" x14ac:dyDescent="0.3">
      <c r="A909" s="577" t="s">
        <v>544</v>
      </c>
      <c r="B909" s="607">
        <f t="shared" si="213"/>
        <v>32504600</v>
      </c>
      <c r="C909" s="607">
        <f t="shared" si="214"/>
        <v>30036100</v>
      </c>
      <c r="D909" s="607">
        <f t="shared" si="215"/>
        <v>36551300</v>
      </c>
      <c r="E909" s="607">
        <f t="shared" si="216"/>
        <v>32690700</v>
      </c>
      <c r="F909" s="607">
        <f t="shared" si="217"/>
        <v>30495000</v>
      </c>
      <c r="G909" s="607">
        <f t="shared" si="218"/>
        <v>32614000</v>
      </c>
      <c r="H909" s="607">
        <f t="shared" si="219"/>
        <v>32303800</v>
      </c>
      <c r="I909" s="607">
        <f t="shared" si="220"/>
        <v>32853200</v>
      </c>
      <c r="J909" s="607">
        <f t="shared" si="221"/>
        <v>31465900</v>
      </c>
      <c r="K909" s="89">
        <f t="shared" si="222"/>
        <v>291514600</v>
      </c>
    </row>
    <row r="910" spans="1:11" ht="15.75" thickBot="1" x14ac:dyDescent="0.3">
      <c r="A910" s="598" t="s">
        <v>10</v>
      </c>
      <c r="B910" s="611">
        <f t="shared" si="213"/>
        <v>214766800</v>
      </c>
      <c r="C910" s="611">
        <f t="shared" si="214"/>
        <v>197285900</v>
      </c>
      <c r="D910" s="611">
        <f t="shared" si="215"/>
        <v>227063600</v>
      </c>
      <c r="E910" s="611">
        <f t="shared" si="216"/>
        <v>230884100</v>
      </c>
      <c r="F910" s="611">
        <f t="shared" si="217"/>
        <v>202300800</v>
      </c>
      <c r="G910" s="611">
        <f t="shared" si="218"/>
        <v>220927400</v>
      </c>
      <c r="H910" s="611">
        <f t="shared" si="219"/>
        <v>208457400</v>
      </c>
      <c r="I910" s="611">
        <f t="shared" si="220"/>
        <v>206454600</v>
      </c>
      <c r="J910" s="611">
        <f t="shared" si="221"/>
        <v>197227900</v>
      </c>
      <c r="K910" s="89">
        <f t="shared" si="222"/>
        <v>1905368500</v>
      </c>
    </row>
    <row r="911" spans="1:11" ht="15.75" thickBot="1" x14ac:dyDescent="0.3">
      <c r="A911" s="551" t="s">
        <v>419</v>
      </c>
      <c r="B911" s="601" t="s">
        <v>593</v>
      </c>
      <c r="C911" s="601" t="s">
        <v>594</v>
      </c>
      <c r="D911" s="601" t="s">
        <v>595</v>
      </c>
      <c r="E911" s="601" t="s">
        <v>596</v>
      </c>
      <c r="F911" s="601" t="s">
        <v>597</v>
      </c>
      <c r="G911" s="601" t="s">
        <v>598</v>
      </c>
      <c r="H911" s="601" t="s">
        <v>615</v>
      </c>
      <c r="I911" s="601" t="s">
        <v>616</v>
      </c>
      <c r="J911" s="601" t="s">
        <v>621</v>
      </c>
    </row>
    <row r="912" spans="1:11" ht="15.75" thickTop="1" x14ac:dyDescent="0.25">
      <c r="A912" s="553" t="s">
        <v>427</v>
      </c>
      <c r="B912" s="607">
        <f>+I341</f>
        <v>56761500</v>
      </c>
      <c r="C912" s="607">
        <f t="shared" ref="C912:C917" si="223">+I349</f>
        <v>43572200</v>
      </c>
      <c r="D912" s="607">
        <f t="shared" ref="D912:D917" si="224">+I358</f>
        <v>50025000</v>
      </c>
      <c r="E912" s="607">
        <f t="shared" ref="E912:E917" si="225">+I368</f>
        <v>47738100</v>
      </c>
      <c r="F912" s="607">
        <f t="shared" ref="F912:F917" si="226">+I378</f>
        <v>48351150</v>
      </c>
      <c r="G912" s="607">
        <f>+I388</f>
        <v>44284500</v>
      </c>
      <c r="H912" s="607">
        <f>+I399</f>
        <v>49575100</v>
      </c>
      <c r="I912" s="607">
        <f>+I410</f>
        <v>46083200</v>
      </c>
      <c r="J912" s="607">
        <f t="shared" ref="J912:J920" si="227">+I421</f>
        <v>45812500</v>
      </c>
      <c r="K912" s="89">
        <f t="shared" ref="K912:K920" si="228">+SUM(B912:J912)</f>
        <v>432203250</v>
      </c>
    </row>
    <row r="913" spans="1:11" x14ac:dyDescent="0.25">
      <c r="A913" s="555" t="s">
        <v>428</v>
      </c>
      <c r="B913" s="607">
        <f>+I342</f>
        <v>47178300</v>
      </c>
      <c r="C913" s="607">
        <f t="shared" si="223"/>
        <v>39482300</v>
      </c>
      <c r="D913" s="607">
        <f t="shared" si="224"/>
        <v>43144600</v>
      </c>
      <c r="E913" s="607">
        <f t="shared" si="225"/>
        <v>40688700</v>
      </c>
      <c r="F913" s="607">
        <f t="shared" si="226"/>
        <v>42023350</v>
      </c>
      <c r="G913" s="607">
        <f t="shared" ref="G913:G919" si="229">+I389</f>
        <v>41190200</v>
      </c>
      <c r="H913" s="607">
        <f t="shared" ref="H913:H920" si="230">+I400</f>
        <v>38777000</v>
      </c>
      <c r="I913" s="607">
        <f t="shared" ref="I913:I920" si="231">+I411</f>
        <v>42131600</v>
      </c>
      <c r="J913" s="607">
        <f t="shared" si="227"/>
        <v>40498300</v>
      </c>
      <c r="K913" s="89">
        <f t="shared" si="228"/>
        <v>375114350</v>
      </c>
    </row>
    <row r="914" spans="1:11" x14ac:dyDescent="0.25">
      <c r="A914" s="553" t="s">
        <v>429</v>
      </c>
      <c r="B914" s="607">
        <f>+I343</f>
        <v>33622300</v>
      </c>
      <c r="C914" s="607">
        <f t="shared" si="223"/>
        <v>30647300</v>
      </c>
      <c r="D914" s="607">
        <f t="shared" si="224"/>
        <v>32527000</v>
      </c>
      <c r="E914" s="607">
        <f t="shared" si="225"/>
        <v>27780900</v>
      </c>
      <c r="F914" s="607">
        <f t="shared" si="226"/>
        <v>31818600</v>
      </c>
      <c r="G914" s="607">
        <f t="shared" si="229"/>
        <v>32455100</v>
      </c>
      <c r="H914" s="607">
        <f t="shared" si="230"/>
        <v>32144900</v>
      </c>
      <c r="I914" s="607">
        <f t="shared" si="231"/>
        <v>31851700</v>
      </c>
      <c r="J914" s="607">
        <f t="shared" si="227"/>
        <v>32232300</v>
      </c>
      <c r="K914" s="89">
        <f t="shared" si="228"/>
        <v>285080100</v>
      </c>
    </row>
    <row r="915" spans="1:11" x14ac:dyDescent="0.25">
      <c r="A915" s="577" t="s">
        <v>430</v>
      </c>
      <c r="B915" s="607">
        <f>+I344</f>
        <v>44210000</v>
      </c>
      <c r="C915" s="607">
        <f t="shared" si="223"/>
        <v>43100000</v>
      </c>
      <c r="D915" s="607">
        <f t="shared" si="224"/>
        <v>40785700</v>
      </c>
      <c r="E915" s="607">
        <f t="shared" si="225"/>
        <v>40103200</v>
      </c>
      <c r="F915" s="607">
        <f t="shared" si="226"/>
        <v>42355500</v>
      </c>
      <c r="G915" s="607">
        <f t="shared" si="229"/>
        <v>32183400</v>
      </c>
      <c r="H915" s="607">
        <f t="shared" si="230"/>
        <v>30239200</v>
      </c>
      <c r="I915" s="607">
        <f t="shared" si="231"/>
        <v>28337300</v>
      </c>
      <c r="J915" s="607">
        <f t="shared" si="227"/>
        <v>28836500</v>
      </c>
      <c r="K915" s="89">
        <f t="shared" si="228"/>
        <v>330150800</v>
      </c>
    </row>
    <row r="916" spans="1:11" x14ac:dyDescent="0.25">
      <c r="A916" s="577" t="s">
        <v>544</v>
      </c>
      <c r="B916" s="607">
        <f>+I345</f>
        <v>32149700</v>
      </c>
      <c r="C916" s="607">
        <f t="shared" si="223"/>
        <v>32947800</v>
      </c>
      <c r="D916" s="607">
        <f t="shared" si="224"/>
        <v>31482600</v>
      </c>
      <c r="E916" s="607">
        <f t="shared" si="225"/>
        <v>30597100</v>
      </c>
      <c r="F916" s="607">
        <f t="shared" si="226"/>
        <v>33794900</v>
      </c>
      <c r="G916" s="607">
        <f t="shared" si="229"/>
        <v>29900900</v>
      </c>
      <c r="H916" s="607">
        <f t="shared" si="230"/>
        <v>29024100</v>
      </c>
      <c r="I916" s="607">
        <f t="shared" si="231"/>
        <v>29484300</v>
      </c>
      <c r="J916" s="607">
        <f t="shared" si="227"/>
        <v>31076400</v>
      </c>
      <c r="K916" s="89">
        <f t="shared" si="228"/>
        <v>280457800</v>
      </c>
    </row>
    <row r="917" spans="1:11" x14ac:dyDescent="0.25">
      <c r="A917" s="577" t="s">
        <v>545</v>
      </c>
      <c r="B917" s="607">
        <v>0</v>
      </c>
      <c r="C917" s="607">
        <f t="shared" si="223"/>
        <v>9744700</v>
      </c>
      <c r="D917" s="607">
        <f t="shared" si="224"/>
        <v>18628300</v>
      </c>
      <c r="E917" s="607">
        <f t="shared" si="225"/>
        <v>20691200</v>
      </c>
      <c r="F917" s="607">
        <f t="shared" si="226"/>
        <v>17052800</v>
      </c>
      <c r="G917" s="607">
        <f t="shared" si="229"/>
        <v>18683200</v>
      </c>
      <c r="H917" s="607">
        <f t="shared" si="230"/>
        <v>17575900</v>
      </c>
      <c r="I917" s="607">
        <f t="shared" si="231"/>
        <v>17368100</v>
      </c>
      <c r="J917" s="607">
        <f t="shared" si="227"/>
        <v>17653600</v>
      </c>
      <c r="K917" s="89">
        <f t="shared" si="228"/>
        <v>137397800</v>
      </c>
    </row>
    <row r="918" spans="1:11" x14ac:dyDescent="0.25">
      <c r="A918" s="577" t="s">
        <v>547</v>
      </c>
      <c r="B918" s="607"/>
      <c r="C918" s="607"/>
      <c r="D918" s="607"/>
      <c r="E918" s="607"/>
      <c r="F918" s="607"/>
      <c r="G918" s="607">
        <f t="shared" si="229"/>
        <v>19707300</v>
      </c>
      <c r="H918" s="607">
        <f t="shared" si="230"/>
        <v>25857900</v>
      </c>
      <c r="I918" s="607">
        <f t="shared" si="231"/>
        <v>26955200</v>
      </c>
      <c r="J918" s="607">
        <f t="shared" si="227"/>
        <v>25048100</v>
      </c>
      <c r="K918" s="89">
        <f t="shared" si="228"/>
        <v>97568500</v>
      </c>
    </row>
    <row r="919" spans="1:11" ht="15.75" thickBot="1" x14ac:dyDescent="0.3">
      <c r="A919" s="577" t="s">
        <v>546</v>
      </c>
      <c r="B919" s="608">
        <v>0</v>
      </c>
      <c r="C919" s="608">
        <v>0</v>
      </c>
      <c r="D919" s="608">
        <f>+I364</f>
        <v>12297600</v>
      </c>
      <c r="E919" s="607">
        <f>+I374</f>
        <v>12272700</v>
      </c>
      <c r="F919" s="607">
        <f>+I384</f>
        <v>14346450</v>
      </c>
      <c r="G919" s="607">
        <f t="shared" si="229"/>
        <v>11479500</v>
      </c>
      <c r="H919" s="607">
        <f t="shared" si="230"/>
        <v>13034500</v>
      </c>
      <c r="I919" s="607">
        <f t="shared" si="231"/>
        <v>13875200</v>
      </c>
      <c r="J919" s="607">
        <f t="shared" si="227"/>
        <v>16068000</v>
      </c>
      <c r="K919" s="89">
        <f t="shared" si="228"/>
        <v>93373950</v>
      </c>
    </row>
    <row r="920" spans="1:11" ht="15.75" thickBot="1" x14ac:dyDescent="0.3">
      <c r="A920" s="598" t="s">
        <v>10</v>
      </c>
      <c r="B920" s="611">
        <f>+I346</f>
        <v>213921800</v>
      </c>
      <c r="C920" s="611">
        <f>+I355</f>
        <v>199494300</v>
      </c>
      <c r="D920" s="611">
        <f>+I365</f>
        <v>228890800</v>
      </c>
      <c r="E920" s="611">
        <f>+I375</f>
        <v>219871900</v>
      </c>
      <c r="F920" s="611">
        <f>+I385</f>
        <v>229742750</v>
      </c>
      <c r="G920" s="611">
        <f>+I396</f>
        <v>229884100</v>
      </c>
      <c r="H920" s="611">
        <f t="shared" si="230"/>
        <v>236228600</v>
      </c>
      <c r="I920" s="611">
        <f t="shared" si="231"/>
        <v>236086600</v>
      </c>
      <c r="J920" s="611">
        <f t="shared" si="227"/>
        <v>237225700</v>
      </c>
      <c r="K920" s="89">
        <f t="shared" si="228"/>
        <v>2031346550</v>
      </c>
    </row>
    <row r="921" spans="1:11" ht="15.75" thickBot="1" x14ac:dyDescent="0.3">
      <c r="A921" s="551" t="s">
        <v>419</v>
      </c>
      <c r="B921" s="601" t="s">
        <v>623</v>
      </c>
      <c r="C921" s="601" t="s">
        <v>628</v>
      </c>
      <c r="D921" s="601" t="s">
        <v>629</v>
      </c>
      <c r="E921" s="601" t="s">
        <v>632</v>
      </c>
      <c r="F921" s="601" t="s">
        <v>635</v>
      </c>
      <c r="G921" s="601" t="s">
        <v>638</v>
      </c>
      <c r="H921" s="601" t="s">
        <v>641</v>
      </c>
      <c r="I921" s="601" t="s">
        <v>644</v>
      </c>
      <c r="J921" s="601" t="s">
        <v>647</v>
      </c>
    </row>
    <row r="922" spans="1:11" ht="15.75" thickTop="1" x14ac:dyDescent="0.25">
      <c r="A922" s="553" t="s">
        <v>427</v>
      </c>
      <c r="B922" s="607">
        <f>+I432</f>
        <v>52815600</v>
      </c>
      <c r="C922" s="607">
        <f>+I444</f>
        <v>49305300</v>
      </c>
      <c r="D922" s="607">
        <f>+I456</f>
        <v>45969100</v>
      </c>
      <c r="E922" s="607">
        <f>+I468</f>
        <v>53010300</v>
      </c>
      <c r="F922" s="607">
        <f>+I480</f>
        <v>53749400</v>
      </c>
      <c r="G922" s="607">
        <f>+I492</f>
        <v>50548700</v>
      </c>
      <c r="H922" s="607">
        <f>+I504</f>
        <v>51177900</v>
      </c>
      <c r="I922" s="607">
        <f>+I516</f>
        <v>54712100</v>
      </c>
      <c r="J922" s="740">
        <f>+I528</f>
        <v>46380700</v>
      </c>
      <c r="K922" s="89">
        <f t="shared" ref="K922:K930" si="232">+SUM(B922:J922)</f>
        <v>457669100</v>
      </c>
    </row>
    <row r="923" spans="1:11" x14ac:dyDescent="0.25">
      <c r="A923" s="555" t="s">
        <v>428</v>
      </c>
      <c r="B923" s="607">
        <f t="shared" ref="B923:B931" si="233">+I433</f>
        <v>47332100</v>
      </c>
      <c r="C923" s="607">
        <f t="shared" ref="C923:C930" si="234">+I445</f>
        <v>40124200</v>
      </c>
      <c r="D923" s="607">
        <f t="shared" ref="D923:D931" si="235">+I457</f>
        <v>44160800</v>
      </c>
      <c r="E923" s="607">
        <f t="shared" ref="E923:E931" si="236">+I469</f>
        <v>44129200</v>
      </c>
      <c r="F923" s="607">
        <f t="shared" ref="F923:F931" si="237">+I481</f>
        <v>45928800</v>
      </c>
      <c r="G923" s="607">
        <f t="shared" ref="G923:G931" si="238">+I493</f>
        <v>44422000</v>
      </c>
      <c r="H923" s="607">
        <f t="shared" ref="H923:H931" si="239">+I505</f>
        <v>44930800</v>
      </c>
      <c r="I923" s="607">
        <f t="shared" ref="I923:I931" si="240">+I517</f>
        <v>46963050</v>
      </c>
      <c r="J923" s="607">
        <f t="shared" ref="J923:J931" si="241">+I529</f>
        <v>40547500</v>
      </c>
      <c r="K923" s="89">
        <f t="shared" si="232"/>
        <v>398538450</v>
      </c>
    </row>
    <row r="924" spans="1:11" x14ac:dyDescent="0.25">
      <c r="A924" s="553" t="s">
        <v>429</v>
      </c>
      <c r="B924" s="607">
        <f t="shared" si="233"/>
        <v>31698100</v>
      </c>
      <c r="C924" s="607">
        <f t="shared" si="234"/>
        <v>32848500</v>
      </c>
      <c r="D924" s="607">
        <f t="shared" si="235"/>
        <v>30723100</v>
      </c>
      <c r="E924" s="607">
        <f t="shared" si="236"/>
        <v>34672800</v>
      </c>
      <c r="F924" s="607">
        <f t="shared" si="237"/>
        <v>35326900</v>
      </c>
      <c r="G924" s="607">
        <f t="shared" si="238"/>
        <v>31810900</v>
      </c>
      <c r="H924" s="607">
        <f t="shared" si="239"/>
        <v>34603200</v>
      </c>
      <c r="I924" s="607">
        <f t="shared" si="240"/>
        <v>37872000</v>
      </c>
      <c r="J924" s="607">
        <f t="shared" si="241"/>
        <v>32776700</v>
      </c>
      <c r="K924" s="89">
        <f t="shared" si="232"/>
        <v>302332200</v>
      </c>
    </row>
    <row r="925" spans="1:11" x14ac:dyDescent="0.25">
      <c r="A925" s="577" t="s">
        <v>430</v>
      </c>
      <c r="B925" s="607">
        <f t="shared" si="233"/>
        <v>36512000</v>
      </c>
      <c r="C925" s="607">
        <f t="shared" si="234"/>
        <v>32918600</v>
      </c>
      <c r="D925" s="607">
        <f t="shared" si="235"/>
        <v>28389400</v>
      </c>
      <c r="E925" s="607">
        <f t="shared" si="236"/>
        <v>33542100</v>
      </c>
      <c r="F925" s="607">
        <f t="shared" si="237"/>
        <v>33988500</v>
      </c>
      <c r="G925" s="607">
        <f t="shared" si="238"/>
        <v>31573300</v>
      </c>
      <c r="H925" s="607">
        <f t="shared" si="239"/>
        <v>34566100</v>
      </c>
      <c r="I925" s="607">
        <f t="shared" si="240"/>
        <v>38215600</v>
      </c>
      <c r="J925" s="607">
        <f t="shared" si="241"/>
        <v>29592000</v>
      </c>
      <c r="K925" s="89">
        <f t="shared" si="232"/>
        <v>299297600</v>
      </c>
    </row>
    <row r="926" spans="1:11" x14ac:dyDescent="0.25">
      <c r="A926" s="577" t="s">
        <v>544</v>
      </c>
      <c r="B926" s="607">
        <f t="shared" si="233"/>
        <v>32844100</v>
      </c>
      <c r="C926" s="607">
        <f t="shared" si="234"/>
        <v>31304900</v>
      </c>
      <c r="D926" s="607">
        <f t="shared" si="235"/>
        <v>32395200</v>
      </c>
      <c r="E926" s="607">
        <f t="shared" si="236"/>
        <v>32540100</v>
      </c>
      <c r="F926" s="607">
        <f t="shared" si="237"/>
        <v>35927400</v>
      </c>
      <c r="G926" s="607">
        <f t="shared" si="238"/>
        <v>32365200</v>
      </c>
      <c r="H926" s="607">
        <f t="shared" si="239"/>
        <v>36968900</v>
      </c>
      <c r="I926" s="607">
        <f t="shared" si="240"/>
        <v>33380800</v>
      </c>
      <c r="J926" s="607">
        <f t="shared" si="241"/>
        <v>34545200</v>
      </c>
      <c r="K926" s="89">
        <f t="shared" si="232"/>
        <v>302271800</v>
      </c>
    </row>
    <row r="927" spans="1:11" x14ac:dyDescent="0.25">
      <c r="A927" s="577" t="s">
        <v>545</v>
      </c>
      <c r="B927" s="607">
        <f t="shared" si="233"/>
        <v>20943100</v>
      </c>
      <c r="C927" s="607">
        <f t="shared" si="234"/>
        <v>22061100</v>
      </c>
      <c r="D927" s="607">
        <f t="shared" si="235"/>
        <v>17218400</v>
      </c>
      <c r="E927" s="607">
        <f t="shared" si="236"/>
        <v>18423900</v>
      </c>
      <c r="F927" s="607">
        <f t="shared" si="237"/>
        <v>20621900</v>
      </c>
      <c r="G927" s="607">
        <f t="shared" si="238"/>
        <v>18261000</v>
      </c>
      <c r="H927" s="607">
        <f t="shared" si="239"/>
        <v>24566900</v>
      </c>
      <c r="I927" s="607">
        <f t="shared" si="240"/>
        <v>23432100</v>
      </c>
      <c r="J927" s="607">
        <f t="shared" si="241"/>
        <v>21072800</v>
      </c>
      <c r="K927" s="89">
        <f t="shared" si="232"/>
        <v>186601200</v>
      </c>
    </row>
    <row r="928" spans="1:11" x14ac:dyDescent="0.25">
      <c r="A928" s="577" t="s">
        <v>547</v>
      </c>
      <c r="B928" s="607">
        <f t="shared" si="233"/>
        <v>27409900</v>
      </c>
      <c r="C928" s="607">
        <f t="shared" si="234"/>
        <v>27179400</v>
      </c>
      <c r="D928" s="607">
        <f t="shared" si="235"/>
        <v>26951400</v>
      </c>
      <c r="E928" s="607">
        <f t="shared" si="236"/>
        <v>28765300</v>
      </c>
      <c r="F928" s="607">
        <f t="shared" si="237"/>
        <v>30603700</v>
      </c>
      <c r="G928" s="607">
        <f t="shared" si="238"/>
        <v>28413700</v>
      </c>
      <c r="H928" s="607">
        <f t="shared" si="239"/>
        <v>31778400</v>
      </c>
      <c r="I928" s="607">
        <f t="shared" si="240"/>
        <v>26556300</v>
      </c>
      <c r="J928" s="607">
        <f t="shared" si="241"/>
        <v>33850900</v>
      </c>
      <c r="K928" s="89">
        <f t="shared" si="232"/>
        <v>261509000</v>
      </c>
    </row>
    <row r="929" spans="1:11" x14ac:dyDescent="0.25">
      <c r="A929" s="679" t="s">
        <v>546</v>
      </c>
      <c r="B929" s="607">
        <f t="shared" si="233"/>
        <v>13477800</v>
      </c>
      <c r="C929" s="607">
        <f t="shared" si="234"/>
        <v>14060800</v>
      </c>
      <c r="D929" s="607">
        <f t="shared" si="235"/>
        <v>15431800</v>
      </c>
      <c r="E929" s="607">
        <f t="shared" si="236"/>
        <v>13957100</v>
      </c>
      <c r="F929" s="607">
        <f t="shared" si="237"/>
        <v>14725300</v>
      </c>
      <c r="G929" s="607">
        <f t="shared" si="238"/>
        <v>11233800</v>
      </c>
      <c r="H929" s="607">
        <f t="shared" si="239"/>
        <v>17417400</v>
      </c>
      <c r="I929" s="607">
        <f t="shared" si="240"/>
        <v>18442000</v>
      </c>
      <c r="J929" s="607">
        <f t="shared" si="241"/>
        <v>17138500</v>
      </c>
      <c r="K929" s="89">
        <f t="shared" si="232"/>
        <v>135884500</v>
      </c>
    </row>
    <row r="930" spans="1:11" ht="15.75" thickBot="1" x14ac:dyDescent="0.3">
      <c r="A930" s="679" t="s">
        <v>622</v>
      </c>
      <c r="B930" s="608">
        <f t="shared" si="233"/>
        <v>30511400</v>
      </c>
      <c r="C930" s="608">
        <f t="shared" si="234"/>
        <v>53713500</v>
      </c>
      <c r="D930" s="608">
        <f t="shared" si="235"/>
        <v>50679100</v>
      </c>
      <c r="E930" s="608">
        <f t="shared" si="236"/>
        <v>57859800</v>
      </c>
      <c r="F930" s="608">
        <f t="shared" si="237"/>
        <v>53318600</v>
      </c>
      <c r="G930" s="608">
        <f t="shared" si="238"/>
        <v>48780200</v>
      </c>
      <c r="H930" s="608">
        <f t="shared" si="239"/>
        <v>48842500</v>
      </c>
      <c r="I930" s="608">
        <f t="shared" si="240"/>
        <v>49817300</v>
      </c>
      <c r="J930" s="608">
        <f t="shared" si="241"/>
        <v>40626900</v>
      </c>
      <c r="K930" s="89">
        <f t="shared" si="232"/>
        <v>434149300</v>
      </c>
    </row>
    <row r="931" spans="1:11" ht="15.75" thickBot="1" x14ac:dyDescent="0.3">
      <c r="A931" s="598" t="s">
        <v>10</v>
      </c>
      <c r="B931" s="611">
        <f t="shared" si="233"/>
        <v>293544100</v>
      </c>
      <c r="C931" s="611">
        <f>+I453</f>
        <v>303516300</v>
      </c>
      <c r="D931" s="611">
        <f t="shared" si="235"/>
        <v>291918300</v>
      </c>
      <c r="E931" s="611">
        <f t="shared" si="236"/>
        <v>316900600</v>
      </c>
      <c r="F931" s="611">
        <f t="shared" si="237"/>
        <v>324190500</v>
      </c>
      <c r="G931" s="611">
        <f t="shared" si="238"/>
        <v>297408800</v>
      </c>
      <c r="H931" s="611">
        <f t="shared" si="239"/>
        <v>324852100</v>
      </c>
      <c r="I931" s="611">
        <f t="shared" si="240"/>
        <v>329391250</v>
      </c>
      <c r="J931" s="611">
        <f t="shared" si="241"/>
        <v>296531200</v>
      </c>
      <c r="K931" s="89">
        <f>+SUM(K922:K930)</f>
        <v>2778253150</v>
      </c>
    </row>
    <row r="932" spans="1:11" ht="15.75" thickBot="1" x14ac:dyDescent="0.3">
      <c r="A932" s="551" t="s">
        <v>419</v>
      </c>
      <c r="B932" s="601" t="s">
        <v>650</v>
      </c>
      <c r="C932" s="601" t="s">
        <v>654</v>
      </c>
      <c r="D932" s="601" t="s">
        <v>657</v>
      </c>
      <c r="E932" s="601" t="s">
        <v>661</v>
      </c>
      <c r="F932" s="601" t="s">
        <v>665</v>
      </c>
      <c r="G932" s="601" t="s">
        <v>668</v>
      </c>
      <c r="H932" s="601" t="s">
        <v>673</v>
      </c>
      <c r="I932" s="601" t="s">
        <v>676</v>
      </c>
      <c r="J932" s="601" t="s">
        <v>679</v>
      </c>
    </row>
    <row r="933" spans="1:11" ht="15.75" thickTop="1" x14ac:dyDescent="0.25">
      <c r="A933" s="553" t="s">
        <v>427</v>
      </c>
      <c r="B933" s="607">
        <f>+I540</f>
        <v>42212500</v>
      </c>
      <c r="C933" s="607">
        <f>+I552</f>
        <v>33187400</v>
      </c>
      <c r="D933" s="607">
        <f>+I564</f>
        <v>37685200</v>
      </c>
      <c r="E933" s="607">
        <f>+I576</f>
        <v>44004100</v>
      </c>
      <c r="F933" s="607">
        <f>+I588</f>
        <v>44051200</v>
      </c>
      <c r="G933" s="607">
        <f>+I600</f>
        <v>45405100</v>
      </c>
      <c r="H933" s="607">
        <f>+I612</f>
        <v>47768550</v>
      </c>
      <c r="I933" s="607">
        <f>+I626</f>
        <v>44482400</v>
      </c>
      <c r="J933" s="607">
        <f t="shared" ref="J933:J945" si="242">+I640</f>
        <v>43854500</v>
      </c>
      <c r="K933" s="89">
        <f t="shared" ref="K933:K945" si="243">+SUM(B933:J933)</f>
        <v>382650950</v>
      </c>
    </row>
    <row r="934" spans="1:11" x14ac:dyDescent="0.25">
      <c r="A934" s="555" t="s">
        <v>428</v>
      </c>
      <c r="B934" s="607">
        <f>+I541</f>
        <v>33819500</v>
      </c>
      <c r="C934" s="607">
        <f t="shared" ref="C934:C940" si="244">+I553</f>
        <v>31219400</v>
      </c>
      <c r="D934" s="607">
        <f t="shared" ref="D934:D940" si="245">+I565</f>
        <v>33003800</v>
      </c>
      <c r="E934" s="607">
        <f t="shared" ref="E934:E940" si="246">+I577</f>
        <v>38420500</v>
      </c>
      <c r="F934" s="607">
        <f t="shared" ref="F934:F940" si="247">+I589</f>
        <v>40845000</v>
      </c>
      <c r="G934" s="607">
        <f t="shared" ref="G934:G940" si="248">+I601</f>
        <v>36786500</v>
      </c>
      <c r="H934" s="607">
        <f t="shared" ref="H934:H943" si="249">+I613</f>
        <v>38451400</v>
      </c>
      <c r="I934" s="607">
        <f t="shared" ref="I934:I943" si="250">+I627</f>
        <v>38884900</v>
      </c>
      <c r="J934" s="607">
        <f t="shared" si="242"/>
        <v>37297500</v>
      </c>
      <c r="K934" s="89">
        <f t="shared" si="243"/>
        <v>328728500</v>
      </c>
    </row>
    <row r="935" spans="1:11" x14ac:dyDescent="0.25">
      <c r="A935" s="553" t="s">
        <v>429</v>
      </c>
      <c r="B935" s="607">
        <f t="shared" ref="B935:B940" si="251">+I542</f>
        <v>31819400</v>
      </c>
      <c r="C935" s="607">
        <f t="shared" si="244"/>
        <v>31463900</v>
      </c>
      <c r="D935" s="607">
        <f t="shared" si="245"/>
        <v>31003500</v>
      </c>
      <c r="E935" s="607">
        <f t="shared" si="246"/>
        <v>34321600</v>
      </c>
      <c r="F935" s="607">
        <f t="shared" si="247"/>
        <v>33605100</v>
      </c>
      <c r="G935" s="607">
        <f t="shared" si="248"/>
        <v>29629700</v>
      </c>
      <c r="H935" s="607">
        <f t="shared" si="249"/>
        <v>30965700</v>
      </c>
      <c r="I935" s="607">
        <f t="shared" si="250"/>
        <v>28321500</v>
      </c>
      <c r="J935" s="607">
        <f t="shared" si="242"/>
        <v>30528300</v>
      </c>
      <c r="K935" s="89">
        <f t="shared" si="243"/>
        <v>281658700</v>
      </c>
    </row>
    <row r="936" spans="1:11" x14ac:dyDescent="0.25">
      <c r="A936" s="577" t="s">
        <v>430</v>
      </c>
      <c r="B936" s="607">
        <f t="shared" si="251"/>
        <v>25272700</v>
      </c>
      <c r="C936" s="607">
        <f t="shared" si="244"/>
        <v>19557600</v>
      </c>
      <c r="D936" s="607">
        <f t="shared" si="245"/>
        <v>21548600</v>
      </c>
      <c r="E936" s="607">
        <f t="shared" si="246"/>
        <v>27087200</v>
      </c>
      <c r="F936" s="607">
        <f t="shared" si="247"/>
        <v>28045600</v>
      </c>
      <c r="G936" s="607">
        <f t="shared" si="248"/>
        <v>32639600</v>
      </c>
      <c r="H936" s="607">
        <f t="shared" si="249"/>
        <v>28570600</v>
      </c>
      <c r="I936" s="607">
        <f t="shared" si="250"/>
        <v>27391600</v>
      </c>
      <c r="J936" s="607">
        <f t="shared" si="242"/>
        <v>27685700</v>
      </c>
      <c r="K936" s="89">
        <f t="shared" si="243"/>
        <v>237799200</v>
      </c>
    </row>
    <row r="937" spans="1:11" x14ac:dyDescent="0.25">
      <c r="A937" s="577" t="s">
        <v>544</v>
      </c>
      <c r="B937" s="607">
        <f t="shared" si="251"/>
        <v>26529200</v>
      </c>
      <c r="C937" s="607">
        <f t="shared" si="244"/>
        <v>22729300</v>
      </c>
      <c r="D937" s="607">
        <f t="shared" si="245"/>
        <v>24522400</v>
      </c>
      <c r="E937" s="607">
        <f t="shared" si="246"/>
        <v>28509400</v>
      </c>
      <c r="F937" s="607">
        <f t="shared" si="247"/>
        <v>31284300</v>
      </c>
      <c r="G937" s="607">
        <f t="shared" si="248"/>
        <v>31061800</v>
      </c>
      <c r="H937" s="607">
        <f t="shared" si="249"/>
        <v>28314600</v>
      </c>
      <c r="I937" s="607">
        <f t="shared" si="250"/>
        <v>24521600</v>
      </c>
      <c r="J937" s="607">
        <f t="shared" si="242"/>
        <v>27754800</v>
      </c>
      <c r="K937" s="89">
        <f t="shared" si="243"/>
        <v>245227400</v>
      </c>
    </row>
    <row r="938" spans="1:11" x14ac:dyDescent="0.25">
      <c r="A938" s="577" t="s">
        <v>545</v>
      </c>
      <c r="B938" s="607">
        <f t="shared" si="251"/>
        <v>17911400</v>
      </c>
      <c r="C938" s="607">
        <f t="shared" si="244"/>
        <v>16199600</v>
      </c>
      <c r="D938" s="607">
        <f t="shared" si="245"/>
        <v>15435400</v>
      </c>
      <c r="E938" s="607">
        <f t="shared" si="246"/>
        <v>17445500</v>
      </c>
      <c r="F938" s="607">
        <f t="shared" si="247"/>
        <v>19002200</v>
      </c>
      <c r="G938" s="607">
        <f t="shared" si="248"/>
        <v>16390700</v>
      </c>
      <c r="H938" s="607">
        <f t="shared" si="249"/>
        <v>20041800</v>
      </c>
      <c r="I938" s="607">
        <f t="shared" si="250"/>
        <v>17864100</v>
      </c>
      <c r="J938" s="607">
        <f t="shared" si="242"/>
        <v>18987700</v>
      </c>
      <c r="K938" s="89">
        <f t="shared" si="243"/>
        <v>159278400</v>
      </c>
    </row>
    <row r="939" spans="1:11" x14ac:dyDescent="0.25">
      <c r="A939" s="577" t="s">
        <v>547</v>
      </c>
      <c r="B939" s="607">
        <f t="shared" si="251"/>
        <v>21682500</v>
      </c>
      <c r="C939" s="607">
        <f t="shared" si="244"/>
        <v>15406300</v>
      </c>
      <c r="D939" s="607">
        <f t="shared" si="245"/>
        <v>18015500</v>
      </c>
      <c r="E939" s="607">
        <f t="shared" si="246"/>
        <v>21353500</v>
      </c>
      <c r="F939" s="607">
        <f t="shared" si="247"/>
        <v>21313400</v>
      </c>
      <c r="G939" s="607">
        <f t="shared" si="248"/>
        <v>19182500</v>
      </c>
      <c r="H939" s="607">
        <f t="shared" si="249"/>
        <v>23582400</v>
      </c>
      <c r="I939" s="607">
        <f t="shared" si="250"/>
        <v>22430700</v>
      </c>
      <c r="J939" s="607">
        <f t="shared" si="242"/>
        <v>22417800</v>
      </c>
      <c r="K939" s="89">
        <f t="shared" si="243"/>
        <v>185384600</v>
      </c>
    </row>
    <row r="940" spans="1:11" x14ac:dyDescent="0.25">
      <c r="A940" s="679" t="s">
        <v>546</v>
      </c>
      <c r="B940" s="607">
        <f t="shared" si="251"/>
        <v>16333300</v>
      </c>
      <c r="C940" s="607">
        <f t="shared" si="244"/>
        <v>17090400</v>
      </c>
      <c r="D940" s="607">
        <f t="shared" si="245"/>
        <v>15236200</v>
      </c>
      <c r="E940" s="607">
        <f t="shared" si="246"/>
        <v>14438900</v>
      </c>
      <c r="F940" s="607">
        <f t="shared" si="247"/>
        <v>14960900</v>
      </c>
      <c r="G940" s="607">
        <f t="shared" si="248"/>
        <v>12752700</v>
      </c>
      <c r="H940" s="607">
        <f t="shared" si="249"/>
        <v>12063200</v>
      </c>
      <c r="I940" s="607">
        <f t="shared" si="250"/>
        <v>11208500</v>
      </c>
      <c r="J940" s="607">
        <f t="shared" si="242"/>
        <v>11212500</v>
      </c>
      <c r="K940" s="89">
        <f t="shared" si="243"/>
        <v>125296600</v>
      </c>
    </row>
    <row r="941" spans="1:11" x14ac:dyDescent="0.25">
      <c r="A941" s="679" t="s">
        <v>622</v>
      </c>
      <c r="B941" s="607">
        <f>+I548</f>
        <v>37953250</v>
      </c>
      <c r="C941" s="607">
        <f>+I560</f>
        <v>35344800</v>
      </c>
      <c r="D941" s="607">
        <f>+I572</f>
        <v>36238500</v>
      </c>
      <c r="E941" s="607">
        <f>+I584</f>
        <v>40347500</v>
      </c>
      <c r="F941" s="607">
        <f>+I596</f>
        <v>39863700</v>
      </c>
      <c r="G941" s="607">
        <f>+I608</f>
        <v>36923750</v>
      </c>
      <c r="H941" s="607">
        <f t="shared" si="249"/>
        <v>40085000</v>
      </c>
      <c r="I941" s="607">
        <f t="shared" si="250"/>
        <v>37918300</v>
      </c>
      <c r="J941" s="607">
        <f t="shared" si="242"/>
        <v>36578500</v>
      </c>
      <c r="K941" s="89">
        <f t="shared" si="243"/>
        <v>341253300</v>
      </c>
    </row>
    <row r="942" spans="1:11" x14ac:dyDescent="0.25">
      <c r="A942" s="679" t="s">
        <v>671</v>
      </c>
      <c r="B942" s="607">
        <v>0</v>
      </c>
      <c r="C942" s="607">
        <v>0</v>
      </c>
      <c r="D942" s="607">
        <v>0</v>
      </c>
      <c r="E942" s="607">
        <v>0</v>
      </c>
      <c r="F942" s="607">
        <v>0</v>
      </c>
      <c r="G942" s="607">
        <v>0</v>
      </c>
      <c r="H942" s="607">
        <f t="shared" si="249"/>
        <v>27742500</v>
      </c>
      <c r="I942" s="607">
        <f t="shared" si="250"/>
        <v>32309900</v>
      </c>
      <c r="J942" s="607">
        <f t="shared" si="242"/>
        <v>30540200</v>
      </c>
      <c r="K942" s="89">
        <f t="shared" si="243"/>
        <v>90592600</v>
      </c>
    </row>
    <row r="943" spans="1:11" x14ac:dyDescent="0.25">
      <c r="A943" s="679" t="s">
        <v>672</v>
      </c>
      <c r="B943" s="607">
        <v>0</v>
      </c>
      <c r="C943" s="607">
        <v>0</v>
      </c>
      <c r="D943" s="607">
        <v>0</v>
      </c>
      <c r="E943" s="607">
        <v>0</v>
      </c>
      <c r="F943" s="607">
        <v>0</v>
      </c>
      <c r="G943" s="607">
        <v>0</v>
      </c>
      <c r="H943" s="607">
        <f t="shared" si="249"/>
        <v>5343600</v>
      </c>
      <c r="I943" s="607">
        <f t="shared" si="250"/>
        <v>26070400</v>
      </c>
      <c r="J943" s="607">
        <f t="shared" si="242"/>
        <v>18731200</v>
      </c>
      <c r="K943" s="89">
        <f t="shared" si="243"/>
        <v>50145200</v>
      </c>
    </row>
    <row r="944" spans="1:11" ht="15.75" thickBot="1" x14ac:dyDescent="0.3">
      <c r="A944" s="679" t="s">
        <v>682</v>
      </c>
      <c r="B944" s="608">
        <v>0</v>
      </c>
      <c r="C944" s="608">
        <v>0</v>
      </c>
      <c r="D944" s="608">
        <v>0</v>
      </c>
      <c r="E944" s="608">
        <v>0</v>
      </c>
      <c r="F944" s="608">
        <v>0</v>
      </c>
      <c r="G944" s="608">
        <v>0</v>
      </c>
      <c r="H944" s="608">
        <v>0</v>
      </c>
      <c r="I944" s="608">
        <v>0</v>
      </c>
      <c r="J944" s="607">
        <f t="shared" si="242"/>
        <v>9333300</v>
      </c>
      <c r="K944" s="89">
        <f t="shared" si="243"/>
        <v>9333300</v>
      </c>
    </row>
    <row r="945" spans="1:11" ht="15.75" thickBot="1" x14ac:dyDescent="0.3">
      <c r="A945" s="598" t="s">
        <v>10</v>
      </c>
      <c r="B945" s="611">
        <f>+I549</f>
        <v>253533750</v>
      </c>
      <c r="C945" s="611">
        <f>+I561</f>
        <v>222198700</v>
      </c>
      <c r="D945" s="611">
        <f>+I573</f>
        <v>232689100</v>
      </c>
      <c r="E945" s="611">
        <f>+I585</f>
        <v>265928200</v>
      </c>
      <c r="F945" s="611">
        <f>+I597</f>
        <v>272971400</v>
      </c>
      <c r="G945" s="611">
        <f>+I609</f>
        <v>260772350</v>
      </c>
      <c r="H945" s="611">
        <f>+I623</f>
        <v>302929350</v>
      </c>
      <c r="I945" s="611">
        <f>+I637</f>
        <v>311403900</v>
      </c>
      <c r="J945" s="611">
        <f t="shared" si="242"/>
        <v>314922000</v>
      </c>
      <c r="K945" s="89">
        <f t="shared" si="243"/>
        <v>2437348750</v>
      </c>
    </row>
    <row r="946" spans="1:11" ht="15.75" thickBot="1" x14ac:dyDescent="0.3">
      <c r="A946" s="551" t="s">
        <v>419</v>
      </c>
      <c r="B946" s="601" t="s">
        <v>684</v>
      </c>
      <c r="C946" s="601" t="s">
        <v>688</v>
      </c>
      <c r="D946" s="601" t="s">
        <v>689</v>
      </c>
      <c r="E946" s="601" t="s">
        <v>692</v>
      </c>
      <c r="F946" s="601" t="s">
        <v>695</v>
      </c>
      <c r="G946" s="601" t="s">
        <v>702</v>
      </c>
      <c r="H946" s="601" t="s">
        <v>985</v>
      </c>
      <c r="I946" s="601" t="s">
        <v>986</v>
      </c>
      <c r="J946" s="601" t="s">
        <v>987</v>
      </c>
    </row>
    <row r="947" spans="1:11" ht="15.75" thickTop="1" x14ac:dyDescent="0.25">
      <c r="A947" s="553" t="s">
        <v>427</v>
      </c>
      <c r="B947" s="740">
        <f>+I655</f>
        <v>48381900</v>
      </c>
      <c r="C947" s="740">
        <f>+I670</f>
        <v>46513800</v>
      </c>
      <c r="D947" s="740">
        <f>+I685</f>
        <v>49195100</v>
      </c>
      <c r="E947" s="740">
        <f>+I700</f>
        <v>44038200</v>
      </c>
      <c r="F947" s="740">
        <f>+I715</f>
        <v>50083650</v>
      </c>
      <c r="G947" s="740">
        <f>+I730</f>
        <v>32315500</v>
      </c>
      <c r="H947" s="740">
        <f>+I746</f>
        <v>38118500</v>
      </c>
      <c r="I947" s="740">
        <f>+I762</f>
        <v>39472100</v>
      </c>
      <c r="J947" s="740">
        <f>+I778</f>
        <v>42451600</v>
      </c>
      <c r="K947" s="89">
        <f t="shared" ref="K947:K960" si="252">+SUM(B947:J947)</f>
        <v>390570350</v>
      </c>
    </row>
    <row r="948" spans="1:11" x14ac:dyDescent="0.25">
      <c r="A948" s="555" t="s">
        <v>428</v>
      </c>
      <c r="B948" s="607">
        <f t="shared" ref="B948:B957" si="253">+I656</f>
        <v>38922000</v>
      </c>
      <c r="C948" s="607">
        <f t="shared" ref="C948:C957" si="254">+I671</f>
        <v>42848900</v>
      </c>
      <c r="D948" s="607">
        <f t="shared" ref="D948:D957" si="255">+I686</f>
        <v>43835700</v>
      </c>
      <c r="E948" s="607">
        <f t="shared" ref="E948:E957" si="256">+I701</f>
        <v>40191700</v>
      </c>
      <c r="F948" s="607">
        <f t="shared" ref="F948:F957" si="257">+I716</f>
        <v>42866800</v>
      </c>
      <c r="G948" s="607">
        <f t="shared" ref="G948:G957" si="258">+I731</f>
        <v>32816600</v>
      </c>
      <c r="H948" s="607">
        <f t="shared" ref="H948:H960" si="259">+I747</f>
        <v>42409000</v>
      </c>
      <c r="I948" s="607">
        <f t="shared" ref="I948:I960" si="260">+I763</f>
        <v>42426900</v>
      </c>
      <c r="J948" s="607">
        <f t="shared" ref="J948:J960" si="261">+I779</f>
        <v>42182400</v>
      </c>
      <c r="K948" s="89">
        <f t="shared" si="252"/>
        <v>368500000</v>
      </c>
    </row>
    <row r="949" spans="1:11" x14ac:dyDescent="0.25">
      <c r="A949" s="553" t="s">
        <v>429</v>
      </c>
      <c r="B949" s="607">
        <f t="shared" si="253"/>
        <v>25403000</v>
      </c>
      <c r="C949" s="607">
        <f t="shared" si="254"/>
        <v>28473200</v>
      </c>
      <c r="D949" s="607">
        <f t="shared" si="255"/>
        <v>30465800</v>
      </c>
      <c r="E949" s="607">
        <f t="shared" si="256"/>
        <v>25348000</v>
      </c>
      <c r="F949" s="607">
        <f t="shared" si="257"/>
        <v>29762800</v>
      </c>
      <c r="G949" s="607">
        <f t="shared" si="258"/>
        <v>26323800</v>
      </c>
      <c r="H949" s="607">
        <f t="shared" si="259"/>
        <v>30575200</v>
      </c>
      <c r="I949" s="607">
        <f t="shared" si="260"/>
        <v>28180100</v>
      </c>
      <c r="J949" s="607">
        <f t="shared" si="261"/>
        <v>26539500</v>
      </c>
      <c r="K949" s="89">
        <f t="shared" si="252"/>
        <v>251071400</v>
      </c>
    </row>
    <row r="950" spans="1:11" x14ac:dyDescent="0.25">
      <c r="A950" s="577" t="s">
        <v>430</v>
      </c>
      <c r="B950" s="607">
        <f t="shared" si="253"/>
        <v>25399600</v>
      </c>
      <c r="C950" s="607">
        <f t="shared" si="254"/>
        <v>29821100</v>
      </c>
      <c r="D950" s="607">
        <f t="shared" si="255"/>
        <v>27394600</v>
      </c>
      <c r="E950" s="607">
        <f t="shared" si="256"/>
        <v>25353000</v>
      </c>
      <c r="F950" s="607">
        <f t="shared" si="257"/>
        <v>29145100</v>
      </c>
      <c r="G950" s="607">
        <f t="shared" si="258"/>
        <v>23351500</v>
      </c>
      <c r="H950" s="607">
        <f t="shared" si="259"/>
        <v>22508900</v>
      </c>
      <c r="I950" s="607">
        <f t="shared" si="260"/>
        <v>28119400</v>
      </c>
      <c r="J950" s="607">
        <f t="shared" si="261"/>
        <v>28501000</v>
      </c>
      <c r="K950" s="89">
        <f t="shared" si="252"/>
        <v>239594200</v>
      </c>
    </row>
    <row r="951" spans="1:11" x14ac:dyDescent="0.25">
      <c r="A951" s="577" t="s">
        <v>544</v>
      </c>
      <c r="B951" s="607">
        <f t="shared" si="253"/>
        <v>26154100</v>
      </c>
      <c r="C951" s="607">
        <f t="shared" si="254"/>
        <v>29336900</v>
      </c>
      <c r="D951" s="607">
        <f t="shared" si="255"/>
        <v>27601100</v>
      </c>
      <c r="E951" s="607">
        <f t="shared" si="256"/>
        <v>24313300</v>
      </c>
      <c r="F951" s="607">
        <f t="shared" si="257"/>
        <v>26122900</v>
      </c>
      <c r="G951" s="607">
        <f t="shared" si="258"/>
        <v>23699800</v>
      </c>
      <c r="H951" s="607">
        <f t="shared" si="259"/>
        <v>23168600</v>
      </c>
      <c r="I951" s="607">
        <f t="shared" si="260"/>
        <v>26006900</v>
      </c>
      <c r="J951" s="607">
        <f t="shared" si="261"/>
        <v>25597100</v>
      </c>
      <c r="K951" s="89">
        <f t="shared" si="252"/>
        <v>232000700</v>
      </c>
    </row>
    <row r="952" spans="1:11" x14ac:dyDescent="0.25">
      <c r="A952" s="577" t="s">
        <v>545</v>
      </c>
      <c r="B952" s="607">
        <f t="shared" si="253"/>
        <v>19783400</v>
      </c>
      <c r="C952" s="607">
        <f t="shared" si="254"/>
        <v>18856400</v>
      </c>
      <c r="D952" s="607">
        <f t="shared" si="255"/>
        <v>16531800</v>
      </c>
      <c r="E952" s="607">
        <f t="shared" si="256"/>
        <v>16953500</v>
      </c>
      <c r="F952" s="607">
        <f t="shared" si="257"/>
        <v>19266300</v>
      </c>
      <c r="G952" s="607">
        <f t="shared" si="258"/>
        <v>18622500</v>
      </c>
      <c r="H952" s="607">
        <f t="shared" si="259"/>
        <v>25332800</v>
      </c>
      <c r="I952" s="607">
        <f t="shared" si="260"/>
        <v>27762900</v>
      </c>
      <c r="J952" s="607">
        <f t="shared" si="261"/>
        <v>26222300</v>
      </c>
      <c r="K952" s="89">
        <f t="shared" si="252"/>
        <v>189331900</v>
      </c>
    </row>
    <row r="953" spans="1:11" x14ac:dyDescent="0.25">
      <c r="A953" s="577" t="s">
        <v>547</v>
      </c>
      <c r="B953" s="607">
        <f t="shared" si="253"/>
        <v>21186600</v>
      </c>
      <c r="C953" s="607">
        <f t="shared" si="254"/>
        <v>22346300</v>
      </c>
      <c r="D953" s="607">
        <f t="shared" si="255"/>
        <v>21775500</v>
      </c>
      <c r="E953" s="607">
        <f t="shared" si="256"/>
        <v>20504900</v>
      </c>
      <c r="F953" s="607">
        <f t="shared" si="257"/>
        <v>23008900</v>
      </c>
      <c r="G953" s="607">
        <f t="shared" si="258"/>
        <v>20075950</v>
      </c>
      <c r="H953" s="607">
        <f t="shared" si="259"/>
        <v>20051200</v>
      </c>
      <c r="I953" s="607">
        <f t="shared" si="260"/>
        <v>22222200</v>
      </c>
      <c r="J953" s="607">
        <f t="shared" si="261"/>
        <v>22959300</v>
      </c>
      <c r="K953" s="89">
        <f t="shared" si="252"/>
        <v>194130850</v>
      </c>
    </row>
    <row r="954" spans="1:11" x14ac:dyDescent="0.25">
      <c r="A954" s="679" t="s">
        <v>546</v>
      </c>
      <c r="B954" s="607">
        <f t="shared" si="253"/>
        <v>11301200</v>
      </c>
      <c r="C954" s="607">
        <f t="shared" si="254"/>
        <v>13551800</v>
      </c>
      <c r="D954" s="607">
        <f t="shared" si="255"/>
        <v>14339100</v>
      </c>
      <c r="E954" s="607">
        <f t="shared" si="256"/>
        <v>12255400</v>
      </c>
      <c r="F954" s="607">
        <f t="shared" si="257"/>
        <v>13116000</v>
      </c>
      <c r="G954" s="607">
        <f t="shared" si="258"/>
        <v>13866900</v>
      </c>
      <c r="H954" s="607">
        <f t="shared" si="259"/>
        <v>17023300</v>
      </c>
      <c r="I954" s="607">
        <f t="shared" si="260"/>
        <v>13066900</v>
      </c>
      <c r="J954" s="607">
        <f t="shared" si="261"/>
        <v>12147800</v>
      </c>
      <c r="K954" s="89">
        <f t="shared" si="252"/>
        <v>120668400</v>
      </c>
    </row>
    <row r="955" spans="1:11" x14ac:dyDescent="0.25">
      <c r="A955" s="679" t="s">
        <v>622</v>
      </c>
      <c r="B955" s="607">
        <f t="shared" si="253"/>
        <v>33690100</v>
      </c>
      <c r="C955" s="607">
        <f t="shared" si="254"/>
        <v>38932500</v>
      </c>
      <c r="D955" s="607">
        <f t="shared" si="255"/>
        <v>42083600</v>
      </c>
      <c r="E955" s="607">
        <f t="shared" si="256"/>
        <v>38280000</v>
      </c>
      <c r="F955" s="607">
        <f t="shared" si="257"/>
        <v>40951800</v>
      </c>
      <c r="G955" s="607">
        <f t="shared" si="258"/>
        <v>33591300</v>
      </c>
      <c r="H955" s="607">
        <f t="shared" si="259"/>
        <v>43378850</v>
      </c>
      <c r="I955" s="607">
        <f t="shared" si="260"/>
        <v>38274900</v>
      </c>
      <c r="J955" s="607">
        <f t="shared" si="261"/>
        <v>38550200</v>
      </c>
      <c r="K955" s="89">
        <f t="shared" si="252"/>
        <v>347733250</v>
      </c>
    </row>
    <row r="956" spans="1:11" x14ac:dyDescent="0.25">
      <c r="A956" s="679" t="s">
        <v>671</v>
      </c>
      <c r="B956" s="607">
        <f t="shared" si="253"/>
        <v>30676600</v>
      </c>
      <c r="C956" s="607">
        <f t="shared" si="254"/>
        <v>33582600</v>
      </c>
      <c r="D956" s="607">
        <f t="shared" si="255"/>
        <v>33874600</v>
      </c>
      <c r="E956" s="607">
        <f t="shared" si="256"/>
        <v>35185400</v>
      </c>
      <c r="F956" s="607">
        <f t="shared" si="257"/>
        <v>33676500</v>
      </c>
      <c r="G956" s="607">
        <f t="shared" si="258"/>
        <v>31248400</v>
      </c>
      <c r="H956" s="607">
        <f t="shared" si="259"/>
        <v>29316500</v>
      </c>
      <c r="I956" s="607">
        <f t="shared" si="260"/>
        <v>29385500</v>
      </c>
      <c r="J956" s="607">
        <f t="shared" si="261"/>
        <v>32188300</v>
      </c>
      <c r="K956" s="89">
        <f t="shared" si="252"/>
        <v>289134400</v>
      </c>
    </row>
    <row r="957" spans="1:11" x14ac:dyDescent="0.25">
      <c r="A957" s="679" t="s">
        <v>672</v>
      </c>
      <c r="B957" s="607">
        <f t="shared" si="253"/>
        <v>17003600</v>
      </c>
      <c r="C957" s="607">
        <f t="shared" si="254"/>
        <v>14408800</v>
      </c>
      <c r="D957" s="607">
        <f t="shared" si="255"/>
        <v>14409800</v>
      </c>
      <c r="E957" s="607">
        <f t="shared" si="256"/>
        <v>8176900</v>
      </c>
      <c r="F957" s="607">
        <f t="shared" si="257"/>
        <v>9592000</v>
      </c>
      <c r="G957" s="607">
        <f t="shared" si="258"/>
        <v>12372000</v>
      </c>
      <c r="H957" s="607">
        <f t="shared" si="259"/>
        <v>967100</v>
      </c>
      <c r="I957" s="607">
        <f t="shared" si="260"/>
        <v>10509400</v>
      </c>
      <c r="J957" s="607">
        <f t="shared" si="261"/>
        <v>12329000</v>
      </c>
      <c r="K957" s="89">
        <f t="shared" si="252"/>
        <v>99768600</v>
      </c>
    </row>
    <row r="958" spans="1:11" x14ac:dyDescent="0.25">
      <c r="A958" s="679" t="s">
        <v>682</v>
      </c>
      <c r="B958" s="607">
        <f>+I666</f>
        <v>17042500</v>
      </c>
      <c r="C958" s="607">
        <f>+I681</f>
        <v>21426500</v>
      </c>
      <c r="D958" s="607">
        <f>+I696</f>
        <v>18444150</v>
      </c>
      <c r="E958" s="607">
        <f>+I711</f>
        <v>17145400</v>
      </c>
      <c r="F958" s="607">
        <f>+I726</f>
        <v>19868400</v>
      </c>
      <c r="G958" s="607">
        <f>+I741</f>
        <v>17390600</v>
      </c>
      <c r="H958" s="607">
        <f t="shared" si="259"/>
        <v>20993600</v>
      </c>
      <c r="I958" s="607">
        <f t="shared" si="260"/>
        <v>20548700</v>
      </c>
      <c r="J958" s="607">
        <f t="shared" si="261"/>
        <v>19167900</v>
      </c>
      <c r="K958" s="89">
        <f t="shared" si="252"/>
        <v>172027750</v>
      </c>
    </row>
    <row r="959" spans="1:11" ht="15.75" thickBot="1" x14ac:dyDescent="0.3">
      <c r="A959" s="679" t="s">
        <v>709</v>
      </c>
      <c r="B959" s="607">
        <v>0</v>
      </c>
      <c r="C959" s="607">
        <v>0</v>
      </c>
      <c r="D959" s="607">
        <v>0</v>
      </c>
      <c r="E959" s="607">
        <v>0</v>
      </c>
      <c r="F959" s="607">
        <v>0</v>
      </c>
      <c r="G959" s="607">
        <f>+I742</f>
        <v>14903200</v>
      </c>
      <c r="H959" s="607">
        <f t="shared" si="259"/>
        <v>30385900</v>
      </c>
      <c r="I959" s="607">
        <f t="shared" si="260"/>
        <v>27800600</v>
      </c>
      <c r="J959" s="607">
        <f t="shared" si="261"/>
        <v>26754000</v>
      </c>
      <c r="K959" s="89">
        <f t="shared" si="252"/>
        <v>99843700</v>
      </c>
    </row>
    <row r="960" spans="1:11" ht="15.75" thickBot="1" x14ac:dyDescent="0.3">
      <c r="A960" s="598" t="s">
        <v>10</v>
      </c>
      <c r="B960" s="611">
        <f>+I667</f>
        <v>314944600</v>
      </c>
      <c r="C960" s="611">
        <f>+I682</f>
        <v>340098800</v>
      </c>
      <c r="D960" s="611">
        <f>+I697</f>
        <v>339950850</v>
      </c>
      <c r="E960" s="611">
        <f>+I712</f>
        <v>307745700</v>
      </c>
      <c r="F960" s="611">
        <f>+I727</f>
        <v>337461150</v>
      </c>
      <c r="G960" s="611">
        <f>+I743</f>
        <v>300578050</v>
      </c>
      <c r="H960" s="611">
        <f t="shared" si="259"/>
        <v>344229450</v>
      </c>
      <c r="I960" s="611">
        <f t="shared" si="260"/>
        <v>353776500</v>
      </c>
      <c r="J960" s="611">
        <f t="shared" si="261"/>
        <v>355590400</v>
      </c>
      <c r="K960" s="89">
        <f t="shared" si="252"/>
        <v>2994375500</v>
      </c>
    </row>
    <row r="961" spans="1:13" ht="15.75" thickBot="1" x14ac:dyDescent="0.3"/>
    <row r="962" spans="1:13" ht="15.75" thickBot="1" x14ac:dyDescent="0.3">
      <c r="A962" s="551" t="s">
        <v>419</v>
      </c>
      <c r="B962" s="601" t="s">
        <v>988</v>
      </c>
      <c r="C962" s="601" t="s">
        <v>989</v>
      </c>
      <c r="D962" s="601" t="s">
        <v>990</v>
      </c>
      <c r="E962" s="601" t="s">
        <v>991</v>
      </c>
      <c r="F962" s="601" t="s">
        <v>992</v>
      </c>
      <c r="G962" s="580" t="s">
        <v>96</v>
      </c>
    </row>
    <row r="963" spans="1:13" ht="15.75" thickTop="1" x14ac:dyDescent="0.25">
      <c r="A963" s="832" t="s">
        <v>427</v>
      </c>
      <c r="B963" s="740">
        <f>+I794</f>
        <v>37547200</v>
      </c>
      <c r="C963" s="740">
        <f>+I811</f>
        <v>43854100</v>
      </c>
      <c r="D963" s="740">
        <f>+I828</f>
        <v>39005100</v>
      </c>
      <c r="E963" s="740">
        <f>+I845</f>
        <v>37406800</v>
      </c>
      <c r="F963" s="740">
        <f>+I862</f>
        <v>39969700</v>
      </c>
      <c r="G963" s="612">
        <f>SUM(B879:J879)+SUM(B885:J885)+SUM(B891:J891)+SUM(B898:J898)+SUM(B905:J905)+SUM(B912:J912)+SUM(B922:J922)+SUM(B933:J933)+SUM(B947:J947)+SUM(B963:F963)</f>
        <v>4868380851</v>
      </c>
      <c r="K963" s="89">
        <f t="shared" ref="K963:K977" si="262">+SUM(B963:F963)</f>
        <v>197782900</v>
      </c>
      <c r="L963" s="89">
        <f>+K879+K885+K891+K898+K905+K912+K922+K933+K947+K963</f>
        <v>4868380851</v>
      </c>
      <c r="M963" s="89">
        <f t="shared" ref="M963:M977" si="263">+L963-G963</f>
        <v>0</v>
      </c>
    </row>
    <row r="964" spans="1:13" x14ac:dyDescent="0.25">
      <c r="A964" s="836" t="s">
        <v>428</v>
      </c>
      <c r="B964" s="607">
        <f t="shared" ref="B964:B976" si="264">+I795</f>
        <v>37627000</v>
      </c>
      <c r="C964" s="607">
        <f t="shared" ref="C964:C977" si="265">+I812</f>
        <v>47921100</v>
      </c>
      <c r="D964" s="607">
        <f t="shared" ref="D964:D977" si="266">+I829</f>
        <v>36222500</v>
      </c>
      <c r="E964" s="607">
        <f t="shared" ref="E964:E976" si="267">+I846</f>
        <v>37132300</v>
      </c>
      <c r="F964" s="607">
        <f t="shared" ref="F964:F977" si="268">+I863</f>
        <v>42681000</v>
      </c>
      <c r="G964" s="612">
        <f>SUM(B880:J880)+SUM(B886:J886)+SUM(B892:J892)+SUM(B899:J899)+SUM(B906:J906)+SUM(B913:J913)+SUM(B923:J923)+SUM(B934:J934)+SUM(B948:J948)+SUM(B964:F964)</f>
        <v>3770601390</v>
      </c>
      <c r="J964" s="89"/>
      <c r="K964" s="89">
        <f t="shared" si="262"/>
        <v>201583900</v>
      </c>
      <c r="L964" s="89">
        <f>+K880+K886+K892+K899+K906+K913+K923+K934+K948+K964</f>
        <v>3770601390</v>
      </c>
      <c r="M964" s="89">
        <f t="shared" si="263"/>
        <v>0</v>
      </c>
    </row>
    <row r="965" spans="1:13" x14ac:dyDescent="0.25">
      <c r="A965" s="832" t="s">
        <v>429</v>
      </c>
      <c r="B965" s="607">
        <f t="shared" si="264"/>
        <v>26340400</v>
      </c>
      <c r="C965" s="607">
        <f t="shared" si="265"/>
        <v>27131600</v>
      </c>
      <c r="D965" s="607">
        <f t="shared" si="266"/>
        <v>23325200</v>
      </c>
      <c r="E965" s="607">
        <f t="shared" si="267"/>
        <v>27430700</v>
      </c>
      <c r="F965" s="607">
        <f t="shared" si="268"/>
        <v>26444700</v>
      </c>
      <c r="G965" s="612">
        <f>SUM(B881:J881)+SUM(B887:J887)+SUM(B893:J893)+SUM(B900:J900)+SUM(B907:J907)+SUM(B914:J914)+SUM(B924:J924)+SUM(B935:J935)+SUM(B949:J949)+SUM(B965:F965)</f>
        <v>2814340800</v>
      </c>
      <c r="K965" s="89">
        <f t="shared" si="262"/>
        <v>130672600</v>
      </c>
      <c r="L965" s="89">
        <f>+K881+K887+K893+K900+K907+K914+K924+K935+K949+K965</f>
        <v>2814340800</v>
      </c>
      <c r="M965" s="89">
        <f t="shared" si="263"/>
        <v>0</v>
      </c>
    </row>
    <row r="966" spans="1:13" x14ac:dyDescent="0.25">
      <c r="A966" s="836" t="s">
        <v>430</v>
      </c>
      <c r="B966" s="607">
        <f t="shared" si="264"/>
        <v>26378300</v>
      </c>
      <c r="C966" s="607">
        <f t="shared" si="265"/>
        <v>28516500</v>
      </c>
      <c r="D966" s="607">
        <f t="shared" si="266"/>
        <v>22581800</v>
      </c>
      <c r="E966" s="607">
        <f t="shared" si="267"/>
        <v>25142800</v>
      </c>
      <c r="F966" s="607">
        <f t="shared" si="268"/>
        <v>28780000</v>
      </c>
      <c r="G966" s="612">
        <f>SUM(B882:J882)+SUM(B888:J888)+SUM(B894:J894)+SUM(B901:J901)+SUM(B908:J908)+SUM(B915:J915)+SUM(B925:J925)+SUM(B936:J936)+SUM(B950:J950)+SUM(B966:F966)</f>
        <v>3131780300</v>
      </c>
      <c r="K966" s="89">
        <f t="shared" si="262"/>
        <v>131399400</v>
      </c>
      <c r="L966" s="89">
        <f>+K882+K888+K894+K901+K908+K915+K925+K936+K950+K966</f>
        <v>3131780300</v>
      </c>
      <c r="M966" s="89">
        <f t="shared" si="263"/>
        <v>0</v>
      </c>
    </row>
    <row r="967" spans="1:13" x14ac:dyDescent="0.25">
      <c r="A967" s="842" t="s">
        <v>544</v>
      </c>
      <c r="B967" s="607">
        <f t="shared" si="264"/>
        <v>26754700</v>
      </c>
      <c r="C967" s="607">
        <f t="shared" si="265"/>
        <v>28959400</v>
      </c>
      <c r="D967" s="607">
        <f t="shared" si="266"/>
        <v>25101900</v>
      </c>
      <c r="E967" s="607">
        <f t="shared" si="267"/>
        <v>24681900</v>
      </c>
      <c r="F967" s="607">
        <f t="shared" si="268"/>
        <v>24088800</v>
      </c>
      <c r="G967" s="612">
        <f>+SUM(B895:J895)+SUM(B902:J902)+SUM(B909:J909)+SUM(B916:J916)+SUM(B926:J926)+SUM(B937:J937)+SUM(B951:J951)+SUM(B967:F967)</f>
        <v>2078706900</v>
      </c>
      <c r="K967" s="89">
        <f t="shared" si="262"/>
        <v>129586700</v>
      </c>
      <c r="L967" s="89">
        <f>+K895+K902+K909+K916+K926+K937+K951+K967</f>
        <v>2078706900</v>
      </c>
      <c r="M967" s="89">
        <f t="shared" si="263"/>
        <v>0</v>
      </c>
    </row>
    <row r="968" spans="1:13" x14ac:dyDescent="0.25">
      <c r="A968" s="836" t="s">
        <v>545</v>
      </c>
      <c r="B968" s="607">
        <f t="shared" si="264"/>
        <v>26605200</v>
      </c>
      <c r="C968" s="607">
        <f t="shared" si="265"/>
        <v>31224400</v>
      </c>
      <c r="D968" s="607">
        <f t="shared" si="266"/>
        <v>22229900</v>
      </c>
      <c r="E968" s="607">
        <f t="shared" si="267"/>
        <v>25111300</v>
      </c>
      <c r="F968" s="607">
        <f t="shared" si="268"/>
        <v>28216100</v>
      </c>
      <c r="G968" s="612">
        <f>+SUM(B917:J917)+SUM(B927:J927)+SUM(B938:J938)+SUM(B952:J952)+SUM(B968:F968)</f>
        <v>805996200</v>
      </c>
      <c r="K968" s="89">
        <f t="shared" si="262"/>
        <v>133386900</v>
      </c>
      <c r="L968" s="89">
        <f>+K917+K927+K938+K952+K968</f>
        <v>805996200</v>
      </c>
      <c r="M968" s="89">
        <f t="shared" si="263"/>
        <v>0</v>
      </c>
    </row>
    <row r="969" spans="1:13" x14ac:dyDescent="0.25">
      <c r="A969" s="836" t="s">
        <v>547</v>
      </c>
      <c r="B969" s="607">
        <f t="shared" si="264"/>
        <v>21226600</v>
      </c>
      <c r="C969" s="607">
        <f t="shared" si="265"/>
        <v>21976700</v>
      </c>
      <c r="D969" s="607">
        <f t="shared" si="266"/>
        <v>21553900</v>
      </c>
      <c r="E969" s="607">
        <f t="shared" si="267"/>
        <v>22323300</v>
      </c>
      <c r="F969" s="607">
        <f t="shared" si="268"/>
        <v>22759300</v>
      </c>
      <c r="G969" s="612">
        <f>+SUM(B918:J918)+SUM(B928:J928)+SUM(B939:J939)+SUM(B953:J953)+SUM(B969:F969)</f>
        <v>848432750</v>
      </c>
      <c r="K969" s="89">
        <f t="shared" si="262"/>
        <v>109839800</v>
      </c>
      <c r="L969" s="89">
        <f>+K918+K928+K939+K953+K969</f>
        <v>848432750</v>
      </c>
      <c r="M969" s="89">
        <f t="shared" si="263"/>
        <v>0</v>
      </c>
    </row>
    <row r="970" spans="1:13" x14ac:dyDescent="0.25">
      <c r="A970" s="836" t="s">
        <v>546</v>
      </c>
      <c r="B970" s="607">
        <f t="shared" si="264"/>
        <v>15643500</v>
      </c>
      <c r="C970" s="607">
        <f t="shared" si="265"/>
        <v>16610000</v>
      </c>
      <c r="D970" s="607">
        <f t="shared" si="266"/>
        <v>13253900</v>
      </c>
      <c r="E970" s="607">
        <f t="shared" si="267"/>
        <v>12302800</v>
      </c>
      <c r="F970" s="607">
        <f t="shared" si="268"/>
        <v>11883700</v>
      </c>
      <c r="G970" s="612">
        <f>+SUM(B919:J919)+SUM(B929:J929)+SUM(B940:J940)+SUM(B954:J954)+SUM(B970:F970)</f>
        <v>544917350</v>
      </c>
      <c r="K970" s="89">
        <f t="shared" si="262"/>
        <v>69693900</v>
      </c>
      <c r="L970" s="89">
        <f>+K919+K929+K940+K954+K970</f>
        <v>544917350</v>
      </c>
      <c r="M970" s="89">
        <f t="shared" si="263"/>
        <v>0</v>
      </c>
    </row>
    <row r="971" spans="1:13" x14ac:dyDescent="0.25">
      <c r="A971" s="842" t="s">
        <v>622</v>
      </c>
      <c r="B971" s="607">
        <f t="shared" si="264"/>
        <v>35968200</v>
      </c>
      <c r="C971" s="607">
        <f t="shared" si="265"/>
        <v>44734800</v>
      </c>
      <c r="D971" s="607">
        <f t="shared" si="266"/>
        <v>33766000</v>
      </c>
      <c r="E971" s="607">
        <f t="shared" si="267"/>
        <v>33110200</v>
      </c>
      <c r="F971" s="607">
        <f t="shared" si="268"/>
        <v>39109000</v>
      </c>
      <c r="G971" s="612">
        <f>+SUM(B930:J930)+SUM(B941:J941)+SUM(B955:J955)+SUM(B971:F971)</f>
        <v>1309824050</v>
      </c>
      <c r="K971" s="89">
        <f t="shared" si="262"/>
        <v>186688200</v>
      </c>
      <c r="L971" s="89">
        <f>+K930+K941+K955+K971</f>
        <v>1309824050</v>
      </c>
      <c r="M971" s="89">
        <f t="shared" si="263"/>
        <v>0</v>
      </c>
    </row>
    <row r="972" spans="1:13" x14ac:dyDescent="0.25">
      <c r="A972" s="842" t="s">
        <v>671</v>
      </c>
      <c r="B972" s="607">
        <f t="shared" si="264"/>
        <v>27894900</v>
      </c>
      <c r="C972" s="607">
        <f t="shared" si="265"/>
        <v>33274600</v>
      </c>
      <c r="D972" s="607">
        <f t="shared" si="266"/>
        <v>28103400</v>
      </c>
      <c r="E972" s="607">
        <f t="shared" si="267"/>
        <v>27165000</v>
      </c>
      <c r="F972" s="607">
        <f t="shared" si="268"/>
        <v>28845100</v>
      </c>
      <c r="G972" s="612">
        <f>+SUM(B942:J942)+SUM(B956:J956)+SUM(B972:F972)</f>
        <v>525010000</v>
      </c>
      <c r="K972" s="89">
        <f t="shared" si="262"/>
        <v>145283000</v>
      </c>
      <c r="L972" s="89">
        <f>+K942+K956+K972</f>
        <v>525010000</v>
      </c>
      <c r="M972" s="89">
        <f t="shared" si="263"/>
        <v>0</v>
      </c>
    </row>
    <row r="973" spans="1:13" x14ac:dyDescent="0.25">
      <c r="A973" s="842" t="s">
        <v>672</v>
      </c>
      <c r="B973" s="607">
        <f t="shared" si="264"/>
        <v>9806000</v>
      </c>
      <c r="C973" s="607">
        <f t="shared" si="265"/>
        <v>6644600</v>
      </c>
      <c r="D973" s="607">
        <f t="shared" si="266"/>
        <v>10254800</v>
      </c>
      <c r="E973" s="607">
        <f t="shared" si="267"/>
        <v>6551800</v>
      </c>
      <c r="F973" s="607">
        <f t="shared" si="268"/>
        <v>4369400</v>
      </c>
      <c r="G973" s="612">
        <f>+SUM(B943:J943)+SUM(B957:J957)+SUM(B973:F973)</f>
        <v>187540400</v>
      </c>
      <c r="K973" s="89">
        <f t="shared" si="262"/>
        <v>37626600</v>
      </c>
      <c r="L973" s="89">
        <f>+K943+K957+K973</f>
        <v>187540400</v>
      </c>
      <c r="M973" s="89">
        <f t="shared" si="263"/>
        <v>0</v>
      </c>
    </row>
    <row r="974" spans="1:13" x14ac:dyDescent="0.25">
      <c r="A974" s="842" t="s">
        <v>682</v>
      </c>
      <c r="B974" s="607">
        <f t="shared" si="264"/>
        <v>18309700</v>
      </c>
      <c r="C974" s="607">
        <f t="shared" si="265"/>
        <v>22629300</v>
      </c>
      <c r="D974" s="607">
        <f t="shared" si="266"/>
        <v>16103100</v>
      </c>
      <c r="E974" s="607">
        <f t="shared" si="267"/>
        <v>18936700</v>
      </c>
      <c r="F974" s="607">
        <f t="shared" si="268"/>
        <v>18890500</v>
      </c>
      <c r="G974" s="612">
        <f>+SUM(B944:J944)+SUM(B958:J958)+SUM(B974:F974)</f>
        <v>276230350</v>
      </c>
      <c r="K974" s="89">
        <f t="shared" si="262"/>
        <v>94869300</v>
      </c>
      <c r="L974" s="89">
        <f>+K944+K958+K974</f>
        <v>276230350</v>
      </c>
      <c r="M974" s="89">
        <f t="shared" si="263"/>
        <v>0</v>
      </c>
    </row>
    <row r="975" spans="1:13" x14ac:dyDescent="0.25">
      <c r="A975" s="842" t="s">
        <v>709</v>
      </c>
      <c r="B975" s="607">
        <f t="shared" si="264"/>
        <v>24951000</v>
      </c>
      <c r="C975" s="607">
        <f t="shared" si="265"/>
        <v>26205700</v>
      </c>
      <c r="D975" s="607">
        <f t="shared" si="266"/>
        <v>22169800</v>
      </c>
      <c r="E975" s="607">
        <f t="shared" si="267"/>
        <v>21256000</v>
      </c>
      <c r="F975" s="607">
        <f t="shared" si="268"/>
        <v>24352800</v>
      </c>
      <c r="G975" s="612">
        <f>+SUM(B959:J959)+SUM(B975:F975)</f>
        <v>218779000</v>
      </c>
      <c r="K975" s="89">
        <f t="shared" si="262"/>
        <v>118935300</v>
      </c>
      <c r="L975" s="89">
        <f>+K959+K975</f>
        <v>218779000</v>
      </c>
      <c r="M975" s="89">
        <f t="shared" si="263"/>
        <v>0</v>
      </c>
    </row>
    <row r="976" spans="1:13" ht="15.75" thickBot="1" x14ac:dyDescent="0.3">
      <c r="A976" s="842" t="s">
        <v>984</v>
      </c>
      <c r="B976" s="607">
        <f t="shared" si="264"/>
        <v>34267700</v>
      </c>
      <c r="C976" s="607">
        <f t="shared" si="265"/>
        <v>43548500</v>
      </c>
      <c r="D976" s="607">
        <f t="shared" si="266"/>
        <v>32505400</v>
      </c>
      <c r="E976" s="607">
        <f t="shared" si="267"/>
        <v>30529000</v>
      </c>
      <c r="F976" s="607">
        <f t="shared" si="268"/>
        <v>33779400</v>
      </c>
      <c r="G976" s="612">
        <f>+SUM(B976:F976)</f>
        <v>174630000</v>
      </c>
      <c r="K976" s="89">
        <f t="shared" si="262"/>
        <v>174630000</v>
      </c>
      <c r="L976" s="89">
        <f>+K976</f>
        <v>174630000</v>
      </c>
      <c r="M976" s="89">
        <f t="shared" si="263"/>
        <v>0</v>
      </c>
    </row>
    <row r="977" spans="1:13" ht="15.75" thickBot="1" x14ac:dyDescent="0.3">
      <c r="A977" s="598" t="s">
        <v>10</v>
      </c>
      <c r="B977" s="611">
        <f>+I808</f>
        <v>369320400</v>
      </c>
      <c r="C977" s="611">
        <f t="shared" si="265"/>
        <v>423231300</v>
      </c>
      <c r="D977" s="611">
        <f t="shared" si="266"/>
        <v>346176700</v>
      </c>
      <c r="E977" s="611">
        <f>+I859</f>
        <v>349080600</v>
      </c>
      <c r="F977" s="611">
        <f t="shared" si="268"/>
        <v>374169500</v>
      </c>
      <c r="G977" s="611">
        <f>SUM(G963:G976)</f>
        <v>21555170341</v>
      </c>
      <c r="K977" s="89">
        <f t="shared" si="262"/>
        <v>1861978500</v>
      </c>
      <c r="L977" s="89">
        <f>+K883+K889+K896+K903+K910+K920+K931+K945+K960+K977</f>
        <v>21555170341</v>
      </c>
      <c r="M977" s="89">
        <f t="shared" si="263"/>
        <v>0</v>
      </c>
    </row>
    <row r="978" spans="1:13" x14ac:dyDescent="0.25">
      <c r="M978" s="89">
        <f>+L977-L977</f>
        <v>0</v>
      </c>
    </row>
    <row r="979" spans="1:13" x14ac:dyDescent="0.25">
      <c r="M979" s="89">
        <f>+L977-G977</f>
        <v>0</v>
      </c>
    </row>
  </sheetData>
  <sheetProtection selectLockedCells="1" selectUnlockedCells="1"/>
  <mergeCells count="1">
    <mergeCell ref="A2:H3"/>
  </mergeCells>
  <printOptions horizontalCentered="1"/>
  <pageMargins left="0.90555555555555556" right="0.39374999999999999" top="0.94513888888888886" bottom="0.2361111111111111" header="0.51180555555555551" footer="0.51180555555555551"/>
  <pageSetup paperSize="5" scale="80" firstPageNumber="0"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G66"/>
  <sheetViews>
    <sheetView tabSelected="1" zoomScaleNormal="100" zoomScalePageLayoutView="125" workbookViewId="0">
      <pane xSplit="2" ySplit="2" topLeftCell="GY3" activePane="bottomRight" state="frozen"/>
      <selection pane="topRight" activeCell="C1" sqref="C1"/>
      <selection pane="bottomLeft" activeCell="A2" sqref="A2"/>
      <selection pane="bottomRight" activeCell="FT10" sqref="FT9:HQ10"/>
    </sheetView>
  </sheetViews>
  <sheetFormatPr baseColWidth="10" defaultColWidth="11.42578125" defaultRowHeight="12" x14ac:dyDescent="0.2"/>
  <cols>
    <col min="1" max="1" width="16.85546875" style="804" bestFit="1" customWidth="1"/>
    <col min="2" max="2" width="17.7109375" style="804" customWidth="1"/>
    <col min="3" max="3" width="19.28515625" style="756" customWidth="1"/>
    <col min="4" max="4" width="18.42578125" style="756" customWidth="1"/>
    <col min="5" max="5" width="18.28515625" style="756" customWidth="1"/>
    <col min="6" max="6" width="18" style="756" customWidth="1"/>
    <col min="7" max="7" width="17.85546875" style="756" customWidth="1"/>
    <col min="8" max="8" width="18.28515625" style="756" customWidth="1"/>
    <col min="9" max="10" width="17.85546875" style="756" customWidth="1"/>
    <col min="11" max="11" width="18.7109375" style="756" customWidth="1"/>
    <col min="12" max="12" width="18.28515625" style="756" customWidth="1"/>
    <col min="13" max="13" width="17.85546875" style="756" customWidth="1"/>
    <col min="14" max="14" width="18.140625" style="756" customWidth="1"/>
    <col min="15" max="15" width="17.7109375" style="756" customWidth="1"/>
    <col min="16" max="16" width="19" style="756" customWidth="1"/>
    <col min="17" max="17" width="17.42578125" style="756" customWidth="1"/>
    <col min="18" max="18" width="18.85546875" style="756" customWidth="1"/>
    <col min="19" max="19" width="16.85546875" style="756" customWidth="1"/>
    <col min="20" max="20" width="19.140625" style="756" customWidth="1"/>
    <col min="21" max="21" width="16.7109375" style="756" customWidth="1"/>
    <col min="22" max="22" width="17.42578125" style="756" customWidth="1"/>
    <col min="23" max="23" width="18.28515625" style="756" customWidth="1"/>
    <col min="24" max="24" width="18.7109375" style="756" customWidth="1"/>
    <col min="25" max="25" width="19" style="756" customWidth="1"/>
    <col min="26" max="26" width="18.42578125" style="756" customWidth="1"/>
    <col min="27" max="27" width="19" style="756" customWidth="1"/>
    <col min="28" max="28" width="16.7109375" style="756" customWidth="1"/>
    <col min="29" max="29" width="17.7109375" style="756" customWidth="1"/>
    <col min="30" max="30" width="17.28515625" style="756" customWidth="1"/>
    <col min="31" max="31" width="18.42578125" style="756" customWidth="1"/>
    <col min="32" max="32" width="19" style="756" customWidth="1"/>
    <col min="33" max="33" width="18.42578125" style="756" customWidth="1"/>
    <col min="34" max="34" width="18" style="756" customWidth="1"/>
    <col min="35" max="35" width="18.140625" style="756" customWidth="1"/>
    <col min="36" max="36" width="18.85546875" style="756" customWidth="1"/>
    <col min="37" max="37" width="18.28515625" style="756" customWidth="1"/>
    <col min="38" max="38" width="18.42578125" style="756" customWidth="1"/>
    <col min="39" max="39" width="17.42578125" style="756" customWidth="1"/>
    <col min="40" max="40" width="17.28515625" style="756" customWidth="1"/>
    <col min="41" max="41" width="18.42578125" style="756" customWidth="1"/>
    <col min="42" max="42" width="16.7109375" style="756" customWidth="1"/>
    <col min="43" max="43" width="14.7109375" style="756" customWidth="1"/>
    <col min="44" max="44" width="16.42578125" style="756" customWidth="1"/>
    <col min="45" max="45" width="15.42578125" style="756" customWidth="1"/>
    <col min="46" max="46" width="16.42578125" style="756" customWidth="1"/>
    <col min="47" max="47" width="13.85546875" style="756" customWidth="1"/>
    <col min="48" max="48" width="16.140625" style="756" customWidth="1"/>
    <col min="49" max="49" width="22" style="756" customWidth="1"/>
    <col min="50" max="50" width="16.42578125" style="756" customWidth="1"/>
    <col min="51" max="51" width="17.42578125" style="756" customWidth="1"/>
    <col min="52" max="52" width="19.28515625" style="756" customWidth="1"/>
    <col min="53" max="53" width="19.140625" style="756" customWidth="1"/>
    <col min="54" max="54" width="16.28515625" style="756" customWidth="1"/>
    <col min="55" max="56" width="19.28515625" style="756" customWidth="1"/>
    <col min="57" max="57" width="19" style="756" customWidth="1"/>
    <col min="58" max="58" width="19.28515625" style="756" customWidth="1"/>
    <col min="59" max="59" width="17.140625" style="756" customWidth="1"/>
    <col min="60" max="60" width="18.28515625" style="756" customWidth="1"/>
    <col min="61" max="61" width="19.7109375" style="756" customWidth="1"/>
    <col min="62" max="62" width="19.140625" style="756" customWidth="1"/>
    <col min="63" max="63" width="18.42578125" style="756" customWidth="1"/>
    <col min="64" max="64" width="16.85546875" style="756" customWidth="1"/>
    <col min="65" max="65" width="18.28515625" style="756" customWidth="1"/>
    <col min="66" max="66" width="20.140625" style="756" customWidth="1"/>
    <col min="67" max="83" width="18.42578125" style="756" customWidth="1"/>
    <col min="84" max="91" width="18" style="756" customWidth="1"/>
    <col min="92" max="93" width="19" style="756" customWidth="1"/>
    <col min="94" max="94" width="22.42578125" style="756" customWidth="1"/>
    <col min="95" max="95" width="19.7109375" style="756" customWidth="1"/>
    <col min="96" max="96" width="22.85546875" style="756" customWidth="1"/>
    <col min="97" max="97" width="18.140625" style="756" customWidth="1"/>
    <col min="98" max="98" width="14.140625" style="756" customWidth="1"/>
    <col min="99" max="99" width="23.42578125" style="756" bestFit="1" customWidth="1"/>
    <col min="100" max="100" width="17" style="756" customWidth="1"/>
    <col min="101" max="101" width="19.42578125" style="756" customWidth="1"/>
    <col min="102" max="102" width="17" style="756" customWidth="1"/>
    <col min="103" max="103" width="20.42578125" style="756" customWidth="1"/>
    <col min="104" max="104" width="20" style="756" customWidth="1"/>
    <col min="105" max="105" width="20.140625" style="756" customWidth="1"/>
    <col min="106" max="110" width="19.28515625" style="756" customWidth="1"/>
    <col min="111" max="112" width="20.85546875" style="756" customWidth="1"/>
    <col min="113" max="113" width="16" style="756" customWidth="1"/>
    <col min="114" max="114" width="15.28515625" style="756" customWidth="1"/>
    <col min="115" max="115" width="19.140625" style="756" customWidth="1"/>
    <col min="116" max="116" width="14.140625" style="756" customWidth="1"/>
    <col min="117" max="117" width="32.85546875" style="756" customWidth="1"/>
    <col min="118" max="118" width="15.28515625" style="756" customWidth="1"/>
    <col min="119" max="119" width="17" style="756" customWidth="1"/>
    <col min="120" max="120" width="15.42578125" style="756" customWidth="1"/>
    <col min="121" max="121" width="16.140625" style="756" customWidth="1"/>
    <col min="122" max="122" width="16.140625" style="756" bestFit="1" customWidth="1"/>
    <col min="123" max="123" width="28.85546875" style="756" customWidth="1"/>
    <col min="124" max="124" width="16.7109375" style="756" customWidth="1"/>
    <col min="125" max="125" width="27.85546875" style="756" customWidth="1"/>
    <col min="126" max="126" width="22.28515625" style="756" customWidth="1"/>
    <col min="127" max="127" width="18.7109375" style="756" customWidth="1"/>
    <col min="128" max="128" width="25.7109375" style="756" customWidth="1"/>
    <col min="129" max="129" width="26.85546875" style="756" bestFit="1" customWidth="1"/>
    <col min="130" max="130" width="32" style="756" customWidth="1"/>
    <col min="131" max="131" width="29.140625" style="756" customWidth="1"/>
    <col min="132" max="132" width="22.140625" style="756" customWidth="1"/>
    <col min="133" max="133" width="17.140625" style="756" customWidth="1"/>
    <col min="134" max="134" width="16.28515625" style="756" customWidth="1"/>
    <col min="135" max="135" width="20" style="756" customWidth="1"/>
    <col min="136" max="136" width="22.28515625" style="756" customWidth="1"/>
    <col min="137" max="137" width="18" style="756" customWidth="1"/>
    <col min="138" max="138" width="39.42578125" style="756" customWidth="1"/>
    <col min="139" max="139" width="28.85546875" style="756" customWidth="1"/>
    <col min="140" max="140" width="17.42578125" style="756" customWidth="1"/>
    <col min="141" max="141" width="20.42578125" style="756" customWidth="1"/>
    <col min="142" max="151" width="19.7109375" style="756" customWidth="1"/>
    <col min="152" max="152" width="20.5703125" style="756" customWidth="1"/>
    <col min="153" max="153" width="22.7109375" style="756" customWidth="1"/>
    <col min="154" max="154" width="27.5703125" style="756" customWidth="1"/>
    <col min="155" max="155" width="30.42578125" style="756" customWidth="1"/>
    <col min="156" max="156" width="24.85546875" style="756" customWidth="1"/>
    <col min="157" max="157" width="24" style="756" customWidth="1"/>
    <col min="158" max="158" width="21.85546875" style="756" customWidth="1"/>
    <col min="159" max="159" width="29.5703125" style="756" customWidth="1"/>
    <col min="160" max="160" width="26.42578125" style="756" customWidth="1"/>
    <col min="161" max="161" width="27.5703125" style="756" customWidth="1"/>
    <col min="162" max="162" width="24.85546875" style="756" customWidth="1"/>
    <col min="163" max="163" width="15.42578125" style="756" customWidth="1"/>
    <col min="164" max="171" width="11.42578125" style="756"/>
    <col min="172" max="173" width="15.7109375" style="756" customWidth="1"/>
    <col min="174" max="174" width="16.140625" style="756" customWidth="1"/>
    <col min="175" max="175" width="16.42578125" style="756" customWidth="1"/>
    <col min="176" max="176" width="13.85546875" style="756" customWidth="1"/>
    <col min="177" max="177" width="13" style="756" customWidth="1"/>
    <col min="178" max="178" width="14.140625" style="756" customWidth="1"/>
    <col min="179" max="179" width="13.7109375" style="756" customWidth="1"/>
    <col min="180" max="16384" width="11.42578125" style="756"/>
  </cols>
  <sheetData>
    <row r="1" spans="1:449" ht="15" customHeight="1" thickBot="1" x14ac:dyDescent="0.3">
      <c r="A1" s="1110" t="s">
        <v>1152</v>
      </c>
      <c r="B1" s="1110"/>
      <c r="C1" s="1111">
        <v>2010</v>
      </c>
      <c r="D1" s="1111"/>
      <c r="E1" s="1111"/>
      <c r="F1" s="1111"/>
      <c r="G1" s="1111"/>
      <c r="H1" s="1111"/>
      <c r="I1" s="1111"/>
      <c r="J1" s="1111"/>
      <c r="K1" s="1111"/>
      <c r="L1" s="1111"/>
      <c r="M1" s="1111"/>
      <c r="N1" s="1111"/>
      <c r="O1" s="1111"/>
      <c r="P1" s="1111">
        <v>2011</v>
      </c>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1"/>
      <c r="AR1" s="1111"/>
      <c r="AS1" s="1111"/>
      <c r="AT1" s="1111"/>
      <c r="AU1" s="1111"/>
      <c r="AV1" s="1111"/>
      <c r="AW1" s="1111"/>
      <c r="AX1" s="1111"/>
      <c r="AY1" s="1111"/>
      <c r="AZ1" s="1111"/>
      <c r="BA1" s="1111"/>
      <c r="BB1" s="1111"/>
      <c r="BC1" s="1111"/>
      <c r="BD1" s="1111"/>
      <c r="BE1" s="1111"/>
      <c r="BF1" s="1111"/>
      <c r="BG1" s="1111"/>
      <c r="BH1" s="1111"/>
      <c r="BI1" s="1111"/>
      <c r="BJ1" s="1111"/>
      <c r="BK1" s="1111"/>
      <c r="BL1" s="1111"/>
      <c r="BM1" s="1111"/>
      <c r="BN1" s="1111"/>
      <c r="BO1" s="1111"/>
      <c r="BP1" s="1123">
        <v>2012</v>
      </c>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5"/>
      <c r="DP1" s="1140">
        <v>2013</v>
      </c>
      <c r="DQ1" s="1111"/>
      <c r="DR1" s="1111"/>
      <c r="DS1" s="1111"/>
      <c r="DT1" s="1111"/>
      <c r="DU1" s="1111"/>
      <c r="DV1" s="1111"/>
      <c r="DW1" s="1111"/>
      <c r="DX1" s="1111"/>
      <c r="DY1" s="1111"/>
      <c r="DZ1" s="1111"/>
      <c r="EA1" s="1111"/>
      <c r="EB1" s="1111"/>
      <c r="EC1" s="1111"/>
      <c r="ED1" s="1111"/>
      <c r="EE1" s="1111"/>
      <c r="EF1" s="1111"/>
      <c r="EG1" s="1111"/>
      <c r="EH1" s="1111"/>
      <c r="EI1" s="1111"/>
      <c r="EJ1" s="1111"/>
      <c r="EK1" s="1111"/>
      <c r="EL1" s="1111"/>
      <c r="EM1" s="1111"/>
      <c r="EN1" s="1111"/>
      <c r="EO1" s="1111"/>
      <c r="EP1" s="1111"/>
      <c r="EQ1" s="1111"/>
      <c r="ER1" s="1111"/>
      <c r="ES1" s="1111"/>
      <c r="ET1" s="1111"/>
      <c r="EU1" s="1111"/>
      <c r="EV1" s="1111"/>
      <c r="EW1" s="1111"/>
      <c r="EX1" s="1111"/>
      <c r="EY1" s="1111"/>
      <c r="EZ1" s="1111"/>
      <c r="FA1" s="1111"/>
      <c r="FB1" s="1111"/>
      <c r="FC1" s="1111"/>
      <c r="FD1" s="1111"/>
      <c r="FE1" s="1111"/>
      <c r="FF1" s="1111"/>
      <c r="FG1" s="1111"/>
      <c r="FH1" s="1111"/>
      <c r="FI1" s="1111"/>
      <c r="FJ1" s="1111"/>
      <c r="FK1" s="1111"/>
      <c r="FL1" s="1111"/>
      <c r="FM1" s="1111"/>
      <c r="FN1" s="1111"/>
      <c r="FO1" s="1111"/>
      <c r="FP1" s="1111">
        <v>2015</v>
      </c>
      <c r="FQ1" s="1111"/>
      <c r="FR1" s="1111"/>
      <c r="FS1" s="1111"/>
      <c r="FT1" s="1111"/>
      <c r="FU1" s="1111"/>
      <c r="FV1" s="1111"/>
      <c r="FW1" s="1111"/>
      <c r="FX1" s="1111"/>
      <c r="FY1" s="1111"/>
      <c r="FZ1" s="1111"/>
      <c r="GA1" s="1111"/>
      <c r="GB1" s="1111"/>
      <c r="GC1" s="1111"/>
      <c r="GD1" s="1111"/>
      <c r="GE1" s="1111"/>
      <c r="GF1" s="1111"/>
      <c r="GG1" s="1111"/>
      <c r="GH1" s="1111"/>
      <c r="GI1" s="1111"/>
      <c r="GJ1" s="1111"/>
      <c r="GK1" s="1111"/>
      <c r="GL1" s="1111"/>
    </row>
    <row r="2" spans="1:449" s="755" customFormat="1" ht="48" customHeight="1" x14ac:dyDescent="0.25">
      <c r="A2" s="893"/>
      <c r="B2" s="753"/>
      <c r="C2" s="754" t="s">
        <v>710</v>
      </c>
      <c r="D2" s="754" t="s">
        <v>549</v>
      </c>
      <c r="E2" s="754" t="s">
        <v>550</v>
      </c>
      <c r="F2" s="754" t="s">
        <v>551</v>
      </c>
      <c r="G2" s="754" t="s">
        <v>552</v>
      </c>
      <c r="H2" s="754" t="s">
        <v>553</v>
      </c>
      <c r="I2" s="754" t="s">
        <v>554</v>
      </c>
      <c r="J2" s="754" t="s">
        <v>555</v>
      </c>
      <c r="K2" s="754" t="s">
        <v>556</v>
      </c>
      <c r="L2" s="754" t="s">
        <v>557</v>
      </c>
      <c r="M2" s="754" t="s">
        <v>558</v>
      </c>
      <c r="N2" s="754" t="s">
        <v>559</v>
      </c>
      <c r="O2" s="754" t="s">
        <v>560</v>
      </c>
      <c r="P2" s="754" t="s">
        <v>561</v>
      </c>
      <c r="Q2" s="754" t="s">
        <v>562</v>
      </c>
      <c r="R2" s="754" t="s">
        <v>563</v>
      </c>
      <c r="S2" s="754" t="s">
        <v>564</v>
      </c>
      <c r="T2" s="754" t="s">
        <v>565</v>
      </c>
      <c r="U2" s="754" t="s">
        <v>566</v>
      </c>
      <c r="V2" s="754" t="s">
        <v>567</v>
      </c>
      <c r="W2" s="754" t="s">
        <v>568</v>
      </c>
      <c r="X2" s="754" t="s">
        <v>569</v>
      </c>
      <c r="Y2" s="754" t="s">
        <v>570</v>
      </c>
      <c r="Z2" s="754" t="s">
        <v>571</v>
      </c>
      <c r="AA2" s="754" t="s">
        <v>572</v>
      </c>
      <c r="AB2" s="754" t="s">
        <v>573</v>
      </c>
      <c r="AC2" s="754" t="s">
        <v>574</v>
      </c>
      <c r="AD2" s="754" t="s">
        <v>575</v>
      </c>
      <c r="AE2" s="754" t="s">
        <v>576</v>
      </c>
      <c r="AF2" s="754" t="s">
        <v>711</v>
      </c>
      <c r="AG2" s="754" t="s">
        <v>578</v>
      </c>
      <c r="AH2" s="754" t="s">
        <v>579</v>
      </c>
      <c r="AI2" s="754" t="s">
        <v>580</v>
      </c>
      <c r="AJ2" s="754" t="s">
        <v>581</v>
      </c>
      <c r="AK2" s="754" t="s">
        <v>582</v>
      </c>
      <c r="AL2" s="754" t="s">
        <v>583</v>
      </c>
      <c r="AM2" s="754" t="s">
        <v>584</v>
      </c>
      <c r="AN2" s="754" t="s">
        <v>585</v>
      </c>
      <c r="AO2" s="754" t="s">
        <v>586</v>
      </c>
      <c r="AP2" s="754" t="s">
        <v>587</v>
      </c>
      <c r="AQ2" s="754" t="s">
        <v>588</v>
      </c>
      <c r="AR2" s="754" t="s">
        <v>589</v>
      </c>
      <c r="AS2" s="754" t="s">
        <v>590</v>
      </c>
      <c r="AT2" s="754" t="s">
        <v>591</v>
      </c>
      <c r="AU2" s="754" t="s">
        <v>592</v>
      </c>
      <c r="AV2" s="754" t="s">
        <v>593</v>
      </c>
      <c r="AW2" s="754" t="s">
        <v>594</v>
      </c>
      <c r="AX2" s="754" t="s">
        <v>595</v>
      </c>
      <c r="AY2" s="754" t="s">
        <v>596</v>
      </c>
      <c r="AZ2" s="754" t="s">
        <v>597</v>
      </c>
      <c r="BA2" s="754" t="s">
        <v>712</v>
      </c>
      <c r="BB2" s="754" t="s">
        <v>713</v>
      </c>
      <c r="BC2" s="754" t="s">
        <v>714</v>
      </c>
      <c r="BD2" s="754" t="s">
        <v>715</v>
      </c>
      <c r="BE2" s="754" t="s">
        <v>716</v>
      </c>
      <c r="BF2" s="754" t="s">
        <v>717</v>
      </c>
      <c r="BG2" s="754" t="s">
        <v>718</v>
      </c>
      <c r="BH2" s="754" t="s">
        <v>719</v>
      </c>
      <c r="BI2" s="754" t="s">
        <v>720</v>
      </c>
      <c r="BJ2" s="754" t="s">
        <v>721</v>
      </c>
      <c r="BK2" s="754" t="s">
        <v>722</v>
      </c>
      <c r="BL2" s="754" t="s">
        <v>723</v>
      </c>
      <c r="BM2" s="754" t="s">
        <v>724</v>
      </c>
      <c r="BN2" s="754" t="s">
        <v>725</v>
      </c>
      <c r="BO2" s="754" t="s">
        <v>726</v>
      </c>
      <c r="BP2" s="894" t="s">
        <v>727</v>
      </c>
      <c r="BQ2" s="894" t="s">
        <v>728</v>
      </c>
      <c r="BR2" s="894" t="s">
        <v>729</v>
      </c>
      <c r="BS2" s="894" t="s">
        <v>730</v>
      </c>
      <c r="BT2" s="894" t="s">
        <v>731</v>
      </c>
      <c r="BU2" s="894" t="s">
        <v>732</v>
      </c>
      <c r="BV2" s="894" t="s">
        <v>733</v>
      </c>
      <c r="BW2" s="894" t="s">
        <v>734</v>
      </c>
      <c r="BX2" s="894" t="s">
        <v>735</v>
      </c>
      <c r="BY2" s="894" t="s">
        <v>736</v>
      </c>
      <c r="BZ2" s="894" t="s">
        <v>737</v>
      </c>
      <c r="CA2" s="894" t="s">
        <v>738</v>
      </c>
      <c r="CB2" s="894" t="s">
        <v>944</v>
      </c>
      <c r="CC2" s="894" t="s">
        <v>945</v>
      </c>
      <c r="CD2" s="894" t="s">
        <v>946</v>
      </c>
      <c r="CE2" s="894" t="s">
        <v>953</v>
      </c>
      <c r="CF2" s="895" t="s">
        <v>954</v>
      </c>
      <c r="CG2" s="895" t="s">
        <v>957</v>
      </c>
      <c r="CH2" s="895" t="s">
        <v>958</v>
      </c>
      <c r="CI2" s="895" t="s">
        <v>959</v>
      </c>
      <c r="CJ2" s="895" t="s">
        <v>960</v>
      </c>
      <c r="CK2" s="895" t="s">
        <v>961</v>
      </c>
      <c r="CL2" s="895" t="s">
        <v>962</v>
      </c>
      <c r="CM2" s="895" t="s">
        <v>963</v>
      </c>
      <c r="CN2" s="895" t="s">
        <v>993</v>
      </c>
      <c r="CO2" s="895" t="s">
        <v>997</v>
      </c>
      <c r="CP2" s="895" t="s">
        <v>998</v>
      </c>
      <c r="CQ2" s="895" t="s">
        <v>1017</v>
      </c>
      <c r="CR2" s="895" t="s">
        <v>1018</v>
      </c>
      <c r="CS2" s="895" t="s">
        <v>1019</v>
      </c>
      <c r="CT2" s="895" t="s">
        <v>1016</v>
      </c>
      <c r="CU2" s="895" t="s">
        <v>1015</v>
      </c>
      <c r="CV2" s="895" t="s">
        <v>1021</v>
      </c>
      <c r="CW2" s="895" t="s">
        <v>1028</v>
      </c>
      <c r="CX2" s="895" t="s">
        <v>1036</v>
      </c>
      <c r="CY2" s="895" t="s">
        <v>1044</v>
      </c>
      <c r="CZ2" s="895" t="s">
        <v>1045</v>
      </c>
      <c r="DA2" s="895" t="s">
        <v>1055</v>
      </c>
      <c r="DB2" s="895" t="s">
        <v>1056</v>
      </c>
      <c r="DC2" s="895" t="s">
        <v>1065</v>
      </c>
      <c r="DD2" s="895" t="s">
        <v>1069</v>
      </c>
      <c r="DE2" s="895" t="s">
        <v>1070</v>
      </c>
      <c r="DF2" s="895" t="s">
        <v>1074</v>
      </c>
      <c r="DG2" s="895" t="s">
        <v>1079</v>
      </c>
      <c r="DH2" s="895" t="s">
        <v>1091</v>
      </c>
      <c r="DI2" s="895" t="s">
        <v>1093</v>
      </c>
      <c r="DJ2" s="895" t="s">
        <v>1094</v>
      </c>
      <c r="DK2" s="895" t="s">
        <v>1097</v>
      </c>
      <c r="DL2" s="895" t="s">
        <v>1104</v>
      </c>
      <c r="DM2" s="895" t="s">
        <v>1117</v>
      </c>
      <c r="DN2" s="895" t="s">
        <v>1118</v>
      </c>
      <c r="DO2" s="895" t="s">
        <v>1119</v>
      </c>
      <c r="DP2" s="812" t="s">
        <v>1151</v>
      </c>
      <c r="DQ2" s="812" t="s">
        <v>1165</v>
      </c>
      <c r="DR2" s="812" t="s">
        <v>1176</v>
      </c>
      <c r="DS2" s="812" t="s">
        <v>1179</v>
      </c>
      <c r="DT2" s="812" t="s">
        <v>1180</v>
      </c>
      <c r="DU2" s="812" t="s">
        <v>1192</v>
      </c>
      <c r="DV2" s="812" t="s">
        <v>1191</v>
      </c>
      <c r="DW2" s="812" t="s">
        <v>1213</v>
      </c>
      <c r="DX2" s="812" t="s">
        <v>1214</v>
      </c>
      <c r="DY2" s="812" t="s">
        <v>1233</v>
      </c>
      <c r="DZ2" s="812" t="s">
        <v>1234</v>
      </c>
      <c r="EA2" s="812" t="s">
        <v>1235</v>
      </c>
      <c r="EB2" s="812" t="s">
        <v>1236</v>
      </c>
      <c r="EC2" s="812" t="s">
        <v>1297</v>
      </c>
      <c r="ED2" s="812" t="s">
        <v>1306</v>
      </c>
      <c r="EE2" s="812" t="s">
        <v>1309</v>
      </c>
      <c r="EF2" s="812" t="s">
        <v>1310</v>
      </c>
      <c r="EG2" s="812" t="s">
        <v>1353</v>
      </c>
      <c r="EH2" s="812" t="s">
        <v>1379</v>
      </c>
      <c r="EI2" s="812" t="s">
        <v>1380</v>
      </c>
      <c r="EJ2" s="812" t="s">
        <v>1386</v>
      </c>
      <c r="EK2" s="812" t="s">
        <v>1387</v>
      </c>
      <c r="EL2" s="981" t="s">
        <v>1448</v>
      </c>
      <c r="EM2" s="981" t="s">
        <v>1439</v>
      </c>
      <c r="EN2" s="981" t="s">
        <v>1440</v>
      </c>
      <c r="EO2" s="982" t="s">
        <v>1441</v>
      </c>
      <c r="EP2" s="982" t="s">
        <v>1442</v>
      </c>
      <c r="EQ2" s="982" t="s">
        <v>1443</v>
      </c>
      <c r="ER2" s="982" t="s">
        <v>1444</v>
      </c>
      <c r="ES2" s="982" t="s">
        <v>1445</v>
      </c>
      <c r="ET2" s="982" t="s">
        <v>1446</v>
      </c>
      <c r="EU2" s="982" t="s">
        <v>1447</v>
      </c>
      <c r="EV2" s="982" t="s">
        <v>1460</v>
      </c>
      <c r="EW2" s="982" t="s">
        <v>1461</v>
      </c>
      <c r="EX2" s="982" t="s">
        <v>1462</v>
      </c>
      <c r="EY2" s="982" t="s">
        <v>1463</v>
      </c>
      <c r="EZ2" s="982" t="s">
        <v>1464</v>
      </c>
      <c r="FA2" s="982" t="s">
        <v>1465</v>
      </c>
      <c r="FB2" s="982" t="s">
        <v>1466</v>
      </c>
      <c r="FC2" s="982" t="s">
        <v>1467</v>
      </c>
      <c r="FD2" s="982" t="s">
        <v>1469</v>
      </c>
      <c r="FE2" s="982" t="s">
        <v>1470</v>
      </c>
      <c r="FF2" s="982" t="s">
        <v>1471</v>
      </c>
      <c r="FG2" s="982" t="s">
        <v>1472</v>
      </c>
      <c r="FH2" s="982" t="s">
        <v>1473</v>
      </c>
      <c r="FI2" s="982" t="s">
        <v>1474</v>
      </c>
      <c r="FJ2" s="982" t="s">
        <v>1475</v>
      </c>
      <c r="FK2" s="982" t="s">
        <v>1476</v>
      </c>
      <c r="FL2" s="982" t="s">
        <v>1477</v>
      </c>
      <c r="FM2" s="982" t="s">
        <v>1478</v>
      </c>
      <c r="FN2" s="982" t="s">
        <v>1479</v>
      </c>
      <c r="FO2" s="982" t="s">
        <v>1480</v>
      </c>
      <c r="FP2" s="980" t="s">
        <v>1483</v>
      </c>
      <c r="FQ2" s="980" t="s">
        <v>1484</v>
      </c>
      <c r="FR2" s="980" t="s">
        <v>1485</v>
      </c>
      <c r="FS2" s="980" t="s">
        <v>1486</v>
      </c>
      <c r="FT2" s="980" t="s">
        <v>1487</v>
      </c>
      <c r="FU2" s="980" t="s">
        <v>1488</v>
      </c>
      <c r="FV2" s="980" t="s">
        <v>1489</v>
      </c>
      <c r="FW2" s="980" t="s">
        <v>1490</v>
      </c>
      <c r="FX2" s="980" t="s">
        <v>1491</v>
      </c>
      <c r="FY2" s="980" t="s">
        <v>1492</v>
      </c>
      <c r="FZ2" s="980" t="s">
        <v>1493</v>
      </c>
      <c r="GA2" s="980" t="s">
        <v>1494</v>
      </c>
      <c r="GB2" s="980" t="s">
        <v>1495</v>
      </c>
      <c r="GC2" s="980"/>
      <c r="GD2" s="980"/>
      <c r="GE2" s="980"/>
      <c r="GF2" s="980"/>
      <c r="GG2" s="980"/>
      <c r="GH2" s="980"/>
      <c r="GI2" s="980"/>
      <c r="GJ2" s="980"/>
      <c r="GK2" s="980"/>
      <c r="GL2" s="980"/>
      <c r="GM2" s="980"/>
      <c r="GN2" s="980"/>
      <c r="GO2" s="980"/>
      <c r="GP2" s="980"/>
      <c r="GQ2" s="980"/>
      <c r="GR2" s="980"/>
      <c r="GS2" s="980"/>
      <c r="GT2" s="980"/>
      <c r="GU2" s="980"/>
      <c r="GV2" s="980"/>
      <c r="GW2" s="980"/>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c r="IX2" s="955"/>
      <c r="IY2" s="955"/>
      <c r="IZ2" s="955"/>
      <c r="JA2" s="955"/>
      <c r="JB2" s="955"/>
      <c r="JC2" s="955"/>
      <c r="JD2" s="955"/>
      <c r="JE2" s="955"/>
      <c r="JF2" s="955"/>
      <c r="JG2" s="955"/>
      <c r="JH2" s="955"/>
      <c r="JI2" s="955"/>
      <c r="JJ2" s="955"/>
      <c r="JK2" s="955"/>
      <c r="JL2" s="955"/>
      <c r="JM2" s="955"/>
      <c r="JN2" s="955"/>
      <c r="JO2" s="955"/>
      <c r="JP2" s="955"/>
      <c r="JQ2" s="955"/>
      <c r="JR2" s="955"/>
      <c r="JS2" s="955"/>
      <c r="JT2" s="955"/>
      <c r="JU2" s="955"/>
      <c r="JV2" s="955"/>
      <c r="JW2" s="955"/>
      <c r="JX2" s="955"/>
      <c r="JY2" s="955"/>
      <c r="JZ2" s="955"/>
      <c r="KA2" s="955"/>
      <c r="KB2" s="955"/>
      <c r="KC2" s="955"/>
      <c r="KD2" s="955"/>
      <c r="KE2" s="955"/>
      <c r="KF2" s="955"/>
      <c r="KG2" s="955"/>
      <c r="KH2" s="955"/>
      <c r="KI2" s="955"/>
      <c r="KJ2" s="955"/>
      <c r="KK2" s="955"/>
      <c r="KL2" s="955"/>
      <c r="KM2" s="955"/>
      <c r="KN2" s="955"/>
      <c r="KO2" s="955"/>
      <c r="KP2" s="955"/>
      <c r="KQ2" s="955"/>
      <c r="KR2" s="955"/>
      <c r="KS2" s="955"/>
      <c r="KT2" s="955"/>
      <c r="KU2" s="955"/>
      <c r="KV2" s="955"/>
      <c r="KW2" s="955"/>
      <c r="KX2" s="955"/>
      <c r="KY2" s="955"/>
      <c r="KZ2" s="955"/>
      <c r="LA2" s="955"/>
      <c r="LB2" s="955"/>
      <c r="LC2" s="955"/>
      <c r="LD2" s="955"/>
      <c r="LE2" s="955"/>
      <c r="LF2" s="955"/>
      <c r="LG2" s="955"/>
      <c r="LH2" s="955"/>
      <c r="LI2" s="955"/>
      <c r="LJ2" s="955"/>
      <c r="LK2" s="955"/>
      <c r="LL2" s="955"/>
      <c r="LM2" s="955"/>
      <c r="LN2" s="955"/>
      <c r="LO2" s="955"/>
      <c r="LP2" s="955"/>
      <c r="LQ2" s="955"/>
      <c r="LR2" s="955"/>
      <c r="LS2" s="955"/>
      <c r="LT2" s="955"/>
      <c r="LU2" s="955"/>
      <c r="LV2" s="955"/>
      <c r="LW2" s="955"/>
      <c r="LX2" s="955"/>
      <c r="LY2" s="955"/>
      <c r="LZ2" s="955"/>
      <c r="MA2" s="955"/>
      <c r="MB2" s="955"/>
      <c r="MC2" s="955"/>
      <c r="MD2" s="955"/>
      <c r="ME2" s="955"/>
      <c r="MF2" s="955"/>
      <c r="MG2" s="955"/>
      <c r="MH2" s="955"/>
      <c r="MI2" s="955"/>
      <c r="MJ2" s="955"/>
      <c r="MK2" s="955"/>
      <c r="ML2" s="955"/>
      <c r="MM2" s="955"/>
      <c r="MN2" s="955"/>
      <c r="MO2" s="955"/>
      <c r="MP2" s="955"/>
      <c r="MQ2" s="955"/>
      <c r="MR2" s="955"/>
      <c r="MS2" s="955"/>
      <c r="MT2" s="955"/>
      <c r="MU2" s="955"/>
      <c r="MV2" s="955"/>
      <c r="MW2" s="955"/>
      <c r="MX2" s="955"/>
      <c r="MY2" s="955"/>
      <c r="MZ2" s="955"/>
      <c r="NA2" s="955"/>
      <c r="NB2" s="955"/>
      <c r="NC2" s="955"/>
      <c r="ND2" s="955"/>
      <c r="NE2" s="955"/>
      <c r="NF2" s="955"/>
      <c r="NG2" s="955"/>
      <c r="NH2" s="955"/>
      <c r="NI2" s="955"/>
      <c r="NJ2" s="955"/>
      <c r="NK2" s="955"/>
      <c r="NL2" s="955"/>
      <c r="NM2" s="955"/>
      <c r="NN2" s="955"/>
      <c r="NO2" s="955"/>
      <c r="NP2" s="955"/>
      <c r="NQ2" s="955"/>
      <c r="NR2" s="955"/>
      <c r="NS2" s="955"/>
      <c r="NT2" s="955"/>
      <c r="NU2" s="955"/>
      <c r="NV2" s="955"/>
      <c r="NW2" s="955"/>
      <c r="NX2" s="955"/>
      <c r="NY2" s="955"/>
      <c r="NZ2" s="955"/>
      <c r="OA2" s="955"/>
      <c r="OB2" s="955"/>
      <c r="OC2" s="955"/>
      <c r="OD2" s="955"/>
      <c r="OE2" s="955"/>
      <c r="OF2" s="955"/>
      <c r="OG2" s="955"/>
      <c r="OH2" s="955"/>
      <c r="OI2" s="955"/>
      <c r="OJ2" s="955"/>
      <c r="OK2" s="955"/>
      <c r="OL2" s="955"/>
      <c r="OM2" s="955"/>
      <c r="ON2" s="955"/>
      <c r="OO2" s="955"/>
      <c r="OP2" s="955"/>
      <c r="OQ2" s="955"/>
      <c r="OR2" s="955"/>
      <c r="OS2" s="955"/>
      <c r="OT2" s="955"/>
      <c r="OU2" s="955"/>
      <c r="OV2" s="955"/>
      <c r="OW2" s="955"/>
      <c r="OX2" s="955"/>
      <c r="OY2" s="955"/>
      <c r="OZ2" s="955"/>
      <c r="PA2" s="955"/>
      <c r="PB2" s="955"/>
      <c r="PC2" s="955"/>
      <c r="PD2" s="955"/>
      <c r="PE2" s="955"/>
      <c r="PF2" s="955"/>
      <c r="PG2" s="955"/>
      <c r="PH2" s="955"/>
      <c r="PI2" s="955"/>
      <c r="PJ2" s="955"/>
      <c r="PK2" s="955"/>
      <c r="PL2" s="955"/>
      <c r="PM2" s="955"/>
      <c r="PN2" s="955"/>
      <c r="PO2" s="955"/>
      <c r="PP2" s="955"/>
      <c r="PQ2" s="955"/>
      <c r="PR2" s="955"/>
      <c r="PS2" s="955"/>
      <c r="PT2" s="955"/>
      <c r="PU2" s="955"/>
      <c r="PV2" s="955"/>
      <c r="PW2" s="955"/>
      <c r="PX2" s="955"/>
      <c r="PY2" s="955"/>
      <c r="PZ2" s="955"/>
      <c r="QA2" s="955"/>
      <c r="QB2" s="955"/>
      <c r="QC2" s="955"/>
      <c r="QD2" s="955"/>
      <c r="QE2" s="955"/>
      <c r="QF2" s="955"/>
      <c r="QG2" s="955"/>
    </row>
    <row r="3" spans="1:449" s="1001" customFormat="1" ht="15" customHeight="1" x14ac:dyDescent="0.2">
      <c r="A3" s="1090" t="s">
        <v>739</v>
      </c>
      <c r="B3" s="989" t="s">
        <v>740</v>
      </c>
      <c r="C3" s="990">
        <v>567000101</v>
      </c>
      <c r="D3" s="990">
        <v>109682300</v>
      </c>
      <c r="E3" s="990">
        <v>163144800</v>
      </c>
      <c r="F3" s="990">
        <v>161960100</v>
      </c>
      <c r="G3" s="990">
        <v>193075900</v>
      </c>
      <c r="H3" s="990">
        <v>168673800</v>
      </c>
      <c r="I3" s="990">
        <v>194310300</v>
      </c>
      <c r="J3" s="990">
        <v>177625900</v>
      </c>
      <c r="K3" s="991">
        <v>185789900</v>
      </c>
      <c r="L3" s="992">
        <v>201609500</v>
      </c>
      <c r="M3" s="992">
        <v>170675500</v>
      </c>
      <c r="N3" s="992">
        <v>159663700</v>
      </c>
      <c r="O3" s="992">
        <v>140970900</v>
      </c>
      <c r="P3" s="992">
        <v>153448400</v>
      </c>
      <c r="Q3" s="992">
        <v>194807200</v>
      </c>
      <c r="R3" s="992">
        <v>177833600</v>
      </c>
      <c r="S3" s="992">
        <v>183584600</v>
      </c>
      <c r="T3" s="992">
        <v>189681700</v>
      </c>
      <c r="U3" s="992">
        <v>189337900</v>
      </c>
      <c r="V3" s="992">
        <v>209664490</v>
      </c>
      <c r="W3" s="992">
        <v>221659600</v>
      </c>
      <c r="X3" s="992">
        <v>238370200</v>
      </c>
      <c r="Y3" s="992">
        <v>226186200</v>
      </c>
      <c r="Z3" s="992">
        <v>211018600</v>
      </c>
      <c r="AA3" s="992">
        <v>250536200</v>
      </c>
      <c r="AB3" s="992">
        <v>230047100</v>
      </c>
      <c r="AC3" s="992">
        <v>229930600</v>
      </c>
      <c r="AD3" s="991">
        <v>230682700</v>
      </c>
      <c r="AE3" s="991">
        <v>224829900</v>
      </c>
      <c r="AF3" s="991">
        <v>226824000</v>
      </c>
      <c r="AG3" s="991">
        <v>212766300</v>
      </c>
      <c r="AH3" s="991">
        <v>231780000</v>
      </c>
      <c r="AI3" s="991">
        <v>225364700</v>
      </c>
      <c r="AJ3" s="991">
        <v>233579500</v>
      </c>
      <c r="AK3" s="991">
        <v>222319500</v>
      </c>
      <c r="AL3" s="991">
        <v>238063700</v>
      </c>
      <c r="AM3" s="992">
        <v>214766800</v>
      </c>
      <c r="AN3" s="992">
        <v>197285900</v>
      </c>
      <c r="AO3" s="992">
        <v>227063600</v>
      </c>
      <c r="AP3" s="992">
        <v>230884100</v>
      </c>
      <c r="AQ3" s="992">
        <v>202300800</v>
      </c>
      <c r="AR3" s="992">
        <v>220927400</v>
      </c>
      <c r="AS3" s="992">
        <v>208457400</v>
      </c>
      <c r="AT3" s="992">
        <v>206454600</v>
      </c>
      <c r="AU3" s="992">
        <v>197227900</v>
      </c>
      <c r="AV3" s="992">
        <v>213921800</v>
      </c>
      <c r="AW3" s="992">
        <v>199494300</v>
      </c>
      <c r="AX3" s="992">
        <v>228890800</v>
      </c>
      <c r="AY3" s="992">
        <v>219871900</v>
      </c>
      <c r="AZ3" s="992">
        <v>229742750</v>
      </c>
      <c r="BA3" s="992">
        <v>229884100</v>
      </c>
      <c r="BB3" s="992">
        <v>236228600</v>
      </c>
      <c r="BC3" s="992">
        <v>236086600</v>
      </c>
      <c r="BD3" s="992">
        <v>237225700</v>
      </c>
      <c r="BE3" s="992">
        <v>293544100</v>
      </c>
      <c r="BF3" s="992">
        <v>303516300</v>
      </c>
      <c r="BG3" s="992">
        <v>291918300</v>
      </c>
      <c r="BH3" s="992">
        <v>316900600</v>
      </c>
      <c r="BI3" s="992">
        <v>324190500</v>
      </c>
      <c r="BJ3" s="992">
        <v>297408800</v>
      </c>
      <c r="BK3" s="992">
        <v>324852100</v>
      </c>
      <c r="BL3" s="992">
        <v>329391250</v>
      </c>
      <c r="BM3" s="992">
        <v>296531200</v>
      </c>
      <c r="BN3" s="992">
        <v>253533750</v>
      </c>
      <c r="BO3" s="993">
        <v>222198700</v>
      </c>
      <c r="BP3" s="993">
        <v>232689100</v>
      </c>
      <c r="BQ3" s="993">
        <v>265214100</v>
      </c>
      <c r="BR3" s="993">
        <v>272971400</v>
      </c>
      <c r="BS3" s="993">
        <v>260372750</v>
      </c>
      <c r="BT3" s="993">
        <v>302929350</v>
      </c>
      <c r="BU3" s="993">
        <v>311403900</v>
      </c>
      <c r="BV3" s="993">
        <v>314922000</v>
      </c>
      <c r="BW3" s="993">
        <v>314944600</v>
      </c>
      <c r="BX3" s="993">
        <v>340098800</v>
      </c>
      <c r="BY3" s="993">
        <v>339950850</v>
      </c>
      <c r="BZ3" s="993">
        <v>307745700</v>
      </c>
      <c r="CA3" s="993">
        <v>337461150</v>
      </c>
      <c r="CB3" s="993">
        <v>300578050</v>
      </c>
      <c r="CC3" s="993">
        <v>344229450</v>
      </c>
      <c r="CD3" s="993">
        <v>353776500</v>
      </c>
      <c r="CE3" s="993">
        <v>355590400</v>
      </c>
      <c r="CF3" s="994">
        <v>369320400</v>
      </c>
      <c r="CG3" s="994">
        <v>423231300</v>
      </c>
      <c r="CH3" s="994">
        <v>346219100</v>
      </c>
      <c r="CI3" s="994">
        <v>349202500</v>
      </c>
      <c r="CJ3" s="994">
        <v>374213700</v>
      </c>
      <c r="CK3" s="994">
        <v>383739600</v>
      </c>
      <c r="CL3" s="994">
        <v>295820431.03448278</v>
      </c>
      <c r="CM3" s="994">
        <v>301789482.75862068</v>
      </c>
      <c r="CN3" s="994">
        <v>373819600</v>
      </c>
      <c r="CO3" s="994">
        <v>355734900</v>
      </c>
      <c r="CP3" s="994">
        <v>360222900</v>
      </c>
      <c r="CQ3" s="994">
        <v>348890300</v>
      </c>
      <c r="CR3" s="994">
        <v>348890300</v>
      </c>
      <c r="CS3" s="994">
        <v>382683300</v>
      </c>
      <c r="CT3" s="994">
        <v>390201800</v>
      </c>
      <c r="CU3" s="994">
        <v>418012500</v>
      </c>
      <c r="CV3" s="994">
        <v>361495100</v>
      </c>
      <c r="CW3" s="994">
        <v>406712500</v>
      </c>
      <c r="CX3" s="994">
        <v>397090300</v>
      </c>
      <c r="CY3" s="994">
        <v>371647600</v>
      </c>
      <c r="CZ3" s="994">
        <v>394655700</v>
      </c>
      <c r="DA3" s="994">
        <v>368037700</v>
      </c>
      <c r="DB3" s="994">
        <v>382065900</v>
      </c>
      <c r="DC3" s="995">
        <v>388688900</v>
      </c>
      <c r="DD3" s="995">
        <v>381343700</v>
      </c>
      <c r="DE3" s="995">
        <v>400877200</v>
      </c>
      <c r="DF3" s="995">
        <v>368164600</v>
      </c>
      <c r="DG3" s="996">
        <f>333283017*1.16</f>
        <v>386608299.71999997</v>
      </c>
      <c r="DH3" s="995">
        <f>317361552*1.16</f>
        <v>368139400.31999999</v>
      </c>
      <c r="DI3" s="995">
        <v>425129300</v>
      </c>
      <c r="DJ3" s="995">
        <v>408022100</v>
      </c>
      <c r="DK3" s="995">
        <f>366972413.793104*1.16</f>
        <v>425688000.0000006</v>
      </c>
      <c r="DL3" s="995">
        <v>413897000</v>
      </c>
      <c r="DM3" s="995">
        <v>447411800</v>
      </c>
      <c r="DN3" s="995">
        <v>430391499.99999994</v>
      </c>
      <c r="DO3" s="995">
        <v>367363399.99999994</v>
      </c>
      <c r="DP3" s="995">
        <v>327389199.99999994</v>
      </c>
      <c r="DQ3" s="995">
        <v>384260700</v>
      </c>
      <c r="DR3" s="995">
        <v>376820200</v>
      </c>
      <c r="DS3" s="995">
        <v>360410300</v>
      </c>
      <c r="DT3" s="995">
        <v>404845200</v>
      </c>
      <c r="DU3" s="997">
        <v>415577500</v>
      </c>
      <c r="DV3" s="997">
        <v>393538700</v>
      </c>
      <c r="DW3" s="997">
        <v>390820200.00000006</v>
      </c>
      <c r="DX3" s="997">
        <v>405403250.00000006</v>
      </c>
      <c r="DY3" s="997">
        <v>400300600</v>
      </c>
      <c r="DZ3" s="997">
        <v>397222400</v>
      </c>
      <c r="EA3" s="997">
        <v>404704800</v>
      </c>
      <c r="EB3" s="997">
        <v>430805450</v>
      </c>
      <c r="EC3" s="997">
        <v>387834300.00000006</v>
      </c>
      <c r="ED3" s="997">
        <v>393310050</v>
      </c>
      <c r="EE3" s="998">
        <v>437470350</v>
      </c>
      <c r="EF3" s="998">
        <v>429998149.99999988</v>
      </c>
      <c r="EG3" s="998">
        <v>485478899.99999994</v>
      </c>
      <c r="EH3" s="998">
        <v>400227250</v>
      </c>
      <c r="EI3" s="998">
        <v>433538100</v>
      </c>
      <c r="EJ3" s="998">
        <v>442881550.00000006</v>
      </c>
      <c r="EK3" s="997">
        <v>434850699.99999994</v>
      </c>
      <c r="EL3" s="997">
        <v>384720431</v>
      </c>
      <c r="EM3" s="997">
        <v>377979052</v>
      </c>
      <c r="EN3" s="997">
        <v>362703448</v>
      </c>
      <c r="EO3" s="997">
        <v>372921940</v>
      </c>
      <c r="EP3" s="997">
        <v>400753793</v>
      </c>
      <c r="EQ3" s="997">
        <v>374105216</v>
      </c>
      <c r="ER3" s="997">
        <v>392774095</v>
      </c>
      <c r="ES3" s="997">
        <v>378352500</v>
      </c>
      <c r="ET3" s="997"/>
      <c r="EU3" s="997"/>
      <c r="EV3" s="999"/>
      <c r="EW3" s="999"/>
      <c r="EX3" s="999"/>
      <c r="EY3" s="999"/>
      <c r="EZ3" s="999"/>
      <c r="FA3" s="999"/>
      <c r="FB3" s="999"/>
      <c r="FC3" s="999"/>
      <c r="FD3" s="999"/>
      <c r="FE3" s="999"/>
      <c r="FF3" s="999"/>
      <c r="FG3" s="999"/>
      <c r="FH3" s="999"/>
      <c r="FI3" s="999"/>
      <c r="FJ3" s="999"/>
      <c r="FK3" s="999"/>
      <c r="FL3" s="999"/>
      <c r="FM3" s="999"/>
      <c r="FN3" s="999"/>
      <c r="FO3" s="999"/>
      <c r="FP3" s="1000">
        <v>446714310</v>
      </c>
      <c r="FQ3" s="1000">
        <v>441739741.37931037</v>
      </c>
      <c r="FR3" s="1000">
        <v>509235474.13793105</v>
      </c>
      <c r="FS3" s="1000">
        <v>489054224.13793111</v>
      </c>
      <c r="FT3" s="1000">
        <v>519400560.34482759</v>
      </c>
      <c r="FU3" s="1000"/>
      <c r="FV3" s="1000"/>
      <c r="FW3" s="999"/>
      <c r="FX3" s="999"/>
      <c r="FY3" s="999"/>
      <c r="FZ3" s="999"/>
      <c r="GA3" s="999"/>
      <c r="GB3" s="999"/>
      <c r="GC3" s="999"/>
      <c r="GD3" s="999"/>
      <c r="GE3" s="999"/>
      <c r="GF3" s="999"/>
      <c r="GG3" s="999"/>
      <c r="GH3" s="999"/>
      <c r="GI3" s="999"/>
      <c r="GJ3" s="999"/>
      <c r="GK3" s="999"/>
      <c r="GL3" s="999"/>
      <c r="GM3" s="999"/>
      <c r="GN3" s="999"/>
      <c r="GO3" s="999"/>
      <c r="GP3" s="999"/>
      <c r="GQ3" s="999"/>
      <c r="GR3" s="999"/>
      <c r="GS3" s="999"/>
      <c r="GT3" s="999"/>
      <c r="GU3" s="999"/>
      <c r="GV3" s="999"/>
      <c r="GW3" s="999"/>
      <c r="GX3" s="999"/>
      <c r="GY3" s="999"/>
      <c r="GZ3" s="999"/>
      <c r="HA3" s="999"/>
      <c r="HB3" s="999"/>
      <c r="HC3" s="999"/>
      <c r="HD3" s="999"/>
      <c r="HE3" s="999"/>
      <c r="HF3" s="999"/>
      <c r="HG3" s="999"/>
      <c r="HH3" s="999"/>
      <c r="HI3" s="999"/>
      <c r="HJ3" s="999"/>
      <c r="HK3" s="999"/>
      <c r="HL3" s="999"/>
      <c r="HM3" s="999"/>
      <c r="HN3" s="999"/>
      <c r="HO3" s="999"/>
      <c r="HP3" s="999"/>
      <c r="HQ3" s="999"/>
      <c r="HR3" s="999"/>
      <c r="HS3" s="999"/>
      <c r="HT3" s="999"/>
      <c r="HU3" s="999"/>
      <c r="HV3" s="999"/>
      <c r="HW3" s="999"/>
      <c r="HX3" s="999"/>
      <c r="HY3" s="999"/>
      <c r="HZ3" s="999"/>
      <c r="IA3" s="999"/>
      <c r="IB3" s="999"/>
      <c r="IC3" s="999"/>
      <c r="ID3" s="999"/>
      <c r="IE3" s="999"/>
      <c r="IF3" s="999"/>
      <c r="IG3" s="999"/>
      <c r="IH3" s="999"/>
      <c r="II3" s="999"/>
      <c r="IJ3" s="999"/>
      <c r="IK3" s="999"/>
      <c r="IL3" s="999"/>
      <c r="IM3" s="999"/>
      <c r="IN3" s="999"/>
      <c r="IO3" s="999"/>
      <c r="IP3" s="999"/>
      <c r="IQ3" s="999"/>
      <c r="IR3" s="999"/>
      <c r="IS3" s="999"/>
      <c r="IT3" s="999"/>
      <c r="IU3" s="999"/>
      <c r="IV3" s="999"/>
      <c r="IW3" s="999"/>
      <c r="IX3" s="999"/>
      <c r="IY3" s="999"/>
      <c r="IZ3" s="999"/>
      <c r="JA3" s="999"/>
      <c r="JB3" s="999"/>
      <c r="JC3" s="999"/>
      <c r="JD3" s="999"/>
      <c r="JE3" s="999"/>
      <c r="JF3" s="999"/>
      <c r="JG3" s="999"/>
      <c r="JH3" s="999"/>
      <c r="JI3" s="999"/>
      <c r="JJ3" s="999"/>
      <c r="JK3" s="999"/>
      <c r="JL3" s="999"/>
      <c r="JM3" s="999"/>
      <c r="JN3" s="999"/>
      <c r="JO3" s="999"/>
      <c r="JP3" s="999"/>
      <c r="JQ3" s="999"/>
      <c r="JR3" s="999"/>
      <c r="JS3" s="999"/>
      <c r="JT3" s="999"/>
      <c r="JU3" s="999"/>
      <c r="JV3" s="999"/>
      <c r="JW3" s="999"/>
      <c r="JX3" s="999"/>
      <c r="JY3" s="999"/>
      <c r="JZ3" s="999"/>
      <c r="KA3" s="999"/>
      <c r="KB3" s="999"/>
      <c r="KC3" s="999"/>
      <c r="KD3" s="999"/>
      <c r="KE3" s="999"/>
      <c r="KF3" s="999"/>
      <c r="KG3" s="999"/>
      <c r="KH3" s="999"/>
      <c r="KI3" s="999"/>
      <c r="KJ3" s="999"/>
      <c r="KK3" s="999"/>
      <c r="KL3" s="999"/>
      <c r="KM3" s="999"/>
      <c r="KN3" s="999"/>
      <c r="KO3" s="999"/>
      <c r="KP3" s="999"/>
      <c r="KQ3" s="999"/>
      <c r="KR3" s="999"/>
      <c r="KS3" s="999"/>
      <c r="KT3" s="999"/>
      <c r="KU3" s="999"/>
      <c r="KV3" s="999"/>
      <c r="KW3" s="999"/>
      <c r="KX3" s="999"/>
      <c r="KY3" s="999"/>
      <c r="KZ3" s="999"/>
      <c r="LA3" s="999"/>
      <c r="LB3" s="999"/>
      <c r="LC3" s="999"/>
      <c r="LD3" s="999"/>
      <c r="LE3" s="999"/>
      <c r="LF3" s="999"/>
      <c r="LG3" s="999"/>
      <c r="LH3" s="999"/>
      <c r="LI3" s="999"/>
      <c r="LJ3" s="999"/>
      <c r="LK3" s="999"/>
      <c r="LL3" s="999"/>
      <c r="LM3" s="999"/>
      <c r="LN3" s="999"/>
      <c r="LO3" s="999"/>
      <c r="LP3" s="999"/>
      <c r="LQ3" s="999"/>
      <c r="LR3" s="999"/>
      <c r="LS3" s="999"/>
      <c r="LT3" s="999"/>
      <c r="LU3" s="999"/>
      <c r="LV3" s="999"/>
      <c r="LW3" s="999"/>
      <c r="LX3" s="999"/>
      <c r="LY3" s="999"/>
      <c r="LZ3" s="999"/>
      <c r="MA3" s="999"/>
      <c r="MB3" s="999"/>
      <c r="MC3" s="999"/>
      <c r="MD3" s="999"/>
      <c r="ME3" s="999"/>
      <c r="MF3" s="999"/>
      <c r="MG3" s="999"/>
      <c r="MH3" s="999"/>
      <c r="MI3" s="999"/>
      <c r="MJ3" s="999"/>
      <c r="MK3" s="999"/>
      <c r="ML3" s="999"/>
      <c r="MM3" s="999"/>
      <c r="MN3" s="999"/>
      <c r="MO3" s="999"/>
      <c r="MP3" s="999"/>
      <c r="MQ3" s="999"/>
      <c r="MR3" s="999"/>
      <c r="MS3" s="999"/>
      <c r="MT3" s="999"/>
      <c r="MU3" s="999"/>
      <c r="MV3" s="999"/>
      <c r="MW3" s="999"/>
      <c r="MX3" s="999"/>
      <c r="MY3" s="999"/>
      <c r="MZ3" s="999"/>
      <c r="NA3" s="999"/>
      <c r="NB3" s="999"/>
      <c r="NC3" s="999"/>
      <c r="ND3" s="999"/>
      <c r="NE3" s="999"/>
      <c r="NF3" s="999"/>
      <c r="NG3" s="999"/>
      <c r="NH3" s="999"/>
      <c r="NI3" s="999"/>
      <c r="NJ3" s="999"/>
      <c r="NK3" s="999"/>
      <c r="NL3" s="999"/>
      <c r="NM3" s="999"/>
      <c r="NN3" s="999"/>
      <c r="NO3" s="999"/>
      <c r="NP3" s="999"/>
      <c r="NQ3" s="999"/>
      <c r="NR3" s="999"/>
      <c r="NS3" s="999"/>
      <c r="NT3" s="999"/>
      <c r="NU3" s="999"/>
      <c r="NV3" s="999"/>
      <c r="NW3" s="999"/>
      <c r="NX3" s="999"/>
      <c r="NY3" s="999"/>
      <c r="NZ3" s="999"/>
      <c r="OA3" s="999"/>
      <c r="OB3" s="999"/>
      <c r="OC3" s="999"/>
      <c r="OD3" s="999"/>
      <c r="OE3" s="999"/>
      <c r="OF3" s="999"/>
      <c r="OG3" s="999"/>
      <c r="OH3" s="999"/>
      <c r="OI3" s="999"/>
      <c r="OJ3" s="999"/>
      <c r="OK3" s="999"/>
      <c r="OL3" s="999"/>
      <c r="OM3" s="999"/>
      <c r="ON3" s="999"/>
      <c r="OO3" s="999"/>
      <c r="OP3" s="999"/>
      <c r="OQ3" s="999"/>
      <c r="OR3" s="999"/>
      <c r="OS3" s="999"/>
      <c r="OT3" s="999"/>
      <c r="OU3" s="999"/>
      <c r="OV3" s="999"/>
      <c r="OW3" s="999"/>
      <c r="OX3" s="999"/>
      <c r="OY3" s="999"/>
      <c r="OZ3" s="999"/>
      <c r="PA3" s="999"/>
      <c r="PB3" s="999"/>
      <c r="PC3" s="999"/>
      <c r="PD3" s="999"/>
      <c r="PE3" s="999"/>
      <c r="PF3" s="999"/>
      <c r="PG3" s="999"/>
      <c r="PH3" s="999"/>
      <c r="PI3" s="999"/>
      <c r="PJ3" s="999"/>
      <c r="PK3" s="999"/>
      <c r="PL3" s="999"/>
      <c r="PM3" s="999"/>
      <c r="PN3" s="999"/>
      <c r="PO3" s="999"/>
      <c r="PP3" s="999"/>
      <c r="PQ3" s="999"/>
      <c r="PR3" s="999"/>
      <c r="PS3" s="999"/>
      <c r="PT3" s="999"/>
      <c r="PU3" s="999"/>
      <c r="PV3" s="999"/>
      <c r="PW3" s="999"/>
      <c r="PX3" s="999"/>
      <c r="PY3" s="999"/>
      <c r="PZ3" s="999"/>
      <c r="QA3" s="999"/>
      <c r="QB3" s="999"/>
      <c r="QC3" s="999"/>
      <c r="QD3" s="999"/>
      <c r="QE3" s="999"/>
      <c r="QF3" s="999"/>
      <c r="QG3" s="999"/>
    </row>
    <row r="4" spans="1:449" s="761" customFormat="1" ht="15" customHeight="1" x14ac:dyDescent="0.2">
      <c r="A4" s="1091"/>
      <c r="B4" s="963" t="s">
        <v>741</v>
      </c>
      <c r="C4" s="757">
        <v>19084</v>
      </c>
      <c r="D4" s="757">
        <v>2707</v>
      </c>
      <c r="E4" s="757">
        <v>5015</v>
      </c>
      <c r="F4" s="757">
        <v>4516</v>
      </c>
      <c r="G4" s="757">
        <v>4989</v>
      </c>
      <c r="H4" s="757">
        <v>4307</v>
      </c>
      <c r="I4" s="757">
        <v>5289</v>
      </c>
      <c r="J4" s="757">
        <v>4264</v>
      </c>
      <c r="K4" s="758">
        <f>3946+815</f>
        <v>4761</v>
      </c>
      <c r="L4" s="759">
        <v>4655</v>
      </c>
      <c r="M4" s="759">
        <v>3828</v>
      </c>
      <c r="N4" s="759">
        <v>3258</v>
      </c>
      <c r="O4" s="759">
        <v>2742</v>
      </c>
      <c r="P4" s="759">
        <v>3402</v>
      </c>
      <c r="Q4" s="759">
        <v>4381</v>
      </c>
      <c r="R4" s="759">
        <v>4100</v>
      </c>
      <c r="S4" s="759">
        <v>4321</v>
      </c>
      <c r="T4" s="759">
        <v>4877</v>
      </c>
      <c r="U4" s="759">
        <v>4952</v>
      </c>
      <c r="V4" s="759">
        <v>4844</v>
      </c>
      <c r="W4" s="759">
        <v>5495</v>
      </c>
      <c r="X4" s="759">
        <v>5596</v>
      </c>
      <c r="Y4" s="759">
        <v>5116</v>
      </c>
      <c r="Z4" s="759">
        <v>4936</v>
      </c>
      <c r="AA4" s="759">
        <v>6103</v>
      </c>
      <c r="AB4" s="759">
        <v>5417</v>
      </c>
      <c r="AC4" s="759">
        <v>5520</v>
      </c>
      <c r="AD4" s="758">
        <v>5404</v>
      </c>
      <c r="AE4" s="758">
        <v>5024</v>
      </c>
      <c r="AF4" s="758">
        <v>5574</v>
      </c>
      <c r="AG4" s="758">
        <v>4770</v>
      </c>
      <c r="AH4" s="758">
        <v>5689</v>
      </c>
      <c r="AI4" s="758">
        <v>5355</v>
      </c>
      <c r="AJ4" s="758">
        <v>5448</v>
      </c>
      <c r="AK4" s="758">
        <v>5003</v>
      </c>
      <c r="AL4" s="758">
        <v>5336</v>
      </c>
      <c r="AM4" s="759">
        <v>4654</v>
      </c>
      <c r="AN4" s="759">
        <v>4530</v>
      </c>
      <c r="AO4" s="759">
        <v>5008</v>
      </c>
      <c r="AP4" s="759">
        <v>5557</v>
      </c>
      <c r="AQ4" s="759">
        <v>4414</v>
      </c>
      <c r="AR4" s="759">
        <v>4889</v>
      </c>
      <c r="AS4" s="759">
        <v>5337</v>
      </c>
      <c r="AT4" s="759">
        <v>4913</v>
      </c>
      <c r="AU4" s="759">
        <v>4432</v>
      </c>
      <c r="AV4" s="759">
        <v>5152</v>
      </c>
      <c r="AW4" s="759">
        <v>4529</v>
      </c>
      <c r="AX4" s="759">
        <v>4659</v>
      </c>
      <c r="AY4" s="759">
        <v>4725</v>
      </c>
      <c r="AZ4" s="759">
        <v>4755</v>
      </c>
      <c r="BA4" s="759">
        <v>4781</v>
      </c>
      <c r="BB4" s="759">
        <f>2759+2169</f>
        <v>4928</v>
      </c>
      <c r="BC4" s="759">
        <v>5160</v>
      </c>
      <c r="BD4" s="759">
        <v>5024</v>
      </c>
      <c r="BE4" s="759">
        <v>6754</v>
      </c>
      <c r="BF4" s="759">
        <v>6243</v>
      </c>
      <c r="BG4" s="759">
        <f>6260+529</f>
        <v>6789</v>
      </c>
      <c r="BH4" s="759">
        <v>7680</v>
      </c>
      <c r="BI4" s="759">
        <v>7971</v>
      </c>
      <c r="BJ4" s="759">
        <v>6918</v>
      </c>
      <c r="BK4" s="759">
        <v>5769</v>
      </c>
      <c r="BL4" s="759">
        <v>7306</v>
      </c>
      <c r="BM4" s="759">
        <v>6296</v>
      </c>
      <c r="BN4" s="759">
        <v>4778</v>
      </c>
      <c r="BO4" s="760">
        <v>3295</v>
      </c>
      <c r="BP4" s="760">
        <v>4366</v>
      </c>
      <c r="BQ4" s="760">
        <v>5398</v>
      </c>
      <c r="BR4" s="760">
        <v>5608</v>
      </c>
      <c r="BS4" s="760">
        <v>5623</v>
      </c>
      <c r="BT4" s="760">
        <v>6268</v>
      </c>
      <c r="BU4" s="760">
        <v>6131</v>
      </c>
      <c r="BV4" s="760">
        <v>6468</v>
      </c>
      <c r="BW4" s="760">
        <v>6400</v>
      </c>
      <c r="BX4" s="760">
        <v>6788</v>
      </c>
      <c r="BY4" s="760">
        <v>7670</v>
      </c>
      <c r="BZ4" s="760">
        <v>6638</v>
      </c>
      <c r="CA4" s="760">
        <v>8559</v>
      </c>
      <c r="CB4" s="760">
        <v>6071</v>
      </c>
      <c r="CC4" s="760">
        <v>7485</v>
      </c>
      <c r="CD4" s="760">
        <v>8605</v>
      </c>
      <c r="CE4" s="760">
        <v>7575</v>
      </c>
      <c r="CF4" s="813">
        <v>7417</v>
      </c>
      <c r="CG4" s="813">
        <v>9336</v>
      </c>
      <c r="CH4" s="813">
        <v>6823</v>
      </c>
      <c r="CI4" s="813">
        <v>7204</v>
      </c>
      <c r="CJ4" s="813">
        <v>7846</v>
      </c>
      <c r="CK4" s="813">
        <v>8030</v>
      </c>
      <c r="CL4" s="813">
        <v>6983</v>
      </c>
      <c r="CM4" s="813">
        <v>7389</v>
      </c>
      <c r="CN4" s="813">
        <v>7637</v>
      </c>
      <c r="CO4" s="813">
        <v>6988</v>
      </c>
      <c r="CP4" s="813">
        <v>7061</v>
      </c>
      <c r="CQ4" s="813">
        <v>7660</v>
      </c>
      <c r="CR4" s="813">
        <v>6539</v>
      </c>
      <c r="CS4" s="813">
        <v>7407</v>
      </c>
      <c r="CT4" s="813">
        <v>7227</v>
      </c>
      <c r="CU4" s="813">
        <v>8366</v>
      </c>
      <c r="CV4" s="813">
        <v>6631</v>
      </c>
      <c r="CW4" s="813">
        <v>8273</v>
      </c>
      <c r="CX4" s="813">
        <v>7794</v>
      </c>
      <c r="CY4" s="813">
        <v>7211</v>
      </c>
      <c r="CZ4" s="813">
        <v>7449</v>
      </c>
      <c r="DA4" s="813">
        <v>7013</v>
      </c>
      <c r="DB4" s="813">
        <v>7182</v>
      </c>
      <c r="DC4" s="883">
        <v>8301</v>
      </c>
      <c r="DD4" s="964">
        <v>7748</v>
      </c>
      <c r="DE4" s="964">
        <v>8286</v>
      </c>
      <c r="DF4" s="964">
        <v>7027</v>
      </c>
      <c r="DG4" s="964">
        <v>7069</v>
      </c>
      <c r="DH4" s="964">
        <v>7969</v>
      </c>
      <c r="DI4" s="965">
        <v>8904</v>
      </c>
      <c r="DJ4" s="966">
        <v>6970</v>
      </c>
      <c r="DK4" s="965">
        <v>8034</v>
      </c>
      <c r="DL4" s="965">
        <v>8539</v>
      </c>
      <c r="DM4" s="965">
        <v>8158</v>
      </c>
      <c r="DN4" s="965">
        <v>6898</v>
      </c>
      <c r="DO4" s="965">
        <v>6584</v>
      </c>
      <c r="DP4" s="964">
        <v>6021</v>
      </c>
      <c r="DQ4" s="964">
        <v>7640</v>
      </c>
      <c r="DR4" s="964">
        <v>7848</v>
      </c>
      <c r="DS4" s="964">
        <v>8211</v>
      </c>
      <c r="DT4" s="964">
        <v>9482</v>
      </c>
      <c r="DU4" s="967">
        <v>9373</v>
      </c>
      <c r="DV4" s="967">
        <v>7826</v>
      </c>
      <c r="DW4" s="967">
        <v>7417</v>
      </c>
      <c r="DX4" s="967">
        <f>2603+5736</f>
        <v>8339</v>
      </c>
      <c r="DY4" s="967">
        <v>8314</v>
      </c>
      <c r="DZ4" s="967">
        <v>8754</v>
      </c>
      <c r="EA4" s="967">
        <v>8439</v>
      </c>
      <c r="EB4" s="967">
        <v>8709</v>
      </c>
      <c r="EC4" s="967">
        <v>7739</v>
      </c>
      <c r="ED4" s="967">
        <v>8165</v>
      </c>
      <c r="EE4" s="967">
        <v>10206</v>
      </c>
      <c r="EF4" s="967">
        <v>10361</v>
      </c>
      <c r="EG4" s="967">
        <v>12139</v>
      </c>
      <c r="EH4" s="967">
        <v>8490</v>
      </c>
      <c r="EI4" s="967">
        <v>9087</v>
      </c>
      <c r="EJ4" s="967">
        <v>10970</v>
      </c>
      <c r="EK4" s="967">
        <v>9453</v>
      </c>
      <c r="EL4" s="958">
        <v>9488</v>
      </c>
      <c r="EM4" s="958">
        <v>9120</v>
      </c>
      <c r="EN4" s="958">
        <v>8063</v>
      </c>
      <c r="EO4" s="958">
        <v>8658</v>
      </c>
      <c r="EP4" s="958">
        <v>8651</v>
      </c>
      <c r="EQ4" s="958">
        <v>8696</v>
      </c>
      <c r="ER4" s="958">
        <v>9312</v>
      </c>
      <c r="ES4" s="958">
        <v>8683</v>
      </c>
      <c r="ET4" s="958"/>
      <c r="EU4" s="958"/>
      <c r="EV4" s="956"/>
      <c r="EW4" s="956"/>
      <c r="EX4" s="956"/>
      <c r="EY4" s="956"/>
      <c r="EZ4" s="956"/>
      <c r="FA4" s="956"/>
      <c r="FB4" s="956"/>
      <c r="FC4" s="956"/>
      <c r="FD4" s="956"/>
      <c r="FE4" s="956"/>
      <c r="FF4" s="956"/>
      <c r="FG4" s="956"/>
      <c r="FH4" s="956"/>
      <c r="FI4" s="956"/>
      <c r="FJ4" s="956"/>
      <c r="FK4" s="956"/>
      <c r="FL4" s="956"/>
      <c r="FM4" s="956"/>
      <c r="FN4" s="956"/>
      <c r="FO4" s="956"/>
      <c r="FP4" s="958">
        <v>6433</v>
      </c>
      <c r="FQ4" s="958">
        <v>8485</v>
      </c>
      <c r="FR4" s="958">
        <v>9587</v>
      </c>
      <c r="FS4" s="958">
        <v>9066</v>
      </c>
      <c r="FT4" s="958"/>
      <c r="FU4" s="958"/>
      <c r="FV4" s="958"/>
      <c r="FW4" s="956"/>
      <c r="FX4" s="956"/>
      <c r="FY4" s="956"/>
      <c r="FZ4" s="956"/>
      <c r="GA4" s="956"/>
      <c r="GB4" s="956"/>
      <c r="GC4" s="956"/>
      <c r="GD4" s="956"/>
      <c r="GE4" s="956"/>
      <c r="GF4" s="956"/>
      <c r="GG4" s="956"/>
      <c r="GH4" s="956"/>
      <c r="GI4" s="956"/>
      <c r="GJ4" s="956"/>
      <c r="GK4" s="956"/>
      <c r="GL4" s="956"/>
      <c r="GM4" s="956"/>
      <c r="GN4" s="956"/>
      <c r="GO4" s="956"/>
      <c r="GP4" s="956"/>
      <c r="GQ4" s="956"/>
      <c r="GR4" s="956"/>
      <c r="GS4" s="956"/>
      <c r="GT4" s="956"/>
      <c r="GU4" s="956"/>
      <c r="GV4" s="956"/>
      <c r="GW4" s="956"/>
      <c r="GX4" s="956"/>
      <c r="GY4" s="956"/>
      <c r="GZ4" s="956"/>
      <c r="HA4" s="956"/>
      <c r="HB4" s="956"/>
      <c r="HC4" s="956"/>
      <c r="HD4" s="956"/>
      <c r="HE4" s="956"/>
      <c r="HF4" s="956"/>
      <c r="HG4" s="956"/>
      <c r="HH4" s="956"/>
      <c r="HI4" s="956"/>
      <c r="HJ4" s="956"/>
      <c r="HK4" s="956"/>
      <c r="HL4" s="956"/>
      <c r="HM4" s="956"/>
      <c r="HN4" s="956"/>
      <c r="HO4" s="956"/>
      <c r="HP4" s="956"/>
      <c r="HQ4" s="956"/>
      <c r="HR4" s="956"/>
      <c r="HS4" s="956"/>
      <c r="HT4" s="956"/>
      <c r="HU4" s="956"/>
      <c r="HV4" s="956"/>
      <c r="HW4" s="956"/>
      <c r="HX4" s="956"/>
      <c r="HY4" s="956"/>
      <c r="HZ4" s="956"/>
      <c r="IA4" s="956"/>
      <c r="IB4" s="956"/>
      <c r="IC4" s="956"/>
      <c r="ID4" s="956"/>
      <c r="IE4" s="956"/>
      <c r="IF4" s="956"/>
      <c r="IG4" s="956"/>
      <c r="IH4" s="956"/>
      <c r="II4" s="956"/>
      <c r="IJ4" s="956"/>
      <c r="IK4" s="956"/>
      <c r="IL4" s="956"/>
      <c r="IM4" s="956"/>
      <c r="IN4" s="956"/>
      <c r="IO4" s="956"/>
      <c r="IP4" s="956"/>
      <c r="IQ4" s="956"/>
      <c r="IR4" s="956"/>
      <c r="IS4" s="956"/>
      <c r="IT4" s="956"/>
      <c r="IU4" s="956"/>
      <c r="IV4" s="956"/>
      <c r="IW4" s="956"/>
      <c r="IX4" s="956"/>
      <c r="IY4" s="956"/>
      <c r="IZ4" s="956"/>
      <c r="JA4" s="956"/>
      <c r="JB4" s="956"/>
      <c r="JC4" s="956"/>
      <c r="JD4" s="956"/>
      <c r="JE4" s="956"/>
      <c r="JF4" s="956"/>
      <c r="JG4" s="956"/>
      <c r="JH4" s="956"/>
      <c r="JI4" s="956"/>
      <c r="JJ4" s="956"/>
      <c r="JK4" s="956"/>
      <c r="JL4" s="956"/>
      <c r="JM4" s="956"/>
      <c r="JN4" s="956"/>
      <c r="JO4" s="956"/>
      <c r="JP4" s="956"/>
      <c r="JQ4" s="956"/>
      <c r="JR4" s="956"/>
      <c r="JS4" s="956"/>
      <c r="JT4" s="956"/>
      <c r="JU4" s="956"/>
      <c r="JV4" s="956"/>
      <c r="JW4" s="956"/>
      <c r="JX4" s="956"/>
      <c r="JY4" s="956"/>
      <c r="JZ4" s="956"/>
      <c r="KA4" s="956"/>
      <c r="KB4" s="956"/>
      <c r="KC4" s="956"/>
      <c r="KD4" s="956"/>
      <c r="KE4" s="956"/>
      <c r="KF4" s="956"/>
      <c r="KG4" s="956"/>
      <c r="KH4" s="956"/>
      <c r="KI4" s="956"/>
      <c r="KJ4" s="956"/>
      <c r="KK4" s="956"/>
      <c r="KL4" s="956"/>
      <c r="KM4" s="956"/>
      <c r="KN4" s="956"/>
      <c r="KO4" s="956"/>
      <c r="KP4" s="956"/>
      <c r="KQ4" s="956"/>
      <c r="KR4" s="956"/>
      <c r="KS4" s="956"/>
      <c r="KT4" s="956"/>
      <c r="KU4" s="956"/>
      <c r="KV4" s="956"/>
      <c r="KW4" s="956"/>
      <c r="KX4" s="956"/>
      <c r="KY4" s="956"/>
      <c r="KZ4" s="956"/>
      <c r="LA4" s="956"/>
      <c r="LB4" s="956"/>
      <c r="LC4" s="956"/>
      <c r="LD4" s="956"/>
      <c r="LE4" s="956"/>
      <c r="LF4" s="956"/>
      <c r="LG4" s="956"/>
      <c r="LH4" s="956"/>
      <c r="LI4" s="956"/>
      <c r="LJ4" s="956"/>
      <c r="LK4" s="956"/>
      <c r="LL4" s="956"/>
      <c r="LM4" s="956"/>
      <c r="LN4" s="956"/>
      <c r="LO4" s="956"/>
      <c r="LP4" s="956"/>
      <c r="LQ4" s="956"/>
      <c r="LR4" s="956"/>
      <c r="LS4" s="956"/>
      <c r="LT4" s="956"/>
      <c r="LU4" s="956"/>
      <c r="LV4" s="956"/>
      <c r="LW4" s="956"/>
      <c r="LX4" s="956"/>
      <c r="LY4" s="956"/>
      <c r="LZ4" s="956"/>
      <c r="MA4" s="956"/>
      <c r="MB4" s="956"/>
      <c r="MC4" s="956"/>
      <c r="MD4" s="956"/>
      <c r="ME4" s="956"/>
      <c r="MF4" s="956"/>
      <c r="MG4" s="956"/>
      <c r="MH4" s="956"/>
      <c r="MI4" s="956"/>
      <c r="MJ4" s="956"/>
      <c r="MK4" s="956"/>
      <c r="ML4" s="956"/>
      <c r="MM4" s="956"/>
      <c r="MN4" s="956"/>
      <c r="MO4" s="956"/>
      <c r="MP4" s="956"/>
      <c r="MQ4" s="956"/>
      <c r="MR4" s="956"/>
      <c r="MS4" s="956"/>
      <c r="MT4" s="956"/>
      <c r="MU4" s="956"/>
      <c r="MV4" s="956"/>
      <c r="MW4" s="956"/>
      <c r="MX4" s="956"/>
      <c r="MY4" s="956"/>
      <c r="MZ4" s="956"/>
      <c r="NA4" s="956"/>
      <c r="NB4" s="956"/>
      <c r="NC4" s="956"/>
      <c r="ND4" s="956"/>
      <c r="NE4" s="956"/>
      <c r="NF4" s="956"/>
      <c r="NG4" s="956"/>
      <c r="NH4" s="956"/>
      <c r="NI4" s="956"/>
      <c r="NJ4" s="956"/>
      <c r="NK4" s="956"/>
      <c r="NL4" s="956"/>
      <c r="NM4" s="956"/>
      <c r="NN4" s="956"/>
      <c r="NO4" s="956"/>
      <c r="NP4" s="956"/>
      <c r="NQ4" s="956"/>
      <c r="NR4" s="956"/>
      <c r="NS4" s="956"/>
      <c r="NT4" s="956"/>
      <c r="NU4" s="956"/>
      <c r="NV4" s="956"/>
      <c r="NW4" s="956"/>
      <c r="NX4" s="956"/>
      <c r="NY4" s="956"/>
      <c r="NZ4" s="956"/>
      <c r="OA4" s="956"/>
      <c r="OB4" s="956"/>
      <c r="OC4" s="956"/>
      <c r="OD4" s="956"/>
      <c r="OE4" s="956"/>
      <c r="OF4" s="956"/>
      <c r="OG4" s="956"/>
      <c r="OH4" s="956"/>
      <c r="OI4" s="956"/>
      <c r="OJ4" s="956"/>
      <c r="OK4" s="956"/>
      <c r="OL4" s="956"/>
      <c r="OM4" s="956"/>
      <c r="ON4" s="956"/>
      <c r="OO4" s="956"/>
      <c r="OP4" s="956"/>
      <c r="OQ4" s="956"/>
      <c r="OR4" s="956"/>
      <c r="OS4" s="956"/>
      <c r="OT4" s="956"/>
      <c r="OU4" s="956"/>
      <c r="OV4" s="956"/>
      <c r="OW4" s="956"/>
      <c r="OX4" s="956"/>
      <c r="OY4" s="956"/>
      <c r="OZ4" s="956"/>
      <c r="PA4" s="956"/>
      <c r="PB4" s="956"/>
      <c r="PC4" s="956"/>
      <c r="PD4" s="956"/>
      <c r="PE4" s="956"/>
      <c r="PF4" s="956"/>
      <c r="PG4" s="956"/>
      <c r="PH4" s="956"/>
      <c r="PI4" s="956"/>
      <c r="PJ4" s="956"/>
      <c r="PK4" s="956"/>
      <c r="PL4" s="956"/>
      <c r="PM4" s="956"/>
      <c r="PN4" s="956"/>
      <c r="PO4" s="956"/>
      <c r="PP4" s="956"/>
      <c r="PQ4" s="956"/>
      <c r="PR4" s="956"/>
      <c r="PS4" s="956"/>
      <c r="PT4" s="956"/>
      <c r="PU4" s="956"/>
      <c r="PV4" s="956"/>
      <c r="PW4" s="956"/>
      <c r="PX4" s="956"/>
      <c r="PY4" s="956"/>
      <c r="PZ4" s="956"/>
      <c r="QA4" s="956"/>
      <c r="QB4" s="956"/>
      <c r="QC4" s="956"/>
      <c r="QD4" s="956"/>
      <c r="QE4" s="956"/>
      <c r="QF4" s="956"/>
      <c r="QG4" s="956"/>
    </row>
    <row r="5" spans="1:449" s="761" customFormat="1" ht="15" customHeight="1" x14ac:dyDescent="0.2">
      <c r="A5" s="1091"/>
      <c r="B5" s="963" t="s">
        <v>742</v>
      </c>
      <c r="C5" s="757">
        <v>7633</v>
      </c>
      <c r="D5" s="757">
        <v>1338</v>
      </c>
      <c r="E5" s="757">
        <v>2459</v>
      </c>
      <c r="F5" s="757">
        <v>2378</v>
      </c>
      <c r="G5" s="757">
        <v>3057</v>
      </c>
      <c r="H5" s="757">
        <v>2664</v>
      </c>
      <c r="I5" s="757">
        <v>3259</v>
      </c>
      <c r="J5" s="757">
        <v>2858</v>
      </c>
      <c r="K5" s="758">
        <f>2539+451</f>
        <v>2990</v>
      </c>
      <c r="L5" s="759">
        <v>3244</v>
      </c>
      <c r="M5" s="759">
        <v>2702</v>
      </c>
      <c r="N5" s="759">
        <v>2316</v>
      </c>
      <c r="O5" s="759">
        <v>1934</v>
      </c>
      <c r="P5" s="759">
        <v>2308</v>
      </c>
      <c r="Q5" s="759">
        <v>3185</v>
      </c>
      <c r="R5" s="759">
        <v>2912</v>
      </c>
      <c r="S5" s="759">
        <v>3062</v>
      </c>
      <c r="T5" s="759">
        <v>3029</v>
      </c>
      <c r="U5" s="759">
        <v>3390</v>
      </c>
      <c r="V5" s="759">
        <v>3539</v>
      </c>
      <c r="W5" s="759">
        <v>3834</v>
      </c>
      <c r="X5" s="759">
        <v>4058</v>
      </c>
      <c r="Y5" s="759">
        <v>3788</v>
      </c>
      <c r="Z5" s="759">
        <v>3560</v>
      </c>
      <c r="AA5" s="759">
        <v>4432</v>
      </c>
      <c r="AB5" s="759">
        <v>3866</v>
      </c>
      <c r="AC5" s="759">
        <v>4058</v>
      </c>
      <c r="AD5" s="758">
        <v>4008</v>
      </c>
      <c r="AE5" s="758">
        <v>3687</v>
      </c>
      <c r="AF5" s="758">
        <v>4019</v>
      </c>
      <c r="AG5" s="758">
        <v>3653</v>
      </c>
      <c r="AH5" s="758">
        <v>4215</v>
      </c>
      <c r="AI5" s="758">
        <v>3982</v>
      </c>
      <c r="AJ5" s="758">
        <v>4100</v>
      </c>
      <c r="AK5" s="758">
        <v>3891</v>
      </c>
      <c r="AL5" s="758">
        <v>4186</v>
      </c>
      <c r="AM5" s="759">
        <v>3544</v>
      </c>
      <c r="AN5" s="759">
        <v>3315</v>
      </c>
      <c r="AO5" s="759">
        <v>3848</v>
      </c>
      <c r="AP5" s="759">
        <v>4057</v>
      </c>
      <c r="AQ5" s="759">
        <v>3510</v>
      </c>
      <c r="AR5" s="759">
        <v>3825</v>
      </c>
      <c r="AS5" s="759">
        <v>3719</v>
      </c>
      <c r="AT5" s="759">
        <v>3722</v>
      </c>
      <c r="AU5" s="759">
        <v>3498</v>
      </c>
      <c r="AV5" s="759">
        <v>3986</v>
      </c>
      <c r="AW5" s="759">
        <v>3525</v>
      </c>
      <c r="AX5" s="759">
        <v>3692</v>
      </c>
      <c r="AY5" s="759">
        <v>3676</v>
      </c>
      <c r="AZ5" s="759">
        <v>3738</v>
      </c>
      <c r="BA5" s="759">
        <v>3709</v>
      </c>
      <c r="BB5" s="759">
        <f>1983+1709</f>
        <v>3692</v>
      </c>
      <c r="BC5" s="759">
        <v>3934</v>
      </c>
      <c r="BD5" s="759">
        <v>3802</v>
      </c>
      <c r="BE5" s="759">
        <v>4953</v>
      </c>
      <c r="BF5" s="759">
        <v>4810</v>
      </c>
      <c r="BG5" s="759">
        <f>4334+391</f>
        <v>4725</v>
      </c>
      <c r="BH5" s="759">
        <v>5383</v>
      </c>
      <c r="BI5" s="759">
        <v>5608</v>
      </c>
      <c r="BJ5" s="759">
        <v>5132</v>
      </c>
      <c r="BK5" s="759">
        <v>4174</v>
      </c>
      <c r="BL5" s="759">
        <v>5555</v>
      </c>
      <c r="BM5" s="759">
        <v>4525</v>
      </c>
      <c r="BN5" s="759">
        <v>3610</v>
      </c>
      <c r="BO5" s="760">
        <v>2448</v>
      </c>
      <c r="BP5" s="760">
        <v>3484</v>
      </c>
      <c r="BQ5" s="760">
        <v>4300</v>
      </c>
      <c r="BR5" s="760">
        <v>4405</v>
      </c>
      <c r="BS5" s="760">
        <v>4363</v>
      </c>
      <c r="BT5" s="760">
        <v>3939</v>
      </c>
      <c r="BU5" s="760">
        <v>4775</v>
      </c>
      <c r="BV5" s="760">
        <v>4919</v>
      </c>
      <c r="BW5" s="760">
        <v>4918</v>
      </c>
      <c r="BX5" s="760">
        <v>5315</v>
      </c>
      <c r="BY5" s="760">
        <v>5234</v>
      </c>
      <c r="BZ5" s="760">
        <v>4982</v>
      </c>
      <c r="CA5" s="760">
        <v>5607</v>
      </c>
      <c r="CB5" s="760">
        <v>3330</v>
      </c>
      <c r="CC5" s="760">
        <v>5374</v>
      </c>
      <c r="CD5" s="760">
        <v>5967</v>
      </c>
      <c r="CE5" s="760">
        <v>5776</v>
      </c>
      <c r="CF5" s="813">
        <v>5623</v>
      </c>
      <c r="CG5" s="813">
        <v>6704</v>
      </c>
      <c r="CH5" s="813">
        <v>5371</v>
      </c>
      <c r="CI5" s="813">
        <v>5582</v>
      </c>
      <c r="CJ5" s="813">
        <v>6225</v>
      </c>
      <c r="CK5" s="813">
        <v>6156</v>
      </c>
      <c r="CL5" s="813">
        <v>5548</v>
      </c>
      <c r="CM5" s="813">
        <v>5527</v>
      </c>
      <c r="CN5" s="813">
        <v>6043</v>
      </c>
      <c r="CO5" s="813">
        <v>5552</v>
      </c>
      <c r="CP5" s="813">
        <v>5752</v>
      </c>
      <c r="CQ5" s="813">
        <v>5667</v>
      </c>
      <c r="CR5" s="813">
        <v>5112</v>
      </c>
      <c r="CS5" s="813">
        <v>5870</v>
      </c>
      <c r="CT5" s="813">
        <v>5741</v>
      </c>
      <c r="CU5" s="813">
        <v>6561</v>
      </c>
      <c r="CV5" s="813">
        <v>5307</v>
      </c>
      <c r="CW5" s="813">
        <v>6485</v>
      </c>
      <c r="CX5" s="813">
        <v>6087</v>
      </c>
      <c r="CY5" s="813">
        <v>5673</v>
      </c>
      <c r="CZ5" s="813">
        <v>5903</v>
      </c>
      <c r="DA5" s="813">
        <v>5473</v>
      </c>
      <c r="DB5" s="813">
        <v>5818</v>
      </c>
      <c r="DC5" s="883">
        <v>5916</v>
      </c>
      <c r="DD5" s="964">
        <v>5866</v>
      </c>
      <c r="DE5" s="964">
        <v>6553</v>
      </c>
      <c r="DF5" s="964">
        <v>5772</v>
      </c>
      <c r="DG5" s="964">
        <v>5672</v>
      </c>
      <c r="DH5" s="964">
        <v>5494</v>
      </c>
      <c r="DI5" s="965">
        <v>7195</v>
      </c>
      <c r="DJ5" s="965">
        <v>5873</v>
      </c>
      <c r="DK5" s="965">
        <v>6360</v>
      </c>
      <c r="DL5" s="965">
        <v>5954</v>
      </c>
      <c r="DM5" s="965">
        <v>6347</v>
      </c>
      <c r="DN5" s="965">
        <v>5473</v>
      </c>
      <c r="DO5" s="965">
        <v>5015</v>
      </c>
      <c r="DP5" s="964">
        <v>4467</v>
      </c>
      <c r="DQ5" s="964">
        <v>6019</v>
      </c>
      <c r="DR5" s="964">
        <v>5729</v>
      </c>
      <c r="DS5" s="964">
        <v>5846</v>
      </c>
      <c r="DT5" s="964">
        <v>6682</v>
      </c>
      <c r="DU5" s="967">
        <v>6828</v>
      </c>
      <c r="DV5" s="967">
        <v>6022</v>
      </c>
      <c r="DW5" s="967">
        <v>5894</v>
      </c>
      <c r="DX5" s="967">
        <f>1971+3945</f>
        <v>5916</v>
      </c>
      <c r="DY5" s="967">
        <v>5882</v>
      </c>
      <c r="DZ5" s="967">
        <v>6177</v>
      </c>
      <c r="EA5" s="967">
        <v>6087</v>
      </c>
      <c r="EB5" s="967">
        <v>6476</v>
      </c>
      <c r="EC5" s="967">
        <v>5898</v>
      </c>
      <c r="ED5" s="967">
        <v>6120</v>
      </c>
      <c r="EE5" s="967">
        <v>7064</v>
      </c>
      <c r="EF5" s="967">
        <v>6942</v>
      </c>
      <c r="EG5" s="967">
        <v>7869</v>
      </c>
      <c r="EH5" s="967">
        <v>6090</v>
      </c>
      <c r="EI5" s="967">
        <v>6965</v>
      </c>
      <c r="EJ5" s="967">
        <v>8022</v>
      </c>
      <c r="EK5" s="967">
        <v>6838</v>
      </c>
      <c r="EL5" s="958">
        <v>7090</v>
      </c>
      <c r="EM5" s="958">
        <v>6686</v>
      </c>
      <c r="EN5" s="958">
        <v>6136</v>
      </c>
      <c r="EO5" s="958">
        <v>6282</v>
      </c>
      <c r="EP5" s="958">
        <v>6634</v>
      </c>
      <c r="EQ5" s="958">
        <v>6392</v>
      </c>
      <c r="ER5" s="958">
        <v>6623</v>
      </c>
      <c r="ES5" s="958">
        <v>6397</v>
      </c>
      <c r="ET5" s="958"/>
      <c r="EU5" s="958"/>
      <c r="EV5" s="956"/>
      <c r="EW5" s="956"/>
      <c r="EX5" s="956"/>
      <c r="EY5" s="956"/>
      <c r="EZ5" s="956"/>
      <c r="FA5" s="956"/>
      <c r="FB5" s="956"/>
      <c r="FC5" s="956"/>
      <c r="FD5" s="956"/>
      <c r="FE5" s="956"/>
      <c r="FF5" s="956"/>
      <c r="FG5" s="956"/>
      <c r="FH5" s="956"/>
      <c r="FI5" s="956"/>
      <c r="FJ5" s="956"/>
      <c r="FK5" s="956"/>
      <c r="FL5" s="956"/>
      <c r="FM5" s="956"/>
      <c r="FN5" s="956"/>
      <c r="FO5" s="956"/>
      <c r="FP5" s="958">
        <v>4947</v>
      </c>
      <c r="FQ5" s="958">
        <v>5690</v>
      </c>
      <c r="FR5" s="958">
        <v>7371</v>
      </c>
      <c r="FS5" s="958">
        <v>7080</v>
      </c>
      <c r="FT5" s="958"/>
      <c r="FU5" s="958"/>
      <c r="FV5" s="958"/>
      <c r="FW5" s="956"/>
      <c r="FX5" s="956"/>
      <c r="FY5" s="956"/>
      <c r="FZ5" s="956"/>
      <c r="GA5" s="956"/>
      <c r="GB5" s="956"/>
      <c r="GC5" s="956"/>
      <c r="GD5" s="956"/>
      <c r="GE5" s="956"/>
      <c r="GF5" s="956"/>
      <c r="GG5" s="956"/>
      <c r="GH5" s="956"/>
      <c r="GI5" s="956"/>
      <c r="GJ5" s="956"/>
      <c r="GK5" s="956"/>
      <c r="GL5" s="956"/>
      <c r="GM5" s="956"/>
      <c r="GN5" s="956"/>
      <c r="GO5" s="956"/>
      <c r="GP5" s="956"/>
      <c r="GQ5" s="956"/>
      <c r="GR5" s="956"/>
      <c r="GS5" s="956"/>
      <c r="GT5" s="956"/>
      <c r="GU5" s="956"/>
      <c r="GV5" s="956"/>
      <c r="GW5" s="956"/>
      <c r="GX5" s="956"/>
      <c r="GY5" s="956"/>
      <c r="GZ5" s="956"/>
      <c r="HA5" s="956"/>
      <c r="HB5" s="956"/>
      <c r="HC5" s="956"/>
      <c r="HD5" s="956"/>
      <c r="HE5" s="956"/>
      <c r="HF5" s="956"/>
      <c r="HG5" s="956"/>
      <c r="HH5" s="956"/>
      <c r="HI5" s="956"/>
      <c r="HJ5" s="956"/>
      <c r="HK5" s="956"/>
      <c r="HL5" s="956"/>
      <c r="HM5" s="956"/>
      <c r="HN5" s="956"/>
      <c r="HO5" s="956"/>
      <c r="HP5" s="956"/>
      <c r="HQ5" s="956"/>
      <c r="HR5" s="956"/>
      <c r="HS5" s="956"/>
      <c r="HT5" s="956"/>
      <c r="HU5" s="956"/>
      <c r="HV5" s="956"/>
      <c r="HW5" s="956"/>
      <c r="HX5" s="956"/>
      <c r="HY5" s="956"/>
      <c r="HZ5" s="956"/>
      <c r="IA5" s="956"/>
      <c r="IB5" s="956"/>
      <c r="IC5" s="956"/>
      <c r="ID5" s="956"/>
      <c r="IE5" s="956"/>
      <c r="IF5" s="956"/>
      <c r="IG5" s="956"/>
      <c r="IH5" s="956"/>
      <c r="II5" s="956"/>
      <c r="IJ5" s="956"/>
      <c r="IK5" s="956"/>
      <c r="IL5" s="956"/>
      <c r="IM5" s="956"/>
      <c r="IN5" s="956"/>
      <c r="IO5" s="956"/>
      <c r="IP5" s="956"/>
      <c r="IQ5" s="956"/>
      <c r="IR5" s="956"/>
      <c r="IS5" s="956"/>
      <c r="IT5" s="956"/>
      <c r="IU5" s="956"/>
      <c r="IV5" s="956"/>
      <c r="IW5" s="956"/>
      <c r="IX5" s="956"/>
      <c r="IY5" s="956"/>
      <c r="IZ5" s="956"/>
      <c r="JA5" s="956"/>
      <c r="JB5" s="956"/>
      <c r="JC5" s="956"/>
      <c r="JD5" s="956"/>
      <c r="JE5" s="956"/>
      <c r="JF5" s="956"/>
      <c r="JG5" s="956"/>
      <c r="JH5" s="956"/>
      <c r="JI5" s="956"/>
      <c r="JJ5" s="956"/>
      <c r="JK5" s="956"/>
      <c r="JL5" s="956"/>
      <c r="JM5" s="956"/>
      <c r="JN5" s="956"/>
      <c r="JO5" s="956"/>
      <c r="JP5" s="956"/>
      <c r="JQ5" s="956"/>
      <c r="JR5" s="956"/>
      <c r="JS5" s="956"/>
      <c r="JT5" s="956"/>
      <c r="JU5" s="956"/>
      <c r="JV5" s="956"/>
      <c r="JW5" s="956"/>
      <c r="JX5" s="956"/>
      <c r="JY5" s="956"/>
      <c r="JZ5" s="956"/>
      <c r="KA5" s="956"/>
      <c r="KB5" s="956"/>
      <c r="KC5" s="956"/>
      <c r="KD5" s="956"/>
      <c r="KE5" s="956"/>
      <c r="KF5" s="956"/>
      <c r="KG5" s="956"/>
      <c r="KH5" s="956"/>
      <c r="KI5" s="956"/>
      <c r="KJ5" s="956"/>
      <c r="KK5" s="956"/>
      <c r="KL5" s="956"/>
      <c r="KM5" s="956"/>
      <c r="KN5" s="956"/>
      <c r="KO5" s="956"/>
      <c r="KP5" s="956"/>
      <c r="KQ5" s="956"/>
      <c r="KR5" s="956"/>
      <c r="KS5" s="956"/>
      <c r="KT5" s="956"/>
      <c r="KU5" s="956"/>
      <c r="KV5" s="956"/>
      <c r="KW5" s="956"/>
      <c r="KX5" s="956"/>
      <c r="KY5" s="956"/>
      <c r="KZ5" s="956"/>
      <c r="LA5" s="956"/>
      <c r="LB5" s="956"/>
      <c r="LC5" s="956"/>
      <c r="LD5" s="956"/>
      <c r="LE5" s="956"/>
      <c r="LF5" s="956"/>
      <c r="LG5" s="956"/>
      <c r="LH5" s="956"/>
      <c r="LI5" s="956"/>
      <c r="LJ5" s="956"/>
      <c r="LK5" s="956"/>
      <c r="LL5" s="956"/>
      <c r="LM5" s="956"/>
      <c r="LN5" s="956"/>
      <c r="LO5" s="956"/>
      <c r="LP5" s="956"/>
      <c r="LQ5" s="956"/>
      <c r="LR5" s="956"/>
      <c r="LS5" s="956"/>
      <c r="LT5" s="956"/>
      <c r="LU5" s="956"/>
      <c r="LV5" s="956"/>
      <c r="LW5" s="956"/>
      <c r="LX5" s="956"/>
      <c r="LY5" s="956"/>
      <c r="LZ5" s="956"/>
      <c r="MA5" s="956"/>
      <c r="MB5" s="956"/>
      <c r="MC5" s="956"/>
      <c r="MD5" s="956"/>
      <c r="ME5" s="956"/>
      <c r="MF5" s="956"/>
      <c r="MG5" s="956"/>
      <c r="MH5" s="956"/>
      <c r="MI5" s="956"/>
      <c r="MJ5" s="956"/>
      <c r="MK5" s="956"/>
      <c r="ML5" s="956"/>
      <c r="MM5" s="956"/>
      <c r="MN5" s="956"/>
      <c r="MO5" s="956"/>
      <c r="MP5" s="956"/>
      <c r="MQ5" s="956"/>
      <c r="MR5" s="956"/>
      <c r="MS5" s="956"/>
      <c r="MT5" s="956"/>
      <c r="MU5" s="956"/>
      <c r="MV5" s="956"/>
      <c r="MW5" s="956"/>
      <c r="MX5" s="956"/>
      <c r="MY5" s="956"/>
      <c r="MZ5" s="956"/>
      <c r="NA5" s="956"/>
      <c r="NB5" s="956"/>
      <c r="NC5" s="956"/>
      <c r="ND5" s="956"/>
      <c r="NE5" s="956"/>
      <c r="NF5" s="956"/>
      <c r="NG5" s="956"/>
      <c r="NH5" s="956"/>
      <c r="NI5" s="956"/>
      <c r="NJ5" s="956"/>
      <c r="NK5" s="956"/>
      <c r="NL5" s="956"/>
      <c r="NM5" s="956"/>
      <c r="NN5" s="956"/>
      <c r="NO5" s="956"/>
      <c r="NP5" s="956"/>
      <c r="NQ5" s="956"/>
      <c r="NR5" s="956"/>
      <c r="NS5" s="956"/>
      <c r="NT5" s="956"/>
      <c r="NU5" s="956"/>
      <c r="NV5" s="956"/>
      <c r="NW5" s="956"/>
      <c r="NX5" s="956"/>
      <c r="NY5" s="956"/>
      <c r="NZ5" s="956"/>
      <c r="OA5" s="956"/>
      <c r="OB5" s="956"/>
      <c r="OC5" s="956"/>
      <c r="OD5" s="956"/>
      <c r="OE5" s="956"/>
      <c r="OF5" s="956"/>
      <c r="OG5" s="956"/>
      <c r="OH5" s="956"/>
      <c r="OI5" s="956"/>
      <c r="OJ5" s="956"/>
      <c r="OK5" s="956"/>
      <c r="OL5" s="956"/>
      <c r="OM5" s="956"/>
      <c r="ON5" s="956"/>
      <c r="OO5" s="956"/>
      <c r="OP5" s="956"/>
      <c r="OQ5" s="956"/>
      <c r="OR5" s="956"/>
      <c r="OS5" s="956"/>
      <c r="OT5" s="956"/>
      <c r="OU5" s="956"/>
      <c r="OV5" s="956"/>
      <c r="OW5" s="956"/>
      <c r="OX5" s="956"/>
      <c r="OY5" s="956"/>
      <c r="OZ5" s="956"/>
      <c r="PA5" s="956"/>
      <c r="PB5" s="956"/>
      <c r="PC5" s="956"/>
      <c r="PD5" s="956"/>
      <c r="PE5" s="956"/>
      <c r="PF5" s="956"/>
      <c r="PG5" s="956"/>
      <c r="PH5" s="956"/>
      <c r="PI5" s="956"/>
      <c r="PJ5" s="956"/>
      <c r="PK5" s="956"/>
      <c r="PL5" s="956"/>
      <c r="PM5" s="956"/>
      <c r="PN5" s="956"/>
      <c r="PO5" s="956"/>
      <c r="PP5" s="956"/>
      <c r="PQ5" s="956"/>
      <c r="PR5" s="956"/>
      <c r="PS5" s="956"/>
      <c r="PT5" s="956"/>
      <c r="PU5" s="956"/>
      <c r="PV5" s="956"/>
      <c r="PW5" s="956"/>
      <c r="PX5" s="956"/>
      <c r="PY5" s="956"/>
      <c r="PZ5" s="956"/>
      <c r="QA5" s="956"/>
      <c r="QB5" s="956"/>
      <c r="QC5" s="956"/>
      <c r="QD5" s="956"/>
      <c r="QE5" s="956"/>
      <c r="QF5" s="956"/>
      <c r="QG5" s="956"/>
    </row>
    <row r="6" spans="1:449" s="761" customFormat="1" ht="15" customHeight="1" x14ac:dyDescent="0.2">
      <c r="A6" s="1091"/>
      <c r="B6" s="963" t="s">
        <v>743</v>
      </c>
      <c r="C6" s="757">
        <v>4067</v>
      </c>
      <c r="D6" s="757">
        <v>427</v>
      </c>
      <c r="E6" s="757">
        <v>1187</v>
      </c>
      <c r="F6" s="757">
        <v>1103</v>
      </c>
      <c r="G6" s="757">
        <v>982</v>
      </c>
      <c r="H6" s="757">
        <v>693</v>
      </c>
      <c r="I6" s="757">
        <v>815</v>
      </c>
      <c r="J6" s="757">
        <v>574</v>
      </c>
      <c r="K6" s="758">
        <f>630+208</f>
        <v>838</v>
      </c>
      <c r="L6" s="759">
        <v>525</v>
      </c>
      <c r="M6" s="759">
        <v>413</v>
      </c>
      <c r="N6" s="759">
        <v>337</v>
      </c>
      <c r="O6" s="759">
        <v>221</v>
      </c>
      <c r="P6" s="759">
        <v>371</v>
      </c>
      <c r="Q6" s="759">
        <v>380</v>
      </c>
      <c r="R6" s="759">
        <v>349</v>
      </c>
      <c r="S6" s="759">
        <v>389</v>
      </c>
      <c r="T6" s="759">
        <v>547</v>
      </c>
      <c r="U6" s="759">
        <v>533</v>
      </c>
      <c r="V6" s="759">
        <v>446</v>
      </c>
      <c r="W6" s="759">
        <v>642</v>
      </c>
      <c r="X6" s="759">
        <v>552</v>
      </c>
      <c r="Y6" s="759">
        <v>431</v>
      </c>
      <c r="Z6" s="759">
        <v>442</v>
      </c>
      <c r="AA6" s="759">
        <v>558</v>
      </c>
      <c r="AB6" s="759">
        <v>487</v>
      </c>
      <c r="AC6" s="759">
        <v>448</v>
      </c>
      <c r="AD6" s="758">
        <v>452</v>
      </c>
      <c r="AE6" s="758">
        <v>340</v>
      </c>
      <c r="AF6" s="758">
        <v>424</v>
      </c>
      <c r="AG6" s="758">
        <v>270</v>
      </c>
      <c r="AH6" s="758">
        <v>422</v>
      </c>
      <c r="AI6" s="758">
        <v>408</v>
      </c>
      <c r="AJ6" s="758">
        <v>381</v>
      </c>
      <c r="AK6" s="758">
        <v>274</v>
      </c>
      <c r="AL6" s="758">
        <v>306</v>
      </c>
      <c r="AM6" s="759">
        <v>296</v>
      </c>
      <c r="AN6" s="759">
        <v>314</v>
      </c>
      <c r="AO6" s="759">
        <v>319</v>
      </c>
      <c r="AP6" s="759">
        <v>431</v>
      </c>
      <c r="AQ6" s="759">
        <v>222</v>
      </c>
      <c r="AR6" s="759">
        <v>291</v>
      </c>
      <c r="AS6" s="759">
        <v>621</v>
      </c>
      <c r="AT6" s="759">
        <v>414</v>
      </c>
      <c r="AU6" s="759">
        <v>226</v>
      </c>
      <c r="AV6" s="759">
        <v>325</v>
      </c>
      <c r="AW6" s="759">
        <v>277</v>
      </c>
      <c r="AX6" s="759">
        <v>237</v>
      </c>
      <c r="AY6" s="759">
        <v>269</v>
      </c>
      <c r="AZ6" s="759">
        <v>256</v>
      </c>
      <c r="BA6" s="759">
        <v>279</v>
      </c>
      <c r="BB6" s="759">
        <f>220+110</f>
        <v>330</v>
      </c>
      <c r="BC6" s="759">
        <v>333</v>
      </c>
      <c r="BD6" s="759">
        <v>353</v>
      </c>
      <c r="BE6" s="759">
        <v>566</v>
      </c>
      <c r="BF6" s="759">
        <v>400</v>
      </c>
      <c r="BG6" s="759">
        <f>43+551</f>
        <v>594</v>
      </c>
      <c r="BH6" s="759">
        <v>669</v>
      </c>
      <c r="BI6" s="759">
        <v>637</v>
      </c>
      <c r="BJ6" s="759">
        <v>476</v>
      </c>
      <c r="BK6" s="759">
        <v>393</v>
      </c>
      <c r="BL6" s="759">
        <v>404</v>
      </c>
      <c r="BM6" s="759">
        <v>466</v>
      </c>
      <c r="BN6" s="759">
        <v>256</v>
      </c>
      <c r="BO6" s="760">
        <v>178</v>
      </c>
      <c r="BP6" s="760">
        <v>186</v>
      </c>
      <c r="BQ6" s="760">
        <v>239</v>
      </c>
      <c r="BR6" s="760">
        <v>265</v>
      </c>
      <c r="BS6" s="760">
        <v>244</v>
      </c>
      <c r="BT6" s="760">
        <v>291</v>
      </c>
      <c r="BU6" s="760">
        <v>226</v>
      </c>
      <c r="BV6" s="760">
        <v>290</v>
      </c>
      <c r="BW6" s="760">
        <v>237</v>
      </c>
      <c r="BX6" s="760">
        <v>265</v>
      </c>
      <c r="BY6" s="760">
        <v>452</v>
      </c>
      <c r="BZ6" s="807">
        <v>224</v>
      </c>
      <c r="CA6" s="807">
        <v>450</v>
      </c>
      <c r="CB6" s="807">
        <v>652</v>
      </c>
      <c r="CC6" s="760">
        <v>372</v>
      </c>
      <c r="CD6" s="760">
        <v>571</v>
      </c>
      <c r="CE6" s="760">
        <v>313</v>
      </c>
      <c r="CF6" s="813">
        <v>312</v>
      </c>
      <c r="CG6" s="813">
        <v>493</v>
      </c>
      <c r="CH6" s="813">
        <v>242</v>
      </c>
      <c r="CI6" s="813">
        <v>323</v>
      </c>
      <c r="CJ6" s="813">
        <v>299</v>
      </c>
      <c r="CK6" s="813">
        <v>345</v>
      </c>
      <c r="CL6" s="813">
        <v>311</v>
      </c>
      <c r="CM6" s="813">
        <v>410</v>
      </c>
      <c r="CN6" s="813">
        <v>377</v>
      </c>
      <c r="CO6" s="813">
        <v>348</v>
      </c>
      <c r="CP6" s="813">
        <v>255</v>
      </c>
      <c r="CQ6" s="813">
        <v>449</v>
      </c>
      <c r="CR6" s="813">
        <v>280</v>
      </c>
      <c r="CS6" s="813">
        <v>320</v>
      </c>
      <c r="CT6" s="813">
        <v>292</v>
      </c>
      <c r="CU6" s="813">
        <v>341</v>
      </c>
      <c r="CV6" s="813">
        <v>273</v>
      </c>
      <c r="CW6" s="813">
        <v>355</v>
      </c>
      <c r="CX6" s="813">
        <v>411</v>
      </c>
      <c r="CY6" s="813">
        <v>346</v>
      </c>
      <c r="CZ6" s="813">
        <v>392</v>
      </c>
      <c r="DA6" s="813">
        <v>357</v>
      </c>
      <c r="DB6" s="813">
        <v>276</v>
      </c>
      <c r="DC6" s="883">
        <v>559</v>
      </c>
      <c r="DD6" s="964">
        <v>369</v>
      </c>
      <c r="DE6" s="964">
        <v>388</v>
      </c>
      <c r="DF6" s="964">
        <v>234</v>
      </c>
      <c r="DG6" s="964">
        <v>266</v>
      </c>
      <c r="DH6" s="964">
        <v>244</v>
      </c>
      <c r="DI6" s="965">
        <v>349</v>
      </c>
      <c r="DJ6" s="965">
        <v>261</v>
      </c>
      <c r="DK6" s="965">
        <v>280</v>
      </c>
      <c r="DL6" s="965">
        <v>442</v>
      </c>
      <c r="DM6" s="965">
        <v>267</v>
      </c>
      <c r="DN6" s="965">
        <v>267</v>
      </c>
      <c r="DO6" s="965">
        <v>194</v>
      </c>
      <c r="DP6" s="964">
        <v>362</v>
      </c>
      <c r="DQ6" s="964">
        <v>308</v>
      </c>
      <c r="DR6" s="964">
        <v>409</v>
      </c>
      <c r="DS6" s="964">
        <v>588</v>
      </c>
      <c r="DT6" s="964">
        <v>569</v>
      </c>
      <c r="DU6" s="967">
        <v>405</v>
      </c>
      <c r="DV6" s="967">
        <v>297</v>
      </c>
      <c r="DW6" s="967">
        <v>212</v>
      </c>
      <c r="DX6" s="967">
        <f>358+53</f>
        <v>411</v>
      </c>
      <c r="DY6" s="967">
        <v>235</v>
      </c>
      <c r="DZ6" s="967">
        <v>405</v>
      </c>
      <c r="EA6" s="967">
        <v>358</v>
      </c>
      <c r="EB6" s="967">
        <v>241</v>
      </c>
      <c r="EC6" s="967">
        <v>216</v>
      </c>
      <c r="ED6" s="967">
        <v>140</v>
      </c>
      <c r="EE6" s="967">
        <v>272</v>
      </c>
      <c r="EF6" s="967">
        <v>356</v>
      </c>
      <c r="EG6" s="967">
        <v>600</v>
      </c>
      <c r="EH6" s="967">
        <v>233</v>
      </c>
      <c r="EI6" s="967">
        <v>139</v>
      </c>
      <c r="EJ6" s="967">
        <v>105</v>
      </c>
      <c r="EK6" s="967">
        <v>56</v>
      </c>
      <c r="EL6" s="958">
        <v>62</v>
      </c>
      <c r="EM6" s="958">
        <v>52</v>
      </c>
      <c r="EN6" s="958">
        <v>70</v>
      </c>
      <c r="EO6" s="958">
        <v>39</v>
      </c>
      <c r="EP6" s="958">
        <v>45</v>
      </c>
      <c r="EQ6" s="958">
        <v>88</v>
      </c>
      <c r="ER6" s="958">
        <v>132</v>
      </c>
      <c r="ES6" s="958">
        <v>121</v>
      </c>
      <c r="ET6" s="958"/>
      <c r="EU6" s="958"/>
      <c r="EV6" s="956"/>
      <c r="EW6" s="956"/>
      <c r="EX6" s="956"/>
      <c r="EY6" s="956"/>
      <c r="EZ6" s="956"/>
      <c r="FA6" s="956"/>
      <c r="FB6" s="956"/>
      <c r="FC6" s="956"/>
      <c r="FD6" s="956"/>
      <c r="FE6" s="956"/>
      <c r="FF6" s="956"/>
      <c r="FG6" s="956"/>
      <c r="FH6" s="956"/>
      <c r="FI6" s="956"/>
      <c r="FJ6" s="956"/>
      <c r="FK6" s="956"/>
      <c r="FL6" s="956"/>
      <c r="FM6" s="956"/>
      <c r="FN6" s="956"/>
      <c r="FO6" s="956"/>
      <c r="FP6" s="958">
        <v>14</v>
      </c>
      <c r="FQ6" s="958">
        <v>320</v>
      </c>
      <c r="FR6" s="958">
        <v>535</v>
      </c>
      <c r="FS6" s="958">
        <v>270</v>
      </c>
      <c r="FT6" s="958"/>
      <c r="FU6" s="958"/>
      <c r="FV6" s="958"/>
      <c r="FW6" s="956"/>
      <c r="FX6" s="956"/>
      <c r="FY6" s="956"/>
      <c r="FZ6" s="956"/>
      <c r="GA6" s="956"/>
      <c r="GB6" s="956"/>
      <c r="GC6" s="956"/>
      <c r="GD6" s="956"/>
      <c r="GE6" s="956"/>
      <c r="GF6" s="956"/>
      <c r="GG6" s="956"/>
      <c r="GH6" s="956"/>
      <c r="GI6" s="956"/>
      <c r="GJ6" s="956"/>
      <c r="GK6" s="956"/>
      <c r="GL6" s="956"/>
      <c r="GM6" s="956"/>
      <c r="GN6" s="956"/>
      <c r="GO6" s="956"/>
      <c r="GP6" s="956"/>
      <c r="GQ6" s="956"/>
      <c r="GR6" s="956"/>
      <c r="GS6" s="956"/>
      <c r="GT6" s="956"/>
      <c r="GU6" s="956"/>
      <c r="GV6" s="956"/>
      <c r="GW6" s="956"/>
      <c r="GX6" s="956"/>
      <c r="GY6" s="956"/>
      <c r="GZ6" s="956"/>
      <c r="HA6" s="956"/>
      <c r="HB6" s="956"/>
      <c r="HC6" s="956"/>
      <c r="HD6" s="956"/>
      <c r="HE6" s="956"/>
      <c r="HF6" s="956"/>
      <c r="HG6" s="956"/>
      <c r="HH6" s="956"/>
      <c r="HI6" s="956"/>
      <c r="HJ6" s="956"/>
      <c r="HK6" s="956"/>
      <c r="HL6" s="956"/>
      <c r="HM6" s="956"/>
      <c r="HN6" s="956"/>
      <c r="HO6" s="956"/>
      <c r="HP6" s="956"/>
      <c r="HQ6" s="956"/>
      <c r="HR6" s="956"/>
      <c r="HS6" s="956"/>
      <c r="HT6" s="956"/>
      <c r="HU6" s="956"/>
      <c r="HV6" s="956"/>
      <c r="HW6" s="956"/>
      <c r="HX6" s="956"/>
      <c r="HY6" s="956"/>
      <c r="HZ6" s="956"/>
      <c r="IA6" s="956"/>
      <c r="IB6" s="956"/>
      <c r="IC6" s="956"/>
      <c r="ID6" s="956"/>
      <c r="IE6" s="956"/>
      <c r="IF6" s="956"/>
      <c r="IG6" s="956"/>
      <c r="IH6" s="956"/>
      <c r="II6" s="956"/>
      <c r="IJ6" s="956"/>
      <c r="IK6" s="956"/>
      <c r="IL6" s="956"/>
      <c r="IM6" s="956"/>
      <c r="IN6" s="956"/>
      <c r="IO6" s="956"/>
      <c r="IP6" s="956"/>
      <c r="IQ6" s="956"/>
      <c r="IR6" s="956"/>
      <c r="IS6" s="956"/>
      <c r="IT6" s="956"/>
      <c r="IU6" s="956"/>
      <c r="IV6" s="956"/>
      <c r="IW6" s="956"/>
      <c r="IX6" s="956"/>
      <c r="IY6" s="956"/>
      <c r="IZ6" s="956"/>
      <c r="JA6" s="956"/>
      <c r="JB6" s="956"/>
      <c r="JC6" s="956"/>
      <c r="JD6" s="956"/>
      <c r="JE6" s="956"/>
      <c r="JF6" s="956"/>
      <c r="JG6" s="956"/>
      <c r="JH6" s="956"/>
      <c r="JI6" s="956"/>
      <c r="JJ6" s="956"/>
      <c r="JK6" s="956"/>
      <c r="JL6" s="956"/>
      <c r="JM6" s="956"/>
      <c r="JN6" s="956"/>
      <c r="JO6" s="956"/>
      <c r="JP6" s="956"/>
      <c r="JQ6" s="956"/>
      <c r="JR6" s="956"/>
      <c r="JS6" s="956"/>
      <c r="JT6" s="956"/>
      <c r="JU6" s="956"/>
      <c r="JV6" s="956"/>
      <c r="JW6" s="956"/>
      <c r="JX6" s="956"/>
      <c r="JY6" s="956"/>
      <c r="JZ6" s="956"/>
      <c r="KA6" s="956"/>
      <c r="KB6" s="956"/>
      <c r="KC6" s="956"/>
      <c r="KD6" s="956"/>
      <c r="KE6" s="956"/>
      <c r="KF6" s="956"/>
      <c r="KG6" s="956"/>
      <c r="KH6" s="956"/>
      <c r="KI6" s="956"/>
      <c r="KJ6" s="956"/>
      <c r="KK6" s="956"/>
      <c r="KL6" s="956"/>
      <c r="KM6" s="956"/>
      <c r="KN6" s="956"/>
      <c r="KO6" s="956"/>
      <c r="KP6" s="956"/>
      <c r="KQ6" s="956"/>
      <c r="KR6" s="956"/>
      <c r="KS6" s="956"/>
      <c r="KT6" s="956"/>
      <c r="KU6" s="956"/>
      <c r="KV6" s="956"/>
      <c r="KW6" s="956"/>
      <c r="KX6" s="956"/>
      <c r="KY6" s="956"/>
      <c r="KZ6" s="956"/>
      <c r="LA6" s="956"/>
      <c r="LB6" s="956"/>
      <c r="LC6" s="956"/>
      <c r="LD6" s="956"/>
      <c r="LE6" s="956"/>
      <c r="LF6" s="956"/>
      <c r="LG6" s="956"/>
      <c r="LH6" s="956"/>
      <c r="LI6" s="956"/>
      <c r="LJ6" s="956"/>
      <c r="LK6" s="956"/>
      <c r="LL6" s="956"/>
      <c r="LM6" s="956"/>
      <c r="LN6" s="956"/>
      <c r="LO6" s="956"/>
      <c r="LP6" s="956"/>
      <c r="LQ6" s="956"/>
      <c r="LR6" s="956"/>
      <c r="LS6" s="956"/>
      <c r="LT6" s="956"/>
      <c r="LU6" s="956"/>
      <c r="LV6" s="956"/>
      <c r="LW6" s="956"/>
      <c r="LX6" s="956"/>
      <c r="LY6" s="956"/>
      <c r="LZ6" s="956"/>
      <c r="MA6" s="956"/>
      <c r="MB6" s="956"/>
      <c r="MC6" s="956"/>
      <c r="MD6" s="956"/>
      <c r="ME6" s="956"/>
      <c r="MF6" s="956"/>
      <c r="MG6" s="956"/>
      <c r="MH6" s="956"/>
      <c r="MI6" s="956"/>
      <c r="MJ6" s="956"/>
      <c r="MK6" s="956"/>
      <c r="ML6" s="956"/>
      <c r="MM6" s="956"/>
      <c r="MN6" s="956"/>
      <c r="MO6" s="956"/>
      <c r="MP6" s="956"/>
      <c r="MQ6" s="956"/>
      <c r="MR6" s="956"/>
      <c r="MS6" s="956"/>
      <c r="MT6" s="956"/>
      <c r="MU6" s="956"/>
      <c r="MV6" s="956"/>
      <c r="MW6" s="956"/>
      <c r="MX6" s="956"/>
      <c r="MY6" s="956"/>
      <c r="MZ6" s="956"/>
      <c r="NA6" s="956"/>
      <c r="NB6" s="956"/>
      <c r="NC6" s="956"/>
      <c r="ND6" s="956"/>
      <c r="NE6" s="956"/>
      <c r="NF6" s="956"/>
      <c r="NG6" s="956"/>
      <c r="NH6" s="956"/>
      <c r="NI6" s="956"/>
      <c r="NJ6" s="956"/>
      <c r="NK6" s="956"/>
      <c r="NL6" s="956"/>
      <c r="NM6" s="956"/>
      <c r="NN6" s="956"/>
      <c r="NO6" s="956"/>
      <c r="NP6" s="956"/>
      <c r="NQ6" s="956"/>
      <c r="NR6" s="956"/>
      <c r="NS6" s="956"/>
      <c r="NT6" s="956"/>
      <c r="NU6" s="956"/>
      <c r="NV6" s="956"/>
      <c r="NW6" s="956"/>
      <c r="NX6" s="956"/>
      <c r="NY6" s="956"/>
      <c r="NZ6" s="956"/>
      <c r="OA6" s="956"/>
      <c r="OB6" s="956"/>
      <c r="OC6" s="956"/>
      <c r="OD6" s="956"/>
      <c r="OE6" s="956"/>
      <c r="OF6" s="956"/>
      <c r="OG6" s="956"/>
      <c r="OH6" s="956"/>
      <c r="OI6" s="956"/>
      <c r="OJ6" s="956"/>
      <c r="OK6" s="956"/>
      <c r="OL6" s="956"/>
      <c r="OM6" s="956"/>
      <c r="ON6" s="956"/>
      <c r="OO6" s="956"/>
      <c r="OP6" s="956"/>
      <c r="OQ6" s="956"/>
      <c r="OR6" s="956"/>
      <c r="OS6" s="956"/>
      <c r="OT6" s="956"/>
      <c r="OU6" s="956"/>
      <c r="OV6" s="956"/>
      <c r="OW6" s="956"/>
      <c r="OX6" s="956"/>
      <c r="OY6" s="956"/>
      <c r="OZ6" s="956"/>
      <c r="PA6" s="956"/>
      <c r="PB6" s="956"/>
      <c r="PC6" s="956"/>
      <c r="PD6" s="956"/>
      <c r="PE6" s="956"/>
      <c r="PF6" s="956"/>
      <c r="PG6" s="956"/>
      <c r="PH6" s="956"/>
      <c r="PI6" s="956"/>
      <c r="PJ6" s="956"/>
      <c r="PK6" s="956"/>
      <c r="PL6" s="956"/>
      <c r="PM6" s="956"/>
      <c r="PN6" s="956"/>
      <c r="PO6" s="956"/>
      <c r="PP6" s="956"/>
      <c r="PQ6" s="956"/>
      <c r="PR6" s="956"/>
      <c r="PS6" s="956"/>
      <c r="PT6" s="956"/>
      <c r="PU6" s="956"/>
      <c r="PV6" s="956"/>
      <c r="PW6" s="956"/>
      <c r="PX6" s="956"/>
      <c r="PY6" s="956"/>
      <c r="PZ6" s="956"/>
      <c r="QA6" s="956"/>
      <c r="QB6" s="956"/>
      <c r="QC6" s="956"/>
      <c r="QD6" s="956"/>
      <c r="QE6" s="956"/>
      <c r="QF6" s="956"/>
      <c r="QG6" s="956"/>
    </row>
    <row r="7" spans="1:449" s="761" customFormat="1" ht="15" customHeight="1" x14ac:dyDescent="0.2">
      <c r="A7" s="1091"/>
      <c r="B7" s="963" t="s">
        <v>744</v>
      </c>
      <c r="C7" s="757">
        <v>2659</v>
      </c>
      <c r="D7" s="757">
        <v>310</v>
      </c>
      <c r="E7" s="757">
        <v>545</v>
      </c>
      <c r="F7" s="757">
        <v>373</v>
      </c>
      <c r="G7" s="757">
        <v>321</v>
      </c>
      <c r="H7" s="757">
        <v>352</v>
      </c>
      <c r="I7" s="757">
        <v>517</v>
      </c>
      <c r="J7" s="757">
        <v>325</v>
      </c>
      <c r="K7" s="758">
        <f>310+52</f>
        <v>362</v>
      </c>
      <c r="L7" s="759">
        <v>292</v>
      </c>
      <c r="M7" s="759">
        <v>205</v>
      </c>
      <c r="N7" s="759">
        <v>169</v>
      </c>
      <c r="O7" s="759">
        <v>229</v>
      </c>
      <c r="P7" s="759">
        <v>262</v>
      </c>
      <c r="Q7" s="759">
        <v>281</v>
      </c>
      <c r="R7" s="759">
        <v>309</v>
      </c>
      <c r="S7" s="759">
        <v>323</v>
      </c>
      <c r="T7" s="759">
        <v>496</v>
      </c>
      <c r="U7" s="759">
        <v>484</v>
      </c>
      <c r="V7" s="759">
        <v>397</v>
      </c>
      <c r="W7" s="759">
        <v>559</v>
      </c>
      <c r="X7" s="759">
        <v>463</v>
      </c>
      <c r="Y7" s="759">
        <v>417</v>
      </c>
      <c r="Z7" s="759">
        <v>394</v>
      </c>
      <c r="AA7" s="759">
        <v>512</v>
      </c>
      <c r="AB7" s="759">
        <v>581</v>
      </c>
      <c r="AC7" s="759">
        <v>466</v>
      </c>
      <c r="AD7" s="758">
        <v>450</v>
      </c>
      <c r="AE7" s="758">
        <v>371</v>
      </c>
      <c r="AF7" s="758">
        <v>458</v>
      </c>
      <c r="AG7" s="758">
        <v>290</v>
      </c>
      <c r="AH7" s="758">
        <v>381</v>
      </c>
      <c r="AI7" s="758">
        <v>396</v>
      </c>
      <c r="AJ7" s="758">
        <v>393</v>
      </c>
      <c r="AK7" s="758">
        <v>271</v>
      </c>
      <c r="AL7" s="758">
        <v>251</v>
      </c>
      <c r="AM7" s="759">
        <v>316</v>
      </c>
      <c r="AN7" s="759">
        <v>314</v>
      </c>
      <c r="AO7" s="759">
        <v>320</v>
      </c>
      <c r="AP7" s="759">
        <v>462</v>
      </c>
      <c r="AQ7" s="759">
        <v>228</v>
      </c>
      <c r="AR7" s="759">
        <v>322</v>
      </c>
      <c r="AS7" s="759">
        <v>552</v>
      </c>
      <c r="AT7" s="759">
        <v>391</v>
      </c>
      <c r="AU7" s="759">
        <v>300</v>
      </c>
      <c r="AV7" s="759">
        <v>441</v>
      </c>
      <c r="AW7" s="759">
        <v>360</v>
      </c>
      <c r="AX7" s="759">
        <v>290</v>
      </c>
      <c r="AY7" s="759">
        <v>320</v>
      </c>
      <c r="AZ7" s="759">
        <v>309</v>
      </c>
      <c r="BA7" s="759">
        <v>351</v>
      </c>
      <c r="BB7" s="759">
        <v>373</v>
      </c>
      <c r="BC7" s="759">
        <v>383</v>
      </c>
      <c r="BD7" s="759">
        <v>378</v>
      </c>
      <c r="BE7" s="759">
        <v>734</v>
      </c>
      <c r="BF7" s="759">
        <v>508</v>
      </c>
      <c r="BG7" s="759">
        <v>875</v>
      </c>
      <c r="BH7" s="759">
        <v>876</v>
      </c>
      <c r="BI7" s="759">
        <v>1014</v>
      </c>
      <c r="BJ7" s="759">
        <v>684</v>
      </c>
      <c r="BK7" s="759">
        <v>591</v>
      </c>
      <c r="BL7" s="759">
        <v>650</v>
      </c>
      <c r="BM7" s="759">
        <v>700</v>
      </c>
      <c r="BN7" s="759">
        <v>429</v>
      </c>
      <c r="BO7" s="760">
        <v>301</v>
      </c>
      <c r="BP7" s="760">
        <v>287</v>
      </c>
      <c r="BQ7" s="760">
        <v>385</v>
      </c>
      <c r="BR7" s="760">
        <v>431</v>
      </c>
      <c r="BS7" s="760">
        <v>402</v>
      </c>
      <c r="BT7" s="760">
        <v>533</v>
      </c>
      <c r="BU7" s="760">
        <v>601</v>
      </c>
      <c r="BV7" s="760">
        <v>694</v>
      </c>
      <c r="BW7" s="760">
        <v>650</v>
      </c>
      <c r="BX7" s="760">
        <v>557</v>
      </c>
      <c r="BY7" s="760">
        <v>893</v>
      </c>
      <c r="BZ7" s="807">
        <v>692</v>
      </c>
      <c r="CA7" s="807">
        <v>1125</v>
      </c>
      <c r="CB7" s="807">
        <v>1072</v>
      </c>
      <c r="CC7" s="760">
        <v>681</v>
      </c>
      <c r="CD7" s="760">
        <v>986</v>
      </c>
      <c r="CE7" s="760">
        <v>734</v>
      </c>
      <c r="CF7" s="813">
        <v>644</v>
      </c>
      <c r="CG7" s="813">
        <v>987</v>
      </c>
      <c r="CH7" s="813">
        <v>542</v>
      </c>
      <c r="CI7" s="813">
        <v>585</v>
      </c>
      <c r="CJ7" s="813">
        <v>534</v>
      </c>
      <c r="CK7" s="813">
        <v>614</v>
      </c>
      <c r="CL7" s="813">
        <v>468</v>
      </c>
      <c r="CM7" s="813">
        <v>635</v>
      </c>
      <c r="CN7" s="813">
        <v>599</v>
      </c>
      <c r="CO7" s="813">
        <v>474</v>
      </c>
      <c r="CP7" s="813">
        <v>399</v>
      </c>
      <c r="CQ7" s="813">
        <v>736</v>
      </c>
      <c r="CR7" s="813">
        <v>535</v>
      </c>
      <c r="CS7" s="813">
        <v>539</v>
      </c>
      <c r="CT7" s="813">
        <v>515</v>
      </c>
      <c r="CU7" s="813">
        <v>659</v>
      </c>
      <c r="CV7" s="813">
        <v>490</v>
      </c>
      <c r="CW7" s="813">
        <v>636</v>
      </c>
      <c r="CX7" s="813">
        <v>610</v>
      </c>
      <c r="CY7" s="813">
        <v>552</v>
      </c>
      <c r="CZ7" s="813">
        <v>615</v>
      </c>
      <c r="DA7" s="813">
        <v>503</v>
      </c>
      <c r="DB7" s="813">
        <v>469</v>
      </c>
      <c r="DC7" s="883">
        <v>827</v>
      </c>
      <c r="DD7" s="964">
        <v>728</v>
      </c>
      <c r="DE7" s="964">
        <v>621</v>
      </c>
      <c r="DF7" s="964">
        <v>454</v>
      </c>
      <c r="DG7" s="964">
        <v>500</v>
      </c>
      <c r="DH7" s="968">
        <v>1632</v>
      </c>
      <c r="DI7" s="965">
        <v>558</v>
      </c>
      <c r="DJ7" s="965">
        <v>360</v>
      </c>
      <c r="DK7" s="969">
        <v>519</v>
      </c>
      <c r="DL7" s="969">
        <v>811</v>
      </c>
      <c r="DM7" s="965">
        <v>660</v>
      </c>
      <c r="DN7" s="965">
        <v>522</v>
      </c>
      <c r="DO7" s="965">
        <v>617</v>
      </c>
      <c r="DP7" s="970">
        <v>599</v>
      </c>
      <c r="DQ7" s="970">
        <v>635</v>
      </c>
      <c r="DR7" s="970">
        <v>907</v>
      </c>
      <c r="DS7" s="970">
        <v>1102</v>
      </c>
      <c r="DT7" s="970">
        <v>1263</v>
      </c>
      <c r="DU7" s="971">
        <v>1001</v>
      </c>
      <c r="DV7" s="971">
        <v>631</v>
      </c>
      <c r="DW7" s="967">
        <v>441</v>
      </c>
      <c r="DX7" s="967">
        <f>255+501</f>
        <v>756</v>
      </c>
      <c r="DY7" s="967">
        <v>801</v>
      </c>
      <c r="DZ7" s="967">
        <v>826</v>
      </c>
      <c r="EA7" s="967">
        <v>770</v>
      </c>
      <c r="EB7" s="967">
        <v>1019</v>
      </c>
      <c r="EC7" s="967">
        <v>612</v>
      </c>
      <c r="ED7" s="967">
        <v>583</v>
      </c>
      <c r="EE7" s="967">
        <v>1020</v>
      </c>
      <c r="EF7" s="967">
        <v>1208</v>
      </c>
      <c r="EG7" s="967">
        <v>2055</v>
      </c>
      <c r="EH7" s="967">
        <v>989</v>
      </c>
      <c r="EI7" s="967">
        <v>921</v>
      </c>
      <c r="EJ7" s="967">
        <v>1547</v>
      </c>
      <c r="EK7" s="967">
        <v>1491</v>
      </c>
      <c r="EL7" s="958">
        <v>1517</v>
      </c>
      <c r="EM7" s="958">
        <v>1568</v>
      </c>
      <c r="EN7" s="958">
        <v>911</v>
      </c>
      <c r="EO7" s="958">
        <v>1223</v>
      </c>
      <c r="EP7" s="958">
        <v>1106</v>
      </c>
      <c r="EQ7" s="958">
        <v>1294</v>
      </c>
      <c r="ER7" s="958">
        <v>1878</v>
      </c>
      <c r="ES7" s="958">
        <v>1282</v>
      </c>
      <c r="ET7" s="958"/>
      <c r="EU7" s="958"/>
      <c r="EV7" s="956"/>
      <c r="EW7" s="956"/>
      <c r="EX7" s="956"/>
      <c r="EY7" s="956"/>
      <c r="EZ7" s="956"/>
      <c r="FA7" s="956"/>
      <c r="FB7" s="956"/>
      <c r="FC7" s="956"/>
      <c r="FD7" s="956"/>
      <c r="FE7" s="956"/>
      <c r="FF7" s="956"/>
      <c r="FG7" s="956"/>
      <c r="FH7" s="956"/>
      <c r="FI7" s="956"/>
      <c r="FJ7" s="956"/>
      <c r="FK7" s="956"/>
      <c r="FL7" s="956"/>
      <c r="FM7" s="956"/>
      <c r="FN7" s="956"/>
      <c r="FO7" s="956"/>
      <c r="FP7" s="958"/>
      <c r="FQ7" s="958">
        <v>0</v>
      </c>
      <c r="FR7" s="958">
        <v>0</v>
      </c>
      <c r="FS7" s="958">
        <v>0</v>
      </c>
      <c r="FT7" s="958"/>
      <c r="FU7" s="958"/>
      <c r="FV7" s="958"/>
      <c r="FW7" s="956"/>
      <c r="FX7" s="956"/>
      <c r="FY7" s="956"/>
      <c r="FZ7" s="956"/>
      <c r="GA7" s="956"/>
      <c r="GB7" s="956"/>
      <c r="GC7" s="956"/>
      <c r="GD7" s="956"/>
      <c r="GE7" s="956"/>
      <c r="GF7" s="956"/>
      <c r="GG7" s="956"/>
      <c r="GH7" s="956"/>
      <c r="GI7" s="956"/>
      <c r="GJ7" s="956"/>
      <c r="GK7" s="956"/>
      <c r="GL7" s="956"/>
      <c r="GM7" s="956"/>
      <c r="GN7" s="956"/>
      <c r="GO7" s="956"/>
      <c r="GP7" s="956"/>
      <c r="GQ7" s="956"/>
      <c r="GR7" s="956"/>
      <c r="GS7" s="956"/>
      <c r="GT7" s="956"/>
      <c r="GU7" s="956"/>
      <c r="GV7" s="956"/>
      <c r="GW7" s="956"/>
      <c r="GX7" s="956"/>
      <c r="GY7" s="956"/>
      <c r="GZ7" s="956"/>
      <c r="HA7" s="956"/>
      <c r="HB7" s="956"/>
      <c r="HC7" s="956"/>
      <c r="HD7" s="956"/>
      <c r="HE7" s="956"/>
      <c r="HF7" s="956"/>
      <c r="HG7" s="956"/>
      <c r="HH7" s="956"/>
      <c r="HI7" s="956"/>
      <c r="HJ7" s="956"/>
      <c r="HK7" s="956"/>
      <c r="HL7" s="956"/>
      <c r="HM7" s="956"/>
      <c r="HN7" s="956"/>
      <c r="HO7" s="956"/>
      <c r="HP7" s="956"/>
      <c r="HQ7" s="956"/>
      <c r="HR7" s="956"/>
      <c r="HS7" s="956"/>
      <c r="HT7" s="956"/>
      <c r="HU7" s="956"/>
      <c r="HV7" s="956"/>
      <c r="HW7" s="956"/>
      <c r="HX7" s="956"/>
      <c r="HY7" s="956"/>
      <c r="HZ7" s="956"/>
      <c r="IA7" s="956"/>
      <c r="IB7" s="956"/>
      <c r="IC7" s="956"/>
      <c r="ID7" s="956"/>
      <c r="IE7" s="956"/>
      <c r="IF7" s="956"/>
      <c r="IG7" s="956"/>
      <c r="IH7" s="956"/>
      <c r="II7" s="956"/>
      <c r="IJ7" s="956"/>
      <c r="IK7" s="956"/>
      <c r="IL7" s="956"/>
      <c r="IM7" s="956"/>
      <c r="IN7" s="956"/>
      <c r="IO7" s="956"/>
      <c r="IP7" s="956"/>
      <c r="IQ7" s="956"/>
      <c r="IR7" s="956"/>
      <c r="IS7" s="956"/>
      <c r="IT7" s="956"/>
      <c r="IU7" s="956"/>
      <c r="IV7" s="956"/>
      <c r="IW7" s="956"/>
      <c r="IX7" s="956"/>
      <c r="IY7" s="956"/>
      <c r="IZ7" s="956"/>
      <c r="JA7" s="956"/>
      <c r="JB7" s="956"/>
      <c r="JC7" s="956"/>
      <c r="JD7" s="956"/>
      <c r="JE7" s="956"/>
      <c r="JF7" s="956"/>
      <c r="JG7" s="956"/>
      <c r="JH7" s="956"/>
      <c r="JI7" s="956"/>
      <c r="JJ7" s="956"/>
      <c r="JK7" s="956"/>
      <c r="JL7" s="956"/>
      <c r="JM7" s="956"/>
      <c r="JN7" s="956"/>
      <c r="JO7" s="956"/>
      <c r="JP7" s="956"/>
      <c r="JQ7" s="956"/>
      <c r="JR7" s="956"/>
      <c r="JS7" s="956"/>
      <c r="JT7" s="956"/>
      <c r="JU7" s="956"/>
      <c r="JV7" s="956"/>
      <c r="JW7" s="956"/>
      <c r="JX7" s="956"/>
      <c r="JY7" s="956"/>
      <c r="JZ7" s="956"/>
      <c r="KA7" s="956"/>
      <c r="KB7" s="956"/>
      <c r="KC7" s="956"/>
      <c r="KD7" s="956"/>
      <c r="KE7" s="956"/>
      <c r="KF7" s="956"/>
      <c r="KG7" s="956"/>
      <c r="KH7" s="956"/>
      <c r="KI7" s="956"/>
      <c r="KJ7" s="956"/>
      <c r="KK7" s="956"/>
      <c r="KL7" s="956"/>
      <c r="KM7" s="956"/>
      <c r="KN7" s="956"/>
      <c r="KO7" s="956"/>
      <c r="KP7" s="956"/>
      <c r="KQ7" s="956"/>
      <c r="KR7" s="956"/>
      <c r="KS7" s="956"/>
      <c r="KT7" s="956"/>
      <c r="KU7" s="956"/>
      <c r="KV7" s="956"/>
      <c r="KW7" s="956"/>
      <c r="KX7" s="956"/>
      <c r="KY7" s="956"/>
      <c r="KZ7" s="956"/>
      <c r="LA7" s="956"/>
      <c r="LB7" s="956"/>
      <c r="LC7" s="956"/>
      <c r="LD7" s="956"/>
      <c r="LE7" s="956"/>
      <c r="LF7" s="956"/>
      <c r="LG7" s="956"/>
      <c r="LH7" s="956"/>
      <c r="LI7" s="956"/>
      <c r="LJ7" s="956"/>
      <c r="LK7" s="956"/>
      <c r="LL7" s="956"/>
      <c r="LM7" s="956"/>
      <c r="LN7" s="956"/>
      <c r="LO7" s="956"/>
      <c r="LP7" s="956"/>
      <c r="LQ7" s="956"/>
      <c r="LR7" s="956"/>
      <c r="LS7" s="956"/>
      <c r="LT7" s="956"/>
      <c r="LU7" s="956"/>
      <c r="LV7" s="956"/>
      <c r="LW7" s="956"/>
      <c r="LX7" s="956"/>
      <c r="LY7" s="956"/>
      <c r="LZ7" s="956"/>
      <c r="MA7" s="956"/>
      <c r="MB7" s="956"/>
      <c r="MC7" s="956"/>
      <c r="MD7" s="956"/>
      <c r="ME7" s="956"/>
      <c r="MF7" s="956"/>
      <c r="MG7" s="956"/>
      <c r="MH7" s="956"/>
      <c r="MI7" s="956"/>
      <c r="MJ7" s="956"/>
      <c r="MK7" s="956"/>
      <c r="ML7" s="956"/>
      <c r="MM7" s="956"/>
      <c r="MN7" s="956"/>
      <c r="MO7" s="956"/>
      <c r="MP7" s="956"/>
      <c r="MQ7" s="956"/>
      <c r="MR7" s="956"/>
      <c r="MS7" s="956"/>
      <c r="MT7" s="956"/>
      <c r="MU7" s="956"/>
      <c r="MV7" s="956"/>
      <c r="MW7" s="956"/>
      <c r="MX7" s="956"/>
      <c r="MY7" s="956"/>
      <c r="MZ7" s="956"/>
      <c r="NA7" s="956"/>
      <c r="NB7" s="956"/>
      <c r="NC7" s="956"/>
      <c r="ND7" s="956"/>
      <c r="NE7" s="956"/>
      <c r="NF7" s="956"/>
      <c r="NG7" s="956"/>
      <c r="NH7" s="956"/>
      <c r="NI7" s="956"/>
      <c r="NJ7" s="956"/>
      <c r="NK7" s="956"/>
      <c r="NL7" s="956"/>
      <c r="NM7" s="956"/>
      <c r="NN7" s="956"/>
      <c r="NO7" s="956"/>
      <c r="NP7" s="956"/>
      <c r="NQ7" s="956"/>
      <c r="NR7" s="956"/>
      <c r="NS7" s="956"/>
      <c r="NT7" s="956"/>
      <c r="NU7" s="956"/>
      <c r="NV7" s="956"/>
      <c r="NW7" s="956"/>
      <c r="NX7" s="956"/>
      <c r="NY7" s="956"/>
      <c r="NZ7" s="956"/>
      <c r="OA7" s="956"/>
      <c r="OB7" s="956"/>
      <c r="OC7" s="956"/>
      <c r="OD7" s="956"/>
      <c r="OE7" s="956"/>
      <c r="OF7" s="956"/>
      <c r="OG7" s="956"/>
      <c r="OH7" s="956"/>
      <c r="OI7" s="956"/>
      <c r="OJ7" s="956"/>
      <c r="OK7" s="956"/>
      <c r="OL7" s="956"/>
      <c r="OM7" s="956"/>
      <c r="ON7" s="956"/>
      <c r="OO7" s="956"/>
      <c r="OP7" s="956"/>
      <c r="OQ7" s="956"/>
      <c r="OR7" s="956"/>
      <c r="OS7" s="956"/>
      <c r="OT7" s="956"/>
      <c r="OU7" s="956"/>
      <c r="OV7" s="956"/>
      <c r="OW7" s="956"/>
      <c r="OX7" s="956"/>
      <c r="OY7" s="956"/>
      <c r="OZ7" s="956"/>
      <c r="PA7" s="956"/>
      <c r="PB7" s="956"/>
      <c r="PC7" s="956"/>
      <c r="PD7" s="956"/>
      <c r="PE7" s="956"/>
      <c r="PF7" s="956"/>
      <c r="PG7" s="956"/>
      <c r="PH7" s="956"/>
      <c r="PI7" s="956"/>
      <c r="PJ7" s="956"/>
      <c r="PK7" s="956"/>
      <c r="PL7" s="956"/>
      <c r="PM7" s="956"/>
      <c r="PN7" s="956"/>
      <c r="PO7" s="956"/>
      <c r="PP7" s="956"/>
      <c r="PQ7" s="956"/>
      <c r="PR7" s="956"/>
      <c r="PS7" s="956"/>
      <c r="PT7" s="956"/>
      <c r="PU7" s="956"/>
      <c r="PV7" s="956"/>
      <c r="PW7" s="956"/>
      <c r="PX7" s="956"/>
      <c r="PY7" s="956"/>
      <c r="PZ7" s="956"/>
      <c r="QA7" s="956"/>
      <c r="QB7" s="956"/>
      <c r="QC7" s="956"/>
      <c r="QD7" s="956"/>
      <c r="QE7" s="956"/>
      <c r="QF7" s="956"/>
      <c r="QG7" s="956"/>
    </row>
    <row r="8" spans="1:449" s="761" customFormat="1" ht="15" customHeight="1" x14ac:dyDescent="0.2">
      <c r="A8" s="1091"/>
      <c r="B8" s="963" t="s">
        <v>745</v>
      </c>
      <c r="C8" s="757">
        <v>1816</v>
      </c>
      <c r="D8" s="757">
        <v>170</v>
      </c>
      <c r="E8" s="757">
        <v>334</v>
      </c>
      <c r="F8" s="757">
        <v>314</v>
      </c>
      <c r="G8" s="757">
        <v>195</v>
      </c>
      <c r="H8" s="757">
        <v>200</v>
      </c>
      <c r="I8" s="757">
        <v>279</v>
      </c>
      <c r="J8" s="757">
        <v>172</v>
      </c>
      <c r="K8" s="758">
        <f>126+24</f>
        <v>150</v>
      </c>
      <c r="L8" s="759">
        <v>159</v>
      </c>
      <c r="M8" s="759">
        <v>183</v>
      </c>
      <c r="N8" s="759">
        <v>140</v>
      </c>
      <c r="O8" s="759">
        <v>134</v>
      </c>
      <c r="P8" s="759">
        <v>169</v>
      </c>
      <c r="Q8" s="759">
        <v>171</v>
      </c>
      <c r="R8" s="759">
        <v>185</v>
      </c>
      <c r="S8" s="759">
        <v>201</v>
      </c>
      <c r="T8" s="759">
        <v>255</v>
      </c>
      <c r="U8" s="759">
        <v>239</v>
      </c>
      <c r="V8" s="759">
        <v>250</v>
      </c>
      <c r="W8" s="759">
        <v>224</v>
      </c>
      <c r="X8" s="759">
        <v>257</v>
      </c>
      <c r="Y8" s="759">
        <v>224</v>
      </c>
      <c r="Z8" s="759">
        <v>270</v>
      </c>
      <c r="AA8" s="759">
        <v>276</v>
      </c>
      <c r="AB8" s="759">
        <v>194</v>
      </c>
      <c r="AC8" s="759">
        <v>242</v>
      </c>
      <c r="AD8" s="758">
        <v>205</v>
      </c>
      <c r="AE8" s="758">
        <v>302</v>
      </c>
      <c r="AF8" s="758">
        <v>308</v>
      </c>
      <c r="AG8" s="758">
        <v>245</v>
      </c>
      <c r="AH8" s="758">
        <v>321</v>
      </c>
      <c r="AI8" s="758">
        <v>263</v>
      </c>
      <c r="AJ8" s="758">
        <v>245</v>
      </c>
      <c r="AK8" s="758">
        <v>256</v>
      </c>
      <c r="AL8" s="758">
        <v>277</v>
      </c>
      <c r="AM8" s="759">
        <v>241</v>
      </c>
      <c r="AN8" s="759">
        <v>288</v>
      </c>
      <c r="AO8" s="759">
        <v>228</v>
      </c>
      <c r="AP8" s="759">
        <v>270</v>
      </c>
      <c r="AQ8" s="759">
        <v>180</v>
      </c>
      <c r="AR8" s="759">
        <v>169</v>
      </c>
      <c r="AS8" s="759">
        <v>160</v>
      </c>
      <c r="AT8" s="759">
        <v>129</v>
      </c>
      <c r="AU8" s="759">
        <v>158</v>
      </c>
      <c r="AV8" s="759">
        <v>134</v>
      </c>
      <c r="AW8" s="759">
        <v>160</v>
      </c>
      <c r="AX8" s="759">
        <v>174</v>
      </c>
      <c r="AY8" s="759">
        <v>190</v>
      </c>
      <c r="AZ8" s="759">
        <v>177</v>
      </c>
      <c r="BA8" s="759">
        <v>175</v>
      </c>
      <c r="BB8" s="759">
        <v>187</v>
      </c>
      <c r="BC8" s="759">
        <v>190</v>
      </c>
      <c r="BD8" s="759">
        <v>167</v>
      </c>
      <c r="BE8" s="759">
        <v>205</v>
      </c>
      <c r="BF8" s="759">
        <v>198</v>
      </c>
      <c r="BG8" s="759">
        <v>222</v>
      </c>
      <c r="BH8" s="759">
        <v>288</v>
      </c>
      <c r="BI8" s="759">
        <v>289</v>
      </c>
      <c r="BJ8" s="759">
        <v>283</v>
      </c>
      <c r="BK8" s="759">
        <v>245</v>
      </c>
      <c r="BL8" s="759">
        <v>275</v>
      </c>
      <c r="BM8" s="759">
        <v>260</v>
      </c>
      <c r="BN8" s="759">
        <v>215</v>
      </c>
      <c r="BO8" s="760">
        <v>139</v>
      </c>
      <c r="BP8" s="760">
        <v>147</v>
      </c>
      <c r="BQ8" s="760">
        <v>153</v>
      </c>
      <c r="BR8" s="760">
        <v>202</v>
      </c>
      <c r="BS8" s="760">
        <v>241</v>
      </c>
      <c r="BT8" s="760">
        <v>280</v>
      </c>
      <c r="BU8" s="760">
        <v>147</v>
      </c>
      <c r="BV8" s="760">
        <v>166</v>
      </c>
      <c r="BW8" s="760">
        <v>231</v>
      </c>
      <c r="BX8" s="760">
        <v>236</v>
      </c>
      <c r="BY8" s="760">
        <v>421</v>
      </c>
      <c r="BZ8" s="760">
        <v>309</v>
      </c>
      <c r="CA8" s="760">
        <v>570</v>
      </c>
      <c r="CB8" s="760">
        <v>457</v>
      </c>
      <c r="CC8" s="760">
        <v>449</v>
      </c>
      <c r="CD8" s="760">
        <v>480</v>
      </c>
      <c r="CE8" s="760">
        <v>322</v>
      </c>
      <c r="CF8" s="813">
        <v>357</v>
      </c>
      <c r="CG8" s="813">
        <v>504</v>
      </c>
      <c r="CH8" s="813">
        <v>299</v>
      </c>
      <c r="CI8" s="813">
        <v>279</v>
      </c>
      <c r="CJ8" s="813">
        <v>335</v>
      </c>
      <c r="CK8" s="813">
        <v>410</v>
      </c>
      <c r="CL8" s="813">
        <v>265</v>
      </c>
      <c r="CM8" s="813">
        <v>325</v>
      </c>
      <c r="CN8" s="813">
        <v>246</v>
      </c>
      <c r="CO8" s="813">
        <v>241</v>
      </c>
      <c r="CP8" s="813">
        <v>265</v>
      </c>
      <c r="CQ8" s="813">
        <v>322</v>
      </c>
      <c r="CR8" s="813">
        <v>207</v>
      </c>
      <c r="CS8" s="813">
        <v>260</v>
      </c>
      <c r="CT8" s="813">
        <v>278</v>
      </c>
      <c r="CU8" s="813">
        <v>334</v>
      </c>
      <c r="CV8" s="813">
        <v>217</v>
      </c>
      <c r="CW8" s="813">
        <v>328</v>
      </c>
      <c r="CX8" s="813">
        <v>270</v>
      </c>
      <c r="CY8" s="813">
        <v>279</v>
      </c>
      <c r="CZ8" s="813">
        <v>220</v>
      </c>
      <c r="DA8" s="813">
        <v>280</v>
      </c>
      <c r="DB8" s="813">
        <v>249</v>
      </c>
      <c r="DC8" s="883">
        <v>427</v>
      </c>
      <c r="DD8" s="964">
        <v>335</v>
      </c>
      <c r="DE8" s="964">
        <v>328</v>
      </c>
      <c r="DF8" s="964">
        <v>247</v>
      </c>
      <c r="DG8" s="964">
        <v>264</v>
      </c>
      <c r="DH8" s="964">
        <v>300</v>
      </c>
      <c r="DI8" s="965">
        <v>335</v>
      </c>
      <c r="DJ8" s="965">
        <v>214</v>
      </c>
      <c r="DK8" s="965">
        <v>396</v>
      </c>
      <c r="DL8" s="965">
        <v>584</v>
      </c>
      <c r="DM8" s="965">
        <v>404</v>
      </c>
      <c r="DN8" s="965">
        <v>237</v>
      </c>
      <c r="DO8" s="965">
        <v>249</v>
      </c>
      <c r="DP8" s="964">
        <v>293</v>
      </c>
      <c r="DQ8" s="964">
        <v>355</v>
      </c>
      <c r="DR8" s="964">
        <v>534</v>
      </c>
      <c r="DS8" s="964">
        <v>370</v>
      </c>
      <c r="DT8" s="964">
        <v>635</v>
      </c>
      <c r="DU8" s="967">
        <v>620</v>
      </c>
      <c r="DV8" s="967">
        <v>433</v>
      </c>
      <c r="DW8" s="967">
        <v>525</v>
      </c>
      <c r="DX8" s="967">
        <f>179+489</f>
        <v>668</v>
      </c>
      <c r="DY8" s="967">
        <v>732</v>
      </c>
      <c r="DZ8" s="967">
        <v>762</v>
      </c>
      <c r="EA8" s="967">
        <v>615</v>
      </c>
      <c r="EB8" s="967">
        <v>446</v>
      </c>
      <c r="EC8" s="967">
        <v>531</v>
      </c>
      <c r="ED8" s="967">
        <v>711</v>
      </c>
      <c r="EE8" s="967">
        <v>919</v>
      </c>
      <c r="EF8" s="967">
        <v>1017</v>
      </c>
      <c r="EG8" s="967">
        <v>541</v>
      </c>
      <c r="EH8" s="967">
        <v>463</v>
      </c>
      <c r="EI8" s="967">
        <v>423</v>
      </c>
      <c r="EJ8" s="967">
        <v>531</v>
      </c>
      <c r="EK8" s="967">
        <v>477</v>
      </c>
      <c r="EL8" s="958">
        <v>382</v>
      </c>
      <c r="EM8" s="958">
        <v>356</v>
      </c>
      <c r="EN8" s="958">
        <v>316</v>
      </c>
      <c r="EO8" s="958">
        <v>423</v>
      </c>
      <c r="EP8" s="958">
        <v>340</v>
      </c>
      <c r="EQ8" s="958">
        <v>293</v>
      </c>
      <c r="ER8" s="958">
        <v>304</v>
      </c>
      <c r="ES8" s="958">
        <v>468</v>
      </c>
      <c r="ET8" s="958"/>
      <c r="EU8" s="958"/>
      <c r="EV8" s="956"/>
      <c r="EW8" s="956"/>
      <c r="EX8" s="956"/>
      <c r="EY8" s="956"/>
      <c r="EZ8" s="956"/>
      <c r="FA8" s="956"/>
      <c r="FB8" s="956"/>
      <c r="FC8" s="956"/>
      <c r="FD8" s="956"/>
      <c r="FE8" s="956"/>
      <c r="FF8" s="956"/>
      <c r="FG8" s="956"/>
      <c r="FH8" s="956"/>
      <c r="FI8" s="956"/>
      <c r="FJ8" s="956"/>
      <c r="FK8" s="956"/>
      <c r="FL8" s="956"/>
      <c r="FM8" s="956"/>
      <c r="FN8" s="956"/>
      <c r="FO8" s="956"/>
      <c r="FP8" s="958">
        <v>62</v>
      </c>
      <c r="FQ8" s="958">
        <v>74</v>
      </c>
      <c r="FR8" s="958">
        <v>82</v>
      </c>
      <c r="FS8" s="958">
        <v>84</v>
      </c>
      <c r="FT8" s="958"/>
      <c r="FU8" s="958"/>
      <c r="FV8" s="958"/>
      <c r="FW8" s="956"/>
      <c r="FX8" s="956"/>
      <c r="FY8" s="956"/>
      <c r="FZ8" s="956"/>
      <c r="GA8" s="956"/>
      <c r="GB8" s="956"/>
      <c r="GC8" s="956"/>
      <c r="GD8" s="956"/>
      <c r="GE8" s="956"/>
      <c r="GF8" s="956"/>
      <c r="GG8" s="956"/>
      <c r="GH8" s="956"/>
      <c r="GI8" s="956"/>
      <c r="GJ8" s="956"/>
      <c r="GK8" s="956"/>
      <c r="GL8" s="956"/>
      <c r="GM8" s="956"/>
      <c r="GN8" s="956"/>
      <c r="GO8" s="956"/>
      <c r="GP8" s="956"/>
      <c r="GQ8" s="956"/>
      <c r="GR8" s="956"/>
      <c r="GS8" s="956"/>
      <c r="GT8" s="956"/>
      <c r="GU8" s="956"/>
      <c r="GV8" s="956"/>
      <c r="GW8" s="956"/>
      <c r="GX8" s="956"/>
      <c r="GY8" s="956"/>
      <c r="GZ8" s="956"/>
      <c r="HA8" s="956"/>
      <c r="HB8" s="956"/>
      <c r="HC8" s="956"/>
      <c r="HD8" s="956"/>
      <c r="HE8" s="956"/>
      <c r="HF8" s="956"/>
      <c r="HG8" s="956"/>
      <c r="HH8" s="956"/>
      <c r="HI8" s="956"/>
      <c r="HJ8" s="956"/>
      <c r="HK8" s="956"/>
      <c r="HL8" s="956"/>
      <c r="HM8" s="956"/>
      <c r="HN8" s="956"/>
      <c r="HO8" s="956"/>
      <c r="HP8" s="956"/>
      <c r="HQ8" s="956"/>
      <c r="HR8" s="956"/>
      <c r="HS8" s="956"/>
      <c r="HT8" s="956"/>
      <c r="HU8" s="956"/>
      <c r="HV8" s="956"/>
      <c r="HW8" s="956"/>
      <c r="HX8" s="956"/>
      <c r="HY8" s="956"/>
      <c r="HZ8" s="956"/>
      <c r="IA8" s="956"/>
      <c r="IB8" s="956"/>
      <c r="IC8" s="956"/>
      <c r="ID8" s="956"/>
      <c r="IE8" s="956"/>
      <c r="IF8" s="956"/>
      <c r="IG8" s="956"/>
      <c r="IH8" s="956"/>
      <c r="II8" s="956"/>
      <c r="IJ8" s="956"/>
      <c r="IK8" s="956"/>
      <c r="IL8" s="956"/>
      <c r="IM8" s="956"/>
      <c r="IN8" s="956"/>
      <c r="IO8" s="956"/>
      <c r="IP8" s="956"/>
      <c r="IQ8" s="956"/>
      <c r="IR8" s="956"/>
      <c r="IS8" s="956"/>
      <c r="IT8" s="956"/>
      <c r="IU8" s="956"/>
      <c r="IV8" s="956"/>
      <c r="IW8" s="956"/>
      <c r="IX8" s="956"/>
      <c r="IY8" s="956"/>
      <c r="IZ8" s="956"/>
      <c r="JA8" s="956"/>
      <c r="JB8" s="956"/>
      <c r="JC8" s="956"/>
      <c r="JD8" s="956"/>
      <c r="JE8" s="956"/>
      <c r="JF8" s="956"/>
      <c r="JG8" s="956"/>
      <c r="JH8" s="956"/>
      <c r="JI8" s="956"/>
      <c r="JJ8" s="956"/>
      <c r="JK8" s="956"/>
      <c r="JL8" s="956"/>
      <c r="JM8" s="956"/>
      <c r="JN8" s="956"/>
      <c r="JO8" s="956"/>
      <c r="JP8" s="956"/>
      <c r="JQ8" s="956"/>
      <c r="JR8" s="956"/>
      <c r="JS8" s="956"/>
      <c r="JT8" s="956"/>
      <c r="JU8" s="956"/>
      <c r="JV8" s="956"/>
      <c r="JW8" s="956"/>
      <c r="JX8" s="956"/>
      <c r="JY8" s="956"/>
      <c r="JZ8" s="956"/>
      <c r="KA8" s="956"/>
      <c r="KB8" s="956"/>
      <c r="KC8" s="956"/>
      <c r="KD8" s="956"/>
      <c r="KE8" s="956"/>
      <c r="KF8" s="956"/>
      <c r="KG8" s="956"/>
      <c r="KH8" s="956"/>
      <c r="KI8" s="956"/>
      <c r="KJ8" s="956"/>
      <c r="KK8" s="956"/>
      <c r="KL8" s="956"/>
      <c r="KM8" s="956"/>
      <c r="KN8" s="956"/>
      <c r="KO8" s="956"/>
      <c r="KP8" s="956"/>
      <c r="KQ8" s="956"/>
      <c r="KR8" s="956"/>
      <c r="KS8" s="956"/>
      <c r="KT8" s="956"/>
      <c r="KU8" s="956"/>
      <c r="KV8" s="956"/>
      <c r="KW8" s="956"/>
      <c r="KX8" s="956"/>
      <c r="KY8" s="956"/>
      <c r="KZ8" s="956"/>
      <c r="LA8" s="956"/>
      <c r="LB8" s="956"/>
      <c r="LC8" s="956"/>
      <c r="LD8" s="956"/>
      <c r="LE8" s="956"/>
      <c r="LF8" s="956"/>
      <c r="LG8" s="956"/>
      <c r="LH8" s="956"/>
      <c r="LI8" s="956"/>
      <c r="LJ8" s="956"/>
      <c r="LK8" s="956"/>
      <c r="LL8" s="956"/>
      <c r="LM8" s="956"/>
      <c r="LN8" s="956"/>
      <c r="LO8" s="956"/>
      <c r="LP8" s="956"/>
      <c r="LQ8" s="956"/>
      <c r="LR8" s="956"/>
      <c r="LS8" s="956"/>
      <c r="LT8" s="956"/>
      <c r="LU8" s="956"/>
      <c r="LV8" s="956"/>
      <c r="LW8" s="956"/>
      <c r="LX8" s="956"/>
      <c r="LY8" s="956"/>
      <c r="LZ8" s="956"/>
      <c r="MA8" s="956"/>
      <c r="MB8" s="956"/>
      <c r="MC8" s="956"/>
      <c r="MD8" s="956"/>
      <c r="ME8" s="956"/>
      <c r="MF8" s="956"/>
      <c r="MG8" s="956"/>
      <c r="MH8" s="956"/>
      <c r="MI8" s="956"/>
      <c r="MJ8" s="956"/>
      <c r="MK8" s="956"/>
      <c r="ML8" s="956"/>
      <c r="MM8" s="956"/>
      <c r="MN8" s="956"/>
      <c r="MO8" s="956"/>
      <c r="MP8" s="956"/>
      <c r="MQ8" s="956"/>
      <c r="MR8" s="956"/>
      <c r="MS8" s="956"/>
      <c r="MT8" s="956"/>
      <c r="MU8" s="956"/>
      <c r="MV8" s="956"/>
      <c r="MW8" s="956"/>
      <c r="MX8" s="956"/>
      <c r="MY8" s="956"/>
      <c r="MZ8" s="956"/>
      <c r="NA8" s="956"/>
      <c r="NB8" s="956"/>
      <c r="NC8" s="956"/>
      <c r="ND8" s="956"/>
      <c r="NE8" s="956"/>
      <c r="NF8" s="956"/>
      <c r="NG8" s="956"/>
      <c r="NH8" s="956"/>
      <c r="NI8" s="956"/>
      <c r="NJ8" s="956"/>
      <c r="NK8" s="956"/>
      <c r="NL8" s="956"/>
      <c r="NM8" s="956"/>
      <c r="NN8" s="956"/>
      <c r="NO8" s="956"/>
      <c r="NP8" s="956"/>
      <c r="NQ8" s="956"/>
      <c r="NR8" s="956"/>
      <c r="NS8" s="956"/>
      <c r="NT8" s="956"/>
      <c r="NU8" s="956"/>
      <c r="NV8" s="956"/>
      <c r="NW8" s="956"/>
      <c r="NX8" s="956"/>
      <c r="NY8" s="956"/>
      <c r="NZ8" s="956"/>
      <c r="OA8" s="956"/>
      <c r="OB8" s="956"/>
      <c r="OC8" s="956"/>
      <c r="OD8" s="956"/>
      <c r="OE8" s="956"/>
      <c r="OF8" s="956"/>
      <c r="OG8" s="956"/>
      <c r="OH8" s="956"/>
      <c r="OI8" s="956"/>
      <c r="OJ8" s="956"/>
      <c r="OK8" s="956"/>
      <c r="OL8" s="956"/>
      <c r="OM8" s="956"/>
      <c r="ON8" s="956"/>
      <c r="OO8" s="956"/>
      <c r="OP8" s="956"/>
      <c r="OQ8" s="956"/>
      <c r="OR8" s="956"/>
      <c r="OS8" s="956"/>
      <c r="OT8" s="956"/>
      <c r="OU8" s="956"/>
      <c r="OV8" s="956"/>
      <c r="OW8" s="956"/>
      <c r="OX8" s="956"/>
      <c r="OY8" s="956"/>
      <c r="OZ8" s="956"/>
      <c r="PA8" s="956"/>
      <c r="PB8" s="956"/>
      <c r="PC8" s="956"/>
      <c r="PD8" s="956"/>
      <c r="PE8" s="956"/>
      <c r="PF8" s="956"/>
      <c r="PG8" s="956"/>
      <c r="PH8" s="956"/>
      <c r="PI8" s="956"/>
      <c r="PJ8" s="956"/>
      <c r="PK8" s="956"/>
      <c r="PL8" s="956"/>
      <c r="PM8" s="956"/>
      <c r="PN8" s="956"/>
      <c r="PO8" s="956"/>
      <c r="PP8" s="956"/>
      <c r="PQ8" s="956"/>
      <c r="PR8" s="956"/>
      <c r="PS8" s="956"/>
      <c r="PT8" s="956"/>
      <c r="PU8" s="956"/>
      <c r="PV8" s="956"/>
      <c r="PW8" s="956"/>
      <c r="PX8" s="956"/>
      <c r="PY8" s="956"/>
      <c r="PZ8" s="956"/>
      <c r="QA8" s="956"/>
      <c r="QB8" s="956"/>
      <c r="QC8" s="956"/>
      <c r="QD8" s="956"/>
      <c r="QE8" s="956"/>
      <c r="QF8" s="956"/>
      <c r="QG8" s="956"/>
    </row>
    <row r="9" spans="1:449" s="761" customFormat="1" ht="15" customHeight="1" x14ac:dyDescent="0.2">
      <c r="A9" s="1091"/>
      <c r="B9" s="963" t="s">
        <v>746</v>
      </c>
      <c r="C9" s="757">
        <v>335</v>
      </c>
      <c r="D9" s="757">
        <v>19</v>
      </c>
      <c r="E9" s="757">
        <v>14</v>
      </c>
      <c r="F9" s="757">
        <v>19</v>
      </c>
      <c r="G9" s="757">
        <v>33</v>
      </c>
      <c r="H9" s="757">
        <v>24</v>
      </c>
      <c r="I9" s="757">
        <v>39</v>
      </c>
      <c r="J9" s="757">
        <v>29</v>
      </c>
      <c r="K9" s="758">
        <f>45+7</f>
        <v>52</v>
      </c>
      <c r="L9" s="759">
        <v>53</v>
      </c>
      <c r="M9" s="759">
        <v>9</v>
      </c>
      <c r="N9" s="759">
        <v>0</v>
      </c>
      <c r="O9" s="759">
        <v>0</v>
      </c>
      <c r="P9" s="759">
        <v>0</v>
      </c>
      <c r="Q9" s="759">
        <v>0</v>
      </c>
      <c r="R9" s="759">
        <v>0</v>
      </c>
      <c r="S9" s="759">
        <v>0</v>
      </c>
      <c r="T9" s="759">
        <v>0</v>
      </c>
      <c r="U9" s="759">
        <v>0</v>
      </c>
      <c r="V9" s="759">
        <v>0</v>
      </c>
      <c r="W9" s="759">
        <v>0</v>
      </c>
      <c r="X9" s="759">
        <v>0</v>
      </c>
      <c r="Y9" s="759">
        <v>0</v>
      </c>
      <c r="Z9" s="759">
        <v>0</v>
      </c>
      <c r="AA9" s="759">
        <v>0</v>
      </c>
      <c r="AB9" s="759">
        <v>0</v>
      </c>
      <c r="AC9" s="759">
        <v>0</v>
      </c>
      <c r="AD9" s="758">
        <v>0</v>
      </c>
      <c r="AE9" s="758">
        <v>0</v>
      </c>
      <c r="AF9" s="758">
        <v>0</v>
      </c>
      <c r="AG9" s="758">
        <v>0</v>
      </c>
      <c r="AH9" s="758">
        <v>0</v>
      </c>
      <c r="AI9" s="758">
        <v>0</v>
      </c>
      <c r="AJ9" s="758">
        <v>0</v>
      </c>
      <c r="AK9" s="758">
        <v>0</v>
      </c>
      <c r="AL9" s="758">
        <v>0</v>
      </c>
      <c r="AM9" s="759">
        <v>0</v>
      </c>
      <c r="AN9" s="759">
        <v>0</v>
      </c>
      <c r="AO9" s="759">
        <v>0</v>
      </c>
      <c r="AP9" s="759">
        <v>0</v>
      </c>
      <c r="AQ9" s="759">
        <v>0</v>
      </c>
      <c r="AR9" s="759">
        <v>0</v>
      </c>
      <c r="AS9" s="759">
        <v>0</v>
      </c>
      <c r="AT9" s="759">
        <v>0</v>
      </c>
      <c r="AU9" s="759">
        <v>0</v>
      </c>
      <c r="AV9" s="759">
        <v>0</v>
      </c>
      <c r="AW9" s="759">
        <v>0</v>
      </c>
      <c r="AX9" s="759">
        <v>0</v>
      </c>
      <c r="AY9" s="759">
        <v>0</v>
      </c>
      <c r="AZ9" s="759">
        <v>0</v>
      </c>
      <c r="BA9" s="759">
        <v>0</v>
      </c>
      <c r="BB9" s="759">
        <v>0</v>
      </c>
      <c r="BC9" s="759">
        <v>0</v>
      </c>
      <c r="BD9" s="759">
        <v>0</v>
      </c>
      <c r="BE9" s="759">
        <v>0</v>
      </c>
      <c r="BF9" s="759">
        <v>0</v>
      </c>
      <c r="BG9" s="759">
        <v>0</v>
      </c>
      <c r="BH9" s="759">
        <v>0</v>
      </c>
      <c r="BI9" s="759">
        <v>0</v>
      </c>
      <c r="BJ9" s="759">
        <v>0</v>
      </c>
      <c r="BK9" s="759">
        <v>0</v>
      </c>
      <c r="BL9" s="759">
        <v>0</v>
      </c>
      <c r="BM9" s="759">
        <v>0</v>
      </c>
      <c r="BN9" s="759">
        <v>0</v>
      </c>
      <c r="BO9" s="760">
        <v>0</v>
      </c>
      <c r="BP9" s="760">
        <v>0</v>
      </c>
      <c r="BQ9" s="760">
        <v>0</v>
      </c>
      <c r="BR9" s="760">
        <v>0</v>
      </c>
      <c r="BS9" s="760">
        <v>0</v>
      </c>
      <c r="BT9" s="760">
        <v>0</v>
      </c>
      <c r="BU9" s="760">
        <v>0</v>
      </c>
      <c r="BV9" s="760">
        <v>0</v>
      </c>
      <c r="BW9" s="760">
        <v>0</v>
      </c>
      <c r="BX9" s="760">
        <v>0</v>
      </c>
      <c r="BY9" s="760">
        <v>0</v>
      </c>
      <c r="BZ9" s="760">
        <v>0</v>
      </c>
      <c r="CA9" s="760">
        <v>0</v>
      </c>
      <c r="CB9" s="760">
        <v>0</v>
      </c>
      <c r="CC9" s="760">
        <v>0</v>
      </c>
      <c r="CD9" s="760">
        <v>0</v>
      </c>
      <c r="CE9" s="760">
        <v>0</v>
      </c>
      <c r="CF9" s="813">
        <v>0</v>
      </c>
      <c r="CG9" s="813">
        <v>0</v>
      </c>
      <c r="CH9" s="813">
        <v>0</v>
      </c>
      <c r="CI9" s="813">
        <v>0</v>
      </c>
      <c r="CJ9" s="813">
        <v>0</v>
      </c>
      <c r="CK9" s="813">
        <v>0</v>
      </c>
      <c r="CL9" s="813">
        <v>0</v>
      </c>
      <c r="CM9" s="813">
        <v>0</v>
      </c>
      <c r="CN9" s="813">
        <v>0</v>
      </c>
      <c r="CO9" s="813">
        <v>0</v>
      </c>
      <c r="CP9" s="813">
        <v>0</v>
      </c>
      <c r="CQ9" s="813">
        <v>0</v>
      </c>
      <c r="CR9" s="813">
        <v>0</v>
      </c>
      <c r="CS9" s="813">
        <v>0</v>
      </c>
      <c r="CT9" s="813">
        <v>0</v>
      </c>
      <c r="CU9" s="813">
        <v>0</v>
      </c>
      <c r="CV9" s="813">
        <v>0</v>
      </c>
      <c r="CW9" s="813">
        <v>0</v>
      </c>
      <c r="CX9" s="813">
        <v>0</v>
      </c>
      <c r="CY9" s="813">
        <v>0</v>
      </c>
      <c r="CZ9" s="813">
        <v>0</v>
      </c>
      <c r="DA9" s="813">
        <v>0</v>
      </c>
      <c r="DB9" s="813">
        <v>0</v>
      </c>
      <c r="DC9" s="883">
        <v>0</v>
      </c>
      <c r="DD9" s="964">
        <v>0</v>
      </c>
      <c r="DE9" s="964">
        <v>0</v>
      </c>
      <c r="DF9" s="964">
        <v>0</v>
      </c>
      <c r="DG9" s="964">
        <v>0</v>
      </c>
      <c r="DH9" s="964">
        <v>0</v>
      </c>
      <c r="DI9" s="965">
        <v>0</v>
      </c>
      <c r="DJ9" s="965">
        <v>0</v>
      </c>
      <c r="DK9" s="965">
        <v>0</v>
      </c>
      <c r="DL9" s="965">
        <v>0</v>
      </c>
      <c r="DM9" s="965">
        <v>0</v>
      </c>
      <c r="DN9" s="965">
        <v>0</v>
      </c>
      <c r="DO9" s="965">
        <v>0</v>
      </c>
      <c r="DP9" s="964">
        <v>0</v>
      </c>
      <c r="DQ9" s="964">
        <v>0</v>
      </c>
      <c r="DR9" s="964">
        <v>0</v>
      </c>
      <c r="DS9" s="964">
        <v>0</v>
      </c>
      <c r="DT9" s="964">
        <v>0</v>
      </c>
      <c r="DU9" s="967">
        <v>0</v>
      </c>
      <c r="DV9" s="967">
        <v>0</v>
      </c>
      <c r="DW9" s="967">
        <v>0</v>
      </c>
      <c r="DX9" s="967">
        <v>0</v>
      </c>
      <c r="DY9" s="967">
        <v>0</v>
      </c>
      <c r="DZ9" s="967">
        <v>0</v>
      </c>
      <c r="EA9" s="967">
        <v>0</v>
      </c>
      <c r="EB9" s="967">
        <v>0</v>
      </c>
      <c r="EC9" s="967">
        <v>0</v>
      </c>
      <c r="ED9" s="967">
        <v>0</v>
      </c>
      <c r="EE9" s="967">
        <v>0</v>
      </c>
      <c r="EF9" s="967">
        <v>0</v>
      </c>
      <c r="EG9" s="967">
        <v>0</v>
      </c>
      <c r="EH9" s="967">
        <v>0</v>
      </c>
      <c r="EI9" s="967">
        <v>0</v>
      </c>
      <c r="EJ9" s="967">
        <v>0</v>
      </c>
      <c r="EK9" s="967">
        <v>0</v>
      </c>
      <c r="EL9" s="958">
        <v>0</v>
      </c>
      <c r="EM9" s="958">
        <v>0</v>
      </c>
      <c r="EN9" s="958">
        <v>0</v>
      </c>
      <c r="EO9" s="958">
        <v>0</v>
      </c>
      <c r="EP9" s="958">
        <v>0</v>
      </c>
      <c r="EQ9" s="958">
        <v>0</v>
      </c>
      <c r="ER9" s="958">
        <v>0</v>
      </c>
      <c r="ES9" s="958">
        <v>0</v>
      </c>
      <c r="ET9" s="958"/>
      <c r="EU9" s="958"/>
      <c r="EV9" s="956"/>
      <c r="EW9" s="956"/>
      <c r="EX9" s="956"/>
      <c r="EY9" s="956"/>
      <c r="EZ9" s="956"/>
      <c r="FA9" s="956"/>
      <c r="FB9" s="956"/>
      <c r="FC9" s="956"/>
      <c r="FD9" s="956"/>
      <c r="FE9" s="956"/>
      <c r="FF9" s="956"/>
      <c r="FG9" s="956"/>
      <c r="FH9" s="956"/>
      <c r="FI9" s="956"/>
      <c r="FJ9" s="956"/>
      <c r="FK9" s="956"/>
      <c r="FL9" s="956"/>
      <c r="FM9" s="956"/>
      <c r="FN9" s="956"/>
      <c r="FO9" s="956"/>
      <c r="FP9" s="958">
        <v>4</v>
      </c>
      <c r="FQ9" s="958">
        <v>5</v>
      </c>
      <c r="FR9" s="958">
        <v>9</v>
      </c>
      <c r="FS9" s="958">
        <v>6</v>
      </c>
      <c r="FT9" s="958"/>
      <c r="FU9" s="958"/>
      <c r="FV9" s="958"/>
      <c r="FW9" s="956"/>
      <c r="FX9" s="956"/>
      <c r="FY9" s="956"/>
      <c r="FZ9" s="956"/>
      <c r="GA9" s="956"/>
      <c r="GB9" s="956"/>
      <c r="GC9" s="956"/>
      <c r="GD9" s="956"/>
      <c r="GE9" s="956"/>
      <c r="GF9" s="956"/>
      <c r="GG9" s="956"/>
      <c r="GH9" s="956"/>
      <c r="GI9" s="956"/>
      <c r="GJ9" s="956"/>
      <c r="GK9" s="956"/>
      <c r="GL9" s="956"/>
      <c r="GM9" s="956"/>
      <c r="GN9" s="956"/>
      <c r="GO9" s="956"/>
      <c r="GP9" s="956"/>
      <c r="GQ9" s="956"/>
      <c r="GR9" s="956"/>
      <c r="GS9" s="956"/>
      <c r="GT9" s="956"/>
      <c r="GU9" s="956"/>
      <c r="GV9" s="956"/>
      <c r="GW9" s="956"/>
      <c r="GX9" s="956"/>
      <c r="GY9" s="956"/>
      <c r="GZ9" s="956"/>
      <c r="HA9" s="956"/>
      <c r="HB9" s="956"/>
      <c r="HC9" s="956"/>
      <c r="HD9" s="956"/>
      <c r="HE9" s="956"/>
      <c r="HF9" s="956"/>
      <c r="HG9" s="956"/>
      <c r="HH9" s="956"/>
      <c r="HI9" s="956"/>
      <c r="HJ9" s="956"/>
      <c r="HK9" s="956"/>
      <c r="HL9" s="956"/>
      <c r="HM9" s="956"/>
      <c r="HN9" s="956"/>
      <c r="HO9" s="956"/>
      <c r="HP9" s="956"/>
      <c r="HQ9" s="956"/>
      <c r="HR9" s="956"/>
      <c r="HS9" s="956"/>
      <c r="HT9" s="956"/>
      <c r="HU9" s="956"/>
      <c r="HV9" s="956"/>
      <c r="HW9" s="956"/>
      <c r="HX9" s="956"/>
      <c r="HY9" s="956"/>
      <c r="HZ9" s="956"/>
      <c r="IA9" s="956"/>
      <c r="IB9" s="956"/>
      <c r="IC9" s="956"/>
      <c r="ID9" s="956"/>
      <c r="IE9" s="956"/>
      <c r="IF9" s="956"/>
      <c r="IG9" s="956"/>
      <c r="IH9" s="956"/>
      <c r="II9" s="956"/>
      <c r="IJ9" s="956"/>
      <c r="IK9" s="956"/>
      <c r="IL9" s="956"/>
      <c r="IM9" s="956"/>
      <c r="IN9" s="956"/>
      <c r="IO9" s="956"/>
      <c r="IP9" s="956"/>
      <c r="IQ9" s="956"/>
      <c r="IR9" s="956"/>
      <c r="IS9" s="956"/>
      <c r="IT9" s="956"/>
      <c r="IU9" s="956"/>
      <c r="IV9" s="956"/>
      <c r="IW9" s="956"/>
      <c r="IX9" s="956"/>
      <c r="IY9" s="956"/>
      <c r="IZ9" s="956"/>
      <c r="JA9" s="956"/>
      <c r="JB9" s="956"/>
      <c r="JC9" s="956"/>
      <c r="JD9" s="956"/>
      <c r="JE9" s="956"/>
      <c r="JF9" s="956"/>
      <c r="JG9" s="956"/>
      <c r="JH9" s="956"/>
      <c r="JI9" s="956"/>
      <c r="JJ9" s="956"/>
      <c r="JK9" s="956"/>
      <c r="JL9" s="956"/>
      <c r="JM9" s="956"/>
      <c r="JN9" s="956"/>
      <c r="JO9" s="956"/>
      <c r="JP9" s="956"/>
      <c r="JQ9" s="956"/>
      <c r="JR9" s="956"/>
      <c r="JS9" s="956"/>
      <c r="JT9" s="956"/>
      <c r="JU9" s="956"/>
      <c r="JV9" s="956"/>
      <c r="JW9" s="956"/>
      <c r="JX9" s="956"/>
      <c r="JY9" s="956"/>
      <c r="JZ9" s="956"/>
      <c r="KA9" s="956"/>
      <c r="KB9" s="956"/>
      <c r="KC9" s="956"/>
      <c r="KD9" s="956"/>
      <c r="KE9" s="956"/>
      <c r="KF9" s="956"/>
      <c r="KG9" s="956"/>
      <c r="KH9" s="956"/>
      <c r="KI9" s="956"/>
      <c r="KJ9" s="956"/>
      <c r="KK9" s="956"/>
      <c r="KL9" s="956"/>
      <c r="KM9" s="956"/>
      <c r="KN9" s="956"/>
      <c r="KO9" s="956"/>
      <c r="KP9" s="956"/>
      <c r="KQ9" s="956"/>
      <c r="KR9" s="956"/>
      <c r="KS9" s="956"/>
      <c r="KT9" s="956"/>
      <c r="KU9" s="956"/>
      <c r="KV9" s="956"/>
      <c r="KW9" s="956"/>
      <c r="KX9" s="956"/>
      <c r="KY9" s="956"/>
      <c r="KZ9" s="956"/>
      <c r="LA9" s="956"/>
      <c r="LB9" s="956"/>
      <c r="LC9" s="956"/>
      <c r="LD9" s="956"/>
      <c r="LE9" s="956"/>
      <c r="LF9" s="956"/>
      <c r="LG9" s="956"/>
      <c r="LH9" s="956"/>
      <c r="LI9" s="956"/>
      <c r="LJ9" s="956"/>
      <c r="LK9" s="956"/>
      <c r="LL9" s="956"/>
      <c r="LM9" s="956"/>
      <c r="LN9" s="956"/>
      <c r="LO9" s="956"/>
      <c r="LP9" s="956"/>
      <c r="LQ9" s="956"/>
      <c r="LR9" s="956"/>
      <c r="LS9" s="956"/>
      <c r="LT9" s="956"/>
      <c r="LU9" s="956"/>
      <c r="LV9" s="956"/>
      <c r="LW9" s="956"/>
      <c r="LX9" s="956"/>
      <c r="LY9" s="956"/>
      <c r="LZ9" s="956"/>
      <c r="MA9" s="956"/>
      <c r="MB9" s="956"/>
      <c r="MC9" s="956"/>
      <c r="MD9" s="956"/>
      <c r="ME9" s="956"/>
      <c r="MF9" s="956"/>
      <c r="MG9" s="956"/>
      <c r="MH9" s="956"/>
      <c r="MI9" s="956"/>
      <c r="MJ9" s="956"/>
      <c r="MK9" s="956"/>
      <c r="ML9" s="956"/>
      <c r="MM9" s="956"/>
      <c r="MN9" s="956"/>
      <c r="MO9" s="956"/>
      <c r="MP9" s="956"/>
      <c r="MQ9" s="956"/>
      <c r="MR9" s="956"/>
      <c r="MS9" s="956"/>
      <c r="MT9" s="956"/>
      <c r="MU9" s="956"/>
      <c r="MV9" s="956"/>
      <c r="MW9" s="956"/>
      <c r="MX9" s="956"/>
      <c r="MY9" s="956"/>
      <c r="MZ9" s="956"/>
      <c r="NA9" s="956"/>
      <c r="NB9" s="956"/>
      <c r="NC9" s="956"/>
      <c r="ND9" s="956"/>
      <c r="NE9" s="956"/>
      <c r="NF9" s="956"/>
      <c r="NG9" s="956"/>
      <c r="NH9" s="956"/>
      <c r="NI9" s="956"/>
      <c r="NJ9" s="956"/>
      <c r="NK9" s="956"/>
      <c r="NL9" s="956"/>
      <c r="NM9" s="956"/>
      <c r="NN9" s="956"/>
      <c r="NO9" s="956"/>
      <c r="NP9" s="956"/>
      <c r="NQ9" s="956"/>
      <c r="NR9" s="956"/>
      <c r="NS9" s="956"/>
      <c r="NT9" s="956"/>
      <c r="NU9" s="956"/>
      <c r="NV9" s="956"/>
      <c r="NW9" s="956"/>
      <c r="NX9" s="956"/>
      <c r="NY9" s="956"/>
      <c r="NZ9" s="956"/>
      <c r="OA9" s="956"/>
      <c r="OB9" s="956"/>
      <c r="OC9" s="956"/>
      <c r="OD9" s="956"/>
      <c r="OE9" s="956"/>
      <c r="OF9" s="956"/>
      <c r="OG9" s="956"/>
      <c r="OH9" s="956"/>
      <c r="OI9" s="956"/>
      <c r="OJ9" s="956"/>
      <c r="OK9" s="956"/>
      <c r="OL9" s="956"/>
      <c r="OM9" s="956"/>
      <c r="ON9" s="956"/>
      <c r="OO9" s="956"/>
      <c r="OP9" s="956"/>
      <c r="OQ9" s="956"/>
      <c r="OR9" s="956"/>
      <c r="OS9" s="956"/>
      <c r="OT9" s="956"/>
      <c r="OU9" s="956"/>
      <c r="OV9" s="956"/>
      <c r="OW9" s="956"/>
      <c r="OX9" s="956"/>
      <c r="OY9" s="956"/>
      <c r="OZ9" s="956"/>
      <c r="PA9" s="956"/>
      <c r="PB9" s="956"/>
      <c r="PC9" s="956"/>
      <c r="PD9" s="956"/>
      <c r="PE9" s="956"/>
      <c r="PF9" s="956"/>
      <c r="PG9" s="956"/>
      <c r="PH9" s="956"/>
      <c r="PI9" s="956"/>
      <c r="PJ9" s="956"/>
      <c r="PK9" s="956"/>
      <c r="PL9" s="956"/>
      <c r="PM9" s="956"/>
      <c r="PN9" s="956"/>
      <c r="PO9" s="956"/>
      <c r="PP9" s="956"/>
      <c r="PQ9" s="956"/>
      <c r="PR9" s="956"/>
      <c r="PS9" s="956"/>
      <c r="PT9" s="956"/>
      <c r="PU9" s="956"/>
      <c r="PV9" s="956"/>
      <c r="PW9" s="956"/>
      <c r="PX9" s="956"/>
      <c r="PY9" s="956"/>
      <c r="PZ9" s="956"/>
      <c r="QA9" s="956"/>
      <c r="QB9" s="956"/>
      <c r="QC9" s="956"/>
      <c r="QD9" s="956"/>
      <c r="QE9" s="956"/>
      <c r="QF9" s="956"/>
      <c r="QG9" s="956"/>
    </row>
    <row r="10" spans="1:449" s="761" customFormat="1" ht="15" customHeight="1" thickBot="1" x14ac:dyDescent="0.25">
      <c r="A10" s="1091"/>
      <c r="B10" s="963" t="s">
        <v>747</v>
      </c>
      <c r="C10" s="757">
        <v>2574</v>
      </c>
      <c r="D10" s="757">
        <v>443</v>
      </c>
      <c r="E10" s="757">
        <v>476</v>
      </c>
      <c r="F10" s="757">
        <v>329</v>
      </c>
      <c r="G10" s="762">
        <v>401</v>
      </c>
      <c r="H10" s="762">
        <v>374</v>
      </c>
      <c r="I10" s="762">
        <v>380</v>
      </c>
      <c r="J10" s="762">
        <v>306</v>
      </c>
      <c r="K10" s="758">
        <f>296+73</f>
        <v>369</v>
      </c>
      <c r="L10" s="759">
        <v>382</v>
      </c>
      <c r="M10" s="759">
        <v>316</v>
      </c>
      <c r="N10" s="759">
        <v>296</v>
      </c>
      <c r="O10" s="763">
        <v>224</v>
      </c>
      <c r="P10" s="763">
        <v>292</v>
      </c>
      <c r="Q10" s="763">
        <v>364</v>
      </c>
      <c r="R10" s="763">
        <v>345</v>
      </c>
      <c r="S10" s="763">
        <v>346</v>
      </c>
      <c r="T10" s="759">
        <v>550</v>
      </c>
      <c r="U10" s="759">
        <v>306</v>
      </c>
      <c r="V10" s="759">
        <v>212</v>
      </c>
      <c r="W10" s="759">
        <v>236</v>
      </c>
      <c r="X10" s="763">
        <v>266</v>
      </c>
      <c r="Y10" s="763">
        <v>256</v>
      </c>
      <c r="Z10" s="763">
        <v>270</v>
      </c>
      <c r="AA10" s="763">
        <v>325</v>
      </c>
      <c r="AB10" s="759">
        <v>289</v>
      </c>
      <c r="AC10" s="759">
        <v>306</v>
      </c>
      <c r="AD10" s="758">
        <v>289</v>
      </c>
      <c r="AE10" s="758">
        <v>324</v>
      </c>
      <c r="AF10" s="764">
        <v>365</v>
      </c>
      <c r="AG10" s="764">
        <v>312</v>
      </c>
      <c r="AH10" s="764">
        <v>350</v>
      </c>
      <c r="AI10" s="764">
        <v>306</v>
      </c>
      <c r="AJ10" s="764">
        <v>329</v>
      </c>
      <c r="AK10" s="758">
        <v>311</v>
      </c>
      <c r="AL10" s="758">
        <v>316</v>
      </c>
      <c r="AM10" s="759">
        <v>257</v>
      </c>
      <c r="AN10" s="759">
        <v>299</v>
      </c>
      <c r="AO10" s="763">
        <v>293</v>
      </c>
      <c r="AP10" s="763">
        <v>337</v>
      </c>
      <c r="AQ10" s="763">
        <v>274</v>
      </c>
      <c r="AR10" s="763">
        <v>282</v>
      </c>
      <c r="AS10" s="763">
        <v>285</v>
      </c>
      <c r="AT10" s="759">
        <v>257</v>
      </c>
      <c r="AU10" s="759">
        <v>250</v>
      </c>
      <c r="AV10" s="759">
        <v>266</v>
      </c>
      <c r="AW10" s="759">
        <v>207</v>
      </c>
      <c r="AX10" s="763">
        <v>266</v>
      </c>
      <c r="AY10" s="763">
        <v>270</v>
      </c>
      <c r="AZ10" s="763">
        <v>275</v>
      </c>
      <c r="BA10" s="763">
        <v>267</v>
      </c>
      <c r="BB10" s="759">
        <v>346</v>
      </c>
      <c r="BC10" s="759">
        <v>320</v>
      </c>
      <c r="BD10" s="759">
        <v>324</v>
      </c>
      <c r="BE10" s="759">
        <v>296</v>
      </c>
      <c r="BF10" s="759">
        <v>327</v>
      </c>
      <c r="BG10" s="763">
        <v>373</v>
      </c>
      <c r="BH10" s="763">
        <v>464</v>
      </c>
      <c r="BI10" s="763">
        <v>423</v>
      </c>
      <c r="BJ10" s="763">
        <v>343</v>
      </c>
      <c r="BK10" s="763">
        <v>276</v>
      </c>
      <c r="BL10" s="763">
        <v>422</v>
      </c>
      <c r="BM10" s="763">
        <v>345</v>
      </c>
      <c r="BN10" s="763">
        <v>268</v>
      </c>
      <c r="BO10" s="765">
        <v>229</v>
      </c>
      <c r="BP10" s="765">
        <v>262</v>
      </c>
      <c r="BQ10" s="765">
        <v>321</v>
      </c>
      <c r="BR10" s="765">
        <v>305</v>
      </c>
      <c r="BS10" s="765">
        <v>373</v>
      </c>
      <c r="BT10" s="760">
        <v>426</v>
      </c>
      <c r="BU10" s="760">
        <v>382</v>
      </c>
      <c r="BV10" s="760">
        <v>399</v>
      </c>
      <c r="BW10" s="760">
        <v>364</v>
      </c>
      <c r="BX10" s="760">
        <v>415</v>
      </c>
      <c r="BY10" s="760">
        <v>670</v>
      </c>
      <c r="BZ10" s="760">
        <v>431</v>
      </c>
      <c r="CA10" s="760">
        <v>807</v>
      </c>
      <c r="CB10" s="760">
        <v>560</v>
      </c>
      <c r="CC10" s="760">
        <v>609</v>
      </c>
      <c r="CD10" s="760">
        <v>601</v>
      </c>
      <c r="CE10" s="760">
        <v>430</v>
      </c>
      <c r="CF10" s="813">
        <v>481</v>
      </c>
      <c r="CG10" s="813">
        <v>648</v>
      </c>
      <c r="CH10" s="813">
        <v>369</v>
      </c>
      <c r="CI10" s="813">
        <v>435</v>
      </c>
      <c r="CJ10" s="813">
        <v>453</v>
      </c>
      <c r="CK10" s="813">
        <v>505</v>
      </c>
      <c r="CL10" s="813">
        <v>391</v>
      </c>
      <c r="CM10" s="813">
        <v>492</v>
      </c>
      <c r="CN10" s="813">
        <v>372</v>
      </c>
      <c r="CO10" s="813">
        <v>373</v>
      </c>
      <c r="CP10" s="813">
        <v>390</v>
      </c>
      <c r="CQ10" s="813">
        <v>486</v>
      </c>
      <c r="CR10" s="813">
        <v>405</v>
      </c>
      <c r="CS10" s="813">
        <v>418</v>
      </c>
      <c r="CT10" s="813">
        <v>401</v>
      </c>
      <c r="CU10" s="813">
        <v>471</v>
      </c>
      <c r="CV10" s="813">
        <v>344</v>
      </c>
      <c r="CW10" s="813">
        <v>469</v>
      </c>
      <c r="CX10" s="813">
        <v>416</v>
      </c>
      <c r="CY10" s="813">
        <v>361</v>
      </c>
      <c r="CZ10" s="813">
        <v>319</v>
      </c>
      <c r="DA10" s="813">
        <v>400</v>
      </c>
      <c r="DB10" s="813">
        <v>370</v>
      </c>
      <c r="DC10" s="883">
        <v>572</v>
      </c>
      <c r="DD10" s="964">
        <v>450</v>
      </c>
      <c r="DE10" s="964">
        <v>396</v>
      </c>
      <c r="DF10" s="964">
        <v>320</v>
      </c>
      <c r="DG10" s="964">
        <v>367</v>
      </c>
      <c r="DH10" s="964">
        <v>299</v>
      </c>
      <c r="DI10" s="965">
        <v>467</v>
      </c>
      <c r="DJ10" s="965">
        <v>262</v>
      </c>
      <c r="DK10" s="965">
        <v>479</v>
      </c>
      <c r="DL10" s="965">
        <v>748</v>
      </c>
      <c r="DM10" s="965">
        <v>471</v>
      </c>
      <c r="DN10" s="965">
        <v>239</v>
      </c>
      <c r="DO10" s="965">
        <v>329</v>
      </c>
      <c r="DP10" s="964">
        <v>300</v>
      </c>
      <c r="DQ10" s="964">
        <v>323</v>
      </c>
      <c r="DR10" s="964">
        <v>269</v>
      </c>
      <c r="DS10" s="964">
        <v>295</v>
      </c>
      <c r="DT10" s="964">
        <v>333</v>
      </c>
      <c r="DU10" s="967">
        <v>519</v>
      </c>
      <c r="DV10" s="967">
        <v>433</v>
      </c>
      <c r="DW10" s="967">
        <v>345</v>
      </c>
      <c r="DX10" s="967">
        <f>145+443</f>
        <v>588</v>
      </c>
      <c r="DY10" s="967">
        <v>664</v>
      </c>
      <c r="DZ10" s="967">
        <v>584</v>
      </c>
      <c r="EA10" s="967">
        <v>609</v>
      </c>
      <c r="EB10" s="967">
        <v>519</v>
      </c>
      <c r="EC10" s="967">
        <v>482</v>
      </c>
      <c r="ED10" s="967">
        <v>612</v>
      </c>
      <c r="EE10" s="967">
        <v>931</v>
      </c>
      <c r="EF10" s="967">
        <v>838</v>
      </c>
      <c r="EG10" s="967">
        <v>1074</v>
      </c>
      <c r="EH10" s="967">
        <v>715</v>
      </c>
      <c r="EI10" s="967">
        <v>639</v>
      </c>
      <c r="EJ10" s="967">
        <v>765</v>
      </c>
      <c r="EK10" s="967">
        <v>591</v>
      </c>
      <c r="EL10" s="958">
        <v>437</v>
      </c>
      <c r="EM10" s="958">
        <v>458</v>
      </c>
      <c r="EN10" s="958">
        <v>630</v>
      </c>
      <c r="EO10" s="958">
        <v>691</v>
      </c>
      <c r="EP10" s="958">
        <v>526</v>
      </c>
      <c r="EQ10" s="958">
        <v>629</v>
      </c>
      <c r="ER10" s="958">
        <v>375</v>
      </c>
      <c r="ES10" s="958">
        <v>415</v>
      </c>
      <c r="ET10" s="958"/>
      <c r="EU10" s="958"/>
      <c r="EV10" s="956"/>
      <c r="EW10" s="956"/>
      <c r="EX10" s="956"/>
      <c r="EY10" s="956"/>
      <c r="EZ10" s="956"/>
      <c r="FA10" s="956"/>
      <c r="FB10" s="956"/>
      <c r="FC10" s="956"/>
      <c r="FD10" s="956"/>
      <c r="FE10" s="956"/>
      <c r="FF10" s="956"/>
      <c r="FG10" s="956"/>
      <c r="FH10" s="956"/>
      <c r="FI10" s="956"/>
      <c r="FJ10" s="956"/>
      <c r="FK10" s="956"/>
      <c r="FL10" s="956"/>
      <c r="FM10" s="956"/>
      <c r="FN10" s="956"/>
      <c r="FO10" s="956"/>
      <c r="FP10" s="958">
        <v>198</v>
      </c>
      <c r="FQ10" s="958">
        <v>203</v>
      </c>
      <c r="FR10" s="958">
        <v>215</v>
      </c>
      <c r="FS10" s="958">
        <v>198</v>
      </c>
      <c r="FT10" s="958"/>
      <c r="FU10" s="958"/>
      <c r="FV10" s="958"/>
      <c r="FW10" s="956"/>
      <c r="FX10" s="956"/>
      <c r="FY10" s="956"/>
      <c r="FZ10" s="956"/>
      <c r="GA10" s="956"/>
      <c r="GB10" s="956"/>
      <c r="GC10" s="956"/>
      <c r="GD10" s="956"/>
      <c r="GE10" s="956"/>
      <c r="GF10" s="956"/>
      <c r="GG10" s="956"/>
      <c r="GH10" s="956"/>
      <c r="GI10" s="956"/>
      <c r="GJ10" s="956"/>
      <c r="GK10" s="956"/>
      <c r="GL10" s="956"/>
      <c r="GM10" s="956"/>
      <c r="GN10" s="956"/>
      <c r="GO10" s="956"/>
      <c r="GP10" s="956"/>
      <c r="GQ10" s="956"/>
      <c r="GR10" s="956"/>
      <c r="GS10" s="956"/>
      <c r="GT10" s="956"/>
      <c r="GU10" s="956"/>
      <c r="GV10" s="956"/>
      <c r="GW10" s="956"/>
      <c r="GX10" s="956"/>
      <c r="GY10" s="956"/>
      <c r="GZ10" s="956"/>
      <c r="HA10" s="956"/>
      <c r="HB10" s="956"/>
      <c r="HC10" s="956"/>
      <c r="HD10" s="956"/>
      <c r="HE10" s="956"/>
      <c r="HF10" s="956"/>
      <c r="HG10" s="956"/>
      <c r="HH10" s="956"/>
      <c r="HI10" s="956"/>
      <c r="HJ10" s="956"/>
      <c r="HK10" s="956"/>
      <c r="HL10" s="956"/>
      <c r="HM10" s="956"/>
      <c r="HN10" s="956"/>
      <c r="HO10" s="956"/>
      <c r="HP10" s="956"/>
      <c r="HQ10" s="956"/>
      <c r="HR10" s="956"/>
      <c r="HS10" s="956"/>
      <c r="HT10" s="956"/>
      <c r="HU10" s="956"/>
      <c r="HV10" s="956"/>
      <c r="HW10" s="956"/>
      <c r="HX10" s="956"/>
      <c r="HY10" s="956"/>
      <c r="HZ10" s="956"/>
      <c r="IA10" s="956"/>
      <c r="IB10" s="956"/>
      <c r="IC10" s="956"/>
      <c r="ID10" s="956"/>
      <c r="IE10" s="956"/>
      <c r="IF10" s="956"/>
      <c r="IG10" s="956"/>
      <c r="IH10" s="956"/>
      <c r="II10" s="956"/>
      <c r="IJ10" s="956"/>
      <c r="IK10" s="956"/>
      <c r="IL10" s="956"/>
      <c r="IM10" s="956"/>
      <c r="IN10" s="956"/>
      <c r="IO10" s="956"/>
      <c r="IP10" s="956"/>
      <c r="IQ10" s="956"/>
      <c r="IR10" s="956"/>
      <c r="IS10" s="956"/>
      <c r="IT10" s="956"/>
      <c r="IU10" s="956"/>
      <c r="IV10" s="956"/>
      <c r="IW10" s="956"/>
      <c r="IX10" s="956"/>
      <c r="IY10" s="956"/>
      <c r="IZ10" s="956"/>
      <c r="JA10" s="956"/>
      <c r="JB10" s="956"/>
      <c r="JC10" s="956"/>
      <c r="JD10" s="956"/>
      <c r="JE10" s="956"/>
      <c r="JF10" s="956"/>
      <c r="JG10" s="956"/>
      <c r="JH10" s="956"/>
      <c r="JI10" s="956"/>
      <c r="JJ10" s="956"/>
      <c r="JK10" s="956"/>
      <c r="JL10" s="956"/>
      <c r="JM10" s="956"/>
      <c r="JN10" s="956"/>
      <c r="JO10" s="956"/>
      <c r="JP10" s="956"/>
      <c r="JQ10" s="956"/>
      <c r="JR10" s="956"/>
      <c r="JS10" s="956"/>
      <c r="JT10" s="956"/>
      <c r="JU10" s="956"/>
      <c r="JV10" s="956"/>
      <c r="JW10" s="956"/>
      <c r="JX10" s="956"/>
      <c r="JY10" s="956"/>
      <c r="JZ10" s="956"/>
      <c r="KA10" s="956"/>
      <c r="KB10" s="956"/>
      <c r="KC10" s="956"/>
      <c r="KD10" s="956"/>
      <c r="KE10" s="956"/>
      <c r="KF10" s="956"/>
      <c r="KG10" s="956"/>
      <c r="KH10" s="956"/>
      <c r="KI10" s="956"/>
      <c r="KJ10" s="956"/>
      <c r="KK10" s="956"/>
      <c r="KL10" s="956"/>
      <c r="KM10" s="956"/>
      <c r="KN10" s="956"/>
      <c r="KO10" s="956"/>
      <c r="KP10" s="956"/>
      <c r="KQ10" s="956"/>
      <c r="KR10" s="956"/>
      <c r="KS10" s="956"/>
      <c r="KT10" s="956"/>
      <c r="KU10" s="956"/>
      <c r="KV10" s="956"/>
      <c r="KW10" s="956"/>
      <c r="KX10" s="956"/>
      <c r="KY10" s="956"/>
      <c r="KZ10" s="956"/>
      <c r="LA10" s="956"/>
      <c r="LB10" s="956"/>
      <c r="LC10" s="956"/>
      <c r="LD10" s="956"/>
      <c r="LE10" s="956"/>
      <c r="LF10" s="956"/>
      <c r="LG10" s="956"/>
      <c r="LH10" s="956"/>
      <c r="LI10" s="956"/>
      <c r="LJ10" s="956"/>
      <c r="LK10" s="956"/>
      <c r="LL10" s="956"/>
      <c r="LM10" s="956"/>
      <c r="LN10" s="956"/>
      <c r="LO10" s="956"/>
      <c r="LP10" s="956"/>
      <c r="LQ10" s="956"/>
      <c r="LR10" s="956"/>
      <c r="LS10" s="956"/>
      <c r="LT10" s="956"/>
      <c r="LU10" s="956"/>
      <c r="LV10" s="956"/>
      <c r="LW10" s="956"/>
      <c r="LX10" s="956"/>
      <c r="LY10" s="956"/>
      <c r="LZ10" s="956"/>
      <c r="MA10" s="956"/>
      <c r="MB10" s="956"/>
      <c r="MC10" s="956"/>
      <c r="MD10" s="956"/>
      <c r="ME10" s="956"/>
      <c r="MF10" s="956"/>
      <c r="MG10" s="956"/>
      <c r="MH10" s="956"/>
      <c r="MI10" s="956"/>
      <c r="MJ10" s="956"/>
      <c r="MK10" s="956"/>
      <c r="ML10" s="956"/>
      <c r="MM10" s="956"/>
      <c r="MN10" s="956"/>
      <c r="MO10" s="956"/>
      <c r="MP10" s="956"/>
      <c r="MQ10" s="956"/>
      <c r="MR10" s="956"/>
      <c r="MS10" s="956"/>
      <c r="MT10" s="956"/>
      <c r="MU10" s="956"/>
      <c r="MV10" s="956"/>
      <c r="MW10" s="956"/>
      <c r="MX10" s="956"/>
      <c r="MY10" s="956"/>
      <c r="MZ10" s="956"/>
      <c r="NA10" s="956"/>
      <c r="NB10" s="956"/>
      <c r="NC10" s="956"/>
      <c r="ND10" s="956"/>
      <c r="NE10" s="956"/>
      <c r="NF10" s="956"/>
      <c r="NG10" s="956"/>
      <c r="NH10" s="956"/>
      <c r="NI10" s="956"/>
      <c r="NJ10" s="956"/>
      <c r="NK10" s="956"/>
      <c r="NL10" s="956"/>
      <c r="NM10" s="956"/>
      <c r="NN10" s="956"/>
      <c r="NO10" s="956"/>
      <c r="NP10" s="956"/>
      <c r="NQ10" s="956"/>
      <c r="NR10" s="956"/>
      <c r="NS10" s="956"/>
      <c r="NT10" s="956"/>
      <c r="NU10" s="956"/>
      <c r="NV10" s="956"/>
      <c r="NW10" s="956"/>
      <c r="NX10" s="956"/>
      <c r="NY10" s="956"/>
      <c r="NZ10" s="956"/>
      <c r="OA10" s="956"/>
      <c r="OB10" s="956"/>
      <c r="OC10" s="956"/>
      <c r="OD10" s="956"/>
      <c r="OE10" s="956"/>
      <c r="OF10" s="956"/>
      <c r="OG10" s="956"/>
      <c r="OH10" s="956"/>
      <c r="OI10" s="956"/>
      <c r="OJ10" s="956"/>
      <c r="OK10" s="956"/>
      <c r="OL10" s="956"/>
      <c r="OM10" s="956"/>
      <c r="ON10" s="956"/>
      <c r="OO10" s="956"/>
      <c r="OP10" s="956"/>
      <c r="OQ10" s="956"/>
      <c r="OR10" s="956"/>
      <c r="OS10" s="956"/>
      <c r="OT10" s="956"/>
      <c r="OU10" s="956"/>
      <c r="OV10" s="956"/>
      <c r="OW10" s="956"/>
      <c r="OX10" s="956"/>
      <c r="OY10" s="956"/>
      <c r="OZ10" s="956"/>
      <c r="PA10" s="956"/>
      <c r="PB10" s="956"/>
      <c r="PC10" s="956"/>
      <c r="PD10" s="956"/>
      <c r="PE10" s="956"/>
      <c r="PF10" s="956"/>
      <c r="PG10" s="956"/>
      <c r="PH10" s="956"/>
      <c r="PI10" s="956"/>
      <c r="PJ10" s="956"/>
      <c r="PK10" s="956"/>
      <c r="PL10" s="956"/>
      <c r="PM10" s="956"/>
      <c r="PN10" s="956"/>
      <c r="PO10" s="956"/>
      <c r="PP10" s="956"/>
      <c r="PQ10" s="956"/>
      <c r="PR10" s="956"/>
      <c r="PS10" s="956"/>
      <c r="PT10" s="956"/>
      <c r="PU10" s="956"/>
      <c r="PV10" s="956"/>
      <c r="PW10" s="956"/>
      <c r="PX10" s="956"/>
      <c r="PY10" s="956"/>
      <c r="PZ10" s="956"/>
      <c r="QA10" s="956"/>
      <c r="QB10" s="956"/>
      <c r="QC10" s="956"/>
      <c r="QD10" s="956"/>
      <c r="QE10" s="956"/>
      <c r="QF10" s="956"/>
      <c r="QG10" s="956"/>
    </row>
    <row r="11" spans="1:449" s="986" customFormat="1" ht="15" customHeight="1" x14ac:dyDescent="0.2">
      <c r="A11" s="1091"/>
      <c r="B11" s="963" t="s">
        <v>748</v>
      </c>
      <c r="C11" s="983">
        <v>17683843</v>
      </c>
      <c r="D11" s="1093">
        <v>2998000</v>
      </c>
      <c r="E11" s="1094"/>
      <c r="F11" s="1095"/>
      <c r="G11" s="1093">
        <v>9165874</v>
      </c>
      <c r="H11" s="1094"/>
      <c r="I11" s="1094"/>
      <c r="J11" s="1095"/>
      <c r="K11" s="1043">
        <v>9920000</v>
      </c>
      <c r="L11" s="1044"/>
      <c r="M11" s="1044"/>
      <c r="N11" s="1045"/>
      <c r="O11" s="1049">
        <v>1281625</v>
      </c>
      <c r="P11" s="1050"/>
      <c r="Q11" s="1050"/>
      <c r="R11" s="1050"/>
      <c r="S11" s="1051"/>
      <c r="T11" s="1043">
        <v>14616200</v>
      </c>
      <c r="U11" s="1044"/>
      <c r="V11" s="1044"/>
      <c r="W11" s="1045"/>
      <c r="X11" s="1049">
        <v>26111500</v>
      </c>
      <c r="Y11" s="1050"/>
      <c r="Z11" s="1050"/>
      <c r="AA11" s="1051"/>
      <c r="AB11" s="1052">
        <v>4980000</v>
      </c>
      <c r="AC11" s="1052"/>
      <c r="AD11" s="1052"/>
      <c r="AE11" s="1052"/>
      <c r="AF11" s="1049">
        <v>2549850</v>
      </c>
      <c r="AG11" s="1050"/>
      <c r="AH11" s="1050"/>
      <c r="AI11" s="1050"/>
      <c r="AJ11" s="1051"/>
      <c r="AK11" s="1044">
        <v>6110932</v>
      </c>
      <c r="AL11" s="1044"/>
      <c r="AM11" s="1044"/>
      <c r="AN11" s="1044"/>
      <c r="AO11" s="1049">
        <v>1925000</v>
      </c>
      <c r="AP11" s="1050"/>
      <c r="AQ11" s="1050"/>
      <c r="AR11" s="1050"/>
      <c r="AS11" s="1051"/>
      <c r="AT11" s="1044">
        <v>4023654</v>
      </c>
      <c r="AU11" s="1044"/>
      <c r="AV11" s="1044"/>
      <c r="AW11" s="1044"/>
      <c r="AX11" s="1049">
        <v>27272575</v>
      </c>
      <c r="AY11" s="1050"/>
      <c r="AZ11" s="1050"/>
      <c r="BA11" s="1051"/>
      <c r="BB11" s="1044">
        <v>20196206</v>
      </c>
      <c r="BC11" s="1044"/>
      <c r="BD11" s="1044"/>
      <c r="BE11" s="1044"/>
      <c r="BF11" s="1044"/>
      <c r="BG11" s="1112">
        <v>12228050</v>
      </c>
      <c r="BH11" s="1113"/>
      <c r="BI11" s="1113"/>
      <c r="BJ11" s="1114"/>
      <c r="BK11" s="1115">
        <v>24231430</v>
      </c>
      <c r="BL11" s="1116"/>
      <c r="BM11" s="1116"/>
      <c r="BN11" s="1116"/>
      <c r="BO11" s="1117"/>
      <c r="BP11" s="1068">
        <v>38438508</v>
      </c>
      <c r="BQ11" s="1099"/>
      <c r="BR11" s="1099"/>
      <c r="BS11" s="1099"/>
      <c r="BT11" s="1106">
        <v>61525421</v>
      </c>
      <c r="BU11" s="1099"/>
      <c r="BV11" s="1099"/>
      <c r="BW11" s="1105"/>
      <c r="BX11" s="1068">
        <f>BX13/2</f>
        <v>2014623</v>
      </c>
      <c r="BY11" s="1099"/>
      <c r="BZ11" s="1099"/>
      <c r="CA11" s="1099"/>
      <c r="CB11" s="1139"/>
      <c r="CC11" s="1106">
        <f>CC13/2</f>
        <v>18114873</v>
      </c>
      <c r="CD11" s="1099"/>
      <c r="CE11" s="1099"/>
      <c r="CF11" s="1105"/>
      <c r="CG11" s="1067">
        <f>CG12</f>
        <v>9320459.5549999997</v>
      </c>
      <c r="CH11" s="1067"/>
      <c r="CI11" s="1067"/>
      <c r="CJ11" s="1068"/>
      <c r="CK11" s="1066">
        <v>34521238</v>
      </c>
      <c r="CL11" s="1066"/>
      <c r="CM11" s="1066"/>
      <c r="CN11" s="1066"/>
      <c r="CO11" s="1066"/>
      <c r="CP11" s="1068">
        <v>82936307</v>
      </c>
      <c r="CQ11" s="1099"/>
      <c r="CR11" s="1099"/>
      <c r="CS11" s="1099"/>
      <c r="CT11" s="1105"/>
      <c r="CU11" s="1062">
        <v>33125150</v>
      </c>
      <c r="CV11" s="1062"/>
      <c r="CW11" s="1062"/>
      <c r="CX11" s="1062"/>
      <c r="CY11" s="1138">
        <v>42769350</v>
      </c>
      <c r="CZ11" s="1138"/>
      <c r="DA11" s="1138"/>
      <c r="DB11" s="1138"/>
      <c r="DC11" s="1096">
        <v>29424348</v>
      </c>
      <c r="DD11" s="1097"/>
      <c r="DE11" s="1097"/>
      <c r="DF11" s="1097"/>
      <c r="DG11" s="1098"/>
      <c r="DH11" s="1096">
        <v>42601932</v>
      </c>
      <c r="DI11" s="1097"/>
      <c r="DJ11" s="1097"/>
      <c r="DK11" s="1097"/>
      <c r="DL11" s="1096">
        <v>31851299</v>
      </c>
      <c r="DM11" s="1097"/>
      <c r="DN11" s="1097"/>
      <c r="DO11" s="1098"/>
      <c r="DP11" s="1096">
        <v>26212000</v>
      </c>
      <c r="DQ11" s="1097"/>
      <c r="DR11" s="1097"/>
      <c r="DS11" s="1097"/>
      <c r="DT11" s="1098"/>
      <c r="DU11" s="984"/>
      <c r="DV11" s="984"/>
      <c r="DW11" s="984"/>
      <c r="DX11" s="1096">
        <v>63386797</v>
      </c>
      <c r="DY11" s="1097"/>
      <c r="DZ11" s="1097"/>
      <c r="EA11" s="1097"/>
      <c r="EB11" s="1098"/>
      <c r="EC11" s="1096" t="s">
        <v>1368</v>
      </c>
      <c r="ED11" s="1097"/>
      <c r="EE11" s="1097"/>
      <c r="EF11" s="1098"/>
      <c r="EG11" s="1096">
        <v>54875697</v>
      </c>
      <c r="EH11" s="1097"/>
      <c r="EI11" s="1097"/>
      <c r="EJ11" s="1097"/>
      <c r="EK11" s="1097"/>
      <c r="EL11" s="1096">
        <v>39528201</v>
      </c>
      <c r="EM11" s="1097"/>
      <c r="EN11" s="1097"/>
      <c r="EO11" s="1098"/>
      <c r="EP11" s="1096">
        <v>54227127</v>
      </c>
      <c r="EQ11" s="1097"/>
      <c r="ER11" s="1097"/>
      <c r="ES11" s="1098"/>
      <c r="ET11" s="984"/>
      <c r="EU11" s="984"/>
      <c r="EV11" s="985"/>
      <c r="EW11" s="985"/>
      <c r="EX11" s="985"/>
      <c r="EY11" s="985"/>
      <c r="EZ11" s="985"/>
      <c r="FA11" s="985"/>
      <c r="FB11" s="985"/>
      <c r="FC11" s="985"/>
      <c r="FD11" s="985"/>
      <c r="FE11" s="985"/>
      <c r="FF11" s="985"/>
      <c r="FG11" s="985"/>
      <c r="FH11" s="985"/>
      <c r="FI11" s="985"/>
      <c r="FJ11" s="985"/>
      <c r="FK11" s="985"/>
      <c r="FL11" s="985"/>
      <c r="FM11" s="985"/>
      <c r="FN11" s="985"/>
      <c r="FO11" s="985"/>
      <c r="FP11" s="1141"/>
      <c r="FQ11" s="1142"/>
      <c r="FR11" s="1142"/>
      <c r="FS11" s="1143"/>
      <c r="FT11" s="1141"/>
      <c r="FU11" s="1142"/>
      <c r="FV11" s="1142"/>
      <c r="FW11" s="1143"/>
      <c r="FX11" s="1068"/>
      <c r="FY11" s="1099"/>
      <c r="FZ11" s="1099"/>
      <c r="GA11" s="1099"/>
      <c r="GB11" s="1105"/>
      <c r="GC11" s="985"/>
      <c r="GD11" s="985"/>
      <c r="GE11" s="985"/>
      <c r="GF11" s="985"/>
      <c r="GG11" s="985"/>
      <c r="GH11" s="985"/>
      <c r="GI11" s="985"/>
      <c r="GJ11" s="985"/>
      <c r="GK11" s="985"/>
      <c r="GL11" s="985"/>
      <c r="GM11" s="985"/>
      <c r="GN11" s="985"/>
      <c r="GO11" s="985"/>
      <c r="GP11" s="985"/>
      <c r="GQ11" s="985"/>
      <c r="GR11" s="985"/>
      <c r="GS11" s="985"/>
      <c r="GT11" s="985"/>
      <c r="GU11" s="985"/>
      <c r="GV11" s="985"/>
      <c r="GW11" s="985"/>
      <c r="GX11" s="985"/>
      <c r="GY11" s="985"/>
      <c r="GZ11" s="985"/>
      <c r="HA11" s="985"/>
      <c r="HB11" s="985"/>
      <c r="HC11" s="985"/>
      <c r="HD11" s="985"/>
      <c r="HE11" s="985"/>
      <c r="HF11" s="985"/>
      <c r="HG11" s="985"/>
      <c r="HH11" s="985"/>
      <c r="HI11" s="985"/>
      <c r="HJ11" s="985"/>
      <c r="HK11" s="985"/>
      <c r="HL11" s="985"/>
      <c r="HM11" s="985"/>
      <c r="HN11" s="985"/>
      <c r="HO11" s="985"/>
      <c r="HP11" s="985"/>
      <c r="HQ11" s="985"/>
      <c r="HR11" s="985"/>
      <c r="HS11" s="985"/>
      <c r="HT11" s="985"/>
      <c r="HU11" s="985"/>
      <c r="HV11" s="985"/>
      <c r="HW11" s="985"/>
      <c r="HX11" s="985"/>
      <c r="HY11" s="985"/>
      <c r="HZ11" s="985"/>
      <c r="IA11" s="985"/>
      <c r="IB11" s="985"/>
      <c r="IC11" s="985"/>
      <c r="ID11" s="985"/>
      <c r="IE11" s="985"/>
      <c r="IF11" s="985"/>
      <c r="IG11" s="985"/>
      <c r="IH11" s="985"/>
      <c r="II11" s="985"/>
      <c r="IJ11" s="985"/>
      <c r="IK11" s="985"/>
      <c r="IL11" s="985"/>
      <c r="IM11" s="985"/>
      <c r="IN11" s="985"/>
      <c r="IO11" s="985"/>
      <c r="IP11" s="985"/>
      <c r="IQ11" s="985"/>
      <c r="IR11" s="985"/>
      <c r="IS11" s="985"/>
      <c r="IT11" s="985"/>
      <c r="IU11" s="985"/>
      <c r="IV11" s="985"/>
      <c r="IW11" s="985"/>
      <c r="IX11" s="985"/>
      <c r="IY11" s="985"/>
      <c r="IZ11" s="985"/>
      <c r="JA11" s="985"/>
      <c r="JB11" s="985"/>
      <c r="JC11" s="985"/>
      <c r="JD11" s="985"/>
      <c r="JE11" s="985"/>
      <c r="JF11" s="985"/>
      <c r="JG11" s="985"/>
      <c r="JH11" s="985"/>
      <c r="JI11" s="985"/>
      <c r="JJ11" s="985"/>
      <c r="JK11" s="985"/>
      <c r="JL11" s="985"/>
      <c r="JM11" s="985"/>
      <c r="JN11" s="985"/>
      <c r="JO11" s="985"/>
      <c r="JP11" s="985"/>
      <c r="JQ11" s="985"/>
      <c r="JR11" s="985"/>
      <c r="JS11" s="985"/>
      <c r="JT11" s="985"/>
      <c r="JU11" s="985"/>
      <c r="JV11" s="985"/>
      <c r="JW11" s="985"/>
      <c r="JX11" s="985"/>
      <c r="JY11" s="985"/>
      <c r="JZ11" s="985"/>
      <c r="KA11" s="985"/>
      <c r="KB11" s="985"/>
      <c r="KC11" s="985"/>
      <c r="KD11" s="985"/>
      <c r="KE11" s="985"/>
      <c r="KF11" s="985"/>
      <c r="KG11" s="985"/>
      <c r="KH11" s="985"/>
      <c r="KI11" s="985"/>
      <c r="KJ11" s="985"/>
      <c r="KK11" s="985"/>
      <c r="KL11" s="985"/>
      <c r="KM11" s="985"/>
      <c r="KN11" s="985"/>
      <c r="KO11" s="985"/>
      <c r="KP11" s="985"/>
      <c r="KQ11" s="985"/>
      <c r="KR11" s="985"/>
      <c r="KS11" s="985"/>
      <c r="KT11" s="985"/>
      <c r="KU11" s="985"/>
      <c r="KV11" s="985"/>
      <c r="KW11" s="985"/>
      <c r="KX11" s="985"/>
      <c r="KY11" s="985"/>
      <c r="KZ11" s="985"/>
      <c r="LA11" s="985"/>
      <c r="LB11" s="985"/>
      <c r="LC11" s="985"/>
      <c r="LD11" s="985"/>
      <c r="LE11" s="985"/>
      <c r="LF11" s="985"/>
      <c r="LG11" s="985"/>
      <c r="LH11" s="985"/>
      <c r="LI11" s="985"/>
      <c r="LJ11" s="985"/>
      <c r="LK11" s="985"/>
      <c r="LL11" s="985"/>
      <c r="LM11" s="985"/>
      <c r="LN11" s="985"/>
      <c r="LO11" s="985"/>
      <c r="LP11" s="985"/>
      <c r="LQ11" s="985"/>
      <c r="LR11" s="985"/>
      <c r="LS11" s="985"/>
      <c r="LT11" s="985"/>
      <c r="LU11" s="985"/>
      <c r="LV11" s="985"/>
      <c r="LW11" s="985"/>
      <c r="LX11" s="985"/>
      <c r="LY11" s="985"/>
      <c r="LZ11" s="985"/>
      <c r="MA11" s="985"/>
      <c r="MB11" s="985"/>
      <c r="MC11" s="985"/>
      <c r="MD11" s="985"/>
      <c r="ME11" s="985"/>
      <c r="MF11" s="985"/>
      <c r="MG11" s="985"/>
      <c r="MH11" s="985"/>
      <c r="MI11" s="985"/>
      <c r="MJ11" s="985"/>
      <c r="MK11" s="985"/>
      <c r="ML11" s="985"/>
      <c r="MM11" s="985"/>
      <c r="MN11" s="985"/>
      <c r="MO11" s="985"/>
      <c r="MP11" s="985"/>
      <c r="MQ11" s="985"/>
      <c r="MR11" s="985"/>
      <c r="MS11" s="985"/>
      <c r="MT11" s="985"/>
      <c r="MU11" s="985"/>
      <c r="MV11" s="985"/>
      <c r="MW11" s="985"/>
      <c r="MX11" s="985"/>
      <c r="MY11" s="985"/>
      <c r="MZ11" s="985"/>
      <c r="NA11" s="985"/>
      <c r="NB11" s="985"/>
      <c r="NC11" s="985"/>
      <c r="ND11" s="985"/>
      <c r="NE11" s="985"/>
      <c r="NF11" s="985"/>
      <c r="NG11" s="985"/>
      <c r="NH11" s="985"/>
      <c r="NI11" s="985"/>
      <c r="NJ11" s="985"/>
      <c r="NK11" s="985"/>
      <c r="NL11" s="985"/>
      <c r="NM11" s="985"/>
      <c r="NN11" s="985"/>
      <c r="NO11" s="985"/>
      <c r="NP11" s="985"/>
      <c r="NQ11" s="985"/>
      <c r="NR11" s="985"/>
      <c r="NS11" s="985"/>
      <c r="NT11" s="985"/>
      <c r="NU11" s="985"/>
      <c r="NV11" s="985"/>
      <c r="NW11" s="985"/>
      <c r="NX11" s="985"/>
      <c r="NY11" s="985"/>
      <c r="NZ11" s="985"/>
      <c r="OA11" s="985"/>
      <c r="OB11" s="985"/>
      <c r="OC11" s="985"/>
      <c r="OD11" s="985"/>
      <c r="OE11" s="985"/>
      <c r="OF11" s="985"/>
      <c r="OG11" s="985"/>
      <c r="OH11" s="985"/>
      <c r="OI11" s="985"/>
      <c r="OJ11" s="985"/>
      <c r="OK11" s="985"/>
      <c r="OL11" s="985"/>
      <c r="OM11" s="985"/>
      <c r="ON11" s="985"/>
      <c r="OO11" s="985"/>
      <c r="OP11" s="985"/>
      <c r="OQ11" s="985"/>
      <c r="OR11" s="985"/>
      <c r="OS11" s="985"/>
      <c r="OT11" s="985"/>
      <c r="OU11" s="985"/>
      <c r="OV11" s="985"/>
      <c r="OW11" s="985"/>
      <c r="OX11" s="985"/>
      <c r="OY11" s="985"/>
      <c r="OZ11" s="985"/>
      <c r="PA11" s="985"/>
      <c r="PB11" s="985"/>
      <c r="PC11" s="985"/>
      <c r="PD11" s="985"/>
      <c r="PE11" s="985"/>
      <c r="PF11" s="985"/>
      <c r="PG11" s="985"/>
      <c r="PH11" s="985"/>
      <c r="PI11" s="985"/>
      <c r="PJ11" s="985"/>
      <c r="PK11" s="985"/>
      <c r="PL11" s="985"/>
      <c r="PM11" s="985"/>
      <c r="PN11" s="985"/>
      <c r="PO11" s="985"/>
      <c r="PP11" s="985"/>
      <c r="PQ11" s="985"/>
      <c r="PR11" s="985"/>
      <c r="PS11" s="985"/>
      <c r="PT11" s="985"/>
      <c r="PU11" s="985"/>
      <c r="PV11" s="985"/>
      <c r="PW11" s="985"/>
      <c r="PX11" s="985"/>
      <c r="PY11" s="985"/>
      <c r="PZ11" s="985"/>
      <c r="QA11" s="985"/>
      <c r="QB11" s="985"/>
      <c r="QC11" s="985"/>
      <c r="QD11" s="985"/>
      <c r="QE11" s="985"/>
      <c r="QF11" s="985"/>
      <c r="QG11" s="985"/>
    </row>
    <row r="12" spans="1:449" s="761" customFormat="1" ht="15" customHeight="1" x14ac:dyDescent="0.2">
      <c r="A12" s="1091"/>
      <c r="B12" s="963" t="s">
        <v>749</v>
      </c>
      <c r="C12" s="766">
        <v>17807172</v>
      </c>
      <c r="D12" s="1040">
        <v>10577743</v>
      </c>
      <c r="E12" s="1041"/>
      <c r="F12" s="1042"/>
      <c r="G12" s="1135">
        <v>12261600</v>
      </c>
      <c r="H12" s="1136"/>
      <c r="I12" s="1136"/>
      <c r="J12" s="1137"/>
      <c r="K12" s="1129">
        <v>22643943</v>
      </c>
      <c r="L12" s="1056"/>
      <c r="M12" s="1056"/>
      <c r="N12" s="1130"/>
      <c r="O12" s="1046">
        <v>4644200</v>
      </c>
      <c r="P12" s="1047"/>
      <c r="Q12" s="1047"/>
      <c r="R12" s="1047"/>
      <c r="S12" s="1048"/>
      <c r="T12" s="1121">
        <v>12013279</v>
      </c>
      <c r="U12" s="1023"/>
      <c r="V12" s="1023"/>
      <c r="W12" s="1122"/>
      <c r="X12" s="1046">
        <v>31811900</v>
      </c>
      <c r="Y12" s="1047"/>
      <c r="Z12" s="1047"/>
      <c r="AA12" s="1048"/>
      <c r="AB12" s="1023">
        <v>5653990</v>
      </c>
      <c r="AC12" s="1023"/>
      <c r="AD12" s="1023"/>
      <c r="AE12" s="1023"/>
      <c r="AF12" s="1126">
        <v>8183050</v>
      </c>
      <c r="AG12" s="1127"/>
      <c r="AH12" s="1127"/>
      <c r="AI12" s="1127"/>
      <c r="AJ12" s="1128"/>
      <c r="AK12" s="1056">
        <v>6996945</v>
      </c>
      <c r="AL12" s="1056"/>
      <c r="AM12" s="1056"/>
      <c r="AN12" s="1056"/>
      <c r="AO12" s="1046">
        <v>7468914</v>
      </c>
      <c r="AP12" s="1047"/>
      <c r="AQ12" s="1047"/>
      <c r="AR12" s="1047"/>
      <c r="AS12" s="1048"/>
      <c r="AT12" s="1023">
        <v>15929767</v>
      </c>
      <c r="AU12" s="1023"/>
      <c r="AV12" s="1023"/>
      <c r="AW12" s="1023"/>
      <c r="AX12" s="1046">
        <v>37652194</v>
      </c>
      <c r="AY12" s="1047"/>
      <c r="AZ12" s="1047"/>
      <c r="BA12" s="1048"/>
      <c r="BB12" s="1023">
        <v>27578728</v>
      </c>
      <c r="BC12" s="1023"/>
      <c r="BD12" s="1023"/>
      <c r="BE12" s="1023"/>
      <c r="BF12" s="1023"/>
      <c r="BG12" s="1118">
        <v>36335628</v>
      </c>
      <c r="BH12" s="1119"/>
      <c r="BI12" s="1119"/>
      <c r="BJ12" s="1120"/>
      <c r="BK12" s="1102">
        <v>0</v>
      </c>
      <c r="BL12" s="1103"/>
      <c r="BM12" s="1103"/>
      <c r="BN12" s="1103"/>
      <c r="BO12" s="1103"/>
      <c r="BP12" s="1063">
        <v>319246</v>
      </c>
      <c r="BQ12" s="1064"/>
      <c r="BR12" s="1064"/>
      <c r="BS12" s="1064"/>
      <c r="BT12" s="1107">
        <v>2161432</v>
      </c>
      <c r="BU12" s="1108"/>
      <c r="BV12" s="1108"/>
      <c r="BW12" s="1109"/>
      <c r="BX12" s="1063">
        <f>BX13/2</f>
        <v>2014623</v>
      </c>
      <c r="BY12" s="1064"/>
      <c r="BZ12" s="1064"/>
      <c r="CA12" s="1064"/>
      <c r="CB12" s="1134"/>
      <c r="CC12" s="1107">
        <f>CC13/2</f>
        <v>18114873</v>
      </c>
      <c r="CD12" s="1108"/>
      <c r="CE12" s="1108"/>
      <c r="CF12" s="1109"/>
      <c r="CG12" s="1065">
        <f>CG13/2</f>
        <v>9320459.5549999997</v>
      </c>
      <c r="CH12" s="1065"/>
      <c r="CI12" s="1065"/>
      <c r="CJ12" s="1063"/>
      <c r="CK12" s="1104"/>
      <c r="CL12" s="1104"/>
      <c r="CM12" s="1104"/>
      <c r="CN12" s="1104"/>
      <c r="CO12" s="1104"/>
      <c r="CP12" s="1063"/>
      <c r="CQ12" s="1064"/>
      <c r="CR12" s="1064"/>
      <c r="CS12" s="1064"/>
      <c r="CT12" s="860"/>
      <c r="CU12" s="1100"/>
      <c r="CV12" s="1100"/>
      <c r="CW12" s="1100"/>
      <c r="CX12" s="1100"/>
      <c r="CY12" s="1101"/>
      <c r="CZ12" s="1101"/>
      <c r="DA12" s="1101"/>
      <c r="DB12" s="1101"/>
      <c r="DC12" s="1131"/>
      <c r="DD12" s="1132"/>
      <c r="DE12" s="1132"/>
      <c r="DF12" s="1132"/>
      <c r="DG12" s="1133"/>
      <c r="DH12" s="1057"/>
      <c r="DI12" s="1058"/>
      <c r="DJ12" s="1058"/>
      <c r="DK12" s="1058"/>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1151">
        <v>13425806</v>
      </c>
      <c r="EM12" s="1152"/>
      <c r="EN12" s="1152"/>
      <c r="EO12" s="1153"/>
      <c r="EP12" s="1151">
        <v>14066596</v>
      </c>
      <c r="EQ12" s="1152"/>
      <c r="ER12" s="1152"/>
      <c r="ES12" s="1153"/>
      <c r="ET12" s="972"/>
      <c r="EU12" s="972"/>
      <c r="EV12" s="956"/>
      <c r="EW12" s="956"/>
      <c r="EX12" s="956"/>
      <c r="EY12" s="956"/>
      <c r="EZ12" s="956"/>
      <c r="FA12" s="956"/>
      <c r="FB12" s="956"/>
      <c r="FC12" s="956"/>
      <c r="FD12" s="956"/>
      <c r="FE12" s="956"/>
      <c r="FF12" s="956"/>
      <c r="FG12" s="956"/>
      <c r="FH12" s="956"/>
      <c r="FI12" s="956"/>
      <c r="FJ12" s="956"/>
      <c r="FK12" s="956"/>
      <c r="FL12" s="956"/>
      <c r="FM12" s="956"/>
      <c r="FN12" s="956"/>
      <c r="FO12" s="956"/>
      <c r="FP12" s="958"/>
      <c r="FQ12" s="958"/>
      <c r="FR12" s="958"/>
      <c r="FS12" s="958"/>
      <c r="FT12" s="958"/>
      <c r="FU12" s="958"/>
      <c r="FV12" s="958"/>
      <c r="FW12" s="956"/>
      <c r="FX12" s="956"/>
      <c r="FY12" s="956"/>
      <c r="FZ12" s="956"/>
      <c r="GA12" s="956"/>
      <c r="GB12" s="956"/>
      <c r="GC12" s="956"/>
      <c r="GD12" s="956"/>
      <c r="GE12" s="956"/>
      <c r="GF12" s="956"/>
      <c r="GG12" s="956"/>
      <c r="GH12" s="956"/>
      <c r="GI12" s="956"/>
      <c r="GJ12" s="956"/>
      <c r="GK12" s="956"/>
      <c r="GL12" s="956"/>
      <c r="GM12" s="956"/>
      <c r="GN12" s="956"/>
      <c r="GO12" s="956"/>
      <c r="GP12" s="956"/>
      <c r="GQ12" s="956"/>
      <c r="GR12" s="956"/>
      <c r="GS12" s="956"/>
      <c r="GT12" s="956"/>
      <c r="GU12" s="956"/>
      <c r="GV12" s="956"/>
      <c r="GW12" s="956"/>
      <c r="GX12" s="956"/>
      <c r="GY12" s="956"/>
      <c r="GZ12" s="956"/>
      <c r="HA12" s="956"/>
      <c r="HB12" s="956"/>
      <c r="HC12" s="956"/>
      <c r="HD12" s="956"/>
      <c r="HE12" s="956"/>
      <c r="HF12" s="956"/>
      <c r="HG12" s="956"/>
      <c r="HH12" s="956"/>
      <c r="HI12" s="956"/>
      <c r="HJ12" s="956"/>
      <c r="HK12" s="956"/>
      <c r="HL12" s="956"/>
      <c r="HM12" s="956"/>
      <c r="HN12" s="956"/>
      <c r="HO12" s="956"/>
      <c r="HP12" s="956"/>
      <c r="HQ12" s="956"/>
      <c r="HR12" s="956"/>
      <c r="HS12" s="956"/>
      <c r="HT12" s="956"/>
      <c r="HU12" s="956"/>
      <c r="HV12" s="956"/>
      <c r="HW12" s="956"/>
      <c r="HX12" s="956"/>
      <c r="HY12" s="956"/>
      <c r="HZ12" s="956"/>
      <c r="IA12" s="956"/>
      <c r="IB12" s="956"/>
      <c r="IC12" s="956"/>
      <c r="ID12" s="956"/>
      <c r="IE12" s="956"/>
      <c r="IF12" s="956"/>
      <c r="IG12" s="956"/>
      <c r="IH12" s="956"/>
      <c r="II12" s="956"/>
      <c r="IJ12" s="956"/>
      <c r="IK12" s="956"/>
      <c r="IL12" s="956"/>
      <c r="IM12" s="956"/>
      <c r="IN12" s="956"/>
      <c r="IO12" s="956"/>
      <c r="IP12" s="956"/>
      <c r="IQ12" s="956"/>
      <c r="IR12" s="956"/>
      <c r="IS12" s="956"/>
      <c r="IT12" s="956"/>
      <c r="IU12" s="956"/>
      <c r="IV12" s="956"/>
      <c r="IW12" s="956"/>
      <c r="IX12" s="956"/>
      <c r="IY12" s="956"/>
      <c r="IZ12" s="956"/>
      <c r="JA12" s="956"/>
      <c r="JB12" s="956"/>
      <c r="JC12" s="956"/>
      <c r="JD12" s="956"/>
      <c r="JE12" s="956"/>
      <c r="JF12" s="956"/>
      <c r="JG12" s="956"/>
      <c r="JH12" s="956"/>
      <c r="JI12" s="956"/>
      <c r="JJ12" s="956"/>
      <c r="JK12" s="956"/>
      <c r="JL12" s="956"/>
      <c r="JM12" s="956"/>
      <c r="JN12" s="956"/>
      <c r="JO12" s="956"/>
      <c r="JP12" s="956"/>
      <c r="JQ12" s="956"/>
      <c r="JR12" s="956"/>
      <c r="JS12" s="956"/>
      <c r="JT12" s="956"/>
      <c r="JU12" s="956"/>
      <c r="JV12" s="956"/>
      <c r="JW12" s="956"/>
      <c r="JX12" s="956"/>
      <c r="JY12" s="956"/>
      <c r="JZ12" s="956"/>
      <c r="KA12" s="956"/>
      <c r="KB12" s="956"/>
      <c r="KC12" s="956"/>
      <c r="KD12" s="956"/>
      <c r="KE12" s="956"/>
      <c r="KF12" s="956"/>
      <c r="KG12" s="956"/>
      <c r="KH12" s="956"/>
      <c r="KI12" s="956"/>
      <c r="KJ12" s="956"/>
      <c r="KK12" s="956"/>
      <c r="KL12" s="956"/>
      <c r="KM12" s="956"/>
      <c r="KN12" s="956"/>
      <c r="KO12" s="956"/>
      <c r="KP12" s="956"/>
      <c r="KQ12" s="956"/>
      <c r="KR12" s="956"/>
      <c r="KS12" s="956"/>
      <c r="KT12" s="956"/>
      <c r="KU12" s="956"/>
      <c r="KV12" s="956"/>
      <c r="KW12" s="956"/>
      <c r="KX12" s="956"/>
      <c r="KY12" s="956"/>
      <c r="KZ12" s="956"/>
      <c r="LA12" s="956"/>
      <c r="LB12" s="956"/>
      <c r="LC12" s="956"/>
      <c r="LD12" s="956"/>
      <c r="LE12" s="956"/>
      <c r="LF12" s="956"/>
      <c r="LG12" s="956"/>
      <c r="LH12" s="956"/>
      <c r="LI12" s="956"/>
      <c r="LJ12" s="956"/>
      <c r="LK12" s="956"/>
      <c r="LL12" s="956"/>
      <c r="LM12" s="956"/>
      <c r="LN12" s="956"/>
      <c r="LO12" s="956"/>
      <c r="LP12" s="956"/>
      <c r="LQ12" s="956"/>
      <c r="LR12" s="956"/>
      <c r="LS12" s="956"/>
      <c r="LT12" s="956"/>
      <c r="LU12" s="956"/>
      <c r="LV12" s="956"/>
      <c r="LW12" s="956"/>
      <c r="LX12" s="956"/>
      <c r="LY12" s="956"/>
      <c r="LZ12" s="956"/>
      <c r="MA12" s="956"/>
      <c r="MB12" s="956"/>
      <c r="MC12" s="956"/>
      <c r="MD12" s="956"/>
      <c r="ME12" s="956"/>
      <c r="MF12" s="956"/>
      <c r="MG12" s="956"/>
      <c r="MH12" s="956"/>
      <c r="MI12" s="956"/>
      <c r="MJ12" s="956"/>
      <c r="MK12" s="956"/>
      <c r="ML12" s="956"/>
      <c r="MM12" s="956"/>
      <c r="MN12" s="956"/>
      <c r="MO12" s="956"/>
      <c r="MP12" s="956"/>
      <c r="MQ12" s="956"/>
      <c r="MR12" s="956"/>
      <c r="MS12" s="956"/>
      <c r="MT12" s="956"/>
      <c r="MU12" s="956"/>
      <c r="MV12" s="956"/>
      <c r="MW12" s="956"/>
      <c r="MX12" s="956"/>
      <c r="MY12" s="956"/>
      <c r="MZ12" s="956"/>
      <c r="NA12" s="956"/>
      <c r="NB12" s="956"/>
      <c r="NC12" s="956"/>
      <c r="ND12" s="956"/>
      <c r="NE12" s="956"/>
      <c r="NF12" s="956"/>
      <c r="NG12" s="956"/>
      <c r="NH12" s="956"/>
      <c r="NI12" s="956"/>
      <c r="NJ12" s="956"/>
      <c r="NK12" s="956"/>
      <c r="NL12" s="956"/>
      <c r="NM12" s="956"/>
      <c r="NN12" s="956"/>
      <c r="NO12" s="956"/>
      <c r="NP12" s="956"/>
      <c r="NQ12" s="956"/>
      <c r="NR12" s="956"/>
      <c r="NS12" s="956"/>
      <c r="NT12" s="956"/>
      <c r="NU12" s="956"/>
      <c r="NV12" s="956"/>
      <c r="NW12" s="956"/>
      <c r="NX12" s="956"/>
      <c r="NY12" s="956"/>
      <c r="NZ12" s="956"/>
      <c r="OA12" s="956"/>
      <c r="OB12" s="956"/>
      <c r="OC12" s="956"/>
      <c r="OD12" s="956"/>
      <c r="OE12" s="956"/>
      <c r="OF12" s="956"/>
      <c r="OG12" s="956"/>
      <c r="OH12" s="956"/>
      <c r="OI12" s="956"/>
      <c r="OJ12" s="956"/>
      <c r="OK12" s="956"/>
      <c r="OL12" s="956"/>
      <c r="OM12" s="956"/>
      <c r="ON12" s="956"/>
      <c r="OO12" s="956"/>
      <c r="OP12" s="956"/>
      <c r="OQ12" s="956"/>
      <c r="OR12" s="956"/>
      <c r="OS12" s="956"/>
      <c r="OT12" s="956"/>
      <c r="OU12" s="956"/>
      <c r="OV12" s="956"/>
      <c r="OW12" s="956"/>
      <c r="OX12" s="956"/>
      <c r="OY12" s="956"/>
      <c r="OZ12" s="956"/>
      <c r="PA12" s="956"/>
      <c r="PB12" s="956"/>
      <c r="PC12" s="956"/>
      <c r="PD12" s="956"/>
      <c r="PE12" s="956"/>
      <c r="PF12" s="956"/>
      <c r="PG12" s="956"/>
      <c r="PH12" s="956"/>
      <c r="PI12" s="956"/>
      <c r="PJ12" s="956"/>
      <c r="PK12" s="956"/>
      <c r="PL12" s="956"/>
      <c r="PM12" s="956"/>
      <c r="PN12" s="956"/>
      <c r="PO12" s="956"/>
      <c r="PP12" s="956"/>
      <c r="PQ12" s="956"/>
      <c r="PR12" s="956"/>
      <c r="PS12" s="956"/>
      <c r="PT12" s="956"/>
      <c r="PU12" s="956"/>
      <c r="PV12" s="956"/>
      <c r="PW12" s="956"/>
      <c r="PX12" s="956"/>
      <c r="PY12" s="956"/>
      <c r="PZ12" s="956"/>
      <c r="QA12" s="956"/>
      <c r="QB12" s="956"/>
      <c r="QC12" s="956"/>
      <c r="QD12" s="956"/>
      <c r="QE12" s="956"/>
      <c r="QF12" s="956"/>
      <c r="QG12" s="956"/>
    </row>
    <row r="13" spans="1:449" s="761" customFormat="1" ht="15" customHeight="1" thickBot="1" x14ac:dyDescent="0.3">
      <c r="A13" s="1092"/>
      <c r="B13" s="963" t="s">
        <v>750</v>
      </c>
      <c r="C13" s="767">
        <f>SUM(C11:C12)</f>
        <v>35491015</v>
      </c>
      <c r="D13" s="1084">
        <f>SUM(D11:D12)</f>
        <v>13575743</v>
      </c>
      <c r="E13" s="1085"/>
      <c r="F13" s="1086"/>
      <c r="G13" s="1087">
        <f>SUM(G11:G12)</f>
        <v>21427474</v>
      </c>
      <c r="H13" s="1088"/>
      <c r="I13" s="1088"/>
      <c r="J13" s="1089"/>
      <c r="K13" s="1072">
        <f>SUM(K11:K12)</f>
        <v>32563943</v>
      </c>
      <c r="L13" s="1073"/>
      <c r="M13" s="1073"/>
      <c r="N13" s="1074"/>
      <c r="O13" s="1075">
        <f>SUM(O11:O12)</f>
        <v>5925825</v>
      </c>
      <c r="P13" s="1076"/>
      <c r="Q13" s="1076"/>
      <c r="R13" s="1076"/>
      <c r="S13" s="1077"/>
      <c r="T13" s="1078">
        <f>SUM(T11:T12)</f>
        <v>26629479</v>
      </c>
      <c r="U13" s="1079"/>
      <c r="V13" s="1079"/>
      <c r="W13" s="1080"/>
      <c r="X13" s="1020">
        <f>SUM(X11:X12)</f>
        <v>57923400</v>
      </c>
      <c r="Y13" s="1021"/>
      <c r="Z13" s="1021"/>
      <c r="AA13" s="1022"/>
      <c r="AB13" s="1023">
        <f>SUM(AB11:AB12)</f>
        <v>10633990</v>
      </c>
      <c r="AC13" s="1023"/>
      <c r="AD13" s="1023"/>
      <c r="AE13" s="1023"/>
      <c r="AF13" s="1053">
        <f>SUM(AF11:AF12)</f>
        <v>10732900</v>
      </c>
      <c r="AG13" s="1054"/>
      <c r="AH13" s="1054"/>
      <c r="AI13" s="1054"/>
      <c r="AJ13" s="1055"/>
      <c r="AK13" s="1056">
        <f>SUM(AK11:AK12)</f>
        <v>13107877</v>
      </c>
      <c r="AL13" s="1056"/>
      <c r="AM13" s="1056"/>
      <c r="AN13" s="1056"/>
      <c r="AO13" s="1020">
        <f>SUM(AO11:AO12)</f>
        <v>9393914</v>
      </c>
      <c r="AP13" s="1021"/>
      <c r="AQ13" s="1021"/>
      <c r="AR13" s="1021"/>
      <c r="AS13" s="1022"/>
      <c r="AT13" s="1023">
        <f>SUM(AT11:AT12)</f>
        <v>19953421</v>
      </c>
      <c r="AU13" s="1023"/>
      <c r="AV13" s="1023"/>
      <c r="AW13" s="1023"/>
      <c r="AX13" s="1020">
        <f>SUM(AX11:AX12)</f>
        <v>64924769</v>
      </c>
      <c r="AY13" s="1021"/>
      <c r="AZ13" s="1021"/>
      <c r="BA13" s="1022"/>
      <c r="BB13" s="1023">
        <f>SUM(BB11:BB12)</f>
        <v>47774934</v>
      </c>
      <c r="BC13" s="1023"/>
      <c r="BD13" s="1023"/>
      <c r="BE13" s="1023"/>
      <c r="BF13" s="1023"/>
      <c r="BG13" s="1034">
        <v>48563678</v>
      </c>
      <c r="BH13" s="1035"/>
      <c r="BI13" s="1035"/>
      <c r="BJ13" s="1036"/>
      <c r="BK13" s="1037">
        <v>24231430</v>
      </c>
      <c r="BL13" s="1038"/>
      <c r="BM13" s="1038"/>
      <c r="BN13" s="1038"/>
      <c r="BO13" s="1038"/>
      <c r="BP13" s="1025">
        <f>BP11+BP12</f>
        <v>38757754</v>
      </c>
      <c r="BQ13" s="1026"/>
      <c r="BR13" s="1026"/>
      <c r="BS13" s="1026"/>
      <c r="BT13" s="1028">
        <f>BT11+BT12</f>
        <v>63686853</v>
      </c>
      <c r="BU13" s="1029"/>
      <c r="BV13" s="1029"/>
      <c r="BW13" s="1030"/>
      <c r="BX13" s="1025">
        <v>4029246</v>
      </c>
      <c r="BY13" s="1026"/>
      <c r="BZ13" s="1026"/>
      <c r="CA13" s="1026"/>
      <c r="CB13" s="1032"/>
      <c r="CC13" s="1028">
        <v>36229746</v>
      </c>
      <c r="CD13" s="1029"/>
      <c r="CE13" s="1029"/>
      <c r="CF13" s="1030"/>
      <c r="CG13" s="1027">
        <v>18640919.109999999</v>
      </c>
      <c r="CH13" s="1027"/>
      <c r="CI13" s="1027"/>
      <c r="CJ13" s="1025"/>
      <c r="CK13" s="1024">
        <f>CK11+CK12</f>
        <v>34521238</v>
      </c>
      <c r="CL13" s="1024"/>
      <c r="CM13" s="1024"/>
      <c r="CN13" s="1024"/>
      <c r="CO13" s="1024"/>
      <c r="CP13" s="1025">
        <f>CP11+CP12</f>
        <v>82936307</v>
      </c>
      <c r="CQ13" s="1026"/>
      <c r="CR13" s="1026"/>
      <c r="CS13" s="1026"/>
      <c r="CT13" s="1026"/>
      <c r="CU13" s="1033">
        <v>33125150</v>
      </c>
      <c r="CV13" s="1033"/>
      <c r="CW13" s="1033"/>
      <c r="CX13" s="1033"/>
      <c r="CY13" s="1031">
        <f>CY11</f>
        <v>42769350</v>
      </c>
      <c r="CZ13" s="1031"/>
      <c r="DA13" s="1031"/>
      <c r="DB13" s="1031"/>
      <c r="DC13" s="1057">
        <f>SUM(DC11:DC12)</f>
        <v>29424348</v>
      </c>
      <c r="DD13" s="1058"/>
      <c r="DE13" s="1058"/>
      <c r="DF13" s="1058"/>
      <c r="DG13" s="1061"/>
      <c r="DH13" s="1057">
        <f>SUM(DH11:DK12)</f>
        <v>42601932</v>
      </c>
      <c r="DI13" s="1058"/>
      <c r="DJ13" s="1058"/>
      <c r="DK13" s="1058"/>
      <c r="DL13" s="957"/>
      <c r="DM13" s="957"/>
      <c r="DN13" s="957"/>
      <c r="DO13" s="957"/>
      <c r="DP13" s="957"/>
      <c r="DQ13" s="957"/>
      <c r="DR13" s="957"/>
      <c r="DS13" s="957"/>
      <c r="DT13" s="957"/>
      <c r="DU13" s="957"/>
      <c r="DV13" s="957"/>
      <c r="DW13" s="957"/>
      <c r="DX13" s="1057">
        <v>63386797</v>
      </c>
      <c r="DY13" s="1058"/>
      <c r="DZ13" s="1058"/>
      <c r="EA13" s="1058"/>
      <c r="EB13" s="1061"/>
      <c r="EC13" s="1057" t="str">
        <f>+EC11</f>
        <v>51.292.610.</v>
      </c>
      <c r="ED13" s="1058"/>
      <c r="EE13" s="1058"/>
      <c r="EF13" s="1061"/>
      <c r="EG13" s="957"/>
      <c r="EH13" s="957"/>
      <c r="EI13" s="957"/>
      <c r="EJ13" s="957"/>
      <c r="EK13" s="957"/>
      <c r="EL13" s="1151">
        <v>52954007</v>
      </c>
      <c r="EM13" s="1152"/>
      <c r="EN13" s="1152"/>
      <c r="EO13" s="1153"/>
      <c r="EP13" s="1151">
        <v>68293983</v>
      </c>
      <c r="EQ13" s="1152"/>
      <c r="ER13" s="1152"/>
      <c r="ES13" s="1153"/>
      <c r="ET13" s="972"/>
      <c r="EU13" s="972"/>
      <c r="EV13" s="956"/>
      <c r="EW13" s="956"/>
      <c r="EX13" s="956"/>
      <c r="EY13" s="956"/>
      <c r="EZ13" s="956"/>
      <c r="FA13" s="956"/>
      <c r="FB13" s="956"/>
      <c r="FC13" s="956"/>
      <c r="FD13" s="956"/>
      <c r="FE13" s="956"/>
      <c r="FF13" s="956"/>
      <c r="FG13" s="956"/>
      <c r="FH13" s="956"/>
      <c r="FI13" s="956"/>
      <c r="FJ13" s="956"/>
      <c r="FK13" s="956"/>
      <c r="FL13" s="956"/>
      <c r="FM13" s="956"/>
      <c r="FN13" s="956"/>
      <c r="FO13" s="956" t="s">
        <v>664</v>
      </c>
      <c r="FP13" s="1144"/>
      <c r="FQ13" s="1145"/>
      <c r="FR13" s="1145"/>
      <c r="FS13" s="1145"/>
      <c r="FT13" s="1146"/>
      <c r="FU13" s="1144"/>
      <c r="FV13" s="1145"/>
      <c r="FW13" s="1146"/>
      <c r="FX13" s="1147"/>
      <c r="FY13" s="1148"/>
      <c r="FZ13" s="1148"/>
      <c r="GA13" s="1148"/>
      <c r="GB13" s="1149"/>
      <c r="GC13" s="956"/>
      <c r="GD13" s="956"/>
      <c r="GE13" s="956"/>
      <c r="GF13" s="956"/>
      <c r="GG13" s="956"/>
      <c r="GH13" s="956"/>
      <c r="GI13" s="956"/>
      <c r="GJ13" s="956"/>
      <c r="GK13" s="956"/>
      <c r="GL13" s="956"/>
      <c r="GM13" s="956"/>
      <c r="GN13" s="956"/>
      <c r="GO13" s="956"/>
      <c r="GP13" s="956"/>
      <c r="GQ13" s="956"/>
      <c r="GR13" s="956"/>
      <c r="GS13" s="956"/>
      <c r="GT13" s="956"/>
      <c r="GU13" s="956"/>
      <c r="GV13" s="956"/>
      <c r="GW13" s="956"/>
      <c r="GX13" s="956"/>
      <c r="GY13" s="956"/>
      <c r="GZ13" s="956"/>
      <c r="HA13" s="956"/>
      <c r="HB13" s="956"/>
      <c r="HC13" s="956"/>
      <c r="HD13" s="956"/>
      <c r="HE13" s="956"/>
      <c r="HF13" s="956"/>
      <c r="HG13" s="956"/>
      <c r="HH13" s="956"/>
      <c r="HI13" s="956"/>
      <c r="HJ13" s="956"/>
      <c r="HK13" s="956"/>
      <c r="HL13" s="956"/>
      <c r="HM13" s="956"/>
      <c r="HN13" s="956"/>
      <c r="HO13" s="956"/>
      <c r="HP13" s="956"/>
      <c r="HQ13" s="956"/>
      <c r="HR13" s="956"/>
      <c r="HS13" s="956"/>
      <c r="HT13" s="956"/>
      <c r="HU13" s="956"/>
      <c r="HV13" s="956"/>
      <c r="HW13" s="956"/>
      <c r="HX13" s="956"/>
      <c r="HY13" s="956"/>
      <c r="HZ13" s="956"/>
      <c r="IA13" s="956"/>
      <c r="IB13" s="956"/>
      <c r="IC13" s="956"/>
      <c r="ID13" s="956"/>
      <c r="IE13" s="956"/>
      <c r="IF13" s="956"/>
      <c r="IG13" s="956"/>
      <c r="IH13" s="956"/>
      <c r="II13" s="956"/>
      <c r="IJ13" s="956"/>
      <c r="IK13" s="956"/>
      <c r="IL13" s="956"/>
      <c r="IM13" s="956"/>
      <c r="IN13" s="956"/>
      <c r="IO13" s="956"/>
      <c r="IP13" s="956"/>
      <c r="IQ13" s="956"/>
      <c r="IR13" s="956"/>
      <c r="IS13" s="956"/>
      <c r="IT13" s="956"/>
      <c r="IU13" s="956"/>
      <c r="IV13" s="956"/>
      <c r="IW13" s="956"/>
      <c r="IX13" s="956"/>
      <c r="IY13" s="956"/>
      <c r="IZ13" s="956"/>
      <c r="JA13" s="956"/>
      <c r="JB13" s="956"/>
      <c r="JC13" s="956"/>
      <c r="JD13" s="956"/>
      <c r="JE13" s="956"/>
      <c r="JF13" s="956"/>
      <c r="JG13" s="956"/>
      <c r="JH13" s="956"/>
      <c r="JI13" s="956"/>
      <c r="JJ13" s="956"/>
      <c r="JK13" s="956"/>
      <c r="JL13" s="956"/>
      <c r="JM13" s="956"/>
      <c r="JN13" s="956"/>
      <c r="JO13" s="956"/>
      <c r="JP13" s="956"/>
      <c r="JQ13" s="956"/>
      <c r="JR13" s="956"/>
      <c r="JS13" s="956"/>
      <c r="JT13" s="956"/>
      <c r="JU13" s="956"/>
      <c r="JV13" s="956"/>
      <c r="JW13" s="956"/>
      <c r="JX13" s="956"/>
      <c r="JY13" s="956"/>
      <c r="JZ13" s="956"/>
      <c r="KA13" s="956"/>
      <c r="KB13" s="956"/>
      <c r="KC13" s="956"/>
      <c r="KD13" s="956"/>
      <c r="KE13" s="956"/>
      <c r="KF13" s="956"/>
      <c r="KG13" s="956"/>
      <c r="KH13" s="956"/>
      <c r="KI13" s="956"/>
      <c r="KJ13" s="956"/>
      <c r="KK13" s="956"/>
      <c r="KL13" s="956"/>
      <c r="KM13" s="956"/>
      <c r="KN13" s="956"/>
      <c r="KO13" s="956"/>
      <c r="KP13" s="956"/>
      <c r="KQ13" s="956"/>
      <c r="KR13" s="956"/>
      <c r="KS13" s="956"/>
      <c r="KT13" s="956"/>
      <c r="KU13" s="956"/>
      <c r="KV13" s="956"/>
      <c r="KW13" s="956"/>
      <c r="KX13" s="956"/>
      <c r="KY13" s="956"/>
      <c r="KZ13" s="956"/>
      <c r="LA13" s="956"/>
      <c r="LB13" s="956"/>
      <c r="LC13" s="956"/>
      <c r="LD13" s="956"/>
      <c r="LE13" s="956"/>
      <c r="LF13" s="956"/>
      <c r="LG13" s="956"/>
      <c r="LH13" s="956"/>
      <c r="LI13" s="956"/>
      <c r="LJ13" s="956"/>
      <c r="LK13" s="956"/>
      <c r="LL13" s="956"/>
      <c r="LM13" s="956"/>
      <c r="LN13" s="956"/>
      <c r="LO13" s="956"/>
      <c r="LP13" s="956"/>
      <c r="LQ13" s="956"/>
      <c r="LR13" s="956"/>
      <c r="LS13" s="956"/>
      <c r="LT13" s="956"/>
      <c r="LU13" s="956"/>
      <c r="LV13" s="956"/>
      <c r="LW13" s="956"/>
      <c r="LX13" s="956"/>
      <c r="LY13" s="956"/>
      <c r="LZ13" s="956"/>
      <c r="MA13" s="956"/>
      <c r="MB13" s="956"/>
      <c r="MC13" s="956"/>
      <c r="MD13" s="956"/>
      <c r="ME13" s="956"/>
      <c r="MF13" s="956"/>
      <c r="MG13" s="956"/>
      <c r="MH13" s="956"/>
      <c r="MI13" s="956"/>
      <c r="MJ13" s="956"/>
      <c r="MK13" s="956"/>
      <c r="ML13" s="956"/>
      <c r="MM13" s="956"/>
      <c r="MN13" s="956"/>
      <c r="MO13" s="956"/>
      <c r="MP13" s="956"/>
      <c r="MQ13" s="956"/>
      <c r="MR13" s="956"/>
      <c r="MS13" s="956"/>
      <c r="MT13" s="956"/>
      <c r="MU13" s="956"/>
      <c r="MV13" s="956"/>
      <c r="MW13" s="956"/>
      <c r="MX13" s="956"/>
      <c r="MY13" s="956"/>
      <c r="MZ13" s="956"/>
      <c r="NA13" s="956"/>
      <c r="NB13" s="956"/>
      <c r="NC13" s="956"/>
      <c r="ND13" s="956"/>
      <c r="NE13" s="956"/>
      <c r="NF13" s="956"/>
      <c r="NG13" s="956"/>
      <c r="NH13" s="956"/>
      <c r="NI13" s="956"/>
      <c r="NJ13" s="956"/>
      <c r="NK13" s="956"/>
      <c r="NL13" s="956"/>
      <c r="NM13" s="956"/>
      <c r="NN13" s="956"/>
      <c r="NO13" s="956"/>
      <c r="NP13" s="956"/>
      <c r="NQ13" s="956"/>
      <c r="NR13" s="956"/>
      <c r="NS13" s="956"/>
      <c r="NT13" s="956"/>
      <c r="NU13" s="956"/>
      <c r="NV13" s="956"/>
      <c r="NW13" s="956"/>
      <c r="NX13" s="956"/>
      <c r="NY13" s="956"/>
      <c r="NZ13" s="956"/>
      <c r="OA13" s="956"/>
      <c r="OB13" s="956"/>
      <c r="OC13" s="956"/>
      <c r="OD13" s="956"/>
      <c r="OE13" s="956"/>
      <c r="OF13" s="956"/>
      <c r="OG13" s="956"/>
      <c r="OH13" s="956"/>
      <c r="OI13" s="956"/>
      <c r="OJ13" s="956"/>
      <c r="OK13" s="956"/>
      <c r="OL13" s="956"/>
      <c r="OM13" s="956"/>
      <c r="ON13" s="956"/>
      <c r="OO13" s="956"/>
      <c r="OP13" s="956"/>
      <c r="OQ13" s="956"/>
      <c r="OR13" s="956"/>
      <c r="OS13" s="956"/>
      <c r="OT13" s="956"/>
      <c r="OU13" s="956"/>
      <c r="OV13" s="956"/>
      <c r="OW13" s="956"/>
      <c r="OX13" s="956"/>
      <c r="OY13" s="956"/>
      <c r="OZ13" s="956"/>
      <c r="PA13" s="956"/>
      <c r="PB13" s="956"/>
      <c r="PC13" s="956"/>
      <c r="PD13" s="956"/>
      <c r="PE13" s="956"/>
      <c r="PF13" s="956"/>
      <c r="PG13" s="956"/>
      <c r="PH13" s="956"/>
      <c r="PI13" s="956"/>
      <c r="PJ13" s="956"/>
      <c r="PK13" s="956"/>
      <c r="PL13" s="956"/>
      <c r="PM13" s="956"/>
      <c r="PN13" s="956"/>
      <c r="PO13" s="956"/>
      <c r="PP13" s="956"/>
      <c r="PQ13" s="956"/>
      <c r="PR13" s="956"/>
      <c r="PS13" s="956"/>
      <c r="PT13" s="956"/>
      <c r="PU13" s="956"/>
      <c r="PV13" s="956"/>
      <c r="PW13" s="956"/>
      <c r="PX13" s="956"/>
      <c r="PY13" s="956"/>
      <c r="PZ13" s="956"/>
      <c r="QA13" s="956"/>
      <c r="QB13" s="956"/>
      <c r="QC13" s="956"/>
      <c r="QD13" s="956"/>
      <c r="QE13" s="956"/>
      <c r="QF13" s="956"/>
      <c r="QG13" s="956"/>
    </row>
    <row r="14" spans="1:449" s="773" customFormat="1" ht="72" x14ac:dyDescent="0.2">
      <c r="A14" s="937" t="s">
        <v>751</v>
      </c>
      <c r="B14" s="977" t="s">
        <v>1481</v>
      </c>
      <c r="C14" s="768" t="s">
        <v>752</v>
      </c>
      <c r="D14" s="768" t="s">
        <v>752</v>
      </c>
      <c r="E14" s="768" t="s">
        <v>752</v>
      </c>
      <c r="F14" s="768" t="s">
        <v>752</v>
      </c>
      <c r="G14" s="769" t="s">
        <v>752</v>
      </c>
      <c r="H14" s="769" t="s">
        <v>752</v>
      </c>
      <c r="I14" s="769" t="s">
        <v>752</v>
      </c>
      <c r="J14" s="769" t="s">
        <v>752</v>
      </c>
      <c r="K14" s="769" t="s">
        <v>752</v>
      </c>
      <c r="L14" s="769" t="s">
        <v>752</v>
      </c>
      <c r="M14" s="769" t="s">
        <v>752</v>
      </c>
      <c r="N14" s="769" t="s">
        <v>752</v>
      </c>
      <c r="O14" s="769" t="s">
        <v>753</v>
      </c>
      <c r="P14" s="769" t="s">
        <v>753</v>
      </c>
      <c r="Q14" s="769" t="s">
        <v>752</v>
      </c>
      <c r="R14" s="769" t="s">
        <v>752</v>
      </c>
      <c r="S14" s="769" t="s">
        <v>752</v>
      </c>
      <c r="T14" s="769" t="s">
        <v>752</v>
      </c>
      <c r="U14" s="769" t="s">
        <v>752</v>
      </c>
      <c r="V14" s="769" t="s">
        <v>752</v>
      </c>
      <c r="W14" s="770" t="s">
        <v>752</v>
      </c>
      <c r="X14" s="770" t="s">
        <v>752</v>
      </c>
      <c r="Y14" s="770" t="s">
        <v>752</v>
      </c>
      <c r="Z14" s="770" t="s">
        <v>752</v>
      </c>
      <c r="AA14" s="770" t="s">
        <v>752</v>
      </c>
      <c r="AB14" s="771" t="s">
        <v>752</v>
      </c>
      <c r="AC14" s="771" t="s">
        <v>752</v>
      </c>
      <c r="AD14" s="771" t="s">
        <v>752</v>
      </c>
      <c r="AE14" s="771" t="s">
        <v>754</v>
      </c>
      <c r="AF14" s="770" t="s">
        <v>752</v>
      </c>
      <c r="AG14" s="770" t="s">
        <v>752</v>
      </c>
      <c r="AH14" s="770" t="s">
        <v>752</v>
      </c>
      <c r="AI14" s="770" t="s">
        <v>752</v>
      </c>
      <c r="AJ14" s="770" t="s">
        <v>752</v>
      </c>
      <c r="AK14" s="771" t="s">
        <v>752</v>
      </c>
      <c r="AL14" s="771" t="s">
        <v>755</v>
      </c>
      <c r="AM14" s="771" t="s">
        <v>755</v>
      </c>
      <c r="AN14" s="771" t="s">
        <v>755</v>
      </c>
      <c r="AO14" s="770" t="s">
        <v>752</v>
      </c>
      <c r="AP14" s="770" t="s">
        <v>752</v>
      </c>
      <c r="AQ14" s="770" t="s">
        <v>752</v>
      </c>
      <c r="AR14" s="770" t="s">
        <v>752</v>
      </c>
      <c r="AS14" s="770" t="s">
        <v>752</v>
      </c>
      <c r="AT14" s="771" t="s">
        <v>752</v>
      </c>
      <c r="AU14" s="771" t="s">
        <v>752</v>
      </c>
      <c r="AV14" s="771" t="s">
        <v>752</v>
      </c>
      <c r="AW14" s="771" t="s">
        <v>752</v>
      </c>
      <c r="AX14" s="770" t="s">
        <v>756</v>
      </c>
      <c r="AY14" s="770" t="s">
        <v>756</v>
      </c>
      <c r="AZ14" s="770" t="s">
        <v>756</v>
      </c>
      <c r="BA14" s="770" t="s">
        <v>756</v>
      </c>
      <c r="BB14" s="771" t="s">
        <v>756</v>
      </c>
      <c r="BC14" s="771" t="s">
        <v>756</v>
      </c>
      <c r="BD14" s="771" t="s">
        <v>756</v>
      </c>
      <c r="BE14" s="771" t="s">
        <v>756</v>
      </c>
      <c r="BF14" s="771" t="s">
        <v>756</v>
      </c>
      <c r="BG14" s="770" t="s">
        <v>756</v>
      </c>
      <c r="BH14" s="770" t="s">
        <v>756</v>
      </c>
      <c r="BI14" s="770" t="s">
        <v>756</v>
      </c>
      <c r="BJ14" s="770" t="s">
        <v>756</v>
      </c>
      <c r="BK14" s="770" t="s">
        <v>756</v>
      </c>
      <c r="BL14" s="770" t="s">
        <v>756</v>
      </c>
      <c r="BM14" s="770" t="s">
        <v>756</v>
      </c>
      <c r="BN14" s="770" t="s">
        <v>756</v>
      </c>
      <c r="BO14" s="772" t="s">
        <v>756</v>
      </c>
      <c r="BP14" s="772" t="s">
        <v>756</v>
      </c>
      <c r="BQ14" s="772" t="s">
        <v>756</v>
      </c>
      <c r="BR14" s="772" t="s">
        <v>756</v>
      </c>
      <c r="BS14" s="772" t="s">
        <v>756</v>
      </c>
      <c r="BT14" s="772" t="s">
        <v>756</v>
      </c>
      <c r="BU14" s="772" t="s">
        <v>756</v>
      </c>
      <c r="BV14" s="772" t="s">
        <v>756</v>
      </c>
      <c r="BW14" s="772" t="s">
        <v>756</v>
      </c>
      <c r="BX14" s="772" t="s">
        <v>756</v>
      </c>
      <c r="BY14" s="772" t="s">
        <v>756</v>
      </c>
      <c r="BZ14" s="772" t="s">
        <v>756</v>
      </c>
      <c r="CA14" s="772"/>
      <c r="CB14" s="772" t="s">
        <v>968</v>
      </c>
      <c r="CC14" s="821" t="s">
        <v>949</v>
      </c>
      <c r="CD14" s="821" t="s">
        <v>971</v>
      </c>
      <c r="CE14" s="821" t="s">
        <v>955</v>
      </c>
      <c r="CF14" s="824"/>
      <c r="CG14" s="824"/>
      <c r="CH14" s="824"/>
      <c r="CI14" s="824"/>
      <c r="CJ14" s="828" t="s">
        <v>967</v>
      </c>
      <c r="CK14" s="828" t="s">
        <v>969</v>
      </c>
      <c r="CL14" s="828" t="s">
        <v>972</v>
      </c>
      <c r="CM14" s="828" t="s">
        <v>970</v>
      </c>
      <c r="CN14" s="828" t="s">
        <v>1002</v>
      </c>
      <c r="CO14" s="828" t="s">
        <v>1009</v>
      </c>
      <c r="CP14" s="828" t="s">
        <v>1010</v>
      </c>
      <c r="CQ14" s="866" t="s">
        <v>1008</v>
      </c>
      <c r="CR14" s="828" t="s">
        <v>1003</v>
      </c>
      <c r="CS14" s="828" t="s">
        <v>1023</v>
      </c>
      <c r="CT14" s="828"/>
      <c r="CU14" s="828" t="s">
        <v>1022</v>
      </c>
      <c r="CV14" s="828" t="s">
        <v>1037</v>
      </c>
      <c r="CW14" s="828" t="s">
        <v>1034</v>
      </c>
      <c r="CX14" s="828" t="s">
        <v>1050</v>
      </c>
      <c r="CY14" s="828" t="s">
        <v>1051</v>
      </c>
      <c r="CZ14" s="874" t="s">
        <v>1052</v>
      </c>
      <c r="DA14" s="880" t="s">
        <v>1064</v>
      </c>
      <c r="DB14" s="874" t="s">
        <v>1081</v>
      </c>
      <c r="DC14" s="884" t="s">
        <v>1080</v>
      </c>
      <c r="DD14" s="884" t="s">
        <v>1082</v>
      </c>
      <c r="DE14" s="884" t="s">
        <v>1086</v>
      </c>
      <c r="DF14" s="884" t="s">
        <v>1085</v>
      </c>
      <c r="DG14" s="884" t="s">
        <v>1087</v>
      </c>
      <c r="DH14" s="884" t="s">
        <v>1095</v>
      </c>
      <c r="DI14" s="884" t="s">
        <v>1128</v>
      </c>
      <c r="DJ14" s="884" t="s">
        <v>1096</v>
      </c>
      <c r="DK14" s="884" t="s">
        <v>1129</v>
      </c>
      <c r="DL14" s="884" t="s">
        <v>1121</v>
      </c>
      <c r="DM14" s="884" t="s">
        <v>1139</v>
      </c>
      <c r="DN14" s="884"/>
      <c r="DO14" s="884"/>
      <c r="DP14" s="884"/>
      <c r="DQ14" s="884"/>
      <c r="DR14" s="884"/>
      <c r="DS14" s="884" t="s">
        <v>1210</v>
      </c>
      <c r="DT14" s="884" t="s">
        <v>1190</v>
      </c>
      <c r="DU14" s="874" t="s">
        <v>1222</v>
      </c>
      <c r="DV14" s="874" t="s">
        <v>1220</v>
      </c>
      <c r="DW14" s="874" t="s">
        <v>1221</v>
      </c>
      <c r="DX14" s="874" t="s">
        <v>1240</v>
      </c>
      <c r="DY14" s="874" t="s">
        <v>1241</v>
      </c>
      <c r="DZ14" s="874" t="s">
        <v>1255</v>
      </c>
      <c r="EA14" s="874"/>
      <c r="EB14" s="874" t="s">
        <v>1324</v>
      </c>
      <c r="EC14" s="874" t="s">
        <v>1325</v>
      </c>
      <c r="ED14" s="874"/>
      <c r="EE14" s="874" t="s">
        <v>1326</v>
      </c>
      <c r="EF14" s="874" t="s">
        <v>1354</v>
      </c>
      <c r="EG14" s="874" t="s">
        <v>1354</v>
      </c>
      <c r="EH14" s="874" t="s">
        <v>1414</v>
      </c>
      <c r="EI14" s="874" t="s">
        <v>1415</v>
      </c>
      <c r="EJ14" s="874" t="s">
        <v>1416</v>
      </c>
      <c r="EK14" s="874" t="s">
        <v>1451</v>
      </c>
      <c r="EL14" s="874" t="s">
        <v>1449</v>
      </c>
      <c r="EM14" s="874" t="s">
        <v>1450</v>
      </c>
      <c r="EN14" s="874" t="s">
        <v>1449</v>
      </c>
      <c r="EO14" s="874" t="s">
        <v>1449</v>
      </c>
      <c r="EP14" s="874" t="s">
        <v>1449</v>
      </c>
      <c r="EQ14" s="874" t="s">
        <v>1449</v>
      </c>
      <c r="ER14" s="874" t="s">
        <v>1449</v>
      </c>
      <c r="ES14" s="874" t="s">
        <v>1449</v>
      </c>
      <c r="ET14" s="874" t="s">
        <v>1454</v>
      </c>
      <c r="EU14" s="874"/>
      <c r="EV14" s="896"/>
      <c r="EW14" s="896"/>
      <c r="EX14" s="896"/>
      <c r="EY14" s="896"/>
      <c r="EZ14" s="896"/>
      <c r="FA14" s="896"/>
      <c r="FB14" s="896"/>
      <c r="FC14" s="896"/>
      <c r="FD14" s="896"/>
      <c r="FE14" s="896"/>
      <c r="FF14" s="896"/>
      <c r="FG14" s="896"/>
      <c r="FH14" s="896"/>
      <c r="FI14" s="896"/>
      <c r="FJ14" s="896"/>
      <c r="FK14" s="896"/>
      <c r="FL14" s="896"/>
      <c r="FM14" s="896"/>
      <c r="FN14" s="896"/>
      <c r="FO14" s="896"/>
      <c r="FP14" s="896"/>
      <c r="FQ14" s="896"/>
      <c r="FR14" s="933" t="s">
        <v>1496</v>
      </c>
      <c r="FS14" s="896"/>
      <c r="FT14" s="896"/>
      <c r="FU14" s="896"/>
      <c r="FV14" s="896"/>
      <c r="FW14" s="896"/>
      <c r="FX14" s="896"/>
      <c r="FY14" s="896"/>
      <c r="FZ14" s="896"/>
      <c r="GA14" s="896"/>
      <c r="GB14" s="896"/>
      <c r="GC14" s="896"/>
      <c r="GD14" s="896"/>
      <c r="GE14" s="896"/>
      <c r="GF14" s="896"/>
      <c r="GG14" s="896"/>
      <c r="GH14" s="896"/>
      <c r="GI14" s="896"/>
      <c r="GJ14" s="896"/>
      <c r="GK14" s="896"/>
      <c r="GL14" s="896"/>
      <c r="GM14" s="896"/>
      <c r="GN14" s="896"/>
      <c r="GO14" s="896"/>
      <c r="GP14" s="896"/>
      <c r="GQ14" s="896"/>
      <c r="GR14" s="896"/>
      <c r="GS14" s="896"/>
      <c r="GT14" s="896"/>
      <c r="GU14" s="896"/>
      <c r="GV14" s="896"/>
      <c r="GW14" s="896"/>
      <c r="GX14" s="896"/>
      <c r="GY14" s="896"/>
      <c r="GZ14" s="896"/>
      <c r="HA14" s="896"/>
      <c r="HB14" s="896"/>
      <c r="HC14" s="896"/>
      <c r="HD14" s="896"/>
      <c r="HE14" s="896"/>
      <c r="HF14" s="896"/>
      <c r="HG14" s="896"/>
      <c r="HH14" s="896"/>
      <c r="HI14" s="896"/>
      <c r="HJ14" s="896"/>
      <c r="HK14" s="896"/>
      <c r="HL14" s="896"/>
      <c r="HM14" s="896"/>
      <c r="HN14" s="896"/>
      <c r="HO14" s="896"/>
      <c r="HP14" s="896"/>
      <c r="HQ14" s="896"/>
      <c r="HR14" s="896"/>
      <c r="HS14" s="896"/>
      <c r="HT14" s="896"/>
      <c r="HU14" s="896"/>
      <c r="HV14" s="896"/>
      <c r="HW14" s="896"/>
      <c r="HX14" s="896"/>
      <c r="HY14" s="896"/>
      <c r="HZ14" s="896"/>
      <c r="IA14" s="896"/>
      <c r="IB14" s="896"/>
      <c r="IC14" s="896"/>
      <c r="ID14" s="896"/>
      <c r="IE14" s="896"/>
      <c r="IF14" s="896"/>
      <c r="IG14" s="896"/>
      <c r="IH14" s="896"/>
      <c r="II14" s="896"/>
      <c r="IJ14" s="896"/>
      <c r="IK14" s="896"/>
      <c r="IL14" s="896"/>
      <c r="IM14" s="896"/>
      <c r="IN14" s="896"/>
      <c r="IO14" s="896"/>
      <c r="IP14" s="896"/>
      <c r="IQ14" s="896"/>
      <c r="IR14" s="896"/>
      <c r="IS14" s="896"/>
      <c r="IT14" s="896"/>
      <c r="IU14" s="896"/>
      <c r="IV14" s="896"/>
      <c r="IW14" s="896"/>
      <c r="IX14" s="896"/>
      <c r="IY14" s="896"/>
      <c r="IZ14" s="896"/>
      <c r="JA14" s="896"/>
      <c r="JB14" s="896"/>
      <c r="JC14" s="896"/>
      <c r="JD14" s="896"/>
      <c r="JE14" s="896"/>
      <c r="JF14" s="896"/>
      <c r="JG14" s="896"/>
      <c r="JH14" s="896"/>
      <c r="JI14" s="896"/>
      <c r="JJ14" s="896"/>
      <c r="JK14" s="896"/>
      <c r="JL14" s="896"/>
      <c r="JM14" s="896"/>
      <c r="JN14" s="896"/>
      <c r="JO14" s="896"/>
      <c r="JP14" s="896"/>
      <c r="JQ14" s="896"/>
      <c r="JR14" s="896"/>
      <c r="JS14" s="896"/>
      <c r="JT14" s="896"/>
      <c r="JU14" s="896"/>
      <c r="JV14" s="896"/>
      <c r="JW14" s="896"/>
      <c r="JX14" s="896"/>
      <c r="JY14" s="896"/>
      <c r="JZ14" s="896"/>
      <c r="KA14" s="896"/>
      <c r="KB14" s="896"/>
      <c r="KC14" s="896"/>
      <c r="KD14" s="896"/>
      <c r="KE14" s="896"/>
      <c r="KF14" s="896"/>
      <c r="KG14" s="896"/>
      <c r="KH14" s="896"/>
      <c r="KI14" s="896"/>
      <c r="KJ14" s="896"/>
      <c r="KK14" s="896"/>
      <c r="KL14" s="896"/>
      <c r="KM14" s="896"/>
      <c r="KN14" s="896"/>
      <c r="KO14" s="896"/>
      <c r="KP14" s="896"/>
      <c r="KQ14" s="896"/>
      <c r="KR14" s="896"/>
      <c r="KS14" s="896"/>
      <c r="KT14" s="896"/>
      <c r="KU14" s="896"/>
      <c r="KV14" s="896"/>
      <c r="KW14" s="896"/>
      <c r="KX14" s="896"/>
      <c r="KY14" s="896"/>
      <c r="KZ14" s="896"/>
      <c r="LA14" s="896"/>
      <c r="LB14" s="896"/>
      <c r="LC14" s="896"/>
      <c r="LD14" s="896"/>
      <c r="LE14" s="896"/>
      <c r="LF14" s="896"/>
      <c r="LG14" s="896"/>
      <c r="LH14" s="896"/>
      <c r="LI14" s="896"/>
      <c r="LJ14" s="896"/>
      <c r="LK14" s="896"/>
      <c r="LL14" s="896"/>
      <c r="LM14" s="896"/>
      <c r="LN14" s="896"/>
      <c r="LO14" s="896"/>
      <c r="LP14" s="896"/>
      <c r="LQ14" s="896"/>
      <c r="LR14" s="896"/>
      <c r="LS14" s="896"/>
      <c r="LT14" s="896"/>
      <c r="LU14" s="896"/>
      <c r="LV14" s="896"/>
      <c r="LW14" s="896"/>
      <c r="LX14" s="896"/>
      <c r="LY14" s="896"/>
      <c r="LZ14" s="896"/>
      <c r="MA14" s="896"/>
      <c r="MB14" s="896"/>
      <c r="MC14" s="896"/>
      <c r="MD14" s="896"/>
      <c r="ME14" s="896"/>
      <c r="MF14" s="896"/>
      <c r="MG14" s="896"/>
      <c r="MH14" s="896"/>
      <c r="MI14" s="896"/>
      <c r="MJ14" s="896"/>
      <c r="MK14" s="896"/>
      <c r="ML14" s="896"/>
      <c r="MM14" s="896"/>
      <c r="MN14" s="896"/>
      <c r="MO14" s="896"/>
      <c r="MP14" s="896"/>
      <c r="MQ14" s="896"/>
      <c r="MR14" s="896"/>
      <c r="MS14" s="896"/>
      <c r="MT14" s="896"/>
      <c r="MU14" s="896"/>
      <c r="MV14" s="896"/>
      <c r="MW14" s="896"/>
      <c r="MX14" s="896"/>
      <c r="MY14" s="896"/>
      <c r="MZ14" s="896"/>
      <c r="NA14" s="896"/>
      <c r="NB14" s="896"/>
      <c r="NC14" s="896"/>
      <c r="ND14" s="896"/>
      <c r="NE14" s="896"/>
      <c r="NF14" s="896"/>
      <c r="NG14" s="896"/>
      <c r="NH14" s="896"/>
      <c r="NI14" s="896"/>
      <c r="NJ14" s="896"/>
      <c r="NK14" s="896"/>
      <c r="NL14" s="896"/>
      <c r="NM14" s="896"/>
      <c r="NN14" s="896"/>
      <c r="NO14" s="896"/>
      <c r="NP14" s="896"/>
      <c r="NQ14" s="896"/>
      <c r="NR14" s="896"/>
      <c r="NS14" s="896"/>
      <c r="NT14" s="896"/>
      <c r="NU14" s="896"/>
      <c r="NV14" s="896"/>
      <c r="NW14" s="896"/>
      <c r="NX14" s="896"/>
      <c r="NY14" s="896"/>
      <c r="NZ14" s="896"/>
      <c r="OA14" s="896"/>
      <c r="OB14" s="896"/>
      <c r="OC14" s="896"/>
      <c r="OD14" s="896"/>
      <c r="OE14" s="896"/>
      <c r="OF14" s="896"/>
      <c r="OG14" s="896"/>
      <c r="OH14" s="896"/>
      <c r="OI14" s="896"/>
      <c r="OJ14" s="896"/>
      <c r="OK14" s="896"/>
      <c r="OL14" s="896"/>
      <c r="OM14" s="896"/>
      <c r="ON14" s="896"/>
      <c r="OO14" s="896"/>
      <c r="OP14" s="896"/>
      <c r="OQ14" s="896"/>
      <c r="OR14" s="896"/>
      <c r="OS14" s="896"/>
      <c r="OT14" s="896"/>
      <c r="OU14" s="896"/>
      <c r="OV14" s="896"/>
      <c r="OW14" s="896"/>
      <c r="OX14" s="896"/>
      <c r="OY14" s="896"/>
      <c r="OZ14" s="896"/>
      <c r="PA14" s="896"/>
      <c r="PB14" s="896"/>
      <c r="PC14" s="896"/>
      <c r="PD14" s="896"/>
      <c r="PE14" s="896"/>
      <c r="PF14" s="896"/>
      <c r="PG14" s="896"/>
      <c r="PH14" s="896"/>
      <c r="PI14" s="896"/>
      <c r="PJ14" s="896"/>
      <c r="PK14" s="896"/>
      <c r="PL14" s="896"/>
      <c r="PM14" s="896"/>
      <c r="PN14" s="896"/>
      <c r="PO14" s="896"/>
      <c r="PP14" s="896"/>
      <c r="PQ14" s="896"/>
      <c r="PR14" s="896"/>
      <c r="PS14" s="896"/>
      <c r="PT14" s="896"/>
      <c r="PU14" s="896"/>
      <c r="PV14" s="896"/>
      <c r="PW14" s="896"/>
      <c r="PX14" s="896"/>
      <c r="PY14" s="896"/>
      <c r="PZ14" s="896"/>
      <c r="QA14" s="896"/>
      <c r="QB14" s="896"/>
      <c r="QC14" s="896"/>
      <c r="QD14" s="896"/>
      <c r="QE14" s="896"/>
      <c r="QF14" s="896"/>
      <c r="QG14" s="896"/>
    </row>
    <row r="15" spans="1:449" s="773" customFormat="1" ht="47.1" customHeight="1" x14ac:dyDescent="0.2">
      <c r="A15" s="938"/>
      <c r="B15" s="962" t="s">
        <v>1482</v>
      </c>
      <c r="C15" s="774" t="s">
        <v>752</v>
      </c>
      <c r="D15" s="774" t="s">
        <v>752</v>
      </c>
      <c r="E15" s="774" t="s">
        <v>752</v>
      </c>
      <c r="F15" s="774" t="s">
        <v>752</v>
      </c>
      <c r="G15" s="774" t="s">
        <v>752</v>
      </c>
      <c r="H15" s="774" t="s">
        <v>752</v>
      </c>
      <c r="I15" s="774" t="s">
        <v>752</v>
      </c>
      <c r="J15" s="774" t="s">
        <v>752</v>
      </c>
      <c r="K15" s="774" t="s">
        <v>752</v>
      </c>
      <c r="L15" s="774" t="s">
        <v>752</v>
      </c>
      <c r="M15" s="774" t="s">
        <v>752</v>
      </c>
      <c r="N15" s="771"/>
      <c r="O15" s="771"/>
      <c r="P15" s="771"/>
      <c r="Q15" s="771"/>
      <c r="R15" s="771"/>
      <c r="S15" s="771"/>
      <c r="T15" s="771"/>
      <c r="U15" s="771"/>
      <c r="V15" s="775" t="s">
        <v>752</v>
      </c>
      <c r="W15" s="775" t="s">
        <v>752</v>
      </c>
      <c r="X15" s="775" t="s">
        <v>752</v>
      </c>
      <c r="Y15" s="775" t="s">
        <v>752</v>
      </c>
      <c r="Z15" s="775" t="s">
        <v>752</v>
      </c>
      <c r="AA15" s="775" t="s">
        <v>752</v>
      </c>
      <c r="AB15" s="775" t="s">
        <v>752</v>
      </c>
      <c r="AC15" s="775" t="s">
        <v>752</v>
      </c>
      <c r="AD15" s="775" t="s">
        <v>752</v>
      </c>
      <c r="AE15" s="775" t="s">
        <v>752</v>
      </c>
      <c r="AF15" s="775" t="s">
        <v>752</v>
      </c>
      <c r="AG15" s="775" t="s">
        <v>752</v>
      </c>
      <c r="AH15" s="775" t="s">
        <v>752</v>
      </c>
      <c r="AI15" s="775" t="s">
        <v>752</v>
      </c>
      <c r="AJ15" s="775" t="s">
        <v>752</v>
      </c>
      <c r="AK15" s="775" t="s">
        <v>752</v>
      </c>
      <c r="AL15" s="775" t="s">
        <v>752</v>
      </c>
      <c r="AM15" s="775" t="s">
        <v>752</v>
      </c>
      <c r="AN15" s="771"/>
      <c r="AO15" s="776" t="s">
        <v>752</v>
      </c>
      <c r="AP15" s="776" t="s">
        <v>752</v>
      </c>
      <c r="AQ15" s="776" t="s">
        <v>752</v>
      </c>
      <c r="AR15" s="776" t="s">
        <v>752</v>
      </c>
      <c r="AS15" s="776" t="s">
        <v>752</v>
      </c>
      <c r="AT15" s="776" t="s">
        <v>752</v>
      </c>
      <c r="AU15" s="776" t="s">
        <v>752</v>
      </c>
      <c r="AV15" s="776" t="s">
        <v>752</v>
      </c>
      <c r="AW15" s="776" t="s">
        <v>752</v>
      </c>
      <c r="AX15" s="771"/>
      <c r="AY15" s="771"/>
      <c r="AZ15" s="771"/>
      <c r="BA15" s="771" t="s">
        <v>752</v>
      </c>
      <c r="BB15" s="771" t="s">
        <v>752</v>
      </c>
      <c r="BC15" s="771" t="s">
        <v>752</v>
      </c>
      <c r="BD15" s="771" t="s">
        <v>757</v>
      </c>
      <c r="BE15" s="771" t="s">
        <v>752</v>
      </c>
      <c r="BF15" s="771" t="s">
        <v>757</v>
      </c>
      <c r="BG15" s="771" t="s">
        <v>752</v>
      </c>
      <c r="BH15" s="771" t="s">
        <v>752</v>
      </c>
      <c r="BI15" s="771" t="s">
        <v>752</v>
      </c>
      <c r="BJ15" s="777" t="s">
        <v>752</v>
      </c>
      <c r="BK15" s="771" t="s">
        <v>752</v>
      </c>
      <c r="BL15" s="771" t="s">
        <v>752</v>
      </c>
      <c r="BM15" s="771" t="s">
        <v>752</v>
      </c>
      <c r="BN15" s="771" t="s">
        <v>752</v>
      </c>
      <c r="BO15" s="778" t="s">
        <v>752</v>
      </c>
      <c r="BP15" s="778"/>
      <c r="BQ15" s="778"/>
      <c r="BR15" s="778"/>
      <c r="BS15" s="778"/>
      <c r="BT15" s="778"/>
      <c r="BU15" s="778"/>
      <c r="BV15" s="778"/>
      <c r="BW15" s="778"/>
      <c r="BX15" s="778"/>
      <c r="BY15" s="778" t="s">
        <v>758</v>
      </c>
      <c r="BZ15" s="778" t="s">
        <v>759</v>
      </c>
      <c r="CA15" s="811" t="s">
        <v>757</v>
      </c>
      <c r="CB15" s="811" t="s">
        <v>757</v>
      </c>
      <c r="CC15" s="811" t="s">
        <v>757</v>
      </c>
      <c r="CD15" s="811" t="s">
        <v>757</v>
      </c>
      <c r="CE15" s="811" t="s">
        <v>757</v>
      </c>
      <c r="CF15" s="778" t="s">
        <v>758</v>
      </c>
      <c r="CG15" s="822" t="s">
        <v>752</v>
      </c>
      <c r="CH15" s="822" t="s">
        <v>752</v>
      </c>
      <c r="CI15" s="822" t="s">
        <v>752</v>
      </c>
      <c r="CJ15" s="822" t="s">
        <v>752</v>
      </c>
      <c r="CK15" s="822" t="s">
        <v>752</v>
      </c>
      <c r="CL15" s="822" t="s">
        <v>752</v>
      </c>
      <c r="CM15" s="822" t="s">
        <v>752</v>
      </c>
      <c r="CN15" s="822" t="s">
        <v>752</v>
      </c>
      <c r="CO15" s="822" t="s">
        <v>757</v>
      </c>
      <c r="CP15" s="822" t="s">
        <v>757</v>
      </c>
      <c r="CQ15" s="822" t="s">
        <v>757</v>
      </c>
      <c r="CR15" s="822" t="s">
        <v>757</v>
      </c>
      <c r="CS15" s="822" t="s">
        <v>752</v>
      </c>
      <c r="CT15" s="856" t="s">
        <v>757</v>
      </c>
      <c r="CU15" s="856" t="s">
        <v>757</v>
      </c>
      <c r="CV15" s="856" t="s">
        <v>757</v>
      </c>
      <c r="CW15" s="856" t="s">
        <v>752</v>
      </c>
      <c r="CX15" s="856" t="s">
        <v>757</v>
      </c>
      <c r="CY15" s="856" t="s">
        <v>757</v>
      </c>
      <c r="CZ15" s="911" t="s">
        <v>1059</v>
      </c>
      <c r="DA15" s="911"/>
      <c r="DB15" s="911"/>
      <c r="DC15" s="1059" t="s">
        <v>1083</v>
      </c>
      <c r="DD15" s="1060"/>
      <c r="DE15" s="1060"/>
      <c r="DF15" s="1060"/>
      <c r="DG15" s="1060"/>
      <c r="DH15" s="950"/>
      <c r="DI15" s="950"/>
      <c r="DJ15" s="950"/>
      <c r="DK15" s="1011" t="s">
        <v>1130</v>
      </c>
      <c r="DL15" s="1012"/>
      <c r="DM15" s="1012"/>
      <c r="DN15" s="1012"/>
      <c r="DO15" s="1012"/>
      <c r="DP15" s="1012"/>
      <c r="DQ15" s="1013"/>
      <c r="DR15" s="1011" t="s">
        <v>1177</v>
      </c>
      <c r="DS15" s="1012"/>
      <c r="DT15" s="1013"/>
      <c r="DU15" s="1011" t="s">
        <v>1207</v>
      </c>
      <c r="DV15" s="1012"/>
      <c r="DW15" s="1012"/>
      <c r="DX15" s="1013"/>
      <c r="DY15" s="1011" t="s">
        <v>1262</v>
      </c>
      <c r="DZ15" s="1012"/>
      <c r="EA15" s="1012"/>
      <c r="EB15" s="1013"/>
      <c r="EC15" s="1014" t="s">
        <v>1404</v>
      </c>
      <c r="ED15" s="1014"/>
      <c r="EE15" s="1014"/>
      <c r="EF15" s="1014"/>
      <c r="EG15" s="1014"/>
      <c r="EH15" s="1014" t="s">
        <v>1434</v>
      </c>
      <c r="EI15" s="1014"/>
      <c r="EJ15" s="1014"/>
      <c r="EK15" s="1011"/>
      <c r="EL15" s="1059"/>
      <c r="EM15" s="1060"/>
      <c r="EN15" s="1060"/>
      <c r="EO15" s="1150"/>
      <c r="EP15" s="1059"/>
      <c r="EQ15" s="1060"/>
      <c r="ER15" s="1060"/>
      <c r="ES15" s="1060"/>
      <c r="ET15" s="1150"/>
      <c r="EU15" s="933"/>
      <c r="EV15" s="896"/>
      <c r="EW15" s="896"/>
      <c r="EX15" s="896"/>
      <c r="EY15" s="896"/>
      <c r="EZ15" s="896"/>
      <c r="FA15" s="896"/>
      <c r="FB15" s="896"/>
      <c r="FC15" s="896"/>
      <c r="FD15" s="896"/>
      <c r="FE15" s="896"/>
      <c r="FF15" s="896"/>
      <c r="FG15" s="896"/>
      <c r="FH15" s="896"/>
      <c r="FI15" s="896"/>
      <c r="FJ15" s="896"/>
      <c r="FK15" s="896"/>
      <c r="FL15" s="896"/>
      <c r="FM15" s="896"/>
      <c r="FN15" s="896"/>
      <c r="FO15" s="896"/>
      <c r="FP15" s="933" t="s">
        <v>1497</v>
      </c>
      <c r="FQ15" s="933" t="s">
        <v>1497</v>
      </c>
      <c r="FR15" s="933" t="s">
        <v>1497</v>
      </c>
      <c r="FS15" s="933" t="s">
        <v>1497</v>
      </c>
      <c r="FT15" s="896"/>
      <c r="FU15" s="896"/>
      <c r="FV15" s="896"/>
      <c r="FW15" s="896"/>
      <c r="FX15" s="896"/>
      <c r="FY15" s="896"/>
      <c r="FZ15" s="896"/>
      <c r="GA15" s="896"/>
      <c r="GB15" s="896"/>
      <c r="GC15" s="896"/>
      <c r="GD15" s="896"/>
      <c r="GE15" s="896"/>
      <c r="GF15" s="896"/>
      <c r="GG15" s="896"/>
      <c r="GH15" s="896"/>
      <c r="GI15" s="896"/>
      <c r="GJ15" s="896"/>
      <c r="GK15" s="896"/>
      <c r="GL15" s="896"/>
      <c r="GM15" s="896"/>
      <c r="GN15" s="896"/>
      <c r="GO15" s="896"/>
      <c r="GP15" s="896"/>
      <c r="GQ15" s="896"/>
      <c r="GR15" s="896"/>
      <c r="GS15" s="896"/>
      <c r="GT15" s="896"/>
      <c r="GU15" s="896"/>
      <c r="GV15" s="896"/>
      <c r="GW15" s="896"/>
      <c r="GX15" s="896"/>
      <c r="GY15" s="896"/>
      <c r="GZ15" s="896"/>
      <c r="HA15" s="896"/>
      <c r="HB15" s="896"/>
      <c r="HC15" s="896"/>
      <c r="HD15" s="896"/>
      <c r="HE15" s="896"/>
      <c r="HF15" s="896"/>
      <c r="HG15" s="896"/>
      <c r="HH15" s="896"/>
      <c r="HI15" s="896"/>
      <c r="HJ15" s="896"/>
      <c r="HK15" s="896"/>
      <c r="HL15" s="896"/>
      <c r="HM15" s="896"/>
      <c r="HN15" s="896"/>
      <c r="HO15" s="896"/>
      <c r="HP15" s="896"/>
      <c r="HQ15" s="896"/>
      <c r="HR15" s="896"/>
      <c r="HS15" s="896"/>
      <c r="HT15" s="896"/>
      <c r="HU15" s="896"/>
      <c r="HV15" s="896"/>
      <c r="HW15" s="896"/>
      <c r="HX15" s="896"/>
      <c r="HY15" s="896"/>
      <c r="HZ15" s="896"/>
      <c r="IA15" s="896"/>
      <c r="IB15" s="896"/>
      <c r="IC15" s="896"/>
      <c r="ID15" s="896"/>
      <c r="IE15" s="896"/>
      <c r="IF15" s="896"/>
      <c r="IG15" s="896"/>
      <c r="IH15" s="896"/>
      <c r="II15" s="896"/>
      <c r="IJ15" s="896"/>
      <c r="IK15" s="896"/>
      <c r="IL15" s="896"/>
      <c r="IM15" s="896"/>
      <c r="IN15" s="896"/>
      <c r="IO15" s="896"/>
      <c r="IP15" s="896"/>
      <c r="IQ15" s="896"/>
      <c r="IR15" s="896"/>
      <c r="IS15" s="896"/>
      <c r="IT15" s="896"/>
      <c r="IU15" s="896"/>
      <c r="IV15" s="896"/>
      <c r="IW15" s="896"/>
      <c r="IX15" s="896"/>
      <c r="IY15" s="896"/>
      <c r="IZ15" s="896"/>
      <c r="JA15" s="896"/>
      <c r="JB15" s="896"/>
      <c r="JC15" s="896"/>
      <c r="JD15" s="896"/>
      <c r="JE15" s="896"/>
      <c r="JF15" s="896"/>
      <c r="JG15" s="896"/>
      <c r="JH15" s="896"/>
      <c r="JI15" s="896"/>
      <c r="JJ15" s="896"/>
      <c r="JK15" s="896"/>
      <c r="JL15" s="896"/>
      <c r="JM15" s="896"/>
      <c r="JN15" s="896"/>
      <c r="JO15" s="896"/>
      <c r="JP15" s="896"/>
      <c r="JQ15" s="896"/>
      <c r="JR15" s="896"/>
      <c r="JS15" s="896"/>
      <c r="JT15" s="896"/>
      <c r="JU15" s="896"/>
      <c r="JV15" s="896"/>
      <c r="JW15" s="896"/>
      <c r="JX15" s="896"/>
      <c r="JY15" s="896"/>
      <c r="JZ15" s="896"/>
      <c r="KA15" s="896"/>
      <c r="KB15" s="896"/>
      <c r="KC15" s="896"/>
      <c r="KD15" s="896"/>
      <c r="KE15" s="896"/>
      <c r="KF15" s="896"/>
      <c r="KG15" s="896"/>
      <c r="KH15" s="896"/>
      <c r="KI15" s="896"/>
      <c r="KJ15" s="896"/>
      <c r="KK15" s="896"/>
      <c r="KL15" s="896"/>
      <c r="KM15" s="896"/>
      <c r="KN15" s="896"/>
      <c r="KO15" s="896"/>
      <c r="KP15" s="896"/>
      <c r="KQ15" s="896"/>
      <c r="KR15" s="896"/>
      <c r="KS15" s="896"/>
      <c r="KT15" s="896"/>
      <c r="KU15" s="896"/>
      <c r="KV15" s="896"/>
      <c r="KW15" s="896"/>
      <c r="KX15" s="896"/>
      <c r="KY15" s="896"/>
      <c r="KZ15" s="896"/>
      <c r="LA15" s="896"/>
      <c r="LB15" s="896"/>
      <c r="LC15" s="896"/>
      <c r="LD15" s="896"/>
      <c r="LE15" s="896"/>
      <c r="LF15" s="896"/>
      <c r="LG15" s="896"/>
      <c r="LH15" s="896"/>
      <c r="LI15" s="896"/>
      <c r="LJ15" s="896"/>
      <c r="LK15" s="896"/>
      <c r="LL15" s="896"/>
      <c r="LM15" s="896"/>
      <c r="LN15" s="896"/>
      <c r="LO15" s="896"/>
      <c r="LP15" s="896"/>
      <c r="LQ15" s="896"/>
      <c r="LR15" s="896"/>
      <c r="LS15" s="896"/>
      <c r="LT15" s="896"/>
      <c r="LU15" s="896"/>
      <c r="LV15" s="896"/>
      <c r="LW15" s="896"/>
      <c r="LX15" s="896"/>
      <c r="LY15" s="896"/>
      <c r="LZ15" s="896"/>
      <c r="MA15" s="896"/>
      <c r="MB15" s="896"/>
      <c r="MC15" s="896"/>
      <c r="MD15" s="896"/>
      <c r="ME15" s="896"/>
      <c r="MF15" s="896"/>
      <c r="MG15" s="896"/>
      <c r="MH15" s="896"/>
      <c r="MI15" s="896"/>
      <c r="MJ15" s="896"/>
      <c r="MK15" s="896"/>
      <c r="ML15" s="896"/>
      <c r="MM15" s="896"/>
      <c r="MN15" s="896"/>
      <c r="MO15" s="896"/>
      <c r="MP15" s="896"/>
      <c r="MQ15" s="896"/>
      <c r="MR15" s="896"/>
      <c r="MS15" s="896"/>
      <c r="MT15" s="896"/>
      <c r="MU15" s="896"/>
      <c r="MV15" s="896"/>
      <c r="MW15" s="896"/>
      <c r="MX15" s="896"/>
      <c r="MY15" s="896"/>
      <c r="MZ15" s="896"/>
      <c r="NA15" s="896"/>
      <c r="NB15" s="896"/>
      <c r="NC15" s="896"/>
      <c r="ND15" s="896"/>
      <c r="NE15" s="896"/>
      <c r="NF15" s="896"/>
      <c r="NG15" s="896"/>
      <c r="NH15" s="896"/>
      <c r="NI15" s="896"/>
      <c r="NJ15" s="896"/>
      <c r="NK15" s="896"/>
      <c r="NL15" s="896"/>
      <c r="NM15" s="896"/>
      <c r="NN15" s="896"/>
      <c r="NO15" s="896"/>
      <c r="NP15" s="896"/>
      <c r="NQ15" s="896"/>
      <c r="NR15" s="896"/>
      <c r="NS15" s="896"/>
      <c r="NT15" s="896"/>
      <c r="NU15" s="896"/>
      <c r="NV15" s="896"/>
      <c r="NW15" s="896"/>
      <c r="NX15" s="896"/>
      <c r="NY15" s="896"/>
      <c r="NZ15" s="896"/>
      <c r="OA15" s="896"/>
      <c r="OB15" s="896"/>
      <c r="OC15" s="896"/>
      <c r="OD15" s="896"/>
      <c r="OE15" s="896"/>
      <c r="OF15" s="896"/>
      <c r="OG15" s="896"/>
      <c r="OH15" s="896"/>
      <c r="OI15" s="896"/>
      <c r="OJ15" s="896"/>
      <c r="OK15" s="896"/>
      <c r="OL15" s="896"/>
      <c r="OM15" s="896"/>
      <c r="ON15" s="896"/>
      <c r="OO15" s="896"/>
      <c r="OP15" s="896"/>
      <c r="OQ15" s="896"/>
      <c r="OR15" s="896"/>
      <c r="OS15" s="896"/>
      <c r="OT15" s="896"/>
      <c r="OU15" s="896"/>
      <c r="OV15" s="896"/>
      <c r="OW15" s="896"/>
      <c r="OX15" s="896"/>
      <c r="OY15" s="896"/>
      <c r="OZ15" s="896"/>
      <c r="PA15" s="896"/>
      <c r="PB15" s="896"/>
      <c r="PC15" s="896"/>
      <c r="PD15" s="896"/>
      <c r="PE15" s="896"/>
      <c r="PF15" s="896"/>
      <c r="PG15" s="896"/>
      <c r="PH15" s="896"/>
      <c r="PI15" s="896"/>
      <c r="PJ15" s="896"/>
      <c r="PK15" s="896"/>
      <c r="PL15" s="896"/>
      <c r="PM15" s="896"/>
      <c r="PN15" s="896"/>
      <c r="PO15" s="896"/>
      <c r="PP15" s="896"/>
      <c r="PQ15" s="896"/>
      <c r="PR15" s="896"/>
      <c r="PS15" s="896"/>
      <c r="PT15" s="896"/>
      <c r="PU15" s="896"/>
      <c r="PV15" s="896"/>
      <c r="PW15" s="896"/>
      <c r="PX15" s="896"/>
      <c r="PY15" s="896"/>
      <c r="PZ15" s="896"/>
      <c r="QA15" s="896"/>
      <c r="QB15" s="896"/>
      <c r="QC15" s="896"/>
      <c r="QD15" s="896"/>
      <c r="QE15" s="896"/>
      <c r="QF15" s="896"/>
      <c r="QG15" s="896"/>
    </row>
    <row r="16" spans="1:449" s="773" customFormat="1" ht="45.95" customHeight="1" x14ac:dyDescent="0.2">
      <c r="A16" s="938"/>
      <c r="B16" s="962" t="s">
        <v>760</v>
      </c>
      <c r="C16" s="779" t="s">
        <v>752</v>
      </c>
      <c r="D16" s="779"/>
      <c r="E16" s="779"/>
      <c r="F16" s="779"/>
      <c r="G16" s="779"/>
      <c r="H16" s="779"/>
      <c r="I16" s="779"/>
      <c r="J16" s="779"/>
      <c r="K16" s="779"/>
      <c r="L16" s="779"/>
      <c r="M16" s="780" t="s">
        <v>752</v>
      </c>
      <c r="N16" s="780"/>
      <c r="O16" s="780"/>
      <c r="P16" s="780"/>
      <c r="Q16" s="779" t="s">
        <v>752</v>
      </c>
      <c r="R16" s="779"/>
      <c r="S16" s="779"/>
      <c r="T16" s="779"/>
      <c r="U16" s="780" t="s">
        <v>752</v>
      </c>
      <c r="V16" s="780"/>
      <c r="W16" s="780"/>
      <c r="X16" s="780"/>
      <c r="Y16" s="780"/>
      <c r="Z16" s="780"/>
      <c r="AA16" s="780"/>
      <c r="AB16" s="780"/>
      <c r="AC16" s="780"/>
      <c r="AD16" s="780"/>
      <c r="AE16" s="780"/>
      <c r="AF16" s="780"/>
      <c r="AG16" s="779" t="s">
        <v>752</v>
      </c>
      <c r="AH16" s="779"/>
      <c r="AI16" s="779"/>
      <c r="AJ16" s="779"/>
      <c r="AK16" s="779"/>
      <c r="AL16" s="780" t="s">
        <v>752</v>
      </c>
      <c r="AM16" s="780"/>
      <c r="AN16" s="780"/>
      <c r="AO16" s="780"/>
      <c r="AP16" s="779" t="s">
        <v>752</v>
      </c>
      <c r="AQ16" s="779"/>
      <c r="AR16" s="779"/>
      <c r="AS16" s="779"/>
      <c r="AT16" s="779"/>
      <c r="AU16" s="779"/>
      <c r="AV16" s="779"/>
      <c r="AW16" s="780" t="s">
        <v>752</v>
      </c>
      <c r="AX16" s="780"/>
      <c r="AY16" s="780"/>
      <c r="AZ16" s="780"/>
      <c r="BA16" s="780"/>
      <c r="BB16" s="780"/>
      <c r="BC16" s="780"/>
      <c r="BD16" s="780"/>
      <c r="BE16" s="780"/>
      <c r="BF16" s="780"/>
      <c r="BG16" s="780"/>
      <c r="BH16" s="780"/>
      <c r="BI16" s="779"/>
      <c r="BJ16" s="779"/>
      <c r="BK16" s="779"/>
      <c r="BL16" s="779"/>
      <c r="BM16" s="779"/>
      <c r="BN16" s="779"/>
      <c r="BO16" s="781"/>
      <c r="BP16" s="781"/>
      <c r="BQ16" s="781"/>
      <c r="BR16" s="781"/>
      <c r="BS16" s="781"/>
      <c r="BT16" s="781"/>
      <c r="BU16" s="781"/>
      <c r="BV16" s="781"/>
      <c r="BW16" s="781"/>
      <c r="BX16" s="781"/>
      <c r="BY16" s="781"/>
      <c r="BZ16" s="781"/>
      <c r="CA16" s="781"/>
      <c r="CB16" s="781"/>
      <c r="CC16" s="781"/>
      <c r="CD16" s="781"/>
      <c r="CE16" s="815" t="s">
        <v>757</v>
      </c>
      <c r="CF16" s="815" t="s">
        <v>757</v>
      </c>
      <c r="CG16" s="815" t="s">
        <v>757</v>
      </c>
      <c r="CH16" s="815" t="s">
        <v>757</v>
      </c>
      <c r="CI16" s="815" t="s">
        <v>757</v>
      </c>
      <c r="CJ16" s="815" t="s">
        <v>757</v>
      </c>
      <c r="CK16" s="815" t="s">
        <v>757</v>
      </c>
      <c r="CL16" s="815" t="s">
        <v>757</v>
      </c>
      <c r="CM16" s="815" t="s">
        <v>757</v>
      </c>
      <c r="CN16" s="815" t="s">
        <v>757</v>
      </c>
      <c r="CO16" s="815" t="s">
        <v>757</v>
      </c>
      <c r="CP16" s="815" t="s">
        <v>757</v>
      </c>
      <c r="CQ16" s="815" t="s">
        <v>757</v>
      </c>
      <c r="CR16" s="815" t="s">
        <v>757</v>
      </c>
      <c r="CS16" s="815" t="s">
        <v>752</v>
      </c>
      <c r="CT16" s="856" t="s">
        <v>757</v>
      </c>
      <c r="CU16" s="881" t="s">
        <v>757</v>
      </c>
      <c r="CV16" s="881" t="s">
        <v>757</v>
      </c>
      <c r="CW16" s="881" t="s">
        <v>752</v>
      </c>
      <c r="CX16" s="881" t="s">
        <v>757</v>
      </c>
      <c r="CY16" s="881" t="s">
        <v>757</v>
      </c>
      <c r="CZ16" s="882" t="s">
        <v>757</v>
      </c>
      <c r="DA16" s="899" t="s">
        <v>1057</v>
      </c>
      <c r="DB16" s="900"/>
      <c r="DC16" s="933"/>
      <c r="DD16" s="953"/>
      <c r="DE16" s="953"/>
      <c r="DF16" s="950"/>
      <c r="DG16" s="950"/>
      <c r="DH16" s="950"/>
      <c r="DI16" s="950"/>
      <c r="DJ16" s="951"/>
      <c r="DK16" s="1011" t="s">
        <v>1131</v>
      </c>
      <c r="DL16" s="1012"/>
      <c r="DM16" s="1012"/>
      <c r="DN16" s="1012"/>
      <c r="DO16" s="1012"/>
      <c r="DP16" s="1012"/>
      <c r="DQ16" s="1013"/>
      <c r="DR16" s="1011" t="s">
        <v>1178</v>
      </c>
      <c r="DS16" s="1012"/>
      <c r="DT16" s="1013"/>
      <c r="DU16" s="1011" t="s">
        <v>1208</v>
      </c>
      <c r="DV16" s="1012"/>
      <c r="DW16" s="1012"/>
      <c r="DX16" s="1013"/>
      <c r="DY16" s="1011" t="s">
        <v>1296</v>
      </c>
      <c r="DZ16" s="1012"/>
      <c r="EA16" s="1012"/>
      <c r="EB16" s="1013"/>
      <c r="EC16" s="1014" t="s">
        <v>1405</v>
      </c>
      <c r="ED16" s="1014"/>
      <c r="EE16" s="1014"/>
      <c r="EF16" s="1014"/>
      <c r="EG16" s="1014"/>
      <c r="EH16" s="1014"/>
      <c r="EI16" s="1014"/>
      <c r="EJ16" s="1014" t="s">
        <v>1403</v>
      </c>
      <c r="EK16" s="1011"/>
      <c r="EL16" s="1059"/>
      <c r="EM16" s="1060"/>
      <c r="EN16" s="1060"/>
      <c r="EO16" s="1150"/>
      <c r="EP16" s="1059"/>
      <c r="EQ16" s="1060"/>
      <c r="ER16" s="1060"/>
      <c r="ES16" s="1060"/>
      <c r="ET16" s="1150"/>
      <c r="EU16" s="933"/>
      <c r="EV16" s="896"/>
      <c r="EW16" s="896"/>
      <c r="EX16" s="896"/>
      <c r="EY16" s="896"/>
      <c r="EZ16" s="896"/>
      <c r="FA16" s="896"/>
      <c r="FB16" s="896"/>
      <c r="FC16" s="896"/>
      <c r="FD16" s="896"/>
      <c r="FE16" s="896"/>
      <c r="FF16" s="896"/>
      <c r="FG16" s="896"/>
      <c r="FH16" s="896"/>
      <c r="FI16" s="896"/>
      <c r="FJ16" s="896"/>
      <c r="FK16" s="896"/>
      <c r="FL16" s="896"/>
      <c r="FM16" s="896"/>
      <c r="FN16" s="896"/>
      <c r="FO16" s="896"/>
      <c r="FP16" s="933" t="s">
        <v>1497</v>
      </c>
      <c r="FQ16" s="933" t="s">
        <v>1497</v>
      </c>
      <c r="FR16" s="933" t="s">
        <v>1497</v>
      </c>
      <c r="FS16" s="933" t="s">
        <v>1497</v>
      </c>
      <c r="FT16" s="896"/>
      <c r="FU16" s="896"/>
      <c r="FV16" s="896"/>
      <c r="FW16" s="896"/>
      <c r="FX16" s="896"/>
      <c r="FY16" s="896"/>
      <c r="FZ16" s="896"/>
      <c r="GA16" s="896"/>
      <c r="GB16" s="896"/>
      <c r="GC16" s="896"/>
      <c r="GD16" s="896"/>
      <c r="GE16" s="896"/>
      <c r="GF16" s="896"/>
      <c r="GG16" s="896"/>
      <c r="GH16" s="896"/>
      <c r="GI16" s="896"/>
      <c r="GJ16" s="896"/>
      <c r="GK16" s="896"/>
      <c r="GL16" s="896"/>
      <c r="GM16" s="896"/>
      <c r="GN16" s="896"/>
      <c r="GO16" s="896"/>
      <c r="GP16" s="896"/>
      <c r="GQ16" s="896"/>
      <c r="GR16" s="896"/>
      <c r="GS16" s="896"/>
      <c r="GT16" s="896"/>
      <c r="GU16" s="896"/>
      <c r="GV16" s="896"/>
      <c r="GW16" s="896"/>
      <c r="GX16" s="896"/>
      <c r="GY16" s="896"/>
      <c r="GZ16" s="896"/>
      <c r="HA16" s="896"/>
      <c r="HB16" s="896"/>
      <c r="HC16" s="896"/>
      <c r="HD16" s="896"/>
      <c r="HE16" s="896"/>
      <c r="HF16" s="896"/>
      <c r="HG16" s="896"/>
      <c r="HH16" s="896"/>
      <c r="HI16" s="896"/>
      <c r="HJ16" s="896"/>
      <c r="HK16" s="896"/>
      <c r="HL16" s="896"/>
      <c r="HM16" s="896"/>
      <c r="HN16" s="896"/>
      <c r="HO16" s="896"/>
      <c r="HP16" s="896"/>
      <c r="HQ16" s="896"/>
      <c r="HR16" s="896"/>
      <c r="HS16" s="896"/>
      <c r="HT16" s="896"/>
      <c r="HU16" s="896"/>
      <c r="HV16" s="896"/>
      <c r="HW16" s="896"/>
      <c r="HX16" s="896"/>
      <c r="HY16" s="896"/>
      <c r="HZ16" s="896"/>
      <c r="IA16" s="896"/>
      <c r="IB16" s="896"/>
      <c r="IC16" s="896"/>
      <c r="ID16" s="896"/>
      <c r="IE16" s="896"/>
      <c r="IF16" s="896"/>
      <c r="IG16" s="896"/>
      <c r="IH16" s="896"/>
      <c r="II16" s="896"/>
      <c r="IJ16" s="896"/>
      <c r="IK16" s="896"/>
      <c r="IL16" s="896"/>
      <c r="IM16" s="896"/>
      <c r="IN16" s="896"/>
      <c r="IO16" s="896"/>
      <c r="IP16" s="896"/>
      <c r="IQ16" s="896"/>
      <c r="IR16" s="896"/>
      <c r="IS16" s="896"/>
      <c r="IT16" s="896"/>
      <c r="IU16" s="896"/>
      <c r="IV16" s="896"/>
      <c r="IW16" s="896"/>
      <c r="IX16" s="896"/>
      <c r="IY16" s="896"/>
      <c r="IZ16" s="896"/>
      <c r="JA16" s="896"/>
      <c r="JB16" s="896"/>
      <c r="JC16" s="896"/>
      <c r="JD16" s="896"/>
      <c r="JE16" s="896"/>
      <c r="JF16" s="896"/>
      <c r="JG16" s="896"/>
      <c r="JH16" s="896"/>
      <c r="JI16" s="896"/>
      <c r="JJ16" s="896"/>
      <c r="JK16" s="896"/>
      <c r="JL16" s="896"/>
      <c r="JM16" s="896"/>
      <c r="JN16" s="896"/>
      <c r="JO16" s="896"/>
      <c r="JP16" s="896"/>
      <c r="JQ16" s="896"/>
      <c r="JR16" s="896"/>
      <c r="JS16" s="896"/>
      <c r="JT16" s="896"/>
      <c r="JU16" s="896"/>
      <c r="JV16" s="896"/>
      <c r="JW16" s="896"/>
      <c r="JX16" s="896"/>
      <c r="JY16" s="896"/>
      <c r="JZ16" s="896"/>
      <c r="KA16" s="896"/>
      <c r="KB16" s="896"/>
      <c r="KC16" s="896"/>
      <c r="KD16" s="896"/>
      <c r="KE16" s="896"/>
      <c r="KF16" s="896"/>
      <c r="KG16" s="896"/>
      <c r="KH16" s="896"/>
      <c r="KI16" s="896"/>
      <c r="KJ16" s="896"/>
      <c r="KK16" s="896"/>
      <c r="KL16" s="896"/>
      <c r="KM16" s="896"/>
      <c r="KN16" s="896"/>
      <c r="KO16" s="896"/>
      <c r="KP16" s="896"/>
      <c r="KQ16" s="896"/>
      <c r="KR16" s="896"/>
      <c r="KS16" s="896"/>
      <c r="KT16" s="896"/>
      <c r="KU16" s="896"/>
      <c r="KV16" s="896"/>
      <c r="KW16" s="896"/>
      <c r="KX16" s="896"/>
      <c r="KY16" s="896"/>
      <c r="KZ16" s="896"/>
      <c r="LA16" s="896"/>
      <c r="LB16" s="896"/>
      <c r="LC16" s="896"/>
      <c r="LD16" s="896"/>
      <c r="LE16" s="896"/>
      <c r="LF16" s="896"/>
      <c r="LG16" s="896"/>
      <c r="LH16" s="896"/>
      <c r="LI16" s="896"/>
      <c r="LJ16" s="896"/>
      <c r="LK16" s="896"/>
      <c r="LL16" s="896"/>
      <c r="LM16" s="896"/>
      <c r="LN16" s="896"/>
      <c r="LO16" s="896"/>
      <c r="LP16" s="896"/>
      <c r="LQ16" s="896"/>
      <c r="LR16" s="896"/>
      <c r="LS16" s="896"/>
      <c r="LT16" s="896"/>
      <c r="LU16" s="896"/>
      <c r="LV16" s="896"/>
      <c r="LW16" s="896"/>
      <c r="LX16" s="896"/>
      <c r="LY16" s="896"/>
      <c r="LZ16" s="896"/>
      <c r="MA16" s="896"/>
      <c r="MB16" s="896"/>
      <c r="MC16" s="896"/>
      <c r="MD16" s="896"/>
      <c r="ME16" s="896"/>
      <c r="MF16" s="896"/>
      <c r="MG16" s="896"/>
      <c r="MH16" s="896"/>
      <c r="MI16" s="896"/>
      <c r="MJ16" s="896"/>
      <c r="MK16" s="896"/>
      <c r="ML16" s="896"/>
      <c r="MM16" s="896"/>
      <c r="MN16" s="896"/>
      <c r="MO16" s="896"/>
      <c r="MP16" s="896"/>
      <c r="MQ16" s="896"/>
      <c r="MR16" s="896"/>
      <c r="MS16" s="896"/>
      <c r="MT16" s="896"/>
      <c r="MU16" s="896"/>
      <c r="MV16" s="896"/>
      <c r="MW16" s="896"/>
      <c r="MX16" s="896"/>
      <c r="MY16" s="896"/>
      <c r="MZ16" s="896"/>
      <c r="NA16" s="896"/>
      <c r="NB16" s="896"/>
      <c r="NC16" s="896"/>
      <c r="ND16" s="896"/>
      <c r="NE16" s="896"/>
      <c r="NF16" s="896"/>
      <c r="NG16" s="896"/>
      <c r="NH16" s="896"/>
      <c r="NI16" s="896"/>
      <c r="NJ16" s="896"/>
      <c r="NK16" s="896"/>
      <c r="NL16" s="896"/>
      <c r="NM16" s="896"/>
      <c r="NN16" s="896"/>
      <c r="NO16" s="896"/>
      <c r="NP16" s="896"/>
      <c r="NQ16" s="896"/>
      <c r="NR16" s="896"/>
      <c r="NS16" s="896"/>
      <c r="NT16" s="896"/>
      <c r="NU16" s="896"/>
      <c r="NV16" s="896"/>
      <c r="NW16" s="896"/>
      <c r="NX16" s="896"/>
      <c r="NY16" s="896"/>
      <c r="NZ16" s="896"/>
      <c r="OA16" s="896"/>
      <c r="OB16" s="896"/>
      <c r="OC16" s="896"/>
      <c r="OD16" s="896"/>
      <c r="OE16" s="896"/>
      <c r="OF16" s="896"/>
      <c r="OG16" s="896"/>
      <c r="OH16" s="896"/>
      <c r="OI16" s="896"/>
      <c r="OJ16" s="896"/>
      <c r="OK16" s="896"/>
      <c r="OL16" s="896"/>
      <c r="OM16" s="896"/>
      <c r="ON16" s="896"/>
      <c r="OO16" s="896"/>
      <c r="OP16" s="896"/>
      <c r="OQ16" s="896"/>
      <c r="OR16" s="896"/>
      <c r="OS16" s="896"/>
      <c r="OT16" s="896"/>
      <c r="OU16" s="896"/>
      <c r="OV16" s="896"/>
      <c r="OW16" s="896"/>
      <c r="OX16" s="896"/>
      <c r="OY16" s="896"/>
      <c r="OZ16" s="896"/>
      <c r="PA16" s="896"/>
      <c r="PB16" s="896"/>
      <c r="PC16" s="896"/>
      <c r="PD16" s="896"/>
      <c r="PE16" s="896"/>
      <c r="PF16" s="896"/>
      <c r="PG16" s="896"/>
      <c r="PH16" s="896"/>
      <c r="PI16" s="896"/>
      <c r="PJ16" s="896"/>
      <c r="PK16" s="896"/>
      <c r="PL16" s="896"/>
      <c r="PM16" s="896"/>
      <c r="PN16" s="896"/>
      <c r="PO16" s="896"/>
      <c r="PP16" s="896"/>
      <c r="PQ16" s="896"/>
      <c r="PR16" s="896"/>
      <c r="PS16" s="896"/>
      <c r="PT16" s="896"/>
      <c r="PU16" s="896"/>
      <c r="PV16" s="896"/>
      <c r="PW16" s="896"/>
      <c r="PX16" s="896"/>
      <c r="PY16" s="896"/>
      <c r="PZ16" s="896"/>
      <c r="QA16" s="896"/>
      <c r="QB16" s="896"/>
      <c r="QC16" s="896"/>
      <c r="QD16" s="896"/>
      <c r="QE16" s="896"/>
      <c r="QF16" s="896"/>
      <c r="QG16" s="896"/>
    </row>
    <row r="17" spans="1:449" s="773" customFormat="1" ht="48" x14ac:dyDescent="0.2">
      <c r="A17" s="938"/>
      <c r="B17" s="962" t="s">
        <v>761</v>
      </c>
      <c r="C17" s="782" t="s">
        <v>752</v>
      </c>
      <c r="D17" s="782"/>
      <c r="E17" s="782"/>
      <c r="F17" s="782"/>
      <c r="G17" s="782"/>
      <c r="H17" s="782"/>
      <c r="I17" s="782"/>
      <c r="J17" s="782"/>
      <c r="K17" s="782"/>
      <c r="L17" s="782"/>
      <c r="M17" s="782"/>
      <c r="N17" s="782"/>
      <c r="O17" s="782"/>
      <c r="P17" s="782"/>
      <c r="Q17" s="782"/>
      <c r="R17" s="782"/>
      <c r="S17" s="782"/>
      <c r="T17" s="782"/>
      <c r="U17" s="782"/>
      <c r="V17" s="782" t="s">
        <v>762</v>
      </c>
      <c r="W17" s="782"/>
      <c r="X17" s="782"/>
      <c r="Y17" s="782"/>
      <c r="Z17" s="782"/>
      <c r="AA17" s="782"/>
      <c r="AB17" s="782"/>
      <c r="AC17" s="782"/>
      <c r="AD17" s="782"/>
      <c r="AE17" s="782"/>
      <c r="AF17" s="782"/>
      <c r="AG17" s="782"/>
      <c r="AH17" s="782"/>
      <c r="AI17" s="782"/>
      <c r="AJ17" s="782"/>
      <c r="AK17" s="782"/>
      <c r="AL17" s="782"/>
      <c r="AM17" s="782"/>
      <c r="AN17" s="782"/>
      <c r="AO17" s="782"/>
      <c r="AP17" s="782"/>
      <c r="AQ17" s="782"/>
      <c r="AR17" s="782"/>
      <c r="AS17" s="782"/>
      <c r="AT17" s="782"/>
      <c r="AU17" s="782"/>
      <c r="AV17" s="782"/>
      <c r="AW17" s="782" t="s">
        <v>763</v>
      </c>
      <c r="AX17" s="782"/>
      <c r="AY17" s="782"/>
      <c r="AZ17" s="782"/>
      <c r="BA17" s="782"/>
      <c r="BB17" s="782"/>
      <c r="BC17" s="782"/>
      <c r="BD17" s="782"/>
      <c r="BE17" s="782" t="s">
        <v>764</v>
      </c>
      <c r="BF17" s="782"/>
      <c r="BG17" s="782"/>
      <c r="BH17" s="782"/>
      <c r="BJ17" s="782"/>
      <c r="BK17" s="782"/>
      <c r="BL17" s="782"/>
      <c r="BM17" s="782"/>
      <c r="BN17" s="782"/>
      <c r="BO17" s="778"/>
      <c r="BP17" s="778"/>
      <c r="BQ17" s="778"/>
      <c r="BR17" s="778"/>
      <c r="BS17" s="778"/>
      <c r="BT17" s="778"/>
      <c r="BU17" s="778"/>
      <c r="BV17" s="778"/>
      <c r="BW17" s="778"/>
      <c r="BX17" s="778"/>
      <c r="BY17" s="778"/>
      <c r="BZ17" s="778"/>
      <c r="CA17" s="778"/>
      <c r="CB17" s="778"/>
      <c r="CC17" s="778"/>
      <c r="CD17" s="778"/>
      <c r="CE17" s="778"/>
      <c r="CF17" s="814"/>
      <c r="CG17" s="814"/>
      <c r="CH17" s="814"/>
      <c r="CI17" s="814"/>
      <c r="CJ17" s="814"/>
      <c r="CK17" s="826" t="s">
        <v>982</v>
      </c>
      <c r="CL17" s="814"/>
      <c r="CM17" s="814"/>
      <c r="CN17" s="814"/>
      <c r="CO17" s="814"/>
      <c r="CP17" s="814"/>
      <c r="CQ17" s="814"/>
      <c r="CR17" s="814"/>
      <c r="CS17" s="852"/>
      <c r="CT17" s="852"/>
      <c r="CU17" s="852"/>
      <c r="CV17" s="852"/>
      <c r="CW17" s="852"/>
      <c r="CX17" s="852"/>
      <c r="CY17" s="852"/>
      <c r="CZ17" s="899" t="s">
        <v>1060</v>
      </c>
      <c r="DA17" s="900"/>
      <c r="DB17" s="901"/>
      <c r="DC17" s="959"/>
      <c r="DD17" s="959"/>
      <c r="DE17" s="959"/>
      <c r="DF17" s="888"/>
      <c r="DG17" s="863"/>
      <c r="DH17" s="888" t="s">
        <v>1132</v>
      </c>
      <c r="DI17" s="888"/>
      <c r="DJ17" s="888"/>
      <c r="DK17" s="888"/>
      <c r="DL17" s="888"/>
      <c r="DM17" s="888"/>
      <c r="DN17" s="888"/>
      <c r="DO17" s="888"/>
      <c r="DP17" s="888"/>
      <c r="DQ17" s="954"/>
      <c r="DR17" s="954"/>
      <c r="DS17" s="954" t="s">
        <v>1181</v>
      </c>
      <c r="DT17" s="954" t="s">
        <v>1201</v>
      </c>
      <c r="DU17" s="954"/>
      <c r="DV17" s="954"/>
      <c r="DW17" s="954"/>
      <c r="DX17" s="954"/>
      <c r="DY17" s="954"/>
      <c r="DZ17" s="954"/>
      <c r="EA17" s="954"/>
      <c r="EB17" s="954"/>
      <c r="EC17" s="933"/>
      <c r="ED17" s="952"/>
      <c r="EE17" s="933"/>
      <c r="EF17" s="933"/>
      <c r="EG17" s="1011" t="s">
        <v>1435</v>
      </c>
      <c r="EH17" s="1012"/>
      <c r="EI17" s="1012"/>
      <c r="EJ17" s="1012"/>
      <c r="EK17" s="1012"/>
      <c r="EL17" s="1059" t="s">
        <v>1452</v>
      </c>
      <c r="EM17" s="1060"/>
      <c r="EN17" s="1060"/>
      <c r="EO17" s="1150"/>
      <c r="EP17" s="1059" t="s">
        <v>1452</v>
      </c>
      <c r="EQ17" s="1060"/>
      <c r="ER17" s="1060"/>
      <c r="ES17" s="1060"/>
      <c r="ET17" s="1150"/>
      <c r="EU17" s="933"/>
      <c r="EV17" s="896"/>
      <c r="EW17" s="896"/>
      <c r="EX17" s="896"/>
      <c r="EY17" s="896"/>
      <c r="EZ17" s="896"/>
      <c r="FA17" s="896"/>
      <c r="FB17" s="896"/>
      <c r="FC17" s="896"/>
      <c r="FD17" s="896"/>
      <c r="FE17" s="896"/>
      <c r="FF17" s="896"/>
      <c r="FG17" s="896"/>
      <c r="FH17" s="896"/>
      <c r="FI17" s="896"/>
      <c r="FJ17" s="896"/>
      <c r="FK17" s="896"/>
      <c r="FL17" s="896"/>
      <c r="FM17" s="896"/>
      <c r="FN17" s="896"/>
      <c r="FO17" s="896"/>
      <c r="FP17" s="896"/>
      <c r="FQ17" s="896"/>
      <c r="FR17" s="896"/>
      <c r="FS17" s="896"/>
      <c r="FT17" s="896"/>
      <c r="FU17" s="896"/>
      <c r="FV17" s="896"/>
      <c r="FW17" s="896"/>
      <c r="FX17" s="896"/>
      <c r="FY17" s="896"/>
      <c r="FZ17" s="896"/>
      <c r="GA17" s="896"/>
      <c r="GB17" s="896"/>
      <c r="GC17" s="896"/>
      <c r="GD17" s="896"/>
      <c r="GE17" s="896"/>
      <c r="GF17" s="896"/>
      <c r="GG17" s="896"/>
      <c r="GH17" s="896"/>
      <c r="GI17" s="896"/>
      <c r="GJ17" s="896"/>
      <c r="GK17" s="896"/>
      <c r="GL17" s="896"/>
      <c r="GM17" s="896"/>
      <c r="GN17" s="896"/>
      <c r="GO17" s="896"/>
      <c r="GP17" s="896"/>
      <c r="GQ17" s="896"/>
      <c r="GR17" s="896"/>
      <c r="GS17" s="896"/>
      <c r="GT17" s="896"/>
      <c r="GU17" s="896"/>
      <c r="GV17" s="896"/>
      <c r="GW17" s="896"/>
      <c r="GX17" s="896"/>
      <c r="GY17" s="896"/>
      <c r="GZ17" s="896"/>
      <c r="HA17" s="896"/>
      <c r="HB17" s="896"/>
      <c r="HC17" s="896"/>
      <c r="HD17" s="896"/>
      <c r="HE17" s="896"/>
      <c r="HF17" s="896"/>
      <c r="HG17" s="896"/>
      <c r="HH17" s="896"/>
      <c r="HI17" s="896"/>
      <c r="HJ17" s="896"/>
      <c r="HK17" s="896"/>
      <c r="HL17" s="896"/>
      <c r="HM17" s="896"/>
      <c r="HN17" s="896"/>
      <c r="HO17" s="896"/>
      <c r="HP17" s="896"/>
      <c r="HQ17" s="896"/>
      <c r="HR17" s="896"/>
      <c r="HS17" s="896"/>
      <c r="HT17" s="896"/>
      <c r="HU17" s="896"/>
      <c r="HV17" s="896"/>
      <c r="HW17" s="896"/>
      <c r="HX17" s="896"/>
      <c r="HY17" s="896"/>
      <c r="HZ17" s="896"/>
      <c r="IA17" s="896"/>
      <c r="IB17" s="896"/>
      <c r="IC17" s="896"/>
      <c r="ID17" s="896"/>
      <c r="IE17" s="896"/>
      <c r="IF17" s="896"/>
      <c r="IG17" s="896"/>
      <c r="IH17" s="896"/>
      <c r="II17" s="896"/>
      <c r="IJ17" s="896"/>
      <c r="IK17" s="896"/>
      <c r="IL17" s="896"/>
      <c r="IM17" s="896"/>
      <c r="IN17" s="896"/>
      <c r="IO17" s="896"/>
      <c r="IP17" s="896"/>
      <c r="IQ17" s="896"/>
      <c r="IR17" s="896"/>
      <c r="IS17" s="896"/>
      <c r="IT17" s="896"/>
      <c r="IU17" s="896"/>
      <c r="IV17" s="896"/>
      <c r="IW17" s="896"/>
      <c r="IX17" s="896"/>
      <c r="IY17" s="896"/>
      <c r="IZ17" s="896"/>
      <c r="JA17" s="896"/>
      <c r="JB17" s="896"/>
      <c r="JC17" s="896"/>
      <c r="JD17" s="896"/>
      <c r="JE17" s="896"/>
      <c r="JF17" s="896"/>
      <c r="JG17" s="896"/>
      <c r="JH17" s="896"/>
      <c r="JI17" s="896"/>
      <c r="JJ17" s="896"/>
      <c r="JK17" s="896"/>
      <c r="JL17" s="896"/>
      <c r="JM17" s="896"/>
      <c r="JN17" s="896"/>
      <c r="JO17" s="896"/>
      <c r="JP17" s="896"/>
      <c r="JQ17" s="896"/>
      <c r="JR17" s="896"/>
      <c r="JS17" s="896"/>
      <c r="JT17" s="896"/>
      <c r="JU17" s="896"/>
      <c r="JV17" s="896"/>
      <c r="JW17" s="896"/>
      <c r="JX17" s="896"/>
      <c r="JY17" s="896"/>
      <c r="JZ17" s="896"/>
      <c r="KA17" s="896"/>
      <c r="KB17" s="896"/>
      <c r="KC17" s="896"/>
      <c r="KD17" s="896"/>
      <c r="KE17" s="896"/>
      <c r="KF17" s="896"/>
      <c r="KG17" s="896"/>
      <c r="KH17" s="896"/>
      <c r="KI17" s="896"/>
      <c r="KJ17" s="896"/>
      <c r="KK17" s="896"/>
      <c r="KL17" s="896"/>
      <c r="KM17" s="896"/>
      <c r="KN17" s="896"/>
      <c r="KO17" s="896"/>
      <c r="KP17" s="896"/>
      <c r="KQ17" s="896"/>
      <c r="KR17" s="896"/>
      <c r="KS17" s="896"/>
      <c r="KT17" s="896"/>
      <c r="KU17" s="896"/>
      <c r="KV17" s="896"/>
      <c r="KW17" s="896"/>
      <c r="KX17" s="896"/>
      <c r="KY17" s="896"/>
      <c r="KZ17" s="896"/>
      <c r="LA17" s="896"/>
      <c r="LB17" s="896"/>
      <c r="LC17" s="896"/>
      <c r="LD17" s="896"/>
      <c r="LE17" s="896"/>
      <c r="LF17" s="896"/>
      <c r="LG17" s="896"/>
      <c r="LH17" s="896"/>
      <c r="LI17" s="896"/>
      <c r="LJ17" s="896"/>
      <c r="LK17" s="896"/>
      <c r="LL17" s="896"/>
      <c r="LM17" s="896"/>
      <c r="LN17" s="896"/>
      <c r="LO17" s="896"/>
      <c r="LP17" s="896"/>
      <c r="LQ17" s="896"/>
      <c r="LR17" s="896"/>
      <c r="LS17" s="896"/>
      <c r="LT17" s="896"/>
      <c r="LU17" s="896"/>
      <c r="LV17" s="896"/>
      <c r="LW17" s="896"/>
      <c r="LX17" s="896"/>
      <c r="LY17" s="896"/>
      <c r="LZ17" s="896"/>
      <c r="MA17" s="896"/>
      <c r="MB17" s="896"/>
      <c r="MC17" s="896"/>
      <c r="MD17" s="896"/>
      <c r="ME17" s="896"/>
      <c r="MF17" s="896"/>
      <c r="MG17" s="896"/>
      <c r="MH17" s="896"/>
      <c r="MI17" s="896"/>
      <c r="MJ17" s="896"/>
      <c r="MK17" s="896"/>
      <c r="ML17" s="896"/>
      <c r="MM17" s="896"/>
      <c r="MN17" s="896"/>
      <c r="MO17" s="896"/>
      <c r="MP17" s="896"/>
      <c r="MQ17" s="896"/>
      <c r="MR17" s="896"/>
      <c r="MS17" s="896"/>
      <c r="MT17" s="896"/>
      <c r="MU17" s="896"/>
      <c r="MV17" s="896"/>
      <c r="MW17" s="896"/>
      <c r="MX17" s="896"/>
      <c r="MY17" s="896"/>
      <c r="MZ17" s="896"/>
      <c r="NA17" s="896"/>
      <c r="NB17" s="896"/>
      <c r="NC17" s="896"/>
      <c r="ND17" s="896"/>
      <c r="NE17" s="896"/>
      <c r="NF17" s="896"/>
      <c r="NG17" s="896"/>
      <c r="NH17" s="896"/>
      <c r="NI17" s="896"/>
      <c r="NJ17" s="896"/>
      <c r="NK17" s="896"/>
      <c r="NL17" s="896"/>
      <c r="NM17" s="896"/>
      <c r="NN17" s="896"/>
      <c r="NO17" s="896"/>
      <c r="NP17" s="896"/>
      <c r="NQ17" s="896"/>
      <c r="NR17" s="896"/>
      <c r="NS17" s="896"/>
      <c r="NT17" s="896"/>
      <c r="NU17" s="896"/>
      <c r="NV17" s="896"/>
      <c r="NW17" s="896"/>
      <c r="NX17" s="896"/>
      <c r="NY17" s="896"/>
      <c r="NZ17" s="896"/>
      <c r="OA17" s="896"/>
      <c r="OB17" s="896"/>
      <c r="OC17" s="896"/>
      <c r="OD17" s="896"/>
      <c r="OE17" s="896"/>
      <c r="OF17" s="896"/>
      <c r="OG17" s="896"/>
      <c r="OH17" s="896"/>
      <c r="OI17" s="896"/>
      <c r="OJ17" s="896"/>
      <c r="OK17" s="896"/>
      <c r="OL17" s="896"/>
      <c r="OM17" s="896"/>
      <c r="ON17" s="896"/>
      <c r="OO17" s="896"/>
      <c r="OP17" s="896"/>
      <c r="OQ17" s="896"/>
      <c r="OR17" s="896"/>
      <c r="OS17" s="896"/>
      <c r="OT17" s="896"/>
      <c r="OU17" s="896"/>
      <c r="OV17" s="896"/>
      <c r="OW17" s="896"/>
      <c r="OX17" s="896"/>
      <c r="OY17" s="896"/>
      <c r="OZ17" s="896"/>
      <c r="PA17" s="896"/>
      <c r="PB17" s="896"/>
      <c r="PC17" s="896"/>
      <c r="PD17" s="896"/>
      <c r="PE17" s="896"/>
      <c r="PF17" s="896"/>
      <c r="PG17" s="896"/>
      <c r="PH17" s="896"/>
      <c r="PI17" s="896"/>
      <c r="PJ17" s="896"/>
      <c r="PK17" s="896"/>
      <c r="PL17" s="896"/>
      <c r="PM17" s="896"/>
      <c r="PN17" s="896"/>
      <c r="PO17" s="896"/>
      <c r="PP17" s="896"/>
      <c r="PQ17" s="896"/>
      <c r="PR17" s="896"/>
      <c r="PS17" s="896"/>
      <c r="PT17" s="896"/>
      <c r="PU17" s="896"/>
      <c r="PV17" s="896"/>
      <c r="PW17" s="896"/>
      <c r="PX17" s="896"/>
      <c r="PY17" s="896"/>
      <c r="PZ17" s="896"/>
      <c r="QA17" s="896"/>
      <c r="QB17" s="896"/>
      <c r="QC17" s="896"/>
      <c r="QD17" s="896"/>
      <c r="QE17" s="896"/>
      <c r="QF17" s="896"/>
      <c r="QG17" s="896"/>
    </row>
    <row r="18" spans="1:449" s="773" customFormat="1" ht="36" x14ac:dyDescent="0.2">
      <c r="A18" s="938"/>
      <c r="B18" s="962" t="s">
        <v>765</v>
      </c>
      <c r="C18" s="782" t="s">
        <v>752</v>
      </c>
      <c r="D18" s="782"/>
      <c r="E18" s="782"/>
      <c r="F18" s="782"/>
      <c r="G18" s="782" t="s">
        <v>757</v>
      </c>
      <c r="H18" s="782"/>
      <c r="I18" s="782"/>
      <c r="J18" s="782"/>
      <c r="K18" s="782" t="s">
        <v>757</v>
      </c>
      <c r="L18" s="782"/>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t="s">
        <v>752</v>
      </c>
      <c r="AL18" s="782"/>
      <c r="AM18" s="782"/>
      <c r="AN18" s="782"/>
      <c r="AO18" s="782" t="s">
        <v>752</v>
      </c>
      <c r="AP18" s="782"/>
      <c r="AQ18" s="782"/>
      <c r="AR18" s="782"/>
      <c r="AS18" s="782"/>
      <c r="AT18" s="782" t="s">
        <v>752</v>
      </c>
      <c r="AU18" s="782"/>
      <c r="AV18" s="782"/>
      <c r="AW18" s="782"/>
      <c r="AX18" s="782"/>
      <c r="AY18" s="782" t="s">
        <v>752</v>
      </c>
      <c r="AZ18" s="782"/>
      <c r="BA18" s="782"/>
      <c r="BB18" s="782"/>
      <c r="BC18" s="782" t="s">
        <v>752</v>
      </c>
      <c r="BD18" s="782"/>
      <c r="BE18" s="782"/>
      <c r="BF18" s="782"/>
      <c r="BG18" s="782" t="s">
        <v>752</v>
      </c>
      <c r="BH18" s="782"/>
      <c r="BI18" s="782"/>
      <c r="BJ18" s="782"/>
      <c r="BK18" s="782"/>
      <c r="BL18" s="782" t="s">
        <v>757</v>
      </c>
      <c r="BM18" s="782"/>
      <c r="BN18" s="782"/>
      <c r="BO18" s="778"/>
      <c r="BP18" s="778"/>
      <c r="BQ18" s="778"/>
      <c r="BR18" s="778"/>
      <c r="BS18" s="778"/>
      <c r="BT18" s="778" t="s">
        <v>752</v>
      </c>
      <c r="BU18" s="778"/>
      <c r="BV18" s="778"/>
      <c r="BW18" s="778"/>
      <c r="BX18" s="778" t="s">
        <v>752</v>
      </c>
      <c r="BY18" s="778"/>
      <c r="BZ18" s="778"/>
      <c r="CA18" s="778"/>
      <c r="CB18" s="778" t="s">
        <v>757</v>
      </c>
      <c r="CC18" s="778"/>
      <c r="CD18" s="778"/>
      <c r="CE18" s="778"/>
      <c r="CF18" s="814"/>
      <c r="CG18" s="814" t="s">
        <v>757</v>
      </c>
      <c r="CH18" s="814"/>
      <c r="CI18" s="814"/>
      <c r="CJ18" s="814"/>
      <c r="CK18" s="814" t="s">
        <v>757</v>
      </c>
      <c r="CL18" s="814" t="s">
        <v>756</v>
      </c>
      <c r="CM18" s="814"/>
      <c r="CN18" s="814"/>
      <c r="CO18" s="814"/>
      <c r="CP18" s="814"/>
      <c r="CQ18" s="814"/>
      <c r="CR18" s="814"/>
      <c r="CS18" s="852"/>
      <c r="CT18" s="852"/>
      <c r="CU18" s="852"/>
      <c r="CV18" s="852"/>
      <c r="CW18" s="852"/>
      <c r="CX18" s="852"/>
      <c r="CY18" s="852"/>
      <c r="CZ18" s="875"/>
      <c r="DA18" s="879"/>
      <c r="DB18" s="879"/>
      <c r="DC18" s="959"/>
      <c r="DD18" s="959"/>
      <c r="DE18" s="959"/>
      <c r="DF18" s="888"/>
      <c r="DG18" s="888"/>
      <c r="DH18" s="888"/>
      <c r="DI18" s="888"/>
      <c r="DJ18" s="888"/>
      <c r="DK18" s="888"/>
      <c r="DL18" s="888"/>
      <c r="DM18" s="888"/>
      <c r="DN18" s="888"/>
      <c r="DO18" s="888"/>
      <c r="DP18" s="888"/>
      <c r="DQ18" s="954"/>
      <c r="DR18" s="954"/>
      <c r="DS18" s="954"/>
      <c r="DT18" s="954"/>
      <c r="DU18" s="949"/>
      <c r="DV18" s="954"/>
      <c r="DW18" s="954"/>
      <c r="DX18" s="954"/>
      <c r="DY18" s="954"/>
      <c r="DZ18" s="954"/>
      <c r="EA18" s="954"/>
      <c r="EB18" s="954"/>
      <c r="EC18" s="954" t="s">
        <v>1307</v>
      </c>
      <c r="ED18" s="952"/>
      <c r="EE18" s="933"/>
      <c r="EF18" s="933"/>
      <c r="EG18" s="933"/>
      <c r="EH18" s="933"/>
      <c r="EI18" s="933"/>
      <c r="EJ18" s="933"/>
      <c r="EK18" s="952"/>
      <c r="EL18" s="975"/>
      <c r="EM18" s="975"/>
      <c r="EN18" s="975"/>
      <c r="EO18" s="975"/>
      <c r="EP18" s="975"/>
      <c r="EQ18" s="975"/>
      <c r="ER18" s="975"/>
      <c r="ES18" s="975"/>
      <c r="ET18" s="975"/>
      <c r="EU18" s="933"/>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c r="HM18" s="896"/>
      <c r="HN18" s="896"/>
      <c r="HO18" s="896"/>
      <c r="HP18" s="896"/>
      <c r="HQ18" s="896"/>
      <c r="HR18" s="896"/>
      <c r="HS18" s="896"/>
      <c r="HT18" s="896"/>
      <c r="HU18" s="896"/>
      <c r="HV18" s="896"/>
      <c r="HW18" s="896"/>
      <c r="HX18" s="896"/>
      <c r="HY18" s="896"/>
      <c r="HZ18" s="896"/>
      <c r="IA18" s="896"/>
      <c r="IB18" s="896"/>
      <c r="IC18" s="896"/>
      <c r="ID18" s="896"/>
      <c r="IE18" s="896"/>
      <c r="IF18" s="896"/>
      <c r="IG18" s="896"/>
      <c r="IH18" s="896"/>
      <c r="II18" s="896"/>
      <c r="IJ18" s="896"/>
      <c r="IK18" s="896"/>
      <c r="IL18" s="896"/>
      <c r="IM18" s="896"/>
      <c r="IN18" s="896"/>
      <c r="IO18" s="896"/>
      <c r="IP18" s="896"/>
      <c r="IQ18" s="896"/>
      <c r="IR18" s="896"/>
      <c r="IS18" s="896"/>
      <c r="IT18" s="896"/>
      <c r="IU18" s="896"/>
      <c r="IV18" s="896"/>
      <c r="IW18" s="896"/>
      <c r="IX18" s="896"/>
      <c r="IY18" s="896"/>
      <c r="IZ18" s="896"/>
      <c r="JA18" s="896"/>
      <c r="JB18" s="896"/>
      <c r="JC18" s="896"/>
      <c r="JD18" s="896"/>
      <c r="JE18" s="896"/>
      <c r="JF18" s="896"/>
      <c r="JG18" s="896"/>
      <c r="JH18" s="896"/>
      <c r="JI18" s="896"/>
      <c r="JJ18" s="896"/>
      <c r="JK18" s="896"/>
      <c r="JL18" s="896"/>
      <c r="JM18" s="896"/>
      <c r="JN18" s="896"/>
      <c r="JO18" s="896"/>
      <c r="JP18" s="896"/>
      <c r="JQ18" s="896"/>
      <c r="JR18" s="896"/>
      <c r="JS18" s="896"/>
      <c r="JT18" s="896"/>
      <c r="JU18" s="896"/>
      <c r="JV18" s="896"/>
      <c r="JW18" s="896"/>
      <c r="JX18" s="896"/>
      <c r="JY18" s="896"/>
      <c r="JZ18" s="896"/>
      <c r="KA18" s="896"/>
      <c r="KB18" s="896"/>
      <c r="KC18" s="896"/>
      <c r="KD18" s="896"/>
      <c r="KE18" s="896"/>
      <c r="KF18" s="896"/>
      <c r="KG18" s="896"/>
      <c r="KH18" s="896"/>
      <c r="KI18" s="896"/>
      <c r="KJ18" s="896"/>
      <c r="KK18" s="896"/>
      <c r="KL18" s="896"/>
      <c r="KM18" s="896"/>
      <c r="KN18" s="896"/>
      <c r="KO18" s="896"/>
      <c r="KP18" s="896"/>
      <c r="KQ18" s="896"/>
      <c r="KR18" s="896"/>
      <c r="KS18" s="896"/>
      <c r="KT18" s="896"/>
      <c r="KU18" s="896"/>
      <c r="KV18" s="896"/>
      <c r="KW18" s="896"/>
      <c r="KX18" s="896"/>
      <c r="KY18" s="896"/>
      <c r="KZ18" s="896"/>
      <c r="LA18" s="896"/>
      <c r="LB18" s="896"/>
      <c r="LC18" s="896"/>
      <c r="LD18" s="896"/>
      <c r="LE18" s="896"/>
      <c r="LF18" s="896"/>
      <c r="LG18" s="896"/>
      <c r="LH18" s="896"/>
      <c r="LI18" s="896"/>
      <c r="LJ18" s="896"/>
      <c r="LK18" s="896"/>
      <c r="LL18" s="896"/>
      <c r="LM18" s="896"/>
      <c r="LN18" s="896"/>
      <c r="LO18" s="896"/>
      <c r="LP18" s="896"/>
      <c r="LQ18" s="896"/>
      <c r="LR18" s="896"/>
      <c r="LS18" s="896"/>
      <c r="LT18" s="896"/>
      <c r="LU18" s="896"/>
      <c r="LV18" s="896"/>
      <c r="LW18" s="896"/>
      <c r="LX18" s="896"/>
      <c r="LY18" s="896"/>
      <c r="LZ18" s="896"/>
      <c r="MA18" s="896"/>
      <c r="MB18" s="896"/>
      <c r="MC18" s="896"/>
      <c r="MD18" s="896"/>
      <c r="ME18" s="896"/>
      <c r="MF18" s="896"/>
      <c r="MG18" s="896"/>
      <c r="MH18" s="896"/>
      <c r="MI18" s="896"/>
      <c r="MJ18" s="896"/>
      <c r="MK18" s="896"/>
      <c r="ML18" s="896"/>
      <c r="MM18" s="896"/>
      <c r="MN18" s="896"/>
      <c r="MO18" s="896"/>
      <c r="MP18" s="896"/>
      <c r="MQ18" s="896"/>
      <c r="MR18" s="896"/>
      <c r="MS18" s="896"/>
      <c r="MT18" s="896"/>
      <c r="MU18" s="896"/>
      <c r="MV18" s="896"/>
      <c r="MW18" s="896"/>
      <c r="MX18" s="896"/>
      <c r="MY18" s="896"/>
      <c r="MZ18" s="896"/>
      <c r="NA18" s="896"/>
      <c r="NB18" s="896"/>
      <c r="NC18" s="896"/>
      <c r="ND18" s="896"/>
      <c r="NE18" s="896"/>
      <c r="NF18" s="896"/>
      <c r="NG18" s="896"/>
      <c r="NH18" s="896"/>
      <c r="NI18" s="896"/>
      <c r="NJ18" s="896"/>
      <c r="NK18" s="896"/>
      <c r="NL18" s="896"/>
      <c r="NM18" s="896"/>
      <c r="NN18" s="896"/>
      <c r="NO18" s="896"/>
      <c r="NP18" s="896"/>
      <c r="NQ18" s="896"/>
      <c r="NR18" s="896"/>
      <c r="NS18" s="896"/>
      <c r="NT18" s="896"/>
      <c r="NU18" s="896"/>
      <c r="NV18" s="896"/>
      <c r="NW18" s="896"/>
      <c r="NX18" s="896"/>
      <c r="NY18" s="896"/>
      <c r="NZ18" s="896"/>
      <c r="OA18" s="896"/>
      <c r="OB18" s="896"/>
      <c r="OC18" s="896"/>
      <c r="OD18" s="896"/>
      <c r="OE18" s="896"/>
      <c r="OF18" s="896"/>
      <c r="OG18" s="896"/>
      <c r="OH18" s="896"/>
      <c r="OI18" s="896"/>
      <c r="OJ18" s="896"/>
      <c r="OK18" s="896"/>
      <c r="OL18" s="896"/>
      <c r="OM18" s="896"/>
      <c r="ON18" s="896"/>
      <c r="OO18" s="896"/>
      <c r="OP18" s="896"/>
      <c r="OQ18" s="896"/>
      <c r="OR18" s="896"/>
      <c r="OS18" s="896"/>
      <c r="OT18" s="896"/>
      <c r="OU18" s="896"/>
      <c r="OV18" s="896"/>
      <c r="OW18" s="896"/>
      <c r="OX18" s="896"/>
      <c r="OY18" s="896"/>
      <c r="OZ18" s="896"/>
      <c r="PA18" s="896"/>
      <c r="PB18" s="896"/>
      <c r="PC18" s="896"/>
      <c r="PD18" s="896"/>
      <c r="PE18" s="896"/>
      <c r="PF18" s="896"/>
      <c r="PG18" s="896"/>
      <c r="PH18" s="896"/>
      <c r="PI18" s="896"/>
      <c r="PJ18" s="896"/>
      <c r="PK18" s="896"/>
      <c r="PL18" s="896"/>
      <c r="PM18" s="896"/>
      <c r="PN18" s="896"/>
      <c r="PO18" s="896"/>
      <c r="PP18" s="896"/>
      <c r="PQ18" s="896"/>
      <c r="PR18" s="896"/>
      <c r="PS18" s="896"/>
      <c r="PT18" s="896"/>
      <c r="PU18" s="896"/>
      <c r="PV18" s="896"/>
      <c r="PW18" s="896"/>
      <c r="PX18" s="896"/>
      <c r="PY18" s="896"/>
      <c r="PZ18" s="896"/>
      <c r="QA18" s="896"/>
      <c r="QB18" s="896"/>
      <c r="QC18" s="896"/>
      <c r="QD18" s="896"/>
      <c r="QE18" s="896"/>
      <c r="QF18" s="896"/>
      <c r="QG18" s="896"/>
    </row>
    <row r="19" spans="1:449" s="773" customFormat="1" ht="120" x14ac:dyDescent="0.2">
      <c r="A19" s="938"/>
      <c r="B19" s="973" t="s">
        <v>1122</v>
      </c>
      <c r="C19" s="890"/>
      <c r="D19" s="890"/>
      <c r="E19" s="890"/>
      <c r="F19" s="890"/>
      <c r="G19" s="890"/>
      <c r="H19" s="890"/>
      <c r="I19" s="890"/>
      <c r="J19" s="890"/>
      <c r="K19" s="890"/>
      <c r="L19" s="890"/>
      <c r="M19" s="890"/>
      <c r="N19" s="890"/>
      <c r="O19" s="890"/>
      <c r="P19" s="890"/>
      <c r="Q19" s="890"/>
      <c r="R19" s="890"/>
      <c r="S19" s="890"/>
      <c r="T19" s="890"/>
      <c r="U19" s="890"/>
      <c r="V19" s="890"/>
      <c r="W19" s="890"/>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2"/>
      <c r="BP19" s="892"/>
      <c r="BQ19" s="892"/>
      <c r="BR19" s="892"/>
      <c r="BS19" s="892"/>
      <c r="BT19" s="892"/>
      <c r="BU19" s="892"/>
      <c r="BV19" s="892"/>
      <c r="BW19" s="892"/>
      <c r="BX19" s="892"/>
      <c r="BY19" s="892"/>
      <c r="BZ19" s="892"/>
      <c r="CA19" s="892"/>
      <c r="CB19" s="892"/>
      <c r="CC19" s="892"/>
      <c r="CD19" s="892"/>
      <c r="CE19" s="892"/>
      <c r="CF19" s="814"/>
      <c r="CG19" s="814"/>
      <c r="CH19" s="814"/>
      <c r="CI19" s="814"/>
      <c r="CJ19" s="814"/>
      <c r="CK19" s="814"/>
      <c r="CL19" s="814"/>
      <c r="CM19" s="814"/>
      <c r="CN19" s="814"/>
      <c r="CO19" s="814"/>
      <c r="CP19" s="814"/>
      <c r="CQ19" s="814"/>
      <c r="CR19" s="814"/>
      <c r="CS19" s="889"/>
      <c r="CT19" s="889"/>
      <c r="CU19" s="889"/>
      <c r="CV19" s="889"/>
      <c r="CW19" s="889"/>
      <c r="CX19" s="889"/>
      <c r="CY19" s="889"/>
      <c r="CZ19" s="875"/>
      <c r="DA19" s="889"/>
      <c r="DB19" s="889"/>
      <c r="DC19" s="892"/>
      <c r="DD19" s="892"/>
      <c r="DE19" s="892"/>
      <c r="DF19" s="887"/>
      <c r="DG19" s="887"/>
      <c r="DH19" s="887"/>
      <c r="DI19" s="887"/>
      <c r="DJ19" s="887"/>
      <c r="DK19" s="887" t="s">
        <v>1123</v>
      </c>
      <c r="DL19" s="887"/>
      <c r="DM19" s="887"/>
      <c r="DN19" s="887"/>
      <c r="DO19" s="887"/>
      <c r="DP19" s="887"/>
      <c r="DQ19" s="954"/>
      <c r="DR19" s="954"/>
      <c r="DS19" s="954"/>
      <c r="DT19" s="954"/>
      <c r="DU19" s="949"/>
      <c r="DV19" s="954"/>
      <c r="DW19" s="954"/>
      <c r="DX19" s="954"/>
      <c r="DY19" s="954"/>
      <c r="DZ19" s="954"/>
      <c r="EA19" s="954"/>
      <c r="EB19" s="954"/>
      <c r="EC19" s="772"/>
      <c r="ED19" s="952"/>
      <c r="EE19" s="933"/>
      <c r="EF19" s="933"/>
      <c r="EG19" s="933"/>
      <c r="EH19" s="933"/>
      <c r="EI19" s="933"/>
      <c r="EJ19" s="933"/>
      <c r="EK19" s="952"/>
      <c r="EL19" s="975"/>
      <c r="EM19" s="975"/>
      <c r="EN19" s="975"/>
      <c r="EO19" s="975"/>
      <c r="EP19" s="975"/>
      <c r="EQ19" s="975"/>
      <c r="ER19" s="975"/>
      <c r="ES19" s="975"/>
      <c r="ET19" s="975" t="s">
        <v>1453</v>
      </c>
      <c r="EU19" s="933"/>
      <c r="EV19" s="896"/>
      <c r="EW19" s="896"/>
      <c r="EX19" s="896"/>
      <c r="EY19" s="896"/>
      <c r="EZ19" s="896"/>
      <c r="FA19" s="896"/>
      <c r="FB19" s="896"/>
      <c r="FC19" s="896"/>
      <c r="FD19" s="896"/>
      <c r="FE19" s="896"/>
      <c r="FF19" s="896"/>
      <c r="FG19" s="896"/>
      <c r="FH19" s="896"/>
      <c r="FI19" s="896"/>
      <c r="FJ19" s="896"/>
      <c r="FK19" s="896"/>
      <c r="FL19" s="896"/>
      <c r="FM19" s="896"/>
      <c r="FN19" s="896"/>
      <c r="FO19" s="896"/>
      <c r="FP19" s="896"/>
      <c r="FQ19" s="896"/>
      <c r="FR19" s="896"/>
      <c r="FS19" s="896"/>
      <c r="FT19" s="896"/>
      <c r="FU19" s="896"/>
      <c r="FV19" s="896"/>
      <c r="FW19" s="896"/>
      <c r="FX19" s="896"/>
      <c r="FY19" s="896"/>
      <c r="FZ19" s="896"/>
      <c r="GA19" s="896"/>
      <c r="GB19" s="896"/>
      <c r="GC19" s="896"/>
      <c r="GD19" s="896"/>
      <c r="GE19" s="896"/>
      <c r="GF19" s="896"/>
      <c r="GG19" s="896"/>
      <c r="GH19" s="896"/>
      <c r="GI19" s="896"/>
      <c r="GJ19" s="896"/>
      <c r="GK19" s="896"/>
      <c r="GL19" s="896"/>
      <c r="GM19" s="896"/>
      <c r="GN19" s="896"/>
      <c r="GO19" s="896"/>
      <c r="GP19" s="896"/>
      <c r="GQ19" s="896"/>
      <c r="GR19" s="896"/>
      <c r="GS19" s="896"/>
      <c r="GT19" s="896"/>
      <c r="GU19" s="896"/>
      <c r="GV19" s="896"/>
      <c r="GW19" s="896"/>
      <c r="GX19" s="896"/>
      <c r="GY19" s="896"/>
      <c r="GZ19" s="896"/>
      <c r="HA19" s="896"/>
      <c r="HB19" s="896"/>
      <c r="HC19" s="896"/>
      <c r="HD19" s="896"/>
      <c r="HE19" s="896"/>
      <c r="HF19" s="896"/>
      <c r="HG19" s="896"/>
      <c r="HH19" s="896"/>
      <c r="HI19" s="896"/>
      <c r="HJ19" s="896"/>
      <c r="HK19" s="896"/>
      <c r="HL19" s="896"/>
      <c r="HM19" s="896"/>
      <c r="HN19" s="896"/>
      <c r="HO19" s="896"/>
      <c r="HP19" s="896"/>
      <c r="HQ19" s="896"/>
      <c r="HR19" s="896"/>
      <c r="HS19" s="896"/>
      <c r="HT19" s="896"/>
      <c r="HU19" s="896"/>
      <c r="HV19" s="896"/>
      <c r="HW19" s="896"/>
      <c r="HX19" s="896"/>
      <c r="HY19" s="896"/>
      <c r="HZ19" s="896"/>
      <c r="IA19" s="896"/>
      <c r="IB19" s="896"/>
      <c r="IC19" s="896"/>
      <c r="ID19" s="896"/>
      <c r="IE19" s="896"/>
      <c r="IF19" s="896"/>
      <c r="IG19" s="896"/>
      <c r="IH19" s="896"/>
      <c r="II19" s="896"/>
      <c r="IJ19" s="896"/>
      <c r="IK19" s="896"/>
      <c r="IL19" s="896"/>
      <c r="IM19" s="896"/>
      <c r="IN19" s="896"/>
      <c r="IO19" s="896"/>
      <c r="IP19" s="896"/>
      <c r="IQ19" s="896"/>
      <c r="IR19" s="896"/>
      <c r="IS19" s="896"/>
      <c r="IT19" s="896"/>
      <c r="IU19" s="896"/>
      <c r="IV19" s="896"/>
      <c r="IW19" s="896"/>
      <c r="IX19" s="896"/>
      <c r="IY19" s="896"/>
      <c r="IZ19" s="896"/>
      <c r="JA19" s="896"/>
      <c r="JB19" s="896"/>
      <c r="JC19" s="896"/>
      <c r="JD19" s="896"/>
      <c r="JE19" s="896"/>
      <c r="JF19" s="896"/>
      <c r="JG19" s="896"/>
      <c r="JH19" s="896"/>
      <c r="JI19" s="896"/>
      <c r="JJ19" s="896"/>
      <c r="JK19" s="896"/>
      <c r="JL19" s="896"/>
      <c r="JM19" s="896"/>
      <c r="JN19" s="896"/>
      <c r="JO19" s="896"/>
      <c r="JP19" s="896"/>
      <c r="JQ19" s="896"/>
      <c r="JR19" s="896"/>
      <c r="JS19" s="896"/>
      <c r="JT19" s="896"/>
      <c r="JU19" s="896"/>
      <c r="JV19" s="896"/>
      <c r="JW19" s="896"/>
      <c r="JX19" s="896"/>
      <c r="JY19" s="896"/>
      <c r="JZ19" s="896"/>
      <c r="KA19" s="896"/>
      <c r="KB19" s="896"/>
      <c r="KC19" s="896"/>
      <c r="KD19" s="896"/>
      <c r="KE19" s="896"/>
      <c r="KF19" s="896"/>
      <c r="KG19" s="896"/>
      <c r="KH19" s="896"/>
      <c r="KI19" s="896"/>
      <c r="KJ19" s="896"/>
      <c r="KK19" s="896"/>
      <c r="KL19" s="896"/>
      <c r="KM19" s="896"/>
      <c r="KN19" s="896"/>
      <c r="KO19" s="896"/>
      <c r="KP19" s="896"/>
      <c r="KQ19" s="896"/>
      <c r="KR19" s="896"/>
      <c r="KS19" s="896"/>
      <c r="KT19" s="896"/>
      <c r="KU19" s="896"/>
      <c r="KV19" s="896"/>
      <c r="KW19" s="896"/>
      <c r="KX19" s="896"/>
      <c r="KY19" s="896"/>
      <c r="KZ19" s="896"/>
      <c r="LA19" s="896"/>
      <c r="LB19" s="896"/>
      <c r="LC19" s="896"/>
      <c r="LD19" s="896"/>
      <c r="LE19" s="896"/>
      <c r="LF19" s="896"/>
      <c r="LG19" s="896"/>
      <c r="LH19" s="896"/>
      <c r="LI19" s="896"/>
      <c r="LJ19" s="896"/>
      <c r="LK19" s="896"/>
      <c r="LL19" s="896"/>
      <c r="LM19" s="896"/>
      <c r="LN19" s="896"/>
      <c r="LO19" s="896"/>
      <c r="LP19" s="896"/>
      <c r="LQ19" s="896"/>
      <c r="LR19" s="896"/>
      <c r="LS19" s="896"/>
      <c r="LT19" s="896"/>
      <c r="LU19" s="896"/>
      <c r="LV19" s="896"/>
      <c r="LW19" s="896"/>
      <c r="LX19" s="896"/>
      <c r="LY19" s="896"/>
      <c r="LZ19" s="896"/>
      <c r="MA19" s="896"/>
      <c r="MB19" s="896"/>
      <c r="MC19" s="896"/>
      <c r="MD19" s="896"/>
      <c r="ME19" s="896"/>
      <c r="MF19" s="896"/>
      <c r="MG19" s="896"/>
      <c r="MH19" s="896"/>
      <c r="MI19" s="896"/>
      <c r="MJ19" s="896"/>
      <c r="MK19" s="896"/>
      <c r="ML19" s="896"/>
      <c r="MM19" s="896"/>
      <c r="MN19" s="896"/>
      <c r="MO19" s="896"/>
      <c r="MP19" s="896"/>
      <c r="MQ19" s="896"/>
      <c r="MR19" s="896"/>
      <c r="MS19" s="896"/>
      <c r="MT19" s="896"/>
      <c r="MU19" s="896"/>
      <c r="MV19" s="896"/>
      <c r="MW19" s="896"/>
      <c r="MX19" s="896"/>
      <c r="MY19" s="896"/>
      <c r="MZ19" s="896"/>
      <c r="NA19" s="896"/>
      <c r="NB19" s="896"/>
      <c r="NC19" s="896"/>
      <c r="ND19" s="896"/>
      <c r="NE19" s="896"/>
      <c r="NF19" s="896"/>
      <c r="NG19" s="896"/>
      <c r="NH19" s="896"/>
      <c r="NI19" s="896"/>
      <c r="NJ19" s="896"/>
      <c r="NK19" s="896"/>
      <c r="NL19" s="896"/>
      <c r="NM19" s="896"/>
      <c r="NN19" s="896"/>
      <c r="NO19" s="896"/>
      <c r="NP19" s="896"/>
      <c r="NQ19" s="896"/>
      <c r="NR19" s="896"/>
      <c r="NS19" s="896"/>
      <c r="NT19" s="896"/>
      <c r="NU19" s="896"/>
      <c r="NV19" s="896"/>
      <c r="NW19" s="896"/>
      <c r="NX19" s="896"/>
      <c r="NY19" s="896"/>
      <c r="NZ19" s="896"/>
      <c r="OA19" s="896"/>
      <c r="OB19" s="896"/>
      <c r="OC19" s="896"/>
      <c r="OD19" s="896"/>
      <c r="OE19" s="896"/>
      <c r="OF19" s="896"/>
      <c r="OG19" s="896"/>
      <c r="OH19" s="896"/>
      <c r="OI19" s="896"/>
      <c r="OJ19" s="896"/>
      <c r="OK19" s="896"/>
      <c r="OL19" s="896"/>
      <c r="OM19" s="896"/>
      <c r="ON19" s="896"/>
      <c r="OO19" s="896"/>
      <c r="OP19" s="896"/>
      <c r="OQ19" s="896"/>
      <c r="OR19" s="896"/>
      <c r="OS19" s="896"/>
      <c r="OT19" s="896"/>
      <c r="OU19" s="896"/>
      <c r="OV19" s="896"/>
      <c r="OW19" s="896"/>
      <c r="OX19" s="896"/>
      <c r="OY19" s="896"/>
      <c r="OZ19" s="896"/>
      <c r="PA19" s="896"/>
      <c r="PB19" s="896"/>
      <c r="PC19" s="896"/>
      <c r="PD19" s="896"/>
      <c r="PE19" s="896"/>
      <c r="PF19" s="896"/>
      <c r="PG19" s="896"/>
      <c r="PH19" s="896"/>
      <c r="PI19" s="896"/>
      <c r="PJ19" s="896"/>
      <c r="PK19" s="896"/>
      <c r="PL19" s="896"/>
      <c r="PM19" s="896"/>
      <c r="PN19" s="896"/>
      <c r="PO19" s="896"/>
      <c r="PP19" s="896"/>
      <c r="PQ19" s="896"/>
      <c r="PR19" s="896"/>
      <c r="PS19" s="896"/>
      <c r="PT19" s="896"/>
      <c r="PU19" s="896"/>
      <c r="PV19" s="896"/>
      <c r="PW19" s="896"/>
      <c r="PX19" s="896"/>
      <c r="PY19" s="896"/>
      <c r="PZ19" s="896"/>
      <c r="QA19" s="896"/>
      <c r="QB19" s="896"/>
      <c r="QC19" s="896"/>
      <c r="QD19" s="896"/>
      <c r="QE19" s="896"/>
      <c r="QF19" s="896"/>
      <c r="QG19" s="896"/>
    </row>
    <row r="20" spans="1:449" s="773" customFormat="1" ht="37.5" customHeight="1" x14ac:dyDescent="0.2">
      <c r="A20" s="938"/>
      <c r="B20" s="973" t="s">
        <v>1124</v>
      </c>
      <c r="C20" s="890"/>
      <c r="D20" s="890"/>
      <c r="E20" s="890"/>
      <c r="F20" s="890"/>
      <c r="G20" s="890"/>
      <c r="H20" s="890"/>
      <c r="I20" s="890"/>
      <c r="J20" s="890"/>
      <c r="K20" s="890"/>
      <c r="L20" s="890"/>
      <c r="M20" s="890"/>
      <c r="N20" s="890"/>
      <c r="O20" s="890"/>
      <c r="P20" s="890"/>
      <c r="Q20" s="890"/>
      <c r="R20" s="890"/>
      <c r="S20" s="890"/>
      <c r="T20" s="890"/>
      <c r="U20" s="890"/>
      <c r="V20" s="890"/>
      <c r="W20" s="890"/>
      <c r="X20" s="890"/>
      <c r="Y20" s="890"/>
      <c r="Z20" s="890"/>
      <c r="AA20" s="890"/>
      <c r="AB20" s="890"/>
      <c r="AC20" s="890"/>
      <c r="AD20" s="890"/>
      <c r="AE20" s="890"/>
      <c r="AF20" s="890"/>
      <c r="AG20" s="890"/>
      <c r="AH20" s="890"/>
      <c r="AI20" s="890"/>
      <c r="AJ20" s="890"/>
      <c r="AK20" s="890"/>
      <c r="AL20" s="890"/>
      <c r="AM20" s="890"/>
      <c r="AN20" s="890"/>
      <c r="AO20" s="890"/>
      <c r="AP20" s="890"/>
      <c r="AQ20" s="890"/>
      <c r="AR20" s="890"/>
      <c r="AS20" s="890"/>
      <c r="AT20" s="890"/>
      <c r="AU20" s="890"/>
      <c r="AV20" s="890"/>
      <c r="AW20" s="890"/>
      <c r="AX20" s="890"/>
      <c r="AY20" s="890"/>
      <c r="AZ20" s="890"/>
      <c r="BA20" s="890"/>
      <c r="BB20" s="890"/>
      <c r="BC20" s="890"/>
      <c r="BD20" s="890"/>
      <c r="BE20" s="890"/>
      <c r="BF20" s="890"/>
      <c r="BG20" s="890"/>
      <c r="BH20" s="890"/>
      <c r="BI20" s="890"/>
      <c r="BJ20" s="890"/>
      <c r="BK20" s="890"/>
      <c r="BL20" s="890"/>
      <c r="BM20" s="890"/>
      <c r="BN20" s="890"/>
      <c r="BO20" s="892"/>
      <c r="BP20" s="892"/>
      <c r="BQ20" s="892"/>
      <c r="BR20" s="892"/>
      <c r="BS20" s="892"/>
      <c r="BT20" s="892"/>
      <c r="BU20" s="892"/>
      <c r="BV20" s="892"/>
      <c r="BW20" s="892"/>
      <c r="BX20" s="892"/>
      <c r="BY20" s="892"/>
      <c r="BZ20" s="892"/>
      <c r="CA20" s="892"/>
      <c r="CB20" s="892"/>
      <c r="CC20" s="892"/>
      <c r="CD20" s="892"/>
      <c r="CE20" s="892"/>
      <c r="CF20" s="814"/>
      <c r="CG20" s="814"/>
      <c r="CH20" s="814"/>
      <c r="CI20" s="814"/>
      <c r="CJ20" s="814"/>
      <c r="CK20" s="814"/>
      <c r="CL20" s="814"/>
      <c r="CM20" s="814"/>
      <c r="CN20" s="814"/>
      <c r="CO20" s="814"/>
      <c r="CP20" s="814"/>
      <c r="CQ20" s="814"/>
      <c r="CR20" s="814"/>
      <c r="CS20" s="889"/>
      <c r="CT20" s="889"/>
      <c r="CU20" s="889"/>
      <c r="CV20" s="889"/>
      <c r="CW20" s="889"/>
      <c r="CX20" s="889"/>
      <c r="CY20" s="889"/>
      <c r="CZ20" s="875"/>
      <c r="DA20" s="889"/>
      <c r="DB20" s="889"/>
      <c r="DC20" s="892"/>
      <c r="DD20" s="892"/>
      <c r="DE20" s="892"/>
      <c r="DF20" s="887"/>
      <c r="DG20" s="887"/>
      <c r="DH20" s="887"/>
      <c r="DI20" s="887"/>
      <c r="DJ20" s="887"/>
      <c r="DK20" s="887"/>
      <c r="DL20" s="887"/>
      <c r="DM20" s="887" t="s">
        <v>1137</v>
      </c>
      <c r="DN20" s="887"/>
      <c r="DO20" s="887"/>
      <c r="DP20" s="887"/>
      <c r="DQ20" s="954"/>
      <c r="DR20" s="954"/>
      <c r="DS20" s="954"/>
      <c r="DT20" s="954"/>
      <c r="DU20" s="949"/>
      <c r="DV20" s="954"/>
      <c r="DW20" s="954"/>
      <c r="DX20" s="954"/>
      <c r="DY20" s="954"/>
      <c r="DZ20" s="954"/>
      <c r="EA20" s="954"/>
      <c r="EB20" s="954"/>
      <c r="EC20" s="933"/>
      <c r="ED20" s="952"/>
      <c r="EE20" s="933"/>
      <c r="EF20" s="933"/>
      <c r="EG20" s="933"/>
      <c r="EH20" s="933"/>
      <c r="EI20" s="933"/>
      <c r="EJ20" s="933"/>
      <c r="EK20" s="952"/>
      <c r="EL20" s="976"/>
      <c r="EM20" s="976"/>
      <c r="EN20" s="976"/>
      <c r="EO20" s="976"/>
      <c r="EP20" s="976"/>
      <c r="EQ20" s="976"/>
      <c r="ER20" s="976"/>
      <c r="ES20" s="976"/>
      <c r="ET20" s="976"/>
      <c r="EU20" s="933"/>
      <c r="EV20" s="896"/>
      <c r="EW20" s="896"/>
      <c r="EX20" s="896"/>
      <c r="EY20" s="896"/>
      <c r="EZ20" s="896"/>
      <c r="FA20" s="896"/>
      <c r="FB20" s="896"/>
      <c r="FC20" s="896"/>
      <c r="FD20" s="896"/>
      <c r="FE20" s="896"/>
      <c r="FF20" s="896"/>
      <c r="FG20" s="896"/>
      <c r="FH20" s="896"/>
      <c r="FI20" s="896"/>
      <c r="FJ20" s="896"/>
      <c r="FK20" s="896"/>
      <c r="FL20" s="896"/>
      <c r="FM20" s="896"/>
      <c r="FN20" s="896"/>
      <c r="FO20" s="896"/>
      <c r="FP20" s="896"/>
      <c r="FQ20" s="896"/>
      <c r="FR20" s="896"/>
      <c r="FS20" s="896"/>
      <c r="FT20" s="896"/>
      <c r="FU20" s="896"/>
      <c r="FV20" s="896"/>
      <c r="FW20" s="896"/>
      <c r="FX20" s="896"/>
      <c r="FY20" s="896"/>
      <c r="FZ20" s="896"/>
      <c r="GA20" s="896"/>
      <c r="GB20" s="896"/>
      <c r="GC20" s="896"/>
      <c r="GD20" s="896"/>
      <c r="GE20" s="896"/>
      <c r="GF20" s="896"/>
      <c r="GG20" s="896"/>
      <c r="GH20" s="896"/>
      <c r="GI20" s="896"/>
      <c r="GJ20" s="896"/>
      <c r="GK20" s="896"/>
      <c r="GL20" s="896"/>
      <c r="GM20" s="896"/>
      <c r="GN20" s="896"/>
      <c r="GO20" s="896"/>
      <c r="GP20" s="896"/>
      <c r="GQ20" s="896"/>
      <c r="GR20" s="896"/>
      <c r="GS20" s="896"/>
      <c r="GT20" s="896"/>
      <c r="GU20" s="896"/>
      <c r="GV20" s="896"/>
      <c r="GW20" s="896"/>
      <c r="GX20" s="896"/>
      <c r="GY20" s="896"/>
      <c r="GZ20" s="896"/>
      <c r="HA20" s="896"/>
      <c r="HB20" s="896"/>
      <c r="HC20" s="896"/>
      <c r="HD20" s="896"/>
      <c r="HE20" s="896"/>
      <c r="HF20" s="896"/>
      <c r="HG20" s="896"/>
      <c r="HH20" s="896"/>
      <c r="HI20" s="896"/>
      <c r="HJ20" s="896"/>
      <c r="HK20" s="896"/>
      <c r="HL20" s="896"/>
      <c r="HM20" s="896"/>
      <c r="HN20" s="896"/>
      <c r="HO20" s="896"/>
      <c r="HP20" s="896"/>
      <c r="HQ20" s="896"/>
      <c r="HR20" s="896"/>
      <c r="HS20" s="896"/>
      <c r="HT20" s="896"/>
      <c r="HU20" s="896"/>
      <c r="HV20" s="896"/>
      <c r="HW20" s="896"/>
      <c r="HX20" s="896"/>
      <c r="HY20" s="896"/>
      <c r="HZ20" s="896"/>
      <c r="IA20" s="896"/>
      <c r="IB20" s="896"/>
      <c r="IC20" s="896"/>
      <c r="ID20" s="896"/>
      <c r="IE20" s="896"/>
      <c r="IF20" s="896"/>
      <c r="IG20" s="896"/>
      <c r="IH20" s="896"/>
      <c r="II20" s="896"/>
      <c r="IJ20" s="896"/>
      <c r="IK20" s="896"/>
      <c r="IL20" s="896"/>
      <c r="IM20" s="896"/>
      <c r="IN20" s="896"/>
      <c r="IO20" s="896"/>
      <c r="IP20" s="896"/>
      <c r="IQ20" s="896"/>
      <c r="IR20" s="896"/>
      <c r="IS20" s="896"/>
      <c r="IT20" s="896"/>
      <c r="IU20" s="896"/>
      <c r="IV20" s="896"/>
      <c r="IW20" s="896"/>
      <c r="IX20" s="896"/>
      <c r="IY20" s="896"/>
      <c r="IZ20" s="896"/>
      <c r="JA20" s="896"/>
      <c r="JB20" s="896"/>
      <c r="JC20" s="896"/>
      <c r="JD20" s="896"/>
      <c r="JE20" s="896"/>
      <c r="JF20" s="896"/>
      <c r="JG20" s="896"/>
      <c r="JH20" s="896"/>
      <c r="JI20" s="896"/>
      <c r="JJ20" s="896"/>
      <c r="JK20" s="896"/>
      <c r="JL20" s="896"/>
      <c r="JM20" s="896"/>
      <c r="JN20" s="896"/>
      <c r="JO20" s="896"/>
      <c r="JP20" s="896"/>
      <c r="JQ20" s="896"/>
      <c r="JR20" s="896"/>
      <c r="JS20" s="896"/>
      <c r="JT20" s="896"/>
      <c r="JU20" s="896"/>
      <c r="JV20" s="896"/>
      <c r="JW20" s="896"/>
      <c r="JX20" s="896"/>
      <c r="JY20" s="896"/>
      <c r="JZ20" s="896"/>
      <c r="KA20" s="896"/>
      <c r="KB20" s="896"/>
      <c r="KC20" s="896"/>
      <c r="KD20" s="896"/>
      <c r="KE20" s="896"/>
      <c r="KF20" s="896"/>
      <c r="KG20" s="896"/>
      <c r="KH20" s="896"/>
      <c r="KI20" s="896"/>
      <c r="KJ20" s="896"/>
      <c r="KK20" s="896"/>
      <c r="KL20" s="896"/>
      <c r="KM20" s="896"/>
      <c r="KN20" s="896"/>
      <c r="KO20" s="896"/>
      <c r="KP20" s="896"/>
      <c r="KQ20" s="896"/>
      <c r="KR20" s="896"/>
      <c r="KS20" s="896"/>
      <c r="KT20" s="896"/>
      <c r="KU20" s="896"/>
      <c r="KV20" s="896"/>
      <c r="KW20" s="896"/>
      <c r="KX20" s="896"/>
      <c r="KY20" s="896"/>
      <c r="KZ20" s="896"/>
      <c r="LA20" s="896"/>
      <c r="LB20" s="896"/>
      <c r="LC20" s="896"/>
      <c r="LD20" s="896"/>
      <c r="LE20" s="896"/>
      <c r="LF20" s="896"/>
      <c r="LG20" s="896"/>
      <c r="LH20" s="896"/>
      <c r="LI20" s="896"/>
      <c r="LJ20" s="896"/>
      <c r="LK20" s="896"/>
      <c r="LL20" s="896"/>
      <c r="LM20" s="896"/>
      <c r="LN20" s="896"/>
      <c r="LO20" s="896"/>
      <c r="LP20" s="896"/>
      <c r="LQ20" s="896"/>
      <c r="LR20" s="896"/>
      <c r="LS20" s="896"/>
      <c r="LT20" s="896"/>
      <c r="LU20" s="896"/>
      <c r="LV20" s="896"/>
      <c r="LW20" s="896"/>
      <c r="LX20" s="896"/>
      <c r="LY20" s="896"/>
      <c r="LZ20" s="896"/>
      <c r="MA20" s="896"/>
      <c r="MB20" s="896"/>
      <c r="MC20" s="896"/>
      <c r="MD20" s="896"/>
      <c r="ME20" s="896"/>
      <c r="MF20" s="896"/>
      <c r="MG20" s="896"/>
      <c r="MH20" s="896"/>
      <c r="MI20" s="896"/>
      <c r="MJ20" s="896"/>
      <c r="MK20" s="896"/>
      <c r="ML20" s="896"/>
      <c r="MM20" s="896"/>
      <c r="MN20" s="896"/>
      <c r="MO20" s="896"/>
      <c r="MP20" s="896"/>
      <c r="MQ20" s="896"/>
      <c r="MR20" s="896"/>
      <c r="MS20" s="896"/>
      <c r="MT20" s="896"/>
      <c r="MU20" s="896"/>
      <c r="MV20" s="896"/>
      <c r="MW20" s="896"/>
      <c r="MX20" s="896"/>
      <c r="MY20" s="896"/>
      <c r="MZ20" s="896"/>
      <c r="NA20" s="896"/>
      <c r="NB20" s="896"/>
      <c r="NC20" s="896"/>
      <c r="ND20" s="896"/>
      <c r="NE20" s="896"/>
      <c r="NF20" s="896"/>
      <c r="NG20" s="896"/>
      <c r="NH20" s="896"/>
      <c r="NI20" s="896"/>
      <c r="NJ20" s="896"/>
      <c r="NK20" s="896"/>
      <c r="NL20" s="896"/>
      <c r="NM20" s="896"/>
      <c r="NN20" s="896"/>
      <c r="NO20" s="896"/>
      <c r="NP20" s="896"/>
      <c r="NQ20" s="896"/>
      <c r="NR20" s="896"/>
      <c r="NS20" s="896"/>
      <c r="NT20" s="896"/>
      <c r="NU20" s="896"/>
      <c r="NV20" s="896"/>
      <c r="NW20" s="896"/>
      <c r="NX20" s="896"/>
      <c r="NY20" s="896"/>
      <c r="NZ20" s="896"/>
      <c r="OA20" s="896"/>
      <c r="OB20" s="896"/>
      <c r="OC20" s="896"/>
      <c r="OD20" s="896"/>
      <c r="OE20" s="896"/>
      <c r="OF20" s="896"/>
      <c r="OG20" s="896"/>
      <c r="OH20" s="896"/>
      <c r="OI20" s="896"/>
      <c r="OJ20" s="896"/>
      <c r="OK20" s="896"/>
      <c r="OL20" s="896"/>
      <c r="OM20" s="896"/>
      <c r="ON20" s="896"/>
      <c r="OO20" s="896"/>
      <c r="OP20" s="896"/>
      <c r="OQ20" s="896"/>
      <c r="OR20" s="896"/>
      <c r="OS20" s="896"/>
      <c r="OT20" s="896"/>
      <c r="OU20" s="896"/>
      <c r="OV20" s="896"/>
      <c r="OW20" s="896"/>
      <c r="OX20" s="896"/>
      <c r="OY20" s="896"/>
      <c r="OZ20" s="896"/>
      <c r="PA20" s="896"/>
      <c r="PB20" s="896"/>
      <c r="PC20" s="896"/>
      <c r="PD20" s="896"/>
      <c r="PE20" s="896"/>
      <c r="PF20" s="896"/>
      <c r="PG20" s="896"/>
      <c r="PH20" s="896"/>
      <c r="PI20" s="896"/>
      <c r="PJ20" s="896"/>
      <c r="PK20" s="896"/>
      <c r="PL20" s="896"/>
      <c r="PM20" s="896"/>
      <c r="PN20" s="896"/>
      <c r="PO20" s="896"/>
      <c r="PP20" s="896"/>
      <c r="PQ20" s="896"/>
      <c r="PR20" s="896"/>
      <c r="PS20" s="896"/>
      <c r="PT20" s="896"/>
      <c r="PU20" s="896"/>
      <c r="PV20" s="896"/>
      <c r="PW20" s="896"/>
      <c r="PX20" s="896"/>
      <c r="PY20" s="896"/>
      <c r="PZ20" s="896"/>
      <c r="QA20" s="896"/>
      <c r="QB20" s="896"/>
      <c r="QC20" s="896"/>
      <c r="QD20" s="896"/>
      <c r="QE20" s="896"/>
      <c r="QF20" s="896"/>
      <c r="QG20" s="896"/>
    </row>
    <row r="21" spans="1:449" s="773" customFormat="1" ht="34.5" customHeight="1" x14ac:dyDescent="0.2">
      <c r="A21" s="938"/>
      <c r="B21" s="973" t="s">
        <v>1125</v>
      </c>
      <c r="C21" s="890"/>
      <c r="D21" s="890"/>
      <c r="E21" s="890"/>
      <c r="F21" s="890"/>
      <c r="G21" s="890"/>
      <c r="H21" s="890"/>
      <c r="I21" s="890"/>
      <c r="J21" s="890"/>
      <c r="K21" s="890"/>
      <c r="L21" s="890"/>
      <c r="M21" s="890"/>
      <c r="N21" s="890"/>
      <c r="O21" s="890"/>
      <c r="P21" s="890"/>
      <c r="Q21" s="890"/>
      <c r="R21" s="890"/>
      <c r="S21" s="890"/>
      <c r="T21" s="890"/>
      <c r="U21" s="890"/>
      <c r="V21" s="890"/>
      <c r="W21" s="890"/>
      <c r="X21" s="890"/>
      <c r="Y21" s="890"/>
      <c r="Z21" s="890"/>
      <c r="AA21" s="890"/>
      <c r="AB21" s="890"/>
      <c r="AC21" s="890"/>
      <c r="AD21" s="890"/>
      <c r="AE21" s="890"/>
      <c r="AF21" s="890"/>
      <c r="AG21" s="890"/>
      <c r="AH21" s="890"/>
      <c r="AI21" s="890"/>
      <c r="AJ21" s="890"/>
      <c r="AK21" s="890"/>
      <c r="AL21" s="890"/>
      <c r="AM21" s="890"/>
      <c r="AN21" s="890"/>
      <c r="AO21" s="890"/>
      <c r="AP21" s="890"/>
      <c r="AQ21" s="890"/>
      <c r="AR21" s="890"/>
      <c r="AS21" s="890"/>
      <c r="AT21" s="890"/>
      <c r="AU21" s="890"/>
      <c r="AV21" s="890"/>
      <c r="AW21" s="890"/>
      <c r="AX21" s="890"/>
      <c r="AY21" s="890"/>
      <c r="AZ21" s="890"/>
      <c r="BA21" s="890"/>
      <c r="BB21" s="890"/>
      <c r="BC21" s="890"/>
      <c r="BD21" s="890"/>
      <c r="BE21" s="890"/>
      <c r="BF21" s="890"/>
      <c r="BG21" s="890"/>
      <c r="BH21" s="890"/>
      <c r="BI21" s="890"/>
      <c r="BJ21" s="890"/>
      <c r="BK21" s="890"/>
      <c r="BL21" s="890"/>
      <c r="BM21" s="890"/>
      <c r="BN21" s="890"/>
      <c r="BO21" s="892"/>
      <c r="BP21" s="892"/>
      <c r="BQ21" s="892"/>
      <c r="BR21" s="892"/>
      <c r="BS21" s="892"/>
      <c r="BT21" s="892"/>
      <c r="BU21" s="892"/>
      <c r="BV21" s="892"/>
      <c r="BW21" s="892"/>
      <c r="BX21" s="892"/>
      <c r="BY21" s="892"/>
      <c r="BZ21" s="892"/>
      <c r="CA21" s="892"/>
      <c r="CB21" s="892"/>
      <c r="CC21" s="892"/>
      <c r="CD21" s="892"/>
      <c r="CE21" s="892"/>
      <c r="CF21" s="814"/>
      <c r="CG21" s="814"/>
      <c r="CH21" s="814"/>
      <c r="CI21" s="814"/>
      <c r="CJ21" s="814"/>
      <c r="CK21" s="814"/>
      <c r="CL21" s="814"/>
      <c r="CM21" s="814"/>
      <c r="CN21" s="814"/>
      <c r="CO21" s="814"/>
      <c r="CP21" s="814"/>
      <c r="CQ21" s="814"/>
      <c r="CR21" s="814"/>
      <c r="CS21" s="889"/>
      <c r="CT21" s="889"/>
      <c r="CU21" s="889"/>
      <c r="CV21" s="889"/>
      <c r="CW21" s="889"/>
      <c r="CX21" s="889"/>
      <c r="CY21" s="889"/>
      <c r="CZ21" s="875"/>
      <c r="DA21" s="889"/>
      <c r="DB21" s="889"/>
      <c r="DC21" s="892"/>
      <c r="DD21" s="892"/>
      <c r="DE21" s="892"/>
      <c r="DF21" s="887" t="s">
        <v>1127</v>
      </c>
      <c r="DG21" s="887"/>
      <c r="DH21" s="887"/>
      <c r="DI21" s="887"/>
      <c r="DJ21" s="887"/>
      <c r="DK21" s="887"/>
      <c r="DL21" s="887"/>
      <c r="DM21" s="887" t="s">
        <v>1126</v>
      </c>
      <c r="DN21" s="887"/>
      <c r="DO21" s="887"/>
      <c r="DP21" s="887"/>
      <c r="DQ21" s="954"/>
      <c r="DR21" s="954"/>
      <c r="DS21" s="954"/>
      <c r="DT21" s="954"/>
      <c r="DU21" s="949"/>
      <c r="DV21" s="954"/>
      <c r="DW21" s="954"/>
      <c r="DX21" s="954"/>
      <c r="DY21" s="954"/>
      <c r="DZ21" s="954"/>
      <c r="EA21" s="954"/>
      <c r="EB21" s="954"/>
      <c r="EC21" s="933"/>
      <c r="ED21" s="952"/>
      <c r="EE21" s="933"/>
      <c r="EF21" s="933"/>
      <c r="EG21" s="933"/>
      <c r="EH21" s="933"/>
      <c r="EI21" s="933"/>
      <c r="EJ21" s="933"/>
      <c r="EK21" s="952"/>
      <c r="EL21" s="933"/>
      <c r="EM21" s="933"/>
      <c r="EN21" s="933"/>
      <c r="EO21" s="933"/>
      <c r="EP21" s="933"/>
      <c r="EQ21" s="933"/>
      <c r="ER21" s="933"/>
      <c r="ES21" s="933"/>
      <c r="ET21" s="933"/>
      <c r="EU21" s="933"/>
      <c r="EV21" s="896"/>
      <c r="EW21" s="896"/>
      <c r="EX21" s="896"/>
      <c r="EY21" s="896"/>
      <c r="EZ21" s="896"/>
      <c r="FA21" s="896"/>
      <c r="FB21" s="896"/>
      <c r="FC21" s="896"/>
      <c r="FD21" s="896"/>
      <c r="FE21" s="896"/>
      <c r="FF21" s="896"/>
      <c r="FG21" s="896"/>
      <c r="FH21" s="896"/>
      <c r="FI21" s="896"/>
      <c r="FJ21" s="896"/>
      <c r="FK21" s="896"/>
      <c r="FL21" s="896"/>
      <c r="FM21" s="896"/>
      <c r="FN21" s="896"/>
      <c r="FO21" s="896"/>
      <c r="FP21" s="896"/>
      <c r="FQ21" s="896"/>
      <c r="FR21" s="896"/>
      <c r="FS21" s="896"/>
      <c r="FT21" s="896"/>
      <c r="FU21" s="896"/>
      <c r="FV21" s="896"/>
      <c r="FW21" s="896"/>
      <c r="FX21" s="896"/>
      <c r="FY21" s="896"/>
      <c r="FZ21" s="896"/>
      <c r="GA21" s="896"/>
      <c r="GB21" s="896"/>
      <c r="GC21" s="896"/>
      <c r="GD21" s="896"/>
      <c r="GE21" s="896"/>
      <c r="GF21" s="896"/>
      <c r="GG21" s="896"/>
      <c r="GH21" s="896"/>
      <c r="GI21" s="896"/>
      <c r="GJ21" s="896"/>
      <c r="GK21" s="896"/>
      <c r="GL21" s="896"/>
      <c r="GM21" s="896"/>
      <c r="GN21" s="896"/>
      <c r="GO21" s="896"/>
      <c r="GP21" s="896"/>
      <c r="GQ21" s="896"/>
      <c r="GR21" s="896"/>
      <c r="GS21" s="896"/>
      <c r="GT21" s="896"/>
      <c r="GU21" s="896"/>
      <c r="GV21" s="896"/>
      <c r="GW21" s="896"/>
      <c r="GX21" s="896"/>
      <c r="GY21" s="896"/>
      <c r="GZ21" s="896"/>
      <c r="HA21" s="896"/>
      <c r="HB21" s="896"/>
      <c r="HC21" s="896"/>
      <c r="HD21" s="896"/>
      <c r="HE21" s="896"/>
      <c r="HF21" s="896"/>
      <c r="HG21" s="896"/>
      <c r="HH21" s="896"/>
      <c r="HI21" s="896"/>
      <c r="HJ21" s="896"/>
      <c r="HK21" s="896"/>
      <c r="HL21" s="896"/>
      <c r="HM21" s="896"/>
      <c r="HN21" s="896"/>
      <c r="HO21" s="896"/>
      <c r="HP21" s="896"/>
      <c r="HQ21" s="896"/>
      <c r="HR21" s="896"/>
      <c r="HS21" s="896"/>
      <c r="HT21" s="896"/>
      <c r="HU21" s="896"/>
      <c r="HV21" s="896"/>
      <c r="HW21" s="896"/>
      <c r="HX21" s="896"/>
      <c r="HY21" s="896"/>
      <c r="HZ21" s="896"/>
      <c r="IA21" s="896"/>
      <c r="IB21" s="896"/>
      <c r="IC21" s="896"/>
      <c r="ID21" s="896"/>
      <c r="IE21" s="896"/>
      <c r="IF21" s="896"/>
      <c r="IG21" s="896"/>
      <c r="IH21" s="896"/>
      <c r="II21" s="896"/>
      <c r="IJ21" s="896"/>
      <c r="IK21" s="896"/>
      <c r="IL21" s="896"/>
      <c r="IM21" s="896"/>
      <c r="IN21" s="896"/>
      <c r="IO21" s="896"/>
      <c r="IP21" s="896"/>
      <c r="IQ21" s="896"/>
      <c r="IR21" s="896"/>
      <c r="IS21" s="896"/>
      <c r="IT21" s="896"/>
      <c r="IU21" s="896"/>
      <c r="IV21" s="896"/>
      <c r="IW21" s="896"/>
      <c r="IX21" s="896"/>
      <c r="IY21" s="896"/>
      <c r="IZ21" s="896"/>
      <c r="JA21" s="896"/>
      <c r="JB21" s="896"/>
      <c r="JC21" s="896"/>
      <c r="JD21" s="896"/>
      <c r="JE21" s="896"/>
      <c r="JF21" s="896"/>
      <c r="JG21" s="896"/>
      <c r="JH21" s="896"/>
      <c r="JI21" s="896"/>
      <c r="JJ21" s="896"/>
      <c r="JK21" s="896"/>
      <c r="JL21" s="896"/>
      <c r="JM21" s="896"/>
      <c r="JN21" s="896"/>
      <c r="JO21" s="896"/>
      <c r="JP21" s="896"/>
      <c r="JQ21" s="896"/>
      <c r="JR21" s="896"/>
      <c r="JS21" s="896"/>
      <c r="JT21" s="896"/>
      <c r="JU21" s="896"/>
      <c r="JV21" s="896"/>
      <c r="JW21" s="896"/>
      <c r="JX21" s="896"/>
      <c r="JY21" s="896"/>
      <c r="JZ21" s="896"/>
      <c r="KA21" s="896"/>
      <c r="KB21" s="896"/>
      <c r="KC21" s="896"/>
      <c r="KD21" s="896"/>
      <c r="KE21" s="896"/>
      <c r="KF21" s="896"/>
      <c r="KG21" s="896"/>
      <c r="KH21" s="896"/>
      <c r="KI21" s="896"/>
      <c r="KJ21" s="896"/>
      <c r="KK21" s="896"/>
      <c r="KL21" s="896"/>
      <c r="KM21" s="896"/>
      <c r="KN21" s="896"/>
      <c r="KO21" s="896"/>
      <c r="KP21" s="896"/>
      <c r="KQ21" s="896"/>
      <c r="KR21" s="896"/>
      <c r="KS21" s="896"/>
      <c r="KT21" s="896"/>
      <c r="KU21" s="896"/>
      <c r="KV21" s="896"/>
      <c r="KW21" s="896"/>
      <c r="KX21" s="896"/>
      <c r="KY21" s="896"/>
      <c r="KZ21" s="896"/>
      <c r="LA21" s="896"/>
      <c r="LB21" s="896"/>
      <c r="LC21" s="896"/>
      <c r="LD21" s="896"/>
      <c r="LE21" s="896"/>
      <c r="LF21" s="896"/>
      <c r="LG21" s="896"/>
      <c r="LH21" s="896"/>
      <c r="LI21" s="896"/>
      <c r="LJ21" s="896"/>
      <c r="LK21" s="896"/>
      <c r="LL21" s="896"/>
      <c r="LM21" s="896"/>
      <c r="LN21" s="896"/>
      <c r="LO21" s="896"/>
      <c r="LP21" s="896"/>
      <c r="LQ21" s="896"/>
      <c r="LR21" s="896"/>
      <c r="LS21" s="896"/>
      <c r="LT21" s="896"/>
      <c r="LU21" s="896"/>
      <c r="LV21" s="896"/>
      <c r="LW21" s="896"/>
      <c r="LX21" s="896"/>
      <c r="LY21" s="896"/>
      <c r="LZ21" s="896"/>
      <c r="MA21" s="896"/>
      <c r="MB21" s="896"/>
      <c r="MC21" s="896"/>
      <c r="MD21" s="896"/>
      <c r="ME21" s="896"/>
      <c r="MF21" s="896"/>
      <c r="MG21" s="896"/>
      <c r="MH21" s="896"/>
      <c r="MI21" s="896"/>
      <c r="MJ21" s="896"/>
      <c r="MK21" s="896"/>
      <c r="ML21" s="896"/>
      <c r="MM21" s="896"/>
      <c r="MN21" s="896"/>
      <c r="MO21" s="896"/>
      <c r="MP21" s="896"/>
      <c r="MQ21" s="896"/>
      <c r="MR21" s="896"/>
      <c r="MS21" s="896"/>
      <c r="MT21" s="896"/>
      <c r="MU21" s="896"/>
      <c r="MV21" s="896"/>
      <c r="MW21" s="896"/>
      <c r="MX21" s="896"/>
      <c r="MY21" s="896"/>
      <c r="MZ21" s="896"/>
      <c r="NA21" s="896"/>
      <c r="NB21" s="896"/>
      <c r="NC21" s="896"/>
      <c r="ND21" s="896"/>
      <c r="NE21" s="896"/>
      <c r="NF21" s="896"/>
      <c r="NG21" s="896"/>
      <c r="NH21" s="896"/>
      <c r="NI21" s="896"/>
      <c r="NJ21" s="896"/>
      <c r="NK21" s="896"/>
      <c r="NL21" s="896"/>
      <c r="NM21" s="896"/>
      <c r="NN21" s="896"/>
      <c r="NO21" s="896"/>
      <c r="NP21" s="896"/>
      <c r="NQ21" s="896"/>
      <c r="NR21" s="896"/>
      <c r="NS21" s="896"/>
      <c r="NT21" s="896"/>
      <c r="NU21" s="896"/>
      <c r="NV21" s="896"/>
      <c r="NW21" s="896"/>
      <c r="NX21" s="896"/>
      <c r="NY21" s="896"/>
      <c r="NZ21" s="896"/>
      <c r="OA21" s="896"/>
      <c r="OB21" s="896"/>
      <c r="OC21" s="896"/>
      <c r="OD21" s="896"/>
      <c r="OE21" s="896"/>
      <c r="OF21" s="896"/>
      <c r="OG21" s="896"/>
      <c r="OH21" s="896"/>
      <c r="OI21" s="896"/>
      <c r="OJ21" s="896"/>
      <c r="OK21" s="896"/>
      <c r="OL21" s="896"/>
      <c r="OM21" s="896"/>
      <c r="ON21" s="896"/>
      <c r="OO21" s="896"/>
      <c r="OP21" s="896"/>
      <c r="OQ21" s="896"/>
      <c r="OR21" s="896"/>
      <c r="OS21" s="896"/>
      <c r="OT21" s="896"/>
      <c r="OU21" s="896"/>
      <c r="OV21" s="896"/>
      <c r="OW21" s="896"/>
      <c r="OX21" s="896"/>
      <c r="OY21" s="896"/>
      <c r="OZ21" s="896"/>
      <c r="PA21" s="896"/>
      <c r="PB21" s="896"/>
      <c r="PC21" s="896"/>
      <c r="PD21" s="896"/>
      <c r="PE21" s="896"/>
      <c r="PF21" s="896"/>
      <c r="PG21" s="896"/>
      <c r="PH21" s="896"/>
      <c r="PI21" s="896"/>
      <c r="PJ21" s="896"/>
      <c r="PK21" s="896"/>
      <c r="PL21" s="896"/>
      <c r="PM21" s="896"/>
      <c r="PN21" s="896"/>
      <c r="PO21" s="896"/>
      <c r="PP21" s="896"/>
      <c r="PQ21" s="896"/>
      <c r="PR21" s="896"/>
      <c r="PS21" s="896"/>
      <c r="PT21" s="896"/>
      <c r="PU21" s="896"/>
      <c r="PV21" s="896"/>
      <c r="PW21" s="896"/>
      <c r="PX21" s="896"/>
      <c r="PY21" s="896"/>
      <c r="PZ21" s="896"/>
      <c r="QA21" s="896"/>
      <c r="QB21" s="896"/>
      <c r="QC21" s="896"/>
      <c r="QD21" s="896"/>
      <c r="QE21" s="896"/>
      <c r="QF21" s="896"/>
      <c r="QG21" s="896"/>
    </row>
    <row r="22" spans="1:449" s="773" customFormat="1" ht="30" customHeight="1" x14ac:dyDescent="0.2">
      <c r="A22" s="938"/>
      <c r="B22" s="962" t="s">
        <v>766</v>
      </c>
      <c r="C22" s="782"/>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c r="AP22" s="782" t="s">
        <v>752</v>
      </c>
      <c r="AQ22" s="782"/>
      <c r="AR22" s="782"/>
      <c r="AS22" s="782"/>
      <c r="AT22" s="782" t="s">
        <v>752</v>
      </c>
      <c r="AU22" s="782"/>
      <c r="AV22" s="782"/>
      <c r="AW22" s="782"/>
      <c r="AX22" s="782"/>
      <c r="AY22" s="782"/>
      <c r="AZ22" s="782"/>
      <c r="BA22" s="782"/>
      <c r="BB22" s="782"/>
      <c r="BC22" s="782"/>
      <c r="BD22" s="782"/>
      <c r="BE22" s="782"/>
      <c r="BF22" s="782"/>
      <c r="BG22" s="782"/>
      <c r="BH22" s="782"/>
      <c r="BI22" s="782"/>
      <c r="BJ22" s="782"/>
      <c r="BK22" s="782"/>
      <c r="BL22" s="782"/>
      <c r="BM22" s="782"/>
      <c r="BN22" s="782"/>
      <c r="BO22" s="778"/>
      <c r="BP22" s="778"/>
      <c r="BQ22" s="778"/>
      <c r="BR22" s="778"/>
      <c r="BS22" s="778"/>
      <c r="BT22" s="778"/>
      <c r="BU22" s="778"/>
      <c r="BV22" s="778"/>
      <c r="BW22" s="778"/>
      <c r="BX22" s="778"/>
      <c r="BY22" s="778"/>
      <c r="BZ22" s="778"/>
      <c r="CA22" s="778"/>
      <c r="CB22" s="778"/>
      <c r="CC22" s="778"/>
      <c r="CD22" s="778"/>
      <c r="CE22" s="778"/>
      <c r="CF22" s="814"/>
      <c r="CG22" s="814"/>
      <c r="CH22" s="814"/>
      <c r="CI22" s="814"/>
      <c r="CJ22" s="814"/>
      <c r="CK22" s="814"/>
      <c r="CL22" s="814"/>
      <c r="CM22" s="814"/>
      <c r="CN22" s="814"/>
      <c r="CO22" s="814"/>
      <c r="CP22" s="814"/>
      <c r="CQ22" s="814"/>
      <c r="CR22" s="814"/>
      <c r="CS22" s="852"/>
      <c r="CT22" s="852"/>
      <c r="CU22" s="852"/>
      <c r="CV22" s="852"/>
      <c r="CW22" s="852"/>
      <c r="CX22" s="852"/>
      <c r="CY22" s="852"/>
      <c r="CZ22" s="875"/>
      <c r="DA22" s="879"/>
      <c r="DB22" s="879"/>
      <c r="DC22" s="959"/>
      <c r="DD22" s="959"/>
      <c r="DE22" s="959"/>
      <c r="DF22" s="888"/>
      <c r="DG22" s="888"/>
      <c r="DH22" s="888"/>
      <c r="DI22" s="888"/>
      <c r="DJ22" s="888"/>
      <c r="DK22" s="888"/>
      <c r="DL22" s="888"/>
      <c r="DM22" s="888"/>
      <c r="DN22" s="888"/>
      <c r="DO22" s="888"/>
      <c r="DP22" s="888"/>
      <c r="DQ22" s="954"/>
      <c r="DR22" s="954"/>
      <c r="DS22" s="954"/>
      <c r="DT22" s="954"/>
      <c r="DU22" s="949"/>
      <c r="DV22" s="954"/>
      <c r="DW22" s="954"/>
      <c r="DX22" s="954"/>
      <c r="DY22" s="954"/>
      <c r="DZ22" s="954"/>
      <c r="EA22" s="954"/>
      <c r="EB22" s="954"/>
      <c r="EC22" s="933"/>
      <c r="ED22" s="952"/>
      <c r="EE22" s="933"/>
      <c r="EF22" s="933"/>
      <c r="EG22" s="933"/>
      <c r="EH22" s="933"/>
      <c r="EI22" s="933"/>
      <c r="EJ22" s="933"/>
      <c r="EK22" s="952"/>
      <c r="EL22" s="933"/>
      <c r="EM22" s="933"/>
      <c r="EN22" s="933"/>
      <c r="EO22" s="933"/>
      <c r="EP22" s="933"/>
      <c r="EQ22" s="933"/>
      <c r="ER22" s="933"/>
      <c r="ES22" s="933"/>
      <c r="ET22" s="933"/>
      <c r="EU22" s="933"/>
      <c r="EV22" s="896"/>
      <c r="EW22" s="896"/>
      <c r="EX22" s="896"/>
      <c r="EY22" s="896"/>
      <c r="EZ22" s="896"/>
      <c r="FA22" s="896"/>
      <c r="FB22" s="896"/>
      <c r="FC22" s="896"/>
      <c r="FD22" s="896"/>
      <c r="FE22" s="896"/>
      <c r="FF22" s="896"/>
      <c r="FG22" s="896"/>
      <c r="FH22" s="896"/>
      <c r="FI22" s="896"/>
      <c r="FJ22" s="896"/>
      <c r="FK22" s="896"/>
      <c r="FL22" s="896"/>
      <c r="FM22" s="896"/>
      <c r="FN22" s="896"/>
      <c r="FO22" s="896"/>
      <c r="FP22" s="896"/>
      <c r="FQ22" s="896"/>
      <c r="FR22" s="896"/>
      <c r="FS22" s="896"/>
      <c r="FT22" s="896"/>
      <c r="FU22" s="896"/>
      <c r="FV22" s="896"/>
      <c r="FW22" s="896"/>
      <c r="FX22" s="896"/>
      <c r="FY22" s="896"/>
      <c r="FZ22" s="896"/>
      <c r="GA22" s="896"/>
      <c r="GB22" s="896"/>
      <c r="GC22" s="896"/>
      <c r="GD22" s="896"/>
      <c r="GE22" s="896"/>
      <c r="GF22" s="896"/>
      <c r="GG22" s="896"/>
      <c r="GH22" s="896"/>
      <c r="GI22" s="896"/>
      <c r="GJ22" s="896"/>
      <c r="GK22" s="896"/>
      <c r="GL22" s="896"/>
      <c r="GM22" s="896"/>
      <c r="GN22" s="896"/>
      <c r="GO22" s="896"/>
      <c r="GP22" s="896"/>
      <c r="GQ22" s="896"/>
      <c r="GR22" s="896"/>
      <c r="GS22" s="896"/>
      <c r="GT22" s="896"/>
      <c r="GU22" s="896"/>
      <c r="GV22" s="896"/>
      <c r="GW22" s="896"/>
      <c r="GX22" s="896"/>
      <c r="GY22" s="896"/>
      <c r="GZ22" s="896"/>
      <c r="HA22" s="896"/>
      <c r="HB22" s="896"/>
      <c r="HC22" s="896"/>
      <c r="HD22" s="896"/>
      <c r="HE22" s="896"/>
      <c r="HF22" s="896"/>
      <c r="HG22" s="896"/>
      <c r="HH22" s="896"/>
      <c r="HI22" s="896"/>
      <c r="HJ22" s="896"/>
      <c r="HK22" s="896"/>
      <c r="HL22" s="896"/>
      <c r="HM22" s="896"/>
      <c r="HN22" s="896"/>
      <c r="HO22" s="896"/>
      <c r="HP22" s="896"/>
      <c r="HQ22" s="896"/>
      <c r="HR22" s="896"/>
      <c r="HS22" s="896"/>
      <c r="HT22" s="896"/>
      <c r="HU22" s="896"/>
      <c r="HV22" s="896"/>
      <c r="HW22" s="896"/>
      <c r="HX22" s="896"/>
      <c r="HY22" s="896"/>
      <c r="HZ22" s="896"/>
      <c r="IA22" s="896"/>
      <c r="IB22" s="896"/>
      <c r="IC22" s="896"/>
      <c r="ID22" s="896"/>
      <c r="IE22" s="896"/>
      <c r="IF22" s="896"/>
      <c r="IG22" s="896"/>
      <c r="IH22" s="896"/>
      <c r="II22" s="896"/>
      <c r="IJ22" s="896"/>
      <c r="IK22" s="896"/>
      <c r="IL22" s="896"/>
      <c r="IM22" s="896"/>
      <c r="IN22" s="896"/>
      <c r="IO22" s="896"/>
      <c r="IP22" s="896"/>
      <c r="IQ22" s="896"/>
      <c r="IR22" s="896"/>
      <c r="IS22" s="896"/>
      <c r="IT22" s="896"/>
      <c r="IU22" s="896"/>
      <c r="IV22" s="896"/>
      <c r="IW22" s="896"/>
      <c r="IX22" s="896"/>
      <c r="IY22" s="896"/>
      <c r="IZ22" s="896"/>
      <c r="JA22" s="896"/>
      <c r="JB22" s="896"/>
      <c r="JC22" s="896"/>
      <c r="JD22" s="896"/>
      <c r="JE22" s="896"/>
      <c r="JF22" s="896"/>
      <c r="JG22" s="896"/>
      <c r="JH22" s="896"/>
      <c r="JI22" s="896"/>
      <c r="JJ22" s="896"/>
      <c r="JK22" s="896"/>
      <c r="JL22" s="896"/>
      <c r="JM22" s="896"/>
      <c r="JN22" s="896"/>
      <c r="JO22" s="896"/>
      <c r="JP22" s="896"/>
      <c r="JQ22" s="896"/>
      <c r="JR22" s="896"/>
      <c r="JS22" s="896"/>
      <c r="JT22" s="896"/>
      <c r="JU22" s="896"/>
      <c r="JV22" s="896"/>
      <c r="JW22" s="896"/>
      <c r="JX22" s="896"/>
      <c r="JY22" s="896"/>
      <c r="JZ22" s="896"/>
      <c r="KA22" s="896"/>
      <c r="KB22" s="896"/>
      <c r="KC22" s="896"/>
      <c r="KD22" s="896"/>
      <c r="KE22" s="896"/>
      <c r="KF22" s="896"/>
      <c r="KG22" s="896"/>
      <c r="KH22" s="896"/>
      <c r="KI22" s="896"/>
      <c r="KJ22" s="896"/>
      <c r="KK22" s="896"/>
      <c r="KL22" s="896"/>
      <c r="KM22" s="896"/>
      <c r="KN22" s="896"/>
      <c r="KO22" s="896"/>
      <c r="KP22" s="896"/>
      <c r="KQ22" s="896"/>
      <c r="KR22" s="896"/>
      <c r="KS22" s="896"/>
      <c r="KT22" s="896"/>
      <c r="KU22" s="896"/>
      <c r="KV22" s="896"/>
      <c r="KW22" s="896"/>
      <c r="KX22" s="896"/>
      <c r="KY22" s="896"/>
      <c r="KZ22" s="896"/>
      <c r="LA22" s="896"/>
      <c r="LB22" s="896"/>
      <c r="LC22" s="896"/>
      <c r="LD22" s="896"/>
      <c r="LE22" s="896"/>
      <c r="LF22" s="896"/>
      <c r="LG22" s="896"/>
      <c r="LH22" s="896"/>
      <c r="LI22" s="896"/>
      <c r="LJ22" s="896"/>
      <c r="LK22" s="896"/>
      <c r="LL22" s="896"/>
      <c r="LM22" s="896"/>
      <c r="LN22" s="896"/>
      <c r="LO22" s="896"/>
      <c r="LP22" s="896"/>
      <c r="LQ22" s="896"/>
      <c r="LR22" s="896"/>
      <c r="LS22" s="896"/>
      <c r="LT22" s="896"/>
      <c r="LU22" s="896"/>
      <c r="LV22" s="896"/>
      <c r="LW22" s="896"/>
      <c r="LX22" s="896"/>
      <c r="LY22" s="896"/>
      <c r="LZ22" s="896"/>
      <c r="MA22" s="896"/>
      <c r="MB22" s="896"/>
      <c r="MC22" s="896"/>
      <c r="MD22" s="896"/>
      <c r="ME22" s="896"/>
      <c r="MF22" s="896"/>
      <c r="MG22" s="896"/>
      <c r="MH22" s="896"/>
      <c r="MI22" s="896"/>
      <c r="MJ22" s="896"/>
      <c r="MK22" s="896"/>
      <c r="ML22" s="896"/>
      <c r="MM22" s="896"/>
      <c r="MN22" s="896"/>
      <c r="MO22" s="896"/>
      <c r="MP22" s="896"/>
      <c r="MQ22" s="896"/>
      <c r="MR22" s="896"/>
      <c r="MS22" s="896"/>
      <c r="MT22" s="896"/>
      <c r="MU22" s="896"/>
      <c r="MV22" s="896"/>
      <c r="MW22" s="896"/>
      <c r="MX22" s="896"/>
      <c r="MY22" s="896"/>
      <c r="MZ22" s="896"/>
      <c r="NA22" s="896"/>
      <c r="NB22" s="896"/>
      <c r="NC22" s="896"/>
      <c r="ND22" s="896"/>
      <c r="NE22" s="896"/>
      <c r="NF22" s="896"/>
      <c r="NG22" s="896"/>
      <c r="NH22" s="896"/>
      <c r="NI22" s="896"/>
      <c r="NJ22" s="896"/>
      <c r="NK22" s="896"/>
      <c r="NL22" s="896"/>
      <c r="NM22" s="896"/>
      <c r="NN22" s="896"/>
      <c r="NO22" s="896"/>
      <c r="NP22" s="896"/>
      <c r="NQ22" s="896"/>
      <c r="NR22" s="896"/>
      <c r="NS22" s="896"/>
      <c r="NT22" s="896"/>
      <c r="NU22" s="896"/>
      <c r="NV22" s="896"/>
      <c r="NW22" s="896"/>
      <c r="NX22" s="896"/>
      <c r="NY22" s="896"/>
      <c r="NZ22" s="896"/>
      <c r="OA22" s="896"/>
      <c r="OB22" s="896"/>
      <c r="OC22" s="896"/>
      <c r="OD22" s="896"/>
      <c r="OE22" s="896"/>
      <c r="OF22" s="896"/>
      <c r="OG22" s="896"/>
      <c r="OH22" s="896"/>
      <c r="OI22" s="896"/>
      <c r="OJ22" s="896"/>
      <c r="OK22" s="896"/>
      <c r="OL22" s="896"/>
      <c r="OM22" s="896"/>
      <c r="ON22" s="896"/>
      <c r="OO22" s="896"/>
      <c r="OP22" s="896"/>
      <c r="OQ22" s="896"/>
      <c r="OR22" s="896"/>
      <c r="OS22" s="896"/>
      <c r="OT22" s="896"/>
      <c r="OU22" s="896"/>
      <c r="OV22" s="896"/>
      <c r="OW22" s="896"/>
      <c r="OX22" s="896"/>
      <c r="OY22" s="896"/>
      <c r="OZ22" s="896"/>
      <c r="PA22" s="896"/>
      <c r="PB22" s="896"/>
      <c r="PC22" s="896"/>
      <c r="PD22" s="896"/>
      <c r="PE22" s="896"/>
      <c r="PF22" s="896"/>
      <c r="PG22" s="896"/>
      <c r="PH22" s="896"/>
      <c r="PI22" s="896"/>
      <c r="PJ22" s="896"/>
      <c r="PK22" s="896"/>
      <c r="PL22" s="896"/>
      <c r="PM22" s="896"/>
      <c r="PN22" s="896"/>
      <c r="PO22" s="896"/>
      <c r="PP22" s="896"/>
      <c r="PQ22" s="896"/>
      <c r="PR22" s="896"/>
      <c r="PS22" s="896"/>
      <c r="PT22" s="896"/>
      <c r="PU22" s="896"/>
      <c r="PV22" s="896"/>
      <c r="PW22" s="896"/>
      <c r="PX22" s="896"/>
      <c r="PY22" s="896"/>
      <c r="PZ22" s="896"/>
      <c r="QA22" s="896"/>
      <c r="QB22" s="896"/>
      <c r="QC22" s="896"/>
      <c r="QD22" s="896"/>
      <c r="QE22" s="896"/>
      <c r="QF22" s="896"/>
      <c r="QG22" s="896"/>
    </row>
    <row r="23" spans="1:449" s="773" customFormat="1" ht="27.75" customHeight="1" x14ac:dyDescent="0.2">
      <c r="A23" s="938"/>
      <c r="B23" s="962" t="s">
        <v>767</v>
      </c>
      <c r="C23" s="782"/>
      <c r="D23" s="782"/>
      <c r="E23" s="782"/>
      <c r="F23" s="782"/>
      <c r="G23" s="782"/>
      <c r="H23" s="782"/>
      <c r="I23" s="782"/>
      <c r="J23" s="782"/>
      <c r="K23" s="782"/>
      <c r="L23" s="782"/>
      <c r="M23" s="782"/>
      <c r="N23" s="782"/>
      <c r="O23" s="782"/>
      <c r="P23" s="782"/>
      <c r="Q23" s="782"/>
      <c r="R23" s="782"/>
      <c r="S23" s="782"/>
      <c r="T23" s="782"/>
      <c r="U23" s="782"/>
      <c r="V23" s="782"/>
      <c r="W23" s="782"/>
      <c r="X23" s="782"/>
      <c r="Y23" s="782"/>
      <c r="Z23" s="782"/>
      <c r="AA23" s="782"/>
      <c r="AB23" s="782"/>
      <c r="AC23" s="782"/>
      <c r="AD23" s="782" t="s">
        <v>752</v>
      </c>
      <c r="AE23" s="782" t="s">
        <v>752</v>
      </c>
      <c r="AF23" s="782" t="s">
        <v>752</v>
      </c>
      <c r="AG23" s="782" t="s">
        <v>752</v>
      </c>
      <c r="AH23" s="782" t="s">
        <v>752</v>
      </c>
      <c r="AI23" s="782" t="s">
        <v>752</v>
      </c>
      <c r="AJ23" s="782" t="s">
        <v>752</v>
      </c>
      <c r="AK23" s="782" t="s">
        <v>752</v>
      </c>
      <c r="AL23" s="782" t="s">
        <v>752</v>
      </c>
      <c r="AM23" s="782" t="s">
        <v>752</v>
      </c>
      <c r="AN23" s="782" t="s">
        <v>752</v>
      </c>
      <c r="AO23" s="782" t="s">
        <v>752</v>
      </c>
      <c r="AP23" s="782" t="s">
        <v>752</v>
      </c>
      <c r="AQ23" s="782" t="s">
        <v>752</v>
      </c>
      <c r="AR23" s="782" t="s">
        <v>752</v>
      </c>
      <c r="AS23" s="782" t="s">
        <v>752</v>
      </c>
      <c r="AT23" s="782" t="s">
        <v>752</v>
      </c>
      <c r="AU23" s="782" t="s">
        <v>752</v>
      </c>
      <c r="AV23" s="782" t="s">
        <v>752</v>
      </c>
      <c r="AW23" s="782" t="s">
        <v>752</v>
      </c>
      <c r="AX23" s="782" t="s">
        <v>752</v>
      </c>
      <c r="AY23" s="782"/>
      <c r="AZ23" s="782"/>
      <c r="BA23" s="782"/>
      <c r="BB23" s="782"/>
      <c r="BC23" s="782"/>
      <c r="BD23" s="782"/>
      <c r="BE23" s="782"/>
      <c r="BF23" s="782"/>
      <c r="BG23" s="782"/>
      <c r="BH23" s="782"/>
      <c r="BI23" s="782"/>
      <c r="BJ23" s="782"/>
      <c r="BK23" s="782"/>
      <c r="BL23" s="782"/>
      <c r="BM23" s="782"/>
      <c r="BN23" s="782"/>
      <c r="BO23" s="778"/>
      <c r="BP23" s="778"/>
      <c r="BQ23" s="778"/>
      <c r="BR23" s="778"/>
      <c r="BS23" s="778"/>
      <c r="BT23" s="778"/>
      <c r="BU23" s="778"/>
      <c r="BV23" s="778"/>
      <c r="BW23" s="778"/>
      <c r="BX23" s="778"/>
      <c r="BY23" s="778"/>
      <c r="BZ23" s="778"/>
      <c r="CA23" s="778"/>
      <c r="CB23" s="778"/>
      <c r="CC23" s="778"/>
      <c r="CD23" s="778"/>
      <c r="CE23" s="778"/>
      <c r="CF23" s="814"/>
      <c r="CG23" s="814"/>
      <c r="CH23" s="814"/>
      <c r="CI23" s="814"/>
      <c r="CJ23" s="814"/>
      <c r="CK23" s="814"/>
      <c r="CL23" s="814"/>
      <c r="CM23" s="814"/>
      <c r="CN23" s="814"/>
      <c r="CO23" s="814"/>
      <c r="CP23" s="814"/>
      <c r="CQ23" s="814"/>
      <c r="CR23" s="814"/>
      <c r="CS23" s="852"/>
      <c r="CT23" s="852"/>
      <c r="CU23" s="852"/>
      <c r="CV23" s="852"/>
      <c r="CW23" s="852"/>
      <c r="CX23" s="852"/>
      <c r="CY23" s="852"/>
      <c r="CZ23" s="875"/>
      <c r="DA23" s="879"/>
      <c r="DB23" s="879"/>
      <c r="DC23" s="959"/>
      <c r="DD23" s="959"/>
      <c r="DE23" s="959"/>
      <c r="DF23" s="888"/>
      <c r="DG23" s="888"/>
      <c r="DH23" s="888"/>
      <c r="DI23" s="888"/>
      <c r="DJ23" s="888"/>
      <c r="DK23" s="888"/>
      <c r="DL23" s="888"/>
      <c r="DM23" s="888"/>
      <c r="DN23" s="888"/>
      <c r="DO23" s="888"/>
      <c r="DP23" s="888"/>
      <c r="DQ23" s="954"/>
      <c r="DR23" s="954"/>
      <c r="DS23" s="954"/>
      <c r="DT23" s="954"/>
      <c r="DU23" s="949"/>
      <c r="DV23" s="954"/>
      <c r="DW23" s="954"/>
      <c r="DX23" s="954"/>
      <c r="DY23" s="954"/>
      <c r="DZ23" s="954"/>
      <c r="EA23" s="954"/>
      <c r="EB23" s="954"/>
      <c r="EC23" s="933"/>
      <c r="ED23" s="952"/>
      <c r="EE23" s="933"/>
      <c r="EF23" s="933"/>
      <c r="EG23" s="933"/>
      <c r="EH23" s="933"/>
      <c r="EI23" s="933"/>
      <c r="EJ23" s="933"/>
      <c r="EK23" s="952"/>
      <c r="EL23" s="933"/>
      <c r="EM23" s="933"/>
      <c r="EN23" s="933"/>
      <c r="EO23" s="933"/>
      <c r="EP23" s="933"/>
      <c r="EQ23" s="933"/>
      <c r="ER23" s="933"/>
      <c r="ES23" s="933"/>
      <c r="ET23" s="933"/>
      <c r="EU23" s="933"/>
      <c r="EV23" s="896"/>
      <c r="EW23" s="896"/>
      <c r="EX23" s="896"/>
      <c r="EY23" s="896"/>
      <c r="EZ23" s="896"/>
      <c r="FA23" s="896"/>
      <c r="FB23" s="896"/>
      <c r="FC23" s="896"/>
      <c r="FD23" s="896"/>
      <c r="FE23" s="896"/>
      <c r="FF23" s="896"/>
      <c r="FG23" s="896"/>
      <c r="FH23" s="896"/>
      <c r="FI23" s="896"/>
      <c r="FJ23" s="896"/>
      <c r="FK23" s="896"/>
      <c r="FL23" s="896"/>
      <c r="FM23" s="896"/>
      <c r="FN23" s="896"/>
      <c r="FO23" s="896"/>
      <c r="FP23" s="896"/>
      <c r="FQ23" s="896"/>
      <c r="FR23" s="896"/>
      <c r="FS23" s="896"/>
      <c r="FT23" s="896"/>
      <c r="FU23" s="896"/>
      <c r="FV23" s="896"/>
      <c r="FW23" s="896"/>
      <c r="FX23" s="896"/>
      <c r="FY23" s="896"/>
      <c r="FZ23" s="896"/>
      <c r="GA23" s="896"/>
      <c r="GB23" s="896"/>
      <c r="GC23" s="896"/>
      <c r="GD23" s="896"/>
      <c r="GE23" s="896"/>
      <c r="GF23" s="896"/>
      <c r="GG23" s="896"/>
      <c r="GH23" s="896"/>
      <c r="GI23" s="896"/>
      <c r="GJ23" s="896"/>
      <c r="GK23" s="896"/>
      <c r="GL23" s="896"/>
      <c r="GM23" s="896"/>
      <c r="GN23" s="896"/>
      <c r="GO23" s="896"/>
      <c r="GP23" s="896"/>
      <c r="GQ23" s="896"/>
      <c r="GR23" s="896"/>
      <c r="GS23" s="896"/>
      <c r="GT23" s="896"/>
      <c r="GU23" s="896"/>
      <c r="GV23" s="896"/>
      <c r="GW23" s="896"/>
      <c r="GX23" s="896"/>
      <c r="GY23" s="896"/>
      <c r="GZ23" s="896"/>
      <c r="HA23" s="896"/>
      <c r="HB23" s="896"/>
      <c r="HC23" s="896"/>
      <c r="HD23" s="896"/>
      <c r="HE23" s="896"/>
      <c r="HF23" s="896"/>
      <c r="HG23" s="896"/>
      <c r="HH23" s="896"/>
      <c r="HI23" s="896"/>
      <c r="HJ23" s="896"/>
      <c r="HK23" s="896"/>
      <c r="HL23" s="896"/>
      <c r="HM23" s="896"/>
      <c r="HN23" s="896"/>
      <c r="HO23" s="896"/>
      <c r="HP23" s="896"/>
      <c r="HQ23" s="896"/>
      <c r="HR23" s="896"/>
      <c r="HS23" s="896"/>
      <c r="HT23" s="896"/>
      <c r="HU23" s="896"/>
      <c r="HV23" s="896"/>
      <c r="HW23" s="896"/>
      <c r="HX23" s="896"/>
      <c r="HY23" s="896"/>
      <c r="HZ23" s="896"/>
      <c r="IA23" s="896"/>
      <c r="IB23" s="896"/>
      <c r="IC23" s="896"/>
      <c r="ID23" s="896"/>
      <c r="IE23" s="896"/>
      <c r="IF23" s="896"/>
      <c r="IG23" s="896"/>
      <c r="IH23" s="896"/>
      <c r="II23" s="896"/>
      <c r="IJ23" s="896"/>
      <c r="IK23" s="896"/>
      <c r="IL23" s="896"/>
      <c r="IM23" s="896"/>
      <c r="IN23" s="896"/>
      <c r="IO23" s="896"/>
      <c r="IP23" s="896"/>
      <c r="IQ23" s="896"/>
      <c r="IR23" s="896"/>
      <c r="IS23" s="896"/>
      <c r="IT23" s="896"/>
      <c r="IU23" s="896"/>
      <c r="IV23" s="896"/>
      <c r="IW23" s="896"/>
      <c r="IX23" s="896"/>
      <c r="IY23" s="896"/>
      <c r="IZ23" s="896"/>
      <c r="JA23" s="896"/>
      <c r="JB23" s="896"/>
      <c r="JC23" s="896"/>
      <c r="JD23" s="896"/>
      <c r="JE23" s="896"/>
      <c r="JF23" s="896"/>
      <c r="JG23" s="896"/>
      <c r="JH23" s="896"/>
      <c r="JI23" s="896"/>
      <c r="JJ23" s="896"/>
      <c r="JK23" s="896"/>
      <c r="JL23" s="896"/>
      <c r="JM23" s="896"/>
      <c r="JN23" s="896"/>
      <c r="JO23" s="896"/>
      <c r="JP23" s="896"/>
      <c r="JQ23" s="896"/>
      <c r="JR23" s="896"/>
      <c r="JS23" s="896"/>
      <c r="JT23" s="896"/>
      <c r="JU23" s="896"/>
      <c r="JV23" s="896"/>
      <c r="JW23" s="896"/>
      <c r="JX23" s="896"/>
      <c r="JY23" s="896"/>
      <c r="JZ23" s="896"/>
      <c r="KA23" s="896"/>
      <c r="KB23" s="896"/>
      <c r="KC23" s="896"/>
      <c r="KD23" s="896"/>
      <c r="KE23" s="896"/>
      <c r="KF23" s="896"/>
      <c r="KG23" s="896"/>
      <c r="KH23" s="896"/>
      <c r="KI23" s="896"/>
      <c r="KJ23" s="896"/>
      <c r="KK23" s="896"/>
      <c r="KL23" s="896"/>
      <c r="KM23" s="896"/>
      <c r="KN23" s="896"/>
      <c r="KO23" s="896"/>
      <c r="KP23" s="896"/>
      <c r="KQ23" s="896"/>
      <c r="KR23" s="896"/>
      <c r="KS23" s="896"/>
      <c r="KT23" s="896"/>
      <c r="KU23" s="896"/>
      <c r="KV23" s="896"/>
      <c r="KW23" s="896"/>
      <c r="KX23" s="896"/>
      <c r="KY23" s="896"/>
      <c r="KZ23" s="896"/>
      <c r="LA23" s="896"/>
      <c r="LB23" s="896"/>
      <c r="LC23" s="896"/>
      <c r="LD23" s="896"/>
      <c r="LE23" s="896"/>
      <c r="LF23" s="896"/>
      <c r="LG23" s="896"/>
      <c r="LH23" s="896"/>
      <c r="LI23" s="896"/>
      <c r="LJ23" s="896"/>
      <c r="LK23" s="896"/>
      <c r="LL23" s="896"/>
      <c r="LM23" s="896"/>
      <c r="LN23" s="896"/>
      <c r="LO23" s="896"/>
      <c r="LP23" s="896"/>
      <c r="LQ23" s="896"/>
      <c r="LR23" s="896"/>
      <c r="LS23" s="896"/>
      <c r="LT23" s="896"/>
      <c r="LU23" s="896"/>
      <c r="LV23" s="896"/>
      <c r="LW23" s="896"/>
      <c r="LX23" s="896"/>
      <c r="LY23" s="896"/>
      <c r="LZ23" s="896"/>
      <c r="MA23" s="896"/>
      <c r="MB23" s="896"/>
      <c r="MC23" s="896"/>
      <c r="MD23" s="896"/>
      <c r="ME23" s="896"/>
      <c r="MF23" s="896"/>
      <c r="MG23" s="896"/>
      <c r="MH23" s="896"/>
      <c r="MI23" s="896"/>
      <c r="MJ23" s="896"/>
      <c r="MK23" s="896"/>
      <c r="ML23" s="896"/>
      <c r="MM23" s="896"/>
      <c r="MN23" s="896"/>
      <c r="MO23" s="896"/>
      <c r="MP23" s="896"/>
      <c r="MQ23" s="896"/>
      <c r="MR23" s="896"/>
      <c r="MS23" s="896"/>
      <c r="MT23" s="896"/>
      <c r="MU23" s="896"/>
      <c r="MV23" s="896"/>
      <c r="MW23" s="896"/>
      <c r="MX23" s="896"/>
      <c r="MY23" s="896"/>
      <c r="MZ23" s="896"/>
      <c r="NA23" s="896"/>
      <c r="NB23" s="896"/>
      <c r="NC23" s="896"/>
      <c r="ND23" s="896"/>
      <c r="NE23" s="896"/>
      <c r="NF23" s="896"/>
      <c r="NG23" s="896"/>
      <c r="NH23" s="896"/>
      <c r="NI23" s="896"/>
      <c r="NJ23" s="896"/>
      <c r="NK23" s="896"/>
      <c r="NL23" s="896"/>
      <c r="NM23" s="896"/>
      <c r="NN23" s="896"/>
      <c r="NO23" s="896"/>
      <c r="NP23" s="896"/>
      <c r="NQ23" s="896"/>
      <c r="NR23" s="896"/>
      <c r="NS23" s="896"/>
      <c r="NT23" s="896"/>
      <c r="NU23" s="896"/>
      <c r="NV23" s="896"/>
      <c r="NW23" s="896"/>
      <c r="NX23" s="896"/>
      <c r="NY23" s="896"/>
      <c r="NZ23" s="896"/>
      <c r="OA23" s="896"/>
      <c r="OB23" s="896"/>
      <c r="OC23" s="896"/>
      <c r="OD23" s="896"/>
      <c r="OE23" s="896"/>
      <c r="OF23" s="896"/>
      <c r="OG23" s="896"/>
      <c r="OH23" s="896"/>
      <c r="OI23" s="896"/>
      <c r="OJ23" s="896"/>
      <c r="OK23" s="896"/>
      <c r="OL23" s="896"/>
      <c r="OM23" s="896"/>
      <c r="ON23" s="896"/>
      <c r="OO23" s="896"/>
      <c r="OP23" s="896"/>
      <c r="OQ23" s="896"/>
      <c r="OR23" s="896"/>
      <c r="OS23" s="896"/>
      <c r="OT23" s="896"/>
      <c r="OU23" s="896"/>
      <c r="OV23" s="896"/>
      <c r="OW23" s="896"/>
      <c r="OX23" s="896"/>
      <c r="OY23" s="896"/>
      <c r="OZ23" s="896"/>
      <c r="PA23" s="896"/>
      <c r="PB23" s="896"/>
      <c r="PC23" s="896"/>
      <c r="PD23" s="896"/>
      <c r="PE23" s="896"/>
      <c r="PF23" s="896"/>
      <c r="PG23" s="896"/>
      <c r="PH23" s="896"/>
      <c r="PI23" s="896"/>
      <c r="PJ23" s="896"/>
      <c r="PK23" s="896"/>
      <c r="PL23" s="896"/>
      <c r="PM23" s="896"/>
      <c r="PN23" s="896"/>
      <c r="PO23" s="896"/>
      <c r="PP23" s="896"/>
      <c r="PQ23" s="896"/>
      <c r="PR23" s="896"/>
      <c r="PS23" s="896"/>
      <c r="PT23" s="896"/>
      <c r="PU23" s="896"/>
      <c r="PV23" s="896"/>
      <c r="PW23" s="896"/>
      <c r="PX23" s="896"/>
      <c r="PY23" s="896"/>
      <c r="PZ23" s="896"/>
      <c r="QA23" s="896"/>
      <c r="QB23" s="896"/>
      <c r="QC23" s="896"/>
      <c r="QD23" s="896"/>
      <c r="QE23" s="896"/>
      <c r="QF23" s="896"/>
      <c r="QG23" s="896"/>
    </row>
    <row r="24" spans="1:449" s="773" customFormat="1" ht="36" x14ac:dyDescent="0.2">
      <c r="A24" s="938"/>
      <c r="B24" s="973" t="s">
        <v>1243</v>
      </c>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783"/>
      <c r="AO24" s="783"/>
      <c r="AP24" s="783"/>
      <c r="AQ24" s="783"/>
      <c r="AR24" s="783"/>
      <c r="AS24" s="783"/>
      <c r="AT24" s="783"/>
      <c r="AU24" s="783"/>
      <c r="AV24" s="783"/>
      <c r="AW24" s="890"/>
      <c r="AX24" s="890"/>
      <c r="AY24" s="890"/>
      <c r="AZ24" s="890"/>
      <c r="BA24" s="890"/>
      <c r="BB24" s="890"/>
      <c r="BC24" s="890"/>
      <c r="BD24" s="890"/>
      <c r="BE24" s="890"/>
      <c r="BF24" s="890"/>
      <c r="BG24" s="890"/>
      <c r="BH24" s="890"/>
      <c r="BI24" s="783"/>
      <c r="BJ24" s="783"/>
      <c r="BK24" s="783"/>
      <c r="BL24" s="783"/>
      <c r="BM24" s="783"/>
      <c r="BN24" s="783"/>
      <c r="BO24" s="891"/>
      <c r="BP24" s="892"/>
      <c r="BQ24" s="892"/>
      <c r="BR24" s="892"/>
      <c r="BS24" s="892"/>
      <c r="BT24" s="892"/>
      <c r="BU24" s="892"/>
      <c r="BV24" s="892"/>
      <c r="BW24" s="892"/>
      <c r="BX24" s="892"/>
      <c r="BY24" s="892"/>
      <c r="BZ24" s="892"/>
      <c r="CA24" s="892"/>
      <c r="CB24" s="892"/>
      <c r="CC24" s="892"/>
      <c r="CD24" s="892"/>
      <c r="CE24" s="892"/>
      <c r="CF24" s="814"/>
      <c r="CG24" s="814"/>
      <c r="CH24" s="814"/>
      <c r="CI24" s="814"/>
      <c r="CJ24" s="814"/>
      <c r="CK24" s="814"/>
      <c r="CL24" s="814"/>
      <c r="CM24" s="814"/>
      <c r="CN24" s="814"/>
      <c r="CO24" s="814"/>
      <c r="CP24" s="814"/>
      <c r="CQ24" s="814"/>
      <c r="CR24" s="814"/>
      <c r="CS24" s="889"/>
      <c r="CT24" s="889"/>
      <c r="CU24" s="889"/>
      <c r="CV24" s="889"/>
      <c r="CW24" s="889"/>
      <c r="CX24" s="889"/>
      <c r="CY24" s="889"/>
      <c r="CZ24" s="875"/>
      <c r="DA24" s="889"/>
      <c r="DB24" s="889"/>
      <c r="DC24" s="892"/>
      <c r="DD24" s="892"/>
      <c r="DE24" s="892"/>
      <c r="DF24" s="887"/>
      <c r="DG24" s="887"/>
      <c r="DH24" s="887"/>
      <c r="DI24" s="887"/>
      <c r="DJ24" s="887"/>
      <c r="DK24" s="887" t="s">
        <v>1133</v>
      </c>
      <c r="DL24" s="887"/>
      <c r="DM24" s="887"/>
      <c r="DN24" s="887"/>
      <c r="DO24" s="887" t="s">
        <v>1157</v>
      </c>
      <c r="DP24" s="887"/>
      <c r="DQ24" s="954"/>
      <c r="DR24" s="954"/>
      <c r="DS24" s="954"/>
      <c r="DT24" s="954"/>
      <c r="DU24" s="949" t="s">
        <v>1200</v>
      </c>
      <c r="DV24" s="954"/>
      <c r="DW24" s="954"/>
      <c r="DX24" s="954" t="s">
        <v>1202</v>
      </c>
      <c r="DY24" s="954" t="s">
        <v>1244</v>
      </c>
      <c r="DZ24" s="954" t="s">
        <v>1359</v>
      </c>
      <c r="EA24" s="954" t="s">
        <v>1358</v>
      </c>
      <c r="EB24" s="954" t="s">
        <v>1360</v>
      </c>
      <c r="EC24" s="954" t="s">
        <v>1361</v>
      </c>
      <c r="ED24" s="954" t="s">
        <v>1362</v>
      </c>
      <c r="EE24" s="954" t="s">
        <v>1363</v>
      </c>
      <c r="EF24" s="954" t="s">
        <v>1364</v>
      </c>
      <c r="EG24" s="954" t="s">
        <v>1373</v>
      </c>
      <c r="EH24" s="933"/>
      <c r="EI24" s="933"/>
      <c r="EJ24" s="933"/>
      <c r="EK24" s="952"/>
      <c r="EL24" s="933"/>
      <c r="EM24" s="933"/>
      <c r="EN24" s="933"/>
      <c r="EO24" s="933"/>
      <c r="EP24" s="1059" t="s">
        <v>1455</v>
      </c>
      <c r="EQ24" s="1060"/>
      <c r="ER24" s="1060"/>
      <c r="ES24" s="1150"/>
      <c r="ET24" s="933"/>
      <c r="EU24" s="933"/>
      <c r="EV24" s="896"/>
      <c r="EW24" s="896"/>
      <c r="EX24" s="896"/>
      <c r="EY24" s="896"/>
      <c r="EZ24" s="896"/>
      <c r="FA24" s="896"/>
      <c r="FB24" s="896"/>
      <c r="FC24" s="896"/>
      <c r="FD24" s="896"/>
      <c r="FE24" s="896"/>
      <c r="FF24" s="896"/>
      <c r="FG24" s="896"/>
      <c r="FH24" s="896"/>
      <c r="FI24" s="896"/>
      <c r="FJ24" s="896"/>
      <c r="FK24" s="896"/>
      <c r="FL24" s="896"/>
      <c r="FM24" s="896"/>
      <c r="FN24" s="896"/>
      <c r="FO24" s="896"/>
      <c r="FP24" s="896"/>
      <c r="FQ24" s="896"/>
      <c r="FR24" s="896"/>
      <c r="FS24" s="896"/>
      <c r="FT24" s="896"/>
      <c r="FU24" s="896"/>
      <c r="FV24" s="896"/>
      <c r="FW24" s="896"/>
      <c r="FX24" s="896"/>
      <c r="FY24" s="896"/>
      <c r="FZ24" s="896"/>
      <c r="GA24" s="896"/>
      <c r="GB24" s="896"/>
      <c r="GC24" s="896"/>
      <c r="GD24" s="896"/>
      <c r="GE24" s="896"/>
      <c r="GF24" s="896"/>
      <c r="GG24" s="896"/>
      <c r="GH24" s="896"/>
      <c r="GI24" s="896"/>
      <c r="GJ24" s="896"/>
      <c r="GK24" s="896"/>
      <c r="GL24" s="896"/>
      <c r="GM24" s="896"/>
      <c r="GN24" s="896"/>
      <c r="GO24" s="896"/>
      <c r="GP24" s="896"/>
      <c r="GQ24" s="896"/>
      <c r="GR24" s="896"/>
      <c r="GS24" s="896"/>
      <c r="GT24" s="896"/>
      <c r="GU24" s="896"/>
      <c r="GV24" s="896"/>
      <c r="GW24" s="896"/>
      <c r="GX24" s="896"/>
      <c r="GY24" s="896"/>
      <c r="GZ24" s="896"/>
      <c r="HA24" s="896"/>
      <c r="HB24" s="896"/>
      <c r="HC24" s="896"/>
      <c r="HD24" s="896"/>
      <c r="HE24" s="896"/>
      <c r="HF24" s="896"/>
      <c r="HG24" s="896"/>
      <c r="HH24" s="896"/>
      <c r="HI24" s="896"/>
      <c r="HJ24" s="896"/>
      <c r="HK24" s="896"/>
      <c r="HL24" s="896"/>
      <c r="HM24" s="896"/>
      <c r="HN24" s="896"/>
      <c r="HO24" s="896"/>
      <c r="HP24" s="896"/>
      <c r="HQ24" s="896"/>
      <c r="HR24" s="896"/>
      <c r="HS24" s="896"/>
      <c r="HT24" s="896"/>
      <c r="HU24" s="896"/>
      <c r="HV24" s="896"/>
      <c r="HW24" s="896"/>
      <c r="HX24" s="896"/>
      <c r="HY24" s="896"/>
      <c r="HZ24" s="896"/>
      <c r="IA24" s="896"/>
      <c r="IB24" s="896"/>
      <c r="IC24" s="896"/>
      <c r="ID24" s="896"/>
      <c r="IE24" s="896"/>
      <c r="IF24" s="896"/>
      <c r="IG24" s="896"/>
      <c r="IH24" s="896"/>
      <c r="II24" s="896"/>
      <c r="IJ24" s="896"/>
      <c r="IK24" s="896"/>
      <c r="IL24" s="896"/>
      <c r="IM24" s="896"/>
      <c r="IN24" s="896"/>
      <c r="IO24" s="896"/>
      <c r="IP24" s="896"/>
      <c r="IQ24" s="896"/>
      <c r="IR24" s="896"/>
      <c r="IS24" s="896"/>
      <c r="IT24" s="896"/>
      <c r="IU24" s="896"/>
      <c r="IV24" s="896"/>
      <c r="IW24" s="896"/>
      <c r="IX24" s="896"/>
      <c r="IY24" s="896"/>
      <c r="IZ24" s="896"/>
      <c r="JA24" s="896"/>
      <c r="JB24" s="896"/>
      <c r="JC24" s="896"/>
      <c r="JD24" s="896"/>
      <c r="JE24" s="896"/>
      <c r="JF24" s="896"/>
      <c r="JG24" s="896"/>
      <c r="JH24" s="896"/>
      <c r="JI24" s="896"/>
      <c r="JJ24" s="896"/>
      <c r="JK24" s="896"/>
      <c r="JL24" s="896"/>
      <c r="JM24" s="896"/>
      <c r="JN24" s="896"/>
      <c r="JO24" s="896"/>
      <c r="JP24" s="896"/>
      <c r="JQ24" s="896"/>
      <c r="JR24" s="896"/>
      <c r="JS24" s="896"/>
      <c r="JT24" s="896"/>
      <c r="JU24" s="896"/>
      <c r="JV24" s="896"/>
      <c r="JW24" s="896"/>
      <c r="JX24" s="896"/>
      <c r="JY24" s="896"/>
      <c r="JZ24" s="896"/>
      <c r="KA24" s="896"/>
      <c r="KB24" s="896"/>
      <c r="KC24" s="896"/>
      <c r="KD24" s="896"/>
      <c r="KE24" s="896"/>
      <c r="KF24" s="896"/>
      <c r="KG24" s="896"/>
      <c r="KH24" s="896"/>
      <c r="KI24" s="896"/>
      <c r="KJ24" s="896"/>
      <c r="KK24" s="896"/>
      <c r="KL24" s="896"/>
      <c r="KM24" s="896"/>
      <c r="KN24" s="896"/>
      <c r="KO24" s="896"/>
      <c r="KP24" s="896"/>
      <c r="KQ24" s="896"/>
      <c r="KR24" s="896"/>
      <c r="KS24" s="896"/>
      <c r="KT24" s="896"/>
      <c r="KU24" s="896"/>
      <c r="KV24" s="896"/>
      <c r="KW24" s="896"/>
      <c r="KX24" s="896"/>
      <c r="KY24" s="896"/>
      <c r="KZ24" s="896"/>
      <c r="LA24" s="896"/>
      <c r="LB24" s="896"/>
      <c r="LC24" s="896"/>
      <c r="LD24" s="896"/>
      <c r="LE24" s="896"/>
      <c r="LF24" s="896"/>
      <c r="LG24" s="896"/>
      <c r="LH24" s="896"/>
      <c r="LI24" s="896"/>
      <c r="LJ24" s="896"/>
      <c r="LK24" s="896"/>
      <c r="LL24" s="896"/>
      <c r="LM24" s="896"/>
      <c r="LN24" s="896"/>
      <c r="LO24" s="896"/>
      <c r="LP24" s="896"/>
      <c r="LQ24" s="896"/>
      <c r="LR24" s="896"/>
      <c r="LS24" s="896"/>
      <c r="LT24" s="896"/>
      <c r="LU24" s="896"/>
      <c r="LV24" s="896"/>
      <c r="LW24" s="896"/>
      <c r="LX24" s="896"/>
      <c r="LY24" s="896"/>
      <c r="LZ24" s="896"/>
      <c r="MA24" s="896"/>
      <c r="MB24" s="896"/>
      <c r="MC24" s="896"/>
      <c r="MD24" s="896"/>
      <c r="ME24" s="896"/>
      <c r="MF24" s="896"/>
      <c r="MG24" s="896"/>
      <c r="MH24" s="896"/>
      <c r="MI24" s="896"/>
      <c r="MJ24" s="896"/>
      <c r="MK24" s="896"/>
      <c r="ML24" s="896"/>
      <c r="MM24" s="896"/>
      <c r="MN24" s="896"/>
      <c r="MO24" s="896"/>
      <c r="MP24" s="896"/>
      <c r="MQ24" s="896"/>
      <c r="MR24" s="896"/>
      <c r="MS24" s="896"/>
      <c r="MT24" s="896"/>
      <c r="MU24" s="896"/>
      <c r="MV24" s="896"/>
      <c r="MW24" s="896"/>
      <c r="MX24" s="896"/>
      <c r="MY24" s="896"/>
      <c r="MZ24" s="896"/>
      <c r="NA24" s="896"/>
      <c r="NB24" s="896"/>
      <c r="NC24" s="896"/>
      <c r="ND24" s="896"/>
      <c r="NE24" s="896"/>
      <c r="NF24" s="896"/>
      <c r="NG24" s="896"/>
      <c r="NH24" s="896"/>
      <c r="NI24" s="896"/>
      <c r="NJ24" s="896"/>
      <c r="NK24" s="896"/>
      <c r="NL24" s="896"/>
      <c r="NM24" s="896"/>
      <c r="NN24" s="896"/>
      <c r="NO24" s="896"/>
      <c r="NP24" s="896"/>
      <c r="NQ24" s="896"/>
      <c r="NR24" s="896"/>
      <c r="NS24" s="896"/>
      <c r="NT24" s="896"/>
      <c r="NU24" s="896"/>
      <c r="NV24" s="896"/>
      <c r="NW24" s="896"/>
      <c r="NX24" s="896"/>
      <c r="NY24" s="896"/>
      <c r="NZ24" s="896"/>
      <c r="OA24" s="896"/>
      <c r="OB24" s="896"/>
      <c r="OC24" s="896"/>
      <c r="OD24" s="896"/>
      <c r="OE24" s="896"/>
      <c r="OF24" s="896"/>
      <c r="OG24" s="896"/>
      <c r="OH24" s="896"/>
      <c r="OI24" s="896"/>
      <c r="OJ24" s="896"/>
      <c r="OK24" s="896"/>
      <c r="OL24" s="896"/>
      <c r="OM24" s="896"/>
      <c r="ON24" s="896"/>
      <c r="OO24" s="896"/>
      <c r="OP24" s="896"/>
      <c r="OQ24" s="896"/>
      <c r="OR24" s="896"/>
      <c r="OS24" s="896"/>
      <c r="OT24" s="896"/>
      <c r="OU24" s="896"/>
      <c r="OV24" s="896"/>
      <c r="OW24" s="896"/>
      <c r="OX24" s="896"/>
      <c r="OY24" s="896"/>
      <c r="OZ24" s="896"/>
      <c r="PA24" s="896"/>
      <c r="PB24" s="896"/>
      <c r="PC24" s="896"/>
      <c r="PD24" s="896"/>
      <c r="PE24" s="896"/>
      <c r="PF24" s="896"/>
      <c r="PG24" s="896"/>
      <c r="PH24" s="896"/>
      <c r="PI24" s="896"/>
      <c r="PJ24" s="896"/>
      <c r="PK24" s="896"/>
      <c r="PL24" s="896"/>
      <c r="PM24" s="896"/>
      <c r="PN24" s="896"/>
      <c r="PO24" s="896"/>
      <c r="PP24" s="896"/>
      <c r="PQ24" s="896"/>
      <c r="PR24" s="896"/>
      <c r="PS24" s="896"/>
      <c r="PT24" s="896"/>
      <c r="PU24" s="896"/>
      <c r="PV24" s="896"/>
      <c r="PW24" s="896"/>
      <c r="PX24" s="896"/>
      <c r="PY24" s="896"/>
      <c r="PZ24" s="896"/>
      <c r="QA24" s="896"/>
      <c r="QB24" s="896"/>
      <c r="QC24" s="896"/>
      <c r="QD24" s="896"/>
      <c r="QE24" s="896"/>
      <c r="QF24" s="896"/>
      <c r="QG24" s="896"/>
    </row>
    <row r="25" spans="1:449" s="773" customFormat="1" ht="38.25" customHeight="1" x14ac:dyDescent="0.2">
      <c r="A25" s="938"/>
      <c r="B25" s="973" t="s">
        <v>1258</v>
      </c>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783"/>
      <c r="AO25" s="783"/>
      <c r="AP25" s="783"/>
      <c r="AQ25" s="783"/>
      <c r="AR25" s="783"/>
      <c r="AS25" s="783"/>
      <c r="AT25" s="783"/>
      <c r="AU25" s="783"/>
      <c r="AV25" s="783"/>
      <c r="AW25" s="890"/>
      <c r="AX25" s="890"/>
      <c r="AY25" s="890"/>
      <c r="AZ25" s="890"/>
      <c r="BA25" s="890"/>
      <c r="BB25" s="890"/>
      <c r="BC25" s="890"/>
      <c r="BD25" s="890"/>
      <c r="BE25" s="890"/>
      <c r="BF25" s="890"/>
      <c r="BG25" s="890"/>
      <c r="BH25" s="890"/>
      <c r="BI25" s="783"/>
      <c r="BJ25" s="783"/>
      <c r="BK25" s="783"/>
      <c r="BL25" s="783"/>
      <c r="BM25" s="783"/>
      <c r="BN25" s="783"/>
      <c r="BO25" s="891"/>
      <c r="BP25" s="892"/>
      <c r="BQ25" s="892"/>
      <c r="BR25" s="892"/>
      <c r="BS25" s="892"/>
      <c r="BT25" s="892"/>
      <c r="BU25" s="892"/>
      <c r="BV25" s="892"/>
      <c r="BW25" s="892"/>
      <c r="BX25" s="892"/>
      <c r="BY25" s="892"/>
      <c r="BZ25" s="892"/>
      <c r="CA25" s="892"/>
      <c r="CB25" s="892"/>
      <c r="CC25" s="892"/>
      <c r="CD25" s="892"/>
      <c r="CE25" s="892"/>
      <c r="CF25" s="814"/>
      <c r="CG25" s="814"/>
      <c r="CH25" s="814"/>
      <c r="CI25" s="814"/>
      <c r="CJ25" s="814"/>
      <c r="CK25" s="814"/>
      <c r="CL25" s="814"/>
      <c r="CM25" s="814"/>
      <c r="CN25" s="814"/>
      <c r="CO25" s="814"/>
      <c r="CP25" s="814"/>
      <c r="CQ25" s="814"/>
      <c r="CR25" s="814"/>
      <c r="CS25" s="889"/>
      <c r="CT25" s="889"/>
      <c r="CU25" s="889"/>
      <c r="CV25" s="889"/>
      <c r="CW25" s="889"/>
      <c r="CX25" s="889"/>
      <c r="CY25" s="889"/>
      <c r="CZ25" s="875"/>
      <c r="DA25" s="889"/>
      <c r="DB25" s="889"/>
      <c r="DC25" s="892"/>
      <c r="DD25" s="892"/>
      <c r="DE25" s="892"/>
      <c r="DF25" s="887"/>
      <c r="DG25" s="887"/>
      <c r="DH25" s="887"/>
      <c r="DI25" s="887"/>
      <c r="DJ25" s="887"/>
      <c r="DK25" s="949" t="s">
        <v>1134</v>
      </c>
      <c r="DL25" s="951"/>
      <c r="DM25" s="887" t="s">
        <v>1147</v>
      </c>
      <c r="DN25" s="887" t="s">
        <v>1158</v>
      </c>
      <c r="DO25" s="887"/>
      <c r="DP25" s="887" t="s">
        <v>1173</v>
      </c>
      <c r="DQ25" s="954"/>
      <c r="DR25" s="954"/>
      <c r="DS25" s="954"/>
      <c r="DT25" s="954" t="s">
        <v>1186</v>
      </c>
      <c r="DU25" s="949"/>
      <c r="DV25" s="954"/>
      <c r="DW25" s="954"/>
      <c r="DX25" s="954"/>
      <c r="DY25" s="954"/>
      <c r="DZ25" s="954"/>
      <c r="EA25" s="954"/>
      <c r="EB25" s="954"/>
      <c r="EC25" s="933"/>
      <c r="ED25" s="952"/>
      <c r="EE25" s="954" t="s">
        <v>1338</v>
      </c>
      <c r="EF25" s="933"/>
      <c r="EG25" s="933"/>
      <c r="EH25" s="933"/>
      <c r="EI25" s="933"/>
      <c r="EJ25" s="933"/>
      <c r="EK25" s="952"/>
      <c r="EL25" s="933"/>
      <c r="EM25" s="933"/>
      <c r="EN25" s="933"/>
      <c r="EO25" s="933"/>
      <c r="EP25" s="933"/>
      <c r="EQ25" s="933"/>
      <c r="ER25" s="933"/>
      <c r="ES25" s="933"/>
      <c r="ET25" s="933"/>
      <c r="EU25" s="933"/>
      <c r="EV25" s="896"/>
      <c r="EW25" s="896"/>
      <c r="EX25" s="896"/>
      <c r="EY25" s="896"/>
      <c r="EZ25" s="896"/>
      <c r="FA25" s="896"/>
      <c r="FB25" s="896"/>
      <c r="FC25" s="896"/>
      <c r="FD25" s="896"/>
      <c r="FE25" s="896"/>
      <c r="FF25" s="896"/>
      <c r="FG25" s="896"/>
      <c r="FH25" s="896"/>
      <c r="FI25" s="896"/>
      <c r="FJ25" s="896"/>
      <c r="FK25" s="896"/>
      <c r="FL25" s="896"/>
      <c r="FM25" s="896"/>
      <c r="FN25" s="896"/>
      <c r="FO25" s="896"/>
      <c r="FP25" s="896"/>
      <c r="FQ25" s="896"/>
      <c r="FR25" s="896"/>
      <c r="FS25" s="896"/>
      <c r="FT25" s="896"/>
      <c r="FU25" s="896"/>
      <c r="FV25" s="896"/>
      <c r="FW25" s="896"/>
      <c r="FX25" s="896"/>
      <c r="FY25" s="896"/>
      <c r="FZ25" s="896"/>
      <c r="GA25" s="896"/>
      <c r="GB25" s="896"/>
      <c r="GC25" s="896"/>
      <c r="GD25" s="896"/>
      <c r="GE25" s="896"/>
      <c r="GF25" s="896"/>
      <c r="GG25" s="896"/>
      <c r="GH25" s="896"/>
      <c r="GI25" s="896"/>
      <c r="GJ25" s="896"/>
      <c r="GK25" s="896"/>
      <c r="GL25" s="896"/>
      <c r="GM25" s="896"/>
      <c r="GN25" s="896"/>
      <c r="GO25" s="896"/>
      <c r="GP25" s="896"/>
      <c r="GQ25" s="896"/>
      <c r="GR25" s="896"/>
      <c r="GS25" s="896"/>
      <c r="GT25" s="896"/>
      <c r="GU25" s="896"/>
      <c r="GV25" s="896"/>
      <c r="GW25" s="896"/>
      <c r="GX25" s="896"/>
      <c r="GY25" s="896"/>
      <c r="GZ25" s="896"/>
      <c r="HA25" s="896"/>
      <c r="HB25" s="896"/>
      <c r="HC25" s="896"/>
      <c r="HD25" s="896"/>
      <c r="HE25" s="896"/>
      <c r="HF25" s="896"/>
      <c r="HG25" s="896"/>
      <c r="HH25" s="896"/>
      <c r="HI25" s="896"/>
      <c r="HJ25" s="896"/>
      <c r="HK25" s="896"/>
      <c r="HL25" s="896"/>
      <c r="HM25" s="896"/>
      <c r="HN25" s="896"/>
      <c r="HO25" s="896"/>
      <c r="HP25" s="896"/>
      <c r="HQ25" s="896"/>
      <c r="HR25" s="896"/>
      <c r="HS25" s="896"/>
      <c r="HT25" s="896"/>
      <c r="HU25" s="896"/>
      <c r="HV25" s="896"/>
      <c r="HW25" s="896"/>
      <c r="HX25" s="896"/>
      <c r="HY25" s="896"/>
      <c r="HZ25" s="896"/>
      <c r="IA25" s="896"/>
      <c r="IB25" s="896"/>
      <c r="IC25" s="896"/>
      <c r="ID25" s="896"/>
      <c r="IE25" s="896"/>
      <c r="IF25" s="896"/>
      <c r="IG25" s="896"/>
      <c r="IH25" s="896"/>
      <c r="II25" s="896"/>
      <c r="IJ25" s="896"/>
      <c r="IK25" s="896"/>
      <c r="IL25" s="896"/>
      <c r="IM25" s="896"/>
      <c r="IN25" s="896"/>
      <c r="IO25" s="896"/>
      <c r="IP25" s="896"/>
      <c r="IQ25" s="896"/>
      <c r="IR25" s="896"/>
      <c r="IS25" s="896"/>
      <c r="IT25" s="896"/>
      <c r="IU25" s="896"/>
      <c r="IV25" s="896"/>
      <c r="IW25" s="896"/>
      <c r="IX25" s="896"/>
      <c r="IY25" s="896"/>
      <c r="IZ25" s="896"/>
      <c r="JA25" s="896"/>
      <c r="JB25" s="896"/>
      <c r="JC25" s="896"/>
      <c r="JD25" s="896"/>
      <c r="JE25" s="896"/>
      <c r="JF25" s="896"/>
      <c r="JG25" s="896"/>
      <c r="JH25" s="896"/>
      <c r="JI25" s="896"/>
      <c r="JJ25" s="896"/>
      <c r="JK25" s="896"/>
      <c r="JL25" s="896"/>
      <c r="JM25" s="896"/>
      <c r="JN25" s="896"/>
      <c r="JO25" s="896"/>
      <c r="JP25" s="896"/>
      <c r="JQ25" s="896"/>
      <c r="JR25" s="896"/>
      <c r="JS25" s="896"/>
      <c r="JT25" s="896"/>
      <c r="JU25" s="896"/>
      <c r="JV25" s="896"/>
      <c r="JW25" s="896"/>
      <c r="JX25" s="896"/>
      <c r="JY25" s="896"/>
      <c r="JZ25" s="896"/>
      <c r="KA25" s="896"/>
      <c r="KB25" s="896"/>
      <c r="KC25" s="896"/>
      <c r="KD25" s="896"/>
      <c r="KE25" s="896"/>
      <c r="KF25" s="896"/>
      <c r="KG25" s="896"/>
      <c r="KH25" s="896"/>
      <c r="KI25" s="896"/>
      <c r="KJ25" s="896"/>
      <c r="KK25" s="896"/>
      <c r="KL25" s="896"/>
      <c r="KM25" s="896"/>
      <c r="KN25" s="896"/>
      <c r="KO25" s="896"/>
      <c r="KP25" s="896"/>
      <c r="KQ25" s="896"/>
      <c r="KR25" s="896"/>
      <c r="KS25" s="896"/>
      <c r="KT25" s="896"/>
      <c r="KU25" s="896"/>
      <c r="KV25" s="896"/>
      <c r="KW25" s="896"/>
      <c r="KX25" s="896"/>
      <c r="KY25" s="896"/>
      <c r="KZ25" s="896"/>
      <c r="LA25" s="896"/>
      <c r="LB25" s="896"/>
      <c r="LC25" s="896"/>
      <c r="LD25" s="896"/>
      <c r="LE25" s="896"/>
      <c r="LF25" s="896"/>
      <c r="LG25" s="896"/>
      <c r="LH25" s="896"/>
      <c r="LI25" s="896"/>
      <c r="LJ25" s="896"/>
      <c r="LK25" s="896"/>
      <c r="LL25" s="896"/>
      <c r="LM25" s="896"/>
      <c r="LN25" s="896"/>
      <c r="LO25" s="896"/>
      <c r="LP25" s="896"/>
      <c r="LQ25" s="896"/>
      <c r="LR25" s="896"/>
      <c r="LS25" s="896"/>
      <c r="LT25" s="896"/>
      <c r="LU25" s="896"/>
      <c r="LV25" s="896"/>
      <c r="LW25" s="896"/>
      <c r="LX25" s="896"/>
      <c r="LY25" s="896"/>
      <c r="LZ25" s="896"/>
      <c r="MA25" s="896"/>
      <c r="MB25" s="896"/>
      <c r="MC25" s="896"/>
      <c r="MD25" s="896"/>
      <c r="ME25" s="896"/>
      <c r="MF25" s="896"/>
      <c r="MG25" s="896"/>
      <c r="MH25" s="896"/>
      <c r="MI25" s="896"/>
      <c r="MJ25" s="896"/>
      <c r="MK25" s="896"/>
      <c r="ML25" s="896"/>
      <c r="MM25" s="896"/>
      <c r="MN25" s="896"/>
      <c r="MO25" s="896"/>
      <c r="MP25" s="896"/>
      <c r="MQ25" s="896"/>
      <c r="MR25" s="896"/>
      <c r="MS25" s="896"/>
      <c r="MT25" s="896"/>
      <c r="MU25" s="896"/>
      <c r="MV25" s="896"/>
      <c r="MW25" s="896"/>
      <c r="MX25" s="896"/>
      <c r="MY25" s="896"/>
      <c r="MZ25" s="896"/>
      <c r="NA25" s="896"/>
      <c r="NB25" s="896"/>
      <c r="NC25" s="896"/>
      <c r="ND25" s="896"/>
      <c r="NE25" s="896"/>
      <c r="NF25" s="896"/>
      <c r="NG25" s="896"/>
      <c r="NH25" s="896"/>
      <c r="NI25" s="896"/>
      <c r="NJ25" s="896"/>
      <c r="NK25" s="896"/>
      <c r="NL25" s="896"/>
      <c r="NM25" s="896"/>
      <c r="NN25" s="896"/>
      <c r="NO25" s="896"/>
      <c r="NP25" s="896"/>
      <c r="NQ25" s="896"/>
      <c r="NR25" s="896"/>
      <c r="NS25" s="896"/>
      <c r="NT25" s="896"/>
      <c r="NU25" s="896"/>
      <c r="NV25" s="896"/>
      <c r="NW25" s="896"/>
      <c r="NX25" s="896"/>
      <c r="NY25" s="896"/>
      <c r="NZ25" s="896"/>
      <c r="OA25" s="896"/>
      <c r="OB25" s="896"/>
      <c r="OC25" s="896"/>
      <c r="OD25" s="896"/>
      <c r="OE25" s="896"/>
      <c r="OF25" s="896"/>
      <c r="OG25" s="896"/>
      <c r="OH25" s="896"/>
      <c r="OI25" s="896"/>
      <c r="OJ25" s="896"/>
      <c r="OK25" s="896"/>
      <c r="OL25" s="896"/>
      <c r="OM25" s="896"/>
      <c r="ON25" s="896"/>
      <c r="OO25" s="896"/>
      <c r="OP25" s="896"/>
      <c r="OQ25" s="896"/>
      <c r="OR25" s="896"/>
      <c r="OS25" s="896"/>
      <c r="OT25" s="896"/>
      <c r="OU25" s="896"/>
      <c r="OV25" s="896"/>
      <c r="OW25" s="896"/>
      <c r="OX25" s="896"/>
      <c r="OY25" s="896"/>
      <c r="OZ25" s="896"/>
      <c r="PA25" s="896"/>
      <c r="PB25" s="896"/>
      <c r="PC25" s="896"/>
      <c r="PD25" s="896"/>
      <c r="PE25" s="896"/>
      <c r="PF25" s="896"/>
      <c r="PG25" s="896"/>
      <c r="PH25" s="896"/>
      <c r="PI25" s="896"/>
      <c r="PJ25" s="896"/>
      <c r="PK25" s="896"/>
      <c r="PL25" s="896"/>
      <c r="PM25" s="896"/>
      <c r="PN25" s="896"/>
      <c r="PO25" s="896"/>
      <c r="PP25" s="896"/>
      <c r="PQ25" s="896"/>
      <c r="PR25" s="896"/>
      <c r="PS25" s="896"/>
      <c r="PT25" s="896"/>
      <c r="PU25" s="896"/>
      <c r="PV25" s="896"/>
      <c r="PW25" s="896"/>
      <c r="PX25" s="896"/>
      <c r="PY25" s="896"/>
      <c r="PZ25" s="896"/>
      <c r="QA25" s="896"/>
      <c r="QB25" s="896"/>
      <c r="QC25" s="896"/>
      <c r="QD25" s="896"/>
      <c r="QE25" s="896"/>
      <c r="QF25" s="896"/>
      <c r="QG25" s="896"/>
    </row>
    <row r="26" spans="1:449" s="773" customFormat="1" ht="54.75" customHeight="1" thickBot="1" x14ac:dyDescent="0.25">
      <c r="A26" s="938"/>
      <c r="B26" s="962" t="s">
        <v>1135</v>
      </c>
      <c r="C26" s="782"/>
      <c r="D26" s="782"/>
      <c r="E26" s="782"/>
      <c r="F26" s="782"/>
      <c r="G26" s="782"/>
      <c r="H26" s="782"/>
      <c r="I26" s="782"/>
      <c r="J26" s="782"/>
      <c r="K26" s="782"/>
      <c r="L26" s="782"/>
      <c r="M26" s="782"/>
      <c r="N26" s="782"/>
      <c r="O26" s="782" t="s">
        <v>752</v>
      </c>
      <c r="P26" s="782" t="s">
        <v>752</v>
      </c>
      <c r="Q26" s="782" t="s">
        <v>752</v>
      </c>
      <c r="R26" s="782" t="s">
        <v>752</v>
      </c>
      <c r="S26" s="782" t="s">
        <v>752</v>
      </c>
      <c r="T26" s="782" t="s">
        <v>752</v>
      </c>
      <c r="U26" s="782" t="s">
        <v>752</v>
      </c>
      <c r="V26" s="782" t="s">
        <v>752</v>
      </c>
      <c r="W26" s="782" t="s">
        <v>752</v>
      </c>
      <c r="X26" s="782" t="s">
        <v>752</v>
      </c>
      <c r="Y26" s="782" t="s">
        <v>752</v>
      </c>
      <c r="Z26" s="782" t="s">
        <v>752</v>
      </c>
      <c r="AA26" s="782" t="s">
        <v>752</v>
      </c>
      <c r="AB26" s="782" t="s">
        <v>752</v>
      </c>
      <c r="AC26" s="782" t="s">
        <v>752</v>
      </c>
      <c r="AD26" s="782" t="s">
        <v>752</v>
      </c>
      <c r="AE26" s="782" t="s">
        <v>752</v>
      </c>
      <c r="AF26" s="782" t="s">
        <v>752</v>
      </c>
      <c r="AG26" s="782" t="s">
        <v>752</v>
      </c>
      <c r="AH26" s="782" t="s">
        <v>752</v>
      </c>
      <c r="AI26" s="782" t="s">
        <v>752</v>
      </c>
      <c r="AJ26" s="782" t="s">
        <v>752</v>
      </c>
      <c r="AK26" s="782" t="s">
        <v>752</v>
      </c>
      <c r="AL26" s="782" t="s">
        <v>752</v>
      </c>
      <c r="AM26" s="782" t="s">
        <v>752</v>
      </c>
      <c r="AN26" s="783" t="s">
        <v>752</v>
      </c>
      <c r="AO26" s="783" t="s">
        <v>752</v>
      </c>
      <c r="AP26" s="783" t="s">
        <v>752</v>
      </c>
      <c r="AQ26" s="783" t="s">
        <v>752</v>
      </c>
      <c r="AR26" s="783" t="s">
        <v>752</v>
      </c>
      <c r="AS26" s="783" t="s">
        <v>752</v>
      </c>
      <c r="AT26" s="783" t="s">
        <v>752</v>
      </c>
      <c r="AU26" s="783" t="s">
        <v>752</v>
      </c>
      <c r="AV26" s="783" t="s">
        <v>752</v>
      </c>
      <c r="AW26" s="782" t="s">
        <v>752</v>
      </c>
      <c r="AX26" s="782" t="s">
        <v>752</v>
      </c>
      <c r="AY26" s="782" t="s">
        <v>752</v>
      </c>
      <c r="AZ26" s="782" t="s">
        <v>752</v>
      </c>
      <c r="BA26" s="782" t="s">
        <v>752</v>
      </c>
      <c r="BB26" s="782" t="s">
        <v>752</v>
      </c>
      <c r="BC26" s="782" t="s">
        <v>752</v>
      </c>
      <c r="BD26" s="782" t="s">
        <v>752</v>
      </c>
      <c r="BE26" s="782" t="s">
        <v>752</v>
      </c>
      <c r="BF26" s="782" t="s">
        <v>752</v>
      </c>
      <c r="BG26" s="782" t="s">
        <v>752</v>
      </c>
      <c r="BH26" s="782" t="s">
        <v>752</v>
      </c>
      <c r="BI26" s="783" t="s">
        <v>752</v>
      </c>
      <c r="BJ26" s="783" t="s">
        <v>752</v>
      </c>
      <c r="BK26" s="783" t="s">
        <v>752</v>
      </c>
      <c r="BL26" s="783" t="s">
        <v>752</v>
      </c>
      <c r="BM26" s="783" t="s">
        <v>752</v>
      </c>
      <c r="BN26" s="783" t="s">
        <v>752</v>
      </c>
      <c r="BO26" s="783" t="s">
        <v>752</v>
      </c>
      <c r="BP26" s="782" t="s">
        <v>752</v>
      </c>
      <c r="BQ26" s="782" t="s">
        <v>752</v>
      </c>
      <c r="BR26" s="782" t="s">
        <v>752</v>
      </c>
      <c r="BS26" s="782" t="s">
        <v>752</v>
      </c>
      <c r="BT26" s="782" t="s">
        <v>752</v>
      </c>
      <c r="BU26" s="782" t="s">
        <v>752</v>
      </c>
      <c r="BV26" s="782" t="s">
        <v>752</v>
      </c>
      <c r="BW26" s="782" t="s">
        <v>752</v>
      </c>
      <c r="BX26" s="782" t="s">
        <v>752</v>
      </c>
      <c r="BY26" s="782" t="s">
        <v>752</v>
      </c>
      <c r="BZ26" s="782" t="s">
        <v>752</v>
      </c>
      <c r="CA26" s="782" t="s">
        <v>752</v>
      </c>
      <c r="CB26" s="782" t="s">
        <v>752</v>
      </c>
      <c r="CC26" s="782" t="s">
        <v>752</v>
      </c>
      <c r="CD26" s="782" t="s">
        <v>752</v>
      </c>
      <c r="CE26" s="782" t="s">
        <v>752</v>
      </c>
      <c r="CF26" s="816" t="s">
        <v>752</v>
      </c>
      <c r="CG26" s="816" t="s">
        <v>757</v>
      </c>
      <c r="CH26" s="816" t="s">
        <v>757</v>
      </c>
      <c r="CI26" s="816" t="s">
        <v>757</v>
      </c>
      <c r="CJ26" s="816" t="s">
        <v>757</v>
      </c>
      <c r="CK26" s="816" t="s">
        <v>757</v>
      </c>
      <c r="CL26" s="816" t="s">
        <v>757</v>
      </c>
      <c r="CM26" s="816" t="s">
        <v>757</v>
      </c>
      <c r="CN26" s="816" t="s">
        <v>757</v>
      </c>
      <c r="CO26" s="816" t="s">
        <v>757</v>
      </c>
      <c r="CP26" s="816" t="s">
        <v>757</v>
      </c>
      <c r="CQ26" s="816" t="s">
        <v>757</v>
      </c>
      <c r="CR26" s="816" t="s">
        <v>757</v>
      </c>
      <c r="CS26" s="853" t="s">
        <v>757</v>
      </c>
      <c r="CT26" s="856" t="s">
        <v>757</v>
      </c>
      <c r="CU26" s="856" t="s">
        <v>757</v>
      </c>
      <c r="CV26" s="856" t="s">
        <v>757</v>
      </c>
      <c r="CW26" s="856" t="s">
        <v>752</v>
      </c>
      <c r="CX26" s="856" t="s">
        <v>757</v>
      </c>
      <c r="CY26" s="856" t="s">
        <v>757</v>
      </c>
      <c r="CZ26" s="904" t="s">
        <v>757</v>
      </c>
      <c r="DA26" s="879"/>
      <c r="DB26" s="879"/>
      <c r="DC26" s="959"/>
      <c r="DD26" s="959"/>
      <c r="DE26" s="959"/>
      <c r="DF26" s="888"/>
      <c r="DG26" s="888"/>
      <c r="DH26" s="888"/>
      <c r="DI26" s="888"/>
      <c r="DJ26" s="888" t="s">
        <v>1136</v>
      </c>
      <c r="DK26" s="888"/>
      <c r="DL26" s="888"/>
      <c r="DM26" s="888" t="s">
        <v>1456</v>
      </c>
      <c r="DN26" s="888"/>
      <c r="DO26" s="888"/>
      <c r="DP26" s="888"/>
      <c r="DQ26" s="954"/>
      <c r="DR26" s="954"/>
      <c r="DS26" s="954"/>
      <c r="DT26" s="949" t="s">
        <v>1199</v>
      </c>
      <c r="DU26" s="950"/>
      <c r="DV26" s="951"/>
      <c r="DW26" s="954"/>
      <c r="DX26" s="954"/>
      <c r="DY26" s="954"/>
      <c r="DZ26" s="954"/>
      <c r="EA26" s="954"/>
      <c r="EB26" s="954"/>
      <c r="EC26" s="933"/>
      <c r="ED26" s="952"/>
      <c r="EE26" s="933"/>
      <c r="EF26" s="933"/>
      <c r="EG26" s="933"/>
      <c r="EH26" s="933"/>
      <c r="EI26" s="933"/>
      <c r="EJ26" s="933"/>
      <c r="EK26" s="952"/>
      <c r="EL26" s="933"/>
      <c r="EM26" s="933"/>
      <c r="EN26" s="933"/>
      <c r="EO26" s="933"/>
      <c r="EP26" s="933"/>
      <c r="EQ26" s="933"/>
      <c r="ER26" s="933"/>
      <c r="ES26" s="933"/>
      <c r="ET26" s="933"/>
      <c r="EU26" s="933"/>
      <c r="EV26" s="896"/>
      <c r="EW26" s="896"/>
      <c r="EX26" s="896"/>
      <c r="EY26" s="896"/>
      <c r="EZ26" s="896"/>
      <c r="FA26" s="896"/>
      <c r="FB26" s="896"/>
      <c r="FC26" s="896"/>
      <c r="FD26" s="896"/>
      <c r="FE26" s="896"/>
      <c r="FF26" s="896"/>
      <c r="FG26" s="896"/>
      <c r="FH26" s="896"/>
      <c r="FI26" s="896"/>
      <c r="FJ26" s="896"/>
      <c r="FK26" s="896"/>
      <c r="FL26" s="896"/>
      <c r="FM26" s="896"/>
      <c r="FN26" s="896"/>
      <c r="FO26" s="896"/>
      <c r="FP26" s="896"/>
      <c r="FQ26" s="896"/>
      <c r="FR26" s="896"/>
      <c r="FS26" s="896"/>
      <c r="FT26" s="896"/>
      <c r="FU26" s="896"/>
      <c r="FV26" s="896"/>
      <c r="FW26" s="896"/>
      <c r="FX26" s="896"/>
      <c r="FY26" s="896"/>
      <c r="FZ26" s="896"/>
      <c r="GA26" s="896"/>
      <c r="GB26" s="896"/>
      <c r="GC26" s="896"/>
      <c r="GD26" s="896"/>
      <c r="GE26" s="896"/>
      <c r="GF26" s="896"/>
      <c r="GG26" s="896"/>
      <c r="GH26" s="896"/>
      <c r="GI26" s="896"/>
      <c r="GJ26" s="896"/>
      <c r="GK26" s="896"/>
      <c r="GL26" s="896"/>
      <c r="GM26" s="896"/>
      <c r="GN26" s="896"/>
      <c r="GO26" s="896"/>
      <c r="GP26" s="896"/>
      <c r="GQ26" s="896"/>
      <c r="GR26" s="896"/>
      <c r="GS26" s="896"/>
      <c r="GT26" s="896"/>
      <c r="GU26" s="896"/>
      <c r="GV26" s="896"/>
      <c r="GW26" s="896"/>
      <c r="GX26" s="896"/>
      <c r="GY26" s="896"/>
      <c r="GZ26" s="896"/>
      <c r="HA26" s="896"/>
      <c r="HB26" s="896"/>
      <c r="HC26" s="896"/>
      <c r="HD26" s="896"/>
      <c r="HE26" s="896"/>
      <c r="HF26" s="896"/>
      <c r="HG26" s="896"/>
      <c r="HH26" s="896"/>
      <c r="HI26" s="896"/>
      <c r="HJ26" s="896"/>
      <c r="HK26" s="896"/>
      <c r="HL26" s="896"/>
      <c r="HM26" s="896"/>
      <c r="HN26" s="896"/>
      <c r="HO26" s="896"/>
      <c r="HP26" s="896"/>
      <c r="HQ26" s="896"/>
      <c r="HR26" s="896"/>
      <c r="HS26" s="896"/>
      <c r="HT26" s="896"/>
      <c r="HU26" s="896"/>
      <c r="HV26" s="896"/>
      <c r="HW26" s="896"/>
      <c r="HX26" s="896"/>
      <c r="HY26" s="896"/>
      <c r="HZ26" s="896"/>
      <c r="IA26" s="896"/>
      <c r="IB26" s="896"/>
      <c r="IC26" s="896"/>
      <c r="ID26" s="896"/>
      <c r="IE26" s="896"/>
      <c r="IF26" s="896"/>
      <c r="IG26" s="896"/>
      <c r="IH26" s="896"/>
      <c r="II26" s="896"/>
      <c r="IJ26" s="896"/>
      <c r="IK26" s="896"/>
      <c r="IL26" s="896"/>
      <c r="IM26" s="896"/>
      <c r="IN26" s="896"/>
      <c r="IO26" s="896"/>
      <c r="IP26" s="896"/>
      <c r="IQ26" s="896"/>
      <c r="IR26" s="896"/>
      <c r="IS26" s="896"/>
      <c r="IT26" s="896"/>
      <c r="IU26" s="896"/>
      <c r="IV26" s="896"/>
      <c r="IW26" s="896"/>
      <c r="IX26" s="896"/>
      <c r="IY26" s="896"/>
      <c r="IZ26" s="896"/>
      <c r="JA26" s="896"/>
      <c r="JB26" s="896"/>
      <c r="JC26" s="896"/>
      <c r="JD26" s="896"/>
      <c r="JE26" s="896"/>
      <c r="JF26" s="896"/>
      <c r="JG26" s="896"/>
      <c r="JH26" s="896"/>
      <c r="JI26" s="896"/>
      <c r="JJ26" s="896"/>
      <c r="JK26" s="896"/>
      <c r="JL26" s="896"/>
      <c r="JM26" s="896"/>
      <c r="JN26" s="896"/>
      <c r="JO26" s="896"/>
      <c r="JP26" s="896"/>
      <c r="JQ26" s="896"/>
      <c r="JR26" s="896"/>
      <c r="JS26" s="896"/>
      <c r="JT26" s="896"/>
      <c r="JU26" s="896"/>
      <c r="JV26" s="896"/>
      <c r="JW26" s="896"/>
      <c r="JX26" s="896"/>
      <c r="JY26" s="896"/>
      <c r="JZ26" s="896"/>
      <c r="KA26" s="896"/>
      <c r="KB26" s="896"/>
      <c r="KC26" s="896"/>
      <c r="KD26" s="896"/>
      <c r="KE26" s="896"/>
      <c r="KF26" s="896"/>
      <c r="KG26" s="896"/>
      <c r="KH26" s="896"/>
      <c r="KI26" s="896"/>
      <c r="KJ26" s="896"/>
      <c r="KK26" s="896"/>
      <c r="KL26" s="896"/>
      <c r="KM26" s="896"/>
      <c r="KN26" s="896"/>
      <c r="KO26" s="896"/>
      <c r="KP26" s="896"/>
      <c r="KQ26" s="896"/>
      <c r="KR26" s="896"/>
      <c r="KS26" s="896"/>
      <c r="KT26" s="896"/>
      <c r="KU26" s="896"/>
      <c r="KV26" s="896"/>
      <c r="KW26" s="896"/>
      <c r="KX26" s="896"/>
      <c r="KY26" s="896"/>
      <c r="KZ26" s="896"/>
      <c r="LA26" s="896"/>
      <c r="LB26" s="896"/>
      <c r="LC26" s="896"/>
      <c r="LD26" s="896"/>
      <c r="LE26" s="896"/>
      <c r="LF26" s="896"/>
      <c r="LG26" s="896"/>
      <c r="LH26" s="896"/>
      <c r="LI26" s="896"/>
      <c r="LJ26" s="896"/>
      <c r="LK26" s="896"/>
      <c r="LL26" s="896"/>
      <c r="LM26" s="896"/>
      <c r="LN26" s="896"/>
      <c r="LO26" s="896"/>
      <c r="LP26" s="896"/>
      <c r="LQ26" s="896"/>
      <c r="LR26" s="896"/>
      <c r="LS26" s="896"/>
      <c r="LT26" s="896"/>
      <c r="LU26" s="896"/>
      <c r="LV26" s="896"/>
      <c r="LW26" s="896"/>
      <c r="LX26" s="896"/>
      <c r="LY26" s="896"/>
      <c r="LZ26" s="896"/>
      <c r="MA26" s="896"/>
      <c r="MB26" s="896"/>
      <c r="MC26" s="896"/>
      <c r="MD26" s="896"/>
      <c r="ME26" s="896"/>
      <c r="MF26" s="896"/>
      <c r="MG26" s="896"/>
      <c r="MH26" s="896"/>
      <c r="MI26" s="896"/>
      <c r="MJ26" s="896"/>
      <c r="MK26" s="896"/>
      <c r="ML26" s="896"/>
      <c r="MM26" s="896"/>
      <c r="MN26" s="896"/>
      <c r="MO26" s="896"/>
      <c r="MP26" s="896"/>
      <c r="MQ26" s="896"/>
      <c r="MR26" s="896"/>
      <c r="MS26" s="896"/>
      <c r="MT26" s="896"/>
      <c r="MU26" s="896"/>
      <c r="MV26" s="896"/>
      <c r="MW26" s="896"/>
      <c r="MX26" s="896"/>
      <c r="MY26" s="896"/>
      <c r="MZ26" s="896"/>
      <c r="NA26" s="896"/>
      <c r="NB26" s="896"/>
      <c r="NC26" s="896"/>
      <c r="ND26" s="896"/>
      <c r="NE26" s="896"/>
      <c r="NF26" s="896"/>
      <c r="NG26" s="896"/>
      <c r="NH26" s="896"/>
      <c r="NI26" s="896"/>
      <c r="NJ26" s="896"/>
      <c r="NK26" s="896"/>
      <c r="NL26" s="896"/>
      <c r="NM26" s="896"/>
      <c r="NN26" s="896"/>
      <c r="NO26" s="896"/>
      <c r="NP26" s="896"/>
      <c r="NQ26" s="896"/>
      <c r="NR26" s="896"/>
      <c r="NS26" s="896"/>
      <c r="NT26" s="896"/>
      <c r="NU26" s="896"/>
      <c r="NV26" s="896"/>
      <c r="NW26" s="896"/>
      <c r="NX26" s="896"/>
      <c r="NY26" s="896"/>
      <c r="NZ26" s="896"/>
      <c r="OA26" s="896"/>
      <c r="OB26" s="896"/>
      <c r="OC26" s="896"/>
      <c r="OD26" s="896"/>
      <c r="OE26" s="896"/>
      <c r="OF26" s="896"/>
      <c r="OG26" s="896"/>
      <c r="OH26" s="896"/>
      <c r="OI26" s="896"/>
      <c r="OJ26" s="896"/>
      <c r="OK26" s="896"/>
      <c r="OL26" s="896"/>
      <c r="OM26" s="896"/>
      <c r="ON26" s="896"/>
      <c r="OO26" s="896"/>
      <c r="OP26" s="896"/>
      <c r="OQ26" s="896"/>
      <c r="OR26" s="896"/>
      <c r="OS26" s="896"/>
      <c r="OT26" s="896"/>
      <c r="OU26" s="896"/>
      <c r="OV26" s="896"/>
      <c r="OW26" s="896"/>
      <c r="OX26" s="896"/>
      <c r="OY26" s="896"/>
      <c r="OZ26" s="896"/>
      <c r="PA26" s="896"/>
      <c r="PB26" s="896"/>
      <c r="PC26" s="896"/>
      <c r="PD26" s="896"/>
      <c r="PE26" s="896"/>
      <c r="PF26" s="896"/>
      <c r="PG26" s="896"/>
      <c r="PH26" s="896"/>
      <c r="PI26" s="896"/>
      <c r="PJ26" s="896"/>
      <c r="PK26" s="896"/>
      <c r="PL26" s="896"/>
      <c r="PM26" s="896"/>
      <c r="PN26" s="896"/>
      <c r="PO26" s="896"/>
      <c r="PP26" s="896"/>
      <c r="PQ26" s="896"/>
      <c r="PR26" s="896"/>
      <c r="PS26" s="896"/>
      <c r="PT26" s="896"/>
      <c r="PU26" s="896"/>
      <c r="PV26" s="896"/>
      <c r="PW26" s="896"/>
      <c r="PX26" s="896"/>
      <c r="PY26" s="896"/>
      <c r="PZ26" s="896"/>
      <c r="QA26" s="896"/>
      <c r="QB26" s="896"/>
      <c r="QC26" s="896"/>
      <c r="QD26" s="896"/>
      <c r="QE26" s="896"/>
      <c r="QF26" s="896"/>
      <c r="QG26" s="896"/>
    </row>
    <row r="27" spans="1:449" s="789" customFormat="1" ht="26.1" customHeight="1" thickBot="1" x14ac:dyDescent="0.25">
      <c r="A27" s="938"/>
      <c r="B27" s="962" t="s">
        <v>768</v>
      </c>
      <c r="C27" s="784"/>
      <c r="D27" s="784"/>
      <c r="E27" s="785"/>
      <c r="F27" s="784"/>
      <c r="G27" s="784"/>
      <c r="H27" s="785"/>
      <c r="I27" s="785"/>
      <c r="J27" s="785"/>
      <c r="K27" s="785" t="s">
        <v>769</v>
      </c>
      <c r="L27" s="785"/>
      <c r="M27" s="785"/>
      <c r="N27" s="785"/>
      <c r="O27" s="785"/>
      <c r="P27" s="785" t="s">
        <v>770</v>
      </c>
      <c r="Q27" s="785"/>
      <c r="R27" s="785"/>
      <c r="S27" s="785"/>
      <c r="T27" s="785"/>
      <c r="U27" s="784"/>
      <c r="V27" s="785" t="s">
        <v>771</v>
      </c>
      <c r="W27" s="785"/>
      <c r="X27" s="785"/>
      <c r="Y27" s="785"/>
      <c r="Z27" s="785"/>
      <c r="AA27" s="785"/>
      <c r="AB27" s="785"/>
      <c r="AC27" s="785"/>
      <c r="AD27" s="785"/>
      <c r="AE27" s="785"/>
      <c r="AF27" s="785"/>
      <c r="AG27" s="785"/>
      <c r="AH27" s="785"/>
      <c r="AI27" s="785"/>
      <c r="AJ27" s="785"/>
      <c r="AK27" s="785"/>
      <c r="AL27" s="785" t="s">
        <v>772</v>
      </c>
      <c r="AM27" s="786" t="s">
        <v>773</v>
      </c>
      <c r="AN27" s="922" t="s">
        <v>774</v>
      </c>
      <c r="AO27" s="923"/>
      <c r="AP27" s="923"/>
      <c r="AQ27" s="923"/>
      <c r="AR27" s="923"/>
      <c r="AS27" s="923"/>
      <c r="AT27" s="923"/>
      <c r="AU27" s="923"/>
      <c r="AV27" s="924"/>
      <c r="AW27" s="787" t="s">
        <v>775</v>
      </c>
      <c r="AX27" s="785"/>
      <c r="AY27" s="785"/>
      <c r="AZ27" s="785"/>
      <c r="BA27" s="785"/>
      <c r="BB27" s="785"/>
      <c r="BC27" s="785"/>
      <c r="BD27" s="785"/>
      <c r="BE27" s="785"/>
      <c r="BF27" s="785"/>
      <c r="BG27" s="785"/>
      <c r="BH27" s="786"/>
      <c r="BI27" s="925" t="s">
        <v>776</v>
      </c>
      <c r="BJ27" s="926"/>
      <c r="BK27" s="926"/>
      <c r="BL27" s="926"/>
      <c r="BM27" s="926"/>
      <c r="BN27" s="926"/>
      <c r="BO27" s="926"/>
      <c r="BP27" s="788"/>
      <c r="BQ27" s="788"/>
      <c r="BR27" s="788"/>
      <c r="BS27" s="788"/>
      <c r="BT27" s="788" t="s">
        <v>777</v>
      </c>
      <c r="BU27" s="788"/>
      <c r="BV27" s="788"/>
      <c r="BW27" s="788"/>
      <c r="BX27" s="788"/>
      <c r="BY27" s="788"/>
      <c r="BZ27" s="788"/>
      <c r="CA27" s="788"/>
      <c r="CB27" s="788"/>
      <c r="CC27" s="788"/>
      <c r="CD27" s="788"/>
      <c r="CE27" s="788"/>
      <c r="CF27" s="817"/>
      <c r="CG27" s="817"/>
      <c r="CH27" s="848"/>
      <c r="CI27" s="848"/>
      <c r="CJ27" s="848"/>
      <c r="CK27" s="917" t="s">
        <v>994</v>
      </c>
      <c r="CL27" s="917"/>
      <c r="CM27" s="917"/>
      <c r="CN27" s="917"/>
      <c r="CO27" s="917"/>
      <c r="CP27" s="917"/>
      <c r="CQ27" s="917"/>
      <c r="CR27" s="917"/>
      <c r="CS27" s="917"/>
      <c r="CT27" s="917"/>
      <c r="CU27" s="917"/>
      <c r="CV27" s="917"/>
      <c r="CW27" s="917"/>
      <c r="CX27" s="917"/>
      <c r="CY27" s="917"/>
      <c r="CZ27" s="908" t="s">
        <v>1058</v>
      </c>
      <c r="DA27" s="909"/>
      <c r="DB27" s="910"/>
      <c r="DC27" s="888"/>
      <c r="DD27" s="888"/>
      <c r="DE27" s="888"/>
      <c r="DF27" s="888"/>
      <c r="DG27" s="888"/>
      <c r="DH27" s="888"/>
      <c r="DI27" s="888"/>
      <c r="DJ27" s="888"/>
      <c r="DK27" s="888"/>
      <c r="DL27" s="888"/>
      <c r="DM27" s="888"/>
      <c r="DN27" s="888"/>
      <c r="DO27" s="888"/>
      <c r="DP27" s="888"/>
      <c r="DQ27" s="954"/>
      <c r="DR27" s="954"/>
      <c r="DS27" s="954"/>
      <c r="DT27" s="954"/>
      <c r="DU27" s="949"/>
      <c r="DV27" s="954"/>
      <c r="DW27" s="954"/>
      <c r="DX27" s="954"/>
      <c r="DY27" s="954"/>
      <c r="DZ27" s="954"/>
      <c r="EA27" s="1011" t="s">
        <v>1260</v>
      </c>
      <c r="EB27" s="1012"/>
      <c r="EC27" s="1012"/>
      <c r="ED27" s="1012"/>
      <c r="EE27" s="1012"/>
      <c r="EF27" s="1012"/>
      <c r="EG27" s="1012"/>
      <c r="EH27" s="1013"/>
      <c r="EI27" s="954"/>
      <c r="EJ27" s="1011" t="s">
        <v>1399</v>
      </c>
      <c r="EK27" s="1012"/>
      <c r="EL27" s="954"/>
      <c r="EM27" s="954"/>
      <c r="EN27" s="954"/>
      <c r="EO27" s="954"/>
      <c r="EP27" s="954"/>
      <c r="EQ27" s="954"/>
      <c r="ER27" s="954"/>
      <c r="ES27" s="954"/>
      <c r="ET27" s="954"/>
      <c r="EU27" s="954"/>
      <c r="EV27" s="897"/>
      <c r="EW27" s="897"/>
      <c r="EX27" s="897"/>
      <c r="EY27" s="897"/>
      <c r="EZ27" s="897"/>
      <c r="FA27" s="897"/>
      <c r="FB27" s="897"/>
      <c r="FC27" s="897"/>
      <c r="FD27" s="897"/>
      <c r="FE27" s="897"/>
      <c r="FF27" s="897"/>
      <c r="FG27" s="897"/>
      <c r="FH27" s="897"/>
      <c r="FI27" s="897"/>
      <c r="FJ27" s="897"/>
      <c r="FK27" s="897"/>
      <c r="FL27" s="897"/>
      <c r="FM27" s="897"/>
      <c r="FN27" s="897"/>
      <c r="FO27" s="897"/>
      <c r="FP27" s="897"/>
      <c r="FQ27" s="897"/>
      <c r="FR27" s="897"/>
      <c r="FS27" s="897"/>
      <c r="FT27" s="897"/>
      <c r="FU27" s="897"/>
      <c r="FV27" s="897"/>
      <c r="FW27" s="897"/>
      <c r="FX27" s="897"/>
      <c r="FY27" s="897"/>
      <c r="FZ27" s="897"/>
      <c r="GA27" s="897"/>
      <c r="GB27" s="897"/>
      <c r="GC27" s="897"/>
      <c r="GD27" s="897"/>
      <c r="GE27" s="897"/>
      <c r="GF27" s="897"/>
      <c r="GG27" s="897"/>
      <c r="GH27" s="897"/>
      <c r="GI27" s="897"/>
      <c r="GJ27" s="897"/>
      <c r="GK27" s="897"/>
      <c r="GL27" s="897"/>
      <c r="GM27" s="897"/>
      <c r="GN27" s="897"/>
      <c r="GO27" s="897"/>
      <c r="GP27" s="897"/>
      <c r="GQ27" s="897"/>
      <c r="GR27" s="897"/>
      <c r="GS27" s="897"/>
      <c r="GT27" s="897"/>
      <c r="GU27" s="897"/>
      <c r="GV27" s="897"/>
      <c r="GW27" s="897"/>
      <c r="GX27" s="897"/>
      <c r="GY27" s="897"/>
      <c r="GZ27" s="897"/>
      <c r="HA27" s="897"/>
      <c r="HB27" s="897"/>
      <c r="HC27" s="897"/>
      <c r="HD27" s="897"/>
      <c r="HE27" s="897"/>
      <c r="HF27" s="897"/>
      <c r="HG27" s="897"/>
      <c r="HH27" s="897"/>
      <c r="HI27" s="897"/>
      <c r="HJ27" s="897"/>
      <c r="HK27" s="897"/>
      <c r="HL27" s="897"/>
      <c r="HM27" s="897"/>
      <c r="HN27" s="897"/>
      <c r="HO27" s="897"/>
      <c r="HP27" s="897"/>
      <c r="HQ27" s="897"/>
      <c r="HR27" s="897"/>
      <c r="HS27" s="897"/>
      <c r="HT27" s="897"/>
      <c r="HU27" s="897"/>
      <c r="HV27" s="897"/>
      <c r="HW27" s="897"/>
      <c r="HX27" s="897"/>
      <c r="HY27" s="897"/>
      <c r="HZ27" s="897"/>
      <c r="IA27" s="897"/>
      <c r="IB27" s="897"/>
      <c r="IC27" s="897"/>
      <c r="ID27" s="897"/>
      <c r="IE27" s="897"/>
      <c r="IF27" s="897"/>
      <c r="IG27" s="897"/>
      <c r="IH27" s="897"/>
      <c r="II27" s="897"/>
      <c r="IJ27" s="897"/>
      <c r="IK27" s="897"/>
      <c r="IL27" s="897"/>
      <c r="IM27" s="897"/>
      <c r="IN27" s="897"/>
      <c r="IO27" s="897"/>
      <c r="IP27" s="897"/>
      <c r="IQ27" s="897"/>
      <c r="IR27" s="897"/>
      <c r="IS27" s="897"/>
      <c r="IT27" s="897"/>
      <c r="IU27" s="897"/>
      <c r="IV27" s="89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c r="MK27" s="897"/>
      <c r="ML27" s="897"/>
      <c r="MM27" s="897"/>
      <c r="MN27" s="897"/>
      <c r="MO27" s="897"/>
      <c r="MP27" s="897"/>
      <c r="MQ27" s="897"/>
      <c r="MR27" s="897"/>
      <c r="MS27" s="897"/>
      <c r="MT27" s="897"/>
      <c r="MU27" s="897"/>
      <c r="MV27" s="897"/>
      <c r="MW27" s="897"/>
      <c r="MX27" s="897"/>
      <c r="MY27" s="897"/>
      <c r="MZ27" s="897"/>
      <c r="NA27" s="897"/>
      <c r="NB27" s="897"/>
      <c r="NC27" s="897"/>
      <c r="ND27" s="897"/>
      <c r="NE27" s="897"/>
      <c r="NF27" s="897"/>
      <c r="NG27" s="897"/>
      <c r="NH27" s="897"/>
      <c r="NI27" s="897"/>
      <c r="NJ27" s="897"/>
      <c r="NK27" s="897"/>
      <c r="NL27" s="897"/>
      <c r="NM27" s="897"/>
      <c r="NN27" s="897"/>
      <c r="NO27" s="897"/>
      <c r="NP27" s="897"/>
      <c r="NQ27" s="897"/>
      <c r="NR27" s="897"/>
      <c r="NS27" s="897"/>
      <c r="NT27" s="897"/>
      <c r="NU27" s="897"/>
      <c r="NV27" s="897"/>
      <c r="NW27" s="897"/>
      <c r="NX27" s="897"/>
      <c r="NY27" s="897"/>
      <c r="NZ27" s="897"/>
      <c r="OA27" s="897"/>
      <c r="OB27" s="897"/>
      <c r="OC27" s="897"/>
      <c r="OD27" s="897"/>
      <c r="OE27" s="897"/>
      <c r="OF27" s="897"/>
      <c r="OG27" s="897"/>
      <c r="OH27" s="897"/>
      <c r="OI27" s="897"/>
      <c r="OJ27" s="897"/>
      <c r="OK27" s="897"/>
      <c r="OL27" s="897"/>
      <c r="OM27" s="897"/>
      <c r="ON27" s="897"/>
      <c r="OO27" s="897"/>
      <c r="OP27" s="897"/>
      <c r="OQ27" s="897"/>
      <c r="OR27" s="897"/>
      <c r="OS27" s="897"/>
      <c r="OT27" s="897"/>
      <c r="OU27" s="897"/>
      <c r="OV27" s="897"/>
      <c r="OW27" s="897"/>
      <c r="OX27" s="897"/>
      <c r="OY27" s="897"/>
      <c r="OZ27" s="897"/>
      <c r="PA27" s="897"/>
      <c r="PB27" s="897"/>
      <c r="PC27" s="897"/>
      <c r="PD27" s="897"/>
      <c r="PE27" s="897"/>
      <c r="PF27" s="897"/>
      <c r="PG27" s="897"/>
      <c r="PH27" s="897"/>
      <c r="PI27" s="897"/>
      <c r="PJ27" s="897"/>
      <c r="PK27" s="897"/>
      <c r="PL27" s="897"/>
      <c r="PM27" s="897"/>
      <c r="PN27" s="897"/>
      <c r="PO27" s="897"/>
      <c r="PP27" s="897"/>
      <c r="PQ27" s="897"/>
      <c r="PR27" s="897"/>
      <c r="PS27" s="897"/>
      <c r="PT27" s="897"/>
      <c r="PU27" s="897"/>
      <c r="PV27" s="897"/>
      <c r="PW27" s="897"/>
      <c r="PX27" s="897"/>
      <c r="PY27" s="897"/>
      <c r="PZ27" s="897"/>
      <c r="QA27" s="897"/>
      <c r="QB27" s="897"/>
      <c r="QC27" s="897"/>
      <c r="QD27" s="897"/>
      <c r="QE27" s="897"/>
      <c r="QF27" s="897"/>
      <c r="QG27" s="897"/>
    </row>
    <row r="28" spans="1:449" s="789" customFormat="1" ht="47.1" customHeight="1" thickBot="1" x14ac:dyDescent="0.25">
      <c r="A28" s="938"/>
      <c r="B28" s="962" t="s">
        <v>778</v>
      </c>
      <c r="C28" s="788"/>
      <c r="D28" s="788"/>
      <c r="E28" s="790"/>
      <c r="F28" s="788"/>
      <c r="G28" s="788"/>
      <c r="H28" s="790"/>
      <c r="I28" s="790"/>
      <c r="J28" s="790"/>
      <c r="K28" s="790"/>
      <c r="L28" s="790"/>
      <c r="M28" s="790"/>
      <c r="N28" s="790"/>
      <c r="O28" s="790"/>
      <c r="P28" s="790"/>
      <c r="Q28" s="790"/>
      <c r="R28" s="790"/>
      <c r="S28" s="790"/>
      <c r="T28" s="790"/>
      <c r="U28" s="788"/>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902"/>
      <c r="BB28" s="920" t="s">
        <v>779</v>
      </c>
      <c r="BC28" s="920" t="s">
        <v>779</v>
      </c>
      <c r="BD28" s="920" t="s">
        <v>779</v>
      </c>
      <c r="BE28" s="920" t="s">
        <v>779</v>
      </c>
      <c r="BF28" s="920" t="s">
        <v>780</v>
      </c>
      <c r="BG28" s="903" t="s">
        <v>781</v>
      </c>
      <c r="BH28" s="903" t="s">
        <v>781</v>
      </c>
      <c r="BI28" s="793" t="s">
        <v>781</v>
      </c>
      <c r="BJ28" s="793" t="s">
        <v>781</v>
      </c>
      <c r="BK28" s="793"/>
      <c r="BL28" s="793"/>
      <c r="BM28" s="793"/>
      <c r="BN28" s="793"/>
      <c r="BO28" s="794"/>
      <c r="BP28" s="794"/>
      <c r="BQ28" s="794"/>
      <c r="BR28" s="794"/>
      <c r="BS28" s="794" t="s">
        <v>782</v>
      </c>
      <c r="BT28" s="794" t="s">
        <v>782</v>
      </c>
      <c r="BU28" s="794" t="s">
        <v>782</v>
      </c>
      <c r="BV28" s="794" t="s">
        <v>782</v>
      </c>
      <c r="BW28" s="794" t="s">
        <v>782</v>
      </c>
      <c r="BX28" s="794"/>
      <c r="BY28" s="794"/>
      <c r="BZ28" s="794"/>
      <c r="CA28" s="794"/>
      <c r="CB28" s="794"/>
      <c r="CC28" s="794"/>
      <c r="CD28" s="794"/>
      <c r="CE28" s="794"/>
      <c r="CF28" s="817"/>
      <c r="CG28" s="817" t="s">
        <v>973</v>
      </c>
      <c r="CH28" s="916" t="s">
        <v>981</v>
      </c>
      <c r="CI28" s="916"/>
      <c r="CJ28" s="916"/>
      <c r="CK28" s="916"/>
      <c r="CL28" s="916"/>
      <c r="CM28" s="916"/>
      <c r="CN28" s="916"/>
      <c r="CO28" s="847"/>
      <c r="CP28" s="850" t="s">
        <v>1004</v>
      </c>
      <c r="CQ28" s="847"/>
      <c r="CR28" s="847"/>
      <c r="CS28" s="854"/>
      <c r="CT28" s="854"/>
      <c r="CU28" s="850" t="s">
        <v>1004</v>
      </c>
      <c r="CV28" s="854"/>
      <c r="CW28" s="850" t="s">
        <v>1004</v>
      </c>
      <c r="CX28" s="850"/>
      <c r="CY28" s="850" t="s">
        <v>1004</v>
      </c>
      <c r="CZ28" s="876" t="s">
        <v>1004</v>
      </c>
      <c r="DA28" s="871" t="s">
        <v>1062</v>
      </c>
      <c r="DB28" s="871" t="s">
        <v>1061</v>
      </c>
      <c r="DC28" s="888"/>
      <c r="DD28" s="888"/>
      <c r="DE28" s="888"/>
      <c r="DF28" s="888"/>
      <c r="DG28" s="888"/>
      <c r="DH28" s="888" t="s">
        <v>1105</v>
      </c>
      <c r="DI28" s="888"/>
      <c r="DJ28" s="888"/>
      <c r="DK28" s="863"/>
      <c r="DL28" s="949" t="s">
        <v>1140</v>
      </c>
      <c r="DM28" s="951"/>
      <c r="DN28" s="888"/>
      <c r="DO28" s="888"/>
      <c r="DP28" s="888"/>
      <c r="DQ28" s="954"/>
      <c r="DR28" s="954"/>
      <c r="DS28" s="954"/>
      <c r="DT28" s="954"/>
      <c r="DU28" s="949"/>
      <c r="DV28" s="954"/>
      <c r="DW28" s="954"/>
      <c r="DX28" s="954"/>
      <c r="DY28" s="954"/>
      <c r="DZ28" s="954"/>
      <c r="EA28" s="954"/>
      <c r="EB28" s="954"/>
      <c r="EC28" s="954"/>
      <c r="ED28" s="949"/>
      <c r="EE28" s="863"/>
      <c r="EF28" s="954"/>
      <c r="EG28" s="954"/>
      <c r="EH28" s="954" t="s">
        <v>1409</v>
      </c>
      <c r="EI28" s="954"/>
      <c r="EJ28" s="954"/>
      <c r="EK28" s="949"/>
      <c r="EL28" s="954"/>
      <c r="EM28" s="954"/>
      <c r="EN28" s="954"/>
      <c r="EO28" s="954"/>
      <c r="EP28" s="954"/>
      <c r="EQ28" s="954"/>
      <c r="ER28" s="954"/>
      <c r="ES28" s="954"/>
      <c r="ET28" s="954"/>
      <c r="EU28" s="954"/>
      <c r="EV28" s="897"/>
      <c r="EW28" s="897"/>
      <c r="EX28" s="897"/>
      <c r="EY28" s="897"/>
      <c r="EZ28" s="897"/>
      <c r="FA28" s="897"/>
      <c r="FB28" s="897"/>
      <c r="FC28" s="897"/>
      <c r="FD28" s="897"/>
      <c r="FE28" s="897"/>
      <c r="FF28" s="897"/>
      <c r="FG28" s="897"/>
      <c r="FH28" s="897"/>
      <c r="FI28" s="897"/>
      <c r="FJ28" s="897"/>
      <c r="FK28" s="897"/>
      <c r="FL28" s="897"/>
      <c r="FM28" s="897"/>
      <c r="FN28" s="897"/>
      <c r="FO28" s="897"/>
      <c r="FP28" s="897"/>
      <c r="FQ28" s="897"/>
      <c r="FR28" s="897"/>
      <c r="FS28" s="897"/>
      <c r="FT28" s="897"/>
      <c r="FU28" s="897"/>
      <c r="FV28" s="897"/>
      <c r="FW28" s="897"/>
      <c r="FX28" s="897"/>
      <c r="FY28" s="897"/>
      <c r="FZ28" s="897"/>
      <c r="GA28" s="897"/>
      <c r="GB28" s="897"/>
      <c r="GC28" s="897"/>
      <c r="GD28" s="897"/>
      <c r="GE28" s="897"/>
      <c r="GF28" s="897"/>
      <c r="GG28" s="897"/>
      <c r="GH28" s="897"/>
      <c r="GI28" s="897"/>
      <c r="GJ28" s="897"/>
      <c r="GK28" s="897"/>
      <c r="GL28" s="897"/>
      <c r="GM28" s="897"/>
      <c r="GN28" s="897"/>
      <c r="GO28" s="897"/>
      <c r="GP28" s="897"/>
      <c r="GQ28" s="897"/>
      <c r="GR28" s="897"/>
      <c r="GS28" s="897"/>
      <c r="GT28" s="897"/>
      <c r="GU28" s="897"/>
      <c r="GV28" s="897"/>
      <c r="GW28" s="897"/>
      <c r="GX28" s="897"/>
      <c r="GY28" s="897"/>
      <c r="GZ28" s="897"/>
      <c r="HA28" s="897"/>
      <c r="HB28" s="897"/>
      <c r="HC28" s="897"/>
      <c r="HD28" s="897"/>
      <c r="HE28" s="897"/>
      <c r="HF28" s="897"/>
      <c r="HG28" s="897"/>
      <c r="HH28" s="897"/>
      <c r="HI28" s="897"/>
      <c r="HJ28" s="897"/>
      <c r="HK28" s="897"/>
      <c r="HL28" s="897"/>
      <c r="HM28" s="897"/>
      <c r="HN28" s="897"/>
      <c r="HO28" s="897"/>
      <c r="HP28" s="897"/>
      <c r="HQ28" s="897"/>
      <c r="HR28" s="897"/>
      <c r="HS28" s="897"/>
      <c r="HT28" s="897"/>
      <c r="HU28" s="897"/>
      <c r="HV28" s="897"/>
      <c r="HW28" s="897"/>
      <c r="HX28" s="897"/>
      <c r="HY28" s="897"/>
      <c r="HZ28" s="897"/>
      <c r="IA28" s="897"/>
      <c r="IB28" s="897"/>
      <c r="IC28" s="897"/>
      <c r="ID28" s="897"/>
      <c r="IE28" s="897"/>
      <c r="IF28" s="897"/>
      <c r="IG28" s="897"/>
      <c r="IH28" s="897"/>
      <c r="II28" s="897"/>
      <c r="IJ28" s="897"/>
      <c r="IK28" s="897"/>
      <c r="IL28" s="897"/>
      <c r="IM28" s="897"/>
      <c r="IN28" s="897"/>
      <c r="IO28" s="897"/>
      <c r="IP28" s="897"/>
      <c r="IQ28" s="897"/>
      <c r="IR28" s="897"/>
      <c r="IS28" s="897"/>
      <c r="IT28" s="897"/>
      <c r="IU28" s="897"/>
      <c r="IV28" s="89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c r="MK28" s="897"/>
      <c r="ML28" s="897"/>
      <c r="MM28" s="897"/>
      <c r="MN28" s="897"/>
      <c r="MO28" s="897"/>
      <c r="MP28" s="897"/>
      <c r="MQ28" s="897"/>
      <c r="MR28" s="897"/>
      <c r="MS28" s="897"/>
      <c r="MT28" s="897"/>
      <c r="MU28" s="897"/>
      <c r="MV28" s="897"/>
      <c r="MW28" s="897"/>
      <c r="MX28" s="897"/>
      <c r="MY28" s="897"/>
      <c r="MZ28" s="897"/>
      <c r="NA28" s="897"/>
      <c r="NB28" s="897"/>
      <c r="NC28" s="897"/>
      <c r="ND28" s="897"/>
      <c r="NE28" s="897"/>
      <c r="NF28" s="897"/>
      <c r="NG28" s="897"/>
      <c r="NH28" s="897"/>
      <c r="NI28" s="897"/>
      <c r="NJ28" s="897"/>
      <c r="NK28" s="897"/>
      <c r="NL28" s="897"/>
      <c r="NM28" s="897"/>
      <c r="NN28" s="897"/>
      <c r="NO28" s="897"/>
      <c r="NP28" s="897"/>
      <c r="NQ28" s="897"/>
      <c r="NR28" s="897"/>
      <c r="NS28" s="897"/>
      <c r="NT28" s="897"/>
      <c r="NU28" s="897"/>
      <c r="NV28" s="897"/>
      <c r="NW28" s="897"/>
      <c r="NX28" s="897"/>
      <c r="NY28" s="897"/>
      <c r="NZ28" s="897"/>
      <c r="OA28" s="897"/>
      <c r="OB28" s="897"/>
      <c r="OC28" s="897"/>
      <c r="OD28" s="897"/>
      <c r="OE28" s="897"/>
      <c r="OF28" s="897"/>
      <c r="OG28" s="897"/>
      <c r="OH28" s="897"/>
      <c r="OI28" s="897"/>
      <c r="OJ28" s="897"/>
      <c r="OK28" s="897"/>
      <c r="OL28" s="897"/>
      <c r="OM28" s="897"/>
      <c r="ON28" s="897"/>
      <c r="OO28" s="897"/>
      <c r="OP28" s="897"/>
      <c r="OQ28" s="897"/>
      <c r="OR28" s="897"/>
      <c r="OS28" s="897"/>
      <c r="OT28" s="897"/>
      <c r="OU28" s="897"/>
      <c r="OV28" s="897"/>
      <c r="OW28" s="897"/>
      <c r="OX28" s="897"/>
      <c r="OY28" s="897"/>
      <c r="OZ28" s="897"/>
      <c r="PA28" s="897"/>
      <c r="PB28" s="897"/>
      <c r="PC28" s="897"/>
      <c r="PD28" s="897"/>
      <c r="PE28" s="897"/>
      <c r="PF28" s="897"/>
      <c r="PG28" s="897"/>
      <c r="PH28" s="897"/>
      <c r="PI28" s="897"/>
      <c r="PJ28" s="897"/>
      <c r="PK28" s="897"/>
      <c r="PL28" s="897"/>
      <c r="PM28" s="897"/>
      <c r="PN28" s="897"/>
      <c r="PO28" s="897"/>
      <c r="PP28" s="897"/>
      <c r="PQ28" s="897"/>
      <c r="PR28" s="897"/>
      <c r="PS28" s="897"/>
      <c r="PT28" s="897"/>
      <c r="PU28" s="897"/>
      <c r="PV28" s="897"/>
      <c r="PW28" s="897"/>
      <c r="PX28" s="897"/>
      <c r="PY28" s="897"/>
      <c r="PZ28" s="897"/>
      <c r="QA28" s="897"/>
      <c r="QB28" s="897"/>
      <c r="QC28" s="897"/>
      <c r="QD28" s="897"/>
      <c r="QE28" s="897"/>
      <c r="QF28" s="897"/>
      <c r="QG28" s="897"/>
    </row>
    <row r="29" spans="1:449" s="789" customFormat="1" ht="36.75" customHeight="1" thickBot="1" x14ac:dyDescent="0.25">
      <c r="A29" s="938"/>
      <c r="B29" s="962" t="s">
        <v>783</v>
      </c>
      <c r="C29" s="794"/>
      <c r="D29" s="794"/>
      <c r="E29" s="795"/>
      <c r="F29" s="794"/>
      <c r="G29" s="794"/>
      <c r="H29" s="795"/>
      <c r="I29" s="795"/>
      <c r="J29" s="795"/>
      <c r="K29" s="795"/>
      <c r="L29" s="795"/>
      <c r="M29" s="795"/>
      <c r="N29" s="795"/>
      <c r="O29" s="795"/>
      <c r="P29" s="795"/>
      <c r="Q29" s="795"/>
      <c r="R29" s="795"/>
      <c r="S29" s="795"/>
      <c r="T29" s="795"/>
      <c r="U29" s="794"/>
      <c r="V29" s="795"/>
      <c r="W29" s="795"/>
      <c r="X29" s="795"/>
      <c r="Y29" s="795"/>
      <c r="Z29" s="795"/>
      <c r="AA29" s="795"/>
      <c r="AB29" s="795"/>
      <c r="AC29" s="795"/>
      <c r="AD29" s="795"/>
      <c r="AE29" s="795"/>
      <c r="AF29" s="795"/>
      <c r="AG29" s="795"/>
      <c r="AH29" s="795"/>
      <c r="AI29" s="795"/>
      <c r="AJ29" s="795"/>
      <c r="AK29" s="795"/>
      <c r="AL29" s="795"/>
      <c r="AM29" s="795"/>
      <c r="AN29" s="795"/>
      <c r="AO29" s="795"/>
      <c r="AP29" s="795"/>
      <c r="AQ29" s="795"/>
      <c r="AR29" s="795"/>
      <c r="AS29" s="795"/>
      <c r="AT29" s="795"/>
      <c r="AU29" s="795"/>
      <c r="AV29" s="795"/>
      <c r="AW29" s="795"/>
      <c r="AX29" s="795"/>
      <c r="AY29" s="795"/>
      <c r="AZ29" s="795"/>
      <c r="BA29" s="795" t="s">
        <v>784</v>
      </c>
      <c r="BB29" s="795" t="s">
        <v>784</v>
      </c>
      <c r="BC29" s="795" t="s">
        <v>785</v>
      </c>
      <c r="BD29" s="795" t="s">
        <v>785</v>
      </c>
      <c r="BE29" s="795"/>
      <c r="BF29" s="795"/>
      <c r="BG29" s="796"/>
      <c r="BH29" s="796"/>
      <c r="BI29" s="796"/>
      <c r="BJ29" s="796"/>
      <c r="BK29" s="796"/>
      <c r="BL29" s="796"/>
      <c r="BM29" s="796"/>
      <c r="BN29" s="796"/>
      <c r="BO29" s="788"/>
      <c r="BP29" s="788"/>
      <c r="BQ29" s="788"/>
      <c r="BR29" s="788"/>
      <c r="BS29" s="788"/>
      <c r="BT29" s="788"/>
      <c r="BU29" s="788"/>
      <c r="BV29" s="788"/>
      <c r="BW29" s="788"/>
      <c r="BX29" s="788"/>
      <c r="BY29" s="788"/>
      <c r="BZ29" s="788"/>
      <c r="CA29" s="788"/>
      <c r="CB29" s="788"/>
      <c r="CC29" s="788"/>
      <c r="CD29" s="788"/>
      <c r="CE29" s="788"/>
      <c r="CF29" s="817"/>
      <c r="CG29" s="817"/>
      <c r="CH29" s="823" t="s">
        <v>757</v>
      </c>
      <c r="CI29" s="823" t="s">
        <v>757</v>
      </c>
      <c r="CJ29" s="823" t="s">
        <v>757</v>
      </c>
      <c r="CK29" s="823" t="s">
        <v>757</v>
      </c>
      <c r="CL29" s="823" t="s">
        <v>757</v>
      </c>
      <c r="CM29" s="823" t="s">
        <v>757</v>
      </c>
      <c r="CN29" s="823" t="s">
        <v>757</v>
      </c>
      <c r="CO29" s="823"/>
      <c r="CP29" s="823"/>
      <c r="CQ29" s="823"/>
      <c r="CR29" s="918" t="s">
        <v>1014</v>
      </c>
      <c r="CS29" s="919"/>
      <c r="CT29" s="919"/>
      <c r="CU29" s="919"/>
      <c r="CV29" s="919"/>
      <c r="CW29" s="870"/>
      <c r="CX29" s="870"/>
      <c r="CY29" s="870"/>
      <c r="CZ29" s="872"/>
      <c r="DA29" s="871"/>
      <c r="DB29" s="871"/>
      <c r="DC29" s="888"/>
      <c r="DD29" s="888"/>
      <c r="DE29" s="888"/>
      <c r="DF29" s="888"/>
      <c r="DG29" s="888"/>
      <c r="DH29" s="888"/>
      <c r="DI29" s="888"/>
      <c r="DJ29" s="888"/>
      <c r="DK29" s="888" t="s">
        <v>1159</v>
      </c>
      <c r="DL29" s="863"/>
      <c r="DM29" s="888"/>
      <c r="DN29" s="888"/>
      <c r="DO29" s="888"/>
      <c r="DP29" s="888"/>
      <c r="DQ29" s="954"/>
      <c r="DR29" s="954"/>
      <c r="DS29" s="954" t="s">
        <v>1224</v>
      </c>
      <c r="DT29" s="954"/>
      <c r="DU29" s="949"/>
      <c r="DV29" s="954"/>
      <c r="DW29" s="954"/>
      <c r="DX29" s="1011" t="s">
        <v>1223</v>
      </c>
      <c r="DY29" s="1012"/>
      <c r="DZ29" s="1012"/>
      <c r="EA29" s="1012"/>
      <c r="EB29" s="1012"/>
      <c r="EC29" s="1012"/>
      <c r="ED29" s="1012"/>
      <c r="EE29" s="1012"/>
      <c r="EF29" s="1013"/>
      <c r="EG29" s="954"/>
      <c r="EH29" s="954"/>
      <c r="EI29" s="954"/>
      <c r="EJ29" s="954"/>
      <c r="EK29" s="949"/>
      <c r="EL29" s="954"/>
      <c r="EM29" s="954"/>
      <c r="EN29" s="954"/>
      <c r="EO29" s="954"/>
      <c r="EP29" s="954"/>
      <c r="EQ29" s="954"/>
      <c r="ER29" s="954"/>
      <c r="ES29" s="954"/>
      <c r="ET29" s="954"/>
      <c r="EU29" s="954"/>
      <c r="EV29" s="897"/>
      <c r="EW29" s="897"/>
      <c r="EX29" s="897"/>
      <c r="EY29" s="897"/>
      <c r="EZ29" s="897"/>
      <c r="FA29" s="897"/>
      <c r="FB29" s="897"/>
      <c r="FC29" s="897"/>
      <c r="FD29" s="897"/>
      <c r="FE29" s="897"/>
      <c r="FF29" s="897"/>
      <c r="FG29" s="897"/>
      <c r="FH29" s="897"/>
      <c r="FI29" s="897"/>
      <c r="FJ29" s="897"/>
      <c r="FK29" s="897"/>
      <c r="FL29" s="897"/>
      <c r="FM29" s="897"/>
      <c r="FN29" s="897"/>
      <c r="FO29" s="897"/>
      <c r="FP29" s="897"/>
      <c r="FQ29" s="897"/>
      <c r="FR29" s="897"/>
      <c r="FS29" s="897"/>
      <c r="FT29" s="897"/>
      <c r="FU29" s="897"/>
      <c r="FV29" s="897"/>
      <c r="FW29" s="897"/>
      <c r="FX29" s="897"/>
      <c r="FY29" s="897"/>
      <c r="FZ29" s="897"/>
      <c r="GA29" s="897"/>
      <c r="GB29" s="897"/>
      <c r="GC29" s="897"/>
      <c r="GD29" s="897"/>
      <c r="GE29" s="897"/>
      <c r="GF29" s="897"/>
      <c r="GG29" s="897"/>
      <c r="GH29" s="897"/>
      <c r="GI29" s="897"/>
      <c r="GJ29" s="897"/>
      <c r="GK29" s="897"/>
      <c r="GL29" s="897"/>
      <c r="GM29" s="897"/>
      <c r="GN29" s="897"/>
      <c r="GO29" s="897"/>
      <c r="GP29" s="897"/>
      <c r="GQ29" s="897"/>
      <c r="GR29" s="897"/>
      <c r="GS29" s="897"/>
      <c r="GT29" s="897"/>
      <c r="GU29" s="897"/>
      <c r="GV29" s="897"/>
      <c r="GW29" s="897"/>
      <c r="GX29" s="897"/>
      <c r="GY29" s="897"/>
      <c r="GZ29" s="897"/>
      <c r="HA29" s="897"/>
      <c r="HB29" s="897"/>
      <c r="HC29" s="897"/>
      <c r="HD29" s="897"/>
      <c r="HE29" s="897"/>
      <c r="HF29" s="897"/>
      <c r="HG29" s="897"/>
      <c r="HH29" s="897"/>
      <c r="HI29" s="897"/>
      <c r="HJ29" s="897"/>
      <c r="HK29" s="897"/>
      <c r="HL29" s="897"/>
      <c r="HM29" s="897"/>
      <c r="HN29" s="897"/>
      <c r="HO29" s="897"/>
      <c r="HP29" s="897"/>
      <c r="HQ29" s="897"/>
      <c r="HR29" s="897"/>
      <c r="HS29" s="897"/>
      <c r="HT29" s="897"/>
      <c r="HU29" s="897"/>
      <c r="HV29" s="897"/>
      <c r="HW29" s="897"/>
      <c r="HX29" s="897"/>
      <c r="HY29" s="897"/>
      <c r="HZ29" s="897"/>
      <c r="IA29" s="897"/>
      <c r="IB29" s="897"/>
      <c r="IC29" s="897"/>
      <c r="ID29" s="897"/>
      <c r="IE29" s="897"/>
      <c r="IF29" s="897"/>
      <c r="IG29" s="897"/>
      <c r="IH29" s="897"/>
      <c r="II29" s="897"/>
      <c r="IJ29" s="897"/>
      <c r="IK29" s="897"/>
      <c r="IL29" s="897"/>
      <c r="IM29" s="897"/>
      <c r="IN29" s="897"/>
      <c r="IO29" s="897"/>
      <c r="IP29" s="897"/>
      <c r="IQ29" s="897"/>
      <c r="IR29" s="897"/>
      <c r="IS29" s="897"/>
      <c r="IT29" s="897"/>
      <c r="IU29" s="897"/>
      <c r="IV29" s="89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c r="MK29" s="897"/>
      <c r="ML29" s="897"/>
      <c r="MM29" s="897"/>
      <c r="MN29" s="897"/>
      <c r="MO29" s="897"/>
      <c r="MP29" s="897"/>
      <c r="MQ29" s="897"/>
      <c r="MR29" s="897"/>
      <c r="MS29" s="897"/>
      <c r="MT29" s="897"/>
      <c r="MU29" s="897"/>
      <c r="MV29" s="897"/>
      <c r="MW29" s="897"/>
      <c r="MX29" s="897"/>
      <c r="MY29" s="897"/>
      <c r="MZ29" s="897"/>
      <c r="NA29" s="897"/>
      <c r="NB29" s="897"/>
      <c r="NC29" s="897"/>
      <c r="ND29" s="897"/>
      <c r="NE29" s="897"/>
      <c r="NF29" s="897"/>
      <c r="NG29" s="897"/>
      <c r="NH29" s="897"/>
      <c r="NI29" s="897"/>
      <c r="NJ29" s="897"/>
      <c r="NK29" s="897"/>
      <c r="NL29" s="897"/>
      <c r="NM29" s="897"/>
      <c r="NN29" s="897"/>
      <c r="NO29" s="897"/>
      <c r="NP29" s="897"/>
      <c r="NQ29" s="897"/>
      <c r="NR29" s="897"/>
      <c r="NS29" s="897"/>
      <c r="NT29" s="897"/>
      <c r="NU29" s="897"/>
      <c r="NV29" s="897"/>
      <c r="NW29" s="897"/>
      <c r="NX29" s="897"/>
      <c r="NY29" s="897"/>
      <c r="NZ29" s="897"/>
      <c r="OA29" s="897"/>
      <c r="OB29" s="897"/>
      <c r="OC29" s="897"/>
      <c r="OD29" s="897"/>
      <c r="OE29" s="897"/>
      <c r="OF29" s="897"/>
      <c r="OG29" s="897"/>
      <c r="OH29" s="897"/>
      <c r="OI29" s="897"/>
      <c r="OJ29" s="897"/>
      <c r="OK29" s="897"/>
      <c r="OL29" s="897"/>
      <c r="OM29" s="897"/>
      <c r="ON29" s="897"/>
      <c r="OO29" s="897"/>
      <c r="OP29" s="897"/>
      <c r="OQ29" s="897"/>
      <c r="OR29" s="897"/>
      <c r="OS29" s="897"/>
      <c r="OT29" s="897"/>
      <c r="OU29" s="897"/>
      <c r="OV29" s="897"/>
      <c r="OW29" s="897"/>
      <c r="OX29" s="897"/>
      <c r="OY29" s="897"/>
      <c r="OZ29" s="897"/>
      <c r="PA29" s="897"/>
      <c r="PB29" s="897"/>
      <c r="PC29" s="897"/>
      <c r="PD29" s="897"/>
      <c r="PE29" s="897"/>
      <c r="PF29" s="897"/>
      <c r="PG29" s="897"/>
      <c r="PH29" s="897"/>
      <c r="PI29" s="897"/>
      <c r="PJ29" s="897"/>
      <c r="PK29" s="897"/>
      <c r="PL29" s="897"/>
      <c r="PM29" s="897"/>
      <c r="PN29" s="897"/>
      <c r="PO29" s="897"/>
      <c r="PP29" s="897"/>
      <c r="PQ29" s="897"/>
      <c r="PR29" s="897"/>
      <c r="PS29" s="897"/>
      <c r="PT29" s="897"/>
      <c r="PU29" s="897"/>
      <c r="PV29" s="897"/>
      <c r="PW29" s="897"/>
      <c r="PX29" s="897"/>
      <c r="PY29" s="897"/>
      <c r="PZ29" s="897"/>
      <c r="QA29" s="897"/>
      <c r="QB29" s="897"/>
      <c r="QC29" s="897"/>
      <c r="QD29" s="897"/>
      <c r="QE29" s="897"/>
      <c r="QF29" s="897"/>
      <c r="QG29" s="897"/>
    </row>
    <row r="30" spans="1:449" s="789" customFormat="1" ht="60.75" thickBot="1" x14ac:dyDescent="0.25">
      <c r="A30" s="938"/>
      <c r="B30" s="962" t="s">
        <v>1322</v>
      </c>
      <c r="C30" s="794"/>
      <c r="D30" s="794"/>
      <c r="E30" s="795"/>
      <c r="F30" s="794"/>
      <c r="G30" s="794"/>
      <c r="H30" s="795"/>
      <c r="I30" s="795"/>
      <c r="J30" s="795"/>
      <c r="K30" s="795"/>
      <c r="L30" s="795"/>
      <c r="M30" s="795"/>
      <c r="N30" s="795"/>
      <c r="O30" s="795"/>
      <c r="P30" s="795"/>
      <c r="Q30" s="795"/>
      <c r="R30" s="795"/>
      <c r="S30" s="795"/>
      <c r="T30" s="795"/>
      <c r="U30" s="794"/>
      <c r="V30" s="795"/>
      <c r="W30" s="795"/>
      <c r="X30" s="795"/>
      <c r="Y30" s="795"/>
      <c r="Z30" s="795"/>
      <c r="AA30" s="795"/>
      <c r="AB30" s="795"/>
      <c r="AC30" s="795"/>
      <c r="AD30" s="795"/>
      <c r="AE30" s="795"/>
      <c r="AF30" s="795"/>
      <c r="AG30" s="795"/>
      <c r="AH30" s="795"/>
      <c r="AI30" s="795"/>
      <c r="AJ30" s="795"/>
      <c r="AK30" s="795"/>
      <c r="AL30" s="795"/>
      <c r="AM30" s="795"/>
      <c r="AN30" s="795"/>
      <c r="AO30" s="795"/>
      <c r="AP30" s="795"/>
      <c r="AQ30" s="795"/>
      <c r="AR30" s="795"/>
      <c r="AS30" s="795"/>
      <c r="AT30" s="795"/>
      <c r="AU30" s="795"/>
      <c r="AV30" s="795"/>
      <c r="AW30" s="795"/>
      <c r="AX30" s="795"/>
      <c r="AY30" s="795"/>
      <c r="AZ30" s="795"/>
      <c r="BA30" s="795"/>
      <c r="BB30" s="795"/>
      <c r="BC30" s="795"/>
      <c r="BD30" s="795" t="s">
        <v>786</v>
      </c>
      <c r="BE30" s="795" t="s">
        <v>787</v>
      </c>
      <c r="BF30" s="797" t="s">
        <v>787</v>
      </c>
      <c r="BG30" s="920" t="s">
        <v>788</v>
      </c>
      <c r="BH30" s="921"/>
      <c r="BI30" s="927" t="s">
        <v>789</v>
      </c>
      <c r="BJ30" s="928"/>
      <c r="BK30" s="928"/>
      <c r="BL30" s="928"/>
      <c r="BM30" s="929"/>
      <c r="BN30" s="913"/>
      <c r="BO30" s="798"/>
      <c r="BP30" s="798"/>
      <c r="BQ30" s="798"/>
      <c r="BR30" s="798"/>
      <c r="BS30" s="798"/>
      <c r="BT30" s="798" t="s">
        <v>790</v>
      </c>
      <c r="BU30" s="798"/>
      <c r="BV30" s="798"/>
      <c r="BW30" s="798" t="s">
        <v>791</v>
      </c>
      <c r="BX30" s="798"/>
      <c r="BY30" s="798"/>
      <c r="BZ30" s="798" t="s">
        <v>792</v>
      </c>
      <c r="CA30" s="798" t="s">
        <v>792</v>
      </c>
      <c r="CB30" s="798" t="s">
        <v>951</v>
      </c>
      <c r="CC30" s="798" t="s">
        <v>952</v>
      </c>
      <c r="CD30" s="798" t="s">
        <v>792</v>
      </c>
      <c r="CE30" s="798" t="s">
        <v>792</v>
      </c>
      <c r="CF30" s="818" t="s">
        <v>792</v>
      </c>
      <c r="CG30" s="827" t="s">
        <v>964</v>
      </c>
      <c r="CH30" s="818"/>
      <c r="CI30" s="818"/>
      <c r="CJ30" s="818"/>
      <c r="CK30" s="827" t="s">
        <v>996</v>
      </c>
      <c r="CL30" s="914" t="s">
        <v>995</v>
      </c>
      <c r="CM30" s="915"/>
      <c r="CN30" s="915"/>
      <c r="CO30" s="847"/>
      <c r="CP30" s="849" t="s">
        <v>1006</v>
      </c>
      <c r="CQ30" s="851" t="s">
        <v>1000</v>
      </c>
      <c r="CR30" s="858" t="s">
        <v>1007</v>
      </c>
      <c r="CS30" s="855" t="s">
        <v>1011</v>
      </c>
      <c r="CT30" s="854"/>
      <c r="CU30" s="857" t="s">
        <v>1038</v>
      </c>
      <c r="CV30" s="862" t="s">
        <v>1039</v>
      </c>
      <c r="CW30" s="862" t="s">
        <v>1040</v>
      </c>
      <c r="CX30" s="859"/>
      <c r="CY30" s="859" t="s">
        <v>1049</v>
      </c>
      <c r="CZ30" s="877" t="s">
        <v>1063</v>
      </c>
      <c r="DA30" s="886" t="s">
        <v>1067</v>
      </c>
      <c r="DB30" s="886" t="s">
        <v>1068</v>
      </c>
      <c r="DC30" s="885"/>
      <c r="DD30" s="863"/>
      <c r="DE30" s="885"/>
      <c r="DF30" s="827" t="s">
        <v>1088</v>
      </c>
      <c r="DG30" s="885"/>
      <c r="DH30" s="885"/>
      <c r="DI30" s="885"/>
      <c r="DJ30" s="885"/>
      <c r="DK30" s="905" t="s">
        <v>1166</v>
      </c>
      <c r="DL30" s="906"/>
      <c r="DM30" s="906"/>
      <c r="DN30" s="906"/>
      <c r="DO30" s="906"/>
      <c r="DP30" s="907"/>
      <c r="DQ30" s="954"/>
      <c r="DR30" s="954"/>
      <c r="DS30" s="954"/>
      <c r="DT30" s="954"/>
      <c r="DU30" s="949"/>
      <c r="DV30" s="954"/>
      <c r="DW30" s="954"/>
      <c r="DX30" s="954"/>
      <c r="DY30" s="954"/>
      <c r="DZ30" s="954"/>
      <c r="EA30" s="954"/>
      <c r="EB30" s="954"/>
      <c r="EC30" s="954"/>
      <c r="ED30" s="949"/>
      <c r="EE30" s="954" t="s">
        <v>1340</v>
      </c>
      <c r="EF30" s="954"/>
      <c r="EG30" s="954"/>
      <c r="EH30" s="954" t="s">
        <v>1411</v>
      </c>
      <c r="EI30" s="1011" t="s">
        <v>1406</v>
      </c>
      <c r="EJ30" s="1012"/>
      <c r="EK30" s="1012"/>
      <c r="EL30" s="954"/>
      <c r="EM30" s="954"/>
      <c r="EN30" s="954"/>
      <c r="EO30" s="954"/>
      <c r="EP30" s="954"/>
      <c r="EQ30" s="954"/>
      <c r="ER30" s="954"/>
      <c r="ES30" s="954"/>
      <c r="ET30" s="954"/>
      <c r="EU30" s="954"/>
      <c r="EV30" s="897"/>
      <c r="EW30" s="897"/>
      <c r="EX30" s="897"/>
      <c r="EY30" s="897"/>
      <c r="EZ30" s="897"/>
      <c r="FA30" s="897"/>
      <c r="FB30" s="897"/>
      <c r="FC30" s="897"/>
      <c r="FD30" s="897"/>
      <c r="FE30" s="897"/>
      <c r="FF30" s="897"/>
      <c r="FG30" s="897"/>
      <c r="FH30" s="897"/>
      <c r="FI30" s="897"/>
      <c r="FJ30" s="897"/>
      <c r="FK30" s="897"/>
      <c r="FL30" s="897"/>
      <c r="FM30" s="897"/>
      <c r="FN30" s="897"/>
      <c r="FO30" s="897"/>
      <c r="FP30" s="897"/>
      <c r="FQ30" s="897"/>
      <c r="FR30" s="897"/>
      <c r="FS30" s="897"/>
      <c r="FT30" s="897"/>
      <c r="FU30" s="897"/>
      <c r="FV30" s="897"/>
      <c r="FW30" s="897"/>
      <c r="FX30" s="897"/>
      <c r="FY30" s="897"/>
      <c r="FZ30" s="897"/>
      <c r="GA30" s="897"/>
      <c r="GB30" s="897"/>
      <c r="GC30" s="897"/>
      <c r="GD30" s="897"/>
      <c r="GE30" s="897"/>
      <c r="GF30" s="897"/>
      <c r="GG30" s="897"/>
      <c r="GH30" s="897"/>
      <c r="GI30" s="897"/>
      <c r="GJ30" s="897"/>
      <c r="GK30" s="897"/>
      <c r="GL30" s="897"/>
      <c r="GM30" s="897"/>
      <c r="GN30" s="897"/>
      <c r="GO30" s="897"/>
      <c r="GP30" s="897"/>
      <c r="GQ30" s="897"/>
      <c r="GR30" s="897"/>
      <c r="GS30" s="897"/>
      <c r="GT30" s="897"/>
      <c r="GU30" s="897"/>
      <c r="GV30" s="897"/>
      <c r="GW30" s="897"/>
      <c r="GX30" s="897"/>
      <c r="GY30" s="897"/>
      <c r="GZ30" s="897"/>
      <c r="HA30" s="897"/>
      <c r="HB30" s="897"/>
      <c r="HC30" s="897"/>
      <c r="HD30" s="897"/>
      <c r="HE30" s="897"/>
      <c r="HF30" s="897"/>
      <c r="HG30" s="897"/>
      <c r="HH30" s="897"/>
      <c r="HI30" s="897"/>
      <c r="HJ30" s="897"/>
      <c r="HK30" s="897"/>
      <c r="HL30" s="897"/>
      <c r="HM30" s="897"/>
      <c r="HN30" s="897"/>
      <c r="HO30" s="897"/>
      <c r="HP30" s="897"/>
      <c r="HQ30" s="897"/>
      <c r="HR30" s="897"/>
      <c r="HS30" s="897"/>
      <c r="HT30" s="897"/>
      <c r="HU30" s="897"/>
      <c r="HV30" s="897"/>
      <c r="HW30" s="897"/>
      <c r="HX30" s="897"/>
      <c r="HY30" s="897"/>
      <c r="HZ30" s="897"/>
      <c r="IA30" s="897"/>
      <c r="IB30" s="897"/>
      <c r="IC30" s="897"/>
      <c r="ID30" s="897"/>
      <c r="IE30" s="897"/>
      <c r="IF30" s="897"/>
      <c r="IG30" s="897"/>
      <c r="IH30" s="897"/>
      <c r="II30" s="897"/>
      <c r="IJ30" s="897"/>
      <c r="IK30" s="897"/>
      <c r="IL30" s="897"/>
      <c r="IM30" s="897"/>
      <c r="IN30" s="897"/>
      <c r="IO30" s="897"/>
      <c r="IP30" s="897"/>
      <c r="IQ30" s="897"/>
      <c r="IR30" s="897"/>
      <c r="IS30" s="897"/>
      <c r="IT30" s="897"/>
      <c r="IU30" s="897"/>
      <c r="IV30" s="89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c r="MK30" s="897"/>
      <c r="ML30" s="897"/>
      <c r="MM30" s="897"/>
      <c r="MN30" s="897"/>
      <c r="MO30" s="897"/>
      <c r="MP30" s="897"/>
      <c r="MQ30" s="897"/>
      <c r="MR30" s="897"/>
      <c r="MS30" s="897"/>
      <c r="MT30" s="897"/>
      <c r="MU30" s="897"/>
      <c r="MV30" s="897"/>
      <c r="MW30" s="897"/>
      <c r="MX30" s="897"/>
      <c r="MY30" s="897"/>
      <c r="MZ30" s="897"/>
      <c r="NA30" s="897"/>
      <c r="NB30" s="897"/>
      <c r="NC30" s="897"/>
      <c r="ND30" s="897"/>
      <c r="NE30" s="897"/>
      <c r="NF30" s="897"/>
      <c r="NG30" s="897"/>
      <c r="NH30" s="897"/>
      <c r="NI30" s="897"/>
      <c r="NJ30" s="897"/>
      <c r="NK30" s="897"/>
      <c r="NL30" s="897"/>
      <c r="NM30" s="897"/>
      <c r="NN30" s="897"/>
      <c r="NO30" s="897"/>
      <c r="NP30" s="897"/>
      <c r="NQ30" s="897"/>
      <c r="NR30" s="897"/>
      <c r="NS30" s="897"/>
      <c r="NT30" s="897"/>
      <c r="NU30" s="897"/>
      <c r="NV30" s="897"/>
      <c r="NW30" s="897"/>
      <c r="NX30" s="897"/>
      <c r="NY30" s="897"/>
      <c r="NZ30" s="897"/>
      <c r="OA30" s="897"/>
      <c r="OB30" s="897"/>
      <c r="OC30" s="897"/>
      <c r="OD30" s="897"/>
      <c r="OE30" s="897"/>
      <c r="OF30" s="897"/>
      <c r="OG30" s="897"/>
      <c r="OH30" s="897"/>
      <c r="OI30" s="897"/>
      <c r="OJ30" s="897"/>
      <c r="OK30" s="897"/>
      <c r="OL30" s="897"/>
      <c r="OM30" s="897"/>
      <c r="ON30" s="897"/>
      <c r="OO30" s="897"/>
      <c r="OP30" s="897"/>
      <c r="OQ30" s="897"/>
      <c r="OR30" s="897"/>
      <c r="OS30" s="897"/>
      <c r="OT30" s="897"/>
      <c r="OU30" s="897"/>
      <c r="OV30" s="897"/>
      <c r="OW30" s="897"/>
      <c r="OX30" s="897"/>
      <c r="OY30" s="897"/>
      <c r="OZ30" s="897"/>
      <c r="PA30" s="897"/>
      <c r="PB30" s="897"/>
      <c r="PC30" s="897"/>
      <c r="PD30" s="897"/>
      <c r="PE30" s="897"/>
      <c r="PF30" s="897"/>
      <c r="PG30" s="897"/>
      <c r="PH30" s="897"/>
      <c r="PI30" s="897"/>
      <c r="PJ30" s="897"/>
      <c r="PK30" s="897"/>
      <c r="PL30" s="897"/>
      <c r="PM30" s="897"/>
      <c r="PN30" s="897"/>
      <c r="PO30" s="897"/>
      <c r="PP30" s="897"/>
      <c r="PQ30" s="897"/>
      <c r="PR30" s="897"/>
      <c r="PS30" s="897"/>
      <c r="PT30" s="897"/>
      <c r="PU30" s="897"/>
      <c r="PV30" s="897"/>
      <c r="PW30" s="897"/>
      <c r="PX30" s="897"/>
      <c r="PY30" s="897"/>
      <c r="PZ30" s="897"/>
      <c r="QA30" s="897"/>
      <c r="QB30" s="897"/>
      <c r="QC30" s="897"/>
      <c r="QD30" s="897"/>
      <c r="QE30" s="897"/>
      <c r="QF30" s="897"/>
      <c r="QG30" s="897"/>
    </row>
    <row r="31" spans="1:449" s="789" customFormat="1" ht="53.25" customHeight="1" x14ac:dyDescent="0.2">
      <c r="A31" s="938"/>
      <c r="B31" s="974" t="s">
        <v>1042</v>
      </c>
      <c r="C31" s="794"/>
      <c r="D31" s="794"/>
      <c r="E31" s="795"/>
      <c r="F31" s="794"/>
      <c r="G31" s="794"/>
      <c r="H31" s="795"/>
      <c r="I31" s="795"/>
      <c r="J31" s="795"/>
      <c r="K31" s="795"/>
      <c r="L31" s="795"/>
      <c r="M31" s="795"/>
      <c r="N31" s="795"/>
      <c r="O31" s="795"/>
      <c r="P31" s="795"/>
      <c r="Q31" s="795"/>
      <c r="R31" s="795"/>
      <c r="S31" s="795"/>
      <c r="T31" s="795"/>
      <c r="U31" s="794"/>
      <c r="V31" s="795"/>
      <c r="W31" s="795"/>
      <c r="X31" s="795"/>
      <c r="Y31" s="795"/>
      <c r="Z31" s="795"/>
      <c r="AA31" s="795"/>
      <c r="AB31" s="795"/>
      <c r="AC31" s="795"/>
      <c r="AD31" s="795"/>
      <c r="AE31" s="795"/>
      <c r="AF31" s="795"/>
      <c r="AG31" s="795"/>
      <c r="AH31" s="795"/>
      <c r="AI31" s="795"/>
      <c r="AJ31" s="795"/>
      <c r="AK31" s="795"/>
      <c r="AL31" s="795"/>
      <c r="AM31" s="795"/>
      <c r="AN31" s="795"/>
      <c r="AO31" s="795"/>
      <c r="AP31" s="795"/>
      <c r="AQ31" s="795"/>
      <c r="AR31" s="795"/>
      <c r="AS31" s="795"/>
      <c r="AT31" s="795"/>
      <c r="AU31" s="795"/>
      <c r="AV31" s="795"/>
      <c r="AW31" s="795"/>
      <c r="AX31" s="795"/>
      <c r="AY31" s="795"/>
      <c r="AZ31" s="795"/>
      <c r="BA31" s="795"/>
      <c r="BB31" s="795"/>
      <c r="BC31" s="795"/>
      <c r="BD31" s="795"/>
      <c r="BE31" s="795"/>
      <c r="BF31" s="797"/>
      <c r="BG31" s="861"/>
      <c r="BH31" s="861"/>
      <c r="BI31" s="863"/>
      <c r="BJ31" s="863"/>
      <c r="BK31" s="863"/>
      <c r="BL31" s="863"/>
      <c r="BM31" s="863"/>
      <c r="BN31" s="864"/>
      <c r="BO31" s="799"/>
      <c r="BP31" s="799"/>
      <c r="BQ31" s="799"/>
      <c r="BR31" s="799"/>
      <c r="BS31" s="799"/>
      <c r="BT31" s="799"/>
      <c r="BU31" s="865"/>
      <c r="BV31" s="865"/>
      <c r="BW31" s="865"/>
      <c r="BX31" s="865"/>
      <c r="BY31" s="865"/>
      <c r="BZ31" s="865"/>
      <c r="CA31" s="865"/>
      <c r="CB31" s="865"/>
      <c r="CC31" s="865"/>
      <c r="CD31" s="865"/>
      <c r="CE31" s="865"/>
      <c r="CF31" s="818"/>
      <c r="CG31" s="818"/>
      <c r="CH31" s="818"/>
      <c r="CI31" s="818"/>
      <c r="CJ31" s="818"/>
      <c r="CK31" s="818"/>
      <c r="CL31" s="818"/>
      <c r="CM31" s="818"/>
      <c r="CN31" s="818"/>
      <c r="CO31" s="794"/>
      <c r="CP31" s="818"/>
      <c r="CQ31" s="799"/>
      <c r="CR31" s="818"/>
      <c r="CS31" s="855"/>
      <c r="CT31" s="854"/>
      <c r="CU31" s="867" t="s">
        <v>1041</v>
      </c>
      <c r="CV31" s="868"/>
      <c r="CW31" s="868" t="s">
        <v>1043</v>
      </c>
      <c r="CX31" s="869"/>
      <c r="CY31" s="869"/>
      <c r="CZ31" s="878" t="s">
        <v>1047</v>
      </c>
      <c r="DA31" s="871"/>
      <c r="DB31" s="878" t="s">
        <v>1066</v>
      </c>
      <c r="DC31" s="888"/>
      <c r="DD31" s="885" t="s">
        <v>1090</v>
      </c>
      <c r="DE31" s="888"/>
      <c r="DF31" s="888"/>
      <c r="DG31" s="888" t="s">
        <v>1089</v>
      </c>
      <c r="DH31" s="888"/>
      <c r="DI31" s="887" t="s">
        <v>1098</v>
      </c>
      <c r="DJ31" s="888" t="s">
        <v>1106</v>
      </c>
      <c r="DK31" s="888" t="s">
        <v>1107</v>
      </c>
      <c r="DL31" s="888" t="s">
        <v>1107</v>
      </c>
      <c r="DM31" s="888" t="s">
        <v>1141</v>
      </c>
      <c r="DN31" s="888" t="s">
        <v>1141</v>
      </c>
      <c r="DO31" s="888"/>
      <c r="DP31" s="888"/>
      <c r="DQ31" s="954"/>
      <c r="DR31" s="954"/>
      <c r="DS31" s="954"/>
      <c r="DT31" s="954"/>
      <c r="DU31" s="949"/>
      <c r="DV31" s="954"/>
      <c r="DW31" s="954"/>
      <c r="DX31" s="954"/>
      <c r="DY31" s="954"/>
      <c r="DZ31" s="954"/>
      <c r="EA31" s="954"/>
      <c r="EB31" s="954"/>
      <c r="EC31" s="954"/>
      <c r="ED31" s="949"/>
      <c r="EE31" s="954"/>
      <c r="EF31" s="954"/>
      <c r="EG31" s="954"/>
      <c r="EH31" s="954"/>
      <c r="EI31" s="863"/>
      <c r="EJ31" s="954"/>
      <c r="EK31" s="949"/>
      <c r="EL31" s="954"/>
      <c r="EM31" s="954"/>
      <c r="EN31" s="954"/>
      <c r="EO31" s="954"/>
      <c r="EP31" s="954"/>
      <c r="EQ31" s="954"/>
      <c r="ER31" s="954"/>
      <c r="ES31" s="954"/>
      <c r="ET31" s="954"/>
      <c r="EU31" s="954"/>
      <c r="EV31" s="897"/>
      <c r="EW31" s="897"/>
      <c r="EX31" s="897"/>
      <c r="EY31" s="897"/>
      <c r="EZ31" s="897"/>
      <c r="FA31" s="897"/>
      <c r="FB31" s="897"/>
      <c r="FC31" s="897"/>
      <c r="FD31" s="897"/>
      <c r="FE31" s="897"/>
      <c r="FF31" s="897"/>
      <c r="FG31" s="897"/>
      <c r="FH31" s="897"/>
      <c r="FI31" s="897"/>
      <c r="FJ31" s="897"/>
      <c r="FK31" s="897"/>
      <c r="FL31" s="897"/>
      <c r="FM31" s="897"/>
      <c r="FN31" s="897"/>
      <c r="FO31" s="897"/>
      <c r="FP31" s="897"/>
      <c r="FQ31" s="897"/>
      <c r="FR31" s="897"/>
      <c r="FS31" s="897"/>
      <c r="FT31" s="897"/>
      <c r="FU31" s="897"/>
      <c r="FV31" s="897"/>
      <c r="FW31" s="897"/>
      <c r="FX31" s="897"/>
      <c r="FY31" s="897"/>
      <c r="FZ31" s="897"/>
      <c r="GA31" s="897"/>
      <c r="GB31" s="897"/>
      <c r="GC31" s="897"/>
      <c r="GD31" s="897"/>
      <c r="GE31" s="897"/>
      <c r="GF31" s="897"/>
      <c r="GG31" s="897"/>
      <c r="GH31" s="897"/>
      <c r="GI31" s="897"/>
      <c r="GJ31" s="897"/>
      <c r="GK31" s="897"/>
      <c r="GL31" s="897"/>
      <c r="GM31" s="897"/>
      <c r="GN31" s="897"/>
      <c r="GO31" s="897"/>
      <c r="GP31" s="897"/>
      <c r="GQ31" s="897"/>
      <c r="GR31" s="897"/>
      <c r="GS31" s="897"/>
      <c r="GT31" s="897"/>
      <c r="GU31" s="897"/>
      <c r="GV31" s="897"/>
      <c r="GW31" s="897"/>
      <c r="GX31" s="897"/>
      <c r="GY31" s="897"/>
      <c r="GZ31" s="897"/>
      <c r="HA31" s="897"/>
      <c r="HB31" s="897"/>
      <c r="HC31" s="897"/>
      <c r="HD31" s="897"/>
      <c r="HE31" s="897"/>
      <c r="HF31" s="897"/>
      <c r="HG31" s="897"/>
      <c r="HH31" s="897"/>
      <c r="HI31" s="897"/>
      <c r="HJ31" s="897"/>
      <c r="HK31" s="897"/>
      <c r="HL31" s="897"/>
      <c r="HM31" s="897"/>
      <c r="HN31" s="897"/>
      <c r="HO31" s="897"/>
      <c r="HP31" s="897"/>
      <c r="HQ31" s="897"/>
      <c r="HR31" s="897"/>
      <c r="HS31" s="897"/>
      <c r="HT31" s="897"/>
      <c r="HU31" s="897"/>
      <c r="HV31" s="897"/>
      <c r="HW31" s="897"/>
      <c r="HX31" s="897"/>
      <c r="HY31" s="897"/>
      <c r="HZ31" s="897"/>
      <c r="IA31" s="897"/>
      <c r="IB31" s="897"/>
      <c r="IC31" s="897"/>
      <c r="ID31" s="897"/>
      <c r="IE31" s="897"/>
      <c r="IF31" s="897"/>
      <c r="IG31" s="897"/>
      <c r="IH31" s="897"/>
      <c r="II31" s="897"/>
      <c r="IJ31" s="897"/>
      <c r="IK31" s="897"/>
      <c r="IL31" s="897"/>
      <c r="IM31" s="897"/>
      <c r="IN31" s="897"/>
      <c r="IO31" s="897"/>
      <c r="IP31" s="897"/>
      <c r="IQ31" s="897"/>
      <c r="IR31" s="897"/>
      <c r="IS31" s="897"/>
      <c r="IT31" s="897"/>
      <c r="IU31" s="897"/>
      <c r="IV31" s="89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c r="MK31" s="897"/>
      <c r="ML31" s="897"/>
      <c r="MM31" s="897"/>
      <c r="MN31" s="897"/>
      <c r="MO31" s="897"/>
      <c r="MP31" s="897"/>
      <c r="MQ31" s="897"/>
      <c r="MR31" s="897"/>
      <c r="MS31" s="897"/>
      <c r="MT31" s="897"/>
      <c r="MU31" s="897"/>
      <c r="MV31" s="897"/>
      <c r="MW31" s="897"/>
      <c r="MX31" s="897"/>
      <c r="MY31" s="897"/>
      <c r="MZ31" s="897"/>
      <c r="NA31" s="897"/>
      <c r="NB31" s="897"/>
      <c r="NC31" s="897"/>
      <c r="ND31" s="897"/>
      <c r="NE31" s="897"/>
      <c r="NF31" s="897"/>
      <c r="NG31" s="897"/>
      <c r="NH31" s="897"/>
      <c r="NI31" s="897"/>
      <c r="NJ31" s="897"/>
      <c r="NK31" s="897"/>
      <c r="NL31" s="897"/>
      <c r="NM31" s="897"/>
      <c r="NN31" s="897"/>
      <c r="NO31" s="897"/>
      <c r="NP31" s="897"/>
      <c r="NQ31" s="897"/>
      <c r="NR31" s="897"/>
      <c r="NS31" s="897"/>
      <c r="NT31" s="897"/>
      <c r="NU31" s="897"/>
      <c r="NV31" s="897"/>
      <c r="NW31" s="897"/>
      <c r="NX31" s="897"/>
      <c r="NY31" s="897"/>
      <c r="NZ31" s="897"/>
      <c r="OA31" s="897"/>
      <c r="OB31" s="897"/>
      <c r="OC31" s="897"/>
      <c r="OD31" s="897"/>
      <c r="OE31" s="897"/>
      <c r="OF31" s="897"/>
      <c r="OG31" s="897"/>
      <c r="OH31" s="897"/>
      <c r="OI31" s="897"/>
      <c r="OJ31" s="897"/>
      <c r="OK31" s="897"/>
      <c r="OL31" s="897"/>
      <c r="OM31" s="897"/>
      <c r="ON31" s="897"/>
      <c r="OO31" s="897"/>
      <c r="OP31" s="897"/>
      <c r="OQ31" s="897"/>
      <c r="OR31" s="897"/>
      <c r="OS31" s="897"/>
      <c r="OT31" s="897"/>
      <c r="OU31" s="897"/>
      <c r="OV31" s="897"/>
      <c r="OW31" s="897"/>
      <c r="OX31" s="897"/>
      <c r="OY31" s="897"/>
      <c r="OZ31" s="897"/>
      <c r="PA31" s="897"/>
      <c r="PB31" s="897"/>
      <c r="PC31" s="897"/>
      <c r="PD31" s="897"/>
      <c r="PE31" s="897"/>
      <c r="PF31" s="897"/>
      <c r="PG31" s="897"/>
      <c r="PH31" s="897"/>
      <c r="PI31" s="897"/>
      <c r="PJ31" s="897"/>
      <c r="PK31" s="897"/>
      <c r="PL31" s="897"/>
      <c r="PM31" s="897"/>
      <c r="PN31" s="897"/>
      <c r="PO31" s="897"/>
      <c r="PP31" s="897"/>
      <c r="PQ31" s="897"/>
      <c r="PR31" s="897"/>
      <c r="PS31" s="897"/>
      <c r="PT31" s="897"/>
      <c r="PU31" s="897"/>
      <c r="PV31" s="897"/>
      <c r="PW31" s="897"/>
      <c r="PX31" s="897"/>
      <c r="PY31" s="897"/>
      <c r="PZ31" s="897"/>
      <c r="QA31" s="897"/>
      <c r="QB31" s="897"/>
      <c r="QC31" s="897"/>
      <c r="QD31" s="897"/>
      <c r="QE31" s="897"/>
      <c r="QF31" s="897"/>
      <c r="QG31" s="897"/>
    </row>
    <row r="32" spans="1:449" s="800" customFormat="1" ht="48" x14ac:dyDescent="0.2">
      <c r="A32" s="938"/>
      <c r="B32" s="962" t="s">
        <v>905</v>
      </c>
      <c r="C32" s="790"/>
      <c r="D32" s="790"/>
      <c r="E32" s="790"/>
      <c r="F32" s="790" t="s">
        <v>906</v>
      </c>
      <c r="G32" s="790"/>
      <c r="H32" s="790"/>
      <c r="I32" s="790"/>
      <c r="J32" s="785"/>
      <c r="K32" s="785"/>
      <c r="L32" s="785"/>
      <c r="M32" s="785"/>
      <c r="N32" s="785"/>
      <c r="O32" s="785"/>
      <c r="P32" s="785"/>
      <c r="Q32" s="785"/>
      <c r="R32" s="785"/>
      <c r="S32" s="785"/>
      <c r="T32" s="785"/>
      <c r="U32" s="785"/>
      <c r="V32" s="790"/>
      <c r="W32" s="790"/>
      <c r="X32" s="790"/>
      <c r="Y32" s="790"/>
      <c r="Z32" s="790"/>
      <c r="AA32" s="790"/>
      <c r="AB32" s="790"/>
      <c r="AC32" s="790"/>
      <c r="AD32" s="790"/>
      <c r="AE32" s="785"/>
      <c r="AF32" s="790"/>
      <c r="AG32" s="790"/>
      <c r="AH32" s="790"/>
      <c r="AI32" s="790"/>
      <c r="AJ32" s="790"/>
      <c r="AK32" s="785"/>
      <c r="AL32" s="790"/>
      <c r="AM32" s="790"/>
      <c r="AN32" s="785"/>
      <c r="AO32" s="785"/>
      <c r="AP32" s="785"/>
      <c r="AQ32" s="785"/>
      <c r="AR32" s="785"/>
      <c r="AS32" s="785"/>
      <c r="AT32" s="785"/>
      <c r="AU32" s="785"/>
      <c r="AV32" s="785"/>
      <c r="AW32" s="790"/>
      <c r="AX32" s="790"/>
      <c r="AY32" s="790"/>
      <c r="AZ32" s="790"/>
      <c r="BA32" s="790"/>
      <c r="BB32" s="790"/>
      <c r="BC32" s="790"/>
      <c r="BD32" s="790"/>
      <c r="BE32" s="790"/>
      <c r="BF32" s="790"/>
      <c r="BG32" s="790"/>
      <c r="BH32" s="790"/>
      <c r="BI32" s="790"/>
      <c r="BJ32" s="790"/>
      <c r="BK32" s="790"/>
      <c r="BL32" s="790"/>
      <c r="BM32" s="790" t="s">
        <v>907</v>
      </c>
      <c r="BN32" s="790"/>
      <c r="BO32" s="788"/>
      <c r="BP32" s="788"/>
      <c r="BQ32" s="788"/>
      <c r="BR32" s="788"/>
      <c r="BS32" s="788"/>
      <c r="BT32" s="788"/>
      <c r="CA32" s="788"/>
      <c r="CB32" s="788"/>
      <c r="CC32" s="788"/>
      <c r="CD32" s="788"/>
      <c r="CE32" s="788"/>
      <c r="CF32" s="817"/>
      <c r="CG32" s="817"/>
      <c r="CH32" s="817"/>
      <c r="CI32" s="817"/>
      <c r="CJ32" s="817"/>
      <c r="CK32" s="817"/>
      <c r="CL32" s="817"/>
      <c r="CM32" s="817"/>
      <c r="CN32" s="817"/>
      <c r="CO32" s="817"/>
      <c r="CP32" s="817"/>
      <c r="CQ32" s="817"/>
      <c r="CR32" s="817"/>
      <c r="CS32" s="854"/>
      <c r="CT32" s="854"/>
      <c r="CU32" s="854"/>
      <c r="CV32" s="854"/>
      <c r="CW32" s="854" t="s">
        <v>1032</v>
      </c>
      <c r="CX32" s="854"/>
      <c r="CY32" s="854"/>
      <c r="CZ32" s="872"/>
      <c r="DA32" s="871"/>
      <c r="DB32" s="871"/>
      <c r="DC32" s="888"/>
      <c r="DD32" s="888"/>
      <c r="DE32" s="888"/>
      <c r="DF32" s="888"/>
      <c r="DG32" s="888"/>
      <c r="DH32" s="888"/>
      <c r="DI32" s="887" t="s">
        <v>1111</v>
      </c>
      <c r="DJ32" s="888"/>
      <c r="DK32" s="888"/>
      <c r="DL32" s="888"/>
      <c r="DM32" s="888"/>
      <c r="DN32" s="888"/>
      <c r="DO32" s="888" t="s">
        <v>1155</v>
      </c>
      <c r="DP32" s="888"/>
      <c r="DQ32" s="954"/>
      <c r="DR32" s="954"/>
      <c r="DS32" s="954"/>
      <c r="DT32" s="954"/>
      <c r="DU32" s="949" t="s">
        <v>1204</v>
      </c>
      <c r="DV32" s="954"/>
      <c r="DW32" s="954"/>
      <c r="DX32" s="954" t="s">
        <v>1232</v>
      </c>
      <c r="DY32" s="954"/>
      <c r="DZ32" s="954" t="s">
        <v>1300</v>
      </c>
      <c r="EA32" s="954" t="s">
        <v>1300</v>
      </c>
      <c r="EB32" s="954" t="s">
        <v>1311</v>
      </c>
      <c r="EC32" s="954" t="s">
        <v>1335</v>
      </c>
      <c r="ED32" s="949" t="s">
        <v>1336</v>
      </c>
      <c r="EE32" s="954" t="s">
        <v>1311</v>
      </c>
      <c r="EF32" s="954" t="s">
        <v>1356</v>
      </c>
      <c r="EG32" s="954" t="s">
        <v>1375</v>
      </c>
      <c r="EH32" s="954" t="s">
        <v>1410</v>
      </c>
      <c r="EI32" s="954" t="s">
        <v>1410</v>
      </c>
      <c r="EJ32" s="954" t="s">
        <v>1410</v>
      </c>
      <c r="EK32" s="949" t="s">
        <v>1410</v>
      </c>
      <c r="EL32" s="954"/>
      <c r="EM32" s="954"/>
      <c r="EN32" s="954"/>
      <c r="EO32" s="954"/>
      <c r="EP32" s="954"/>
      <c r="EQ32" s="954"/>
      <c r="ER32" s="954"/>
      <c r="ES32" s="954"/>
      <c r="ET32" s="954"/>
      <c r="EU32" s="954"/>
      <c r="EV32" s="897"/>
      <c r="EW32" s="897"/>
      <c r="EX32" s="897"/>
      <c r="EY32" s="897"/>
      <c r="EZ32" s="897"/>
      <c r="FA32" s="897"/>
      <c r="FB32" s="897"/>
      <c r="FC32" s="897"/>
      <c r="FD32" s="897"/>
      <c r="FE32" s="897"/>
      <c r="FF32" s="897"/>
      <c r="FG32" s="897"/>
      <c r="FH32" s="897"/>
      <c r="FI32" s="897"/>
      <c r="FJ32" s="897"/>
      <c r="FK32" s="897"/>
      <c r="FL32" s="897"/>
      <c r="FM32" s="897"/>
      <c r="FN32" s="897"/>
      <c r="FO32" s="897"/>
      <c r="FP32" s="897"/>
      <c r="FQ32" s="897"/>
      <c r="FR32" s="897"/>
      <c r="FS32" s="897"/>
      <c r="FT32" s="897"/>
      <c r="FU32" s="897"/>
      <c r="FV32" s="897"/>
      <c r="FW32" s="897"/>
      <c r="FX32" s="897"/>
      <c r="FY32" s="897"/>
      <c r="FZ32" s="897"/>
      <c r="GA32" s="897"/>
      <c r="GB32" s="897"/>
      <c r="GC32" s="897"/>
      <c r="GD32" s="897"/>
      <c r="GE32" s="897"/>
      <c r="GF32" s="897"/>
      <c r="GG32" s="897"/>
      <c r="GH32" s="897"/>
      <c r="GI32" s="897"/>
      <c r="GJ32" s="897"/>
      <c r="GK32" s="897"/>
      <c r="GL32" s="897"/>
      <c r="GM32" s="897"/>
      <c r="GN32" s="897"/>
      <c r="GO32" s="897"/>
      <c r="GP32" s="897"/>
      <c r="GQ32" s="897"/>
      <c r="GR32" s="897"/>
      <c r="GS32" s="897"/>
      <c r="GT32" s="897"/>
      <c r="GU32" s="897"/>
      <c r="GV32" s="897"/>
      <c r="GW32" s="897"/>
      <c r="GX32" s="897"/>
      <c r="GY32" s="897"/>
      <c r="GZ32" s="897"/>
      <c r="HA32" s="897"/>
      <c r="HB32" s="897"/>
      <c r="HC32" s="897"/>
      <c r="HD32" s="897"/>
      <c r="HE32" s="897"/>
      <c r="HF32" s="897"/>
      <c r="HG32" s="897"/>
      <c r="HH32" s="897"/>
      <c r="HI32" s="897"/>
      <c r="HJ32" s="897"/>
      <c r="HK32" s="897"/>
      <c r="HL32" s="897"/>
      <c r="HM32" s="897"/>
      <c r="HN32" s="897"/>
      <c r="HO32" s="897"/>
      <c r="HP32" s="897"/>
      <c r="HQ32" s="897"/>
      <c r="HR32" s="897"/>
      <c r="HS32" s="897"/>
      <c r="HT32" s="897"/>
      <c r="HU32" s="897"/>
      <c r="HV32" s="897"/>
      <c r="HW32" s="897"/>
      <c r="HX32" s="897"/>
      <c r="HY32" s="897"/>
      <c r="HZ32" s="897"/>
      <c r="IA32" s="897"/>
      <c r="IB32" s="897"/>
      <c r="IC32" s="897"/>
      <c r="ID32" s="897"/>
      <c r="IE32" s="897"/>
      <c r="IF32" s="897"/>
      <c r="IG32" s="897"/>
      <c r="IH32" s="897"/>
      <c r="II32" s="897"/>
      <c r="IJ32" s="897"/>
      <c r="IK32" s="897"/>
      <c r="IL32" s="897"/>
      <c r="IM32" s="897"/>
      <c r="IN32" s="897"/>
      <c r="IO32" s="897"/>
      <c r="IP32" s="897"/>
      <c r="IQ32" s="897"/>
      <c r="IR32" s="897"/>
      <c r="IS32" s="897"/>
      <c r="IT32" s="897"/>
      <c r="IU32" s="897"/>
      <c r="IV32" s="897"/>
      <c r="IW32" s="897"/>
      <c r="IX32" s="897"/>
      <c r="IY32" s="897"/>
      <c r="IZ32" s="897"/>
      <c r="JA32" s="897"/>
      <c r="JB32" s="897"/>
      <c r="JC32" s="897"/>
      <c r="JD32" s="897"/>
      <c r="JE32" s="897"/>
      <c r="JF32" s="897"/>
      <c r="JG32" s="897"/>
      <c r="JH32" s="897"/>
      <c r="JI32" s="897"/>
      <c r="JJ32" s="897"/>
      <c r="JK32" s="897"/>
      <c r="JL32" s="897"/>
      <c r="JM32" s="897"/>
      <c r="JN32" s="897"/>
      <c r="JO32" s="897"/>
      <c r="JP32" s="897"/>
      <c r="JQ32" s="897"/>
      <c r="JR32" s="897"/>
      <c r="JS32" s="897"/>
      <c r="JT32" s="897"/>
      <c r="JU32" s="897"/>
      <c r="JV32" s="897"/>
      <c r="JW32" s="897"/>
      <c r="JX32" s="897"/>
      <c r="JY32" s="897"/>
      <c r="JZ32" s="897"/>
      <c r="KA32" s="897"/>
      <c r="KB32" s="897"/>
      <c r="KC32" s="897"/>
      <c r="KD32" s="897"/>
      <c r="KE32" s="897"/>
      <c r="KF32" s="897"/>
      <c r="KG32" s="897"/>
      <c r="KH32" s="897"/>
      <c r="KI32" s="897"/>
      <c r="KJ32" s="897"/>
      <c r="KK32" s="897"/>
      <c r="KL32" s="897"/>
      <c r="KM32" s="897"/>
      <c r="KN32" s="897"/>
      <c r="KO32" s="897"/>
      <c r="KP32" s="897"/>
      <c r="KQ32" s="897"/>
      <c r="KR32" s="897"/>
      <c r="KS32" s="897"/>
      <c r="KT32" s="897"/>
      <c r="KU32" s="897"/>
      <c r="KV32" s="897"/>
      <c r="KW32" s="897"/>
      <c r="KX32" s="897"/>
      <c r="KY32" s="897"/>
      <c r="KZ32" s="897"/>
      <c r="LA32" s="897"/>
      <c r="LB32" s="897"/>
      <c r="LC32" s="897"/>
      <c r="LD32" s="897"/>
      <c r="LE32" s="897"/>
      <c r="LF32" s="897"/>
      <c r="LG32" s="897"/>
      <c r="LH32" s="897"/>
      <c r="LI32" s="897"/>
      <c r="LJ32" s="897"/>
      <c r="LK32" s="897"/>
      <c r="LL32" s="897"/>
      <c r="LM32" s="897"/>
      <c r="LN32" s="897"/>
      <c r="LO32" s="897"/>
      <c r="LP32" s="897"/>
      <c r="LQ32" s="897"/>
      <c r="LR32" s="897"/>
      <c r="LS32" s="897"/>
      <c r="LT32" s="897"/>
      <c r="LU32" s="897"/>
      <c r="LV32" s="897"/>
      <c r="LW32" s="897"/>
      <c r="LX32" s="897"/>
      <c r="LY32" s="897"/>
      <c r="LZ32" s="897"/>
      <c r="MA32" s="897"/>
      <c r="MB32" s="897"/>
      <c r="MC32" s="897"/>
      <c r="MD32" s="897"/>
      <c r="ME32" s="897"/>
      <c r="MF32" s="897"/>
      <c r="MG32" s="897"/>
      <c r="MH32" s="897"/>
      <c r="MI32" s="897"/>
      <c r="MJ32" s="897"/>
      <c r="MK32" s="897"/>
      <c r="ML32" s="897"/>
      <c r="MM32" s="897"/>
      <c r="MN32" s="897"/>
      <c r="MO32" s="897"/>
      <c r="MP32" s="897"/>
      <c r="MQ32" s="897"/>
      <c r="MR32" s="897"/>
      <c r="MS32" s="897"/>
      <c r="MT32" s="897"/>
      <c r="MU32" s="897"/>
      <c r="MV32" s="897"/>
      <c r="MW32" s="897"/>
      <c r="MX32" s="897"/>
      <c r="MY32" s="897"/>
      <c r="MZ32" s="897"/>
      <c r="NA32" s="897"/>
      <c r="NB32" s="897"/>
      <c r="NC32" s="897"/>
      <c r="ND32" s="897"/>
      <c r="NE32" s="897"/>
      <c r="NF32" s="897"/>
      <c r="NG32" s="897"/>
      <c r="NH32" s="897"/>
      <c r="NI32" s="897"/>
      <c r="NJ32" s="897"/>
      <c r="NK32" s="897"/>
      <c r="NL32" s="897"/>
      <c r="NM32" s="897"/>
      <c r="NN32" s="897"/>
      <c r="NO32" s="897"/>
      <c r="NP32" s="897"/>
      <c r="NQ32" s="897"/>
      <c r="NR32" s="897"/>
      <c r="NS32" s="897"/>
      <c r="NT32" s="897"/>
      <c r="NU32" s="897"/>
      <c r="NV32" s="897"/>
      <c r="NW32" s="897"/>
      <c r="NX32" s="897"/>
      <c r="NY32" s="897"/>
      <c r="NZ32" s="897"/>
      <c r="OA32" s="897"/>
      <c r="OB32" s="897"/>
      <c r="OC32" s="897"/>
      <c r="OD32" s="897"/>
      <c r="OE32" s="897"/>
      <c r="OF32" s="897"/>
      <c r="OG32" s="897"/>
      <c r="OH32" s="897"/>
      <c r="OI32" s="897"/>
      <c r="OJ32" s="897"/>
      <c r="OK32" s="897"/>
      <c r="OL32" s="897"/>
      <c r="OM32" s="897"/>
      <c r="ON32" s="897"/>
      <c r="OO32" s="897"/>
      <c r="OP32" s="897"/>
      <c r="OQ32" s="897"/>
      <c r="OR32" s="897"/>
      <c r="OS32" s="897"/>
      <c r="OT32" s="897"/>
      <c r="OU32" s="897"/>
      <c r="OV32" s="897"/>
      <c r="OW32" s="897"/>
      <c r="OX32" s="897"/>
      <c r="OY32" s="897"/>
      <c r="OZ32" s="897"/>
      <c r="PA32" s="897"/>
      <c r="PB32" s="897"/>
      <c r="PC32" s="897"/>
      <c r="PD32" s="897"/>
      <c r="PE32" s="897"/>
      <c r="PF32" s="897"/>
      <c r="PG32" s="897"/>
      <c r="PH32" s="897"/>
      <c r="PI32" s="897"/>
      <c r="PJ32" s="897"/>
      <c r="PK32" s="897"/>
      <c r="PL32" s="897"/>
      <c r="PM32" s="897"/>
      <c r="PN32" s="897"/>
      <c r="PO32" s="897"/>
      <c r="PP32" s="897"/>
      <c r="PQ32" s="897"/>
      <c r="PR32" s="897"/>
      <c r="PS32" s="897"/>
      <c r="PT32" s="897"/>
      <c r="PU32" s="897"/>
      <c r="PV32" s="897"/>
      <c r="PW32" s="897"/>
      <c r="PX32" s="897"/>
      <c r="PY32" s="897"/>
      <c r="PZ32" s="897"/>
      <c r="QA32" s="897"/>
      <c r="QB32" s="897"/>
      <c r="QC32" s="897"/>
      <c r="QD32" s="897"/>
      <c r="QE32" s="897"/>
      <c r="QF32" s="897"/>
      <c r="QG32" s="897"/>
    </row>
    <row r="33" spans="1:449" s="789" customFormat="1" ht="96" x14ac:dyDescent="0.2">
      <c r="A33" s="939"/>
      <c r="B33" s="962" t="s">
        <v>793</v>
      </c>
      <c r="C33" s="795"/>
      <c r="D33" s="795"/>
      <c r="E33" s="795"/>
      <c r="F33" s="795" t="s">
        <v>794</v>
      </c>
      <c r="G33" s="795" t="s">
        <v>794</v>
      </c>
      <c r="H33" s="795"/>
      <c r="I33" s="795" t="s">
        <v>795</v>
      </c>
      <c r="J33" s="795"/>
      <c r="K33" s="795"/>
      <c r="L33" s="795"/>
      <c r="M33" s="795"/>
      <c r="N33" s="795"/>
      <c r="O33" s="795"/>
      <c r="P33" s="795"/>
      <c r="Q33" s="795"/>
      <c r="R33" s="795"/>
      <c r="S33" s="795"/>
      <c r="T33" s="795"/>
      <c r="U33" s="795"/>
      <c r="V33" s="795"/>
      <c r="W33" s="795"/>
      <c r="X33" s="795"/>
      <c r="Y33" s="795"/>
      <c r="Z33" s="795" t="s">
        <v>796</v>
      </c>
      <c r="AA33" s="795"/>
      <c r="AB33" s="795"/>
      <c r="AC33" s="795" t="s">
        <v>797</v>
      </c>
      <c r="AD33" s="795"/>
      <c r="AE33" s="795"/>
      <c r="AF33" s="795"/>
      <c r="AG33" s="795"/>
      <c r="AH33" s="795"/>
      <c r="AI33" s="795"/>
      <c r="AJ33" s="795"/>
      <c r="AK33" s="795"/>
      <c r="AL33" s="795"/>
      <c r="AM33" s="795"/>
      <c r="AN33" s="795" t="s">
        <v>797</v>
      </c>
      <c r="AO33" s="795" t="s">
        <v>797</v>
      </c>
      <c r="AP33" s="795"/>
      <c r="AQ33" s="795"/>
      <c r="AR33" s="795" t="s">
        <v>798</v>
      </c>
      <c r="AS33" s="795" t="s">
        <v>799</v>
      </c>
      <c r="AT33" s="795"/>
      <c r="AU33" s="795"/>
      <c r="AV33" s="795"/>
      <c r="AW33" s="795"/>
      <c r="AX33" s="795"/>
      <c r="AY33" s="795"/>
      <c r="AZ33" s="795"/>
      <c r="BA33" s="795"/>
      <c r="BB33" s="795"/>
      <c r="BC33" s="795"/>
      <c r="BD33" s="795"/>
      <c r="BE33" s="795"/>
      <c r="BF33" s="795" t="s">
        <v>800</v>
      </c>
      <c r="BG33" s="795"/>
      <c r="BH33" s="795" t="s">
        <v>801</v>
      </c>
      <c r="BI33" s="799" t="s">
        <v>797</v>
      </c>
      <c r="BJ33" s="799" t="s">
        <v>801</v>
      </c>
      <c r="BK33" s="799"/>
      <c r="BL33" s="799" t="s">
        <v>797</v>
      </c>
      <c r="BM33" s="799" t="s">
        <v>797</v>
      </c>
      <c r="BN33" s="799" t="s">
        <v>797</v>
      </c>
      <c r="BO33" s="799" t="s">
        <v>797</v>
      </c>
      <c r="BP33" s="799" t="s">
        <v>802</v>
      </c>
      <c r="BQ33" s="799" t="s">
        <v>802</v>
      </c>
      <c r="BR33" s="799"/>
      <c r="BS33" s="799"/>
      <c r="BT33" s="799"/>
      <c r="BU33" s="788" t="s">
        <v>803</v>
      </c>
      <c r="BV33" s="788"/>
      <c r="BW33" s="788"/>
      <c r="BX33" s="788"/>
      <c r="BY33" s="788" t="s">
        <v>804</v>
      </c>
      <c r="BZ33" s="788"/>
      <c r="CA33" s="788"/>
      <c r="CB33" s="810" t="s">
        <v>950</v>
      </c>
      <c r="CC33" s="788"/>
      <c r="CD33" s="788"/>
      <c r="CE33" s="788"/>
      <c r="CF33" s="817"/>
      <c r="CG33" s="823" t="s">
        <v>965</v>
      </c>
      <c r="CH33" s="817"/>
      <c r="CI33" s="817"/>
      <c r="CJ33" s="817"/>
      <c r="CK33" s="817"/>
      <c r="CL33" s="817"/>
      <c r="CM33" s="817"/>
      <c r="CN33" s="817"/>
      <c r="CO33" s="817"/>
      <c r="CP33" s="795" t="s">
        <v>1001</v>
      </c>
      <c r="CQ33" s="799" t="s">
        <v>1001</v>
      </c>
      <c r="CR33" s="865" t="s">
        <v>1013</v>
      </c>
      <c r="CS33" s="865" t="s">
        <v>1001</v>
      </c>
      <c r="CT33" s="865" t="s">
        <v>1001</v>
      </c>
      <c r="CU33" s="865" t="s">
        <v>1001</v>
      </c>
      <c r="CV33" s="865" t="s">
        <v>1024</v>
      </c>
      <c r="CW33" s="865" t="s">
        <v>1001</v>
      </c>
      <c r="CX33" s="865" t="s">
        <v>1001</v>
      </c>
      <c r="CY33" s="865" t="s">
        <v>1001</v>
      </c>
      <c r="CZ33" s="912" t="s">
        <v>1001</v>
      </c>
      <c r="DA33" s="912" t="s">
        <v>1001</v>
      </c>
      <c r="DB33" s="912" t="s">
        <v>1001</v>
      </c>
      <c r="DC33" s="949" t="s">
        <v>1001</v>
      </c>
      <c r="DD33" s="949" t="s">
        <v>1001</v>
      </c>
      <c r="DE33" s="949" t="s">
        <v>1001</v>
      </c>
      <c r="DF33" s="887" t="s">
        <v>1001</v>
      </c>
      <c r="DG33" s="887" t="s">
        <v>1001</v>
      </c>
      <c r="DH33" s="887" t="s">
        <v>1001</v>
      </c>
      <c r="DI33" s="887" t="s">
        <v>1001</v>
      </c>
      <c r="DJ33" s="887" t="s">
        <v>1108</v>
      </c>
      <c r="DK33" s="887" t="s">
        <v>1108</v>
      </c>
      <c r="DL33" s="887" t="s">
        <v>1108</v>
      </c>
      <c r="DM33" s="887" t="s">
        <v>1108</v>
      </c>
      <c r="DN33" s="887" t="s">
        <v>1141</v>
      </c>
      <c r="DO33" s="887"/>
      <c r="DP33" s="887"/>
      <c r="DQ33" s="954" t="s">
        <v>1174</v>
      </c>
      <c r="DR33" s="954" t="s">
        <v>1183</v>
      </c>
      <c r="DS33" s="954" t="s">
        <v>1182</v>
      </c>
      <c r="DT33" s="954" t="s">
        <v>1198</v>
      </c>
      <c r="DU33" s="949" t="s">
        <v>1212</v>
      </c>
      <c r="DV33" s="954" t="s">
        <v>1219</v>
      </c>
      <c r="DW33" s="863" t="s">
        <v>1225</v>
      </c>
      <c r="DX33" s="954"/>
      <c r="DY33" s="954"/>
      <c r="DZ33" s="954"/>
      <c r="EA33" s="954" t="s">
        <v>1295</v>
      </c>
      <c r="EB33" s="954"/>
      <c r="EC33" s="954"/>
      <c r="ED33" s="949"/>
      <c r="EE33" s="954" t="s">
        <v>1339</v>
      </c>
      <c r="EF33" s="954" t="s">
        <v>1357</v>
      </c>
      <c r="EG33" s="954" t="s">
        <v>1374</v>
      </c>
      <c r="EH33" s="954" t="s">
        <v>1385</v>
      </c>
      <c r="EI33" s="954" t="s">
        <v>1388</v>
      </c>
      <c r="EJ33" s="954" t="s">
        <v>1413</v>
      </c>
      <c r="EK33" s="949"/>
      <c r="EL33" s="954"/>
      <c r="EM33" s="954"/>
      <c r="EN33" s="954"/>
      <c r="EO33" s="954"/>
      <c r="EP33" s="954"/>
      <c r="EQ33" s="954"/>
      <c r="ER33" s="954"/>
      <c r="ES33" s="954"/>
      <c r="ET33" s="954"/>
      <c r="EU33" s="954"/>
      <c r="EV33" s="897"/>
      <c r="EW33" s="897"/>
      <c r="EX33" s="897"/>
      <c r="EY33" s="897"/>
      <c r="EZ33" s="897"/>
      <c r="FA33" s="897"/>
      <c r="FB33" s="897"/>
      <c r="FC33" s="897"/>
      <c r="FD33" s="897"/>
      <c r="FE33" s="897"/>
      <c r="FF33" s="897"/>
      <c r="FG33" s="897"/>
      <c r="FH33" s="897"/>
      <c r="FI33" s="897"/>
      <c r="FJ33" s="897"/>
      <c r="FK33" s="897"/>
      <c r="FL33" s="897"/>
      <c r="FM33" s="897"/>
      <c r="FN33" s="897"/>
      <c r="FO33" s="897"/>
      <c r="FP33" s="897"/>
      <c r="FQ33" s="897"/>
      <c r="FR33" s="897"/>
      <c r="FS33" s="897"/>
      <c r="FT33" s="897"/>
      <c r="FU33" s="897"/>
      <c r="FV33" s="897"/>
      <c r="FW33" s="897"/>
      <c r="FX33" s="897"/>
      <c r="FY33" s="897"/>
      <c r="FZ33" s="897"/>
      <c r="GA33" s="897"/>
      <c r="GB33" s="897"/>
      <c r="GC33" s="897"/>
      <c r="GD33" s="897"/>
      <c r="GE33" s="897"/>
      <c r="GF33" s="897"/>
      <c r="GG33" s="897"/>
      <c r="GH33" s="897"/>
      <c r="GI33" s="897"/>
      <c r="GJ33" s="897"/>
      <c r="GK33" s="897"/>
      <c r="GL33" s="897"/>
      <c r="GM33" s="897"/>
      <c r="GN33" s="897"/>
      <c r="GO33" s="897"/>
      <c r="GP33" s="897"/>
      <c r="GQ33" s="897"/>
      <c r="GR33" s="897"/>
      <c r="GS33" s="897"/>
      <c r="GT33" s="897"/>
      <c r="GU33" s="897"/>
      <c r="GV33" s="897"/>
      <c r="GW33" s="897"/>
      <c r="GX33" s="897"/>
      <c r="GY33" s="897"/>
      <c r="GZ33" s="897"/>
      <c r="HA33" s="897"/>
      <c r="HB33" s="897"/>
      <c r="HC33" s="897"/>
      <c r="HD33" s="897"/>
      <c r="HE33" s="897"/>
      <c r="HF33" s="897"/>
      <c r="HG33" s="897"/>
      <c r="HH33" s="897"/>
      <c r="HI33" s="897"/>
      <c r="HJ33" s="897"/>
      <c r="HK33" s="897"/>
      <c r="HL33" s="897"/>
      <c r="HM33" s="897"/>
      <c r="HN33" s="897"/>
      <c r="HO33" s="897"/>
      <c r="HP33" s="897"/>
      <c r="HQ33" s="897"/>
      <c r="HR33" s="897"/>
      <c r="HS33" s="897"/>
      <c r="HT33" s="897"/>
      <c r="HU33" s="897"/>
      <c r="HV33" s="897"/>
      <c r="HW33" s="897"/>
      <c r="HX33" s="897"/>
      <c r="HY33" s="897"/>
      <c r="HZ33" s="897"/>
      <c r="IA33" s="897"/>
      <c r="IB33" s="897"/>
      <c r="IC33" s="897"/>
      <c r="ID33" s="897"/>
      <c r="IE33" s="897"/>
      <c r="IF33" s="897"/>
      <c r="IG33" s="897"/>
      <c r="IH33" s="897"/>
      <c r="II33" s="897"/>
      <c r="IJ33" s="897"/>
      <c r="IK33" s="897"/>
      <c r="IL33" s="897"/>
      <c r="IM33" s="897"/>
      <c r="IN33" s="897"/>
      <c r="IO33" s="897"/>
      <c r="IP33" s="897"/>
      <c r="IQ33" s="897"/>
      <c r="IR33" s="897"/>
      <c r="IS33" s="897"/>
      <c r="IT33" s="897"/>
      <c r="IU33" s="897"/>
      <c r="IV33" s="897"/>
      <c r="IW33" s="897"/>
      <c r="IX33" s="897"/>
      <c r="IY33" s="897"/>
      <c r="IZ33" s="897"/>
      <c r="JA33" s="897"/>
      <c r="JB33" s="897"/>
      <c r="JC33" s="897"/>
      <c r="JD33" s="897"/>
      <c r="JE33" s="897"/>
      <c r="JF33" s="897"/>
      <c r="JG33" s="897"/>
      <c r="JH33" s="897"/>
      <c r="JI33" s="897"/>
      <c r="JJ33" s="897"/>
      <c r="JK33" s="897"/>
      <c r="JL33" s="897"/>
      <c r="JM33" s="897"/>
      <c r="JN33" s="897"/>
      <c r="JO33" s="897"/>
      <c r="JP33" s="897"/>
      <c r="JQ33" s="897"/>
      <c r="JR33" s="897"/>
      <c r="JS33" s="897"/>
      <c r="JT33" s="897"/>
      <c r="JU33" s="897"/>
      <c r="JV33" s="897"/>
      <c r="JW33" s="897"/>
      <c r="JX33" s="897"/>
      <c r="JY33" s="897"/>
      <c r="JZ33" s="897"/>
      <c r="KA33" s="897"/>
      <c r="KB33" s="897"/>
      <c r="KC33" s="897"/>
      <c r="KD33" s="897"/>
      <c r="KE33" s="897"/>
      <c r="KF33" s="897"/>
      <c r="KG33" s="897"/>
      <c r="KH33" s="897"/>
      <c r="KI33" s="897"/>
      <c r="KJ33" s="897"/>
      <c r="KK33" s="897"/>
      <c r="KL33" s="897"/>
      <c r="KM33" s="897"/>
      <c r="KN33" s="897"/>
      <c r="KO33" s="897"/>
      <c r="KP33" s="897"/>
      <c r="KQ33" s="897"/>
      <c r="KR33" s="897"/>
      <c r="KS33" s="897"/>
      <c r="KT33" s="897"/>
      <c r="KU33" s="897"/>
      <c r="KV33" s="897"/>
      <c r="KW33" s="897"/>
      <c r="KX33" s="897"/>
      <c r="KY33" s="897"/>
      <c r="KZ33" s="897"/>
      <c r="LA33" s="897"/>
      <c r="LB33" s="897"/>
      <c r="LC33" s="897"/>
      <c r="LD33" s="897"/>
      <c r="LE33" s="897"/>
      <c r="LF33" s="897"/>
      <c r="LG33" s="897"/>
      <c r="LH33" s="897"/>
      <c r="LI33" s="897"/>
      <c r="LJ33" s="897"/>
      <c r="LK33" s="897"/>
      <c r="LL33" s="897"/>
      <c r="LM33" s="897"/>
      <c r="LN33" s="897"/>
      <c r="LO33" s="897"/>
      <c r="LP33" s="897"/>
      <c r="LQ33" s="897"/>
      <c r="LR33" s="897"/>
      <c r="LS33" s="897"/>
      <c r="LT33" s="897"/>
      <c r="LU33" s="897"/>
      <c r="LV33" s="897"/>
      <c r="LW33" s="897"/>
      <c r="LX33" s="897"/>
      <c r="LY33" s="897"/>
      <c r="LZ33" s="897"/>
      <c r="MA33" s="897"/>
      <c r="MB33" s="897"/>
      <c r="MC33" s="897"/>
      <c r="MD33" s="897"/>
      <c r="ME33" s="897"/>
      <c r="MF33" s="897"/>
      <c r="MG33" s="897"/>
      <c r="MH33" s="897"/>
      <c r="MI33" s="897"/>
      <c r="MJ33" s="897"/>
      <c r="MK33" s="897"/>
      <c r="ML33" s="897"/>
      <c r="MM33" s="897"/>
      <c r="MN33" s="897"/>
      <c r="MO33" s="897"/>
      <c r="MP33" s="897"/>
      <c r="MQ33" s="897"/>
      <c r="MR33" s="897"/>
      <c r="MS33" s="897"/>
      <c r="MT33" s="897"/>
      <c r="MU33" s="897"/>
      <c r="MV33" s="897"/>
      <c r="MW33" s="897"/>
      <c r="MX33" s="897"/>
      <c r="MY33" s="897"/>
      <c r="MZ33" s="897"/>
      <c r="NA33" s="897"/>
      <c r="NB33" s="897"/>
      <c r="NC33" s="897"/>
      <c r="ND33" s="897"/>
      <c r="NE33" s="897"/>
      <c r="NF33" s="897"/>
      <c r="NG33" s="897"/>
      <c r="NH33" s="897"/>
      <c r="NI33" s="897"/>
      <c r="NJ33" s="897"/>
      <c r="NK33" s="897"/>
      <c r="NL33" s="897"/>
      <c r="NM33" s="897"/>
      <c r="NN33" s="897"/>
      <c r="NO33" s="897"/>
      <c r="NP33" s="897"/>
      <c r="NQ33" s="897"/>
      <c r="NR33" s="897"/>
      <c r="NS33" s="897"/>
      <c r="NT33" s="897"/>
      <c r="NU33" s="897"/>
      <c r="NV33" s="897"/>
      <c r="NW33" s="897"/>
      <c r="NX33" s="897"/>
      <c r="NY33" s="897"/>
      <c r="NZ33" s="897"/>
      <c r="OA33" s="897"/>
      <c r="OB33" s="897"/>
      <c r="OC33" s="897"/>
      <c r="OD33" s="897"/>
      <c r="OE33" s="897"/>
      <c r="OF33" s="897"/>
      <c r="OG33" s="897"/>
      <c r="OH33" s="897"/>
      <c r="OI33" s="897"/>
      <c r="OJ33" s="897"/>
      <c r="OK33" s="897"/>
      <c r="OL33" s="897"/>
      <c r="OM33" s="897"/>
      <c r="ON33" s="897"/>
      <c r="OO33" s="897"/>
      <c r="OP33" s="897"/>
      <c r="OQ33" s="897"/>
      <c r="OR33" s="897"/>
      <c r="OS33" s="897"/>
      <c r="OT33" s="897"/>
      <c r="OU33" s="897"/>
      <c r="OV33" s="897"/>
      <c r="OW33" s="897"/>
      <c r="OX33" s="897"/>
      <c r="OY33" s="897"/>
      <c r="OZ33" s="897"/>
      <c r="PA33" s="897"/>
      <c r="PB33" s="897"/>
      <c r="PC33" s="897"/>
      <c r="PD33" s="897"/>
      <c r="PE33" s="897"/>
      <c r="PF33" s="897"/>
      <c r="PG33" s="897"/>
      <c r="PH33" s="897"/>
      <c r="PI33" s="897"/>
      <c r="PJ33" s="897"/>
      <c r="PK33" s="897"/>
      <c r="PL33" s="897"/>
      <c r="PM33" s="897"/>
      <c r="PN33" s="897"/>
      <c r="PO33" s="897"/>
      <c r="PP33" s="897"/>
      <c r="PQ33" s="897"/>
      <c r="PR33" s="897"/>
      <c r="PS33" s="897"/>
      <c r="PT33" s="897"/>
      <c r="PU33" s="897"/>
      <c r="PV33" s="897"/>
      <c r="PW33" s="897"/>
      <c r="PX33" s="897"/>
      <c r="PY33" s="897"/>
      <c r="PZ33" s="897"/>
      <c r="QA33" s="897"/>
      <c r="QB33" s="897"/>
      <c r="QC33" s="897"/>
      <c r="QD33" s="897"/>
      <c r="QE33" s="897"/>
      <c r="QF33" s="897"/>
      <c r="QG33" s="897"/>
    </row>
    <row r="34" spans="1:449" s="800" customFormat="1" ht="38.1" customHeight="1" x14ac:dyDescent="0.2">
      <c r="A34" s="1081" t="s">
        <v>805</v>
      </c>
      <c r="B34" s="978" t="s">
        <v>806</v>
      </c>
      <c r="C34" s="790" t="s">
        <v>752</v>
      </c>
      <c r="D34" s="790" t="s">
        <v>752</v>
      </c>
      <c r="E34" s="790" t="s">
        <v>752</v>
      </c>
      <c r="F34" s="790" t="s">
        <v>752</v>
      </c>
      <c r="G34" s="790" t="s">
        <v>752</v>
      </c>
      <c r="H34" s="790" t="s">
        <v>752</v>
      </c>
      <c r="I34" s="790" t="s">
        <v>752</v>
      </c>
      <c r="J34" s="790" t="s">
        <v>752</v>
      </c>
      <c r="K34" s="790" t="s">
        <v>752</v>
      </c>
      <c r="L34" s="790" t="s">
        <v>752</v>
      </c>
      <c r="M34" s="790" t="s">
        <v>752</v>
      </c>
      <c r="N34" s="790" t="s">
        <v>752</v>
      </c>
      <c r="O34" s="790" t="s">
        <v>752</v>
      </c>
      <c r="P34" s="790" t="s">
        <v>752</v>
      </c>
      <c r="Q34" s="790" t="s">
        <v>752</v>
      </c>
      <c r="R34" s="790" t="s">
        <v>752</v>
      </c>
      <c r="S34" s="790" t="s">
        <v>752</v>
      </c>
      <c r="T34" s="790" t="s">
        <v>752</v>
      </c>
      <c r="U34" s="790" t="s">
        <v>752</v>
      </c>
      <c r="V34" s="790" t="s">
        <v>752</v>
      </c>
      <c r="W34" s="790" t="s">
        <v>752</v>
      </c>
      <c r="X34" s="790" t="s">
        <v>752</v>
      </c>
      <c r="Y34" s="790" t="s">
        <v>752</v>
      </c>
      <c r="Z34" s="790" t="s">
        <v>752</v>
      </c>
      <c r="AA34" s="790" t="s">
        <v>752</v>
      </c>
      <c r="AB34" s="790" t="s">
        <v>752</v>
      </c>
      <c r="AC34" s="790" t="s">
        <v>752</v>
      </c>
      <c r="AD34" s="790" t="s">
        <v>752</v>
      </c>
      <c r="AE34" s="790" t="s">
        <v>752</v>
      </c>
      <c r="AF34" s="790" t="s">
        <v>752</v>
      </c>
      <c r="AG34" s="790" t="s">
        <v>752</v>
      </c>
      <c r="AH34" s="790" t="s">
        <v>752</v>
      </c>
      <c r="AI34" s="790" t="s">
        <v>752</v>
      </c>
      <c r="AJ34" s="790" t="s">
        <v>752</v>
      </c>
      <c r="AK34" s="790" t="s">
        <v>807</v>
      </c>
      <c r="AL34" s="790" t="s">
        <v>752</v>
      </c>
      <c r="AM34" s="790" t="s">
        <v>752</v>
      </c>
      <c r="AN34" s="790" t="s">
        <v>808</v>
      </c>
      <c r="AO34" s="790" t="s">
        <v>752</v>
      </c>
      <c r="AP34" s="790" t="s">
        <v>809</v>
      </c>
      <c r="AQ34" s="790" t="s">
        <v>752</v>
      </c>
      <c r="AR34" s="790" t="s">
        <v>752</v>
      </c>
      <c r="AS34" s="790" t="s">
        <v>752</v>
      </c>
      <c r="AT34" s="790" t="s">
        <v>752</v>
      </c>
      <c r="AU34" s="790" t="s">
        <v>752</v>
      </c>
      <c r="AV34" s="790" t="s">
        <v>752</v>
      </c>
      <c r="AW34" s="790" t="s">
        <v>752</v>
      </c>
      <c r="AX34" s="790" t="s">
        <v>752</v>
      </c>
      <c r="AY34" s="790" t="s">
        <v>752</v>
      </c>
      <c r="AZ34" s="790" t="s">
        <v>752</v>
      </c>
      <c r="BA34" s="790" t="s">
        <v>752</v>
      </c>
      <c r="BB34" s="790" t="s">
        <v>752</v>
      </c>
      <c r="BC34" s="790" t="s">
        <v>752</v>
      </c>
      <c r="BD34" s="790" t="s">
        <v>810</v>
      </c>
      <c r="BE34" s="790" t="s">
        <v>752</v>
      </c>
      <c r="BF34" s="790" t="s">
        <v>752</v>
      </c>
      <c r="BG34" s="790"/>
      <c r="BH34" s="790" t="s">
        <v>811</v>
      </c>
      <c r="BI34" s="798"/>
      <c r="BJ34" s="798"/>
      <c r="BK34" s="798" t="s">
        <v>812</v>
      </c>
      <c r="BL34" s="798"/>
      <c r="BM34" s="798"/>
      <c r="BN34" s="798" t="s">
        <v>813</v>
      </c>
      <c r="BO34" s="798" t="s">
        <v>813</v>
      </c>
      <c r="BP34" s="798"/>
      <c r="BQ34" s="798"/>
      <c r="BR34" s="798"/>
      <c r="BS34" s="798"/>
      <c r="BT34" s="798" t="s">
        <v>814</v>
      </c>
      <c r="BU34" s="798"/>
      <c r="BV34" s="798"/>
      <c r="BW34" s="798"/>
      <c r="BX34" s="798" t="s">
        <v>815</v>
      </c>
      <c r="BY34" s="798"/>
      <c r="BZ34" s="798"/>
      <c r="CA34" s="798"/>
      <c r="CB34" s="798"/>
      <c r="CC34" s="798"/>
      <c r="CD34" s="798"/>
      <c r="CE34" s="798"/>
      <c r="CF34" s="818"/>
      <c r="CG34" s="818"/>
      <c r="CH34" s="818"/>
      <c r="CI34" s="818"/>
      <c r="CJ34" s="818"/>
      <c r="CK34" s="818"/>
      <c r="CL34" s="818"/>
      <c r="CM34" s="818"/>
      <c r="CN34" s="818"/>
      <c r="CO34" s="818"/>
      <c r="CP34" s="818"/>
      <c r="CQ34" s="818"/>
      <c r="CR34" s="818"/>
      <c r="CS34" s="854"/>
      <c r="CT34" s="854"/>
      <c r="CU34" s="854"/>
      <c r="CV34" s="854"/>
      <c r="CW34" s="854"/>
      <c r="CX34" s="854"/>
      <c r="CY34" s="854"/>
      <c r="CZ34" s="872"/>
      <c r="DA34" s="871"/>
      <c r="DB34" s="871"/>
      <c r="DC34" s="888"/>
      <c r="DD34" s="888"/>
      <c r="DE34" s="888"/>
      <c r="DF34" s="888"/>
      <c r="DG34" s="888"/>
      <c r="DH34" s="888"/>
      <c r="DI34" s="887"/>
      <c r="DJ34" s="888"/>
      <c r="DK34" s="888"/>
      <c r="DL34" s="888"/>
      <c r="DM34" s="888"/>
      <c r="DN34" s="888" t="s">
        <v>1148</v>
      </c>
      <c r="DO34" s="888" t="s">
        <v>1156</v>
      </c>
      <c r="DP34" s="888"/>
      <c r="DQ34" s="954" t="s">
        <v>1172</v>
      </c>
      <c r="DR34" s="954"/>
      <c r="DS34" s="954" t="s">
        <v>1188</v>
      </c>
      <c r="DT34" s="954" t="s">
        <v>1197</v>
      </c>
      <c r="DU34" s="949" t="s">
        <v>1211</v>
      </c>
      <c r="DV34" s="954" t="s">
        <v>1226</v>
      </c>
      <c r="DW34" s="954" t="s">
        <v>1230</v>
      </c>
      <c r="DX34" s="954" t="s">
        <v>1231</v>
      </c>
      <c r="DY34" s="954" t="s">
        <v>1237</v>
      </c>
      <c r="DZ34" s="954" t="s">
        <v>1303</v>
      </c>
      <c r="EA34" s="954"/>
      <c r="EB34" s="954" t="s">
        <v>1312</v>
      </c>
      <c r="EC34" s="954"/>
      <c r="ED34" s="949" t="s">
        <v>1319</v>
      </c>
      <c r="EE34" s="954" t="s">
        <v>1323</v>
      </c>
      <c r="EF34" s="954" t="s">
        <v>1365</v>
      </c>
      <c r="EG34" s="954" t="s">
        <v>1376</v>
      </c>
      <c r="EH34" s="954" t="s">
        <v>1418</v>
      </c>
      <c r="EI34" s="954" t="s">
        <v>1418</v>
      </c>
      <c r="EJ34" s="954" t="s">
        <v>1418</v>
      </c>
      <c r="EK34" s="949" t="s">
        <v>1418</v>
      </c>
      <c r="EL34" s="954"/>
      <c r="EM34" s="954"/>
      <c r="EN34" s="954"/>
      <c r="EO34" s="954"/>
      <c r="EP34" s="954"/>
      <c r="EQ34" s="954"/>
      <c r="ER34" s="954"/>
      <c r="ES34" s="954"/>
      <c r="ET34" s="954"/>
      <c r="EU34" s="954"/>
      <c r="EV34" s="897"/>
      <c r="EW34" s="897"/>
      <c r="EX34" s="897"/>
      <c r="EY34" s="897"/>
      <c r="EZ34" s="897"/>
      <c r="FA34" s="897"/>
      <c r="FB34" s="897"/>
      <c r="FC34" s="897"/>
      <c r="FD34" s="897"/>
      <c r="FE34" s="897"/>
      <c r="FF34" s="897"/>
      <c r="FG34" s="897"/>
      <c r="FH34" s="897"/>
      <c r="FI34" s="897"/>
      <c r="FJ34" s="897"/>
      <c r="FK34" s="897"/>
      <c r="FL34" s="897"/>
      <c r="FM34" s="897"/>
      <c r="FN34" s="897"/>
      <c r="FO34" s="897"/>
      <c r="FP34" s="897"/>
      <c r="FQ34" s="897"/>
      <c r="FR34" s="897"/>
      <c r="FS34" s="897"/>
      <c r="FT34" s="897"/>
      <c r="FU34" s="897"/>
      <c r="FV34" s="897"/>
      <c r="FW34" s="897"/>
      <c r="FX34" s="897"/>
      <c r="FY34" s="897"/>
      <c r="FZ34" s="897"/>
      <c r="GA34" s="897"/>
      <c r="GB34" s="897"/>
      <c r="GC34" s="897"/>
      <c r="GD34" s="897"/>
      <c r="GE34" s="897"/>
      <c r="GF34" s="897"/>
      <c r="GG34" s="897"/>
      <c r="GH34" s="897"/>
      <c r="GI34" s="897"/>
      <c r="GJ34" s="897"/>
      <c r="GK34" s="897"/>
      <c r="GL34" s="897"/>
      <c r="GM34" s="897"/>
      <c r="GN34" s="897"/>
      <c r="GO34" s="897"/>
      <c r="GP34" s="897"/>
      <c r="GQ34" s="897"/>
      <c r="GR34" s="897"/>
      <c r="GS34" s="897"/>
      <c r="GT34" s="897"/>
      <c r="GU34" s="897"/>
      <c r="GV34" s="897"/>
      <c r="GW34" s="897"/>
      <c r="GX34" s="897"/>
      <c r="GY34" s="897"/>
      <c r="GZ34" s="897"/>
      <c r="HA34" s="897"/>
      <c r="HB34" s="897"/>
      <c r="HC34" s="897"/>
      <c r="HD34" s="897"/>
      <c r="HE34" s="897"/>
      <c r="HF34" s="897"/>
      <c r="HG34" s="897"/>
      <c r="HH34" s="897"/>
      <c r="HI34" s="897"/>
      <c r="HJ34" s="897"/>
      <c r="HK34" s="897"/>
      <c r="HL34" s="897"/>
      <c r="HM34" s="897"/>
      <c r="HN34" s="897"/>
      <c r="HO34" s="897"/>
      <c r="HP34" s="897"/>
      <c r="HQ34" s="897"/>
      <c r="HR34" s="897"/>
      <c r="HS34" s="897"/>
      <c r="HT34" s="897"/>
      <c r="HU34" s="897"/>
      <c r="HV34" s="897"/>
      <c r="HW34" s="897"/>
      <c r="HX34" s="897"/>
      <c r="HY34" s="897"/>
      <c r="HZ34" s="897"/>
      <c r="IA34" s="897"/>
      <c r="IB34" s="897"/>
      <c r="IC34" s="897"/>
      <c r="ID34" s="897"/>
      <c r="IE34" s="897"/>
      <c r="IF34" s="897"/>
      <c r="IG34" s="897"/>
      <c r="IH34" s="897"/>
      <c r="II34" s="897"/>
      <c r="IJ34" s="897"/>
      <c r="IK34" s="897"/>
      <c r="IL34" s="897"/>
      <c r="IM34" s="897"/>
      <c r="IN34" s="897"/>
      <c r="IO34" s="897"/>
      <c r="IP34" s="897"/>
      <c r="IQ34" s="897"/>
      <c r="IR34" s="897"/>
      <c r="IS34" s="897"/>
      <c r="IT34" s="897"/>
      <c r="IU34" s="897"/>
      <c r="IV34" s="897"/>
      <c r="IW34" s="897"/>
      <c r="IX34" s="897"/>
      <c r="IY34" s="897"/>
      <c r="IZ34" s="897"/>
      <c r="JA34" s="897"/>
      <c r="JB34" s="897"/>
      <c r="JC34" s="897"/>
      <c r="JD34" s="897"/>
      <c r="JE34" s="897"/>
      <c r="JF34" s="897"/>
      <c r="JG34" s="897"/>
      <c r="JH34" s="897"/>
      <c r="JI34" s="897"/>
      <c r="JJ34" s="897"/>
      <c r="JK34" s="897"/>
      <c r="JL34" s="897"/>
      <c r="JM34" s="897"/>
      <c r="JN34" s="897"/>
      <c r="JO34" s="897"/>
      <c r="JP34" s="897"/>
      <c r="JQ34" s="897"/>
      <c r="JR34" s="897"/>
      <c r="JS34" s="897"/>
      <c r="JT34" s="897"/>
      <c r="JU34" s="897"/>
      <c r="JV34" s="897"/>
      <c r="JW34" s="897"/>
      <c r="JX34" s="897"/>
      <c r="JY34" s="897"/>
      <c r="JZ34" s="897"/>
      <c r="KA34" s="897"/>
      <c r="KB34" s="897"/>
      <c r="KC34" s="897"/>
      <c r="KD34" s="897"/>
      <c r="KE34" s="897"/>
      <c r="KF34" s="897"/>
      <c r="KG34" s="897"/>
      <c r="KH34" s="897"/>
      <c r="KI34" s="897"/>
      <c r="KJ34" s="897"/>
      <c r="KK34" s="897"/>
      <c r="KL34" s="897"/>
      <c r="KM34" s="897"/>
      <c r="KN34" s="897"/>
      <c r="KO34" s="897"/>
      <c r="KP34" s="897"/>
      <c r="KQ34" s="897"/>
      <c r="KR34" s="897"/>
      <c r="KS34" s="897"/>
      <c r="KT34" s="897"/>
      <c r="KU34" s="897"/>
      <c r="KV34" s="897"/>
      <c r="KW34" s="897"/>
      <c r="KX34" s="897"/>
      <c r="KY34" s="897"/>
      <c r="KZ34" s="897"/>
      <c r="LA34" s="897"/>
      <c r="LB34" s="897"/>
      <c r="LC34" s="897"/>
      <c r="LD34" s="897"/>
      <c r="LE34" s="897"/>
      <c r="LF34" s="897"/>
      <c r="LG34" s="897"/>
      <c r="LH34" s="897"/>
      <c r="LI34" s="897"/>
      <c r="LJ34" s="897"/>
      <c r="LK34" s="897"/>
      <c r="LL34" s="897"/>
      <c r="LM34" s="897"/>
      <c r="LN34" s="897"/>
      <c r="LO34" s="897"/>
      <c r="LP34" s="897"/>
      <c r="LQ34" s="897"/>
      <c r="LR34" s="897"/>
      <c r="LS34" s="897"/>
      <c r="LT34" s="897"/>
      <c r="LU34" s="897"/>
      <c r="LV34" s="897"/>
      <c r="LW34" s="897"/>
      <c r="LX34" s="897"/>
      <c r="LY34" s="897"/>
      <c r="LZ34" s="897"/>
      <c r="MA34" s="897"/>
      <c r="MB34" s="897"/>
      <c r="MC34" s="897"/>
      <c r="MD34" s="897"/>
      <c r="ME34" s="897"/>
      <c r="MF34" s="897"/>
      <c r="MG34" s="897"/>
      <c r="MH34" s="897"/>
      <c r="MI34" s="897"/>
      <c r="MJ34" s="897"/>
      <c r="MK34" s="897"/>
      <c r="ML34" s="897"/>
      <c r="MM34" s="897"/>
      <c r="MN34" s="897"/>
      <c r="MO34" s="897"/>
      <c r="MP34" s="897"/>
      <c r="MQ34" s="897"/>
      <c r="MR34" s="897"/>
      <c r="MS34" s="897"/>
      <c r="MT34" s="897"/>
      <c r="MU34" s="897"/>
      <c r="MV34" s="897"/>
      <c r="MW34" s="897"/>
      <c r="MX34" s="897"/>
      <c r="MY34" s="897"/>
      <c r="MZ34" s="897"/>
      <c r="NA34" s="897"/>
      <c r="NB34" s="897"/>
      <c r="NC34" s="897"/>
      <c r="ND34" s="897"/>
      <c r="NE34" s="897"/>
      <c r="NF34" s="897"/>
      <c r="NG34" s="897"/>
      <c r="NH34" s="897"/>
      <c r="NI34" s="897"/>
      <c r="NJ34" s="897"/>
      <c r="NK34" s="897"/>
      <c r="NL34" s="897"/>
      <c r="NM34" s="897"/>
      <c r="NN34" s="897"/>
      <c r="NO34" s="897"/>
      <c r="NP34" s="897"/>
      <c r="NQ34" s="897"/>
      <c r="NR34" s="897"/>
      <c r="NS34" s="897"/>
      <c r="NT34" s="897"/>
      <c r="NU34" s="897"/>
      <c r="NV34" s="897"/>
      <c r="NW34" s="897"/>
      <c r="NX34" s="897"/>
      <c r="NY34" s="897"/>
      <c r="NZ34" s="897"/>
      <c r="OA34" s="897"/>
      <c r="OB34" s="897"/>
      <c r="OC34" s="897"/>
      <c r="OD34" s="897"/>
      <c r="OE34" s="897"/>
      <c r="OF34" s="897"/>
      <c r="OG34" s="897"/>
      <c r="OH34" s="897"/>
      <c r="OI34" s="897"/>
      <c r="OJ34" s="897"/>
      <c r="OK34" s="897"/>
      <c r="OL34" s="897"/>
      <c r="OM34" s="897"/>
      <c r="ON34" s="897"/>
      <c r="OO34" s="897"/>
      <c r="OP34" s="897"/>
      <c r="OQ34" s="897"/>
      <c r="OR34" s="897"/>
      <c r="OS34" s="897"/>
      <c r="OT34" s="897"/>
      <c r="OU34" s="897"/>
      <c r="OV34" s="897"/>
      <c r="OW34" s="897"/>
      <c r="OX34" s="897"/>
      <c r="OY34" s="897"/>
      <c r="OZ34" s="897"/>
      <c r="PA34" s="897"/>
      <c r="PB34" s="897"/>
      <c r="PC34" s="897"/>
      <c r="PD34" s="897"/>
      <c r="PE34" s="897"/>
      <c r="PF34" s="897"/>
      <c r="PG34" s="897"/>
      <c r="PH34" s="897"/>
      <c r="PI34" s="897"/>
      <c r="PJ34" s="897"/>
      <c r="PK34" s="897"/>
      <c r="PL34" s="897"/>
      <c r="PM34" s="897"/>
      <c r="PN34" s="897"/>
      <c r="PO34" s="897"/>
      <c r="PP34" s="897"/>
      <c r="PQ34" s="897"/>
      <c r="PR34" s="897"/>
      <c r="PS34" s="897"/>
      <c r="PT34" s="897"/>
      <c r="PU34" s="897"/>
      <c r="PV34" s="897"/>
      <c r="PW34" s="897"/>
      <c r="PX34" s="897"/>
      <c r="PY34" s="897"/>
      <c r="PZ34" s="897"/>
      <c r="QA34" s="897"/>
      <c r="QB34" s="897"/>
      <c r="QC34" s="897"/>
      <c r="QD34" s="897"/>
      <c r="QE34" s="897"/>
      <c r="QF34" s="897"/>
      <c r="QG34" s="897"/>
    </row>
    <row r="35" spans="1:449" s="800" customFormat="1" x14ac:dyDescent="0.2">
      <c r="A35" s="1082"/>
      <c r="B35" s="978" t="s">
        <v>816</v>
      </c>
      <c r="C35" s="790"/>
      <c r="D35" s="790"/>
      <c r="E35" s="790"/>
      <c r="F35" s="790"/>
      <c r="G35" s="790" t="s">
        <v>817</v>
      </c>
      <c r="H35" s="790" t="s">
        <v>817</v>
      </c>
      <c r="I35" s="790" t="s">
        <v>817</v>
      </c>
      <c r="J35" s="790" t="s">
        <v>817</v>
      </c>
      <c r="K35" s="790" t="s">
        <v>817</v>
      </c>
      <c r="L35" s="790" t="s">
        <v>817</v>
      </c>
      <c r="M35" s="790" t="s">
        <v>817</v>
      </c>
      <c r="N35" s="790" t="s">
        <v>817</v>
      </c>
      <c r="O35" s="790" t="s">
        <v>817</v>
      </c>
      <c r="P35" s="790" t="s">
        <v>817</v>
      </c>
      <c r="Q35" s="790" t="s">
        <v>817</v>
      </c>
      <c r="R35" s="790" t="s">
        <v>817</v>
      </c>
      <c r="S35" s="790" t="s">
        <v>817</v>
      </c>
      <c r="T35" s="790" t="s">
        <v>817</v>
      </c>
      <c r="U35" s="790" t="s">
        <v>817</v>
      </c>
      <c r="V35" s="790" t="s">
        <v>817</v>
      </c>
      <c r="W35" s="790" t="s">
        <v>817</v>
      </c>
      <c r="X35" s="790"/>
      <c r="Y35" s="790"/>
      <c r="Z35" s="790"/>
      <c r="AA35" s="790"/>
      <c r="AB35" s="790"/>
      <c r="AC35" s="790"/>
      <c r="AD35" s="790"/>
      <c r="AE35" s="790"/>
      <c r="AF35" s="790"/>
      <c r="AG35" s="790"/>
      <c r="AH35" s="790"/>
      <c r="AI35" s="790"/>
      <c r="AJ35" s="790"/>
      <c r="AK35" s="790"/>
      <c r="AL35" s="790"/>
      <c r="AM35" s="790"/>
      <c r="AN35" s="790"/>
      <c r="AO35" s="790"/>
      <c r="AP35" s="790"/>
      <c r="AQ35" s="790"/>
      <c r="AR35" s="790"/>
      <c r="AS35" s="790"/>
      <c r="AT35" s="790"/>
      <c r="AU35" s="790"/>
      <c r="AV35" s="790"/>
      <c r="AW35" s="790"/>
      <c r="AX35" s="790"/>
      <c r="AY35" s="790"/>
      <c r="AZ35" s="790"/>
      <c r="BA35" s="790"/>
      <c r="BB35" s="790"/>
      <c r="BC35" s="790"/>
      <c r="BD35" s="790"/>
      <c r="BE35" s="790"/>
      <c r="BF35" s="790"/>
      <c r="BG35" s="790"/>
      <c r="BH35" s="790"/>
      <c r="BI35" s="798"/>
      <c r="BJ35" s="798"/>
      <c r="BK35" s="798"/>
      <c r="BL35" s="798"/>
      <c r="BM35" s="798"/>
      <c r="BN35" s="798"/>
      <c r="BO35" s="798"/>
      <c r="BP35" s="798"/>
      <c r="BQ35" s="798"/>
      <c r="BR35" s="798"/>
      <c r="BS35" s="798"/>
      <c r="BT35" s="798"/>
      <c r="BU35" s="798"/>
      <c r="BV35" s="798"/>
      <c r="BW35" s="798"/>
      <c r="BX35" s="798"/>
      <c r="BY35" s="798"/>
      <c r="BZ35" s="798"/>
      <c r="CA35" s="798"/>
      <c r="CB35" s="798"/>
      <c r="CC35" s="798"/>
      <c r="CD35" s="798"/>
      <c r="CE35" s="798"/>
      <c r="CF35" s="818"/>
      <c r="CG35" s="818"/>
      <c r="CH35" s="818"/>
      <c r="CI35" s="818"/>
      <c r="CJ35" s="818"/>
      <c r="CK35" s="818"/>
      <c r="CL35" s="818"/>
      <c r="CM35" s="818"/>
      <c r="CN35" s="818"/>
      <c r="CO35" s="818"/>
      <c r="CP35" s="818"/>
      <c r="CQ35" s="818"/>
      <c r="CR35" s="818"/>
      <c r="CS35" s="854"/>
      <c r="CT35" s="854"/>
      <c r="CU35" s="854"/>
      <c r="CV35" s="854"/>
      <c r="CW35" s="854"/>
      <c r="CX35" s="854"/>
      <c r="CY35" s="854"/>
      <c r="CZ35" s="872"/>
      <c r="DA35" s="871"/>
      <c r="DB35" s="871"/>
      <c r="DC35" s="888"/>
      <c r="DD35" s="888"/>
      <c r="DE35" s="888"/>
      <c r="DF35" s="888"/>
      <c r="DG35" s="888"/>
      <c r="DH35" s="888"/>
      <c r="DI35" s="887"/>
      <c r="DJ35" s="888"/>
      <c r="DK35" s="888"/>
      <c r="DL35" s="888"/>
      <c r="DM35" s="888"/>
      <c r="DN35" s="888"/>
      <c r="DO35" s="888"/>
      <c r="DP35" s="888"/>
      <c r="DQ35" s="954"/>
      <c r="DR35" s="954"/>
      <c r="DS35" s="954"/>
      <c r="DT35" s="954"/>
      <c r="DU35" s="949"/>
      <c r="DV35" s="954"/>
      <c r="DW35" s="954"/>
      <c r="DX35" s="954"/>
      <c r="DY35" s="954"/>
      <c r="DZ35" s="954"/>
      <c r="EA35" s="954"/>
      <c r="EB35" s="954"/>
      <c r="EC35" s="954"/>
      <c r="ED35" s="949"/>
      <c r="EE35" s="954"/>
      <c r="EF35" s="954"/>
      <c r="EG35" s="954"/>
      <c r="EH35" s="954"/>
      <c r="EI35" s="954"/>
      <c r="EJ35" s="954"/>
      <c r="EK35" s="949"/>
      <c r="EL35" s="954"/>
      <c r="EM35" s="954"/>
      <c r="EN35" s="954"/>
      <c r="EO35" s="954"/>
      <c r="EP35" s="954"/>
      <c r="EQ35" s="954"/>
      <c r="ER35" s="954"/>
      <c r="ES35" s="954"/>
      <c r="ET35" s="954"/>
      <c r="EU35" s="954"/>
      <c r="EV35" s="897"/>
      <c r="EW35" s="897"/>
      <c r="EX35" s="897"/>
      <c r="EY35" s="897"/>
      <c r="EZ35" s="897"/>
      <c r="FA35" s="897"/>
      <c r="FB35" s="897"/>
      <c r="FC35" s="897"/>
      <c r="FD35" s="897"/>
      <c r="FE35" s="897"/>
      <c r="FF35" s="897"/>
      <c r="FG35" s="897"/>
      <c r="FH35" s="897"/>
      <c r="FI35" s="897"/>
      <c r="FJ35" s="897"/>
      <c r="FK35" s="897"/>
      <c r="FL35" s="897"/>
      <c r="FM35" s="897"/>
      <c r="FN35" s="897"/>
      <c r="FO35" s="897"/>
      <c r="FP35" s="897"/>
      <c r="FQ35" s="897"/>
      <c r="FR35" s="897"/>
      <c r="FS35" s="897"/>
      <c r="FT35" s="897"/>
      <c r="FU35" s="897"/>
      <c r="FV35" s="897"/>
      <c r="FW35" s="897"/>
      <c r="FX35" s="897"/>
      <c r="FY35" s="897"/>
      <c r="FZ35" s="897"/>
      <c r="GA35" s="897"/>
      <c r="GB35" s="897"/>
      <c r="GC35" s="897"/>
      <c r="GD35" s="897"/>
      <c r="GE35" s="897"/>
      <c r="GF35" s="897"/>
      <c r="GG35" s="897"/>
      <c r="GH35" s="897"/>
      <c r="GI35" s="897"/>
      <c r="GJ35" s="897"/>
      <c r="GK35" s="897"/>
      <c r="GL35" s="897"/>
      <c r="GM35" s="897"/>
      <c r="GN35" s="897"/>
      <c r="GO35" s="897"/>
      <c r="GP35" s="897"/>
      <c r="GQ35" s="897"/>
      <c r="GR35" s="897"/>
      <c r="GS35" s="897"/>
      <c r="GT35" s="897"/>
      <c r="GU35" s="897"/>
      <c r="GV35" s="897"/>
      <c r="GW35" s="897"/>
      <c r="GX35" s="897"/>
      <c r="GY35" s="897"/>
      <c r="GZ35" s="897"/>
      <c r="HA35" s="897"/>
      <c r="HB35" s="897"/>
      <c r="HC35" s="897"/>
      <c r="HD35" s="897"/>
      <c r="HE35" s="897"/>
      <c r="HF35" s="897"/>
      <c r="HG35" s="897"/>
      <c r="HH35" s="897"/>
      <c r="HI35" s="897"/>
      <c r="HJ35" s="897"/>
      <c r="HK35" s="897"/>
      <c r="HL35" s="897"/>
      <c r="HM35" s="897"/>
      <c r="HN35" s="897"/>
      <c r="HO35" s="897"/>
      <c r="HP35" s="897"/>
      <c r="HQ35" s="897"/>
      <c r="HR35" s="897"/>
      <c r="HS35" s="897"/>
      <c r="HT35" s="897"/>
      <c r="HU35" s="897"/>
      <c r="HV35" s="897"/>
      <c r="HW35" s="897"/>
      <c r="HX35" s="897"/>
      <c r="HY35" s="897"/>
      <c r="HZ35" s="897"/>
      <c r="IA35" s="897"/>
      <c r="IB35" s="897"/>
      <c r="IC35" s="897"/>
      <c r="ID35" s="897"/>
      <c r="IE35" s="897"/>
      <c r="IF35" s="897"/>
      <c r="IG35" s="897"/>
      <c r="IH35" s="897"/>
      <c r="II35" s="897"/>
      <c r="IJ35" s="897"/>
      <c r="IK35" s="897"/>
      <c r="IL35" s="897"/>
      <c r="IM35" s="897"/>
      <c r="IN35" s="897"/>
      <c r="IO35" s="897"/>
      <c r="IP35" s="897"/>
      <c r="IQ35" s="897"/>
      <c r="IR35" s="897"/>
      <c r="IS35" s="897"/>
      <c r="IT35" s="897"/>
      <c r="IU35" s="897"/>
      <c r="IV35" s="897"/>
      <c r="IW35" s="897"/>
      <c r="IX35" s="897"/>
      <c r="IY35" s="897"/>
      <c r="IZ35" s="897"/>
      <c r="JA35" s="897"/>
      <c r="JB35" s="897"/>
      <c r="JC35" s="897"/>
      <c r="JD35" s="897"/>
      <c r="JE35" s="897"/>
      <c r="JF35" s="897"/>
      <c r="JG35" s="897"/>
      <c r="JH35" s="897"/>
      <c r="JI35" s="897"/>
      <c r="JJ35" s="897"/>
      <c r="JK35" s="897"/>
      <c r="JL35" s="897"/>
      <c r="JM35" s="897"/>
      <c r="JN35" s="897"/>
      <c r="JO35" s="897"/>
      <c r="JP35" s="897"/>
      <c r="JQ35" s="897"/>
      <c r="JR35" s="897"/>
      <c r="JS35" s="897"/>
      <c r="JT35" s="897"/>
      <c r="JU35" s="897"/>
      <c r="JV35" s="897"/>
      <c r="JW35" s="897"/>
      <c r="JX35" s="897"/>
      <c r="JY35" s="897"/>
      <c r="JZ35" s="897"/>
      <c r="KA35" s="897"/>
      <c r="KB35" s="897"/>
      <c r="KC35" s="897"/>
      <c r="KD35" s="897"/>
      <c r="KE35" s="897"/>
      <c r="KF35" s="897"/>
      <c r="KG35" s="897"/>
      <c r="KH35" s="897"/>
      <c r="KI35" s="897"/>
      <c r="KJ35" s="897"/>
      <c r="KK35" s="897"/>
      <c r="KL35" s="897"/>
      <c r="KM35" s="897"/>
      <c r="KN35" s="897"/>
      <c r="KO35" s="897"/>
      <c r="KP35" s="897"/>
      <c r="KQ35" s="897"/>
      <c r="KR35" s="897"/>
      <c r="KS35" s="897"/>
      <c r="KT35" s="897"/>
      <c r="KU35" s="897"/>
      <c r="KV35" s="897"/>
      <c r="KW35" s="897"/>
      <c r="KX35" s="897"/>
      <c r="KY35" s="897"/>
      <c r="KZ35" s="897"/>
      <c r="LA35" s="897"/>
      <c r="LB35" s="897"/>
      <c r="LC35" s="897"/>
      <c r="LD35" s="897"/>
      <c r="LE35" s="897"/>
      <c r="LF35" s="897"/>
      <c r="LG35" s="897"/>
      <c r="LH35" s="897"/>
      <c r="LI35" s="897"/>
      <c r="LJ35" s="897"/>
      <c r="LK35" s="897"/>
      <c r="LL35" s="897"/>
      <c r="LM35" s="897"/>
      <c r="LN35" s="897"/>
      <c r="LO35" s="897"/>
      <c r="LP35" s="897"/>
      <c r="LQ35" s="897"/>
      <c r="LR35" s="897"/>
      <c r="LS35" s="897"/>
      <c r="LT35" s="897"/>
      <c r="LU35" s="897"/>
      <c r="LV35" s="897"/>
      <c r="LW35" s="897"/>
      <c r="LX35" s="897"/>
      <c r="LY35" s="897"/>
      <c r="LZ35" s="897"/>
      <c r="MA35" s="897"/>
      <c r="MB35" s="897"/>
      <c r="MC35" s="897"/>
      <c r="MD35" s="897"/>
      <c r="ME35" s="897"/>
      <c r="MF35" s="897"/>
      <c r="MG35" s="897"/>
      <c r="MH35" s="897"/>
      <c r="MI35" s="897"/>
      <c r="MJ35" s="897"/>
      <c r="MK35" s="897"/>
      <c r="ML35" s="897"/>
      <c r="MM35" s="897"/>
      <c r="MN35" s="897"/>
      <c r="MO35" s="897"/>
      <c r="MP35" s="897"/>
      <c r="MQ35" s="897"/>
      <c r="MR35" s="897"/>
      <c r="MS35" s="897"/>
      <c r="MT35" s="897"/>
      <c r="MU35" s="897"/>
      <c r="MV35" s="897"/>
      <c r="MW35" s="897"/>
      <c r="MX35" s="897"/>
      <c r="MY35" s="897"/>
      <c r="MZ35" s="897"/>
      <c r="NA35" s="897"/>
      <c r="NB35" s="897"/>
      <c r="NC35" s="897"/>
      <c r="ND35" s="897"/>
      <c r="NE35" s="897"/>
      <c r="NF35" s="897"/>
      <c r="NG35" s="897"/>
      <c r="NH35" s="897"/>
      <c r="NI35" s="897"/>
      <c r="NJ35" s="897"/>
      <c r="NK35" s="897"/>
      <c r="NL35" s="897"/>
      <c r="NM35" s="897"/>
      <c r="NN35" s="897"/>
      <c r="NO35" s="897"/>
      <c r="NP35" s="897"/>
      <c r="NQ35" s="897"/>
      <c r="NR35" s="897"/>
      <c r="NS35" s="897"/>
      <c r="NT35" s="897"/>
      <c r="NU35" s="897"/>
      <c r="NV35" s="897"/>
      <c r="NW35" s="897"/>
      <c r="NX35" s="897"/>
      <c r="NY35" s="897"/>
      <c r="NZ35" s="897"/>
      <c r="OA35" s="897"/>
      <c r="OB35" s="897"/>
      <c r="OC35" s="897"/>
      <c r="OD35" s="897"/>
      <c r="OE35" s="897"/>
      <c r="OF35" s="897"/>
      <c r="OG35" s="897"/>
      <c r="OH35" s="897"/>
      <c r="OI35" s="897"/>
      <c r="OJ35" s="897"/>
      <c r="OK35" s="897"/>
      <c r="OL35" s="897"/>
      <c r="OM35" s="897"/>
      <c r="ON35" s="897"/>
      <c r="OO35" s="897"/>
      <c r="OP35" s="897"/>
      <c r="OQ35" s="897"/>
      <c r="OR35" s="897"/>
      <c r="OS35" s="897"/>
      <c r="OT35" s="897"/>
      <c r="OU35" s="897"/>
      <c r="OV35" s="897"/>
      <c r="OW35" s="897"/>
      <c r="OX35" s="897"/>
      <c r="OY35" s="897"/>
      <c r="OZ35" s="897"/>
      <c r="PA35" s="897"/>
      <c r="PB35" s="897"/>
      <c r="PC35" s="897"/>
      <c r="PD35" s="897"/>
      <c r="PE35" s="897"/>
      <c r="PF35" s="897"/>
      <c r="PG35" s="897"/>
      <c r="PH35" s="897"/>
      <c r="PI35" s="897"/>
      <c r="PJ35" s="897"/>
      <c r="PK35" s="897"/>
      <c r="PL35" s="897"/>
      <c r="PM35" s="897"/>
      <c r="PN35" s="897"/>
      <c r="PO35" s="897"/>
      <c r="PP35" s="897"/>
      <c r="PQ35" s="897"/>
      <c r="PR35" s="897"/>
      <c r="PS35" s="897"/>
      <c r="PT35" s="897"/>
      <c r="PU35" s="897"/>
      <c r="PV35" s="897"/>
      <c r="PW35" s="897"/>
      <c r="PX35" s="897"/>
      <c r="PY35" s="897"/>
      <c r="PZ35" s="897"/>
      <c r="QA35" s="897"/>
      <c r="QB35" s="897"/>
      <c r="QC35" s="897"/>
      <c r="QD35" s="897"/>
      <c r="QE35" s="897"/>
      <c r="QF35" s="897"/>
      <c r="QG35" s="897"/>
    </row>
    <row r="36" spans="1:449" s="800" customFormat="1" ht="55.5" customHeight="1" x14ac:dyDescent="0.2">
      <c r="A36" s="1082"/>
      <c r="B36" s="978" t="s">
        <v>818</v>
      </c>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790"/>
      <c r="AV36" s="790"/>
      <c r="AW36" s="790"/>
      <c r="AX36" s="790" t="s">
        <v>812</v>
      </c>
      <c r="AY36" s="790" t="s">
        <v>812</v>
      </c>
      <c r="AZ36" s="790" t="s">
        <v>812</v>
      </c>
      <c r="BA36" s="790" t="s">
        <v>812</v>
      </c>
      <c r="BB36" s="790" t="s">
        <v>812</v>
      </c>
      <c r="BC36" s="790" t="s">
        <v>812</v>
      </c>
      <c r="BD36" s="790" t="s">
        <v>819</v>
      </c>
      <c r="BE36" s="790" t="s">
        <v>812</v>
      </c>
      <c r="BF36" s="790" t="s">
        <v>812</v>
      </c>
      <c r="BG36" s="790" t="s">
        <v>812</v>
      </c>
      <c r="BH36" s="790" t="s">
        <v>812</v>
      </c>
      <c r="BI36" s="798" t="s">
        <v>812</v>
      </c>
      <c r="BJ36" s="798" t="s">
        <v>812</v>
      </c>
      <c r="BK36" s="798" t="s">
        <v>820</v>
      </c>
      <c r="BL36" s="798"/>
      <c r="BM36" s="798"/>
      <c r="BN36" s="798"/>
      <c r="BO36" s="798"/>
      <c r="BP36" s="798"/>
      <c r="BQ36" s="798"/>
      <c r="BR36" s="798"/>
      <c r="BS36" s="798"/>
      <c r="BT36" s="798"/>
      <c r="BU36" s="798"/>
      <c r="BV36" s="798"/>
      <c r="BW36" s="798"/>
      <c r="BX36" s="798"/>
      <c r="BY36" s="798"/>
      <c r="BZ36" s="798"/>
      <c r="CA36" s="798"/>
      <c r="CB36" s="798"/>
      <c r="CC36" s="798"/>
      <c r="CD36" s="798"/>
      <c r="CE36" s="798"/>
      <c r="CF36" s="818"/>
      <c r="CG36" s="818"/>
      <c r="CH36" s="818"/>
      <c r="CI36" s="818"/>
      <c r="CJ36" s="818"/>
      <c r="CK36" s="818"/>
      <c r="CL36" s="818"/>
      <c r="CM36" s="818"/>
      <c r="CN36" s="818"/>
      <c r="CO36" s="818"/>
      <c r="CP36" s="818"/>
      <c r="CQ36" s="818"/>
      <c r="CR36" s="818"/>
      <c r="CS36" s="854"/>
      <c r="CT36" s="854"/>
      <c r="CU36" s="854"/>
      <c r="CV36" s="854"/>
      <c r="CW36" s="854"/>
      <c r="CX36" s="854"/>
      <c r="CY36" s="854"/>
      <c r="CZ36" s="872"/>
      <c r="DA36" s="871"/>
      <c r="DB36" s="871"/>
      <c r="DC36" s="888"/>
      <c r="DD36" s="888"/>
      <c r="DE36" s="888"/>
      <c r="DF36" s="888"/>
      <c r="DG36" s="888"/>
      <c r="DH36" s="888"/>
      <c r="DI36" s="887"/>
      <c r="DJ36" s="888"/>
      <c r="DK36" s="888"/>
      <c r="DL36" s="888"/>
      <c r="DM36" s="888"/>
      <c r="DN36" s="888"/>
      <c r="DO36" s="888"/>
      <c r="DP36" s="888"/>
      <c r="DQ36" s="954"/>
      <c r="DR36" s="954"/>
      <c r="DS36" s="954"/>
      <c r="DT36" s="954"/>
      <c r="DU36" s="949"/>
      <c r="DV36" s="954"/>
      <c r="DW36" s="954"/>
      <c r="DX36" s="954"/>
      <c r="DY36" s="954"/>
      <c r="DZ36" s="954"/>
      <c r="EA36" s="954"/>
      <c r="EB36" s="954"/>
      <c r="EC36" s="954"/>
      <c r="ED36" s="949"/>
      <c r="EE36" s="954"/>
      <c r="EF36" s="954"/>
      <c r="EG36" s="954"/>
      <c r="EH36" s="954"/>
      <c r="EI36" s="954"/>
      <c r="EJ36" s="954"/>
      <c r="EK36" s="949"/>
      <c r="EL36" s="954"/>
      <c r="EM36" s="954"/>
      <c r="EN36" s="954"/>
      <c r="EO36" s="954"/>
      <c r="EP36" s="954"/>
      <c r="EQ36" s="954"/>
      <c r="ER36" s="954"/>
      <c r="ES36" s="954"/>
      <c r="ET36" s="954"/>
      <c r="EU36" s="954"/>
      <c r="EV36" s="897"/>
      <c r="EW36" s="897"/>
      <c r="EX36" s="897"/>
      <c r="EY36" s="897"/>
      <c r="EZ36" s="897"/>
      <c r="FA36" s="897"/>
      <c r="FB36" s="897"/>
      <c r="FC36" s="897"/>
      <c r="FD36" s="897"/>
      <c r="FE36" s="897"/>
      <c r="FF36" s="897"/>
      <c r="FG36" s="897"/>
      <c r="FH36" s="897"/>
      <c r="FI36" s="897"/>
      <c r="FJ36" s="897"/>
      <c r="FK36" s="897"/>
      <c r="FL36" s="897"/>
      <c r="FM36" s="897"/>
      <c r="FN36" s="897"/>
      <c r="FO36" s="897"/>
      <c r="FP36" s="897"/>
      <c r="FQ36" s="897"/>
      <c r="FR36" s="897"/>
      <c r="FS36" s="897"/>
      <c r="FT36" s="897"/>
      <c r="FU36" s="897"/>
      <c r="FV36" s="897"/>
      <c r="FW36" s="897"/>
      <c r="FX36" s="897"/>
      <c r="FY36" s="897"/>
      <c r="FZ36" s="897"/>
      <c r="GA36" s="897"/>
      <c r="GB36" s="897"/>
      <c r="GC36" s="897"/>
      <c r="GD36" s="897"/>
      <c r="GE36" s="897"/>
      <c r="GF36" s="897"/>
      <c r="GG36" s="897"/>
      <c r="GH36" s="897"/>
      <c r="GI36" s="897"/>
      <c r="GJ36" s="897"/>
      <c r="GK36" s="897"/>
      <c r="GL36" s="897"/>
      <c r="GM36" s="897"/>
      <c r="GN36" s="897"/>
      <c r="GO36" s="897"/>
      <c r="GP36" s="897"/>
      <c r="GQ36" s="897"/>
      <c r="GR36" s="897"/>
      <c r="GS36" s="897"/>
      <c r="GT36" s="897"/>
      <c r="GU36" s="897"/>
      <c r="GV36" s="897"/>
      <c r="GW36" s="897"/>
      <c r="GX36" s="897"/>
      <c r="GY36" s="897"/>
      <c r="GZ36" s="897"/>
      <c r="HA36" s="897"/>
      <c r="HB36" s="897"/>
      <c r="HC36" s="897"/>
      <c r="HD36" s="897"/>
      <c r="HE36" s="897"/>
      <c r="HF36" s="897"/>
      <c r="HG36" s="897"/>
      <c r="HH36" s="897"/>
      <c r="HI36" s="897"/>
      <c r="HJ36" s="897"/>
      <c r="HK36" s="897"/>
      <c r="HL36" s="897"/>
      <c r="HM36" s="897"/>
      <c r="HN36" s="897"/>
      <c r="HO36" s="897"/>
      <c r="HP36" s="897"/>
      <c r="HQ36" s="897"/>
      <c r="HR36" s="897"/>
      <c r="HS36" s="897"/>
      <c r="HT36" s="897"/>
      <c r="HU36" s="897"/>
      <c r="HV36" s="897"/>
      <c r="HW36" s="897"/>
      <c r="HX36" s="897"/>
      <c r="HY36" s="897"/>
      <c r="HZ36" s="897"/>
      <c r="IA36" s="897"/>
      <c r="IB36" s="897"/>
      <c r="IC36" s="897"/>
      <c r="ID36" s="897"/>
      <c r="IE36" s="897"/>
      <c r="IF36" s="897"/>
      <c r="IG36" s="897"/>
      <c r="IH36" s="897"/>
      <c r="II36" s="897"/>
      <c r="IJ36" s="897"/>
      <c r="IK36" s="897"/>
      <c r="IL36" s="897"/>
      <c r="IM36" s="897"/>
      <c r="IN36" s="897"/>
      <c r="IO36" s="897"/>
      <c r="IP36" s="897"/>
      <c r="IQ36" s="897"/>
      <c r="IR36" s="897"/>
      <c r="IS36" s="897"/>
      <c r="IT36" s="897"/>
      <c r="IU36" s="897"/>
      <c r="IV36" s="897"/>
      <c r="IW36" s="897"/>
      <c r="IX36" s="897"/>
      <c r="IY36" s="897"/>
      <c r="IZ36" s="897"/>
      <c r="JA36" s="897"/>
      <c r="JB36" s="897"/>
      <c r="JC36" s="897"/>
      <c r="JD36" s="897"/>
      <c r="JE36" s="897"/>
      <c r="JF36" s="897"/>
      <c r="JG36" s="897"/>
      <c r="JH36" s="897"/>
      <c r="JI36" s="897"/>
      <c r="JJ36" s="897"/>
      <c r="JK36" s="897"/>
      <c r="JL36" s="897"/>
      <c r="JM36" s="897"/>
      <c r="JN36" s="897"/>
      <c r="JO36" s="897"/>
      <c r="JP36" s="897"/>
      <c r="JQ36" s="897"/>
      <c r="JR36" s="897"/>
      <c r="JS36" s="897"/>
      <c r="JT36" s="897"/>
      <c r="JU36" s="897"/>
      <c r="JV36" s="897"/>
      <c r="JW36" s="897"/>
      <c r="JX36" s="897"/>
      <c r="JY36" s="897"/>
      <c r="JZ36" s="897"/>
      <c r="KA36" s="897"/>
      <c r="KB36" s="897"/>
      <c r="KC36" s="897"/>
      <c r="KD36" s="897"/>
      <c r="KE36" s="897"/>
      <c r="KF36" s="897"/>
      <c r="KG36" s="897"/>
      <c r="KH36" s="897"/>
      <c r="KI36" s="897"/>
      <c r="KJ36" s="897"/>
      <c r="KK36" s="897"/>
      <c r="KL36" s="897"/>
      <c r="KM36" s="897"/>
      <c r="KN36" s="897"/>
      <c r="KO36" s="897"/>
      <c r="KP36" s="897"/>
      <c r="KQ36" s="897"/>
      <c r="KR36" s="897"/>
      <c r="KS36" s="897"/>
      <c r="KT36" s="897"/>
      <c r="KU36" s="897"/>
      <c r="KV36" s="897"/>
      <c r="KW36" s="897"/>
      <c r="KX36" s="897"/>
      <c r="KY36" s="897"/>
      <c r="KZ36" s="897"/>
      <c r="LA36" s="897"/>
      <c r="LB36" s="897"/>
      <c r="LC36" s="897"/>
      <c r="LD36" s="897"/>
      <c r="LE36" s="897"/>
      <c r="LF36" s="897"/>
      <c r="LG36" s="897"/>
      <c r="LH36" s="897"/>
      <c r="LI36" s="897"/>
      <c r="LJ36" s="897"/>
      <c r="LK36" s="897"/>
      <c r="LL36" s="897"/>
      <c r="LM36" s="897"/>
      <c r="LN36" s="897"/>
      <c r="LO36" s="897"/>
      <c r="LP36" s="897"/>
      <c r="LQ36" s="897"/>
      <c r="LR36" s="897"/>
      <c r="LS36" s="897"/>
      <c r="LT36" s="897"/>
      <c r="LU36" s="897"/>
      <c r="LV36" s="897"/>
      <c r="LW36" s="897"/>
      <c r="LX36" s="897"/>
      <c r="LY36" s="897"/>
      <c r="LZ36" s="897"/>
      <c r="MA36" s="897"/>
      <c r="MB36" s="897"/>
      <c r="MC36" s="897"/>
      <c r="MD36" s="897"/>
      <c r="ME36" s="897"/>
      <c r="MF36" s="897"/>
      <c r="MG36" s="897"/>
      <c r="MH36" s="897"/>
      <c r="MI36" s="897"/>
      <c r="MJ36" s="897"/>
      <c r="MK36" s="897"/>
      <c r="ML36" s="897"/>
      <c r="MM36" s="897"/>
      <c r="MN36" s="897"/>
      <c r="MO36" s="897"/>
      <c r="MP36" s="897"/>
      <c r="MQ36" s="897"/>
      <c r="MR36" s="897"/>
      <c r="MS36" s="897"/>
      <c r="MT36" s="897"/>
      <c r="MU36" s="897"/>
      <c r="MV36" s="897"/>
      <c r="MW36" s="897"/>
      <c r="MX36" s="897"/>
      <c r="MY36" s="897"/>
      <c r="MZ36" s="897"/>
      <c r="NA36" s="897"/>
      <c r="NB36" s="897"/>
      <c r="NC36" s="897"/>
      <c r="ND36" s="897"/>
      <c r="NE36" s="897"/>
      <c r="NF36" s="897"/>
      <c r="NG36" s="897"/>
      <c r="NH36" s="897"/>
      <c r="NI36" s="897"/>
      <c r="NJ36" s="897"/>
      <c r="NK36" s="897"/>
      <c r="NL36" s="897"/>
      <c r="NM36" s="897"/>
      <c r="NN36" s="897"/>
      <c r="NO36" s="897"/>
      <c r="NP36" s="897"/>
      <c r="NQ36" s="897"/>
      <c r="NR36" s="897"/>
      <c r="NS36" s="897"/>
      <c r="NT36" s="897"/>
      <c r="NU36" s="897"/>
      <c r="NV36" s="897"/>
      <c r="NW36" s="897"/>
      <c r="NX36" s="897"/>
      <c r="NY36" s="897"/>
      <c r="NZ36" s="897"/>
      <c r="OA36" s="897"/>
      <c r="OB36" s="897"/>
      <c r="OC36" s="897"/>
      <c r="OD36" s="897"/>
      <c r="OE36" s="897"/>
      <c r="OF36" s="897"/>
      <c r="OG36" s="897"/>
      <c r="OH36" s="897"/>
      <c r="OI36" s="897"/>
      <c r="OJ36" s="897"/>
      <c r="OK36" s="897"/>
      <c r="OL36" s="897"/>
      <c r="OM36" s="897"/>
      <c r="ON36" s="897"/>
      <c r="OO36" s="897"/>
      <c r="OP36" s="897"/>
      <c r="OQ36" s="897"/>
      <c r="OR36" s="897"/>
      <c r="OS36" s="897"/>
      <c r="OT36" s="897"/>
      <c r="OU36" s="897"/>
      <c r="OV36" s="897"/>
      <c r="OW36" s="897"/>
      <c r="OX36" s="897"/>
      <c r="OY36" s="897"/>
      <c r="OZ36" s="897"/>
      <c r="PA36" s="897"/>
      <c r="PB36" s="897"/>
      <c r="PC36" s="897"/>
      <c r="PD36" s="897"/>
      <c r="PE36" s="897"/>
      <c r="PF36" s="897"/>
      <c r="PG36" s="897"/>
      <c r="PH36" s="897"/>
      <c r="PI36" s="897"/>
      <c r="PJ36" s="897"/>
      <c r="PK36" s="897"/>
      <c r="PL36" s="897"/>
      <c r="PM36" s="897"/>
      <c r="PN36" s="897"/>
      <c r="PO36" s="897"/>
      <c r="PP36" s="897"/>
      <c r="PQ36" s="897"/>
      <c r="PR36" s="897"/>
      <c r="PS36" s="897"/>
      <c r="PT36" s="897"/>
      <c r="PU36" s="897"/>
      <c r="PV36" s="897"/>
      <c r="PW36" s="897"/>
      <c r="PX36" s="897"/>
      <c r="PY36" s="897"/>
      <c r="PZ36" s="897"/>
      <c r="QA36" s="897"/>
      <c r="QB36" s="897"/>
      <c r="QC36" s="897"/>
      <c r="QD36" s="897"/>
      <c r="QE36" s="897"/>
      <c r="QF36" s="897"/>
      <c r="QG36" s="897"/>
    </row>
    <row r="37" spans="1:449" s="800" customFormat="1" ht="60" x14ac:dyDescent="0.2">
      <c r="A37" s="1083"/>
      <c r="B37" s="978" t="s">
        <v>821</v>
      </c>
      <c r="C37" s="790"/>
      <c r="D37" s="790"/>
      <c r="E37" s="790"/>
      <c r="F37" s="790" t="s">
        <v>822</v>
      </c>
      <c r="G37" s="790" t="s">
        <v>822</v>
      </c>
      <c r="H37" s="790"/>
      <c r="I37" s="790"/>
      <c r="J37" s="790"/>
      <c r="K37" s="790"/>
      <c r="L37" s="790"/>
      <c r="M37" s="790"/>
      <c r="N37" s="790"/>
      <c r="O37" s="790"/>
      <c r="P37" s="790"/>
      <c r="Q37" s="790"/>
      <c r="R37" s="790"/>
      <c r="S37" s="790"/>
      <c r="T37" s="790"/>
      <c r="U37" s="790"/>
      <c r="V37" s="790"/>
      <c r="W37" s="790"/>
      <c r="X37" s="790"/>
      <c r="Y37" s="790"/>
      <c r="Z37" s="790" t="s">
        <v>823</v>
      </c>
      <c r="AA37" s="790" t="s">
        <v>824</v>
      </c>
      <c r="AB37" s="790"/>
      <c r="AC37" s="790" t="s">
        <v>825</v>
      </c>
      <c r="AD37" s="790"/>
      <c r="AE37" s="790"/>
      <c r="AF37" s="790"/>
      <c r="AG37" s="790"/>
      <c r="AH37" s="790"/>
      <c r="AI37" s="790"/>
      <c r="AJ37" s="790"/>
      <c r="AK37" s="790" t="s">
        <v>826</v>
      </c>
      <c r="AL37" s="790"/>
      <c r="AM37" s="790"/>
      <c r="AN37" s="790"/>
      <c r="AO37" s="790"/>
      <c r="AP37" s="790" t="s">
        <v>827</v>
      </c>
      <c r="AQ37" s="790" t="s">
        <v>828</v>
      </c>
      <c r="AR37" s="790" t="s">
        <v>828</v>
      </c>
      <c r="AS37" s="790" t="s">
        <v>829</v>
      </c>
      <c r="AT37" s="790" t="s">
        <v>828</v>
      </c>
      <c r="AU37" s="790" t="s">
        <v>828</v>
      </c>
      <c r="AV37" s="790" t="s">
        <v>828</v>
      </c>
      <c r="AW37" s="790" t="s">
        <v>828</v>
      </c>
      <c r="AX37" s="790"/>
      <c r="AY37" s="790"/>
      <c r="AZ37" s="790"/>
      <c r="BA37" s="795" t="s">
        <v>830</v>
      </c>
      <c r="BB37" s="790" t="s">
        <v>831</v>
      </c>
      <c r="BC37" s="790" t="s">
        <v>832</v>
      </c>
      <c r="BD37" s="790" t="s">
        <v>832</v>
      </c>
      <c r="BE37" s="790" t="s">
        <v>833</v>
      </c>
      <c r="BF37" s="790" t="s">
        <v>832</v>
      </c>
      <c r="BG37" s="790" t="s">
        <v>832</v>
      </c>
      <c r="BH37" s="790" t="s">
        <v>832</v>
      </c>
      <c r="BI37" s="798" t="s">
        <v>834</v>
      </c>
      <c r="BJ37" s="798" t="s">
        <v>832</v>
      </c>
      <c r="BK37" s="798"/>
      <c r="BL37" s="798"/>
      <c r="BM37" s="798" t="s">
        <v>835</v>
      </c>
      <c r="BN37" s="798"/>
      <c r="BO37" s="798"/>
      <c r="BP37" s="798"/>
      <c r="BQ37" s="798"/>
      <c r="BR37" s="798"/>
      <c r="BS37" s="798" t="s">
        <v>836</v>
      </c>
      <c r="BT37" s="798" t="s">
        <v>837</v>
      </c>
      <c r="BU37" s="798" t="s">
        <v>838</v>
      </c>
      <c r="BV37" s="798" t="s">
        <v>838</v>
      </c>
      <c r="BW37" s="798" t="s">
        <v>839</v>
      </c>
      <c r="BX37" s="798" t="s">
        <v>840</v>
      </c>
      <c r="BY37" s="798" t="s">
        <v>840</v>
      </c>
      <c r="BZ37" s="798"/>
      <c r="CA37" s="798"/>
      <c r="CB37" s="798"/>
      <c r="CC37" s="809" t="s">
        <v>947</v>
      </c>
      <c r="CD37" s="798"/>
      <c r="CE37" s="798"/>
      <c r="CF37" s="818"/>
      <c r="CG37" s="818" t="s">
        <v>978</v>
      </c>
      <c r="CH37" s="818"/>
      <c r="CI37" s="818"/>
      <c r="CJ37" s="818"/>
      <c r="CK37" s="818"/>
      <c r="CL37" s="818"/>
      <c r="CM37" s="818"/>
      <c r="CN37" s="818"/>
      <c r="CO37" s="818"/>
      <c r="CP37" s="818"/>
      <c r="CQ37" s="818"/>
      <c r="CR37" s="818"/>
      <c r="CS37" s="854"/>
      <c r="CT37" s="854"/>
      <c r="CU37" s="854"/>
      <c r="CV37" s="854"/>
      <c r="CW37" s="854" t="s">
        <v>1030</v>
      </c>
      <c r="CX37" s="854"/>
      <c r="CY37" s="854"/>
      <c r="CZ37" s="872"/>
      <c r="DA37" s="871"/>
      <c r="DB37" s="871"/>
      <c r="DC37" s="888"/>
      <c r="DD37" s="888" t="s">
        <v>1077</v>
      </c>
      <c r="DE37" s="888"/>
      <c r="DF37" s="888"/>
      <c r="DG37" s="888"/>
      <c r="DH37" s="888" t="s">
        <v>1103</v>
      </c>
      <c r="DI37" s="887"/>
      <c r="DJ37" s="888"/>
      <c r="DK37" s="888"/>
      <c r="DL37" s="888"/>
      <c r="DM37" s="888"/>
      <c r="DN37" s="888"/>
      <c r="DO37" s="888" t="s">
        <v>1150</v>
      </c>
      <c r="DP37" s="888" t="s">
        <v>1164</v>
      </c>
      <c r="DQ37" s="954" t="s">
        <v>1167</v>
      </c>
      <c r="DR37" s="954"/>
      <c r="DS37" s="954" t="s">
        <v>1187</v>
      </c>
      <c r="DT37" s="954" t="s">
        <v>1189</v>
      </c>
      <c r="DU37" s="949" t="s">
        <v>1203</v>
      </c>
      <c r="DV37" s="954" t="s">
        <v>1216</v>
      </c>
      <c r="DW37" s="954" t="s">
        <v>1254</v>
      </c>
      <c r="DX37" s="954"/>
      <c r="DY37" s="954" t="s">
        <v>1245</v>
      </c>
      <c r="DZ37" s="954" t="s">
        <v>1257</v>
      </c>
      <c r="EA37" s="954"/>
      <c r="EB37" s="954"/>
      <c r="EC37" s="954" t="s">
        <v>1304</v>
      </c>
      <c r="ED37" s="949" t="s">
        <v>1318</v>
      </c>
      <c r="EE37" s="954" t="s">
        <v>1333</v>
      </c>
      <c r="EF37" s="954" t="s">
        <v>1367</v>
      </c>
      <c r="EG37" s="954"/>
      <c r="EH37" s="954" t="s">
        <v>1383</v>
      </c>
      <c r="EI37" s="954"/>
      <c r="EJ37" s="954" t="s">
        <v>1407</v>
      </c>
      <c r="EK37" s="949" t="s">
        <v>1419</v>
      </c>
      <c r="EL37" s="954"/>
      <c r="EM37" s="954"/>
      <c r="EN37" s="954"/>
      <c r="EO37" s="954"/>
      <c r="EP37" s="954"/>
      <c r="EQ37" s="954"/>
      <c r="ER37" s="954"/>
      <c r="ES37" s="954"/>
      <c r="ET37" s="954"/>
      <c r="EU37" s="954"/>
      <c r="EV37" s="897"/>
      <c r="EW37" s="897"/>
      <c r="EX37" s="897"/>
      <c r="EY37" s="897"/>
      <c r="EZ37" s="897"/>
      <c r="FA37" s="897"/>
      <c r="FB37" s="897"/>
      <c r="FC37" s="897"/>
      <c r="FD37" s="897"/>
      <c r="FE37" s="897"/>
      <c r="FF37" s="897"/>
      <c r="FG37" s="897"/>
      <c r="FH37" s="897"/>
      <c r="FI37" s="897"/>
      <c r="FJ37" s="897"/>
      <c r="FK37" s="897"/>
      <c r="FL37" s="897"/>
      <c r="FM37" s="897"/>
      <c r="FN37" s="897"/>
      <c r="FO37" s="897"/>
      <c r="FP37" s="897"/>
      <c r="FQ37" s="897"/>
      <c r="FR37" s="897"/>
      <c r="FS37" s="897"/>
      <c r="FT37" s="897"/>
      <c r="FU37" s="897"/>
      <c r="FV37" s="897"/>
      <c r="FW37" s="897"/>
      <c r="FX37" s="897"/>
      <c r="FY37" s="897"/>
      <c r="FZ37" s="897"/>
      <c r="GA37" s="897"/>
      <c r="GB37" s="897"/>
      <c r="GC37" s="897"/>
      <c r="GD37" s="897"/>
      <c r="GE37" s="897"/>
      <c r="GF37" s="897"/>
      <c r="GG37" s="897"/>
      <c r="GH37" s="897"/>
      <c r="GI37" s="897"/>
      <c r="GJ37" s="897"/>
      <c r="GK37" s="897"/>
      <c r="GL37" s="897"/>
      <c r="GM37" s="897"/>
      <c r="GN37" s="897"/>
      <c r="GO37" s="897"/>
      <c r="GP37" s="897"/>
      <c r="GQ37" s="897"/>
      <c r="GR37" s="897"/>
      <c r="GS37" s="897"/>
      <c r="GT37" s="897"/>
      <c r="GU37" s="897"/>
      <c r="GV37" s="897"/>
      <c r="GW37" s="897"/>
      <c r="GX37" s="897"/>
      <c r="GY37" s="897"/>
      <c r="GZ37" s="897"/>
      <c r="HA37" s="897"/>
      <c r="HB37" s="897"/>
      <c r="HC37" s="897"/>
      <c r="HD37" s="897"/>
      <c r="HE37" s="897"/>
      <c r="HF37" s="897"/>
      <c r="HG37" s="897"/>
      <c r="HH37" s="897"/>
      <c r="HI37" s="897"/>
      <c r="HJ37" s="897"/>
      <c r="HK37" s="897"/>
      <c r="HL37" s="897"/>
      <c r="HM37" s="897"/>
      <c r="HN37" s="897"/>
      <c r="HO37" s="897"/>
      <c r="HP37" s="897"/>
      <c r="HQ37" s="897"/>
      <c r="HR37" s="897"/>
      <c r="HS37" s="897"/>
      <c r="HT37" s="897"/>
      <c r="HU37" s="897"/>
      <c r="HV37" s="897"/>
      <c r="HW37" s="897"/>
      <c r="HX37" s="897"/>
      <c r="HY37" s="897"/>
      <c r="HZ37" s="897"/>
      <c r="IA37" s="897"/>
      <c r="IB37" s="897"/>
      <c r="IC37" s="897"/>
      <c r="ID37" s="897"/>
      <c r="IE37" s="897"/>
      <c r="IF37" s="897"/>
      <c r="IG37" s="897"/>
      <c r="IH37" s="897"/>
      <c r="II37" s="897"/>
      <c r="IJ37" s="897"/>
      <c r="IK37" s="897"/>
      <c r="IL37" s="897"/>
      <c r="IM37" s="897"/>
      <c r="IN37" s="897"/>
      <c r="IO37" s="897"/>
      <c r="IP37" s="897"/>
      <c r="IQ37" s="897"/>
      <c r="IR37" s="897"/>
      <c r="IS37" s="897"/>
      <c r="IT37" s="897"/>
      <c r="IU37" s="897"/>
      <c r="IV37" s="897"/>
      <c r="IW37" s="897"/>
      <c r="IX37" s="897"/>
      <c r="IY37" s="897"/>
      <c r="IZ37" s="897"/>
      <c r="JA37" s="897"/>
      <c r="JB37" s="897"/>
      <c r="JC37" s="897"/>
      <c r="JD37" s="897"/>
      <c r="JE37" s="897"/>
      <c r="JF37" s="897"/>
      <c r="JG37" s="897"/>
      <c r="JH37" s="897"/>
      <c r="JI37" s="897"/>
      <c r="JJ37" s="897"/>
      <c r="JK37" s="897"/>
      <c r="JL37" s="897"/>
      <c r="JM37" s="897"/>
      <c r="JN37" s="897"/>
      <c r="JO37" s="897"/>
      <c r="JP37" s="897"/>
      <c r="JQ37" s="897"/>
      <c r="JR37" s="897"/>
      <c r="JS37" s="897"/>
      <c r="JT37" s="897"/>
      <c r="JU37" s="897"/>
      <c r="JV37" s="897"/>
      <c r="JW37" s="897"/>
      <c r="JX37" s="897"/>
      <c r="JY37" s="897"/>
      <c r="JZ37" s="897"/>
      <c r="KA37" s="897"/>
      <c r="KB37" s="897"/>
      <c r="KC37" s="897"/>
      <c r="KD37" s="897"/>
      <c r="KE37" s="897"/>
      <c r="KF37" s="897"/>
      <c r="KG37" s="897"/>
      <c r="KH37" s="897"/>
      <c r="KI37" s="897"/>
      <c r="KJ37" s="897"/>
      <c r="KK37" s="897"/>
      <c r="KL37" s="897"/>
      <c r="KM37" s="897"/>
      <c r="KN37" s="897"/>
      <c r="KO37" s="897"/>
      <c r="KP37" s="897"/>
      <c r="KQ37" s="897"/>
      <c r="KR37" s="897"/>
      <c r="KS37" s="897"/>
      <c r="KT37" s="897"/>
      <c r="KU37" s="897"/>
      <c r="KV37" s="897"/>
      <c r="KW37" s="897"/>
      <c r="KX37" s="897"/>
      <c r="KY37" s="897"/>
      <c r="KZ37" s="897"/>
      <c r="LA37" s="897"/>
      <c r="LB37" s="897"/>
      <c r="LC37" s="897"/>
      <c r="LD37" s="897"/>
      <c r="LE37" s="897"/>
      <c r="LF37" s="897"/>
      <c r="LG37" s="897"/>
      <c r="LH37" s="897"/>
      <c r="LI37" s="897"/>
      <c r="LJ37" s="897"/>
      <c r="LK37" s="897"/>
      <c r="LL37" s="897"/>
      <c r="LM37" s="897"/>
      <c r="LN37" s="897"/>
      <c r="LO37" s="897"/>
      <c r="LP37" s="897"/>
      <c r="LQ37" s="897"/>
      <c r="LR37" s="897"/>
      <c r="LS37" s="897"/>
      <c r="LT37" s="897"/>
      <c r="LU37" s="897"/>
      <c r="LV37" s="897"/>
      <c r="LW37" s="897"/>
      <c r="LX37" s="897"/>
      <c r="LY37" s="897"/>
      <c r="LZ37" s="897"/>
      <c r="MA37" s="897"/>
      <c r="MB37" s="897"/>
      <c r="MC37" s="897"/>
      <c r="MD37" s="897"/>
      <c r="ME37" s="897"/>
      <c r="MF37" s="897"/>
      <c r="MG37" s="897"/>
      <c r="MH37" s="897"/>
      <c r="MI37" s="897"/>
      <c r="MJ37" s="897"/>
      <c r="MK37" s="897"/>
      <c r="ML37" s="897"/>
      <c r="MM37" s="897"/>
      <c r="MN37" s="897"/>
      <c r="MO37" s="897"/>
      <c r="MP37" s="897"/>
      <c r="MQ37" s="897"/>
      <c r="MR37" s="897"/>
      <c r="MS37" s="897"/>
      <c r="MT37" s="897"/>
      <c r="MU37" s="897"/>
      <c r="MV37" s="897"/>
      <c r="MW37" s="897"/>
      <c r="MX37" s="897"/>
      <c r="MY37" s="897"/>
      <c r="MZ37" s="897"/>
      <c r="NA37" s="897"/>
      <c r="NB37" s="897"/>
      <c r="NC37" s="897"/>
      <c r="ND37" s="897"/>
      <c r="NE37" s="897"/>
      <c r="NF37" s="897"/>
      <c r="NG37" s="897"/>
      <c r="NH37" s="897"/>
      <c r="NI37" s="897"/>
      <c r="NJ37" s="897"/>
      <c r="NK37" s="897"/>
      <c r="NL37" s="897"/>
      <c r="NM37" s="897"/>
      <c r="NN37" s="897"/>
      <c r="NO37" s="897"/>
      <c r="NP37" s="897"/>
      <c r="NQ37" s="897"/>
      <c r="NR37" s="897"/>
      <c r="NS37" s="897"/>
      <c r="NT37" s="897"/>
      <c r="NU37" s="897"/>
      <c r="NV37" s="897"/>
      <c r="NW37" s="897"/>
      <c r="NX37" s="897"/>
      <c r="NY37" s="897"/>
      <c r="NZ37" s="897"/>
      <c r="OA37" s="897"/>
      <c r="OB37" s="897"/>
      <c r="OC37" s="897"/>
      <c r="OD37" s="897"/>
      <c r="OE37" s="897"/>
      <c r="OF37" s="897"/>
      <c r="OG37" s="897"/>
      <c r="OH37" s="897"/>
      <c r="OI37" s="897"/>
      <c r="OJ37" s="897"/>
      <c r="OK37" s="897"/>
      <c r="OL37" s="897"/>
      <c r="OM37" s="897"/>
      <c r="ON37" s="897"/>
      <c r="OO37" s="897"/>
      <c r="OP37" s="897"/>
      <c r="OQ37" s="897"/>
      <c r="OR37" s="897"/>
      <c r="OS37" s="897"/>
      <c r="OT37" s="897"/>
      <c r="OU37" s="897"/>
      <c r="OV37" s="897"/>
      <c r="OW37" s="897"/>
      <c r="OX37" s="897"/>
      <c r="OY37" s="897"/>
      <c r="OZ37" s="897"/>
      <c r="PA37" s="897"/>
      <c r="PB37" s="897"/>
      <c r="PC37" s="897"/>
      <c r="PD37" s="897"/>
      <c r="PE37" s="897"/>
      <c r="PF37" s="897"/>
      <c r="PG37" s="897"/>
      <c r="PH37" s="897"/>
      <c r="PI37" s="897"/>
      <c r="PJ37" s="897"/>
      <c r="PK37" s="897"/>
      <c r="PL37" s="897"/>
      <c r="PM37" s="897"/>
      <c r="PN37" s="897"/>
      <c r="PO37" s="897"/>
      <c r="PP37" s="897"/>
      <c r="PQ37" s="897"/>
      <c r="PR37" s="897"/>
      <c r="PS37" s="897"/>
      <c r="PT37" s="897"/>
      <c r="PU37" s="897"/>
      <c r="PV37" s="897"/>
      <c r="PW37" s="897"/>
      <c r="PX37" s="897"/>
      <c r="PY37" s="897"/>
      <c r="PZ37" s="897"/>
      <c r="QA37" s="897"/>
      <c r="QB37" s="897"/>
      <c r="QC37" s="897"/>
      <c r="QD37" s="897"/>
      <c r="QE37" s="897"/>
      <c r="QF37" s="897"/>
      <c r="QG37" s="897"/>
    </row>
    <row r="38" spans="1:449" s="800" customFormat="1" ht="47.1" customHeight="1" x14ac:dyDescent="0.2">
      <c r="A38" s="930" t="s">
        <v>1256</v>
      </c>
      <c r="B38" s="979"/>
      <c r="C38" s="934"/>
      <c r="D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4"/>
      <c r="AO38" s="934"/>
      <c r="AP38" s="934"/>
      <c r="AQ38" s="934"/>
      <c r="AR38" s="934"/>
      <c r="AS38" s="934"/>
      <c r="AT38" s="934"/>
      <c r="AU38" s="934"/>
      <c r="AV38" s="934"/>
      <c r="AW38" s="934"/>
      <c r="AX38" s="934"/>
      <c r="AY38" s="934"/>
      <c r="AZ38" s="934"/>
      <c r="BA38" s="795"/>
      <c r="BB38" s="934"/>
      <c r="BC38" s="934"/>
      <c r="BD38" s="934"/>
      <c r="BE38" s="934"/>
      <c r="BF38" s="934"/>
      <c r="BG38" s="934"/>
      <c r="BH38" s="934"/>
      <c r="BI38" s="898"/>
      <c r="BJ38" s="898"/>
      <c r="BK38" s="898"/>
      <c r="BL38" s="898"/>
      <c r="BM38" s="898"/>
      <c r="BN38" s="898"/>
      <c r="BO38" s="898"/>
      <c r="BP38" s="898"/>
      <c r="BQ38" s="898"/>
      <c r="BR38" s="898"/>
      <c r="BS38" s="898"/>
      <c r="BT38" s="898"/>
      <c r="BU38" s="898"/>
      <c r="BV38" s="863"/>
      <c r="BW38" s="898"/>
      <c r="BX38" s="898"/>
      <c r="BY38" s="898"/>
      <c r="BZ38" s="898"/>
      <c r="CA38" s="898"/>
      <c r="CB38" s="863"/>
      <c r="CC38" s="935"/>
      <c r="CD38" s="863"/>
      <c r="CE38" s="863"/>
      <c r="CF38" s="936"/>
      <c r="CG38" s="818"/>
      <c r="CH38" s="818"/>
      <c r="CI38" s="818"/>
      <c r="CJ38" s="818"/>
      <c r="CK38" s="818"/>
      <c r="CL38" s="818"/>
      <c r="CM38" s="818"/>
      <c r="CN38" s="818"/>
      <c r="CO38" s="818"/>
      <c r="CP38" s="818"/>
      <c r="CQ38" s="818"/>
      <c r="CR38" s="818"/>
      <c r="CS38" s="897"/>
      <c r="CT38" s="897"/>
      <c r="CU38" s="897"/>
      <c r="CV38" s="897"/>
      <c r="CW38" s="897"/>
      <c r="CX38" s="897"/>
      <c r="CY38" s="897"/>
      <c r="CZ38" s="872"/>
      <c r="DA38" s="897"/>
      <c r="DB38" s="897"/>
      <c r="DC38" s="954"/>
      <c r="DD38" s="954"/>
      <c r="DE38" s="954"/>
      <c r="DF38" s="954"/>
      <c r="DG38" s="954"/>
      <c r="DH38" s="954"/>
      <c r="DI38" s="954"/>
      <c r="DJ38" s="954"/>
      <c r="DK38" s="954"/>
      <c r="DL38" s="954"/>
      <c r="DM38" s="954"/>
      <c r="DN38" s="954"/>
      <c r="DO38" s="954"/>
      <c r="DP38" s="954"/>
      <c r="DQ38" s="954"/>
      <c r="DR38" s="954"/>
      <c r="DS38" s="954"/>
      <c r="DT38" s="954"/>
      <c r="DU38" s="949"/>
      <c r="DV38" s="954"/>
      <c r="DW38" s="954"/>
      <c r="DX38" s="954"/>
      <c r="DY38" s="954"/>
      <c r="DZ38" s="954"/>
      <c r="EA38" s="954"/>
      <c r="EB38" s="954"/>
      <c r="EC38" s="954"/>
      <c r="ED38" s="949"/>
      <c r="EE38" s="954"/>
      <c r="EF38" s="954"/>
      <c r="EG38" s="954"/>
      <c r="EH38" s="954"/>
      <c r="EI38" s="954"/>
      <c r="EJ38" s="954"/>
      <c r="EK38" s="949"/>
      <c r="EL38" s="954"/>
      <c r="EM38" s="954"/>
      <c r="EN38" s="954"/>
      <c r="EO38" s="954"/>
      <c r="EP38" s="954"/>
      <c r="EQ38" s="954"/>
      <c r="ER38" s="954"/>
      <c r="ES38" s="954"/>
      <c r="ET38" s="954"/>
      <c r="EU38" s="954"/>
      <c r="EV38" s="897"/>
      <c r="EW38" s="897"/>
      <c r="EX38" s="897"/>
      <c r="EY38" s="897"/>
      <c r="EZ38" s="897"/>
      <c r="FA38" s="897"/>
      <c r="FB38" s="897"/>
      <c r="FC38" s="897"/>
      <c r="FD38" s="897"/>
      <c r="FE38" s="897"/>
      <c r="FF38" s="897"/>
      <c r="FG38" s="897"/>
      <c r="FH38" s="897"/>
      <c r="FI38" s="897"/>
      <c r="FJ38" s="897"/>
      <c r="FK38" s="897"/>
      <c r="FL38" s="897"/>
      <c r="FM38" s="897"/>
      <c r="FN38" s="897"/>
      <c r="FO38" s="897"/>
      <c r="FP38" s="897"/>
      <c r="FQ38" s="897"/>
      <c r="FR38" s="897"/>
      <c r="FS38" s="897"/>
      <c r="FT38" s="897"/>
      <c r="FU38" s="897"/>
      <c r="FV38" s="897"/>
      <c r="FW38" s="897"/>
      <c r="FX38" s="897"/>
      <c r="FY38" s="897"/>
      <c r="FZ38" s="897"/>
      <c r="GA38" s="897"/>
      <c r="GB38" s="897"/>
      <c r="GC38" s="897"/>
      <c r="GD38" s="897"/>
      <c r="GE38" s="897"/>
      <c r="GF38" s="897"/>
      <c r="GG38" s="897"/>
      <c r="GH38" s="897"/>
      <c r="GI38" s="897"/>
      <c r="GJ38" s="897"/>
      <c r="GK38" s="897"/>
      <c r="GL38" s="897"/>
      <c r="GM38" s="897"/>
      <c r="GN38" s="897"/>
      <c r="GO38" s="897"/>
      <c r="GP38" s="897"/>
      <c r="GQ38" s="897"/>
      <c r="GR38" s="897"/>
      <c r="GS38" s="897"/>
      <c r="GT38" s="897"/>
      <c r="GU38" s="897"/>
      <c r="GV38" s="897"/>
      <c r="GW38" s="897"/>
      <c r="GX38" s="897"/>
      <c r="GY38" s="897"/>
      <c r="GZ38" s="897"/>
      <c r="HA38" s="897"/>
      <c r="HB38" s="897"/>
      <c r="HC38" s="897"/>
      <c r="HD38" s="897"/>
      <c r="HE38" s="897"/>
      <c r="HF38" s="897"/>
      <c r="HG38" s="897"/>
      <c r="HH38" s="897"/>
      <c r="HI38" s="897"/>
      <c r="HJ38" s="897"/>
      <c r="HK38" s="897"/>
      <c r="HL38" s="897"/>
      <c r="HM38" s="897"/>
      <c r="HN38" s="897"/>
      <c r="HO38" s="897"/>
      <c r="HP38" s="897"/>
      <c r="HQ38" s="897"/>
      <c r="HR38" s="897"/>
      <c r="HS38" s="897"/>
      <c r="HT38" s="897"/>
      <c r="HU38" s="897"/>
      <c r="HV38" s="897"/>
      <c r="HW38" s="897"/>
      <c r="HX38" s="897"/>
      <c r="HY38" s="897"/>
      <c r="HZ38" s="897"/>
      <c r="IA38" s="897"/>
      <c r="IB38" s="897"/>
      <c r="IC38" s="897"/>
      <c r="ID38" s="897"/>
      <c r="IE38" s="897"/>
      <c r="IF38" s="897"/>
      <c r="IG38" s="897"/>
      <c r="IH38" s="897"/>
      <c r="II38" s="897"/>
      <c r="IJ38" s="897"/>
      <c r="IK38" s="897"/>
      <c r="IL38" s="897"/>
      <c r="IM38" s="897"/>
      <c r="IN38" s="897"/>
      <c r="IO38" s="897"/>
      <c r="IP38" s="897"/>
      <c r="IQ38" s="897"/>
      <c r="IR38" s="897"/>
      <c r="IS38" s="897"/>
      <c r="IT38" s="897"/>
      <c r="IU38" s="897"/>
      <c r="IV38" s="897"/>
      <c r="IW38" s="897"/>
      <c r="IX38" s="897"/>
      <c r="IY38" s="897"/>
      <c r="IZ38" s="897"/>
      <c r="JA38" s="897"/>
      <c r="JB38" s="897"/>
      <c r="JC38" s="897"/>
      <c r="JD38" s="897"/>
      <c r="JE38" s="897"/>
      <c r="JF38" s="897"/>
      <c r="JG38" s="897"/>
      <c r="JH38" s="897"/>
      <c r="JI38" s="897"/>
      <c r="JJ38" s="897"/>
      <c r="JK38" s="897"/>
      <c r="JL38" s="897"/>
      <c r="JM38" s="897"/>
      <c r="JN38" s="897"/>
      <c r="JO38" s="897"/>
      <c r="JP38" s="897"/>
      <c r="JQ38" s="897"/>
      <c r="JR38" s="897"/>
      <c r="JS38" s="897"/>
      <c r="JT38" s="897"/>
      <c r="JU38" s="897"/>
      <c r="JV38" s="897"/>
      <c r="JW38" s="897"/>
      <c r="JX38" s="897"/>
      <c r="JY38" s="897"/>
      <c r="JZ38" s="897"/>
      <c r="KA38" s="897"/>
      <c r="KB38" s="897"/>
      <c r="KC38" s="897"/>
      <c r="KD38" s="897"/>
      <c r="KE38" s="897"/>
      <c r="KF38" s="897"/>
      <c r="KG38" s="897"/>
      <c r="KH38" s="897"/>
      <c r="KI38" s="897"/>
      <c r="KJ38" s="897"/>
      <c r="KK38" s="897"/>
      <c r="KL38" s="897"/>
      <c r="KM38" s="897"/>
      <c r="KN38" s="897"/>
      <c r="KO38" s="897"/>
      <c r="KP38" s="897"/>
      <c r="KQ38" s="897"/>
      <c r="KR38" s="897"/>
      <c r="KS38" s="897"/>
      <c r="KT38" s="897"/>
      <c r="KU38" s="897"/>
      <c r="KV38" s="897"/>
      <c r="KW38" s="897"/>
      <c r="KX38" s="897"/>
      <c r="KY38" s="897"/>
      <c r="KZ38" s="897"/>
      <c r="LA38" s="897"/>
      <c r="LB38" s="897"/>
      <c r="LC38" s="897"/>
      <c r="LD38" s="897"/>
      <c r="LE38" s="897"/>
      <c r="LF38" s="897"/>
      <c r="LG38" s="897"/>
      <c r="LH38" s="897"/>
      <c r="LI38" s="897"/>
      <c r="LJ38" s="897"/>
      <c r="LK38" s="897"/>
      <c r="LL38" s="897"/>
      <c r="LM38" s="897"/>
      <c r="LN38" s="897"/>
      <c r="LO38" s="897"/>
      <c r="LP38" s="897"/>
      <c r="LQ38" s="897"/>
      <c r="LR38" s="897"/>
      <c r="LS38" s="897"/>
      <c r="LT38" s="897"/>
      <c r="LU38" s="897"/>
      <c r="LV38" s="897"/>
      <c r="LW38" s="897"/>
      <c r="LX38" s="897"/>
      <c r="LY38" s="897"/>
      <c r="LZ38" s="897"/>
      <c r="MA38" s="897"/>
      <c r="MB38" s="897"/>
      <c r="MC38" s="897"/>
      <c r="MD38" s="897"/>
      <c r="ME38" s="897"/>
      <c r="MF38" s="897"/>
      <c r="MG38" s="897"/>
      <c r="MH38" s="897"/>
      <c r="MI38" s="897"/>
      <c r="MJ38" s="897"/>
      <c r="MK38" s="897"/>
      <c r="ML38" s="897"/>
      <c r="MM38" s="897"/>
      <c r="MN38" s="897"/>
      <c r="MO38" s="897"/>
      <c r="MP38" s="897"/>
      <c r="MQ38" s="897"/>
      <c r="MR38" s="897"/>
      <c r="MS38" s="897"/>
      <c r="MT38" s="897"/>
      <c r="MU38" s="897"/>
      <c r="MV38" s="897"/>
      <c r="MW38" s="897"/>
      <c r="MX38" s="897"/>
      <c r="MY38" s="897"/>
      <c r="MZ38" s="897"/>
      <c r="NA38" s="897"/>
      <c r="NB38" s="897"/>
      <c r="NC38" s="897"/>
      <c r="ND38" s="897"/>
      <c r="NE38" s="897"/>
      <c r="NF38" s="897"/>
      <c r="NG38" s="897"/>
      <c r="NH38" s="897"/>
      <c r="NI38" s="897"/>
      <c r="NJ38" s="897"/>
      <c r="NK38" s="897"/>
      <c r="NL38" s="897"/>
      <c r="NM38" s="897"/>
      <c r="NN38" s="897"/>
      <c r="NO38" s="897"/>
      <c r="NP38" s="897"/>
      <c r="NQ38" s="897"/>
      <c r="NR38" s="897"/>
      <c r="NS38" s="897"/>
      <c r="NT38" s="897"/>
      <c r="NU38" s="897"/>
      <c r="NV38" s="897"/>
      <c r="NW38" s="897"/>
      <c r="NX38" s="897"/>
      <c r="NY38" s="897"/>
      <c r="NZ38" s="897"/>
      <c r="OA38" s="897"/>
      <c r="OB38" s="897"/>
      <c r="OC38" s="897"/>
      <c r="OD38" s="897"/>
      <c r="OE38" s="897"/>
      <c r="OF38" s="897"/>
      <c r="OG38" s="897"/>
      <c r="OH38" s="897"/>
      <c r="OI38" s="897"/>
      <c r="OJ38" s="897"/>
      <c r="OK38" s="897"/>
      <c r="OL38" s="897"/>
      <c r="OM38" s="897"/>
      <c r="ON38" s="897"/>
      <c r="OO38" s="897"/>
      <c r="OP38" s="897"/>
      <c r="OQ38" s="897"/>
      <c r="OR38" s="897"/>
      <c r="OS38" s="897"/>
      <c r="OT38" s="897"/>
      <c r="OU38" s="897"/>
      <c r="OV38" s="897"/>
      <c r="OW38" s="897"/>
      <c r="OX38" s="897"/>
      <c r="OY38" s="897"/>
      <c r="OZ38" s="897"/>
      <c r="PA38" s="897"/>
      <c r="PB38" s="897"/>
      <c r="PC38" s="897"/>
      <c r="PD38" s="897"/>
      <c r="PE38" s="897"/>
      <c r="PF38" s="897"/>
      <c r="PG38" s="897"/>
      <c r="PH38" s="897"/>
      <c r="PI38" s="897"/>
      <c r="PJ38" s="897"/>
      <c r="PK38" s="897"/>
      <c r="PL38" s="897"/>
      <c r="PM38" s="897"/>
      <c r="PN38" s="897"/>
      <c r="PO38" s="897"/>
      <c r="PP38" s="897"/>
      <c r="PQ38" s="897"/>
      <c r="PR38" s="897"/>
      <c r="PS38" s="897"/>
      <c r="PT38" s="897"/>
      <c r="PU38" s="897"/>
      <c r="PV38" s="897"/>
      <c r="PW38" s="897"/>
      <c r="PX38" s="897"/>
      <c r="PY38" s="897"/>
      <c r="PZ38" s="897"/>
      <c r="QA38" s="897"/>
      <c r="QB38" s="897"/>
      <c r="QC38" s="897"/>
      <c r="QD38" s="897"/>
      <c r="QE38" s="897"/>
      <c r="QF38" s="897"/>
      <c r="QG38" s="897"/>
    </row>
    <row r="39" spans="1:449" s="800" customFormat="1" ht="15" customHeight="1" x14ac:dyDescent="0.2">
      <c r="A39" s="1081" t="s">
        <v>841</v>
      </c>
      <c r="B39" s="978" t="s">
        <v>842</v>
      </c>
      <c r="C39" s="790"/>
      <c r="D39" s="790"/>
      <c r="E39" s="790"/>
      <c r="F39" s="790"/>
      <c r="G39" s="790"/>
      <c r="H39" s="790"/>
      <c r="I39" s="790"/>
      <c r="J39" s="790"/>
      <c r="K39" s="790"/>
      <c r="L39" s="790"/>
      <c r="M39" s="790"/>
      <c r="N39" s="790"/>
      <c r="O39" s="790"/>
      <c r="P39" s="790"/>
      <c r="Q39" s="790"/>
      <c r="R39" s="790"/>
      <c r="S39" s="790"/>
      <c r="T39" s="790"/>
      <c r="U39" s="790"/>
      <c r="V39" s="790"/>
      <c r="W39" s="790"/>
      <c r="X39" s="790" t="s">
        <v>843</v>
      </c>
      <c r="Y39" s="790" t="s">
        <v>844</v>
      </c>
      <c r="Z39" s="790" t="s">
        <v>844</v>
      </c>
      <c r="AA39" s="790" t="s">
        <v>845</v>
      </c>
      <c r="AB39" s="790" t="s">
        <v>844</v>
      </c>
      <c r="AC39" s="790" t="s">
        <v>846</v>
      </c>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c r="BA39" s="790"/>
      <c r="BB39" s="790"/>
      <c r="BC39" s="790"/>
      <c r="BD39" s="790"/>
      <c r="BE39" s="790"/>
      <c r="BF39" s="790"/>
      <c r="BG39" s="790"/>
      <c r="BH39" s="790"/>
      <c r="BI39" s="798"/>
      <c r="BJ39" s="798"/>
      <c r="BK39" s="798"/>
      <c r="BL39" s="798"/>
      <c r="BM39" s="798"/>
      <c r="BN39" s="798"/>
      <c r="BO39" s="798"/>
      <c r="BP39" s="798"/>
      <c r="BQ39" s="798"/>
      <c r="BR39" s="798"/>
      <c r="BS39" s="798"/>
      <c r="BT39" s="798"/>
      <c r="BU39" s="798"/>
      <c r="BV39" s="798" t="s">
        <v>877</v>
      </c>
      <c r="BW39" s="798"/>
      <c r="BX39" s="798" t="s">
        <v>847</v>
      </c>
      <c r="BY39" s="798" t="s">
        <v>848</v>
      </c>
      <c r="BZ39" s="798" t="s">
        <v>849</v>
      </c>
      <c r="CA39" s="798"/>
      <c r="CG39" s="825"/>
      <c r="CH39" s="825"/>
      <c r="CI39" s="825"/>
      <c r="CJ39" s="825"/>
      <c r="CK39" s="825"/>
      <c r="CL39" s="825"/>
      <c r="CM39" s="825"/>
      <c r="CN39" s="825"/>
      <c r="CO39" s="825"/>
      <c r="CP39" s="825"/>
      <c r="CQ39" s="825"/>
      <c r="CR39" s="825"/>
      <c r="CS39" s="854"/>
      <c r="CT39" s="854"/>
      <c r="CU39" s="854"/>
      <c r="CV39" s="854"/>
      <c r="CW39" s="854"/>
      <c r="CX39" s="854"/>
      <c r="CY39" s="854"/>
      <c r="CZ39" s="872"/>
      <c r="DA39" s="871"/>
      <c r="DB39" s="871"/>
      <c r="DC39" s="888"/>
      <c r="DD39" s="888"/>
      <c r="DE39" s="888"/>
      <c r="DF39" s="888"/>
      <c r="DG39" s="888" t="s">
        <v>1092</v>
      </c>
      <c r="DH39" s="888"/>
      <c r="DI39" s="887"/>
      <c r="DJ39" s="888"/>
      <c r="DK39" s="888"/>
      <c r="DL39" s="888"/>
      <c r="DM39" s="888"/>
      <c r="DN39" s="888"/>
      <c r="DO39" s="888"/>
      <c r="DP39" s="888"/>
      <c r="DQ39" s="954"/>
      <c r="DR39" s="954"/>
      <c r="DS39" s="954"/>
      <c r="DT39" s="954"/>
      <c r="DU39" s="949"/>
      <c r="DV39" s="954"/>
      <c r="DW39" s="954"/>
      <c r="DX39" s="954"/>
      <c r="DY39" s="954"/>
      <c r="DZ39" s="954"/>
      <c r="EA39" s="954"/>
      <c r="EB39" s="954"/>
      <c r="EC39" s="954"/>
      <c r="ED39" s="949"/>
      <c r="EE39" s="954"/>
      <c r="EF39" s="954"/>
      <c r="EG39" s="954"/>
      <c r="EH39" s="954"/>
      <c r="EI39" s="954"/>
      <c r="EJ39" s="954"/>
      <c r="EK39" s="949" t="s">
        <v>1437</v>
      </c>
      <c r="EL39" s="954"/>
      <c r="EM39" s="954"/>
      <c r="EN39" s="954"/>
      <c r="EO39" s="954"/>
      <c r="EP39" s="954"/>
      <c r="EQ39" s="954" t="s">
        <v>1438</v>
      </c>
      <c r="ER39" s="954"/>
      <c r="ES39" s="954"/>
      <c r="ET39" s="954"/>
      <c r="EU39" s="954"/>
      <c r="EV39" s="897"/>
      <c r="EW39" s="897"/>
      <c r="EX39" s="897"/>
      <c r="EY39" s="897"/>
      <c r="EZ39" s="897"/>
      <c r="FA39" s="897"/>
      <c r="FB39" s="897"/>
      <c r="FC39" s="897"/>
      <c r="FD39" s="897"/>
      <c r="FE39" s="897"/>
      <c r="FF39" s="897"/>
      <c r="FG39" s="897"/>
      <c r="FH39" s="897"/>
      <c r="FI39" s="897"/>
      <c r="FJ39" s="897"/>
      <c r="FK39" s="897"/>
      <c r="FL39" s="897"/>
      <c r="FM39" s="897"/>
      <c r="FN39" s="897"/>
      <c r="FO39" s="897"/>
      <c r="FP39" s="897"/>
      <c r="FQ39" s="897"/>
      <c r="FR39" s="897"/>
      <c r="FS39" s="897"/>
      <c r="FT39" s="897"/>
      <c r="FU39" s="897"/>
      <c r="FV39" s="897"/>
      <c r="FW39" s="897"/>
      <c r="FX39" s="897"/>
      <c r="FY39" s="897"/>
      <c r="FZ39" s="897"/>
      <c r="GA39" s="897"/>
      <c r="GB39" s="897"/>
      <c r="GC39" s="897"/>
      <c r="GD39" s="897"/>
      <c r="GE39" s="897"/>
      <c r="GF39" s="897"/>
      <c r="GG39" s="897"/>
      <c r="GH39" s="897"/>
      <c r="GI39" s="897"/>
      <c r="GJ39" s="897"/>
      <c r="GK39" s="897"/>
      <c r="GL39" s="897"/>
      <c r="GM39" s="897"/>
      <c r="GN39" s="897"/>
      <c r="GO39" s="897"/>
      <c r="GP39" s="897"/>
      <c r="GQ39" s="897"/>
      <c r="GR39" s="897"/>
      <c r="GS39" s="897"/>
      <c r="GT39" s="897"/>
      <c r="GU39" s="897"/>
      <c r="GV39" s="897"/>
      <c r="GW39" s="897"/>
      <c r="GX39" s="897"/>
      <c r="GY39" s="897"/>
      <c r="GZ39" s="897"/>
      <c r="HA39" s="897"/>
      <c r="HB39" s="897"/>
      <c r="HC39" s="897"/>
      <c r="HD39" s="897"/>
      <c r="HE39" s="897"/>
      <c r="HF39" s="897"/>
      <c r="HG39" s="897"/>
      <c r="HH39" s="897"/>
      <c r="HI39" s="897"/>
      <c r="HJ39" s="897"/>
      <c r="HK39" s="897"/>
      <c r="HL39" s="897"/>
      <c r="HM39" s="897"/>
      <c r="HN39" s="897"/>
      <c r="HO39" s="897"/>
      <c r="HP39" s="897"/>
      <c r="HQ39" s="897"/>
      <c r="HR39" s="897"/>
      <c r="HS39" s="897"/>
      <c r="HT39" s="897"/>
      <c r="HU39" s="897"/>
      <c r="HV39" s="897"/>
      <c r="HW39" s="897"/>
      <c r="HX39" s="897"/>
      <c r="HY39" s="897"/>
      <c r="HZ39" s="897"/>
      <c r="IA39" s="897"/>
      <c r="IB39" s="897"/>
      <c r="IC39" s="897"/>
      <c r="ID39" s="897"/>
      <c r="IE39" s="897"/>
      <c r="IF39" s="897"/>
      <c r="IG39" s="897"/>
      <c r="IH39" s="897"/>
      <c r="II39" s="897"/>
      <c r="IJ39" s="897"/>
      <c r="IK39" s="897"/>
      <c r="IL39" s="897"/>
      <c r="IM39" s="897"/>
      <c r="IN39" s="897"/>
      <c r="IO39" s="897"/>
      <c r="IP39" s="897"/>
      <c r="IQ39" s="897"/>
      <c r="IR39" s="897"/>
      <c r="IS39" s="897"/>
      <c r="IT39" s="897"/>
      <c r="IU39" s="897"/>
      <c r="IV39" s="897"/>
      <c r="IW39" s="897"/>
      <c r="IX39" s="897"/>
      <c r="IY39" s="897"/>
      <c r="IZ39" s="897"/>
      <c r="JA39" s="897"/>
      <c r="JB39" s="897"/>
      <c r="JC39" s="897"/>
      <c r="JD39" s="897"/>
      <c r="JE39" s="897"/>
      <c r="JF39" s="897"/>
      <c r="JG39" s="897"/>
      <c r="JH39" s="897"/>
      <c r="JI39" s="897"/>
      <c r="JJ39" s="897"/>
      <c r="JK39" s="897"/>
      <c r="JL39" s="897"/>
      <c r="JM39" s="897"/>
      <c r="JN39" s="897"/>
      <c r="JO39" s="897"/>
      <c r="JP39" s="897"/>
      <c r="JQ39" s="897"/>
      <c r="JR39" s="897"/>
      <c r="JS39" s="897"/>
      <c r="JT39" s="897"/>
      <c r="JU39" s="897"/>
      <c r="JV39" s="897"/>
      <c r="JW39" s="897"/>
      <c r="JX39" s="897"/>
      <c r="JY39" s="897"/>
      <c r="JZ39" s="897"/>
      <c r="KA39" s="897"/>
      <c r="KB39" s="897"/>
      <c r="KC39" s="897"/>
      <c r="KD39" s="897"/>
      <c r="KE39" s="897"/>
      <c r="KF39" s="897"/>
      <c r="KG39" s="897"/>
      <c r="KH39" s="897"/>
      <c r="KI39" s="897"/>
      <c r="KJ39" s="897"/>
      <c r="KK39" s="897"/>
      <c r="KL39" s="897"/>
      <c r="KM39" s="897"/>
      <c r="KN39" s="897"/>
      <c r="KO39" s="897"/>
      <c r="KP39" s="897"/>
      <c r="KQ39" s="897"/>
      <c r="KR39" s="897"/>
      <c r="KS39" s="897"/>
      <c r="KT39" s="897"/>
      <c r="KU39" s="897"/>
      <c r="KV39" s="897"/>
      <c r="KW39" s="897"/>
      <c r="KX39" s="897"/>
      <c r="KY39" s="897"/>
      <c r="KZ39" s="897"/>
      <c r="LA39" s="897"/>
      <c r="LB39" s="897"/>
      <c r="LC39" s="897"/>
      <c r="LD39" s="897"/>
      <c r="LE39" s="897"/>
      <c r="LF39" s="897"/>
      <c r="LG39" s="897"/>
      <c r="LH39" s="897"/>
      <c r="LI39" s="897"/>
      <c r="LJ39" s="897"/>
      <c r="LK39" s="897"/>
      <c r="LL39" s="897"/>
      <c r="LM39" s="897"/>
      <c r="LN39" s="897"/>
      <c r="LO39" s="897"/>
      <c r="LP39" s="897"/>
      <c r="LQ39" s="897"/>
      <c r="LR39" s="897"/>
      <c r="LS39" s="897"/>
      <c r="LT39" s="897"/>
      <c r="LU39" s="897"/>
      <c r="LV39" s="897"/>
      <c r="LW39" s="897"/>
      <c r="LX39" s="897"/>
      <c r="LY39" s="897"/>
      <c r="LZ39" s="897"/>
      <c r="MA39" s="897"/>
      <c r="MB39" s="897"/>
      <c r="MC39" s="897"/>
      <c r="MD39" s="897"/>
      <c r="ME39" s="897"/>
      <c r="MF39" s="897"/>
      <c r="MG39" s="897"/>
      <c r="MH39" s="897"/>
      <c r="MI39" s="897"/>
      <c r="MJ39" s="897"/>
      <c r="MK39" s="897"/>
      <c r="ML39" s="897"/>
      <c r="MM39" s="897"/>
      <c r="MN39" s="897"/>
      <c r="MO39" s="897"/>
      <c r="MP39" s="897"/>
      <c r="MQ39" s="897"/>
      <c r="MR39" s="897"/>
      <c r="MS39" s="897"/>
      <c r="MT39" s="897"/>
      <c r="MU39" s="897"/>
      <c r="MV39" s="897"/>
      <c r="MW39" s="897"/>
      <c r="MX39" s="897"/>
      <c r="MY39" s="897"/>
      <c r="MZ39" s="897"/>
      <c r="NA39" s="897"/>
      <c r="NB39" s="897"/>
      <c r="NC39" s="897"/>
      <c r="ND39" s="897"/>
      <c r="NE39" s="897"/>
      <c r="NF39" s="897"/>
      <c r="NG39" s="897"/>
      <c r="NH39" s="897"/>
      <c r="NI39" s="897"/>
      <c r="NJ39" s="897"/>
      <c r="NK39" s="897"/>
      <c r="NL39" s="897"/>
      <c r="NM39" s="897"/>
      <c r="NN39" s="897"/>
      <c r="NO39" s="897"/>
      <c r="NP39" s="897"/>
      <c r="NQ39" s="897"/>
      <c r="NR39" s="897"/>
      <c r="NS39" s="897"/>
      <c r="NT39" s="897"/>
      <c r="NU39" s="897"/>
      <c r="NV39" s="897"/>
      <c r="NW39" s="897"/>
      <c r="NX39" s="897"/>
      <c r="NY39" s="897"/>
      <c r="NZ39" s="897"/>
      <c r="OA39" s="897"/>
      <c r="OB39" s="897"/>
      <c r="OC39" s="897"/>
      <c r="OD39" s="897"/>
      <c r="OE39" s="897"/>
      <c r="OF39" s="897"/>
      <c r="OG39" s="897"/>
      <c r="OH39" s="897"/>
      <c r="OI39" s="897"/>
      <c r="OJ39" s="897"/>
      <c r="OK39" s="897"/>
      <c r="OL39" s="897"/>
      <c r="OM39" s="897"/>
      <c r="ON39" s="897"/>
      <c r="OO39" s="897"/>
      <c r="OP39" s="897"/>
      <c r="OQ39" s="897"/>
      <c r="OR39" s="897"/>
      <c r="OS39" s="897"/>
      <c r="OT39" s="897"/>
      <c r="OU39" s="897"/>
      <c r="OV39" s="897"/>
      <c r="OW39" s="897"/>
      <c r="OX39" s="897"/>
      <c r="OY39" s="897"/>
      <c r="OZ39" s="897"/>
      <c r="PA39" s="897"/>
      <c r="PB39" s="897"/>
      <c r="PC39" s="897"/>
      <c r="PD39" s="897"/>
      <c r="PE39" s="897"/>
      <c r="PF39" s="897"/>
      <c r="PG39" s="897"/>
      <c r="PH39" s="897"/>
      <c r="PI39" s="897"/>
      <c r="PJ39" s="897"/>
      <c r="PK39" s="897"/>
      <c r="PL39" s="897"/>
      <c r="PM39" s="897"/>
      <c r="PN39" s="897"/>
      <c r="PO39" s="897"/>
      <c r="PP39" s="897"/>
      <c r="PQ39" s="897"/>
      <c r="PR39" s="897"/>
      <c r="PS39" s="897"/>
      <c r="PT39" s="897"/>
      <c r="PU39" s="897"/>
      <c r="PV39" s="897"/>
      <c r="PW39" s="897"/>
      <c r="PX39" s="897"/>
      <c r="PY39" s="897"/>
      <c r="PZ39" s="897"/>
      <c r="QA39" s="897"/>
      <c r="QB39" s="897"/>
      <c r="QC39" s="897"/>
      <c r="QD39" s="897"/>
      <c r="QE39" s="897"/>
      <c r="QF39" s="897"/>
      <c r="QG39" s="897"/>
    </row>
    <row r="40" spans="1:449" s="800" customFormat="1" ht="30" customHeight="1" x14ac:dyDescent="0.2">
      <c r="A40" s="1082"/>
      <c r="B40" s="978" t="s">
        <v>850</v>
      </c>
      <c r="C40" s="790" t="s">
        <v>851</v>
      </c>
      <c r="D40" s="790" t="s">
        <v>852</v>
      </c>
      <c r="E40" s="790"/>
      <c r="F40" s="790"/>
      <c r="G40" s="790"/>
      <c r="H40" s="790"/>
      <c r="I40" s="790"/>
      <c r="J40" s="790"/>
      <c r="K40" s="790"/>
      <c r="L40" s="790"/>
      <c r="M40" s="790"/>
      <c r="N40" s="790"/>
      <c r="O40" s="790"/>
      <c r="P40" s="790"/>
      <c r="Q40" s="790"/>
      <c r="R40" s="790"/>
      <c r="S40" s="790"/>
      <c r="T40" s="790"/>
      <c r="U40" s="790" t="s">
        <v>853</v>
      </c>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0" t="s">
        <v>854</v>
      </c>
      <c r="AX40" s="790" t="s">
        <v>855</v>
      </c>
      <c r="AY40" s="790"/>
      <c r="AZ40" s="790"/>
      <c r="BA40" s="790" t="s">
        <v>547</v>
      </c>
      <c r="BB40" s="790"/>
      <c r="BC40" s="790"/>
      <c r="BD40" s="790"/>
      <c r="BE40" s="790" t="s">
        <v>622</v>
      </c>
      <c r="BF40" s="790"/>
      <c r="BG40" s="790"/>
      <c r="BH40" s="790"/>
      <c r="BI40" s="798"/>
      <c r="BJ40" s="798"/>
      <c r="BK40" s="798"/>
      <c r="BL40" s="798"/>
      <c r="BM40" s="798"/>
      <c r="BN40" s="798"/>
      <c r="BO40" s="798"/>
      <c r="BP40" s="798"/>
      <c r="BQ40" s="798"/>
      <c r="BR40" s="798"/>
      <c r="BS40" s="798"/>
      <c r="BT40" s="798" t="s">
        <v>856</v>
      </c>
      <c r="BU40" s="798"/>
      <c r="BV40" s="798" t="s">
        <v>682</v>
      </c>
      <c r="BW40" s="798"/>
      <c r="BX40" s="798"/>
      <c r="BY40" s="798"/>
      <c r="BZ40" s="798"/>
      <c r="CA40" s="798"/>
      <c r="CB40" s="808" t="s">
        <v>948</v>
      </c>
      <c r="CC40" s="798"/>
      <c r="CD40" s="798"/>
      <c r="CE40" s="798"/>
      <c r="CF40" s="809" t="s">
        <v>956</v>
      </c>
      <c r="CG40" s="818"/>
      <c r="CH40" s="818"/>
      <c r="CI40" s="818"/>
      <c r="CJ40" s="818"/>
      <c r="CK40" s="818"/>
      <c r="CL40" s="818"/>
      <c r="CM40" s="818"/>
      <c r="CN40" s="818"/>
      <c r="CO40" s="818"/>
      <c r="CP40" s="818"/>
      <c r="CQ40" s="818"/>
      <c r="CR40" s="818"/>
      <c r="CS40" s="809" t="s">
        <v>1012</v>
      </c>
      <c r="CT40" s="854"/>
      <c r="CU40" s="854"/>
      <c r="CV40" s="854"/>
      <c r="CW40" s="854"/>
      <c r="CX40" s="854"/>
      <c r="CY40" s="854"/>
      <c r="CZ40" s="872"/>
      <c r="DA40" s="871"/>
      <c r="DB40" s="871"/>
      <c r="DC40" s="888"/>
      <c r="DD40" s="888"/>
      <c r="DE40" s="888"/>
      <c r="DF40" s="888"/>
      <c r="DG40" s="888"/>
      <c r="DH40" s="888"/>
      <c r="DI40" s="887"/>
      <c r="DJ40" s="888" t="s">
        <v>1109</v>
      </c>
      <c r="DK40" s="888"/>
      <c r="DL40" s="888"/>
      <c r="DM40" s="888"/>
      <c r="DN40" s="888"/>
      <c r="DO40" s="888"/>
      <c r="DP40" s="888"/>
      <c r="DQ40" s="954"/>
      <c r="DR40" s="954"/>
      <c r="DS40" s="954"/>
      <c r="DT40" s="954"/>
      <c r="DU40" s="949"/>
      <c r="DV40" s="954"/>
      <c r="DW40" s="954"/>
      <c r="DX40" s="954"/>
      <c r="DY40" s="954"/>
      <c r="DZ40" s="954"/>
      <c r="EA40" s="954"/>
      <c r="EB40" s="954"/>
      <c r="EC40" s="954"/>
      <c r="ED40" s="949"/>
      <c r="EE40" s="954"/>
      <c r="EF40" s="954"/>
      <c r="EG40" s="954"/>
      <c r="EH40" s="954"/>
      <c r="EI40" s="954"/>
      <c r="EJ40" s="954"/>
      <c r="EK40" s="949"/>
      <c r="EL40" s="954"/>
      <c r="EM40" s="954"/>
      <c r="EN40" s="954" t="s">
        <v>1457</v>
      </c>
      <c r="EO40" s="954"/>
      <c r="EP40" s="954"/>
      <c r="EQ40" s="954" t="s">
        <v>1458</v>
      </c>
      <c r="ER40" s="954"/>
      <c r="ES40" s="954"/>
      <c r="ET40" s="954"/>
      <c r="EU40" s="954"/>
      <c r="EV40" s="897"/>
      <c r="EW40" s="897"/>
      <c r="EX40" s="897"/>
      <c r="EY40" s="897"/>
      <c r="EZ40" s="897"/>
      <c r="FA40" s="897"/>
      <c r="FB40" s="897"/>
      <c r="FC40" s="897"/>
      <c r="FD40" s="897"/>
      <c r="FE40" s="897"/>
      <c r="FF40" s="897"/>
      <c r="FG40" s="897"/>
      <c r="FH40" s="897"/>
      <c r="FI40" s="897"/>
      <c r="FJ40" s="897"/>
      <c r="FK40" s="897"/>
      <c r="FL40" s="897"/>
      <c r="FM40" s="897"/>
      <c r="FN40" s="897"/>
      <c r="FO40" s="897"/>
      <c r="FP40" s="897"/>
      <c r="FQ40" s="897"/>
      <c r="FR40" s="897"/>
      <c r="FS40" s="897"/>
      <c r="FT40" s="897"/>
      <c r="FU40" s="897"/>
      <c r="FV40" s="897"/>
      <c r="FW40" s="897"/>
      <c r="FX40" s="897"/>
      <c r="FY40" s="897"/>
      <c r="FZ40" s="897"/>
      <c r="GA40" s="897"/>
      <c r="GB40" s="897"/>
      <c r="GC40" s="897"/>
      <c r="GD40" s="897"/>
      <c r="GE40" s="897"/>
      <c r="GF40" s="897"/>
      <c r="GG40" s="897"/>
      <c r="GH40" s="897"/>
      <c r="GI40" s="897"/>
      <c r="GJ40" s="897"/>
      <c r="GK40" s="897"/>
      <c r="GL40" s="897"/>
      <c r="GM40" s="897"/>
      <c r="GN40" s="897"/>
      <c r="GO40" s="897"/>
      <c r="GP40" s="897"/>
      <c r="GQ40" s="897"/>
      <c r="GR40" s="897"/>
      <c r="GS40" s="897"/>
      <c r="GT40" s="897"/>
      <c r="GU40" s="897"/>
      <c r="GV40" s="897"/>
      <c r="GW40" s="897"/>
      <c r="GX40" s="897"/>
      <c r="GY40" s="897"/>
      <c r="GZ40" s="897"/>
      <c r="HA40" s="897"/>
      <c r="HB40" s="897"/>
      <c r="HC40" s="897"/>
      <c r="HD40" s="897"/>
      <c r="HE40" s="897"/>
      <c r="HF40" s="897"/>
      <c r="HG40" s="897"/>
      <c r="HH40" s="897"/>
      <c r="HI40" s="897"/>
      <c r="HJ40" s="897"/>
      <c r="HK40" s="897"/>
      <c r="HL40" s="897"/>
      <c r="HM40" s="897"/>
      <c r="HN40" s="897"/>
      <c r="HO40" s="897"/>
      <c r="HP40" s="897"/>
      <c r="HQ40" s="897"/>
      <c r="HR40" s="897"/>
      <c r="HS40" s="897"/>
      <c r="HT40" s="897"/>
      <c r="HU40" s="897"/>
      <c r="HV40" s="897"/>
      <c r="HW40" s="897"/>
      <c r="HX40" s="897"/>
      <c r="HY40" s="897"/>
      <c r="HZ40" s="897"/>
      <c r="IA40" s="897"/>
      <c r="IB40" s="897"/>
      <c r="IC40" s="897"/>
      <c r="ID40" s="897"/>
      <c r="IE40" s="897"/>
      <c r="IF40" s="897"/>
      <c r="IG40" s="897"/>
      <c r="IH40" s="897"/>
      <c r="II40" s="897"/>
      <c r="IJ40" s="897"/>
      <c r="IK40" s="897"/>
      <c r="IL40" s="897"/>
      <c r="IM40" s="897"/>
      <c r="IN40" s="897"/>
      <c r="IO40" s="897"/>
      <c r="IP40" s="897"/>
      <c r="IQ40" s="897"/>
      <c r="IR40" s="897"/>
      <c r="IS40" s="897"/>
      <c r="IT40" s="897"/>
      <c r="IU40" s="897"/>
      <c r="IV40" s="897"/>
      <c r="IW40" s="897"/>
      <c r="IX40" s="897"/>
      <c r="IY40" s="897"/>
      <c r="IZ40" s="897"/>
      <c r="JA40" s="897"/>
      <c r="JB40" s="897"/>
      <c r="JC40" s="897"/>
      <c r="JD40" s="897"/>
      <c r="JE40" s="897"/>
      <c r="JF40" s="897"/>
      <c r="JG40" s="897"/>
      <c r="JH40" s="897"/>
      <c r="JI40" s="897"/>
      <c r="JJ40" s="897"/>
      <c r="JK40" s="897"/>
      <c r="JL40" s="897"/>
      <c r="JM40" s="897"/>
      <c r="JN40" s="897"/>
      <c r="JO40" s="897"/>
      <c r="JP40" s="897"/>
      <c r="JQ40" s="897"/>
      <c r="JR40" s="897"/>
      <c r="JS40" s="897"/>
      <c r="JT40" s="897"/>
      <c r="JU40" s="897"/>
      <c r="JV40" s="897"/>
      <c r="JW40" s="897"/>
      <c r="JX40" s="897"/>
      <c r="JY40" s="897"/>
      <c r="JZ40" s="897"/>
      <c r="KA40" s="897"/>
      <c r="KB40" s="897"/>
      <c r="KC40" s="897"/>
      <c r="KD40" s="897"/>
      <c r="KE40" s="897"/>
      <c r="KF40" s="897"/>
      <c r="KG40" s="897"/>
      <c r="KH40" s="897"/>
      <c r="KI40" s="897"/>
      <c r="KJ40" s="897"/>
      <c r="KK40" s="897"/>
      <c r="KL40" s="897"/>
      <c r="KM40" s="897"/>
      <c r="KN40" s="897"/>
      <c r="KO40" s="897"/>
      <c r="KP40" s="897"/>
      <c r="KQ40" s="897"/>
      <c r="KR40" s="897"/>
      <c r="KS40" s="897"/>
      <c r="KT40" s="897"/>
      <c r="KU40" s="897"/>
      <c r="KV40" s="897"/>
      <c r="KW40" s="897"/>
      <c r="KX40" s="897"/>
      <c r="KY40" s="897"/>
      <c r="KZ40" s="897"/>
      <c r="LA40" s="897"/>
      <c r="LB40" s="897"/>
      <c r="LC40" s="897"/>
      <c r="LD40" s="897"/>
      <c r="LE40" s="897"/>
      <c r="LF40" s="897"/>
      <c r="LG40" s="897"/>
      <c r="LH40" s="897"/>
      <c r="LI40" s="897"/>
      <c r="LJ40" s="897"/>
      <c r="LK40" s="897"/>
      <c r="LL40" s="897"/>
      <c r="LM40" s="897"/>
      <c r="LN40" s="897"/>
      <c r="LO40" s="897"/>
      <c r="LP40" s="897"/>
      <c r="LQ40" s="897"/>
      <c r="LR40" s="897"/>
      <c r="LS40" s="897"/>
      <c r="LT40" s="897"/>
      <c r="LU40" s="897"/>
      <c r="LV40" s="897"/>
      <c r="LW40" s="897"/>
      <c r="LX40" s="897"/>
      <c r="LY40" s="897"/>
      <c r="LZ40" s="897"/>
      <c r="MA40" s="897"/>
      <c r="MB40" s="897"/>
      <c r="MC40" s="897"/>
      <c r="MD40" s="897"/>
      <c r="ME40" s="897"/>
      <c r="MF40" s="897"/>
      <c r="MG40" s="897"/>
      <c r="MH40" s="897"/>
      <c r="MI40" s="897"/>
      <c r="MJ40" s="897"/>
      <c r="MK40" s="897"/>
      <c r="ML40" s="897"/>
      <c r="MM40" s="897"/>
      <c r="MN40" s="897"/>
      <c r="MO40" s="897"/>
      <c r="MP40" s="897"/>
      <c r="MQ40" s="897"/>
      <c r="MR40" s="897"/>
      <c r="MS40" s="897"/>
      <c r="MT40" s="897"/>
      <c r="MU40" s="897"/>
      <c r="MV40" s="897"/>
      <c r="MW40" s="897"/>
      <c r="MX40" s="897"/>
      <c r="MY40" s="897"/>
      <c r="MZ40" s="897"/>
      <c r="NA40" s="897"/>
      <c r="NB40" s="897"/>
      <c r="NC40" s="897"/>
      <c r="ND40" s="897"/>
      <c r="NE40" s="897"/>
      <c r="NF40" s="897"/>
      <c r="NG40" s="897"/>
      <c r="NH40" s="897"/>
      <c r="NI40" s="897"/>
      <c r="NJ40" s="897"/>
      <c r="NK40" s="897"/>
      <c r="NL40" s="897"/>
      <c r="NM40" s="897"/>
      <c r="NN40" s="897"/>
      <c r="NO40" s="897"/>
      <c r="NP40" s="897"/>
      <c r="NQ40" s="897"/>
      <c r="NR40" s="897"/>
      <c r="NS40" s="897"/>
      <c r="NT40" s="897"/>
      <c r="NU40" s="897"/>
      <c r="NV40" s="897"/>
      <c r="NW40" s="897"/>
      <c r="NX40" s="897"/>
      <c r="NY40" s="897"/>
      <c r="NZ40" s="897"/>
      <c r="OA40" s="897"/>
      <c r="OB40" s="897"/>
      <c r="OC40" s="897"/>
      <c r="OD40" s="897"/>
      <c r="OE40" s="897"/>
      <c r="OF40" s="897"/>
      <c r="OG40" s="897"/>
      <c r="OH40" s="897"/>
      <c r="OI40" s="897"/>
      <c r="OJ40" s="897"/>
      <c r="OK40" s="897"/>
      <c r="OL40" s="897"/>
      <c r="OM40" s="897"/>
      <c r="ON40" s="897"/>
      <c r="OO40" s="897"/>
      <c r="OP40" s="897"/>
      <c r="OQ40" s="897"/>
      <c r="OR40" s="897"/>
      <c r="OS40" s="897"/>
      <c r="OT40" s="897"/>
      <c r="OU40" s="897"/>
      <c r="OV40" s="897"/>
      <c r="OW40" s="897"/>
      <c r="OX40" s="897"/>
      <c r="OY40" s="897"/>
      <c r="OZ40" s="897"/>
      <c r="PA40" s="897"/>
      <c r="PB40" s="897"/>
      <c r="PC40" s="897"/>
      <c r="PD40" s="897"/>
      <c r="PE40" s="897"/>
      <c r="PF40" s="897"/>
      <c r="PG40" s="897"/>
      <c r="PH40" s="897"/>
      <c r="PI40" s="897"/>
      <c r="PJ40" s="897"/>
      <c r="PK40" s="897"/>
      <c r="PL40" s="897"/>
      <c r="PM40" s="897"/>
      <c r="PN40" s="897"/>
      <c r="PO40" s="897"/>
      <c r="PP40" s="897"/>
      <c r="PQ40" s="897"/>
      <c r="PR40" s="897"/>
      <c r="PS40" s="897"/>
      <c r="PT40" s="897"/>
      <c r="PU40" s="897"/>
      <c r="PV40" s="897"/>
      <c r="PW40" s="897"/>
      <c r="PX40" s="897"/>
      <c r="PY40" s="897"/>
      <c r="PZ40" s="897"/>
      <c r="QA40" s="897"/>
      <c r="QB40" s="897"/>
      <c r="QC40" s="897"/>
      <c r="QD40" s="897"/>
      <c r="QE40" s="897"/>
      <c r="QF40" s="897"/>
      <c r="QG40" s="897"/>
    </row>
    <row r="41" spans="1:449" s="800" customFormat="1" ht="39" customHeight="1" x14ac:dyDescent="0.2">
      <c r="A41" s="1082"/>
      <c r="B41" s="962" t="s">
        <v>1459</v>
      </c>
      <c r="C41" s="790" t="s">
        <v>857</v>
      </c>
      <c r="D41" s="790" t="s">
        <v>858</v>
      </c>
      <c r="E41" s="790"/>
      <c r="F41" s="790" t="s">
        <v>858</v>
      </c>
      <c r="G41" s="790" t="s">
        <v>859</v>
      </c>
      <c r="H41" s="790"/>
      <c r="I41" s="790"/>
      <c r="J41" s="790"/>
      <c r="K41" s="790"/>
      <c r="L41" s="790" t="s">
        <v>860</v>
      </c>
      <c r="M41" s="790"/>
      <c r="N41" s="790"/>
      <c r="O41" s="790"/>
      <c r="P41" s="790"/>
      <c r="Q41" s="790"/>
      <c r="R41" s="790"/>
      <c r="S41" s="790"/>
      <c r="T41" s="790"/>
      <c r="U41" s="790"/>
      <c r="V41" s="790"/>
      <c r="W41" s="790"/>
      <c r="X41" s="790"/>
      <c r="Y41" s="790" t="s">
        <v>861</v>
      </c>
      <c r="Z41" s="790"/>
      <c r="AA41" s="790"/>
      <c r="AB41" s="790"/>
      <c r="AC41" s="790"/>
      <c r="AD41" s="790"/>
      <c r="AE41" s="790"/>
      <c r="AF41" s="790"/>
      <c r="AG41" s="790"/>
      <c r="AH41" s="801" t="s">
        <v>861</v>
      </c>
      <c r="AI41" s="790" t="s">
        <v>862</v>
      </c>
      <c r="AJ41" s="790"/>
      <c r="AK41" s="790"/>
      <c r="AL41" s="790"/>
      <c r="AM41" s="801" t="s">
        <v>863</v>
      </c>
      <c r="AN41" s="790"/>
      <c r="AO41" s="790"/>
      <c r="AP41" s="801" t="s">
        <v>864</v>
      </c>
      <c r="AQ41" s="790"/>
      <c r="AR41" s="790" t="s">
        <v>865</v>
      </c>
      <c r="AS41" s="790"/>
      <c r="AT41" s="788"/>
      <c r="AU41" s="790"/>
      <c r="AV41" s="790"/>
      <c r="AW41" s="801" t="s">
        <v>866</v>
      </c>
      <c r="AX41" s="801" t="s">
        <v>867</v>
      </c>
      <c r="AY41" s="790"/>
      <c r="AZ41" s="790"/>
      <c r="BA41" s="790" t="s">
        <v>868</v>
      </c>
      <c r="BB41" s="790"/>
      <c r="BC41" s="790" t="s">
        <v>869</v>
      </c>
      <c r="BD41" s="790" t="s">
        <v>870</v>
      </c>
      <c r="BE41" s="790" t="s">
        <v>871</v>
      </c>
      <c r="BF41" s="790"/>
      <c r="BG41" s="790" t="s">
        <v>872</v>
      </c>
      <c r="BH41" s="790" t="s">
        <v>873</v>
      </c>
      <c r="BI41" s="798"/>
      <c r="BJ41" s="798" t="s">
        <v>874</v>
      </c>
      <c r="BK41" s="798"/>
      <c r="BL41" s="798"/>
      <c r="BM41" s="798" t="s">
        <v>875</v>
      </c>
      <c r="BN41" s="798"/>
      <c r="BO41" s="798" t="s">
        <v>876</v>
      </c>
      <c r="BP41" s="798"/>
      <c r="BQ41" s="798"/>
      <c r="BR41" s="798"/>
      <c r="BS41" s="798"/>
      <c r="BT41" s="798"/>
      <c r="BU41" s="798"/>
      <c r="BW41" s="798"/>
      <c r="BX41" s="798"/>
      <c r="BY41" s="798"/>
      <c r="BZ41" s="802" t="s">
        <v>873</v>
      </c>
      <c r="CA41" s="798"/>
      <c r="CB41" s="798"/>
      <c r="CC41" s="798"/>
      <c r="CD41" s="798"/>
      <c r="CE41" s="798"/>
      <c r="CF41" s="818"/>
      <c r="CG41" s="818"/>
      <c r="CH41" s="818"/>
      <c r="CI41" s="818"/>
      <c r="CJ41" s="818"/>
      <c r="CK41" s="818"/>
      <c r="CL41" s="818"/>
      <c r="CM41" s="818"/>
      <c r="CN41" s="818"/>
      <c r="CO41" s="818"/>
      <c r="CP41" s="818"/>
      <c r="CQ41" s="818"/>
      <c r="CR41" s="818"/>
      <c r="CS41" s="854"/>
      <c r="CT41" s="854"/>
      <c r="CU41" s="854"/>
      <c r="CV41" s="854"/>
      <c r="CW41" s="854"/>
      <c r="CX41" s="854"/>
      <c r="CY41" s="854"/>
      <c r="CZ41" s="872"/>
      <c r="DA41" s="871"/>
      <c r="DB41" s="871"/>
      <c r="DC41" s="888"/>
      <c r="DD41" s="960"/>
      <c r="DE41" s="888" t="s">
        <v>1071</v>
      </c>
      <c r="DF41" s="888"/>
      <c r="DG41" s="888"/>
      <c r="DH41" s="888"/>
      <c r="DI41" s="887"/>
      <c r="DJ41" s="888"/>
      <c r="DK41" s="888"/>
      <c r="DL41" s="888"/>
      <c r="DM41" s="888" t="s">
        <v>1146</v>
      </c>
      <c r="DN41" s="1011" t="s">
        <v>1161</v>
      </c>
      <c r="DO41" s="1012"/>
      <c r="DP41" s="1013"/>
      <c r="DQ41" s="954" t="s">
        <v>1171</v>
      </c>
      <c r="DR41" s="954" t="s">
        <v>1171</v>
      </c>
      <c r="DS41" s="954" t="s">
        <v>1171</v>
      </c>
      <c r="DT41" s="954" t="s">
        <v>1206</v>
      </c>
      <c r="DU41" s="954" t="s">
        <v>1206</v>
      </c>
      <c r="DV41" s="954" t="s">
        <v>1218</v>
      </c>
      <c r="DW41" s="954" t="s">
        <v>1227</v>
      </c>
      <c r="DX41" s="954"/>
      <c r="DY41" s="954" t="s">
        <v>1246</v>
      </c>
      <c r="DZ41" s="954" t="s">
        <v>1298</v>
      </c>
      <c r="EA41" s="954" t="s">
        <v>1298</v>
      </c>
      <c r="EB41" s="954" t="s">
        <v>1299</v>
      </c>
      <c r="EC41" s="954" t="s">
        <v>1313</v>
      </c>
      <c r="ED41" s="949" t="s">
        <v>1317</v>
      </c>
      <c r="EE41" s="954" t="s">
        <v>1337</v>
      </c>
      <c r="EF41" s="954" t="s">
        <v>1355</v>
      </c>
      <c r="EG41" s="954" t="s">
        <v>1372</v>
      </c>
      <c r="EH41" s="954" t="s">
        <v>1384</v>
      </c>
      <c r="EI41" s="954" t="s">
        <v>1398</v>
      </c>
      <c r="EJ41" s="954" t="s">
        <v>1412</v>
      </c>
      <c r="EK41" s="949" t="s">
        <v>1417</v>
      </c>
      <c r="EL41" s="954"/>
      <c r="EM41" s="954"/>
      <c r="EN41" s="954"/>
      <c r="EO41" s="954"/>
      <c r="EP41" s="954"/>
      <c r="EQ41" s="954"/>
      <c r="ER41" s="954"/>
      <c r="ES41" s="954"/>
      <c r="ET41" s="954"/>
      <c r="EU41" s="954"/>
      <c r="EV41" s="897"/>
      <c r="EW41" s="897"/>
      <c r="EX41" s="897"/>
      <c r="EY41" s="897"/>
      <c r="EZ41" s="897"/>
      <c r="FA41" s="897"/>
      <c r="FB41" s="897"/>
      <c r="FC41" s="897"/>
      <c r="FD41" s="897"/>
      <c r="FE41" s="897"/>
      <c r="FF41" s="897"/>
      <c r="FG41" s="897"/>
      <c r="FH41" s="897"/>
      <c r="FI41" s="897"/>
      <c r="FJ41" s="897"/>
      <c r="FK41" s="897"/>
      <c r="FL41" s="897"/>
      <c r="FM41" s="897"/>
      <c r="FN41" s="897"/>
      <c r="FO41" s="897"/>
      <c r="FP41" s="897"/>
      <c r="FQ41" s="897"/>
      <c r="FR41" s="897"/>
      <c r="FS41" s="897"/>
      <c r="FT41" s="897"/>
      <c r="FU41" s="897"/>
      <c r="FV41" s="897"/>
      <c r="FW41" s="897"/>
      <c r="FX41" s="897"/>
      <c r="FY41" s="897"/>
      <c r="FZ41" s="897"/>
      <c r="GA41" s="897"/>
      <c r="GB41" s="897"/>
      <c r="GC41" s="897"/>
      <c r="GD41" s="897"/>
      <c r="GE41" s="897"/>
      <c r="GF41" s="897"/>
      <c r="GG41" s="897"/>
      <c r="GH41" s="897"/>
      <c r="GI41" s="897"/>
      <c r="GJ41" s="897"/>
      <c r="GK41" s="897"/>
      <c r="GL41" s="897"/>
      <c r="GM41" s="897"/>
      <c r="GN41" s="897"/>
      <c r="GO41" s="897"/>
      <c r="GP41" s="897"/>
      <c r="GQ41" s="897"/>
      <c r="GR41" s="897"/>
      <c r="GS41" s="897"/>
      <c r="GT41" s="897"/>
      <c r="GU41" s="897"/>
      <c r="GV41" s="897"/>
      <c r="GW41" s="897"/>
      <c r="GX41" s="897"/>
      <c r="GY41" s="897"/>
      <c r="GZ41" s="897"/>
      <c r="HA41" s="897"/>
      <c r="HB41" s="897"/>
      <c r="HC41" s="897"/>
      <c r="HD41" s="897"/>
      <c r="HE41" s="897"/>
      <c r="HF41" s="897"/>
      <c r="HG41" s="897"/>
      <c r="HH41" s="897"/>
      <c r="HI41" s="897"/>
      <c r="HJ41" s="897"/>
      <c r="HK41" s="897"/>
      <c r="HL41" s="897"/>
      <c r="HM41" s="897"/>
      <c r="HN41" s="897"/>
      <c r="HO41" s="897"/>
      <c r="HP41" s="897"/>
      <c r="HQ41" s="897"/>
      <c r="HR41" s="897"/>
      <c r="HS41" s="897"/>
      <c r="HT41" s="897"/>
      <c r="HU41" s="897"/>
      <c r="HV41" s="897"/>
      <c r="HW41" s="897"/>
      <c r="HX41" s="897"/>
      <c r="HY41" s="897"/>
      <c r="HZ41" s="897"/>
      <c r="IA41" s="897"/>
      <c r="IB41" s="897"/>
      <c r="IC41" s="897"/>
      <c r="ID41" s="897"/>
      <c r="IE41" s="897"/>
      <c r="IF41" s="897"/>
      <c r="IG41" s="897"/>
      <c r="IH41" s="897"/>
      <c r="II41" s="897"/>
      <c r="IJ41" s="897"/>
      <c r="IK41" s="897"/>
      <c r="IL41" s="897"/>
      <c r="IM41" s="897"/>
      <c r="IN41" s="897"/>
      <c r="IO41" s="897"/>
      <c r="IP41" s="897"/>
      <c r="IQ41" s="897"/>
      <c r="IR41" s="897"/>
      <c r="IS41" s="897"/>
      <c r="IT41" s="897"/>
      <c r="IU41" s="897"/>
      <c r="IV41" s="897"/>
      <c r="IW41" s="897"/>
      <c r="IX41" s="897"/>
      <c r="IY41" s="897"/>
      <c r="IZ41" s="897"/>
      <c r="JA41" s="897"/>
      <c r="JB41" s="897"/>
      <c r="JC41" s="897"/>
      <c r="JD41" s="897"/>
      <c r="JE41" s="897"/>
      <c r="JF41" s="897"/>
      <c r="JG41" s="897"/>
      <c r="JH41" s="897"/>
      <c r="JI41" s="897"/>
      <c r="JJ41" s="897"/>
      <c r="JK41" s="897"/>
      <c r="JL41" s="897"/>
      <c r="JM41" s="897"/>
      <c r="JN41" s="897"/>
      <c r="JO41" s="897"/>
      <c r="JP41" s="897"/>
      <c r="JQ41" s="897"/>
      <c r="JR41" s="897"/>
      <c r="JS41" s="897"/>
      <c r="JT41" s="897"/>
      <c r="JU41" s="897"/>
      <c r="JV41" s="897"/>
      <c r="JW41" s="897"/>
      <c r="JX41" s="897"/>
      <c r="JY41" s="897"/>
      <c r="JZ41" s="897"/>
      <c r="KA41" s="897"/>
      <c r="KB41" s="897"/>
      <c r="KC41" s="897"/>
      <c r="KD41" s="897"/>
      <c r="KE41" s="897"/>
      <c r="KF41" s="897"/>
      <c r="KG41" s="897"/>
      <c r="KH41" s="897"/>
      <c r="KI41" s="897"/>
      <c r="KJ41" s="897"/>
      <c r="KK41" s="897"/>
      <c r="KL41" s="897"/>
      <c r="KM41" s="897"/>
      <c r="KN41" s="897"/>
      <c r="KO41" s="897"/>
      <c r="KP41" s="897"/>
      <c r="KQ41" s="897"/>
      <c r="KR41" s="897"/>
      <c r="KS41" s="897"/>
      <c r="KT41" s="897"/>
      <c r="KU41" s="897"/>
      <c r="KV41" s="897"/>
      <c r="KW41" s="897"/>
      <c r="KX41" s="897"/>
      <c r="KY41" s="897"/>
      <c r="KZ41" s="897"/>
      <c r="LA41" s="897"/>
      <c r="LB41" s="897"/>
      <c r="LC41" s="897"/>
      <c r="LD41" s="897"/>
      <c r="LE41" s="897"/>
      <c r="LF41" s="897"/>
      <c r="LG41" s="897"/>
      <c r="LH41" s="897"/>
      <c r="LI41" s="897"/>
      <c r="LJ41" s="897"/>
      <c r="LK41" s="897"/>
      <c r="LL41" s="897"/>
      <c r="LM41" s="897"/>
      <c r="LN41" s="897"/>
      <c r="LO41" s="897"/>
      <c r="LP41" s="897"/>
      <c r="LQ41" s="897"/>
      <c r="LR41" s="897"/>
      <c r="LS41" s="897"/>
      <c r="LT41" s="897"/>
      <c r="LU41" s="897"/>
      <c r="LV41" s="897"/>
      <c r="LW41" s="897"/>
      <c r="LX41" s="897"/>
      <c r="LY41" s="897"/>
      <c r="LZ41" s="897"/>
      <c r="MA41" s="897"/>
      <c r="MB41" s="897"/>
      <c r="MC41" s="897"/>
      <c r="MD41" s="897"/>
      <c r="ME41" s="897"/>
      <c r="MF41" s="897"/>
      <c r="MG41" s="897"/>
      <c r="MH41" s="897"/>
      <c r="MI41" s="897"/>
      <c r="MJ41" s="897"/>
      <c r="MK41" s="897"/>
      <c r="ML41" s="897"/>
      <c r="MM41" s="897"/>
      <c r="MN41" s="897"/>
      <c r="MO41" s="897"/>
      <c r="MP41" s="897"/>
      <c r="MQ41" s="897"/>
      <c r="MR41" s="897"/>
      <c r="MS41" s="897"/>
      <c r="MT41" s="897"/>
      <c r="MU41" s="897"/>
      <c r="MV41" s="897"/>
      <c r="MW41" s="897"/>
      <c r="MX41" s="897"/>
      <c r="MY41" s="897"/>
      <c r="MZ41" s="897"/>
      <c r="NA41" s="897"/>
      <c r="NB41" s="897"/>
      <c r="NC41" s="897"/>
      <c r="ND41" s="897"/>
      <c r="NE41" s="897"/>
      <c r="NF41" s="897"/>
      <c r="NG41" s="897"/>
      <c r="NH41" s="897"/>
      <c r="NI41" s="897"/>
      <c r="NJ41" s="897"/>
      <c r="NK41" s="897"/>
      <c r="NL41" s="897"/>
      <c r="NM41" s="897"/>
      <c r="NN41" s="897"/>
      <c r="NO41" s="897"/>
      <c r="NP41" s="897"/>
      <c r="NQ41" s="897"/>
      <c r="NR41" s="897"/>
      <c r="NS41" s="897"/>
      <c r="NT41" s="897"/>
      <c r="NU41" s="897"/>
      <c r="NV41" s="897"/>
      <c r="NW41" s="897"/>
      <c r="NX41" s="897"/>
      <c r="NY41" s="897"/>
      <c r="NZ41" s="897"/>
      <c r="OA41" s="897"/>
      <c r="OB41" s="897"/>
      <c r="OC41" s="897"/>
      <c r="OD41" s="897"/>
      <c r="OE41" s="897"/>
      <c r="OF41" s="897"/>
      <c r="OG41" s="897"/>
      <c r="OH41" s="897"/>
      <c r="OI41" s="897"/>
      <c r="OJ41" s="897"/>
      <c r="OK41" s="897"/>
      <c r="OL41" s="897"/>
      <c r="OM41" s="897"/>
      <c r="ON41" s="897"/>
      <c r="OO41" s="897"/>
      <c r="OP41" s="897"/>
      <c r="OQ41" s="897"/>
      <c r="OR41" s="897"/>
      <c r="OS41" s="897"/>
      <c r="OT41" s="897"/>
      <c r="OU41" s="897"/>
      <c r="OV41" s="897"/>
      <c r="OW41" s="897"/>
      <c r="OX41" s="897"/>
      <c r="OY41" s="897"/>
      <c r="OZ41" s="897"/>
      <c r="PA41" s="897"/>
      <c r="PB41" s="897"/>
      <c r="PC41" s="897"/>
      <c r="PD41" s="897"/>
      <c r="PE41" s="897"/>
      <c r="PF41" s="897"/>
      <c r="PG41" s="897"/>
      <c r="PH41" s="897"/>
      <c r="PI41" s="897"/>
      <c r="PJ41" s="897"/>
      <c r="PK41" s="897"/>
      <c r="PL41" s="897"/>
      <c r="PM41" s="897"/>
      <c r="PN41" s="897"/>
      <c r="PO41" s="897"/>
      <c r="PP41" s="897"/>
      <c r="PQ41" s="897"/>
      <c r="PR41" s="897"/>
      <c r="PS41" s="897"/>
      <c r="PT41" s="897"/>
      <c r="PU41" s="897"/>
      <c r="PV41" s="897"/>
      <c r="PW41" s="897"/>
      <c r="PX41" s="897"/>
      <c r="PY41" s="897"/>
      <c r="PZ41" s="897"/>
      <c r="QA41" s="897"/>
      <c r="QB41" s="897"/>
      <c r="QC41" s="897"/>
      <c r="QD41" s="897"/>
      <c r="QE41" s="897"/>
      <c r="QF41" s="897"/>
      <c r="QG41" s="897"/>
    </row>
    <row r="42" spans="1:449" s="800" customFormat="1" ht="36" x14ac:dyDescent="0.2">
      <c r="A42" s="1082"/>
      <c r="B42" s="962" t="s">
        <v>878</v>
      </c>
      <c r="C42" s="790"/>
      <c r="D42" s="790"/>
      <c r="E42" s="790"/>
      <c r="F42" s="790">
        <v>1</v>
      </c>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t="s">
        <v>879</v>
      </c>
      <c r="AN42" s="790"/>
      <c r="AO42" s="790" t="s">
        <v>879</v>
      </c>
      <c r="AP42" s="790"/>
      <c r="AQ42" s="790"/>
      <c r="AR42" s="790"/>
      <c r="AS42" s="790"/>
      <c r="AT42" s="790"/>
      <c r="AU42" s="790"/>
      <c r="AV42" s="790"/>
      <c r="AW42" s="790"/>
      <c r="AX42" s="790"/>
      <c r="AY42" s="790"/>
      <c r="AZ42" s="790"/>
      <c r="BA42" s="790"/>
      <c r="BB42" s="790" t="s">
        <v>880</v>
      </c>
      <c r="BC42" s="790" t="s">
        <v>881</v>
      </c>
      <c r="BD42" s="790"/>
      <c r="BE42" s="790" t="s">
        <v>882</v>
      </c>
      <c r="BF42" s="790" t="s">
        <v>880</v>
      </c>
      <c r="BG42" s="790"/>
      <c r="BH42" s="790"/>
      <c r="BI42" s="798"/>
      <c r="BJ42" s="798"/>
      <c r="BK42" s="798"/>
      <c r="BL42" s="798"/>
      <c r="BM42" s="798"/>
      <c r="BN42" s="798" t="s">
        <v>883</v>
      </c>
      <c r="BO42" s="798"/>
      <c r="BP42" s="798"/>
      <c r="BQ42" s="798"/>
      <c r="BR42" s="798"/>
      <c r="BS42" s="798"/>
      <c r="BT42" s="798"/>
      <c r="BU42" s="798"/>
      <c r="BV42" s="798"/>
      <c r="BW42" s="798"/>
      <c r="BX42" s="798"/>
      <c r="BY42" s="798"/>
      <c r="BZ42" s="798"/>
      <c r="CA42" s="798"/>
      <c r="CB42" s="798"/>
      <c r="CC42" s="798"/>
      <c r="CD42" s="798"/>
      <c r="CE42" s="798"/>
      <c r="CF42" s="818"/>
      <c r="CG42" s="818"/>
      <c r="CH42" s="818"/>
      <c r="CI42" s="818"/>
      <c r="CJ42" s="818"/>
      <c r="CK42" s="818"/>
      <c r="CL42" s="818"/>
      <c r="CM42" s="818"/>
      <c r="CN42" s="818"/>
      <c r="CO42" s="818"/>
      <c r="CP42" s="818"/>
      <c r="CQ42" s="818"/>
      <c r="CR42" s="818"/>
      <c r="CS42" s="854"/>
      <c r="CT42" s="854"/>
      <c r="CU42" s="854"/>
      <c r="CV42" s="854"/>
      <c r="CW42" s="854" t="s">
        <v>1033</v>
      </c>
      <c r="CX42" s="854"/>
      <c r="CY42" s="854"/>
      <c r="CZ42" s="872" t="s">
        <v>1046</v>
      </c>
      <c r="DA42" s="871"/>
      <c r="DB42" s="871"/>
      <c r="DC42" s="888"/>
      <c r="DD42" s="888"/>
      <c r="DE42" s="888"/>
      <c r="DF42" s="888"/>
      <c r="DG42" s="888"/>
      <c r="DH42" s="888"/>
      <c r="DI42" s="887"/>
      <c r="DJ42" s="888" t="s">
        <v>1110</v>
      </c>
      <c r="DK42" s="888"/>
      <c r="DL42" s="888"/>
      <c r="DM42" s="888" t="s">
        <v>1142</v>
      </c>
      <c r="DN42" s="888"/>
      <c r="DO42" s="888"/>
      <c r="DP42" s="888"/>
      <c r="DQ42" s="954" t="s">
        <v>1169</v>
      </c>
      <c r="DR42" s="954"/>
      <c r="DS42" s="954"/>
      <c r="DT42" s="954"/>
      <c r="DU42" s="949" t="s">
        <v>1261</v>
      </c>
      <c r="DV42" s="954"/>
      <c r="DW42" s="954"/>
      <c r="DX42" s="954" t="s">
        <v>1253</v>
      </c>
      <c r="DY42" s="954" t="s">
        <v>1330</v>
      </c>
      <c r="DZ42" s="954"/>
      <c r="EA42" s="954" t="s">
        <v>1332</v>
      </c>
      <c r="EB42" s="954" t="s">
        <v>1331</v>
      </c>
      <c r="EC42" s="954"/>
      <c r="ED42" s="949"/>
      <c r="EE42" s="954"/>
      <c r="EF42" s="954"/>
      <c r="EG42" s="954"/>
      <c r="EH42" s="954"/>
      <c r="EI42" s="954"/>
      <c r="EJ42" s="954"/>
      <c r="EK42" s="949"/>
      <c r="EL42" s="954"/>
      <c r="EM42" s="954"/>
      <c r="EN42" s="954"/>
      <c r="EO42" s="954"/>
      <c r="EP42" s="954"/>
      <c r="EQ42" s="954"/>
      <c r="ER42" s="954"/>
      <c r="ES42" s="954"/>
      <c r="ET42" s="954"/>
      <c r="EU42" s="954"/>
      <c r="EV42" s="897"/>
      <c r="EW42" s="897"/>
      <c r="EX42" s="897"/>
      <c r="EY42" s="897"/>
      <c r="EZ42" s="897"/>
      <c r="FA42" s="897"/>
      <c r="FB42" s="897"/>
      <c r="FC42" s="897"/>
      <c r="FD42" s="897"/>
      <c r="FE42" s="897"/>
      <c r="FF42" s="897"/>
      <c r="FG42" s="897"/>
      <c r="FH42" s="897"/>
      <c r="FI42" s="897"/>
      <c r="FJ42" s="897"/>
      <c r="FK42" s="897"/>
      <c r="FL42" s="897"/>
      <c r="FM42" s="897"/>
      <c r="FN42" s="897"/>
      <c r="FO42" s="897"/>
      <c r="FP42" s="897"/>
      <c r="FQ42" s="897"/>
      <c r="FR42" s="897"/>
      <c r="FS42" s="897"/>
      <c r="FT42" s="897"/>
      <c r="FU42" s="897"/>
      <c r="FV42" s="897"/>
      <c r="FW42" s="897"/>
      <c r="FX42" s="897"/>
      <c r="FY42" s="897"/>
      <c r="FZ42" s="897"/>
      <c r="GA42" s="897"/>
      <c r="GB42" s="897"/>
      <c r="GC42" s="897"/>
      <c r="GD42" s="897"/>
      <c r="GE42" s="897"/>
      <c r="GF42" s="897"/>
      <c r="GG42" s="897"/>
      <c r="GH42" s="897"/>
      <c r="GI42" s="897"/>
      <c r="GJ42" s="897"/>
      <c r="GK42" s="897"/>
      <c r="GL42" s="897"/>
      <c r="GM42" s="897"/>
      <c r="GN42" s="897"/>
      <c r="GO42" s="897"/>
      <c r="GP42" s="897"/>
      <c r="GQ42" s="897"/>
      <c r="GR42" s="897"/>
      <c r="GS42" s="897"/>
      <c r="GT42" s="897"/>
      <c r="GU42" s="897"/>
      <c r="GV42" s="897"/>
      <c r="GW42" s="897"/>
      <c r="GX42" s="897"/>
      <c r="GY42" s="897"/>
      <c r="GZ42" s="897"/>
      <c r="HA42" s="897"/>
      <c r="HB42" s="897"/>
      <c r="HC42" s="897"/>
      <c r="HD42" s="897"/>
      <c r="HE42" s="897"/>
      <c r="HF42" s="897"/>
      <c r="HG42" s="897"/>
      <c r="HH42" s="897"/>
      <c r="HI42" s="897"/>
      <c r="HJ42" s="897"/>
      <c r="HK42" s="897"/>
      <c r="HL42" s="897"/>
      <c r="HM42" s="897"/>
      <c r="HN42" s="897"/>
      <c r="HO42" s="897"/>
      <c r="HP42" s="897"/>
      <c r="HQ42" s="897"/>
      <c r="HR42" s="897"/>
      <c r="HS42" s="897"/>
      <c r="HT42" s="897"/>
      <c r="HU42" s="897"/>
      <c r="HV42" s="897"/>
      <c r="HW42" s="897"/>
      <c r="HX42" s="897"/>
      <c r="HY42" s="897"/>
      <c r="HZ42" s="897"/>
      <c r="IA42" s="897"/>
      <c r="IB42" s="897"/>
      <c r="IC42" s="897"/>
      <c r="ID42" s="897"/>
      <c r="IE42" s="897"/>
      <c r="IF42" s="897"/>
      <c r="IG42" s="897"/>
      <c r="IH42" s="897"/>
      <c r="II42" s="897"/>
      <c r="IJ42" s="897"/>
      <c r="IK42" s="897"/>
      <c r="IL42" s="897"/>
      <c r="IM42" s="897"/>
      <c r="IN42" s="897"/>
      <c r="IO42" s="897"/>
      <c r="IP42" s="897"/>
      <c r="IQ42" s="897"/>
      <c r="IR42" s="897"/>
      <c r="IS42" s="897"/>
      <c r="IT42" s="897"/>
      <c r="IU42" s="897"/>
      <c r="IV42" s="897"/>
      <c r="IW42" s="897"/>
      <c r="IX42" s="897"/>
      <c r="IY42" s="897"/>
      <c r="IZ42" s="897"/>
      <c r="JA42" s="897"/>
      <c r="JB42" s="897"/>
      <c r="JC42" s="897"/>
      <c r="JD42" s="897"/>
      <c r="JE42" s="897"/>
      <c r="JF42" s="897"/>
      <c r="JG42" s="897"/>
      <c r="JH42" s="897"/>
      <c r="JI42" s="897"/>
      <c r="JJ42" s="897"/>
      <c r="JK42" s="897"/>
      <c r="JL42" s="897"/>
      <c r="JM42" s="897"/>
      <c r="JN42" s="897"/>
      <c r="JO42" s="897"/>
      <c r="JP42" s="897"/>
      <c r="JQ42" s="897"/>
      <c r="JR42" s="897"/>
      <c r="JS42" s="897"/>
      <c r="JT42" s="897"/>
      <c r="JU42" s="897"/>
      <c r="JV42" s="897"/>
      <c r="JW42" s="897"/>
      <c r="JX42" s="897"/>
      <c r="JY42" s="897"/>
      <c r="JZ42" s="897"/>
      <c r="KA42" s="897"/>
      <c r="KB42" s="897"/>
      <c r="KC42" s="897"/>
      <c r="KD42" s="897"/>
      <c r="KE42" s="897"/>
      <c r="KF42" s="897"/>
      <c r="KG42" s="897"/>
      <c r="KH42" s="897"/>
      <c r="KI42" s="897"/>
      <c r="KJ42" s="897"/>
      <c r="KK42" s="897"/>
      <c r="KL42" s="897"/>
      <c r="KM42" s="897"/>
      <c r="KN42" s="897"/>
      <c r="KO42" s="897"/>
      <c r="KP42" s="897"/>
      <c r="KQ42" s="897"/>
      <c r="KR42" s="897"/>
      <c r="KS42" s="897"/>
      <c r="KT42" s="897"/>
      <c r="KU42" s="897"/>
      <c r="KV42" s="897"/>
      <c r="KW42" s="897"/>
      <c r="KX42" s="897"/>
      <c r="KY42" s="897"/>
      <c r="KZ42" s="897"/>
      <c r="LA42" s="897"/>
      <c r="LB42" s="897"/>
      <c r="LC42" s="897"/>
      <c r="LD42" s="897"/>
      <c r="LE42" s="897"/>
      <c r="LF42" s="897"/>
      <c r="LG42" s="897"/>
      <c r="LH42" s="897"/>
      <c r="LI42" s="897"/>
      <c r="LJ42" s="897"/>
      <c r="LK42" s="897"/>
      <c r="LL42" s="897"/>
      <c r="LM42" s="897"/>
      <c r="LN42" s="897"/>
      <c r="LO42" s="897"/>
      <c r="LP42" s="897"/>
      <c r="LQ42" s="897"/>
      <c r="LR42" s="897"/>
      <c r="LS42" s="897"/>
      <c r="LT42" s="897"/>
      <c r="LU42" s="897"/>
      <c r="LV42" s="897"/>
      <c r="LW42" s="897"/>
      <c r="LX42" s="897"/>
      <c r="LY42" s="897"/>
      <c r="LZ42" s="897"/>
      <c r="MA42" s="897"/>
      <c r="MB42" s="897"/>
      <c r="MC42" s="897"/>
      <c r="MD42" s="897"/>
      <c r="ME42" s="897"/>
      <c r="MF42" s="897"/>
      <c r="MG42" s="897"/>
      <c r="MH42" s="897"/>
      <c r="MI42" s="897"/>
      <c r="MJ42" s="897"/>
      <c r="MK42" s="897"/>
      <c r="ML42" s="897"/>
      <c r="MM42" s="897"/>
      <c r="MN42" s="897"/>
      <c r="MO42" s="897"/>
      <c r="MP42" s="897"/>
      <c r="MQ42" s="897"/>
      <c r="MR42" s="897"/>
      <c r="MS42" s="897"/>
      <c r="MT42" s="897"/>
      <c r="MU42" s="897"/>
      <c r="MV42" s="897"/>
      <c r="MW42" s="897"/>
      <c r="MX42" s="897"/>
      <c r="MY42" s="897"/>
      <c r="MZ42" s="897"/>
      <c r="NA42" s="897"/>
      <c r="NB42" s="897"/>
      <c r="NC42" s="897"/>
      <c r="ND42" s="897"/>
      <c r="NE42" s="897"/>
      <c r="NF42" s="897"/>
      <c r="NG42" s="897"/>
      <c r="NH42" s="897"/>
      <c r="NI42" s="897"/>
      <c r="NJ42" s="897"/>
      <c r="NK42" s="897"/>
      <c r="NL42" s="897"/>
      <c r="NM42" s="897"/>
      <c r="NN42" s="897"/>
      <c r="NO42" s="897"/>
      <c r="NP42" s="897"/>
      <c r="NQ42" s="897"/>
      <c r="NR42" s="897"/>
      <c r="NS42" s="897"/>
      <c r="NT42" s="897"/>
      <c r="NU42" s="897"/>
      <c r="NV42" s="897"/>
      <c r="NW42" s="897"/>
      <c r="NX42" s="897"/>
      <c r="NY42" s="897"/>
      <c r="NZ42" s="897"/>
      <c r="OA42" s="897"/>
      <c r="OB42" s="897"/>
      <c r="OC42" s="897"/>
      <c r="OD42" s="897"/>
      <c r="OE42" s="897"/>
      <c r="OF42" s="897"/>
      <c r="OG42" s="897"/>
      <c r="OH42" s="897"/>
      <c r="OI42" s="897"/>
      <c r="OJ42" s="897"/>
      <c r="OK42" s="897"/>
      <c r="OL42" s="897"/>
      <c r="OM42" s="897"/>
      <c r="ON42" s="897"/>
      <c r="OO42" s="897"/>
      <c r="OP42" s="897"/>
      <c r="OQ42" s="897"/>
      <c r="OR42" s="897"/>
      <c r="OS42" s="897"/>
      <c r="OT42" s="897"/>
      <c r="OU42" s="897"/>
      <c r="OV42" s="897"/>
      <c r="OW42" s="897"/>
      <c r="OX42" s="897"/>
      <c r="OY42" s="897"/>
      <c r="OZ42" s="897"/>
      <c r="PA42" s="897"/>
      <c r="PB42" s="897"/>
      <c r="PC42" s="897"/>
      <c r="PD42" s="897"/>
      <c r="PE42" s="897"/>
      <c r="PF42" s="897"/>
      <c r="PG42" s="897"/>
      <c r="PH42" s="897"/>
      <c r="PI42" s="897"/>
      <c r="PJ42" s="897"/>
      <c r="PK42" s="897"/>
      <c r="PL42" s="897"/>
      <c r="PM42" s="897"/>
      <c r="PN42" s="897"/>
      <c r="PO42" s="897"/>
      <c r="PP42" s="897"/>
      <c r="PQ42" s="897"/>
      <c r="PR42" s="897"/>
      <c r="PS42" s="897"/>
      <c r="PT42" s="897"/>
      <c r="PU42" s="897"/>
      <c r="PV42" s="897"/>
      <c r="PW42" s="897"/>
      <c r="PX42" s="897"/>
      <c r="PY42" s="897"/>
      <c r="PZ42" s="897"/>
      <c r="QA42" s="897"/>
      <c r="QB42" s="897"/>
      <c r="QC42" s="897"/>
      <c r="QD42" s="897"/>
      <c r="QE42" s="897"/>
      <c r="QF42" s="897"/>
      <c r="QG42" s="897"/>
    </row>
    <row r="43" spans="1:449" s="800" customFormat="1" ht="84" x14ac:dyDescent="0.2">
      <c r="A43" s="1082"/>
      <c r="B43" s="978" t="s">
        <v>884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c r="AP43" s="795"/>
      <c r="AQ43" s="795"/>
      <c r="AR43" s="795"/>
      <c r="AS43" s="795"/>
      <c r="AT43" s="795"/>
      <c r="AU43" s="795"/>
      <c r="AV43" s="795"/>
      <c r="AW43" s="795"/>
      <c r="AX43" s="795"/>
      <c r="AY43" s="795"/>
      <c r="AZ43" s="795"/>
      <c r="BA43" s="795"/>
      <c r="BB43" s="795"/>
      <c r="BC43" s="795"/>
      <c r="BD43" s="795" t="s">
        <v>885</v>
      </c>
      <c r="BE43" s="795"/>
      <c r="BF43" s="795" t="s">
        <v>886</v>
      </c>
      <c r="BG43" s="795"/>
      <c r="BH43" s="795"/>
      <c r="BI43" s="799"/>
      <c r="BJ43" s="799"/>
      <c r="BK43" s="799"/>
      <c r="BL43" s="799"/>
      <c r="BM43" s="799" t="s">
        <v>887</v>
      </c>
      <c r="BN43" s="799" t="s">
        <v>888</v>
      </c>
      <c r="BO43" s="798" t="s">
        <v>889</v>
      </c>
      <c r="BP43" s="798"/>
      <c r="BQ43" s="798"/>
      <c r="BR43" s="798"/>
      <c r="BS43" s="798"/>
      <c r="BT43" s="798"/>
      <c r="BV43" s="798" t="s">
        <v>890</v>
      </c>
      <c r="BW43" s="798"/>
      <c r="BX43" s="798"/>
      <c r="BY43" s="798" t="s">
        <v>891</v>
      </c>
      <c r="BZ43" s="798"/>
      <c r="CA43" s="798"/>
      <c r="CB43" s="798"/>
      <c r="CC43" s="798"/>
      <c r="CD43" s="798"/>
      <c r="CE43" s="798"/>
      <c r="CF43" s="818"/>
      <c r="CG43" s="825" t="s">
        <v>979</v>
      </c>
      <c r="CH43" s="818"/>
      <c r="CI43" s="818"/>
      <c r="CJ43" s="818"/>
      <c r="CK43" s="818"/>
      <c r="CL43" s="818"/>
      <c r="CM43" s="818"/>
      <c r="CN43" s="818"/>
      <c r="CO43" s="818"/>
      <c r="CP43" s="818"/>
      <c r="CQ43" s="818"/>
      <c r="CR43" s="818"/>
      <c r="CS43" s="854"/>
      <c r="CT43" s="854"/>
      <c r="CU43" s="854"/>
      <c r="CV43" s="854"/>
      <c r="CW43" s="854" t="s">
        <v>1029</v>
      </c>
      <c r="CX43" s="854"/>
      <c r="CY43" s="854"/>
      <c r="CZ43" s="872"/>
      <c r="DA43" s="871"/>
      <c r="DB43" s="871"/>
      <c r="DC43" s="888"/>
      <c r="DD43" s="888"/>
      <c r="DE43" s="888" t="s">
        <v>1078</v>
      </c>
      <c r="DF43" s="888"/>
      <c r="DG43" s="888"/>
      <c r="DH43" s="888"/>
      <c r="DI43" s="887" t="s">
        <v>1099</v>
      </c>
      <c r="DJ43" s="888" t="s">
        <v>1138</v>
      </c>
      <c r="DK43" s="960" t="s">
        <v>1120</v>
      </c>
      <c r="DL43" s="888" t="s">
        <v>1113</v>
      </c>
      <c r="DM43" s="888"/>
      <c r="DN43" s="888" t="s">
        <v>1162</v>
      </c>
      <c r="DO43" s="888" t="s">
        <v>1160</v>
      </c>
      <c r="DP43" s="888"/>
      <c r="DQ43" s="954" t="s">
        <v>1170</v>
      </c>
      <c r="DR43" s="954" t="s">
        <v>1184</v>
      </c>
      <c r="DS43" s="960"/>
      <c r="DT43" s="954" t="s">
        <v>1205</v>
      </c>
      <c r="DU43" s="949" t="s">
        <v>1217</v>
      </c>
      <c r="DV43" s="954" t="s">
        <v>1228</v>
      </c>
      <c r="DW43" s="954" t="s">
        <v>1229</v>
      </c>
      <c r="DX43" s="954" t="s">
        <v>1229</v>
      </c>
      <c r="DY43" s="954" t="s">
        <v>1229</v>
      </c>
      <c r="DZ43" s="954" t="s">
        <v>1251</v>
      </c>
      <c r="EA43" s="954"/>
      <c r="EB43" s="954"/>
      <c r="EC43" s="954" t="s">
        <v>1305</v>
      </c>
      <c r="ED43" s="949"/>
      <c r="EE43" s="954"/>
      <c r="EF43" s="954"/>
      <c r="EG43" s="954"/>
      <c r="EH43" s="954"/>
      <c r="EI43" s="954"/>
      <c r="EJ43" s="954"/>
      <c r="EK43" s="949"/>
      <c r="EL43" s="954"/>
      <c r="EM43" s="954"/>
      <c r="EN43" s="954"/>
      <c r="EO43" s="954"/>
      <c r="EP43" s="954"/>
      <c r="EQ43" s="954"/>
      <c r="ER43" s="954"/>
      <c r="ES43" s="954"/>
      <c r="ET43" s="954"/>
      <c r="EU43" s="954"/>
      <c r="EV43" s="897"/>
      <c r="EW43" s="897"/>
      <c r="EX43" s="897"/>
      <c r="EY43" s="897"/>
      <c r="EZ43" s="897"/>
      <c r="FA43" s="897"/>
      <c r="FB43" s="897"/>
      <c r="FC43" s="897"/>
      <c r="FD43" s="897"/>
      <c r="FE43" s="897"/>
      <c r="FF43" s="897"/>
      <c r="FG43" s="897"/>
      <c r="FH43" s="897"/>
      <c r="FI43" s="897"/>
      <c r="FJ43" s="897"/>
      <c r="FK43" s="897"/>
      <c r="FL43" s="897"/>
      <c r="FM43" s="897"/>
      <c r="FN43" s="897"/>
      <c r="FO43" s="897"/>
      <c r="FP43" s="897"/>
      <c r="FQ43" s="897"/>
      <c r="FR43" s="897"/>
      <c r="FS43" s="897"/>
      <c r="FT43" s="897"/>
      <c r="FU43" s="897"/>
      <c r="FV43" s="897"/>
      <c r="FW43" s="897"/>
      <c r="FX43" s="897"/>
      <c r="FY43" s="897"/>
      <c r="FZ43" s="897"/>
      <c r="GA43" s="897"/>
      <c r="GB43" s="897"/>
      <c r="GC43" s="897"/>
      <c r="GD43" s="897"/>
      <c r="GE43" s="897"/>
      <c r="GF43" s="897"/>
      <c r="GG43" s="897"/>
      <c r="GH43" s="897"/>
      <c r="GI43" s="897"/>
      <c r="GJ43" s="897"/>
      <c r="GK43" s="897"/>
      <c r="GL43" s="897"/>
      <c r="GM43" s="897"/>
      <c r="GN43" s="897"/>
      <c r="GO43" s="897"/>
      <c r="GP43" s="897"/>
      <c r="GQ43" s="897"/>
      <c r="GR43" s="897"/>
      <c r="GS43" s="897"/>
      <c r="GT43" s="897"/>
      <c r="GU43" s="897"/>
      <c r="GV43" s="897"/>
      <c r="GW43" s="897"/>
      <c r="GX43" s="897"/>
      <c r="GY43" s="897"/>
      <c r="GZ43" s="897"/>
      <c r="HA43" s="897"/>
      <c r="HB43" s="897"/>
      <c r="HC43" s="897"/>
      <c r="HD43" s="897"/>
      <c r="HE43" s="897"/>
      <c r="HF43" s="897"/>
      <c r="HG43" s="897"/>
      <c r="HH43" s="897"/>
      <c r="HI43" s="897"/>
      <c r="HJ43" s="897"/>
      <c r="HK43" s="897"/>
      <c r="HL43" s="897"/>
      <c r="HM43" s="897"/>
      <c r="HN43" s="897"/>
      <c r="HO43" s="897"/>
      <c r="HP43" s="897"/>
      <c r="HQ43" s="897"/>
      <c r="HR43" s="897"/>
      <c r="HS43" s="897"/>
      <c r="HT43" s="897"/>
      <c r="HU43" s="897"/>
      <c r="HV43" s="897"/>
      <c r="HW43" s="897"/>
      <c r="HX43" s="897"/>
      <c r="HY43" s="897"/>
      <c r="HZ43" s="897"/>
      <c r="IA43" s="897"/>
      <c r="IB43" s="897"/>
      <c r="IC43" s="897"/>
      <c r="ID43" s="897"/>
      <c r="IE43" s="897"/>
      <c r="IF43" s="897"/>
      <c r="IG43" s="897"/>
      <c r="IH43" s="897"/>
      <c r="II43" s="897"/>
      <c r="IJ43" s="897"/>
      <c r="IK43" s="897"/>
      <c r="IL43" s="897"/>
      <c r="IM43" s="897"/>
      <c r="IN43" s="897"/>
      <c r="IO43" s="897"/>
      <c r="IP43" s="897"/>
      <c r="IQ43" s="897"/>
      <c r="IR43" s="897"/>
      <c r="IS43" s="897"/>
      <c r="IT43" s="897"/>
      <c r="IU43" s="897"/>
      <c r="IV43" s="897"/>
      <c r="IW43" s="897"/>
      <c r="IX43" s="897"/>
      <c r="IY43" s="897"/>
      <c r="IZ43" s="897"/>
      <c r="JA43" s="897"/>
      <c r="JB43" s="897"/>
      <c r="JC43" s="897"/>
      <c r="JD43" s="897"/>
      <c r="JE43" s="897"/>
      <c r="JF43" s="897"/>
      <c r="JG43" s="897"/>
      <c r="JH43" s="897"/>
      <c r="JI43" s="897"/>
      <c r="JJ43" s="897"/>
      <c r="JK43" s="897"/>
      <c r="JL43" s="897"/>
      <c r="JM43" s="897"/>
      <c r="JN43" s="897"/>
      <c r="JO43" s="897"/>
      <c r="JP43" s="897"/>
      <c r="JQ43" s="897"/>
      <c r="JR43" s="897"/>
      <c r="JS43" s="897"/>
      <c r="JT43" s="897"/>
      <c r="JU43" s="897"/>
      <c r="JV43" s="897"/>
      <c r="JW43" s="897"/>
      <c r="JX43" s="897"/>
      <c r="JY43" s="897"/>
      <c r="JZ43" s="897"/>
      <c r="KA43" s="897"/>
      <c r="KB43" s="897"/>
      <c r="KC43" s="897"/>
      <c r="KD43" s="897"/>
      <c r="KE43" s="897"/>
      <c r="KF43" s="897"/>
      <c r="KG43" s="897"/>
      <c r="KH43" s="897"/>
      <c r="KI43" s="897"/>
      <c r="KJ43" s="897"/>
      <c r="KK43" s="897"/>
      <c r="KL43" s="897"/>
      <c r="KM43" s="897"/>
      <c r="KN43" s="897"/>
      <c r="KO43" s="897"/>
      <c r="KP43" s="897"/>
      <c r="KQ43" s="897"/>
      <c r="KR43" s="897"/>
      <c r="KS43" s="897"/>
      <c r="KT43" s="897"/>
      <c r="KU43" s="897"/>
      <c r="KV43" s="897"/>
      <c r="KW43" s="897"/>
      <c r="KX43" s="897"/>
      <c r="KY43" s="897"/>
      <c r="KZ43" s="897"/>
      <c r="LA43" s="897"/>
      <c r="LB43" s="897"/>
      <c r="LC43" s="897"/>
      <c r="LD43" s="897"/>
      <c r="LE43" s="897"/>
      <c r="LF43" s="897"/>
      <c r="LG43" s="897"/>
      <c r="LH43" s="897"/>
      <c r="LI43" s="897"/>
      <c r="LJ43" s="897"/>
      <c r="LK43" s="897"/>
      <c r="LL43" s="897"/>
      <c r="LM43" s="897"/>
      <c r="LN43" s="897"/>
      <c r="LO43" s="897"/>
      <c r="LP43" s="897"/>
      <c r="LQ43" s="897"/>
      <c r="LR43" s="897"/>
      <c r="LS43" s="897"/>
      <c r="LT43" s="897"/>
      <c r="LU43" s="897"/>
      <c r="LV43" s="897"/>
      <c r="LW43" s="897"/>
      <c r="LX43" s="897"/>
      <c r="LY43" s="897"/>
      <c r="LZ43" s="897"/>
      <c r="MA43" s="897"/>
      <c r="MB43" s="897"/>
      <c r="MC43" s="897"/>
      <c r="MD43" s="897"/>
      <c r="ME43" s="897"/>
      <c r="MF43" s="897"/>
      <c r="MG43" s="897"/>
      <c r="MH43" s="897"/>
      <c r="MI43" s="897"/>
      <c r="MJ43" s="897"/>
      <c r="MK43" s="897"/>
      <c r="ML43" s="897"/>
      <c r="MM43" s="897"/>
      <c r="MN43" s="897"/>
      <c r="MO43" s="897"/>
      <c r="MP43" s="897"/>
      <c r="MQ43" s="897"/>
      <c r="MR43" s="897"/>
      <c r="MS43" s="897"/>
      <c r="MT43" s="897"/>
      <c r="MU43" s="897"/>
      <c r="MV43" s="897"/>
      <c r="MW43" s="897"/>
      <c r="MX43" s="897"/>
      <c r="MY43" s="897"/>
      <c r="MZ43" s="897"/>
      <c r="NA43" s="897"/>
      <c r="NB43" s="897"/>
      <c r="NC43" s="897"/>
      <c r="ND43" s="897"/>
      <c r="NE43" s="897"/>
      <c r="NF43" s="897"/>
      <c r="NG43" s="897"/>
      <c r="NH43" s="897"/>
      <c r="NI43" s="897"/>
      <c r="NJ43" s="897"/>
      <c r="NK43" s="897"/>
      <c r="NL43" s="897"/>
      <c r="NM43" s="897"/>
      <c r="NN43" s="897"/>
      <c r="NO43" s="897"/>
      <c r="NP43" s="897"/>
      <c r="NQ43" s="897"/>
      <c r="NR43" s="897"/>
      <c r="NS43" s="897"/>
      <c r="NT43" s="897"/>
      <c r="NU43" s="897"/>
      <c r="NV43" s="897"/>
      <c r="NW43" s="897"/>
      <c r="NX43" s="897"/>
      <c r="NY43" s="897"/>
      <c r="NZ43" s="897"/>
      <c r="OA43" s="897"/>
      <c r="OB43" s="897"/>
      <c r="OC43" s="897"/>
      <c r="OD43" s="897"/>
      <c r="OE43" s="897"/>
      <c r="OF43" s="897"/>
      <c r="OG43" s="897"/>
      <c r="OH43" s="897"/>
      <c r="OI43" s="897"/>
      <c r="OJ43" s="897"/>
      <c r="OK43" s="897"/>
      <c r="OL43" s="897"/>
      <c r="OM43" s="897"/>
      <c r="ON43" s="897"/>
      <c r="OO43" s="897"/>
      <c r="OP43" s="897"/>
      <c r="OQ43" s="897"/>
      <c r="OR43" s="897"/>
      <c r="OS43" s="897"/>
      <c r="OT43" s="897"/>
      <c r="OU43" s="897"/>
      <c r="OV43" s="897"/>
      <c r="OW43" s="897"/>
      <c r="OX43" s="897"/>
      <c r="OY43" s="897"/>
      <c r="OZ43" s="897"/>
      <c r="PA43" s="897"/>
      <c r="PB43" s="897"/>
      <c r="PC43" s="897"/>
      <c r="PD43" s="897"/>
      <c r="PE43" s="897"/>
      <c r="PF43" s="897"/>
      <c r="PG43" s="897"/>
      <c r="PH43" s="897"/>
      <c r="PI43" s="897"/>
      <c r="PJ43" s="897"/>
      <c r="PK43" s="897"/>
      <c r="PL43" s="897"/>
      <c r="PM43" s="897"/>
      <c r="PN43" s="897"/>
      <c r="PO43" s="897"/>
      <c r="PP43" s="897"/>
      <c r="PQ43" s="897"/>
      <c r="PR43" s="897"/>
      <c r="PS43" s="897"/>
      <c r="PT43" s="897"/>
      <c r="PU43" s="897"/>
      <c r="PV43" s="897"/>
      <c r="PW43" s="897"/>
      <c r="PX43" s="897"/>
      <c r="PY43" s="897"/>
      <c r="PZ43" s="897"/>
      <c r="QA43" s="897"/>
      <c r="QB43" s="897"/>
      <c r="QC43" s="897"/>
      <c r="QD43" s="897"/>
      <c r="QE43" s="897"/>
      <c r="QF43" s="897"/>
      <c r="QG43" s="897"/>
    </row>
    <row r="44" spans="1:449" s="800" customFormat="1" ht="84" x14ac:dyDescent="0.2">
      <c r="A44" s="1082"/>
      <c r="B44" s="978" t="s">
        <v>892</v>
      </c>
      <c r="C44" s="795" t="s">
        <v>893</v>
      </c>
      <c r="D44" s="795" t="s">
        <v>893</v>
      </c>
      <c r="E44" s="795" t="s">
        <v>893</v>
      </c>
      <c r="F44" s="795" t="s">
        <v>893</v>
      </c>
      <c r="G44" s="795" t="s">
        <v>894</v>
      </c>
      <c r="H44" s="795" t="s">
        <v>894</v>
      </c>
      <c r="I44" s="795" t="s">
        <v>895</v>
      </c>
      <c r="J44" s="795" t="s">
        <v>895</v>
      </c>
      <c r="K44" s="795" t="s">
        <v>895</v>
      </c>
      <c r="L44" s="795" t="s">
        <v>895</v>
      </c>
      <c r="M44" s="795" t="s">
        <v>895</v>
      </c>
      <c r="N44" s="795" t="s">
        <v>895</v>
      </c>
      <c r="O44" s="795" t="s">
        <v>895</v>
      </c>
      <c r="P44" s="795" t="s">
        <v>895</v>
      </c>
      <c r="Q44" s="795" t="s">
        <v>895</v>
      </c>
      <c r="R44" s="795" t="s">
        <v>895</v>
      </c>
      <c r="S44" s="795" t="s">
        <v>895</v>
      </c>
      <c r="T44" s="795" t="s">
        <v>895</v>
      </c>
      <c r="U44" s="795" t="s">
        <v>895</v>
      </c>
      <c r="V44" s="795" t="s">
        <v>895</v>
      </c>
      <c r="W44" s="795" t="s">
        <v>895</v>
      </c>
      <c r="X44" s="795" t="s">
        <v>895</v>
      </c>
      <c r="Y44" s="795" t="s">
        <v>895</v>
      </c>
      <c r="Z44" s="795" t="s">
        <v>895</v>
      </c>
      <c r="AA44" s="795" t="s">
        <v>895</v>
      </c>
      <c r="AB44" s="795" t="s">
        <v>896</v>
      </c>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c r="BA44" s="795"/>
      <c r="BB44" s="795"/>
      <c r="BC44" s="795"/>
      <c r="BD44" s="795"/>
      <c r="BE44" s="795"/>
      <c r="BF44" s="795" t="s">
        <v>897</v>
      </c>
      <c r="BG44" s="795" t="s">
        <v>898</v>
      </c>
      <c r="BH44" s="795" t="s">
        <v>898</v>
      </c>
      <c r="BI44" s="799" t="s">
        <v>898</v>
      </c>
      <c r="BJ44" s="799" t="s">
        <v>898</v>
      </c>
      <c r="BK44" s="799"/>
      <c r="BL44" s="799"/>
      <c r="BM44" s="799"/>
      <c r="BN44" s="799"/>
      <c r="BO44" s="798" t="s">
        <v>899</v>
      </c>
      <c r="BP44" s="798"/>
      <c r="BQ44" s="798"/>
      <c r="BR44" s="798"/>
      <c r="BS44" s="798"/>
      <c r="BT44" s="798"/>
      <c r="BU44" s="798"/>
      <c r="BV44" s="798"/>
      <c r="BW44" s="798"/>
      <c r="BX44" s="798"/>
      <c r="BY44" s="798"/>
      <c r="BZ44" s="798"/>
      <c r="CA44" s="798"/>
      <c r="CB44" s="798"/>
      <c r="CC44" s="798"/>
      <c r="CD44" s="798"/>
      <c r="CE44" s="798"/>
      <c r="CF44" s="818"/>
      <c r="CG44" s="818"/>
      <c r="CH44" s="818"/>
      <c r="CI44" s="818"/>
      <c r="CJ44" s="818"/>
      <c r="CK44" s="818"/>
      <c r="CL44" s="818"/>
      <c r="CM44" s="818"/>
      <c r="CN44" s="818"/>
      <c r="CO44" s="818"/>
      <c r="CP44" s="818"/>
      <c r="CQ44" s="818"/>
      <c r="CR44" s="818"/>
      <c r="CS44" s="854"/>
      <c r="CT44" s="854"/>
      <c r="CU44" s="854"/>
      <c r="CV44" s="854"/>
      <c r="CW44" s="854"/>
      <c r="CX44" s="854"/>
      <c r="CY44" s="854"/>
      <c r="CZ44" s="872"/>
      <c r="DA44" s="871"/>
      <c r="DB44" s="871"/>
      <c r="DC44" s="888"/>
      <c r="DD44" s="888"/>
      <c r="DE44" s="888"/>
      <c r="DF44" s="888"/>
      <c r="DG44" s="888"/>
      <c r="DH44" s="888"/>
      <c r="DI44" s="887"/>
      <c r="DJ44" s="888"/>
      <c r="DK44" s="888"/>
      <c r="DL44" s="888"/>
      <c r="DM44" s="888"/>
      <c r="DN44" s="888"/>
      <c r="DO44" s="888"/>
      <c r="DP44" s="888"/>
      <c r="DQ44" s="954"/>
      <c r="DR44" s="954"/>
      <c r="DS44" s="954"/>
      <c r="DT44" s="954"/>
      <c r="DU44" s="949"/>
      <c r="DV44" s="954"/>
      <c r="DW44" s="954"/>
      <c r="DX44" s="954"/>
      <c r="DY44" s="954"/>
      <c r="DZ44" s="954" t="s">
        <v>1259</v>
      </c>
      <c r="EA44" s="954"/>
      <c r="EB44" s="954"/>
      <c r="EC44" s="954"/>
      <c r="ED44" s="949"/>
      <c r="EE44" s="954" t="s">
        <v>1334</v>
      </c>
      <c r="EF44" s="954" t="s">
        <v>1366</v>
      </c>
      <c r="EG44" s="954" t="s">
        <v>1366</v>
      </c>
      <c r="EH44" s="954"/>
      <c r="EI44" s="954"/>
      <c r="EJ44" s="954"/>
      <c r="EK44" s="949"/>
      <c r="EL44" s="954"/>
      <c r="EM44" s="954"/>
      <c r="EN44" s="954"/>
      <c r="EO44" s="954"/>
      <c r="EP44" s="954"/>
      <c r="EQ44" s="954"/>
      <c r="ER44" s="954"/>
      <c r="ES44" s="954"/>
      <c r="ET44" s="954"/>
      <c r="EU44" s="954"/>
      <c r="EV44" s="897"/>
      <c r="EW44" s="897"/>
      <c r="EX44" s="897"/>
      <c r="EY44" s="897"/>
      <c r="EZ44" s="897"/>
      <c r="FA44" s="897"/>
      <c r="FB44" s="897"/>
      <c r="FC44" s="897"/>
      <c r="FD44" s="897"/>
      <c r="FE44" s="897"/>
      <c r="FF44" s="897"/>
      <c r="FG44" s="897"/>
      <c r="FH44" s="897"/>
      <c r="FI44" s="897"/>
      <c r="FJ44" s="897"/>
      <c r="FK44" s="897"/>
      <c r="FL44" s="897"/>
      <c r="FM44" s="897"/>
      <c r="FN44" s="897"/>
      <c r="FO44" s="897"/>
      <c r="FP44" s="897"/>
      <c r="FQ44" s="897"/>
      <c r="FR44" s="897"/>
      <c r="FS44" s="897"/>
      <c r="FT44" s="897"/>
      <c r="FU44" s="897"/>
      <c r="FV44" s="897"/>
      <c r="FW44" s="897"/>
      <c r="FX44" s="897"/>
      <c r="FY44" s="897"/>
      <c r="FZ44" s="897"/>
      <c r="GA44" s="897"/>
      <c r="GB44" s="897"/>
      <c r="GC44" s="897"/>
      <c r="GD44" s="897"/>
      <c r="GE44" s="897"/>
      <c r="GF44" s="897"/>
      <c r="GG44" s="897"/>
      <c r="GH44" s="897"/>
      <c r="GI44" s="897"/>
      <c r="GJ44" s="897"/>
      <c r="GK44" s="897"/>
      <c r="GL44" s="897"/>
      <c r="GM44" s="897"/>
      <c r="GN44" s="897"/>
      <c r="GO44" s="897"/>
      <c r="GP44" s="897"/>
      <c r="GQ44" s="897"/>
      <c r="GR44" s="897"/>
      <c r="GS44" s="897"/>
      <c r="GT44" s="897"/>
      <c r="GU44" s="897"/>
      <c r="GV44" s="897"/>
      <c r="GW44" s="897"/>
      <c r="GX44" s="897"/>
      <c r="GY44" s="897"/>
      <c r="GZ44" s="897"/>
      <c r="HA44" s="897"/>
      <c r="HB44" s="897"/>
      <c r="HC44" s="897"/>
      <c r="HD44" s="897"/>
      <c r="HE44" s="897"/>
      <c r="HF44" s="897"/>
      <c r="HG44" s="897"/>
      <c r="HH44" s="897"/>
      <c r="HI44" s="897"/>
      <c r="HJ44" s="897"/>
      <c r="HK44" s="897"/>
      <c r="HL44" s="897"/>
      <c r="HM44" s="897"/>
      <c r="HN44" s="897"/>
      <c r="HO44" s="897"/>
      <c r="HP44" s="897"/>
      <c r="HQ44" s="897"/>
      <c r="HR44" s="897"/>
      <c r="HS44" s="897"/>
      <c r="HT44" s="897"/>
      <c r="HU44" s="897"/>
      <c r="HV44" s="897"/>
      <c r="HW44" s="897"/>
      <c r="HX44" s="897"/>
      <c r="HY44" s="897"/>
      <c r="HZ44" s="897"/>
      <c r="IA44" s="897"/>
      <c r="IB44" s="897"/>
      <c r="IC44" s="897"/>
      <c r="ID44" s="897"/>
      <c r="IE44" s="897"/>
      <c r="IF44" s="897"/>
      <c r="IG44" s="897"/>
      <c r="IH44" s="897"/>
      <c r="II44" s="897"/>
      <c r="IJ44" s="897"/>
      <c r="IK44" s="897"/>
      <c r="IL44" s="897"/>
      <c r="IM44" s="897"/>
      <c r="IN44" s="897"/>
      <c r="IO44" s="897"/>
      <c r="IP44" s="897"/>
      <c r="IQ44" s="897"/>
      <c r="IR44" s="897"/>
      <c r="IS44" s="897"/>
      <c r="IT44" s="897"/>
      <c r="IU44" s="897"/>
      <c r="IV44" s="897"/>
      <c r="IW44" s="897"/>
      <c r="IX44" s="897"/>
      <c r="IY44" s="897"/>
      <c r="IZ44" s="897"/>
      <c r="JA44" s="897"/>
      <c r="JB44" s="897"/>
      <c r="JC44" s="897"/>
      <c r="JD44" s="897"/>
      <c r="JE44" s="897"/>
      <c r="JF44" s="897"/>
      <c r="JG44" s="897"/>
      <c r="JH44" s="897"/>
      <c r="JI44" s="897"/>
      <c r="JJ44" s="897"/>
      <c r="JK44" s="897"/>
      <c r="JL44" s="897"/>
      <c r="JM44" s="897"/>
      <c r="JN44" s="897"/>
      <c r="JO44" s="897"/>
      <c r="JP44" s="897"/>
      <c r="JQ44" s="897"/>
      <c r="JR44" s="897"/>
      <c r="JS44" s="897"/>
      <c r="JT44" s="897"/>
      <c r="JU44" s="897"/>
      <c r="JV44" s="897"/>
      <c r="JW44" s="897"/>
      <c r="JX44" s="897"/>
      <c r="JY44" s="897"/>
      <c r="JZ44" s="897"/>
      <c r="KA44" s="897"/>
      <c r="KB44" s="897"/>
      <c r="KC44" s="897"/>
      <c r="KD44" s="897"/>
      <c r="KE44" s="897"/>
      <c r="KF44" s="897"/>
      <c r="KG44" s="897"/>
      <c r="KH44" s="897"/>
      <c r="KI44" s="897"/>
      <c r="KJ44" s="897"/>
      <c r="KK44" s="897"/>
      <c r="KL44" s="897"/>
      <c r="KM44" s="897"/>
      <c r="KN44" s="897"/>
      <c r="KO44" s="897"/>
      <c r="KP44" s="897"/>
      <c r="KQ44" s="897"/>
      <c r="KR44" s="897"/>
      <c r="KS44" s="897"/>
      <c r="KT44" s="897"/>
      <c r="KU44" s="897"/>
      <c r="KV44" s="897"/>
      <c r="KW44" s="897"/>
      <c r="KX44" s="897"/>
      <c r="KY44" s="897"/>
      <c r="KZ44" s="897"/>
      <c r="LA44" s="897"/>
      <c r="LB44" s="897"/>
      <c r="LC44" s="897"/>
      <c r="LD44" s="897"/>
      <c r="LE44" s="897"/>
      <c r="LF44" s="897"/>
      <c r="LG44" s="897"/>
      <c r="LH44" s="897"/>
      <c r="LI44" s="897"/>
      <c r="LJ44" s="897"/>
      <c r="LK44" s="897"/>
      <c r="LL44" s="897"/>
      <c r="LM44" s="897"/>
      <c r="LN44" s="897"/>
      <c r="LO44" s="897"/>
      <c r="LP44" s="897"/>
      <c r="LQ44" s="897"/>
      <c r="LR44" s="897"/>
      <c r="LS44" s="897"/>
      <c r="LT44" s="897"/>
      <c r="LU44" s="897"/>
      <c r="LV44" s="897"/>
      <c r="LW44" s="897"/>
      <c r="LX44" s="897"/>
      <c r="LY44" s="897"/>
      <c r="LZ44" s="897"/>
      <c r="MA44" s="897"/>
      <c r="MB44" s="897"/>
      <c r="MC44" s="897"/>
      <c r="MD44" s="897"/>
      <c r="ME44" s="897"/>
      <c r="MF44" s="897"/>
      <c r="MG44" s="897"/>
      <c r="MH44" s="897"/>
      <c r="MI44" s="897"/>
      <c r="MJ44" s="897"/>
      <c r="MK44" s="897"/>
      <c r="ML44" s="897"/>
      <c r="MM44" s="897"/>
      <c r="MN44" s="897"/>
      <c r="MO44" s="897"/>
      <c r="MP44" s="897"/>
      <c r="MQ44" s="897"/>
      <c r="MR44" s="897"/>
      <c r="MS44" s="897"/>
      <c r="MT44" s="897"/>
      <c r="MU44" s="897"/>
      <c r="MV44" s="897"/>
      <c r="MW44" s="897"/>
      <c r="MX44" s="897"/>
      <c r="MY44" s="897"/>
      <c r="MZ44" s="897"/>
      <c r="NA44" s="897"/>
      <c r="NB44" s="897"/>
      <c r="NC44" s="897"/>
      <c r="ND44" s="897"/>
      <c r="NE44" s="897"/>
      <c r="NF44" s="897"/>
      <c r="NG44" s="897"/>
      <c r="NH44" s="897"/>
      <c r="NI44" s="897"/>
      <c r="NJ44" s="897"/>
      <c r="NK44" s="897"/>
      <c r="NL44" s="897"/>
      <c r="NM44" s="897"/>
      <c r="NN44" s="897"/>
      <c r="NO44" s="897"/>
      <c r="NP44" s="897"/>
      <c r="NQ44" s="897"/>
      <c r="NR44" s="897"/>
      <c r="NS44" s="897"/>
      <c r="NT44" s="897"/>
      <c r="NU44" s="897"/>
      <c r="NV44" s="897"/>
      <c r="NW44" s="897"/>
      <c r="NX44" s="897"/>
      <c r="NY44" s="897"/>
      <c r="NZ44" s="897"/>
      <c r="OA44" s="897"/>
      <c r="OB44" s="897"/>
      <c r="OC44" s="897"/>
      <c r="OD44" s="897"/>
      <c r="OE44" s="897"/>
      <c r="OF44" s="897"/>
      <c r="OG44" s="897"/>
      <c r="OH44" s="897"/>
      <c r="OI44" s="897"/>
      <c r="OJ44" s="897"/>
      <c r="OK44" s="897"/>
      <c r="OL44" s="897"/>
      <c r="OM44" s="897"/>
      <c r="ON44" s="897"/>
      <c r="OO44" s="897"/>
      <c r="OP44" s="897"/>
      <c r="OQ44" s="897"/>
      <c r="OR44" s="897"/>
      <c r="OS44" s="897"/>
      <c r="OT44" s="897"/>
      <c r="OU44" s="897"/>
      <c r="OV44" s="897"/>
      <c r="OW44" s="897"/>
      <c r="OX44" s="897"/>
      <c r="OY44" s="897"/>
      <c r="OZ44" s="897"/>
      <c r="PA44" s="897"/>
      <c r="PB44" s="897"/>
      <c r="PC44" s="897"/>
      <c r="PD44" s="897"/>
      <c r="PE44" s="897"/>
      <c r="PF44" s="897"/>
      <c r="PG44" s="897"/>
      <c r="PH44" s="897"/>
      <c r="PI44" s="897"/>
      <c r="PJ44" s="897"/>
      <c r="PK44" s="897"/>
      <c r="PL44" s="897"/>
      <c r="PM44" s="897"/>
      <c r="PN44" s="897"/>
      <c r="PO44" s="897"/>
      <c r="PP44" s="897"/>
      <c r="PQ44" s="897"/>
      <c r="PR44" s="897"/>
      <c r="PS44" s="897"/>
      <c r="PT44" s="897"/>
      <c r="PU44" s="897"/>
      <c r="PV44" s="897"/>
      <c r="PW44" s="897"/>
      <c r="PX44" s="897"/>
      <c r="PY44" s="897"/>
      <c r="PZ44" s="897"/>
      <c r="QA44" s="897"/>
      <c r="QB44" s="897"/>
      <c r="QC44" s="897"/>
      <c r="QD44" s="897"/>
      <c r="QE44" s="897"/>
      <c r="QF44" s="897"/>
      <c r="QG44" s="897"/>
    </row>
    <row r="45" spans="1:449" s="800" customFormat="1" ht="24.75" thickBot="1" x14ac:dyDescent="0.25">
      <c r="A45" s="1083"/>
      <c r="B45" s="978" t="s">
        <v>900</v>
      </c>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t="s">
        <v>901</v>
      </c>
      <c r="AR45" s="790" t="s">
        <v>902</v>
      </c>
      <c r="AS45" s="790"/>
      <c r="AT45" s="790"/>
      <c r="AU45" s="790"/>
      <c r="AV45" s="790"/>
      <c r="AW45" s="790"/>
      <c r="AX45" s="790"/>
      <c r="AY45" s="790" t="s">
        <v>903</v>
      </c>
      <c r="AZ45" s="790"/>
      <c r="BA45" s="790"/>
      <c r="BB45" s="790"/>
      <c r="BC45" s="790"/>
      <c r="BD45" s="790"/>
      <c r="BE45" s="790"/>
      <c r="BF45" s="790"/>
      <c r="BG45" s="790"/>
      <c r="BH45" s="790"/>
      <c r="BI45" s="790" t="s">
        <v>622</v>
      </c>
      <c r="BJ45" s="790" t="s">
        <v>622</v>
      </c>
      <c r="BK45" s="790"/>
      <c r="BL45" s="790"/>
      <c r="BM45" s="790"/>
      <c r="BN45" s="790"/>
      <c r="BO45" s="788"/>
      <c r="BP45" s="788"/>
      <c r="BQ45" s="788"/>
      <c r="BR45" s="788"/>
      <c r="BS45" s="788"/>
      <c r="BT45" s="788"/>
      <c r="BU45" s="788"/>
      <c r="BV45" s="788"/>
      <c r="BW45" s="788"/>
      <c r="BX45" s="788"/>
      <c r="BY45" s="788"/>
      <c r="BZ45" s="788" t="s">
        <v>904</v>
      </c>
      <c r="CA45" s="788"/>
      <c r="CB45" s="788"/>
      <c r="CC45" s="788"/>
      <c r="CD45" s="788"/>
      <c r="CE45" s="788"/>
      <c r="CF45" s="817"/>
      <c r="CG45" s="817"/>
      <c r="CH45" s="817"/>
      <c r="CI45" s="817"/>
      <c r="CJ45" s="817"/>
      <c r="CK45" s="817" t="s">
        <v>966</v>
      </c>
      <c r="CL45" s="817"/>
      <c r="CM45" s="817"/>
      <c r="CN45" s="817"/>
      <c r="CO45" s="817"/>
      <c r="CP45" s="817"/>
      <c r="CQ45" s="817"/>
      <c r="CR45" s="817"/>
      <c r="CS45" s="854"/>
      <c r="CT45" s="854" t="s">
        <v>1031</v>
      </c>
      <c r="CU45" s="854"/>
      <c r="CV45" s="854"/>
      <c r="CW45" s="854"/>
      <c r="CX45" s="854"/>
      <c r="CY45" s="854"/>
      <c r="CZ45" s="872"/>
      <c r="DA45" s="871"/>
      <c r="DB45" s="871"/>
      <c r="DC45" s="888"/>
      <c r="DD45" s="888"/>
      <c r="DE45" s="888" t="s">
        <v>1076</v>
      </c>
      <c r="DF45" s="888"/>
      <c r="DG45" s="888"/>
      <c r="DH45" s="888"/>
      <c r="DI45" s="887"/>
      <c r="DJ45" s="888"/>
      <c r="DK45" s="888"/>
      <c r="DL45" s="888"/>
      <c r="DM45" s="888"/>
      <c r="DN45" s="888"/>
      <c r="DO45" s="888"/>
      <c r="DP45" s="888"/>
      <c r="DQ45" s="954"/>
      <c r="DR45" s="954"/>
      <c r="DS45" s="954"/>
      <c r="DT45" s="954"/>
      <c r="DU45" s="949"/>
      <c r="DV45" s="954"/>
      <c r="DW45" s="954"/>
      <c r="DX45" s="954"/>
      <c r="DY45" s="954"/>
      <c r="DZ45" s="954"/>
      <c r="EA45" s="954"/>
      <c r="EB45" s="954"/>
      <c r="EC45" s="954"/>
      <c r="ED45" s="949"/>
      <c r="EE45" s="954" t="s">
        <v>1320</v>
      </c>
      <c r="EF45" s="954"/>
      <c r="EG45" s="954"/>
      <c r="EH45" s="954"/>
      <c r="EI45" s="954"/>
      <c r="EJ45" s="954"/>
      <c r="EK45" s="949"/>
      <c r="EL45" s="954"/>
      <c r="EM45" s="954"/>
      <c r="EN45" s="954"/>
      <c r="EO45" s="954"/>
      <c r="EP45" s="954"/>
      <c r="EQ45" s="954"/>
      <c r="ER45" s="954"/>
      <c r="ES45" s="954"/>
      <c r="ET45" s="954"/>
      <c r="EU45" s="954"/>
      <c r="EV45" s="897"/>
      <c r="EW45" s="897"/>
      <c r="EX45" s="897"/>
      <c r="EY45" s="897"/>
      <c r="EZ45" s="897"/>
      <c r="FA45" s="897"/>
      <c r="FB45" s="897"/>
      <c r="FC45" s="897"/>
      <c r="FD45" s="897"/>
      <c r="FE45" s="897"/>
      <c r="FF45" s="897"/>
      <c r="FG45" s="897"/>
      <c r="FH45" s="897"/>
      <c r="FI45" s="897"/>
      <c r="FJ45" s="897"/>
      <c r="FK45" s="897"/>
      <c r="FL45" s="897"/>
      <c r="FM45" s="897"/>
      <c r="FN45" s="897"/>
      <c r="FO45" s="897"/>
      <c r="FP45" s="897"/>
      <c r="FQ45" s="897"/>
      <c r="FR45" s="897"/>
      <c r="FS45" s="897"/>
      <c r="FT45" s="897"/>
      <c r="FU45" s="897"/>
      <c r="FV45" s="897"/>
      <c r="FW45" s="897"/>
      <c r="FX45" s="897"/>
      <c r="FY45" s="897"/>
      <c r="FZ45" s="897"/>
      <c r="GA45" s="897"/>
      <c r="GB45" s="897"/>
      <c r="GC45" s="897"/>
      <c r="GD45" s="897"/>
      <c r="GE45" s="897"/>
      <c r="GF45" s="897"/>
      <c r="GG45" s="897"/>
      <c r="GH45" s="897"/>
      <c r="GI45" s="897"/>
      <c r="GJ45" s="897"/>
      <c r="GK45" s="897"/>
      <c r="GL45" s="897"/>
      <c r="GM45" s="897"/>
      <c r="GN45" s="897"/>
      <c r="GO45" s="897"/>
      <c r="GP45" s="897"/>
      <c r="GQ45" s="897"/>
      <c r="GR45" s="897"/>
      <c r="GS45" s="897"/>
      <c r="GT45" s="897"/>
      <c r="GU45" s="897"/>
      <c r="GV45" s="897"/>
      <c r="GW45" s="897"/>
      <c r="GX45" s="897"/>
      <c r="GY45" s="897"/>
      <c r="GZ45" s="897"/>
      <c r="HA45" s="897"/>
      <c r="HB45" s="897"/>
      <c r="HC45" s="897"/>
      <c r="HD45" s="897"/>
      <c r="HE45" s="897"/>
      <c r="HF45" s="897"/>
      <c r="HG45" s="897"/>
      <c r="HH45" s="897"/>
      <c r="HI45" s="897"/>
      <c r="HJ45" s="897"/>
      <c r="HK45" s="897"/>
      <c r="HL45" s="897"/>
      <c r="HM45" s="897"/>
      <c r="HN45" s="897"/>
      <c r="HO45" s="897"/>
      <c r="HP45" s="897"/>
      <c r="HQ45" s="897"/>
      <c r="HR45" s="897"/>
      <c r="HS45" s="897"/>
      <c r="HT45" s="897"/>
      <c r="HU45" s="897"/>
      <c r="HV45" s="897"/>
      <c r="HW45" s="897"/>
      <c r="HX45" s="897"/>
      <c r="HY45" s="897"/>
      <c r="HZ45" s="897"/>
      <c r="IA45" s="897"/>
      <c r="IB45" s="897"/>
      <c r="IC45" s="897"/>
      <c r="ID45" s="897"/>
      <c r="IE45" s="897"/>
      <c r="IF45" s="897"/>
      <c r="IG45" s="897"/>
      <c r="IH45" s="897"/>
      <c r="II45" s="897"/>
      <c r="IJ45" s="897"/>
      <c r="IK45" s="897"/>
      <c r="IL45" s="897"/>
      <c r="IM45" s="897"/>
      <c r="IN45" s="897"/>
      <c r="IO45" s="897"/>
      <c r="IP45" s="897"/>
      <c r="IQ45" s="897"/>
      <c r="IR45" s="897"/>
      <c r="IS45" s="897"/>
      <c r="IT45" s="897"/>
      <c r="IU45" s="897"/>
      <c r="IV45" s="897"/>
      <c r="IW45" s="897"/>
      <c r="IX45" s="897"/>
      <c r="IY45" s="897"/>
      <c r="IZ45" s="897"/>
      <c r="JA45" s="897"/>
      <c r="JB45" s="897"/>
      <c r="JC45" s="897"/>
      <c r="JD45" s="897"/>
      <c r="JE45" s="897"/>
      <c r="JF45" s="897"/>
      <c r="JG45" s="897"/>
      <c r="JH45" s="897"/>
      <c r="JI45" s="897"/>
      <c r="JJ45" s="897"/>
      <c r="JK45" s="897"/>
      <c r="JL45" s="897"/>
      <c r="JM45" s="897"/>
      <c r="JN45" s="897"/>
      <c r="JO45" s="897"/>
      <c r="JP45" s="897"/>
      <c r="JQ45" s="897"/>
      <c r="JR45" s="897"/>
      <c r="JS45" s="897"/>
      <c r="JT45" s="897"/>
      <c r="JU45" s="897"/>
      <c r="JV45" s="897"/>
      <c r="JW45" s="897"/>
      <c r="JX45" s="897"/>
      <c r="JY45" s="897"/>
      <c r="JZ45" s="897"/>
      <c r="KA45" s="897"/>
      <c r="KB45" s="897"/>
      <c r="KC45" s="897"/>
      <c r="KD45" s="897"/>
      <c r="KE45" s="897"/>
      <c r="KF45" s="897"/>
      <c r="KG45" s="897"/>
      <c r="KH45" s="897"/>
      <c r="KI45" s="897"/>
      <c r="KJ45" s="897"/>
      <c r="KK45" s="897"/>
      <c r="KL45" s="897"/>
      <c r="KM45" s="897"/>
      <c r="KN45" s="897"/>
      <c r="KO45" s="897"/>
      <c r="KP45" s="897"/>
      <c r="KQ45" s="897"/>
      <c r="KR45" s="897"/>
      <c r="KS45" s="897"/>
      <c r="KT45" s="897"/>
      <c r="KU45" s="897"/>
      <c r="KV45" s="897"/>
      <c r="KW45" s="897"/>
      <c r="KX45" s="897"/>
      <c r="KY45" s="897"/>
      <c r="KZ45" s="897"/>
      <c r="LA45" s="897"/>
      <c r="LB45" s="897"/>
      <c r="LC45" s="897"/>
      <c r="LD45" s="897"/>
      <c r="LE45" s="897"/>
      <c r="LF45" s="897"/>
      <c r="LG45" s="897"/>
      <c r="LH45" s="897"/>
      <c r="LI45" s="897"/>
      <c r="LJ45" s="897"/>
      <c r="LK45" s="897"/>
      <c r="LL45" s="897"/>
      <c r="LM45" s="897"/>
      <c r="LN45" s="897"/>
      <c r="LO45" s="897"/>
      <c r="LP45" s="897"/>
      <c r="LQ45" s="897"/>
      <c r="LR45" s="897"/>
      <c r="LS45" s="897"/>
      <c r="LT45" s="897"/>
      <c r="LU45" s="897"/>
      <c r="LV45" s="897"/>
      <c r="LW45" s="897"/>
      <c r="LX45" s="897"/>
      <c r="LY45" s="897"/>
      <c r="LZ45" s="897"/>
      <c r="MA45" s="897"/>
      <c r="MB45" s="897"/>
      <c r="MC45" s="897"/>
      <c r="MD45" s="897"/>
      <c r="ME45" s="897"/>
      <c r="MF45" s="897"/>
      <c r="MG45" s="897"/>
      <c r="MH45" s="897"/>
      <c r="MI45" s="897"/>
      <c r="MJ45" s="897"/>
      <c r="MK45" s="897"/>
      <c r="ML45" s="897"/>
      <c r="MM45" s="897"/>
      <c r="MN45" s="897"/>
      <c r="MO45" s="897"/>
      <c r="MP45" s="897"/>
      <c r="MQ45" s="897"/>
      <c r="MR45" s="897"/>
      <c r="MS45" s="897"/>
      <c r="MT45" s="897"/>
      <c r="MU45" s="897"/>
      <c r="MV45" s="897"/>
      <c r="MW45" s="897"/>
      <c r="MX45" s="897"/>
      <c r="MY45" s="897"/>
      <c r="MZ45" s="897"/>
      <c r="NA45" s="897"/>
      <c r="NB45" s="897"/>
      <c r="NC45" s="897"/>
      <c r="ND45" s="897"/>
      <c r="NE45" s="897"/>
      <c r="NF45" s="897"/>
      <c r="NG45" s="897"/>
      <c r="NH45" s="897"/>
      <c r="NI45" s="897"/>
      <c r="NJ45" s="897"/>
      <c r="NK45" s="897"/>
      <c r="NL45" s="897"/>
      <c r="NM45" s="897"/>
      <c r="NN45" s="897"/>
      <c r="NO45" s="897"/>
      <c r="NP45" s="897"/>
      <c r="NQ45" s="897"/>
      <c r="NR45" s="897"/>
      <c r="NS45" s="897"/>
      <c r="NT45" s="897"/>
      <c r="NU45" s="897"/>
      <c r="NV45" s="897"/>
      <c r="NW45" s="897"/>
      <c r="NX45" s="897"/>
      <c r="NY45" s="897"/>
      <c r="NZ45" s="897"/>
      <c r="OA45" s="897"/>
      <c r="OB45" s="897"/>
      <c r="OC45" s="897"/>
      <c r="OD45" s="897"/>
      <c r="OE45" s="897"/>
      <c r="OF45" s="897"/>
      <c r="OG45" s="897"/>
      <c r="OH45" s="897"/>
      <c r="OI45" s="897"/>
      <c r="OJ45" s="897"/>
      <c r="OK45" s="897"/>
      <c r="OL45" s="897"/>
      <c r="OM45" s="897"/>
      <c r="ON45" s="897"/>
      <c r="OO45" s="897"/>
      <c r="OP45" s="897"/>
      <c r="OQ45" s="897"/>
      <c r="OR45" s="897"/>
      <c r="OS45" s="897"/>
      <c r="OT45" s="897"/>
      <c r="OU45" s="897"/>
      <c r="OV45" s="897"/>
      <c r="OW45" s="897"/>
      <c r="OX45" s="897"/>
      <c r="OY45" s="897"/>
      <c r="OZ45" s="897"/>
      <c r="PA45" s="897"/>
      <c r="PB45" s="897"/>
      <c r="PC45" s="897"/>
      <c r="PD45" s="897"/>
      <c r="PE45" s="897"/>
      <c r="PF45" s="897"/>
      <c r="PG45" s="897"/>
      <c r="PH45" s="897"/>
      <c r="PI45" s="897"/>
      <c r="PJ45" s="897"/>
      <c r="PK45" s="897"/>
      <c r="PL45" s="897"/>
      <c r="PM45" s="897"/>
      <c r="PN45" s="897"/>
      <c r="PO45" s="897"/>
      <c r="PP45" s="897"/>
      <c r="PQ45" s="897"/>
      <c r="PR45" s="897"/>
      <c r="PS45" s="897"/>
      <c r="PT45" s="897"/>
      <c r="PU45" s="897"/>
      <c r="PV45" s="897"/>
      <c r="PW45" s="897"/>
      <c r="PX45" s="897"/>
      <c r="PY45" s="897"/>
      <c r="PZ45" s="897"/>
      <c r="QA45" s="897"/>
      <c r="QB45" s="897"/>
      <c r="QC45" s="897"/>
      <c r="QD45" s="897"/>
      <c r="QE45" s="897"/>
      <c r="QF45" s="897"/>
      <c r="QG45" s="897"/>
    </row>
    <row r="46" spans="1:449" s="800" customFormat="1" ht="24.75" thickBot="1" x14ac:dyDescent="0.25">
      <c r="A46" s="1081" t="s">
        <v>908</v>
      </c>
      <c r="B46" s="962" t="s">
        <v>909</v>
      </c>
      <c r="C46" s="790"/>
      <c r="D46" s="790"/>
      <c r="E46" s="790"/>
      <c r="F46" s="790"/>
      <c r="G46" s="790"/>
      <c r="H46" s="790"/>
      <c r="I46" s="791"/>
      <c r="J46" s="803" t="s">
        <v>910</v>
      </c>
      <c r="K46" s="1018" t="s">
        <v>911</v>
      </c>
      <c r="L46" s="1039"/>
      <c r="M46" s="1039"/>
      <c r="N46" s="1039"/>
      <c r="O46" s="1039"/>
      <c r="P46" s="1039"/>
      <c r="Q46" s="1019"/>
      <c r="R46" s="1018" t="s">
        <v>912</v>
      </c>
      <c r="S46" s="1019"/>
      <c r="T46" s="1018" t="s">
        <v>913</v>
      </c>
      <c r="U46" s="1019"/>
      <c r="V46" s="792"/>
      <c r="W46" s="790"/>
      <c r="X46" s="790"/>
      <c r="Y46" s="790"/>
      <c r="Z46" s="790"/>
      <c r="AA46" s="790"/>
      <c r="AB46" s="790"/>
      <c r="AC46" s="790"/>
      <c r="AD46" s="791"/>
      <c r="AE46" s="803" t="s">
        <v>754</v>
      </c>
      <c r="AF46" s="792"/>
      <c r="AG46" s="790"/>
      <c r="AH46" s="790"/>
      <c r="AI46" s="790"/>
      <c r="AJ46" s="791"/>
      <c r="AK46" s="803" t="s">
        <v>914</v>
      </c>
      <c r="AL46" s="1018" t="s">
        <v>915</v>
      </c>
      <c r="AM46" s="1019"/>
      <c r="AN46" s="1018" t="s">
        <v>909</v>
      </c>
      <c r="AO46" s="1039"/>
      <c r="AP46" s="1039"/>
      <c r="AQ46" s="1039"/>
      <c r="AR46" s="1019"/>
      <c r="AS46" s="1018" t="s">
        <v>912</v>
      </c>
      <c r="AT46" s="1019"/>
      <c r="AU46" s="1018" t="s">
        <v>916</v>
      </c>
      <c r="AV46" s="1019"/>
      <c r="AW46" s="792"/>
      <c r="AX46" s="790"/>
      <c r="AY46" s="790"/>
      <c r="AZ46" s="790"/>
      <c r="BA46" s="790"/>
      <c r="BB46" s="790"/>
      <c r="BC46" s="790"/>
      <c r="BD46" s="790" t="s">
        <v>917</v>
      </c>
      <c r="BE46" s="790"/>
      <c r="BF46" s="790"/>
      <c r="BG46" s="790"/>
      <c r="BH46" s="790"/>
      <c r="BI46" s="790" t="s">
        <v>918</v>
      </c>
      <c r="BJ46" s="798" t="s">
        <v>919</v>
      </c>
      <c r="BK46" s="790"/>
      <c r="BL46" s="790" t="s">
        <v>920</v>
      </c>
      <c r="BN46" s="790"/>
      <c r="BO46" s="788"/>
      <c r="BP46" s="788"/>
      <c r="BQ46" s="790" t="s">
        <v>921</v>
      </c>
      <c r="BR46" s="788"/>
      <c r="BS46" s="788"/>
      <c r="BT46" s="790" t="s">
        <v>922</v>
      </c>
      <c r="BU46" s="788"/>
      <c r="BV46" s="788"/>
      <c r="BW46" s="788"/>
      <c r="BX46" s="788"/>
      <c r="BY46" s="788"/>
      <c r="BZ46" s="788"/>
      <c r="CA46" s="788"/>
      <c r="CB46" s="788"/>
      <c r="CC46" s="788"/>
      <c r="CD46" s="788"/>
      <c r="CE46" s="788"/>
      <c r="CF46" s="817"/>
      <c r="CG46" s="817"/>
      <c r="CH46" s="817"/>
      <c r="CI46" s="817"/>
      <c r="CJ46" s="817"/>
      <c r="CK46" s="817"/>
      <c r="CL46" s="817"/>
      <c r="CM46" s="798" t="s">
        <v>919</v>
      </c>
      <c r="CN46" s="798" t="s">
        <v>919</v>
      </c>
      <c r="CO46" s="798"/>
      <c r="CP46" s="798"/>
      <c r="CQ46" s="798" t="s">
        <v>999</v>
      </c>
      <c r="CR46" s="798"/>
      <c r="CS46" s="854"/>
      <c r="CT46" s="854"/>
      <c r="CU46" s="1011" t="s">
        <v>1020</v>
      </c>
      <c r="CV46" s="1012"/>
      <c r="CW46" s="1013"/>
      <c r="DA46" s="871"/>
      <c r="DB46" s="871"/>
      <c r="DC46" s="888"/>
      <c r="DD46" s="888"/>
      <c r="DE46" s="888"/>
      <c r="DF46" s="888"/>
      <c r="DG46" s="888"/>
      <c r="DH46" s="888"/>
      <c r="DI46" s="887"/>
      <c r="DJ46" s="888"/>
      <c r="DK46" s="888"/>
      <c r="DL46" s="888"/>
      <c r="DM46" s="1011" t="s">
        <v>1143</v>
      </c>
      <c r="DN46" s="1012"/>
      <c r="DO46" s="1013"/>
      <c r="DP46" s="888"/>
      <c r="DQ46" s="954"/>
      <c r="DR46" s="954" t="s">
        <v>1195</v>
      </c>
      <c r="DS46" s="954"/>
      <c r="DT46" s="954"/>
      <c r="DU46" s="949" t="s">
        <v>1196</v>
      </c>
      <c r="DV46" s="954"/>
      <c r="DW46" s="954"/>
      <c r="DX46" s="954"/>
      <c r="DY46" s="954"/>
      <c r="DZ46" s="954"/>
      <c r="EA46" s="954"/>
      <c r="EB46" s="954"/>
      <c r="EC46" s="954"/>
      <c r="ED46" s="949"/>
      <c r="EE46" s="954"/>
      <c r="EF46" s="954"/>
      <c r="EG46" s="954"/>
      <c r="EH46" s="954"/>
      <c r="EI46" s="954"/>
      <c r="EJ46" s="954"/>
      <c r="EK46" s="949"/>
      <c r="EL46" s="954"/>
      <c r="EM46" s="954"/>
      <c r="EN46" s="954"/>
      <c r="EO46" s="954"/>
      <c r="EP46" s="954"/>
      <c r="EQ46" s="954"/>
      <c r="ER46" s="954"/>
      <c r="ES46" s="954"/>
      <c r="ET46" s="954"/>
      <c r="EU46" s="954"/>
      <c r="EV46" s="897"/>
      <c r="EW46" s="897"/>
      <c r="EX46" s="897"/>
      <c r="EY46" s="897"/>
      <c r="EZ46" s="897"/>
      <c r="FA46" s="897"/>
      <c r="FB46" s="897"/>
      <c r="FC46" s="897"/>
      <c r="FD46" s="897"/>
      <c r="FE46" s="897"/>
      <c r="FF46" s="897"/>
      <c r="FG46" s="897"/>
      <c r="FH46" s="897"/>
      <c r="FI46" s="897"/>
      <c r="FJ46" s="897"/>
      <c r="FK46" s="897"/>
      <c r="FL46" s="897"/>
      <c r="FM46" s="897"/>
      <c r="FN46" s="897"/>
      <c r="FO46" s="897"/>
      <c r="FP46" s="897"/>
      <c r="FQ46" s="897"/>
      <c r="FR46" s="897"/>
      <c r="FS46" s="897"/>
      <c r="FT46" s="897"/>
      <c r="FU46" s="897"/>
      <c r="FV46" s="897"/>
      <c r="FW46" s="897"/>
      <c r="FX46" s="897"/>
      <c r="FY46" s="897"/>
      <c r="FZ46" s="897"/>
      <c r="GA46" s="897"/>
      <c r="GB46" s="897"/>
      <c r="GC46" s="897"/>
      <c r="GD46" s="897"/>
      <c r="GE46" s="897"/>
      <c r="GF46" s="897"/>
      <c r="GG46" s="897"/>
      <c r="GH46" s="897"/>
      <c r="GI46" s="897"/>
      <c r="GJ46" s="897"/>
      <c r="GK46" s="897"/>
      <c r="GL46" s="897"/>
      <c r="GM46" s="897"/>
      <c r="GN46" s="897"/>
      <c r="GO46" s="897"/>
      <c r="GP46" s="897"/>
      <c r="GQ46" s="897"/>
      <c r="GR46" s="897"/>
      <c r="GS46" s="897"/>
      <c r="GT46" s="897"/>
      <c r="GU46" s="897"/>
      <c r="GV46" s="897"/>
      <c r="GW46" s="897"/>
      <c r="GX46" s="897"/>
      <c r="GY46" s="897"/>
      <c r="GZ46" s="897"/>
      <c r="HA46" s="897"/>
      <c r="HB46" s="897"/>
      <c r="HC46" s="897"/>
      <c r="HD46" s="897"/>
      <c r="HE46" s="897"/>
      <c r="HF46" s="897"/>
      <c r="HG46" s="897"/>
      <c r="HH46" s="897"/>
      <c r="HI46" s="897"/>
      <c r="HJ46" s="897"/>
      <c r="HK46" s="897"/>
      <c r="HL46" s="897"/>
      <c r="HM46" s="897"/>
      <c r="HN46" s="897"/>
      <c r="HO46" s="897"/>
      <c r="HP46" s="897"/>
      <c r="HQ46" s="897"/>
      <c r="HR46" s="897"/>
      <c r="HS46" s="897"/>
      <c r="HT46" s="897"/>
      <c r="HU46" s="897"/>
      <c r="HV46" s="897"/>
      <c r="HW46" s="897"/>
      <c r="HX46" s="897"/>
      <c r="HY46" s="897"/>
      <c r="HZ46" s="897"/>
      <c r="IA46" s="897"/>
      <c r="IB46" s="897"/>
      <c r="IC46" s="897"/>
      <c r="ID46" s="897"/>
      <c r="IE46" s="897"/>
      <c r="IF46" s="897"/>
      <c r="IG46" s="897"/>
      <c r="IH46" s="897"/>
      <c r="II46" s="897"/>
      <c r="IJ46" s="897"/>
      <c r="IK46" s="897"/>
      <c r="IL46" s="897"/>
      <c r="IM46" s="897"/>
      <c r="IN46" s="897"/>
      <c r="IO46" s="897"/>
      <c r="IP46" s="897"/>
      <c r="IQ46" s="897"/>
      <c r="IR46" s="897"/>
      <c r="IS46" s="897"/>
      <c r="IT46" s="897"/>
      <c r="IU46" s="897"/>
      <c r="IV46" s="897"/>
      <c r="IW46" s="897"/>
      <c r="IX46" s="897"/>
      <c r="IY46" s="897"/>
      <c r="IZ46" s="897"/>
      <c r="JA46" s="897"/>
      <c r="JB46" s="897"/>
      <c r="JC46" s="897"/>
      <c r="JD46" s="897"/>
      <c r="JE46" s="897"/>
      <c r="JF46" s="897"/>
      <c r="JG46" s="897"/>
      <c r="JH46" s="897"/>
      <c r="JI46" s="897"/>
      <c r="JJ46" s="897"/>
      <c r="JK46" s="897"/>
      <c r="JL46" s="897"/>
      <c r="JM46" s="897"/>
      <c r="JN46" s="897"/>
      <c r="JO46" s="897"/>
      <c r="JP46" s="897"/>
      <c r="JQ46" s="897"/>
      <c r="JR46" s="897"/>
      <c r="JS46" s="897"/>
      <c r="JT46" s="897"/>
      <c r="JU46" s="897"/>
      <c r="JV46" s="897"/>
      <c r="JW46" s="897"/>
      <c r="JX46" s="897"/>
      <c r="JY46" s="897"/>
      <c r="JZ46" s="897"/>
      <c r="KA46" s="897"/>
      <c r="KB46" s="897"/>
      <c r="KC46" s="897"/>
      <c r="KD46" s="897"/>
      <c r="KE46" s="897"/>
      <c r="KF46" s="897"/>
      <c r="KG46" s="897"/>
      <c r="KH46" s="897"/>
      <c r="KI46" s="897"/>
      <c r="KJ46" s="897"/>
      <c r="KK46" s="897"/>
      <c r="KL46" s="897"/>
      <c r="KM46" s="897"/>
      <c r="KN46" s="897"/>
      <c r="KO46" s="897"/>
      <c r="KP46" s="897"/>
      <c r="KQ46" s="897"/>
      <c r="KR46" s="897"/>
      <c r="KS46" s="897"/>
      <c r="KT46" s="897"/>
      <c r="KU46" s="897"/>
      <c r="KV46" s="897"/>
      <c r="KW46" s="897"/>
      <c r="KX46" s="897"/>
      <c r="KY46" s="897"/>
      <c r="KZ46" s="897"/>
      <c r="LA46" s="897"/>
      <c r="LB46" s="897"/>
      <c r="LC46" s="897"/>
      <c r="LD46" s="897"/>
      <c r="LE46" s="897"/>
      <c r="LF46" s="897"/>
      <c r="LG46" s="897"/>
      <c r="LH46" s="897"/>
      <c r="LI46" s="897"/>
      <c r="LJ46" s="897"/>
      <c r="LK46" s="897"/>
      <c r="LL46" s="897"/>
      <c r="LM46" s="897"/>
      <c r="LN46" s="897"/>
      <c r="LO46" s="897"/>
      <c r="LP46" s="897"/>
      <c r="LQ46" s="897"/>
      <c r="LR46" s="897"/>
      <c r="LS46" s="897"/>
      <c r="LT46" s="897"/>
      <c r="LU46" s="897"/>
      <c r="LV46" s="897"/>
      <c r="LW46" s="897"/>
      <c r="LX46" s="897"/>
      <c r="LY46" s="897"/>
      <c r="LZ46" s="897"/>
      <c r="MA46" s="897"/>
      <c r="MB46" s="897"/>
      <c r="MC46" s="897"/>
      <c r="MD46" s="897"/>
      <c r="ME46" s="897"/>
      <c r="MF46" s="897"/>
      <c r="MG46" s="897"/>
      <c r="MH46" s="897"/>
      <c r="MI46" s="897"/>
      <c r="MJ46" s="897"/>
      <c r="MK46" s="897"/>
      <c r="ML46" s="897"/>
      <c r="MM46" s="897"/>
      <c r="MN46" s="897"/>
      <c r="MO46" s="897"/>
      <c r="MP46" s="897"/>
      <c r="MQ46" s="897"/>
      <c r="MR46" s="897"/>
      <c r="MS46" s="897"/>
      <c r="MT46" s="897"/>
      <c r="MU46" s="897"/>
      <c r="MV46" s="897"/>
      <c r="MW46" s="897"/>
      <c r="MX46" s="897"/>
      <c r="MY46" s="897"/>
      <c r="MZ46" s="897"/>
      <c r="NA46" s="897"/>
      <c r="NB46" s="897"/>
      <c r="NC46" s="897"/>
      <c r="ND46" s="897"/>
      <c r="NE46" s="897"/>
      <c r="NF46" s="897"/>
      <c r="NG46" s="897"/>
      <c r="NH46" s="897"/>
      <c r="NI46" s="897"/>
      <c r="NJ46" s="897"/>
      <c r="NK46" s="897"/>
      <c r="NL46" s="897"/>
      <c r="NM46" s="897"/>
      <c r="NN46" s="897"/>
      <c r="NO46" s="897"/>
      <c r="NP46" s="897"/>
      <c r="NQ46" s="897"/>
      <c r="NR46" s="897"/>
      <c r="NS46" s="897"/>
      <c r="NT46" s="897"/>
      <c r="NU46" s="897"/>
      <c r="NV46" s="897"/>
      <c r="NW46" s="897"/>
      <c r="NX46" s="897"/>
      <c r="NY46" s="897"/>
      <c r="NZ46" s="897"/>
      <c r="OA46" s="897"/>
      <c r="OB46" s="897"/>
      <c r="OC46" s="897"/>
      <c r="OD46" s="897"/>
      <c r="OE46" s="897"/>
      <c r="OF46" s="897"/>
      <c r="OG46" s="897"/>
      <c r="OH46" s="897"/>
      <c r="OI46" s="897"/>
      <c r="OJ46" s="897"/>
      <c r="OK46" s="897"/>
      <c r="OL46" s="897"/>
      <c r="OM46" s="897"/>
      <c r="ON46" s="897"/>
      <c r="OO46" s="897"/>
      <c r="OP46" s="897"/>
      <c r="OQ46" s="897"/>
      <c r="OR46" s="897"/>
      <c r="OS46" s="897"/>
      <c r="OT46" s="897"/>
      <c r="OU46" s="897"/>
      <c r="OV46" s="897"/>
      <c r="OW46" s="897"/>
      <c r="OX46" s="897"/>
      <c r="OY46" s="897"/>
      <c r="OZ46" s="897"/>
      <c r="PA46" s="897"/>
      <c r="PB46" s="897"/>
      <c r="PC46" s="897"/>
      <c r="PD46" s="897"/>
      <c r="PE46" s="897"/>
      <c r="PF46" s="897"/>
      <c r="PG46" s="897"/>
      <c r="PH46" s="897"/>
      <c r="PI46" s="897"/>
      <c r="PJ46" s="897"/>
      <c r="PK46" s="897"/>
      <c r="PL46" s="897"/>
      <c r="PM46" s="897"/>
      <c r="PN46" s="897"/>
      <c r="PO46" s="897"/>
      <c r="PP46" s="897"/>
      <c r="PQ46" s="897"/>
      <c r="PR46" s="897"/>
      <c r="PS46" s="897"/>
      <c r="PT46" s="897"/>
      <c r="PU46" s="897"/>
      <c r="PV46" s="897"/>
      <c r="PW46" s="897"/>
      <c r="PX46" s="897"/>
      <c r="PY46" s="897"/>
      <c r="PZ46" s="897"/>
      <c r="QA46" s="897"/>
      <c r="QB46" s="897"/>
      <c r="QC46" s="897"/>
      <c r="QD46" s="897"/>
      <c r="QE46" s="897"/>
      <c r="QF46" s="897"/>
      <c r="QG46" s="897"/>
    </row>
    <row r="47" spans="1:449" s="800" customFormat="1" ht="72.75" thickBot="1" x14ac:dyDescent="0.25">
      <c r="A47" s="1082"/>
      <c r="B47" s="962" t="s">
        <v>923</v>
      </c>
      <c r="C47" s="790"/>
      <c r="D47" s="790"/>
      <c r="E47" s="790"/>
      <c r="F47" s="790"/>
      <c r="G47" s="790"/>
      <c r="H47" s="790"/>
      <c r="I47" s="790"/>
      <c r="J47" s="794"/>
      <c r="K47" s="794"/>
      <c r="L47" s="795"/>
      <c r="M47" s="795"/>
      <c r="N47" s="795"/>
      <c r="O47" s="795"/>
      <c r="P47" s="795"/>
      <c r="Q47" s="795"/>
      <c r="R47" s="795"/>
      <c r="S47" s="795"/>
      <c r="T47" s="795"/>
      <c r="U47" s="795"/>
      <c r="V47" s="790"/>
      <c r="W47" s="790"/>
      <c r="X47" s="790"/>
      <c r="Y47" s="790"/>
      <c r="Z47" s="790"/>
      <c r="AA47" s="790"/>
      <c r="AB47" s="790"/>
      <c r="AC47" s="790"/>
      <c r="AD47" s="790"/>
      <c r="AE47" s="795"/>
      <c r="AF47" s="790"/>
      <c r="AG47" s="790"/>
      <c r="AH47" s="790"/>
      <c r="AI47" s="790"/>
      <c r="AJ47" s="790"/>
      <c r="AK47" s="797"/>
      <c r="AL47" s="795"/>
      <c r="AM47" s="795"/>
      <c r="AN47" s="797"/>
      <c r="AO47" s="1018" t="s">
        <v>924</v>
      </c>
      <c r="AP47" s="1039"/>
      <c r="AQ47" s="1039"/>
      <c r="AR47" s="1019"/>
      <c r="AS47" s="1018" t="s">
        <v>925</v>
      </c>
      <c r="AT47" s="1039"/>
      <c r="AU47" s="1039"/>
      <c r="AV47" s="1019"/>
      <c r="AW47" s="790"/>
      <c r="AX47" s="790"/>
      <c r="AY47" s="790"/>
      <c r="AZ47" s="790"/>
      <c r="BA47" s="790"/>
      <c r="BB47" s="790"/>
      <c r="BC47" s="790"/>
      <c r="BD47" s="790"/>
      <c r="BE47" s="790"/>
      <c r="BF47" s="790"/>
      <c r="BG47" s="790"/>
      <c r="BH47" s="790" t="s">
        <v>926</v>
      </c>
      <c r="BI47" s="790" t="s">
        <v>927</v>
      </c>
      <c r="BJ47" s="790"/>
      <c r="BK47" s="790"/>
      <c r="BL47" s="790"/>
      <c r="BM47" s="790" t="s">
        <v>928</v>
      </c>
      <c r="BN47" s="790" t="s">
        <v>929</v>
      </c>
      <c r="BO47" s="788"/>
      <c r="BP47" s="788"/>
      <c r="BQ47" s="788"/>
      <c r="BR47" s="788"/>
      <c r="BS47" s="788"/>
      <c r="BT47" s="788"/>
      <c r="BU47" s="788"/>
      <c r="BV47" s="788"/>
      <c r="BW47" s="788"/>
      <c r="BX47" s="790" t="s">
        <v>930</v>
      </c>
      <c r="BY47" s="788"/>
      <c r="BZ47" s="788"/>
      <c r="CA47" s="788"/>
      <c r="CB47" s="788"/>
      <c r="CC47" s="788"/>
      <c r="CD47" s="788"/>
      <c r="CE47" s="788"/>
      <c r="CF47" s="817"/>
      <c r="CG47" s="817"/>
      <c r="CH47" s="817"/>
      <c r="CI47" s="817"/>
      <c r="CJ47" s="817"/>
      <c r="CK47" s="817" t="s">
        <v>974</v>
      </c>
      <c r="CL47" s="823" t="s">
        <v>975</v>
      </c>
      <c r="CM47" s="823" t="s">
        <v>980</v>
      </c>
      <c r="CN47" s="823" t="s">
        <v>980</v>
      </c>
      <c r="CO47" s="823"/>
      <c r="CP47" s="823"/>
      <c r="CQ47" s="823" t="s">
        <v>929</v>
      </c>
      <c r="CR47" s="823"/>
      <c r="CS47" s="854"/>
      <c r="CT47" s="854"/>
      <c r="CU47" s="854"/>
      <c r="CV47" s="854"/>
      <c r="CW47" s="854" t="s">
        <v>1035</v>
      </c>
      <c r="CX47" s="854"/>
      <c r="CY47" s="854" t="s">
        <v>1053</v>
      </c>
      <c r="CZ47" s="872" t="s">
        <v>1054</v>
      </c>
      <c r="DA47" s="871"/>
      <c r="DB47" s="871"/>
      <c r="DC47" s="888"/>
      <c r="DD47" s="888" t="s">
        <v>1072</v>
      </c>
      <c r="DE47" s="888" t="s">
        <v>1073</v>
      </c>
      <c r="DF47" s="888" t="s">
        <v>1075</v>
      </c>
      <c r="DG47" s="888"/>
      <c r="DH47" s="888"/>
      <c r="DI47" s="887" t="s">
        <v>1100</v>
      </c>
      <c r="DJ47" s="888" t="s">
        <v>1102</v>
      </c>
      <c r="DK47" s="888" t="s">
        <v>1112</v>
      </c>
      <c r="DL47" s="888"/>
      <c r="DM47" s="888" t="s">
        <v>1144</v>
      </c>
      <c r="DN47" s="888"/>
      <c r="DO47" s="888"/>
      <c r="DP47" s="888"/>
      <c r="DQ47" s="954" t="s">
        <v>1168</v>
      </c>
      <c r="DR47" s="954" t="s">
        <v>1168</v>
      </c>
      <c r="DS47" s="954" t="s">
        <v>1185</v>
      </c>
      <c r="DT47" s="954" t="s">
        <v>1194</v>
      </c>
      <c r="DU47" s="949"/>
      <c r="DV47" s="954"/>
      <c r="DW47" s="954" t="s">
        <v>1215</v>
      </c>
      <c r="DX47" s="954" t="s">
        <v>1248</v>
      </c>
      <c r="DY47" s="954" t="s">
        <v>1250</v>
      </c>
      <c r="DZ47" s="954" t="s">
        <v>1249</v>
      </c>
      <c r="EA47" s="954" t="s">
        <v>1252</v>
      </c>
      <c r="EB47" s="954" t="s">
        <v>1252</v>
      </c>
      <c r="EC47" s="954"/>
      <c r="ED47" s="949"/>
      <c r="EE47" s="954"/>
      <c r="EF47" s="954" t="s">
        <v>1371</v>
      </c>
      <c r="EG47" s="954" t="s">
        <v>1371</v>
      </c>
      <c r="EH47" s="954"/>
      <c r="EI47" s="954" t="s">
        <v>1394</v>
      </c>
      <c r="EJ47" s="954" t="s">
        <v>1427</v>
      </c>
      <c r="EK47" s="949"/>
      <c r="EL47" s="954"/>
      <c r="EM47" s="954"/>
      <c r="EN47" s="954"/>
      <c r="EP47" s="954"/>
      <c r="EQ47" s="954"/>
      <c r="ER47" s="954"/>
      <c r="ES47" s="954"/>
      <c r="ET47" s="954"/>
      <c r="EU47" s="954"/>
      <c r="EV47" s="897"/>
      <c r="EW47" s="897"/>
      <c r="EX47" s="897"/>
      <c r="EY47" s="897"/>
      <c r="EZ47" s="897"/>
      <c r="FA47" s="897"/>
      <c r="FB47" s="897"/>
      <c r="FC47" s="897"/>
      <c r="FD47" s="897"/>
      <c r="FE47" s="897"/>
      <c r="FF47" s="897"/>
      <c r="FG47" s="897"/>
      <c r="FH47" s="897"/>
      <c r="FI47" s="897"/>
      <c r="FJ47" s="897"/>
      <c r="FK47" s="897"/>
      <c r="FL47" s="897"/>
      <c r="FM47" s="897"/>
      <c r="FN47" s="897"/>
      <c r="FO47" s="897"/>
      <c r="FP47" s="897"/>
      <c r="FQ47" s="897"/>
      <c r="FR47" s="897"/>
      <c r="FS47" s="897"/>
      <c r="FT47" s="897"/>
      <c r="FU47" s="897"/>
      <c r="FV47" s="897"/>
      <c r="FW47" s="897"/>
      <c r="FX47" s="897"/>
      <c r="FY47" s="897"/>
      <c r="FZ47" s="897"/>
      <c r="GA47" s="897"/>
      <c r="GB47" s="897"/>
      <c r="GC47" s="897"/>
      <c r="GD47" s="897"/>
      <c r="GE47" s="897"/>
      <c r="GF47" s="897"/>
      <c r="GG47" s="897"/>
      <c r="GH47" s="897"/>
      <c r="GI47" s="897"/>
      <c r="GJ47" s="897"/>
      <c r="GK47" s="897"/>
      <c r="GL47" s="897"/>
      <c r="GM47" s="897"/>
      <c r="GN47" s="897"/>
      <c r="GO47" s="897"/>
      <c r="GP47" s="897"/>
      <c r="GQ47" s="897"/>
      <c r="GR47" s="897"/>
      <c r="GS47" s="897"/>
      <c r="GT47" s="897"/>
      <c r="GU47" s="897"/>
      <c r="GV47" s="897"/>
      <c r="GW47" s="897"/>
      <c r="GX47" s="897"/>
      <c r="GY47" s="897"/>
      <c r="GZ47" s="897"/>
      <c r="HA47" s="897"/>
      <c r="HB47" s="897"/>
      <c r="HC47" s="897"/>
      <c r="HD47" s="897"/>
      <c r="HE47" s="897"/>
      <c r="HF47" s="897"/>
      <c r="HG47" s="897"/>
      <c r="HH47" s="897"/>
      <c r="HI47" s="897"/>
      <c r="HJ47" s="897"/>
      <c r="HK47" s="897"/>
      <c r="HL47" s="897"/>
      <c r="HM47" s="897"/>
      <c r="HN47" s="897"/>
      <c r="HO47" s="897"/>
      <c r="HP47" s="897"/>
      <c r="HQ47" s="897"/>
      <c r="HR47" s="897"/>
      <c r="HS47" s="897"/>
      <c r="HT47" s="897"/>
      <c r="HU47" s="897"/>
      <c r="HV47" s="897"/>
      <c r="HW47" s="897"/>
      <c r="HX47" s="897"/>
      <c r="HY47" s="897"/>
      <c r="HZ47" s="897"/>
      <c r="IA47" s="897"/>
      <c r="IB47" s="897"/>
      <c r="IC47" s="897"/>
      <c r="ID47" s="897"/>
      <c r="IE47" s="897"/>
      <c r="IF47" s="897"/>
      <c r="IG47" s="897"/>
      <c r="IH47" s="897"/>
      <c r="II47" s="897"/>
      <c r="IJ47" s="897"/>
      <c r="IK47" s="897"/>
      <c r="IL47" s="897"/>
      <c r="IM47" s="897"/>
      <c r="IN47" s="897"/>
      <c r="IO47" s="897"/>
      <c r="IP47" s="897"/>
      <c r="IQ47" s="897"/>
      <c r="IR47" s="897"/>
      <c r="IS47" s="897"/>
      <c r="IT47" s="897"/>
      <c r="IU47" s="897"/>
      <c r="IV47" s="897"/>
      <c r="IW47" s="897"/>
      <c r="IX47" s="897"/>
      <c r="IY47" s="897"/>
      <c r="IZ47" s="897"/>
      <c r="JA47" s="897"/>
      <c r="JB47" s="897"/>
      <c r="JC47" s="897"/>
      <c r="JD47" s="897"/>
      <c r="JE47" s="897"/>
      <c r="JF47" s="897"/>
      <c r="JG47" s="897"/>
      <c r="JH47" s="897"/>
      <c r="JI47" s="897"/>
      <c r="JJ47" s="897"/>
      <c r="JK47" s="897"/>
      <c r="JL47" s="897"/>
      <c r="JM47" s="897"/>
      <c r="JN47" s="897"/>
      <c r="JO47" s="897"/>
      <c r="JP47" s="897"/>
      <c r="JQ47" s="897"/>
      <c r="JR47" s="897"/>
      <c r="JS47" s="897"/>
      <c r="JT47" s="897"/>
      <c r="JU47" s="897"/>
      <c r="JV47" s="897"/>
      <c r="JW47" s="897"/>
      <c r="JX47" s="897"/>
      <c r="JY47" s="897"/>
      <c r="JZ47" s="897"/>
      <c r="KA47" s="897"/>
      <c r="KB47" s="897"/>
      <c r="KC47" s="897"/>
      <c r="KD47" s="897"/>
      <c r="KE47" s="897"/>
      <c r="KF47" s="897"/>
      <c r="KG47" s="897"/>
      <c r="KH47" s="897"/>
      <c r="KI47" s="897"/>
      <c r="KJ47" s="897"/>
      <c r="KK47" s="897"/>
      <c r="KL47" s="897"/>
      <c r="KM47" s="897"/>
      <c r="KN47" s="897"/>
      <c r="KO47" s="897"/>
      <c r="KP47" s="897"/>
      <c r="KQ47" s="897"/>
      <c r="KR47" s="897"/>
      <c r="KS47" s="897"/>
      <c r="KT47" s="897"/>
      <c r="KU47" s="897"/>
      <c r="KV47" s="897"/>
      <c r="KW47" s="897"/>
      <c r="KX47" s="897"/>
      <c r="KY47" s="897"/>
      <c r="KZ47" s="897"/>
      <c r="LA47" s="897"/>
      <c r="LB47" s="897"/>
      <c r="LC47" s="897"/>
      <c r="LD47" s="897"/>
      <c r="LE47" s="897"/>
      <c r="LF47" s="897"/>
      <c r="LG47" s="897"/>
      <c r="LH47" s="897"/>
      <c r="LI47" s="897"/>
      <c r="LJ47" s="897"/>
      <c r="LK47" s="897"/>
      <c r="LL47" s="897"/>
      <c r="LM47" s="897"/>
      <c r="LN47" s="897"/>
      <c r="LO47" s="897"/>
      <c r="LP47" s="897"/>
      <c r="LQ47" s="897"/>
      <c r="LR47" s="897"/>
      <c r="LS47" s="897"/>
      <c r="LT47" s="897"/>
      <c r="LU47" s="897"/>
      <c r="LV47" s="897"/>
      <c r="LW47" s="897"/>
      <c r="LX47" s="897"/>
      <c r="LY47" s="897"/>
      <c r="LZ47" s="897"/>
      <c r="MA47" s="897"/>
      <c r="MB47" s="897"/>
      <c r="MC47" s="897"/>
      <c r="MD47" s="897"/>
      <c r="ME47" s="897"/>
      <c r="MF47" s="897"/>
      <c r="MG47" s="897"/>
      <c r="MH47" s="897"/>
      <c r="MI47" s="897"/>
      <c r="MJ47" s="897"/>
      <c r="MK47" s="897"/>
      <c r="ML47" s="897"/>
      <c r="MM47" s="897"/>
      <c r="MN47" s="897"/>
      <c r="MO47" s="897"/>
      <c r="MP47" s="897"/>
      <c r="MQ47" s="897"/>
      <c r="MR47" s="897"/>
      <c r="MS47" s="897"/>
      <c r="MT47" s="897"/>
      <c r="MU47" s="897"/>
      <c r="MV47" s="897"/>
      <c r="MW47" s="897"/>
      <c r="MX47" s="897"/>
      <c r="MY47" s="897"/>
      <c r="MZ47" s="897"/>
      <c r="NA47" s="897"/>
      <c r="NB47" s="897"/>
      <c r="NC47" s="897"/>
      <c r="ND47" s="897"/>
      <c r="NE47" s="897"/>
      <c r="NF47" s="897"/>
      <c r="NG47" s="897"/>
      <c r="NH47" s="897"/>
      <c r="NI47" s="897"/>
      <c r="NJ47" s="897"/>
      <c r="NK47" s="897"/>
      <c r="NL47" s="897"/>
      <c r="NM47" s="897"/>
      <c r="NN47" s="897"/>
      <c r="NO47" s="897"/>
      <c r="NP47" s="897"/>
      <c r="NQ47" s="897"/>
      <c r="NR47" s="897"/>
      <c r="NS47" s="897"/>
      <c r="NT47" s="897"/>
      <c r="NU47" s="897"/>
      <c r="NV47" s="897"/>
      <c r="NW47" s="897"/>
      <c r="NX47" s="897"/>
      <c r="NY47" s="897"/>
      <c r="NZ47" s="897"/>
      <c r="OA47" s="897"/>
      <c r="OB47" s="897"/>
      <c r="OC47" s="897"/>
      <c r="OD47" s="897"/>
      <c r="OE47" s="897"/>
      <c r="OF47" s="897"/>
      <c r="OG47" s="897"/>
      <c r="OH47" s="897"/>
      <c r="OI47" s="897"/>
      <c r="OJ47" s="897"/>
      <c r="OK47" s="897"/>
      <c r="OL47" s="897"/>
      <c r="OM47" s="897"/>
      <c r="ON47" s="897"/>
      <c r="OO47" s="897"/>
      <c r="OP47" s="897"/>
      <c r="OQ47" s="897"/>
      <c r="OR47" s="897"/>
      <c r="OS47" s="897"/>
      <c r="OT47" s="897"/>
      <c r="OU47" s="897"/>
      <c r="OV47" s="897"/>
      <c r="OW47" s="897"/>
      <c r="OX47" s="897"/>
      <c r="OY47" s="897"/>
      <c r="OZ47" s="897"/>
      <c r="PA47" s="897"/>
      <c r="PB47" s="897"/>
      <c r="PC47" s="897"/>
      <c r="PD47" s="897"/>
      <c r="PE47" s="897"/>
      <c r="PF47" s="897"/>
      <c r="PG47" s="897"/>
      <c r="PH47" s="897"/>
      <c r="PI47" s="897"/>
      <c r="PJ47" s="897"/>
      <c r="PK47" s="897"/>
      <c r="PL47" s="897"/>
      <c r="PM47" s="897"/>
      <c r="PN47" s="897"/>
      <c r="PO47" s="897"/>
      <c r="PP47" s="897"/>
      <c r="PQ47" s="897"/>
      <c r="PR47" s="897"/>
      <c r="PS47" s="897"/>
      <c r="PT47" s="897"/>
      <c r="PU47" s="897"/>
      <c r="PV47" s="897"/>
      <c r="PW47" s="897"/>
      <c r="PX47" s="897"/>
      <c r="PY47" s="897"/>
      <c r="PZ47" s="897"/>
      <c r="QA47" s="897"/>
      <c r="QB47" s="897"/>
      <c r="QC47" s="897"/>
      <c r="QD47" s="897"/>
      <c r="QE47" s="897"/>
      <c r="QF47" s="897"/>
      <c r="QG47" s="897"/>
    </row>
    <row r="48" spans="1:449" s="800" customFormat="1" ht="35.25" customHeight="1" x14ac:dyDescent="0.2">
      <c r="A48" s="1082"/>
      <c r="B48" s="962" t="s">
        <v>931</v>
      </c>
      <c r="C48" s="790"/>
      <c r="D48" s="790"/>
      <c r="E48" s="790"/>
      <c r="F48" s="790" t="s">
        <v>932</v>
      </c>
      <c r="G48" s="790" t="s">
        <v>933</v>
      </c>
      <c r="H48" s="790"/>
      <c r="I48" s="790"/>
      <c r="V48" s="790"/>
      <c r="W48" s="790"/>
      <c r="X48" s="790"/>
      <c r="Y48" s="790"/>
      <c r="Z48" s="790"/>
      <c r="AA48" s="790" t="s">
        <v>934</v>
      </c>
      <c r="AB48" s="790"/>
      <c r="AC48" s="790"/>
      <c r="AD48" s="790"/>
      <c r="AF48" s="790"/>
      <c r="AG48" s="790"/>
      <c r="AH48" s="790"/>
      <c r="AI48" s="790"/>
      <c r="AJ48" s="790"/>
      <c r="AL48" s="788"/>
      <c r="AM48" s="788"/>
      <c r="AN48" s="788"/>
      <c r="AO48" s="794"/>
      <c r="AP48" s="794"/>
      <c r="AQ48" s="794"/>
      <c r="AR48" s="794"/>
      <c r="AS48" s="794"/>
      <c r="AT48" s="794"/>
      <c r="AU48" s="794"/>
      <c r="AV48" s="794"/>
      <c r="AW48" s="792"/>
      <c r="AX48" s="790"/>
      <c r="AY48" s="790"/>
      <c r="AZ48" s="790"/>
      <c r="BA48" s="790"/>
      <c r="BB48" s="790"/>
      <c r="BC48" s="790"/>
      <c r="BE48" s="790"/>
      <c r="BF48" s="790" t="s">
        <v>935</v>
      </c>
      <c r="BG48" s="790"/>
      <c r="BH48" s="790"/>
      <c r="BI48" s="790"/>
      <c r="BJ48" s="790"/>
      <c r="BK48" s="790" t="s">
        <v>936</v>
      </c>
      <c r="BL48" s="790"/>
      <c r="BM48" s="802" t="s">
        <v>937</v>
      </c>
      <c r="BN48" s="802" t="s">
        <v>938</v>
      </c>
      <c r="BO48" s="788"/>
      <c r="BP48" s="788"/>
      <c r="BQ48" s="788"/>
      <c r="BR48" s="788"/>
      <c r="BS48" s="788"/>
      <c r="BT48" s="788" t="s">
        <v>1149</v>
      </c>
      <c r="BU48" s="788"/>
      <c r="BV48" s="788"/>
      <c r="BW48" s="788"/>
      <c r="BX48" s="788"/>
      <c r="BY48" s="790" t="s">
        <v>939</v>
      </c>
      <c r="BZ48" s="788"/>
      <c r="CA48" s="788"/>
      <c r="CB48" s="788"/>
      <c r="CC48" s="788"/>
      <c r="CD48" s="788"/>
      <c r="CE48" s="788"/>
      <c r="CF48" s="817"/>
      <c r="CG48" s="817"/>
      <c r="CH48" s="817" t="s">
        <v>977</v>
      </c>
      <c r="CI48" s="817"/>
      <c r="CJ48" s="817"/>
      <c r="CK48" s="817"/>
      <c r="CL48" s="817"/>
      <c r="CM48" s="823" t="s">
        <v>976</v>
      </c>
      <c r="CN48" s="823"/>
      <c r="CO48" s="823"/>
      <c r="CP48" s="823"/>
      <c r="CQ48" s="823"/>
      <c r="CR48" s="818" t="s">
        <v>1005</v>
      </c>
      <c r="CS48" s="818" t="s">
        <v>1025</v>
      </c>
      <c r="CT48" s="818" t="s">
        <v>1026</v>
      </c>
      <c r="CU48" s="818" t="s">
        <v>1027</v>
      </c>
      <c r="CV48" s="823"/>
      <c r="CW48" s="823"/>
      <c r="CX48" s="823"/>
      <c r="CY48" s="823"/>
      <c r="CZ48" s="873" t="s">
        <v>1048</v>
      </c>
      <c r="DA48" s="871"/>
      <c r="DB48" s="871"/>
      <c r="DC48" s="888"/>
      <c r="DD48" s="887"/>
      <c r="DE48" s="887"/>
      <c r="DF48" s="887"/>
      <c r="DG48" s="887" t="s">
        <v>1084</v>
      </c>
      <c r="DH48" s="887"/>
      <c r="DI48" s="887" t="s">
        <v>1101</v>
      </c>
      <c r="DJ48" s="887"/>
      <c r="DK48" s="887" t="s">
        <v>1114</v>
      </c>
      <c r="DL48" s="887"/>
      <c r="DM48" s="887"/>
      <c r="DN48" s="887" t="s">
        <v>1153</v>
      </c>
      <c r="DO48" s="887"/>
      <c r="DP48" s="887"/>
      <c r="DQ48" s="954"/>
      <c r="DR48" s="954"/>
      <c r="DS48" s="954"/>
      <c r="DT48" s="954"/>
      <c r="DU48" s="949"/>
      <c r="DV48" s="954"/>
      <c r="DW48" s="954"/>
      <c r="DX48" s="954"/>
      <c r="DY48" s="954"/>
      <c r="DZ48" s="954"/>
      <c r="EA48" s="954"/>
      <c r="EB48" s="954"/>
      <c r="EC48" s="954"/>
      <c r="ED48" s="949"/>
      <c r="EE48" s="954"/>
      <c r="EF48" s="954"/>
      <c r="EG48" s="954"/>
      <c r="EH48" s="954"/>
      <c r="EI48" s="954"/>
      <c r="EJ48" s="954"/>
      <c r="EK48" s="949"/>
      <c r="EL48" s="954"/>
      <c r="EM48" s="954"/>
      <c r="EN48" s="954"/>
      <c r="EO48" s="954"/>
      <c r="EP48" s="954"/>
      <c r="EQ48" s="954"/>
      <c r="ER48" s="954"/>
      <c r="ES48" s="954"/>
      <c r="ET48" s="954"/>
      <c r="EU48" s="954"/>
      <c r="EV48" s="897"/>
      <c r="EW48" s="897"/>
      <c r="EX48" s="897"/>
      <c r="EY48" s="897"/>
      <c r="EZ48" s="897"/>
      <c r="FA48" s="961" t="s">
        <v>1468</v>
      </c>
      <c r="FB48" s="897"/>
      <c r="FC48" s="897"/>
      <c r="FD48" s="897"/>
      <c r="FE48" s="897"/>
      <c r="FF48" s="897"/>
      <c r="FG48" s="897"/>
      <c r="FH48" s="897"/>
      <c r="FI48" s="897"/>
      <c r="FJ48" s="897"/>
      <c r="FK48" s="897"/>
      <c r="FL48" s="897"/>
      <c r="FM48" s="897"/>
      <c r="FN48" s="897"/>
      <c r="FO48" s="897"/>
      <c r="FP48" s="897"/>
      <c r="FQ48" s="897"/>
      <c r="FR48" s="897"/>
      <c r="FS48" s="897"/>
      <c r="FT48" s="897"/>
      <c r="FU48" s="897"/>
      <c r="FV48" s="897"/>
      <c r="FW48" s="897"/>
      <c r="FX48" s="897"/>
      <c r="FY48" s="897"/>
      <c r="FZ48" s="897"/>
      <c r="GA48" s="897"/>
      <c r="GB48" s="897"/>
      <c r="GC48" s="897"/>
      <c r="GD48" s="897"/>
      <c r="GE48" s="897"/>
      <c r="GF48" s="897"/>
      <c r="GG48" s="897"/>
      <c r="GH48" s="897"/>
      <c r="GI48" s="897"/>
      <c r="GJ48" s="897"/>
      <c r="GK48" s="897"/>
      <c r="GL48" s="897"/>
      <c r="GM48" s="897"/>
      <c r="GN48" s="897"/>
      <c r="GO48" s="897"/>
      <c r="GP48" s="897"/>
      <c r="GQ48" s="897"/>
      <c r="GR48" s="897"/>
      <c r="GS48" s="897"/>
      <c r="GT48" s="897"/>
      <c r="GU48" s="897"/>
      <c r="GV48" s="897"/>
      <c r="GW48" s="897"/>
      <c r="GX48" s="897"/>
      <c r="GY48" s="897"/>
      <c r="GZ48" s="897"/>
      <c r="HA48" s="897"/>
      <c r="HB48" s="897"/>
      <c r="HC48" s="897"/>
      <c r="HD48" s="897"/>
      <c r="HE48" s="897"/>
      <c r="HF48" s="897"/>
      <c r="HG48" s="897"/>
      <c r="HH48" s="897"/>
      <c r="HI48" s="897"/>
      <c r="HJ48" s="897"/>
      <c r="HK48" s="897"/>
      <c r="HL48" s="897"/>
      <c r="HM48" s="897"/>
      <c r="HN48" s="897"/>
      <c r="HO48" s="897"/>
      <c r="HP48" s="897"/>
      <c r="HQ48" s="897"/>
      <c r="HR48" s="897"/>
      <c r="HS48" s="897"/>
      <c r="HT48" s="897"/>
      <c r="HU48" s="897"/>
      <c r="HV48" s="897"/>
      <c r="HW48" s="897"/>
      <c r="HX48" s="897"/>
      <c r="HY48" s="897"/>
      <c r="HZ48" s="897"/>
      <c r="IA48" s="897"/>
      <c r="IB48" s="897"/>
      <c r="IC48" s="897"/>
      <c r="ID48" s="897"/>
      <c r="IE48" s="897"/>
      <c r="IF48" s="897"/>
      <c r="IG48" s="897"/>
      <c r="IH48" s="897"/>
      <c r="II48" s="897"/>
      <c r="IJ48" s="897"/>
      <c r="IK48" s="897"/>
      <c r="IL48" s="897"/>
      <c r="IM48" s="897"/>
      <c r="IN48" s="897"/>
      <c r="IO48" s="897"/>
      <c r="IP48" s="897"/>
      <c r="IQ48" s="897"/>
      <c r="IR48" s="897"/>
      <c r="IS48" s="897"/>
      <c r="IT48" s="897"/>
      <c r="IU48" s="897"/>
      <c r="IV48" s="897"/>
      <c r="IW48" s="897"/>
      <c r="IX48" s="897"/>
      <c r="IY48" s="897"/>
      <c r="IZ48" s="897"/>
      <c r="JA48" s="897"/>
      <c r="JB48" s="897"/>
      <c r="JC48" s="897"/>
      <c r="JD48" s="897"/>
      <c r="JE48" s="897"/>
      <c r="JF48" s="897"/>
      <c r="JG48" s="897"/>
      <c r="JH48" s="897"/>
      <c r="JI48" s="897"/>
      <c r="JJ48" s="897"/>
      <c r="JK48" s="897"/>
      <c r="JL48" s="897"/>
      <c r="JM48" s="897"/>
      <c r="JN48" s="897"/>
      <c r="JO48" s="897"/>
      <c r="JP48" s="897"/>
      <c r="JQ48" s="897"/>
      <c r="JR48" s="897"/>
      <c r="JS48" s="897"/>
      <c r="JT48" s="897"/>
      <c r="JU48" s="897"/>
      <c r="JV48" s="897"/>
      <c r="JW48" s="897"/>
      <c r="JX48" s="897"/>
      <c r="JY48" s="897"/>
      <c r="JZ48" s="897"/>
      <c r="KA48" s="897"/>
      <c r="KB48" s="897"/>
      <c r="KC48" s="897"/>
      <c r="KD48" s="897"/>
      <c r="KE48" s="897"/>
      <c r="KF48" s="897"/>
      <c r="KG48" s="897"/>
      <c r="KH48" s="897"/>
      <c r="KI48" s="897"/>
      <c r="KJ48" s="897"/>
      <c r="KK48" s="897"/>
      <c r="KL48" s="897"/>
      <c r="KM48" s="897"/>
      <c r="KN48" s="897"/>
      <c r="KO48" s="897"/>
      <c r="KP48" s="897"/>
      <c r="KQ48" s="897"/>
      <c r="KR48" s="897"/>
      <c r="KS48" s="897"/>
      <c r="KT48" s="897"/>
      <c r="KU48" s="897"/>
      <c r="KV48" s="897"/>
      <c r="KW48" s="897"/>
      <c r="KX48" s="897"/>
      <c r="KY48" s="897"/>
      <c r="KZ48" s="897"/>
      <c r="LA48" s="897"/>
      <c r="LB48" s="897"/>
      <c r="LC48" s="897"/>
      <c r="LD48" s="897"/>
      <c r="LE48" s="897"/>
      <c r="LF48" s="897"/>
      <c r="LG48" s="897"/>
      <c r="LH48" s="897"/>
      <c r="LI48" s="897"/>
      <c r="LJ48" s="897"/>
      <c r="LK48" s="897"/>
      <c r="LL48" s="897"/>
      <c r="LM48" s="897"/>
      <c r="LN48" s="897"/>
      <c r="LO48" s="897"/>
      <c r="LP48" s="897"/>
      <c r="LQ48" s="897"/>
      <c r="LR48" s="897"/>
      <c r="LS48" s="897"/>
      <c r="LT48" s="897"/>
      <c r="LU48" s="897"/>
      <c r="LV48" s="897"/>
      <c r="LW48" s="897"/>
      <c r="LX48" s="897"/>
      <c r="LY48" s="897"/>
      <c r="LZ48" s="897"/>
      <c r="MA48" s="897"/>
      <c r="MB48" s="897"/>
      <c r="MC48" s="897"/>
      <c r="MD48" s="897"/>
      <c r="ME48" s="897"/>
      <c r="MF48" s="897"/>
      <c r="MG48" s="897"/>
      <c r="MH48" s="897"/>
      <c r="MI48" s="897"/>
      <c r="MJ48" s="897"/>
      <c r="MK48" s="897"/>
      <c r="ML48" s="897"/>
      <c r="MM48" s="897"/>
      <c r="MN48" s="897"/>
      <c r="MO48" s="897"/>
      <c r="MP48" s="897"/>
      <c r="MQ48" s="897"/>
      <c r="MR48" s="897"/>
      <c r="MS48" s="897"/>
      <c r="MT48" s="897"/>
      <c r="MU48" s="897"/>
      <c r="MV48" s="897"/>
      <c r="MW48" s="897"/>
      <c r="MX48" s="897"/>
      <c r="MY48" s="897"/>
      <c r="MZ48" s="897"/>
      <c r="NA48" s="897"/>
      <c r="NB48" s="897"/>
      <c r="NC48" s="897"/>
      <c r="ND48" s="897"/>
      <c r="NE48" s="897"/>
      <c r="NF48" s="897"/>
      <c r="NG48" s="897"/>
      <c r="NH48" s="897"/>
      <c r="NI48" s="897"/>
      <c r="NJ48" s="897"/>
      <c r="NK48" s="897"/>
      <c r="NL48" s="897"/>
      <c r="NM48" s="897"/>
      <c r="NN48" s="897"/>
      <c r="NO48" s="897"/>
      <c r="NP48" s="897"/>
      <c r="NQ48" s="897"/>
      <c r="NR48" s="897"/>
      <c r="NS48" s="897"/>
      <c r="NT48" s="897"/>
      <c r="NU48" s="897"/>
      <c r="NV48" s="897"/>
      <c r="NW48" s="897"/>
      <c r="NX48" s="897"/>
      <c r="NY48" s="897"/>
      <c r="NZ48" s="897"/>
      <c r="OA48" s="897"/>
      <c r="OB48" s="897"/>
      <c r="OC48" s="897"/>
      <c r="OD48" s="897"/>
      <c r="OE48" s="897"/>
      <c r="OF48" s="897"/>
      <c r="OG48" s="897"/>
      <c r="OH48" s="897"/>
      <c r="OI48" s="897"/>
      <c r="OJ48" s="897"/>
      <c r="OK48" s="897"/>
      <c r="OL48" s="897"/>
      <c r="OM48" s="897"/>
      <c r="ON48" s="897"/>
      <c r="OO48" s="897"/>
      <c r="OP48" s="897"/>
      <c r="OQ48" s="897"/>
      <c r="OR48" s="897"/>
      <c r="OS48" s="897"/>
      <c r="OT48" s="897"/>
      <c r="OU48" s="897"/>
      <c r="OV48" s="897"/>
      <c r="OW48" s="897"/>
      <c r="OX48" s="897"/>
      <c r="OY48" s="897"/>
      <c r="OZ48" s="897"/>
      <c r="PA48" s="897"/>
      <c r="PB48" s="897"/>
      <c r="PC48" s="897"/>
      <c r="PD48" s="897"/>
      <c r="PE48" s="897"/>
      <c r="PF48" s="897"/>
      <c r="PG48" s="897"/>
      <c r="PH48" s="897"/>
      <c r="PI48" s="897"/>
      <c r="PJ48" s="897"/>
      <c r="PK48" s="897"/>
      <c r="PL48" s="897"/>
      <c r="PM48" s="897"/>
      <c r="PN48" s="897"/>
      <c r="PO48" s="897"/>
      <c r="PP48" s="897"/>
      <c r="PQ48" s="897"/>
      <c r="PR48" s="897"/>
      <c r="PS48" s="897"/>
      <c r="PT48" s="897"/>
      <c r="PU48" s="897"/>
      <c r="PV48" s="897"/>
      <c r="PW48" s="897"/>
      <c r="PX48" s="897"/>
      <c r="PY48" s="897"/>
      <c r="PZ48" s="897"/>
      <c r="QA48" s="897"/>
      <c r="QB48" s="897"/>
      <c r="QC48" s="897"/>
      <c r="QD48" s="897"/>
      <c r="QE48" s="897"/>
      <c r="QF48" s="897"/>
      <c r="QG48" s="897"/>
    </row>
    <row r="49" spans="1:449" s="800" customFormat="1" ht="60" x14ac:dyDescent="0.2">
      <c r="A49" s="1083"/>
      <c r="B49" s="962" t="s">
        <v>940</v>
      </c>
      <c r="C49" s="790"/>
      <c r="D49" s="790"/>
      <c r="E49" s="790"/>
      <c r="F49" s="790" t="s">
        <v>941</v>
      </c>
      <c r="G49" s="790" t="s">
        <v>941</v>
      </c>
      <c r="H49" s="790" t="s">
        <v>941</v>
      </c>
      <c r="I49" s="790" t="s">
        <v>941</v>
      </c>
      <c r="J49" s="790" t="s">
        <v>941</v>
      </c>
      <c r="K49" s="790" t="s">
        <v>941</v>
      </c>
      <c r="L49" s="790" t="s">
        <v>941</v>
      </c>
      <c r="M49" s="790" t="s">
        <v>941</v>
      </c>
      <c r="N49" s="790"/>
      <c r="O49" s="790"/>
      <c r="P49" s="790"/>
      <c r="Q49" s="790"/>
      <c r="R49" s="790"/>
      <c r="S49" s="790"/>
      <c r="T49" s="790"/>
      <c r="U49" s="790"/>
      <c r="V49" s="790"/>
      <c r="W49" s="790"/>
      <c r="X49" s="790"/>
      <c r="Y49" s="790" t="s">
        <v>941</v>
      </c>
      <c r="Z49" s="790" t="s">
        <v>941</v>
      </c>
      <c r="AA49" s="790" t="s">
        <v>941</v>
      </c>
      <c r="AB49" s="790" t="s">
        <v>941</v>
      </c>
      <c r="AC49" s="790" t="s">
        <v>941</v>
      </c>
      <c r="AD49" s="790" t="s">
        <v>941</v>
      </c>
      <c r="AE49" s="790" t="s">
        <v>941</v>
      </c>
      <c r="AF49" s="790" t="s">
        <v>941</v>
      </c>
      <c r="AG49" s="790" t="s">
        <v>941</v>
      </c>
      <c r="AH49" s="790" t="s">
        <v>941</v>
      </c>
      <c r="AI49" s="790"/>
      <c r="AJ49" s="790"/>
      <c r="AK49" s="791"/>
      <c r="AL49" s="790"/>
      <c r="AM49" s="790"/>
      <c r="AN49" s="790"/>
      <c r="AO49" s="788"/>
      <c r="AP49" s="788"/>
      <c r="AQ49" s="788"/>
      <c r="AR49" s="788"/>
      <c r="AS49" s="788"/>
      <c r="AT49" s="788"/>
      <c r="AU49" s="788"/>
      <c r="AV49" s="788"/>
      <c r="AW49" s="792"/>
      <c r="AX49" s="790"/>
      <c r="AY49" s="790"/>
      <c r="AZ49" s="790"/>
      <c r="BA49" s="790"/>
      <c r="BB49" s="790"/>
      <c r="BC49" s="790" t="s">
        <v>941</v>
      </c>
      <c r="BD49" s="790" t="s">
        <v>941</v>
      </c>
      <c r="BE49" s="790" t="s">
        <v>942</v>
      </c>
      <c r="BF49" s="790" t="s">
        <v>942</v>
      </c>
      <c r="BG49" s="790" t="s">
        <v>942</v>
      </c>
      <c r="BH49" s="790" t="s">
        <v>942</v>
      </c>
      <c r="BI49" s="790" t="s">
        <v>942</v>
      </c>
      <c r="BJ49" s="790" t="s">
        <v>942</v>
      </c>
      <c r="BK49" s="790" t="s">
        <v>943</v>
      </c>
      <c r="BL49" s="790" t="s">
        <v>943</v>
      </c>
      <c r="BM49" s="790" t="s">
        <v>943</v>
      </c>
      <c r="BN49" s="790"/>
      <c r="BO49" s="788"/>
      <c r="BP49" s="788"/>
      <c r="BQ49" s="788"/>
      <c r="BR49" s="788"/>
      <c r="BS49" s="788"/>
      <c r="BT49" s="788"/>
      <c r="BU49" s="788"/>
      <c r="BV49" s="788"/>
      <c r="BW49" s="788"/>
      <c r="BX49" s="788"/>
      <c r="BY49" s="788"/>
      <c r="BZ49" s="788"/>
      <c r="CA49" s="788"/>
      <c r="CB49" s="788"/>
      <c r="CC49" s="788"/>
      <c r="CD49" s="788"/>
      <c r="CE49" s="788"/>
      <c r="CF49" s="817"/>
      <c r="CG49" s="817"/>
      <c r="CH49" s="817"/>
      <c r="CI49" s="817"/>
      <c r="CJ49" s="817"/>
      <c r="CK49" s="817"/>
      <c r="CL49" s="817"/>
      <c r="CM49" s="817"/>
      <c r="CN49" s="817"/>
      <c r="CO49" s="817"/>
      <c r="CP49" s="817"/>
      <c r="CQ49" s="817"/>
      <c r="CR49" s="817"/>
      <c r="CS49" s="854"/>
      <c r="CT49" s="854"/>
      <c r="CU49" s="854"/>
      <c r="CV49" s="854"/>
      <c r="CW49" s="854" t="s">
        <v>942</v>
      </c>
      <c r="CX49" s="854"/>
      <c r="CY49" s="854"/>
      <c r="CZ49" s="872"/>
      <c r="DA49" s="871"/>
      <c r="DB49" s="871"/>
      <c r="DC49" s="888"/>
      <c r="DD49" s="888" t="s">
        <v>942</v>
      </c>
      <c r="DE49" s="888" t="s">
        <v>943</v>
      </c>
      <c r="DF49" s="888" t="s">
        <v>943</v>
      </c>
      <c r="DG49" s="888"/>
      <c r="DH49" s="888"/>
      <c r="DI49" s="887"/>
      <c r="DJ49" s="888"/>
      <c r="DK49" s="888" t="s">
        <v>1115</v>
      </c>
      <c r="DL49" s="888" t="s">
        <v>1116</v>
      </c>
      <c r="DM49" s="888" t="s">
        <v>1145</v>
      </c>
      <c r="DN49" s="888" t="s">
        <v>1154</v>
      </c>
      <c r="DO49" s="888" t="s">
        <v>1154</v>
      </c>
      <c r="DP49" s="888" t="s">
        <v>1163</v>
      </c>
      <c r="DQ49" s="954" t="s">
        <v>1175</v>
      </c>
      <c r="DR49" s="954" t="s">
        <v>1193</v>
      </c>
      <c r="DS49" s="954" t="s">
        <v>1193</v>
      </c>
      <c r="DT49" s="954" t="s">
        <v>1193</v>
      </c>
      <c r="DU49" s="949" t="s">
        <v>1209</v>
      </c>
      <c r="DV49" s="954" t="s">
        <v>1238</v>
      </c>
      <c r="DW49" s="954" t="s">
        <v>1239</v>
      </c>
      <c r="DX49" s="954" t="s">
        <v>1242</v>
      </c>
      <c r="DY49" s="954" t="s">
        <v>1242</v>
      </c>
      <c r="DZ49" s="954" t="s">
        <v>1276</v>
      </c>
      <c r="EA49" s="960" t="s">
        <v>1315</v>
      </c>
      <c r="EB49" s="954" t="s">
        <v>1315</v>
      </c>
      <c r="EC49" s="954" t="s">
        <v>1315</v>
      </c>
      <c r="ED49" s="949" t="s">
        <v>1316</v>
      </c>
      <c r="EE49" s="954" t="s">
        <v>1341</v>
      </c>
      <c r="EF49" s="954" t="s">
        <v>1370</v>
      </c>
      <c r="EG49" s="954" t="s">
        <v>1420</v>
      </c>
      <c r="EH49" s="954" t="s">
        <v>1421</v>
      </c>
      <c r="EI49" s="954" t="s">
        <v>1422</v>
      </c>
      <c r="EJ49" s="954" t="s">
        <v>1426</v>
      </c>
      <c r="EK49" s="949" t="s">
        <v>1436</v>
      </c>
      <c r="EL49" s="954"/>
      <c r="EM49" s="954"/>
      <c r="EN49" s="954"/>
      <c r="EO49" s="954"/>
      <c r="EP49" s="954"/>
      <c r="EQ49" s="954"/>
      <c r="ER49" s="954"/>
      <c r="ES49" s="954"/>
      <c r="ET49" s="954"/>
      <c r="EU49" s="954"/>
      <c r="EV49" s="897"/>
      <c r="EW49" s="897"/>
      <c r="EX49" s="897"/>
      <c r="EY49" s="897"/>
      <c r="EZ49" s="897"/>
      <c r="FA49" s="897"/>
      <c r="FB49" s="897"/>
      <c r="FC49" s="897"/>
      <c r="FD49" s="897"/>
      <c r="FE49" s="897"/>
      <c r="FF49" s="897"/>
      <c r="FG49" s="897"/>
      <c r="FH49" s="897"/>
      <c r="FI49" s="897"/>
      <c r="FJ49" s="897"/>
      <c r="FK49" s="897"/>
      <c r="FL49" s="897"/>
      <c r="FM49" s="897"/>
      <c r="FN49" s="897"/>
      <c r="FO49" s="897"/>
      <c r="FP49" s="987" t="s">
        <v>1498</v>
      </c>
      <c r="FQ49" s="987" t="s">
        <v>1499</v>
      </c>
      <c r="FR49" s="987" t="s">
        <v>1500</v>
      </c>
      <c r="FS49" s="988" t="s">
        <v>1499</v>
      </c>
      <c r="FT49" s="897"/>
      <c r="FU49" s="897"/>
      <c r="FV49" s="897"/>
      <c r="FW49" s="897"/>
      <c r="FX49" s="897"/>
      <c r="FY49" s="897"/>
      <c r="FZ49" s="897"/>
      <c r="GA49" s="897"/>
      <c r="GB49" s="897"/>
      <c r="GC49" s="897"/>
      <c r="GD49" s="897"/>
      <c r="GE49" s="897"/>
      <c r="GF49" s="897"/>
      <c r="GG49" s="897"/>
      <c r="GH49" s="897"/>
      <c r="GI49" s="897"/>
      <c r="GJ49" s="897"/>
      <c r="GK49" s="897"/>
      <c r="GL49" s="897"/>
      <c r="GM49" s="897"/>
      <c r="GN49" s="897"/>
      <c r="GO49" s="897"/>
      <c r="GP49" s="897"/>
      <c r="GQ49" s="897"/>
      <c r="GR49" s="897"/>
      <c r="GS49" s="897"/>
      <c r="GT49" s="897"/>
      <c r="GU49" s="897"/>
      <c r="GV49" s="897"/>
      <c r="GW49" s="897"/>
      <c r="GX49" s="897"/>
      <c r="GY49" s="897"/>
      <c r="GZ49" s="897"/>
      <c r="HA49" s="897"/>
      <c r="HB49" s="897"/>
      <c r="HC49" s="897"/>
      <c r="HD49" s="897"/>
      <c r="HE49" s="897"/>
      <c r="HF49" s="897"/>
      <c r="HG49" s="897"/>
      <c r="HH49" s="897"/>
      <c r="HI49" s="897"/>
      <c r="HJ49" s="897"/>
      <c r="HK49" s="897"/>
      <c r="HL49" s="897"/>
      <c r="HM49" s="897"/>
      <c r="HN49" s="897"/>
      <c r="HO49" s="897"/>
      <c r="HP49" s="897"/>
      <c r="HQ49" s="897"/>
      <c r="HR49" s="897"/>
      <c r="HS49" s="897"/>
      <c r="HT49" s="897"/>
      <c r="HU49" s="897"/>
      <c r="HV49" s="897"/>
      <c r="HW49" s="897"/>
      <c r="HX49" s="897"/>
      <c r="HY49" s="897"/>
      <c r="HZ49" s="897"/>
      <c r="IA49" s="897"/>
      <c r="IB49" s="897"/>
      <c r="IC49" s="897"/>
      <c r="ID49" s="897"/>
      <c r="IE49" s="897"/>
      <c r="IF49" s="897"/>
      <c r="IG49" s="897"/>
      <c r="IH49" s="897"/>
      <c r="II49" s="897"/>
      <c r="IJ49" s="897"/>
      <c r="IK49" s="897"/>
      <c r="IL49" s="897"/>
      <c r="IM49" s="897"/>
      <c r="IN49" s="897"/>
      <c r="IO49" s="897"/>
      <c r="IP49" s="897"/>
      <c r="IQ49" s="897"/>
      <c r="IR49" s="897"/>
      <c r="IS49" s="897"/>
      <c r="IT49" s="897"/>
      <c r="IU49" s="897"/>
      <c r="IV49" s="897"/>
      <c r="IW49" s="897"/>
      <c r="IX49" s="897"/>
      <c r="IY49" s="897"/>
      <c r="IZ49" s="897"/>
      <c r="JA49" s="897"/>
      <c r="JB49" s="897"/>
      <c r="JC49" s="897"/>
      <c r="JD49" s="897"/>
      <c r="JE49" s="897"/>
      <c r="JF49" s="897"/>
      <c r="JG49" s="897"/>
      <c r="JH49" s="897"/>
      <c r="JI49" s="897"/>
      <c r="JJ49" s="897"/>
      <c r="JK49" s="897"/>
      <c r="JL49" s="897"/>
      <c r="JM49" s="897"/>
      <c r="JN49" s="897"/>
      <c r="JO49" s="897"/>
      <c r="JP49" s="897"/>
      <c r="JQ49" s="897"/>
      <c r="JR49" s="897"/>
      <c r="JS49" s="897"/>
      <c r="JT49" s="897"/>
      <c r="JU49" s="897"/>
      <c r="JV49" s="897"/>
      <c r="JW49" s="897"/>
      <c r="JX49" s="897"/>
      <c r="JY49" s="897"/>
      <c r="JZ49" s="897"/>
      <c r="KA49" s="897"/>
      <c r="KB49" s="897"/>
      <c r="KC49" s="897"/>
      <c r="KD49" s="897"/>
      <c r="KE49" s="897"/>
      <c r="KF49" s="897"/>
      <c r="KG49" s="897"/>
      <c r="KH49" s="897"/>
      <c r="KI49" s="897"/>
      <c r="KJ49" s="897"/>
      <c r="KK49" s="897"/>
      <c r="KL49" s="897"/>
      <c r="KM49" s="897"/>
      <c r="KN49" s="897"/>
      <c r="KO49" s="897"/>
      <c r="KP49" s="897"/>
      <c r="KQ49" s="897"/>
      <c r="KR49" s="897"/>
      <c r="KS49" s="897"/>
      <c r="KT49" s="897"/>
      <c r="KU49" s="897"/>
      <c r="KV49" s="897"/>
      <c r="KW49" s="897"/>
      <c r="KX49" s="897"/>
      <c r="KY49" s="897"/>
      <c r="KZ49" s="897"/>
      <c r="LA49" s="897"/>
      <c r="LB49" s="897"/>
      <c r="LC49" s="897"/>
      <c r="LD49" s="897"/>
      <c r="LE49" s="897"/>
      <c r="LF49" s="897"/>
      <c r="LG49" s="897"/>
      <c r="LH49" s="897"/>
      <c r="LI49" s="897"/>
      <c r="LJ49" s="897"/>
      <c r="LK49" s="897"/>
      <c r="LL49" s="897"/>
      <c r="LM49" s="897"/>
      <c r="LN49" s="897"/>
      <c r="LO49" s="897"/>
      <c r="LP49" s="897"/>
      <c r="LQ49" s="897"/>
      <c r="LR49" s="897"/>
      <c r="LS49" s="897"/>
      <c r="LT49" s="897"/>
      <c r="LU49" s="897"/>
      <c r="LV49" s="897"/>
      <c r="LW49" s="897"/>
      <c r="LX49" s="897"/>
      <c r="LY49" s="897"/>
      <c r="LZ49" s="897"/>
      <c r="MA49" s="897"/>
      <c r="MB49" s="897"/>
      <c r="MC49" s="897"/>
      <c r="MD49" s="897"/>
      <c r="ME49" s="897"/>
      <c r="MF49" s="897"/>
      <c r="MG49" s="897"/>
      <c r="MH49" s="897"/>
      <c r="MI49" s="897"/>
      <c r="MJ49" s="897"/>
      <c r="MK49" s="897"/>
      <c r="ML49" s="897"/>
      <c r="MM49" s="897"/>
      <c r="MN49" s="897"/>
      <c r="MO49" s="897"/>
      <c r="MP49" s="897"/>
      <c r="MQ49" s="897"/>
      <c r="MR49" s="897"/>
      <c r="MS49" s="897"/>
      <c r="MT49" s="897"/>
      <c r="MU49" s="897"/>
      <c r="MV49" s="897"/>
      <c r="MW49" s="897"/>
      <c r="MX49" s="897"/>
      <c r="MY49" s="897"/>
      <c r="MZ49" s="897"/>
      <c r="NA49" s="897"/>
      <c r="NB49" s="897"/>
      <c r="NC49" s="897"/>
      <c r="ND49" s="897"/>
      <c r="NE49" s="897"/>
      <c r="NF49" s="897"/>
      <c r="NG49" s="897"/>
      <c r="NH49" s="897"/>
      <c r="NI49" s="897"/>
      <c r="NJ49" s="897"/>
      <c r="NK49" s="897"/>
      <c r="NL49" s="897"/>
      <c r="NM49" s="897"/>
      <c r="NN49" s="897"/>
      <c r="NO49" s="897"/>
      <c r="NP49" s="897"/>
      <c r="NQ49" s="897"/>
      <c r="NR49" s="897"/>
      <c r="NS49" s="897"/>
      <c r="NT49" s="897"/>
      <c r="NU49" s="897"/>
      <c r="NV49" s="897"/>
      <c r="NW49" s="897"/>
      <c r="NX49" s="897"/>
      <c r="NY49" s="897"/>
      <c r="NZ49" s="897"/>
      <c r="OA49" s="897"/>
      <c r="OB49" s="897"/>
      <c r="OC49" s="897"/>
      <c r="OD49" s="897"/>
      <c r="OE49" s="897"/>
      <c r="OF49" s="897"/>
      <c r="OG49" s="897"/>
      <c r="OH49" s="897"/>
      <c r="OI49" s="897"/>
      <c r="OJ49" s="897"/>
      <c r="OK49" s="897"/>
      <c r="OL49" s="897"/>
      <c r="OM49" s="897"/>
      <c r="ON49" s="897"/>
      <c r="OO49" s="897"/>
      <c r="OP49" s="897"/>
      <c r="OQ49" s="897"/>
      <c r="OR49" s="897"/>
      <c r="OS49" s="897"/>
      <c r="OT49" s="897"/>
      <c r="OU49" s="897"/>
      <c r="OV49" s="897"/>
      <c r="OW49" s="897"/>
      <c r="OX49" s="897"/>
      <c r="OY49" s="897"/>
      <c r="OZ49" s="897"/>
      <c r="PA49" s="897"/>
      <c r="PB49" s="897"/>
      <c r="PC49" s="897"/>
      <c r="PD49" s="897"/>
      <c r="PE49" s="897"/>
      <c r="PF49" s="897"/>
      <c r="PG49" s="897"/>
      <c r="PH49" s="897"/>
      <c r="PI49" s="897"/>
      <c r="PJ49" s="897"/>
      <c r="PK49" s="897"/>
      <c r="PL49" s="897"/>
      <c r="PM49" s="897"/>
      <c r="PN49" s="897"/>
      <c r="PO49" s="897"/>
      <c r="PP49" s="897"/>
      <c r="PQ49" s="897"/>
      <c r="PR49" s="897"/>
      <c r="PS49" s="897"/>
      <c r="PT49" s="897"/>
      <c r="PU49" s="897"/>
      <c r="PV49" s="897"/>
      <c r="PW49" s="897"/>
      <c r="PX49" s="897"/>
      <c r="PY49" s="897"/>
      <c r="PZ49" s="897"/>
      <c r="QA49" s="897"/>
      <c r="QB49" s="897"/>
      <c r="QC49" s="897"/>
      <c r="QD49" s="897"/>
      <c r="QE49" s="897"/>
      <c r="QF49" s="897"/>
      <c r="QG49" s="897"/>
    </row>
    <row r="50" spans="1:449" s="800" customFormat="1" ht="72" customHeight="1" x14ac:dyDescent="0.2">
      <c r="A50" s="1069" t="s">
        <v>1268</v>
      </c>
      <c r="B50" s="946" t="s">
        <v>1278</v>
      </c>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c r="BO50" s="897"/>
      <c r="BP50" s="897"/>
      <c r="BQ50" s="897"/>
      <c r="BR50" s="897"/>
      <c r="BS50" s="897"/>
      <c r="BT50" s="897"/>
      <c r="BU50" s="897"/>
      <c r="BV50" s="897"/>
      <c r="BW50" s="897"/>
      <c r="BX50" s="897"/>
      <c r="BY50" s="897"/>
      <c r="BZ50" s="897"/>
      <c r="CA50" s="897"/>
      <c r="CB50" s="897"/>
      <c r="CC50" s="897"/>
      <c r="CD50" s="897"/>
      <c r="CE50" s="897"/>
      <c r="CF50" s="940"/>
      <c r="CG50" s="940"/>
      <c r="CH50" s="940"/>
      <c r="CI50" s="940"/>
      <c r="CJ50" s="940"/>
      <c r="CK50" s="940"/>
      <c r="CL50" s="940"/>
      <c r="CM50" s="940"/>
      <c r="CN50" s="897"/>
      <c r="CO50" s="897"/>
      <c r="CP50" s="897"/>
      <c r="CQ50" s="897"/>
      <c r="CR50" s="897"/>
      <c r="CS50" s="897"/>
      <c r="CT50" s="897"/>
      <c r="CU50" s="897"/>
      <c r="CV50" s="897"/>
      <c r="CW50" s="897"/>
      <c r="CX50" s="897"/>
      <c r="CY50" s="897"/>
      <c r="CZ50" s="897"/>
      <c r="DA50" s="897"/>
      <c r="DB50" s="897"/>
      <c r="DC50" s="954"/>
      <c r="DD50" s="954"/>
      <c r="DE50" s="954"/>
      <c r="DF50" s="954"/>
      <c r="DG50" s="954"/>
      <c r="DH50" s="954"/>
      <c r="DI50" s="954"/>
      <c r="DJ50" s="954"/>
      <c r="DK50" s="954"/>
      <c r="DL50" s="954"/>
      <c r="DM50" s="954"/>
      <c r="DN50" s="954"/>
      <c r="DO50" s="954"/>
      <c r="DP50" s="954"/>
      <c r="DQ50" s="954"/>
      <c r="DR50" s="954"/>
      <c r="DS50" s="954"/>
      <c r="DT50" s="954"/>
      <c r="DU50" s="954"/>
      <c r="DV50" s="954"/>
      <c r="DW50" s="954"/>
      <c r="DX50" s="1011" t="s">
        <v>1283</v>
      </c>
      <c r="DY50" s="1012"/>
      <c r="DZ50" s="1012"/>
      <c r="EA50" s="1012"/>
      <c r="EB50" s="1012"/>
      <c r="EC50" s="1012"/>
      <c r="ED50" s="1012"/>
      <c r="EE50" s="1012"/>
      <c r="EF50" s="1013"/>
      <c r="EG50" s="954"/>
      <c r="EH50" s="1011" t="s">
        <v>1397</v>
      </c>
      <c r="EI50" s="1012"/>
      <c r="EJ50" s="1012"/>
      <c r="EK50" s="1012"/>
      <c r="EL50" s="954"/>
      <c r="EM50" s="954"/>
      <c r="EN50" s="954"/>
      <c r="EO50" s="954"/>
      <c r="EP50" s="954"/>
      <c r="EQ50" s="954"/>
      <c r="ER50" s="954"/>
      <c r="ES50" s="954"/>
      <c r="ET50" s="954"/>
      <c r="EU50" s="954"/>
      <c r="EV50" s="897"/>
      <c r="EW50" s="897"/>
      <c r="EX50" s="897"/>
      <c r="EY50" s="897"/>
      <c r="EZ50" s="897"/>
      <c r="FA50" s="897"/>
      <c r="FB50" s="897"/>
      <c r="FC50" s="897"/>
      <c r="FD50" s="897"/>
      <c r="FE50" s="897"/>
      <c r="FF50" s="897"/>
      <c r="FG50" s="897"/>
      <c r="FH50" s="897"/>
      <c r="FI50" s="897"/>
      <c r="FJ50" s="897"/>
      <c r="FK50" s="897"/>
      <c r="FL50" s="897"/>
      <c r="FM50" s="897"/>
      <c r="FN50" s="897"/>
      <c r="FO50" s="897"/>
      <c r="FP50" s="897"/>
      <c r="FQ50" s="897"/>
      <c r="FR50" s="897"/>
      <c r="FS50" s="897"/>
      <c r="FT50" s="897"/>
      <c r="FU50" s="897"/>
      <c r="FV50" s="897"/>
      <c r="FW50" s="897"/>
      <c r="FX50" s="897"/>
      <c r="FY50" s="897"/>
      <c r="FZ50" s="897"/>
      <c r="GA50" s="897"/>
      <c r="GB50" s="897"/>
      <c r="GC50" s="897"/>
      <c r="GD50" s="897"/>
      <c r="GE50" s="897"/>
      <c r="GF50" s="897"/>
      <c r="GG50" s="897"/>
      <c r="GH50" s="897"/>
      <c r="GI50" s="897"/>
      <c r="GJ50" s="897"/>
      <c r="GK50" s="897"/>
      <c r="GL50" s="897"/>
      <c r="GM50" s="897"/>
      <c r="GN50" s="897"/>
      <c r="GO50" s="897"/>
      <c r="GP50" s="897"/>
      <c r="GQ50" s="897"/>
      <c r="GR50" s="897"/>
      <c r="GS50" s="897"/>
      <c r="GT50" s="897"/>
      <c r="GU50" s="897"/>
      <c r="GV50" s="897"/>
      <c r="GW50" s="897"/>
      <c r="GX50" s="897"/>
      <c r="GY50" s="897"/>
      <c r="GZ50" s="897"/>
      <c r="HA50" s="897"/>
      <c r="HB50" s="897"/>
      <c r="HC50" s="897"/>
      <c r="HD50" s="897"/>
      <c r="HE50" s="897"/>
      <c r="HF50" s="897"/>
      <c r="HG50" s="897"/>
      <c r="HH50" s="897"/>
      <c r="HI50" s="897"/>
      <c r="HJ50" s="897"/>
      <c r="HK50" s="897"/>
      <c r="HL50" s="897"/>
      <c r="HM50" s="897"/>
      <c r="HN50" s="897"/>
      <c r="HO50" s="897"/>
      <c r="HP50" s="897"/>
      <c r="HQ50" s="897"/>
      <c r="HR50" s="897"/>
      <c r="HS50" s="897"/>
      <c r="HT50" s="897"/>
      <c r="HU50" s="897"/>
      <c r="HV50" s="897"/>
      <c r="HW50" s="897"/>
      <c r="HX50" s="897"/>
      <c r="HY50" s="897"/>
      <c r="HZ50" s="897"/>
      <c r="IA50" s="897"/>
      <c r="IB50" s="897"/>
      <c r="IC50" s="897"/>
      <c r="ID50" s="897"/>
      <c r="IE50" s="897"/>
      <c r="IF50" s="897"/>
      <c r="IG50" s="897"/>
      <c r="IH50" s="897"/>
      <c r="II50" s="897"/>
      <c r="IJ50" s="897"/>
      <c r="IK50" s="897"/>
      <c r="IL50" s="897"/>
      <c r="IM50" s="897"/>
      <c r="IN50" s="897"/>
      <c r="IO50" s="897"/>
      <c r="IP50" s="897"/>
      <c r="IQ50" s="897"/>
      <c r="IR50" s="897"/>
      <c r="IS50" s="897"/>
      <c r="IT50" s="897"/>
      <c r="IU50" s="897"/>
      <c r="IV50" s="897"/>
      <c r="IW50" s="897"/>
      <c r="IX50" s="897"/>
      <c r="IY50" s="897"/>
      <c r="IZ50" s="897"/>
      <c r="JA50" s="897"/>
      <c r="JB50" s="897"/>
      <c r="JC50" s="897"/>
      <c r="JD50" s="897"/>
      <c r="JE50" s="897"/>
      <c r="JF50" s="897"/>
      <c r="JG50" s="897"/>
      <c r="JH50" s="897"/>
      <c r="JI50" s="897"/>
      <c r="JJ50" s="897"/>
      <c r="JK50" s="897"/>
      <c r="JL50" s="897"/>
      <c r="JM50" s="897"/>
      <c r="JN50" s="897"/>
      <c r="JO50" s="897"/>
      <c r="JP50" s="897"/>
      <c r="JQ50" s="897"/>
      <c r="JR50" s="897"/>
      <c r="JS50" s="897"/>
      <c r="JT50" s="897"/>
      <c r="JU50" s="897"/>
      <c r="JV50" s="897"/>
      <c r="JW50" s="897"/>
      <c r="JX50" s="897"/>
      <c r="JY50" s="897"/>
      <c r="JZ50" s="897"/>
      <c r="KA50" s="897"/>
      <c r="KB50" s="897"/>
      <c r="KC50" s="897"/>
      <c r="KD50" s="897"/>
      <c r="KE50" s="897"/>
      <c r="KF50" s="897"/>
      <c r="KG50" s="897"/>
      <c r="KH50" s="897"/>
      <c r="KI50" s="897"/>
      <c r="KJ50" s="897"/>
      <c r="KK50" s="897"/>
      <c r="KL50" s="897"/>
      <c r="KM50" s="897"/>
      <c r="KN50" s="897"/>
      <c r="KO50" s="897"/>
      <c r="KP50" s="897"/>
      <c r="KQ50" s="897"/>
      <c r="KR50" s="897"/>
      <c r="KS50" s="897"/>
      <c r="KT50" s="897"/>
      <c r="KU50" s="897"/>
      <c r="KV50" s="897"/>
      <c r="KW50" s="897"/>
      <c r="KX50" s="897"/>
      <c r="KY50" s="897"/>
      <c r="KZ50" s="897"/>
      <c r="LA50" s="897"/>
      <c r="LB50" s="897"/>
      <c r="LC50" s="897"/>
      <c r="LD50" s="897"/>
      <c r="LE50" s="897"/>
      <c r="LF50" s="897"/>
      <c r="LG50" s="897"/>
      <c r="LH50" s="897"/>
      <c r="LI50" s="897"/>
      <c r="LJ50" s="897"/>
      <c r="LK50" s="897"/>
      <c r="LL50" s="897"/>
      <c r="LM50" s="897"/>
      <c r="LN50" s="897"/>
      <c r="LO50" s="897"/>
      <c r="LP50" s="897"/>
      <c r="LQ50" s="897"/>
      <c r="LR50" s="897"/>
      <c r="LS50" s="897"/>
      <c r="LT50" s="897"/>
      <c r="LU50" s="897"/>
      <c r="LV50" s="897"/>
      <c r="LW50" s="897"/>
      <c r="LX50" s="897"/>
      <c r="LY50" s="897"/>
      <c r="LZ50" s="897"/>
      <c r="MA50" s="897"/>
      <c r="MB50" s="897"/>
      <c r="MC50" s="897"/>
      <c r="MD50" s="897"/>
      <c r="ME50" s="897"/>
      <c r="MF50" s="897"/>
      <c r="MG50" s="897"/>
      <c r="MH50" s="897"/>
      <c r="MI50" s="897"/>
      <c r="MJ50" s="897"/>
      <c r="MK50" s="897"/>
      <c r="ML50" s="897"/>
      <c r="MM50" s="897"/>
      <c r="MN50" s="897"/>
      <c r="MO50" s="897"/>
      <c r="MP50" s="897"/>
      <c r="MQ50" s="897"/>
      <c r="MR50" s="897"/>
      <c r="MS50" s="897"/>
      <c r="MT50" s="897"/>
      <c r="MU50" s="897"/>
      <c r="MV50" s="897"/>
      <c r="MW50" s="897"/>
      <c r="MX50" s="897"/>
      <c r="MY50" s="897"/>
      <c r="MZ50" s="897"/>
      <c r="NA50" s="897"/>
      <c r="NB50" s="897"/>
      <c r="NC50" s="897"/>
      <c r="ND50" s="897"/>
      <c r="NE50" s="897"/>
      <c r="NF50" s="897"/>
      <c r="NG50" s="897"/>
      <c r="NH50" s="897"/>
      <c r="NI50" s="897"/>
      <c r="NJ50" s="897"/>
      <c r="NK50" s="897"/>
      <c r="NL50" s="897"/>
      <c r="NM50" s="897"/>
      <c r="NN50" s="897"/>
      <c r="NO50" s="897"/>
      <c r="NP50" s="897"/>
      <c r="NQ50" s="897"/>
      <c r="NR50" s="897"/>
      <c r="NS50" s="897"/>
      <c r="NT50" s="897"/>
      <c r="NU50" s="897"/>
      <c r="NV50" s="897"/>
      <c r="NW50" s="897"/>
      <c r="NX50" s="897"/>
      <c r="NY50" s="897"/>
      <c r="NZ50" s="897"/>
      <c r="OA50" s="897"/>
      <c r="OB50" s="897"/>
      <c r="OC50" s="897"/>
      <c r="OD50" s="897"/>
      <c r="OE50" s="897"/>
      <c r="OF50" s="897"/>
      <c r="OG50" s="897"/>
      <c r="OH50" s="897"/>
      <c r="OI50" s="897"/>
      <c r="OJ50" s="897"/>
      <c r="OK50" s="897"/>
      <c r="OL50" s="897"/>
      <c r="OM50" s="897"/>
      <c r="ON50" s="897"/>
      <c r="OO50" s="897"/>
      <c r="OP50" s="897"/>
      <c r="OQ50" s="897"/>
      <c r="OR50" s="897"/>
      <c r="OS50" s="897"/>
      <c r="OT50" s="897"/>
      <c r="OU50" s="897"/>
      <c r="OV50" s="897"/>
      <c r="OW50" s="897"/>
      <c r="OX50" s="897"/>
      <c r="OY50" s="897"/>
      <c r="OZ50" s="897"/>
      <c r="PA50" s="897"/>
      <c r="PB50" s="897"/>
      <c r="PC50" s="897"/>
      <c r="PD50" s="897"/>
      <c r="PE50" s="897"/>
      <c r="PF50" s="897"/>
      <c r="PG50" s="897"/>
      <c r="PH50" s="897"/>
      <c r="PI50" s="897"/>
      <c r="PJ50" s="897"/>
      <c r="PK50" s="897"/>
      <c r="PL50" s="897"/>
      <c r="PM50" s="897"/>
      <c r="PN50" s="897"/>
      <c r="PO50" s="897"/>
      <c r="PP50" s="897"/>
      <c r="PQ50" s="897"/>
      <c r="PR50" s="897"/>
      <c r="PS50" s="897"/>
      <c r="PT50" s="897"/>
      <c r="PU50" s="897"/>
      <c r="PV50" s="897"/>
      <c r="PW50" s="897"/>
      <c r="PX50" s="897"/>
      <c r="PY50" s="897"/>
      <c r="PZ50" s="897"/>
      <c r="QA50" s="897"/>
      <c r="QB50" s="897"/>
      <c r="QC50" s="897"/>
      <c r="QD50" s="897"/>
      <c r="QE50" s="897"/>
      <c r="QF50" s="897"/>
      <c r="QG50" s="897"/>
    </row>
    <row r="51" spans="1:449" s="773" customFormat="1" ht="26.1" customHeight="1" x14ac:dyDescent="0.2">
      <c r="A51" s="1069"/>
      <c r="B51" s="931" t="s">
        <v>1247</v>
      </c>
      <c r="C51" s="932"/>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c r="AL51" s="932"/>
      <c r="AM51" s="932"/>
      <c r="AN51" s="932"/>
      <c r="AO51" s="932"/>
      <c r="AP51" s="932"/>
      <c r="AQ51" s="932"/>
      <c r="AR51" s="932"/>
      <c r="AS51" s="932"/>
      <c r="AT51" s="932"/>
      <c r="AU51" s="932"/>
      <c r="AV51" s="932"/>
      <c r="AW51" s="932"/>
      <c r="AX51" s="932"/>
      <c r="AY51" s="932"/>
      <c r="AZ51" s="932"/>
      <c r="BA51" s="932"/>
      <c r="BB51" s="932"/>
      <c r="BC51" s="932"/>
      <c r="BD51" s="932"/>
      <c r="BE51" s="932"/>
      <c r="BF51" s="932"/>
      <c r="BG51" s="932"/>
      <c r="BH51" s="932"/>
      <c r="BI51" s="932"/>
      <c r="BJ51" s="932"/>
      <c r="BK51" s="932"/>
      <c r="BL51" s="932"/>
      <c r="BM51" s="932"/>
      <c r="BN51" s="932"/>
      <c r="BO51" s="933"/>
      <c r="BP51" s="933"/>
      <c r="BQ51" s="933"/>
      <c r="BR51" s="933"/>
      <c r="BS51" s="933"/>
      <c r="BT51" s="933"/>
      <c r="BU51" s="933"/>
      <c r="BV51" s="933"/>
      <c r="BW51" s="933"/>
      <c r="BX51" s="933"/>
      <c r="BY51" s="933"/>
      <c r="BZ51" s="933"/>
      <c r="CA51" s="933"/>
      <c r="CB51" s="933"/>
      <c r="CC51" s="933"/>
      <c r="CD51" s="933"/>
      <c r="CE51" s="933"/>
      <c r="CF51" s="941"/>
      <c r="CG51" s="941"/>
      <c r="CH51" s="941"/>
      <c r="CI51" s="941"/>
      <c r="CJ51" s="941"/>
      <c r="CK51" s="941"/>
      <c r="CL51" s="941"/>
      <c r="CM51" s="941"/>
      <c r="CN51" s="941"/>
      <c r="CO51" s="941"/>
      <c r="CP51" s="941"/>
      <c r="CQ51" s="941"/>
      <c r="CR51" s="941"/>
      <c r="CS51" s="896"/>
      <c r="CT51" s="896"/>
      <c r="CU51" s="896"/>
      <c r="CV51" s="896"/>
      <c r="CW51" s="896"/>
      <c r="CX51" s="896"/>
      <c r="CY51" s="896"/>
      <c r="CZ51" s="896"/>
      <c r="DA51" s="896"/>
      <c r="DB51" s="896"/>
      <c r="DC51" s="933"/>
      <c r="DD51" s="933"/>
      <c r="DE51" s="933"/>
      <c r="DF51" s="954"/>
      <c r="DG51" s="954"/>
      <c r="DH51" s="954"/>
      <c r="DI51" s="954"/>
      <c r="DJ51" s="954"/>
      <c r="DK51" s="954"/>
      <c r="DL51" s="954"/>
      <c r="DM51" s="954"/>
      <c r="DN51" s="954"/>
      <c r="DO51" s="954"/>
      <c r="DP51" s="954"/>
      <c r="DQ51" s="954"/>
      <c r="DR51" s="954"/>
      <c r="DS51" s="954"/>
      <c r="DT51" s="954"/>
      <c r="DU51" s="954"/>
      <c r="DV51" s="954"/>
      <c r="DW51" s="954"/>
      <c r="DX51" s="954"/>
      <c r="DY51" s="954" t="s">
        <v>1344</v>
      </c>
      <c r="DZ51" s="954" t="s">
        <v>1343</v>
      </c>
      <c r="EA51" s="954" t="s">
        <v>1345</v>
      </c>
      <c r="EB51" s="954" t="s">
        <v>1348</v>
      </c>
      <c r="EC51" s="954" t="s">
        <v>1346</v>
      </c>
      <c r="ED51" s="949" t="s">
        <v>1347</v>
      </c>
      <c r="EE51" s="954" t="s">
        <v>1401</v>
      </c>
      <c r="EF51" s="954" t="s">
        <v>1402</v>
      </c>
      <c r="EG51" s="954" t="s">
        <v>1430</v>
      </c>
      <c r="EH51" s="954" t="s">
        <v>1431</v>
      </c>
      <c r="EI51" s="954" t="s">
        <v>1432</v>
      </c>
      <c r="EJ51" s="954" t="s">
        <v>1428</v>
      </c>
      <c r="EK51" s="949" t="s">
        <v>1429</v>
      </c>
      <c r="EL51" s="933"/>
      <c r="EM51" s="933"/>
      <c r="EN51" s="933"/>
      <c r="EO51" s="933"/>
      <c r="EP51" s="933"/>
      <c r="EQ51" s="933"/>
      <c r="ER51" s="933"/>
      <c r="ES51" s="933"/>
      <c r="ET51" s="933"/>
      <c r="EU51" s="933"/>
      <c r="EV51" s="896"/>
      <c r="EW51" s="896"/>
      <c r="EX51" s="896"/>
      <c r="EY51" s="896"/>
      <c r="EZ51" s="896"/>
      <c r="FA51" s="896"/>
      <c r="FB51" s="896"/>
      <c r="FC51" s="896"/>
      <c r="FD51" s="896"/>
      <c r="FE51" s="896"/>
      <c r="FF51" s="896"/>
      <c r="FG51" s="896"/>
      <c r="FH51" s="896"/>
      <c r="FI51" s="896"/>
      <c r="FJ51" s="896"/>
      <c r="FK51" s="896"/>
      <c r="FL51" s="896"/>
      <c r="FM51" s="896"/>
      <c r="FN51" s="896"/>
      <c r="FO51" s="896"/>
      <c r="FP51" s="896"/>
      <c r="FQ51" s="896"/>
      <c r="FR51" s="896"/>
      <c r="FS51" s="896"/>
      <c r="FT51" s="896"/>
      <c r="FU51" s="896"/>
      <c r="FV51" s="896"/>
      <c r="FW51" s="896"/>
      <c r="FX51" s="896"/>
      <c r="FY51" s="896"/>
      <c r="FZ51" s="896"/>
      <c r="GA51" s="896"/>
      <c r="GB51" s="896"/>
      <c r="GC51" s="896"/>
      <c r="GD51" s="896"/>
      <c r="GE51" s="896"/>
      <c r="GF51" s="896"/>
      <c r="GG51" s="896"/>
      <c r="GH51" s="896"/>
      <c r="GI51" s="896"/>
      <c r="GJ51" s="896"/>
      <c r="GK51" s="896"/>
      <c r="GL51" s="896"/>
      <c r="GM51" s="896"/>
      <c r="GN51" s="896"/>
      <c r="GO51" s="896"/>
      <c r="GP51" s="896"/>
      <c r="GQ51" s="896"/>
      <c r="GR51" s="896"/>
      <c r="GS51" s="896"/>
      <c r="GT51" s="896"/>
      <c r="GU51" s="896"/>
      <c r="GV51" s="896"/>
      <c r="GW51" s="896"/>
      <c r="GX51" s="896"/>
      <c r="GY51" s="896"/>
      <c r="GZ51" s="896"/>
      <c r="HA51" s="896"/>
      <c r="HB51" s="896"/>
      <c r="HC51" s="896"/>
      <c r="HD51" s="896"/>
      <c r="HE51" s="896"/>
      <c r="HF51" s="896"/>
      <c r="HG51" s="896"/>
      <c r="HH51" s="896"/>
      <c r="HI51" s="896"/>
      <c r="HJ51" s="896"/>
      <c r="HK51" s="896"/>
      <c r="HL51" s="896"/>
      <c r="HM51" s="896"/>
      <c r="HN51" s="896"/>
      <c r="HO51" s="896"/>
      <c r="HP51" s="896"/>
      <c r="HQ51" s="896"/>
      <c r="HR51" s="896"/>
      <c r="HS51" s="896"/>
      <c r="HT51" s="896"/>
      <c r="HU51" s="896"/>
      <c r="HV51" s="896"/>
      <c r="HW51" s="896"/>
      <c r="HX51" s="896"/>
      <c r="HY51" s="896"/>
      <c r="HZ51" s="896"/>
      <c r="IA51" s="896"/>
      <c r="IB51" s="896"/>
      <c r="IC51" s="896"/>
      <c r="ID51" s="896"/>
      <c r="IE51" s="896"/>
      <c r="IF51" s="896"/>
      <c r="IG51" s="896"/>
      <c r="IH51" s="896"/>
      <c r="II51" s="896"/>
      <c r="IJ51" s="896"/>
      <c r="IK51" s="896"/>
      <c r="IL51" s="896"/>
      <c r="IM51" s="896"/>
      <c r="IN51" s="896"/>
      <c r="IO51" s="896"/>
      <c r="IP51" s="896"/>
      <c r="IQ51" s="896"/>
      <c r="IR51" s="896"/>
      <c r="IS51" s="896"/>
      <c r="IT51" s="896"/>
      <c r="IU51" s="896"/>
      <c r="IV51" s="896"/>
      <c r="IW51" s="896"/>
      <c r="IX51" s="896"/>
      <c r="IY51" s="896"/>
      <c r="IZ51" s="896"/>
      <c r="JA51" s="896"/>
      <c r="JB51" s="896"/>
      <c r="JC51" s="896"/>
      <c r="JD51" s="896"/>
      <c r="JE51" s="896"/>
      <c r="JF51" s="896"/>
      <c r="JG51" s="896"/>
      <c r="JH51" s="896"/>
      <c r="JI51" s="896"/>
      <c r="JJ51" s="896"/>
      <c r="JK51" s="896"/>
      <c r="JL51" s="896"/>
      <c r="JM51" s="896"/>
      <c r="JN51" s="896"/>
      <c r="JO51" s="896"/>
      <c r="JP51" s="896"/>
      <c r="JQ51" s="896"/>
      <c r="JR51" s="896"/>
      <c r="JS51" s="896"/>
      <c r="JT51" s="896"/>
      <c r="JU51" s="896"/>
      <c r="JV51" s="896"/>
      <c r="JW51" s="896"/>
      <c r="JX51" s="896"/>
      <c r="JY51" s="896"/>
      <c r="JZ51" s="896"/>
      <c r="KA51" s="896"/>
      <c r="KB51" s="896"/>
      <c r="KC51" s="896"/>
      <c r="KD51" s="896"/>
      <c r="KE51" s="896"/>
      <c r="KF51" s="896"/>
      <c r="KG51" s="896"/>
      <c r="KH51" s="896"/>
      <c r="KI51" s="896"/>
      <c r="KJ51" s="896"/>
      <c r="KK51" s="896"/>
      <c r="KL51" s="896"/>
      <c r="KM51" s="896"/>
      <c r="KN51" s="896"/>
      <c r="KO51" s="896"/>
      <c r="KP51" s="896"/>
      <c r="KQ51" s="896"/>
      <c r="KR51" s="896"/>
      <c r="KS51" s="896"/>
      <c r="KT51" s="896"/>
      <c r="KU51" s="896"/>
      <c r="KV51" s="896"/>
      <c r="KW51" s="896"/>
      <c r="KX51" s="896"/>
      <c r="KY51" s="896"/>
      <c r="KZ51" s="896"/>
      <c r="LA51" s="896"/>
      <c r="LB51" s="896"/>
      <c r="LC51" s="896"/>
      <c r="LD51" s="896"/>
      <c r="LE51" s="896"/>
      <c r="LF51" s="896"/>
      <c r="LG51" s="896"/>
      <c r="LH51" s="896"/>
      <c r="LI51" s="896"/>
      <c r="LJ51" s="896"/>
      <c r="LK51" s="896"/>
      <c r="LL51" s="896"/>
      <c r="LM51" s="896"/>
      <c r="LN51" s="896"/>
      <c r="LO51" s="896"/>
      <c r="LP51" s="896"/>
      <c r="LQ51" s="896"/>
      <c r="LR51" s="896"/>
      <c r="LS51" s="896"/>
      <c r="LT51" s="896"/>
      <c r="LU51" s="896"/>
      <c r="LV51" s="896"/>
      <c r="LW51" s="896"/>
      <c r="LX51" s="896"/>
      <c r="LY51" s="896"/>
      <c r="LZ51" s="896"/>
      <c r="MA51" s="896"/>
      <c r="MB51" s="896"/>
      <c r="MC51" s="896"/>
      <c r="MD51" s="896"/>
      <c r="ME51" s="896"/>
      <c r="MF51" s="896"/>
      <c r="MG51" s="896"/>
      <c r="MH51" s="896"/>
      <c r="MI51" s="896"/>
      <c r="MJ51" s="896"/>
      <c r="MK51" s="896"/>
      <c r="ML51" s="896"/>
      <c r="MM51" s="896"/>
      <c r="MN51" s="896"/>
      <c r="MO51" s="896"/>
      <c r="MP51" s="896"/>
      <c r="MQ51" s="896"/>
      <c r="MR51" s="896"/>
      <c r="MS51" s="896"/>
      <c r="MT51" s="896"/>
      <c r="MU51" s="896"/>
      <c r="MV51" s="896"/>
      <c r="MW51" s="896"/>
      <c r="MX51" s="896"/>
      <c r="MY51" s="896"/>
      <c r="MZ51" s="896"/>
      <c r="NA51" s="896"/>
      <c r="NB51" s="896"/>
      <c r="NC51" s="896"/>
      <c r="ND51" s="896"/>
      <c r="NE51" s="896"/>
      <c r="NF51" s="896"/>
      <c r="NG51" s="896"/>
      <c r="NH51" s="896"/>
      <c r="NI51" s="896"/>
      <c r="NJ51" s="896"/>
      <c r="NK51" s="896"/>
      <c r="NL51" s="896"/>
      <c r="NM51" s="896"/>
      <c r="NN51" s="896"/>
      <c r="NO51" s="896"/>
      <c r="NP51" s="896"/>
      <c r="NQ51" s="896"/>
      <c r="NR51" s="896"/>
      <c r="NS51" s="896"/>
      <c r="NT51" s="896"/>
      <c r="NU51" s="896"/>
      <c r="NV51" s="896"/>
      <c r="NW51" s="896"/>
      <c r="NX51" s="896"/>
      <c r="NY51" s="896"/>
      <c r="NZ51" s="896"/>
      <c r="OA51" s="896"/>
      <c r="OB51" s="896"/>
      <c r="OC51" s="896"/>
      <c r="OD51" s="896"/>
      <c r="OE51" s="896"/>
      <c r="OF51" s="896"/>
      <c r="OG51" s="896"/>
      <c r="OH51" s="896"/>
      <c r="OI51" s="896"/>
      <c r="OJ51" s="896"/>
      <c r="OK51" s="896"/>
      <c r="OL51" s="896"/>
      <c r="OM51" s="896"/>
      <c r="ON51" s="896"/>
      <c r="OO51" s="896"/>
      <c r="OP51" s="896"/>
      <c r="OQ51" s="896"/>
      <c r="OR51" s="896"/>
      <c r="OS51" s="896"/>
      <c r="OT51" s="896"/>
      <c r="OU51" s="896"/>
      <c r="OV51" s="896"/>
      <c r="OW51" s="896"/>
      <c r="OX51" s="896"/>
      <c r="OY51" s="896"/>
      <c r="OZ51" s="896"/>
      <c r="PA51" s="896"/>
      <c r="PB51" s="896"/>
      <c r="PC51" s="896"/>
      <c r="PD51" s="896"/>
      <c r="PE51" s="896"/>
      <c r="PF51" s="896"/>
      <c r="PG51" s="896"/>
      <c r="PH51" s="896"/>
      <c r="PI51" s="896"/>
      <c r="PJ51" s="896"/>
      <c r="PK51" s="896"/>
      <c r="PL51" s="896"/>
      <c r="PM51" s="896"/>
      <c r="PN51" s="896"/>
      <c r="PO51" s="896"/>
      <c r="PP51" s="896"/>
      <c r="PQ51" s="896"/>
      <c r="PR51" s="896"/>
      <c r="PS51" s="896"/>
      <c r="PT51" s="896"/>
      <c r="PU51" s="896"/>
      <c r="PV51" s="896"/>
      <c r="PW51" s="896"/>
      <c r="PX51" s="896"/>
      <c r="PY51" s="896"/>
      <c r="PZ51" s="896"/>
      <c r="QA51" s="896"/>
      <c r="QB51" s="896"/>
      <c r="QC51" s="896"/>
      <c r="QD51" s="896"/>
      <c r="QE51" s="896"/>
      <c r="QF51" s="896"/>
      <c r="QG51" s="896"/>
    </row>
    <row r="52" spans="1:449" s="773" customFormat="1" ht="24" customHeight="1" x14ac:dyDescent="0.2">
      <c r="A52" s="1069"/>
      <c r="B52" s="931" t="s">
        <v>1263</v>
      </c>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s="932"/>
      <c r="AM52" s="932"/>
      <c r="AN52" s="932"/>
      <c r="AO52" s="932"/>
      <c r="AP52" s="932"/>
      <c r="AQ52" s="932"/>
      <c r="AR52" s="932"/>
      <c r="AS52" s="932"/>
      <c r="AT52" s="932"/>
      <c r="AU52" s="932"/>
      <c r="AV52" s="932"/>
      <c r="AW52" s="932"/>
      <c r="AX52" s="932"/>
      <c r="AY52" s="932"/>
      <c r="AZ52" s="932"/>
      <c r="BA52" s="932"/>
      <c r="BB52" s="932"/>
      <c r="BC52" s="932"/>
      <c r="BD52" s="932"/>
      <c r="BE52" s="932"/>
      <c r="BF52" s="932"/>
      <c r="BG52" s="932"/>
      <c r="BH52" s="932"/>
      <c r="BI52" s="932"/>
      <c r="BJ52" s="932"/>
      <c r="BK52" s="932"/>
      <c r="BL52" s="932"/>
      <c r="BM52" s="932"/>
      <c r="BN52" s="932"/>
      <c r="BO52" s="933"/>
      <c r="BP52" s="933"/>
      <c r="BQ52" s="933"/>
      <c r="BR52" s="933"/>
      <c r="BS52" s="933"/>
      <c r="BT52" s="933"/>
      <c r="BU52" s="933"/>
      <c r="BV52" s="933"/>
      <c r="BW52" s="933"/>
      <c r="BX52" s="933"/>
      <c r="BY52" s="933"/>
      <c r="BZ52" s="933"/>
      <c r="CA52" s="933"/>
      <c r="CB52" s="933"/>
      <c r="CC52" s="933"/>
      <c r="CD52" s="933"/>
      <c r="CE52" s="933"/>
      <c r="CF52" s="941"/>
      <c r="CG52" s="941"/>
      <c r="CH52" s="941"/>
      <c r="CI52" s="941"/>
      <c r="CJ52" s="941"/>
      <c r="CK52" s="941"/>
      <c r="CL52" s="941"/>
      <c r="CM52" s="941"/>
      <c r="CN52" s="941"/>
      <c r="CO52" s="941"/>
      <c r="CP52" s="941"/>
      <c r="CQ52" s="941"/>
      <c r="CR52" s="941"/>
      <c r="CS52" s="896"/>
      <c r="CT52" s="896"/>
      <c r="CU52" s="896"/>
      <c r="CV52" s="896"/>
      <c r="CW52" s="896"/>
      <c r="CX52" s="896"/>
      <c r="CY52" s="896"/>
      <c r="CZ52" s="896"/>
      <c r="DA52" s="896"/>
      <c r="DB52" s="896"/>
      <c r="DC52" s="933"/>
      <c r="DD52" s="933"/>
      <c r="DE52" s="933"/>
      <c r="DF52" s="954"/>
      <c r="DG52" s="954"/>
      <c r="DH52" s="954"/>
      <c r="DI52" s="954"/>
      <c r="DJ52" s="954"/>
      <c r="DK52" s="954"/>
      <c r="DL52" s="954"/>
      <c r="DM52" s="954"/>
      <c r="DN52" s="954"/>
      <c r="DO52" s="954"/>
      <c r="DP52" s="954"/>
      <c r="DQ52" s="954"/>
      <c r="DR52" s="954"/>
      <c r="DS52" s="954"/>
      <c r="DT52" s="954"/>
      <c r="DU52" s="954"/>
      <c r="DV52" s="954"/>
      <c r="DW52" s="954"/>
      <c r="DX52" s="954" t="s">
        <v>1264</v>
      </c>
      <c r="DY52" s="954" t="s">
        <v>1265</v>
      </c>
      <c r="DZ52" s="954" t="s">
        <v>1266</v>
      </c>
      <c r="EA52" s="954" t="s">
        <v>1342</v>
      </c>
      <c r="EB52" s="954" t="s">
        <v>1349</v>
      </c>
      <c r="EC52" s="954" t="s">
        <v>1350</v>
      </c>
      <c r="ED52" s="949" t="s">
        <v>1351</v>
      </c>
      <c r="EE52" s="954" t="s">
        <v>1352</v>
      </c>
      <c r="EF52" s="954" t="s">
        <v>1377</v>
      </c>
      <c r="EG52" s="954" t="s">
        <v>1389</v>
      </c>
      <c r="EH52" s="954" t="s">
        <v>1390</v>
      </c>
      <c r="EI52" s="954" t="s">
        <v>1391</v>
      </c>
      <c r="EJ52" s="954" t="s">
        <v>1408</v>
      </c>
      <c r="EK52" s="949" t="s">
        <v>1423</v>
      </c>
      <c r="EL52" s="933"/>
      <c r="EM52" s="933"/>
      <c r="EN52" s="933"/>
      <c r="EO52" s="933"/>
      <c r="EP52" s="933"/>
      <c r="EQ52" s="933"/>
      <c r="ER52" s="933"/>
      <c r="ES52" s="933"/>
      <c r="ET52" s="933"/>
      <c r="EU52" s="933"/>
      <c r="EV52" s="896"/>
      <c r="EW52" s="896"/>
      <c r="EX52" s="896"/>
      <c r="EY52" s="896"/>
      <c r="EZ52" s="896"/>
      <c r="FA52" s="896"/>
      <c r="FB52" s="896"/>
      <c r="FC52" s="896"/>
      <c r="FD52" s="896"/>
      <c r="FE52" s="896"/>
      <c r="FF52" s="896"/>
      <c r="FG52" s="896"/>
      <c r="FH52" s="896"/>
      <c r="FI52" s="896"/>
      <c r="FJ52" s="896"/>
      <c r="FK52" s="896"/>
      <c r="FL52" s="896"/>
      <c r="FM52" s="896"/>
      <c r="FN52" s="896"/>
      <c r="FO52" s="896"/>
      <c r="FP52" s="896"/>
      <c r="FQ52" s="896"/>
      <c r="FR52" s="896"/>
      <c r="FS52" s="896"/>
      <c r="FT52" s="896"/>
      <c r="FU52" s="896"/>
      <c r="FV52" s="896"/>
      <c r="FW52" s="896"/>
      <c r="FX52" s="896"/>
      <c r="FY52" s="896"/>
      <c r="FZ52" s="896"/>
      <c r="GA52" s="896"/>
      <c r="GB52" s="896"/>
      <c r="GC52" s="896"/>
      <c r="GD52" s="896"/>
      <c r="GE52" s="896"/>
      <c r="GF52" s="896"/>
      <c r="GG52" s="896"/>
      <c r="GH52" s="896"/>
      <c r="GI52" s="896"/>
      <c r="GJ52" s="896"/>
      <c r="GK52" s="896"/>
      <c r="GL52" s="896"/>
      <c r="GM52" s="896"/>
      <c r="GN52" s="896"/>
      <c r="GO52" s="896"/>
      <c r="GP52" s="896"/>
      <c r="GQ52" s="896"/>
      <c r="GR52" s="896"/>
      <c r="GS52" s="896"/>
      <c r="GT52" s="896"/>
      <c r="GU52" s="896"/>
      <c r="GV52" s="896"/>
      <c r="GW52" s="896"/>
      <c r="GX52" s="896"/>
      <c r="GY52" s="896"/>
      <c r="GZ52" s="896"/>
      <c r="HA52" s="896"/>
      <c r="HB52" s="896"/>
      <c r="HC52" s="896"/>
      <c r="HD52" s="896"/>
      <c r="HE52" s="896"/>
      <c r="HF52" s="896"/>
      <c r="HG52" s="896"/>
      <c r="HH52" s="896"/>
      <c r="HI52" s="896"/>
      <c r="HJ52" s="896"/>
      <c r="HK52" s="896"/>
      <c r="HL52" s="896"/>
      <c r="HM52" s="896"/>
      <c r="HN52" s="896"/>
      <c r="HO52" s="896"/>
      <c r="HP52" s="896"/>
      <c r="HQ52" s="896"/>
      <c r="HR52" s="896"/>
      <c r="HS52" s="896"/>
      <c r="HT52" s="896"/>
      <c r="HU52" s="896"/>
      <c r="HV52" s="896"/>
      <c r="HW52" s="896"/>
      <c r="HX52" s="896"/>
      <c r="HY52" s="896"/>
      <c r="HZ52" s="896"/>
      <c r="IA52" s="896"/>
      <c r="IB52" s="896"/>
      <c r="IC52" s="896"/>
      <c r="ID52" s="896"/>
      <c r="IE52" s="896"/>
      <c r="IF52" s="896"/>
      <c r="IG52" s="896"/>
      <c r="IH52" s="896"/>
      <c r="II52" s="896"/>
      <c r="IJ52" s="896"/>
      <c r="IK52" s="896"/>
      <c r="IL52" s="896"/>
      <c r="IM52" s="896"/>
      <c r="IN52" s="896"/>
      <c r="IO52" s="896"/>
      <c r="IP52" s="896"/>
      <c r="IQ52" s="896"/>
      <c r="IR52" s="896"/>
      <c r="IS52" s="896"/>
      <c r="IT52" s="896"/>
      <c r="IU52" s="896"/>
      <c r="IV52" s="896"/>
      <c r="IW52" s="896"/>
      <c r="IX52" s="896"/>
      <c r="IY52" s="896"/>
      <c r="IZ52" s="896"/>
      <c r="JA52" s="896"/>
      <c r="JB52" s="896"/>
      <c r="JC52" s="896"/>
      <c r="JD52" s="896"/>
      <c r="JE52" s="896"/>
      <c r="JF52" s="896"/>
      <c r="JG52" s="896"/>
      <c r="JH52" s="896"/>
      <c r="JI52" s="896"/>
      <c r="JJ52" s="896"/>
      <c r="JK52" s="896"/>
      <c r="JL52" s="896"/>
      <c r="JM52" s="896"/>
      <c r="JN52" s="896"/>
      <c r="JO52" s="896"/>
      <c r="JP52" s="896"/>
      <c r="JQ52" s="896"/>
      <c r="JR52" s="896"/>
      <c r="JS52" s="896"/>
      <c r="JT52" s="896"/>
      <c r="JU52" s="896"/>
      <c r="JV52" s="896"/>
      <c r="JW52" s="896"/>
      <c r="JX52" s="896"/>
      <c r="JY52" s="896"/>
      <c r="JZ52" s="896"/>
      <c r="KA52" s="896"/>
      <c r="KB52" s="896"/>
      <c r="KC52" s="896"/>
      <c r="KD52" s="896"/>
      <c r="KE52" s="896"/>
      <c r="KF52" s="896"/>
      <c r="KG52" s="896"/>
      <c r="KH52" s="896"/>
      <c r="KI52" s="896"/>
      <c r="KJ52" s="896"/>
      <c r="KK52" s="896"/>
      <c r="KL52" s="896"/>
      <c r="KM52" s="896"/>
      <c r="KN52" s="896"/>
      <c r="KO52" s="896"/>
      <c r="KP52" s="896"/>
      <c r="KQ52" s="896"/>
      <c r="KR52" s="896"/>
      <c r="KS52" s="896"/>
      <c r="KT52" s="896"/>
      <c r="KU52" s="896"/>
      <c r="KV52" s="896"/>
      <c r="KW52" s="896"/>
      <c r="KX52" s="896"/>
      <c r="KY52" s="896"/>
      <c r="KZ52" s="896"/>
      <c r="LA52" s="896"/>
      <c r="LB52" s="896"/>
      <c r="LC52" s="896"/>
      <c r="LD52" s="896"/>
      <c r="LE52" s="896"/>
      <c r="LF52" s="896"/>
      <c r="LG52" s="896"/>
      <c r="LH52" s="896"/>
      <c r="LI52" s="896"/>
      <c r="LJ52" s="896"/>
      <c r="LK52" s="896"/>
      <c r="LL52" s="896"/>
      <c r="LM52" s="896"/>
      <c r="LN52" s="896"/>
      <c r="LO52" s="896"/>
      <c r="LP52" s="896"/>
      <c r="LQ52" s="896"/>
      <c r="LR52" s="896"/>
      <c r="LS52" s="896"/>
      <c r="LT52" s="896"/>
      <c r="LU52" s="896"/>
      <c r="LV52" s="896"/>
      <c r="LW52" s="896"/>
      <c r="LX52" s="896"/>
      <c r="LY52" s="896"/>
      <c r="LZ52" s="896"/>
      <c r="MA52" s="896"/>
      <c r="MB52" s="896"/>
      <c r="MC52" s="896"/>
      <c r="MD52" s="896"/>
      <c r="ME52" s="896"/>
      <c r="MF52" s="896"/>
      <c r="MG52" s="896"/>
      <c r="MH52" s="896"/>
      <c r="MI52" s="896"/>
      <c r="MJ52" s="896"/>
      <c r="MK52" s="896"/>
      <c r="ML52" s="896"/>
      <c r="MM52" s="896"/>
      <c r="MN52" s="896"/>
      <c r="MO52" s="896"/>
      <c r="MP52" s="896"/>
      <c r="MQ52" s="896"/>
      <c r="MR52" s="896"/>
      <c r="MS52" s="896"/>
      <c r="MT52" s="896"/>
      <c r="MU52" s="896"/>
      <c r="MV52" s="896"/>
      <c r="MW52" s="896"/>
      <c r="MX52" s="896"/>
      <c r="MY52" s="896"/>
      <c r="MZ52" s="896"/>
      <c r="NA52" s="896"/>
      <c r="NB52" s="896"/>
      <c r="NC52" s="896"/>
      <c r="ND52" s="896"/>
      <c r="NE52" s="896"/>
      <c r="NF52" s="896"/>
      <c r="NG52" s="896"/>
      <c r="NH52" s="896"/>
      <c r="NI52" s="896"/>
      <c r="NJ52" s="896"/>
      <c r="NK52" s="896"/>
      <c r="NL52" s="896"/>
      <c r="NM52" s="896"/>
      <c r="NN52" s="896"/>
      <c r="NO52" s="896"/>
      <c r="NP52" s="896"/>
      <c r="NQ52" s="896"/>
      <c r="NR52" s="896"/>
      <c r="NS52" s="896"/>
      <c r="NT52" s="896"/>
      <c r="NU52" s="896"/>
      <c r="NV52" s="896"/>
      <c r="NW52" s="896"/>
      <c r="NX52" s="896"/>
      <c r="NY52" s="896"/>
      <c r="NZ52" s="896"/>
      <c r="OA52" s="896"/>
      <c r="OB52" s="896"/>
      <c r="OC52" s="896"/>
      <c r="OD52" s="896"/>
      <c r="OE52" s="896"/>
      <c r="OF52" s="896"/>
      <c r="OG52" s="896"/>
      <c r="OH52" s="896"/>
      <c r="OI52" s="896"/>
      <c r="OJ52" s="896"/>
      <c r="OK52" s="896"/>
      <c r="OL52" s="896"/>
      <c r="OM52" s="896"/>
      <c r="ON52" s="896"/>
      <c r="OO52" s="896"/>
      <c r="OP52" s="896"/>
      <c r="OQ52" s="896"/>
      <c r="OR52" s="896"/>
      <c r="OS52" s="896"/>
      <c r="OT52" s="896"/>
      <c r="OU52" s="896"/>
      <c r="OV52" s="896"/>
      <c r="OW52" s="896"/>
      <c r="OX52" s="896"/>
      <c r="OY52" s="896"/>
      <c r="OZ52" s="896"/>
      <c r="PA52" s="896"/>
      <c r="PB52" s="896"/>
      <c r="PC52" s="896"/>
      <c r="PD52" s="896"/>
      <c r="PE52" s="896"/>
      <c r="PF52" s="896"/>
      <c r="PG52" s="896"/>
      <c r="PH52" s="896"/>
      <c r="PI52" s="896"/>
      <c r="PJ52" s="896"/>
      <c r="PK52" s="896"/>
      <c r="PL52" s="896"/>
      <c r="PM52" s="896"/>
      <c r="PN52" s="896"/>
      <c r="PO52" s="896"/>
      <c r="PP52" s="896"/>
      <c r="PQ52" s="896"/>
      <c r="PR52" s="896"/>
      <c r="PS52" s="896"/>
      <c r="PT52" s="896"/>
      <c r="PU52" s="896"/>
      <c r="PV52" s="896"/>
      <c r="PW52" s="896"/>
      <c r="PX52" s="896"/>
      <c r="PY52" s="896"/>
      <c r="PZ52" s="896"/>
      <c r="QA52" s="896"/>
      <c r="QB52" s="896"/>
      <c r="QC52" s="896"/>
      <c r="QD52" s="896"/>
      <c r="QE52" s="896"/>
      <c r="QF52" s="896"/>
      <c r="QG52" s="896"/>
    </row>
    <row r="53" spans="1:449" s="800" customFormat="1" ht="96" customHeight="1" x14ac:dyDescent="0.2">
      <c r="A53" s="1069"/>
      <c r="B53" s="947" t="s">
        <v>1279</v>
      </c>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c r="AU53" s="934"/>
      <c r="AV53" s="934"/>
      <c r="AW53" s="934"/>
      <c r="AX53" s="934"/>
      <c r="AY53" s="934"/>
      <c r="AZ53" s="934"/>
      <c r="BA53" s="934"/>
      <c r="BB53" s="934"/>
      <c r="BC53" s="934"/>
      <c r="BD53" s="934"/>
      <c r="BE53" s="934"/>
      <c r="BF53" s="934"/>
      <c r="BG53" s="934"/>
      <c r="BH53" s="934"/>
      <c r="BI53" s="934"/>
      <c r="BJ53" s="934"/>
      <c r="BK53" s="934"/>
      <c r="BL53" s="934"/>
      <c r="BM53" s="934"/>
      <c r="BN53" s="934"/>
      <c r="BO53" s="897"/>
      <c r="BP53" s="897"/>
      <c r="BQ53" s="897"/>
      <c r="BR53" s="897"/>
      <c r="BS53" s="897"/>
      <c r="BT53" s="897"/>
      <c r="BU53" s="897"/>
      <c r="BV53" s="897"/>
      <c r="BW53" s="897"/>
      <c r="BX53" s="897"/>
      <c r="BY53" s="897"/>
      <c r="BZ53" s="897"/>
      <c r="CA53" s="897"/>
      <c r="CB53" s="897"/>
      <c r="CC53" s="897"/>
      <c r="CD53" s="897"/>
      <c r="CE53" s="897"/>
      <c r="CF53" s="940"/>
      <c r="CG53" s="940"/>
      <c r="CH53" s="940"/>
      <c r="CI53" s="940"/>
      <c r="CJ53" s="940"/>
      <c r="CK53" s="940"/>
      <c r="CL53" s="940"/>
      <c r="CM53" s="940"/>
      <c r="CN53" s="897"/>
      <c r="CO53" s="897"/>
      <c r="CP53" s="897"/>
      <c r="CQ53" s="897"/>
      <c r="CR53" s="897"/>
      <c r="CS53" s="897"/>
      <c r="CT53" s="897"/>
      <c r="CU53" s="897"/>
      <c r="CV53" s="897"/>
      <c r="CW53" s="897"/>
      <c r="CX53" s="897"/>
      <c r="CY53" s="897"/>
      <c r="CZ53" s="897"/>
      <c r="DA53" s="897"/>
      <c r="DB53" s="897"/>
      <c r="DC53" s="954"/>
      <c r="DD53" s="954"/>
      <c r="DE53" s="954"/>
      <c r="DF53" s="954"/>
      <c r="DG53" s="954"/>
      <c r="DH53" s="954"/>
      <c r="DI53" s="954"/>
      <c r="DJ53" s="954"/>
      <c r="DK53" s="954"/>
      <c r="DL53" s="954"/>
      <c r="DM53" s="954"/>
      <c r="DN53" s="954"/>
      <c r="DO53" s="954"/>
      <c r="DP53" s="954"/>
      <c r="DQ53" s="954"/>
      <c r="DR53" s="954"/>
      <c r="DS53" s="954"/>
      <c r="DT53" s="1011" t="s">
        <v>1289</v>
      </c>
      <c r="DU53" s="1012"/>
      <c r="DV53" s="1012"/>
      <c r="DW53" s="1013"/>
      <c r="DX53" s="1011" t="s">
        <v>1270</v>
      </c>
      <c r="DY53" s="1012"/>
      <c r="DZ53" s="1013"/>
      <c r="EA53" s="1011" t="s">
        <v>1271</v>
      </c>
      <c r="EB53" s="1013"/>
      <c r="EC53" s="1011" t="s">
        <v>1329</v>
      </c>
      <c r="ED53" s="1012"/>
      <c r="EE53" s="1012"/>
      <c r="EF53" s="1013"/>
      <c r="EG53" s="954" t="s">
        <v>1378</v>
      </c>
      <c r="EH53" s="1011" t="s">
        <v>1433</v>
      </c>
      <c r="EI53" s="1013"/>
      <c r="EJ53" s="1011" t="s">
        <v>1396</v>
      </c>
      <c r="EK53" s="1012"/>
      <c r="EL53" s="954"/>
      <c r="EM53" s="954"/>
      <c r="EN53" s="954"/>
      <c r="EO53" s="954"/>
      <c r="EP53" s="954"/>
      <c r="EQ53" s="954"/>
      <c r="ER53" s="954"/>
      <c r="ES53" s="954"/>
      <c r="ET53" s="954"/>
      <c r="EU53" s="954"/>
      <c r="EV53" s="897"/>
      <c r="EW53" s="897"/>
      <c r="EX53" s="897"/>
      <c r="EY53" s="897"/>
      <c r="EZ53" s="897"/>
      <c r="FA53" s="897"/>
      <c r="FB53" s="897"/>
      <c r="FC53" s="897"/>
      <c r="FD53" s="897"/>
      <c r="FE53" s="897"/>
      <c r="FF53" s="897"/>
      <c r="FG53" s="897"/>
      <c r="FH53" s="897"/>
      <c r="FI53" s="897"/>
      <c r="FJ53" s="897"/>
      <c r="FK53" s="897"/>
      <c r="FL53" s="897"/>
      <c r="FM53" s="897"/>
      <c r="FN53" s="897"/>
      <c r="FO53" s="897"/>
      <c r="FP53" s="897"/>
      <c r="FQ53" s="897"/>
      <c r="FR53" s="897"/>
      <c r="FS53" s="897"/>
      <c r="FT53" s="897"/>
      <c r="FU53" s="897"/>
      <c r="FV53" s="897"/>
      <c r="FW53" s="897"/>
      <c r="FX53" s="897"/>
      <c r="FY53" s="897"/>
      <c r="FZ53" s="897"/>
      <c r="GA53" s="897"/>
      <c r="GB53" s="897"/>
      <c r="GC53" s="897"/>
      <c r="GD53" s="897"/>
      <c r="GE53" s="897"/>
      <c r="GF53" s="897"/>
      <c r="GG53" s="897"/>
      <c r="GH53" s="897"/>
      <c r="GI53" s="897"/>
      <c r="GJ53" s="897"/>
      <c r="GK53" s="897"/>
      <c r="GL53" s="897"/>
      <c r="GM53" s="897"/>
      <c r="GN53" s="897"/>
      <c r="GO53" s="897"/>
      <c r="GP53" s="897"/>
      <c r="GQ53" s="897"/>
      <c r="GR53" s="897"/>
      <c r="GS53" s="897"/>
      <c r="GT53" s="897"/>
      <c r="GU53" s="897"/>
      <c r="GV53" s="897"/>
      <c r="GW53" s="897"/>
      <c r="GX53" s="897"/>
      <c r="GY53" s="897"/>
      <c r="GZ53" s="897"/>
      <c r="HA53" s="897"/>
      <c r="HB53" s="897"/>
      <c r="HC53" s="897"/>
      <c r="HD53" s="897"/>
      <c r="HE53" s="897"/>
      <c r="HF53" s="897"/>
      <c r="HG53" s="897"/>
      <c r="HH53" s="897"/>
      <c r="HI53" s="897"/>
      <c r="HJ53" s="897"/>
      <c r="HK53" s="897"/>
      <c r="HL53" s="897"/>
      <c r="HM53" s="897"/>
      <c r="HN53" s="897"/>
      <c r="HO53" s="897"/>
      <c r="HP53" s="897"/>
      <c r="HQ53" s="897"/>
      <c r="HR53" s="897"/>
      <c r="HS53" s="897"/>
      <c r="HT53" s="897"/>
      <c r="HU53" s="897"/>
      <c r="HV53" s="897"/>
      <c r="HW53" s="897"/>
      <c r="HX53" s="897"/>
      <c r="HY53" s="897"/>
      <c r="HZ53" s="897"/>
      <c r="IA53" s="897"/>
      <c r="IB53" s="897"/>
      <c r="IC53" s="897"/>
      <c r="ID53" s="897"/>
      <c r="IE53" s="897"/>
      <c r="IF53" s="897"/>
      <c r="IG53" s="897"/>
      <c r="IH53" s="897"/>
      <c r="II53" s="897"/>
      <c r="IJ53" s="897"/>
      <c r="IK53" s="897"/>
      <c r="IL53" s="897"/>
      <c r="IM53" s="897"/>
      <c r="IN53" s="897"/>
      <c r="IO53" s="897"/>
      <c r="IP53" s="897"/>
      <c r="IQ53" s="897"/>
      <c r="IR53" s="897"/>
      <c r="IS53" s="897"/>
      <c r="IT53" s="897"/>
      <c r="IU53" s="897"/>
      <c r="IV53" s="897"/>
      <c r="IW53" s="897"/>
      <c r="IX53" s="897"/>
      <c r="IY53" s="897"/>
      <c r="IZ53" s="897"/>
      <c r="JA53" s="897"/>
      <c r="JB53" s="897"/>
      <c r="JC53" s="897"/>
      <c r="JD53" s="897"/>
      <c r="JE53" s="897"/>
      <c r="JF53" s="897"/>
      <c r="JG53" s="897"/>
      <c r="JH53" s="897"/>
      <c r="JI53" s="897"/>
      <c r="JJ53" s="897"/>
      <c r="JK53" s="897"/>
      <c r="JL53" s="897"/>
      <c r="JM53" s="897"/>
      <c r="JN53" s="897"/>
      <c r="JO53" s="897"/>
      <c r="JP53" s="897"/>
      <c r="JQ53" s="897"/>
      <c r="JR53" s="897"/>
      <c r="JS53" s="897"/>
      <c r="JT53" s="897"/>
      <c r="JU53" s="897"/>
      <c r="JV53" s="897"/>
      <c r="JW53" s="897"/>
      <c r="JX53" s="897"/>
      <c r="JY53" s="897"/>
      <c r="JZ53" s="897"/>
      <c r="KA53" s="897"/>
      <c r="KB53" s="897"/>
      <c r="KC53" s="897"/>
      <c r="KD53" s="897"/>
      <c r="KE53" s="897"/>
      <c r="KF53" s="897"/>
      <c r="KG53" s="897"/>
      <c r="KH53" s="897"/>
      <c r="KI53" s="897"/>
      <c r="KJ53" s="897"/>
      <c r="KK53" s="897"/>
      <c r="KL53" s="897"/>
      <c r="KM53" s="897"/>
      <c r="KN53" s="897"/>
      <c r="KO53" s="897"/>
      <c r="KP53" s="897"/>
      <c r="KQ53" s="897"/>
      <c r="KR53" s="897"/>
      <c r="KS53" s="897"/>
      <c r="KT53" s="897"/>
      <c r="KU53" s="897"/>
      <c r="KV53" s="897"/>
      <c r="KW53" s="897"/>
      <c r="KX53" s="897"/>
      <c r="KY53" s="897"/>
      <c r="KZ53" s="897"/>
      <c r="LA53" s="897"/>
      <c r="LB53" s="897"/>
      <c r="LC53" s="897"/>
      <c r="LD53" s="897"/>
      <c r="LE53" s="897"/>
      <c r="LF53" s="897"/>
      <c r="LG53" s="897"/>
      <c r="LH53" s="897"/>
      <c r="LI53" s="897"/>
      <c r="LJ53" s="897"/>
      <c r="LK53" s="897"/>
      <c r="LL53" s="897"/>
      <c r="LM53" s="897"/>
      <c r="LN53" s="897"/>
      <c r="LO53" s="897"/>
      <c r="LP53" s="897"/>
      <c r="LQ53" s="897"/>
      <c r="LR53" s="897"/>
      <c r="LS53" s="897"/>
      <c r="LT53" s="897"/>
      <c r="LU53" s="897"/>
      <c r="LV53" s="897"/>
      <c r="LW53" s="897"/>
      <c r="LX53" s="897"/>
      <c r="LY53" s="897"/>
      <c r="LZ53" s="897"/>
      <c r="MA53" s="897"/>
      <c r="MB53" s="897"/>
      <c r="MC53" s="897"/>
      <c r="MD53" s="897"/>
      <c r="ME53" s="897"/>
      <c r="MF53" s="897"/>
      <c r="MG53" s="897"/>
      <c r="MH53" s="897"/>
      <c r="MI53" s="897"/>
      <c r="MJ53" s="897"/>
      <c r="MK53" s="897"/>
      <c r="ML53" s="897"/>
      <c r="MM53" s="897"/>
      <c r="MN53" s="897"/>
      <c r="MO53" s="897"/>
      <c r="MP53" s="897"/>
      <c r="MQ53" s="897"/>
      <c r="MR53" s="897"/>
      <c r="MS53" s="897"/>
      <c r="MT53" s="897"/>
      <c r="MU53" s="897"/>
      <c r="MV53" s="897"/>
      <c r="MW53" s="897"/>
      <c r="MX53" s="897"/>
      <c r="MY53" s="897"/>
      <c r="MZ53" s="897"/>
      <c r="NA53" s="897"/>
      <c r="NB53" s="897"/>
      <c r="NC53" s="897"/>
      <c r="ND53" s="897"/>
      <c r="NE53" s="897"/>
      <c r="NF53" s="897"/>
      <c r="NG53" s="897"/>
      <c r="NH53" s="897"/>
      <c r="NI53" s="897"/>
      <c r="NJ53" s="897"/>
      <c r="NK53" s="897"/>
      <c r="NL53" s="897"/>
      <c r="NM53" s="897"/>
      <c r="NN53" s="897"/>
      <c r="NO53" s="897"/>
      <c r="NP53" s="897"/>
      <c r="NQ53" s="897"/>
      <c r="NR53" s="897"/>
      <c r="NS53" s="897"/>
      <c r="NT53" s="897"/>
      <c r="NU53" s="897"/>
      <c r="NV53" s="897"/>
      <c r="NW53" s="897"/>
      <c r="NX53" s="897"/>
      <c r="NY53" s="897"/>
      <c r="NZ53" s="897"/>
      <c r="OA53" s="897"/>
      <c r="OB53" s="897"/>
      <c r="OC53" s="897"/>
      <c r="OD53" s="897"/>
      <c r="OE53" s="897"/>
      <c r="OF53" s="897"/>
      <c r="OG53" s="897"/>
      <c r="OH53" s="897"/>
      <c r="OI53" s="897"/>
      <c r="OJ53" s="897"/>
      <c r="OK53" s="897"/>
      <c r="OL53" s="897"/>
      <c r="OM53" s="897"/>
      <c r="ON53" s="897"/>
      <c r="OO53" s="897"/>
      <c r="OP53" s="897"/>
      <c r="OQ53" s="897"/>
      <c r="OR53" s="897"/>
      <c r="OS53" s="897"/>
      <c r="OT53" s="897"/>
      <c r="OU53" s="897"/>
      <c r="OV53" s="897"/>
      <c r="OW53" s="897"/>
      <c r="OX53" s="897"/>
      <c r="OY53" s="897"/>
      <c r="OZ53" s="897"/>
      <c r="PA53" s="897"/>
      <c r="PB53" s="897"/>
      <c r="PC53" s="897"/>
      <c r="PD53" s="897"/>
      <c r="PE53" s="897"/>
      <c r="PF53" s="897"/>
      <c r="PG53" s="897"/>
      <c r="PH53" s="897"/>
      <c r="PI53" s="897"/>
      <c r="PJ53" s="897"/>
      <c r="PK53" s="897"/>
      <c r="PL53" s="897"/>
      <c r="PM53" s="897"/>
      <c r="PN53" s="897"/>
      <c r="PO53" s="897"/>
      <c r="PP53" s="897"/>
      <c r="PQ53" s="897"/>
      <c r="PR53" s="897"/>
      <c r="PS53" s="897"/>
      <c r="PT53" s="897"/>
      <c r="PU53" s="897"/>
      <c r="PV53" s="897"/>
      <c r="PW53" s="897"/>
      <c r="PX53" s="897"/>
      <c r="PY53" s="897"/>
      <c r="PZ53" s="897"/>
      <c r="QA53" s="897"/>
      <c r="QB53" s="897"/>
      <c r="QC53" s="897"/>
      <c r="QD53" s="897"/>
      <c r="QE53" s="897"/>
      <c r="QF53" s="897"/>
      <c r="QG53" s="897"/>
    </row>
    <row r="54" spans="1:449" ht="72.95" customHeight="1" x14ac:dyDescent="0.2">
      <c r="A54" s="1069"/>
      <c r="B54" s="947" t="s">
        <v>1280</v>
      </c>
      <c r="C54" s="942"/>
      <c r="D54" s="942"/>
      <c r="E54" s="942"/>
      <c r="F54" s="942"/>
      <c r="G54" s="942"/>
      <c r="H54" s="942"/>
      <c r="I54" s="942"/>
      <c r="J54" s="942"/>
      <c r="K54" s="942"/>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943"/>
      <c r="AM54" s="943"/>
      <c r="AN54" s="943"/>
      <c r="AO54" s="943"/>
      <c r="AP54" s="943"/>
      <c r="AQ54" s="943"/>
      <c r="AR54" s="943"/>
      <c r="AS54" s="943"/>
      <c r="AT54" s="943"/>
      <c r="AU54" s="943"/>
      <c r="AV54" s="943"/>
      <c r="AW54" s="943"/>
      <c r="AX54" s="943"/>
      <c r="AY54" s="943"/>
      <c r="AZ54" s="943"/>
      <c r="BA54" s="943"/>
      <c r="BB54" s="943"/>
      <c r="BC54" s="943"/>
      <c r="BD54" s="943"/>
      <c r="BE54" s="943"/>
      <c r="BF54" s="943"/>
      <c r="BG54" s="943"/>
      <c r="BH54" s="943"/>
      <c r="BI54" s="943"/>
      <c r="BJ54" s="943"/>
      <c r="BK54" s="943"/>
      <c r="BL54" s="943"/>
      <c r="BM54" s="943"/>
      <c r="BN54" s="943"/>
      <c r="BO54" s="896"/>
      <c r="BP54" s="896"/>
      <c r="BQ54" s="896"/>
      <c r="BR54" s="896"/>
      <c r="BS54" s="896"/>
      <c r="BT54" s="896"/>
      <c r="BU54" s="896"/>
      <c r="BV54" s="896"/>
      <c r="BW54" s="896"/>
      <c r="BX54" s="896"/>
      <c r="BY54" s="896"/>
      <c r="BZ54" s="896"/>
      <c r="CA54" s="896"/>
      <c r="CB54" s="896"/>
      <c r="CC54" s="896"/>
      <c r="CD54" s="896"/>
      <c r="CE54" s="896"/>
      <c r="CF54" s="944"/>
      <c r="CG54" s="944"/>
      <c r="CH54" s="944"/>
      <c r="CI54" s="944"/>
      <c r="CJ54" s="944"/>
      <c r="CK54" s="944"/>
      <c r="CL54" s="944"/>
      <c r="CM54" s="944"/>
      <c r="CN54" s="896"/>
      <c r="CO54" s="896"/>
      <c r="CP54" s="896"/>
      <c r="CQ54" s="896"/>
      <c r="CR54" s="896"/>
      <c r="CS54" s="896"/>
      <c r="CT54" s="896"/>
      <c r="CU54" s="896"/>
      <c r="CV54" s="896"/>
      <c r="CW54" s="896"/>
      <c r="CX54" s="896"/>
      <c r="CY54" s="896"/>
      <c r="CZ54" s="896"/>
      <c r="DA54" s="896"/>
      <c r="DB54" s="896"/>
      <c r="DC54" s="933"/>
      <c r="DD54" s="933"/>
      <c r="DE54" s="933"/>
      <c r="DF54" s="933"/>
      <c r="DG54" s="933"/>
      <c r="DH54" s="933"/>
      <c r="DI54" s="933"/>
      <c r="DJ54" s="933"/>
      <c r="DK54" s="933"/>
      <c r="DL54" s="933"/>
      <c r="DM54" s="933"/>
      <c r="DN54" s="933"/>
      <c r="DO54" s="933"/>
      <c r="DP54" s="933"/>
      <c r="DQ54" s="1011" t="s">
        <v>1286</v>
      </c>
      <c r="DR54" s="1013"/>
      <c r="DS54" s="933"/>
      <c r="DT54" s="1015" t="s">
        <v>1288</v>
      </c>
      <c r="DU54" s="1016"/>
      <c r="DV54" s="1016"/>
      <c r="DW54" s="1017"/>
      <c r="DX54" s="933"/>
      <c r="DY54" s="1011" t="s">
        <v>1327</v>
      </c>
      <c r="DZ54" s="1012"/>
      <c r="EA54" s="1012"/>
      <c r="EB54" s="1012"/>
      <c r="EC54" s="1012"/>
      <c r="ED54" s="1012"/>
      <c r="EE54" s="1012"/>
      <c r="EF54" s="1012"/>
      <c r="EG54" s="1012"/>
      <c r="EH54" s="1012"/>
      <c r="EI54" s="1012"/>
      <c r="EJ54" s="1012"/>
      <c r="EK54" s="1012"/>
      <c r="EL54" s="933"/>
      <c r="EM54" s="933"/>
      <c r="EN54" s="933"/>
      <c r="EO54" s="933"/>
      <c r="EP54" s="933"/>
      <c r="EQ54" s="933"/>
      <c r="ER54" s="933"/>
      <c r="ES54" s="933"/>
      <c r="ET54" s="933"/>
      <c r="EU54" s="933"/>
      <c r="EV54" s="896"/>
      <c r="EW54" s="896"/>
      <c r="EX54" s="896"/>
      <c r="EY54" s="896"/>
      <c r="EZ54" s="896"/>
      <c r="FA54" s="896"/>
      <c r="FB54" s="896"/>
      <c r="FC54" s="896"/>
      <c r="FD54" s="896"/>
      <c r="FE54" s="896"/>
      <c r="FF54" s="896"/>
      <c r="FG54" s="896"/>
      <c r="FH54" s="896"/>
      <c r="FI54" s="896"/>
      <c r="FJ54" s="896"/>
      <c r="FK54" s="896"/>
      <c r="FL54" s="896"/>
      <c r="FM54" s="896"/>
      <c r="FN54" s="896"/>
      <c r="FO54" s="896"/>
      <c r="FP54" s="896"/>
      <c r="FQ54" s="896"/>
      <c r="FR54" s="896"/>
      <c r="FS54" s="896"/>
      <c r="FT54" s="896"/>
      <c r="FU54" s="896"/>
      <c r="FV54" s="896"/>
      <c r="FW54" s="896"/>
      <c r="FX54" s="896"/>
      <c r="FY54" s="896"/>
      <c r="FZ54" s="896"/>
      <c r="GA54" s="896"/>
      <c r="GB54" s="896"/>
      <c r="GC54" s="896"/>
      <c r="GD54" s="896"/>
      <c r="GE54" s="896"/>
      <c r="GF54" s="896"/>
      <c r="GG54" s="896"/>
      <c r="GH54" s="896"/>
      <c r="GI54" s="896"/>
      <c r="GJ54" s="896"/>
      <c r="GK54" s="896"/>
      <c r="GL54" s="896"/>
      <c r="GM54" s="896"/>
      <c r="GN54" s="896"/>
      <c r="GO54" s="896"/>
      <c r="GP54" s="896"/>
      <c r="GQ54" s="896"/>
      <c r="GR54" s="896"/>
      <c r="GS54" s="896"/>
      <c r="GT54" s="896"/>
      <c r="GU54" s="896"/>
      <c r="GV54" s="896"/>
      <c r="GW54" s="896"/>
      <c r="GX54" s="896"/>
      <c r="GY54" s="896"/>
      <c r="GZ54" s="896"/>
      <c r="HA54" s="896"/>
      <c r="HB54" s="896"/>
      <c r="HC54" s="896"/>
      <c r="HD54" s="896"/>
      <c r="HE54" s="896"/>
      <c r="HF54" s="896"/>
      <c r="HG54" s="896"/>
      <c r="HH54" s="896"/>
      <c r="HI54" s="896"/>
      <c r="HJ54" s="896"/>
      <c r="HK54" s="896"/>
      <c r="HL54" s="896"/>
      <c r="HM54" s="896"/>
      <c r="HN54" s="896"/>
      <c r="HO54" s="896"/>
      <c r="HP54" s="896"/>
      <c r="HQ54" s="896"/>
      <c r="HR54" s="896"/>
      <c r="HS54" s="896"/>
      <c r="HT54" s="896"/>
      <c r="HU54" s="896"/>
      <c r="HV54" s="896"/>
      <c r="HW54" s="896"/>
      <c r="HX54" s="896"/>
      <c r="HY54" s="896"/>
      <c r="HZ54" s="896"/>
      <c r="IA54" s="896"/>
      <c r="IB54" s="896"/>
      <c r="IC54" s="896"/>
      <c r="ID54" s="896"/>
      <c r="IE54" s="896"/>
      <c r="IF54" s="896"/>
      <c r="IG54" s="896"/>
      <c r="IH54" s="896"/>
      <c r="II54" s="896"/>
      <c r="IJ54" s="896"/>
      <c r="IK54" s="896"/>
      <c r="IL54" s="896"/>
      <c r="IM54" s="896"/>
      <c r="IN54" s="896"/>
      <c r="IO54" s="896"/>
      <c r="IP54" s="896"/>
      <c r="IQ54" s="896"/>
      <c r="IR54" s="896"/>
      <c r="IS54" s="896"/>
      <c r="IT54" s="896"/>
      <c r="IU54" s="896"/>
      <c r="IV54" s="896"/>
      <c r="IW54" s="896"/>
      <c r="IX54" s="896"/>
      <c r="IY54" s="896"/>
      <c r="IZ54" s="896"/>
      <c r="JA54" s="896"/>
      <c r="JB54" s="896"/>
      <c r="JC54" s="896"/>
      <c r="JD54" s="896"/>
      <c r="JE54" s="896"/>
      <c r="JF54" s="896"/>
      <c r="JG54" s="896"/>
      <c r="JH54" s="896"/>
      <c r="JI54" s="896"/>
      <c r="JJ54" s="896"/>
      <c r="JK54" s="896"/>
      <c r="JL54" s="896"/>
      <c r="JM54" s="896"/>
      <c r="JN54" s="896"/>
      <c r="JO54" s="896"/>
      <c r="JP54" s="896"/>
      <c r="JQ54" s="896"/>
      <c r="JR54" s="896"/>
      <c r="JS54" s="896"/>
      <c r="JT54" s="896"/>
      <c r="JU54" s="896"/>
      <c r="JV54" s="896"/>
      <c r="JW54" s="896"/>
      <c r="JX54" s="896"/>
      <c r="JY54" s="896"/>
      <c r="JZ54" s="896"/>
      <c r="KA54" s="896"/>
      <c r="KB54" s="896"/>
      <c r="KC54" s="896"/>
      <c r="KD54" s="896"/>
      <c r="KE54" s="896"/>
      <c r="KF54" s="896"/>
      <c r="KG54" s="896"/>
      <c r="KH54" s="896"/>
      <c r="KI54" s="896"/>
      <c r="KJ54" s="896"/>
      <c r="KK54" s="896"/>
      <c r="KL54" s="896"/>
      <c r="KM54" s="896"/>
      <c r="KN54" s="896"/>
      <c r="KO54" s="896"/>
      <c r="KP54" s="896"/>
      <c r="KQ54" s="896"/>
      <c r="KR54" s="896"/>
      <c r="KS54" s="896"/>
      <c r="KT54" s="896"/>
      <c r="KU54" s="896"/>
      <c r="KV54" s="896"/>
      <c r="KW54" s="896"/>
      <c r="KX54" s="896"/>
      <c r="KY54" s="896"/>
      <c r="KZ54" s="896"/>
      <c r="LA54" s="896"/>
      <c r="LB54" s="896"/>
      <c r="LC54" s="896"/>
      <c r="LD54" s="896"/>
      <c r="LE54" s="896"/>
      <c r="LF54" s="896"/>
      <c r="LG54" s="896"/>
      <c r="LH54" s="896"/>
      <c r="LI54" s="896"/>
      <c r="LJ54" s="896"/>
      <c r="LK54" s="896"/>
      <c r="LL54" s="896"/>
      <c r="LM54" s="896"/>
      <c r="LN54" s="896"/>
      <c r="LO54" s="896"/>
      <c r="LP54" s="896"/>
      <c r="LQ54" s="896"/>
      <c r="LR54" s="896"/>
      <c r="LS54" s="896"/>
      <c r="LT54" s="896"/>
      <c r="LU54" s="896"/>
      <c r="LV54" s="896"/>
      <c r="LW54" s="896"/>
      <c r="LX54" s="896"/>
      <c r="LY54" s="896"/>
      <c r="LZ54" s="896"/>
      <c r="MA54" s="896"/>
      <c r="MB54" s="896"/>
      <c r="MC54" s="896"/>
      <c r="MD54" s="896"/>
      <c r="ME54" s="896"/>
      <c r="MF54" s="896"/>
      <c r="MG54" s="896"/>
      <c r="MH54" s="896"/>
      <c r="MI54" s="896"/>
      <c r="MJ54" s="896"/>
      <c r="MK54" s="896"/>
      <c r="ML54" s="896"/>
      <c r="MM54" s="896"/>
      <c r="MN54" s="896"/>
      <c r="MO54" s="896"/>
      <c r="MP54" s="896"/>
      <c r="MQ54" s="896"/>
      <c r="MR54" s="896"/>
      <c r="MS54" s="896"/>
      <c r="MT54" s="896"/>
      <c r="MU54" s="896"/>
      <c r="MV54" s="896"/>
      <c r="MW54" s="896"/>
      <c r="MX54" s="896"/>
      <c r="MY54" s="896"/>
      <c r="MZ54" s="896"/>
      <c r="NA54" s="896"/>
      <c r="NB54" s="896"/>
      <c r="NC54" s="896"/>
      <c r="ND54" s="896"/>
      <c r="NE54" s="896"/>
      <c r="NF54" s="896"/>
      <c r="NG54" s="896"/>
      <c r="NH54" s="896"/>
      <c r="NI54" s="896"/>
      <c r="NJ54" s="896"/>
      <c r="NK54" s="896"/>
      <c r="NL54" s="896"/>
      <c r="NM54" s="896"/>
      <c r="NN54" s="896"/>
      <c r="NO54" s="896"/>
      <c r="NP54" s="896"/>
      <c r="NQ54" s="896"/>
      <c r="NR54" s="896"/>
      <c r="NS54" s="896"/>
      <c r="NT54" s="896"/>
      <c r="NU54" s="896"/>
      <c r="NV54" s="896"/>
      <c r="NW54" s="896"/>
      <c r="NX54" s="896"/>
      <c r="NY54" s="896"/>
      <c r="NZ54" s="896"/>
      <c r="OA54" s="896"/>
      <c r="OB54" s="896"/>
      <c r="OC54" s="896"/>
      <c r="OD54" s="896"/>
      <c r="OE54" s="896"/>
      <c r="OF54" s="896"/>
      <c r="OG54" s="896"/>
      <c r="OH54" s="896"/>
      <c r="OI54" s="896"/>
      <c r="OJ54" s="896"/>
      <c r="OK54" s="896"/>
      <c r="OL54" s="896"/>
      <c r="OM54" s="896"/>
      <c r="ON54" s="896"/>
      <c r="OO54" s="896"/>
      <c r="OP54" s="896"/>
      <c r="OQ54" s="896"/>
      <c r="OR54" s="896"/>
      <c r="OS54" s="896"/>
      <c r="OT54" s="896"/>
      <c r="OU54" s="896"/>
      <c r="OV54" s="896"/>
      <c r="OW54" s="896"/>
      <c r="OX54" s="896"/>
      <c r="OY54" s="896"/>
      <c r="OZ54" s="896"/>
      <c r="PA54" s="896"/>
      <c r="PB54" s="896"/>
      <c r="PC54" s="896"/>
      <c r="PD54" s="896"/>
      <c r="PE54" s="896"/>
      <c r="PF54" s="896"/>
      <c r="PG54" s="896"/>
      <c r="PH54" s="896"/>
      <c r="PI54" s="896"/>
      <c r="PJ54" s="896"/>
      <c r="PK54" s="896"/>
      <c r="PL54" s="896"/>
      <c r="PM54" s="896"/>
      <c r="PN54" s="896"/>
      <c r="PO54" s="896"/>
      <c r="PP54" s="896"/>
      <c r="PQ54" s="896"/>
      <c r="PR54" s="896"/>
      <c r="PS54" s="896"/>
      <c r="PT54" s="896"/>
      <c r="PU54" s="896"/>
      <c r="PV54" s="896"/>
      <c r="PW54" s="896"/>
      <c r="PX54" s="896"/>
      <c r="PY54" s="896"/>
      <c r="PZ54" s="896"/>
      <c r="QA54" s="896"/>
      <c r="QB54" s="896"/>
      <c r="QC54" s="896"/>
      <c r="QD54" s="896"/>
      <c r="QE54" s="896"/>
      <c r="QF54" s="896"/>
      <c r="QG54" s="896"/>
    </row>
    <row r="55" spans="1:449" ht="54" customHeight="1" x14ac:dyDescent="0.2">
      <c r="A55" s="1069"/>
      <c r="B55" s="1070" t="s">
        <v>1281</v>
      </c>
      <c r="C55" s="942"/>
      <c r="D55" s="942"/>
      <c r="E55" s="942"/>
      <c r="F55" s="942"/>
      <c r="G55" s="942"/>
      <c r="H55" s="942"/>
      <c r="I55" s="942"/>
      <c r="J55" s="942"/>
      <c r="K55" s="942"/>
      <c r="L55" s="943"/>
      <c r="M55" s="943"/>
      <c r="N55" s="943"/>
      <c r="O55" s="943"/>
      <c r="P55" s="943"/>
      <c r="Q55" s="943"/>
      <c r="R55" s="943"/>
      <c r="S55" s="943"/>
      <c r="T55" s="943"/>
      <c r="U55" s="943"/>
      <c r="V55" s="943"/>
      <c r="W55" s="943"/>
      <c r="X55" s="943"/>
      <c r="Y55" s="943"/>
      <c r="Z55" s="943"/>
      <c r="AA55" s="943"/>
      <c r="AB55" s="943"/>
      <c r="AC55" s="943"/>
      <c r="AD55" s="943"/>
      <c r="AE55" s="943"/>
      <c r="AF55" s="943"/>
      <c r="AG55" s="943"/>
      <c r="AH55" s="943"/>
      <c r="AI55" s="943"/>
      <c r="AJ55" s="943"/>
      <c r="AK55" s="943"/>
      <c r="AL55" s="943"/>
      <c r="AM55" s="943"/>
      <c r="AN55" s="943"/>
      <c r="AO55" s="943"/>
      <c r="AP55" s="943"/>
      <c r="AQ55" s="943"/>
      <c r="AR55" s="943"/>
      <c r="AS55" s="943"/>
      <c r="AT55" s="943"/>
      <c r="AU55" s="943"/>
      <c r="AV55" s="943"/>
      <c r="AW55" s="943"/>
      <c r="AX55" s="943"/>
      <c r="AY55" s="943"/>
      <c r="AZ55" s="943"/>
      <c r="BA55" s="943"/>
      <c r="BB55" s="943"/>
      <c r="BC55" s="943"/>
      <c r="BD55" s="943"/>
      <c r="BE55" s="943"/>
      <c r="BF55" s="943"/>
      <c r="BG55" s="943"/>
      <c r="BH55" s="943"/>
      <c r="BI55" s="943"/>
      <c r="BJ55" s="943"/>
      <c r="BK55" s="943"/>
      <c r="BL55" s="943"/>
      <c r="BM55" s="943"/>
      <c r="BN55" s="943"/>
      <c r="BO55" s="896"/>
      <c r="BP55" s="896"/>
      <c r="BQ55" s="896"/>
      <c r="BR55" s="896"/>
      <c r="BS55" s="896"/>
      <c r="BT55" s="896"/>
      <c r="BU55" s="896"/>
      <c r="BV55" s="896"/>
      <c r="BW55" s="896"/>
      <c r="BX55" s="896"/>
      <c r="BY55" s="896"/>
      <c r="BZ55" s="896"/>
      <c r="CA55" s="896"/>
      <c r="CB55" s="896"/>
      <c r="CC55" s="896"/>
      <c r="CD55" s="896"/>
      <c r="CE55" s="896"/>
      <c r="CF55" s="944"/>
      <c r="CG55" s="944"/>
      <c r="CH55" s="944"/>
      <c r="CI55" s="944"/>
      <c r="CJ55" s="944"/>
      <c r="CK55" s="944"/>
      <c r="CL55" s="944"/>
      <c r="CM55" s="944"/>
      <c r="CN55" s="896"/>
      <c r="CO55" s="896"/>
      <c r="CP55" s="896"/>
      <c r="CQ55" s="896"/>
      <c r="CR55" s="896"/>
      <c r="CS55" s="896"/>
      <c r="CT55" s="896"/>
      <c r="CU55" s="896"/>
      <c r="CV55" s="896"/>
      <c r="CW55" s="896"/>
      <c r="CX55" s="896"/>
      <c r="CY55" s="896"/>
      <c r="CZ55" s="896"/>
      <c r="DA55" s="896"/>
      <c r="DB55" s="896"/>
      <c r="DC55" s="933"/>
      <c r="DD55" s="933"/>
      <c r="DE55" s="933"/>
      <c r="DF55" s="933"/>
      <c r="DG55" s="933"/>
      <c r="DH55" s="933"/>
      <c r="DI55" s="933"/>
      <c r="DJ55" s="933"/>
      <c r="DK55" s="933"/>
      <c r="DL55" s="933"/>
      <c r="DM55" s="933"/>
      <c r="DN55" s="933"/>
      <c r="DO55" s="933"/>
      <c r="DP55" s="933"/>
      <c r="DQ55" s="933"/>
      <c r="DR55" s="933"/>
      <c r="DS55" s="933"/>
      <c r="DT55" s="1011" t="s">
        <v>1285</v>
      </c>
      <c r="DU55" s="1012"/>
      <c r="DV55" s="1012"/>
      <c r="DW55" s="1013"/>
      <c r="DX55" s="1011" t="s">
        <v>1284</v>
      </c>
      <c r="DY55" s="1012"/>
      <c r="DZ55" s="1012"/>
      <c r="EA55" s="1012"/>
      <c r="EB55" s="1013"/>
      <c r="EC55" s="1011" t="s">
        <v>1328</v>
      </c>
      <c r="ED55" s="1012"/>
      <c r="EE55" s="1012"/>
      <c r="EF55" s="1012"/>
      <c r="EG55" s="1013"/>
      <c r="EH55" s="1011" t="s">
        <v>1392</v>
      </c>
      <c r="EI55" s="1012"/>
      <c r="EJ55" s="1012"/>
      <c r="EK55" s="1012"/>
      <c r="EL55" s="933"/>
      <c r="EM55" s="933"/>
      <c r="EN55" s="933"/>
      <c r="EO55" s="933"/>
      <c r="EP55" s="933"/>
      <c r="EQ55" s="933"/>
      <c r="ER55" s="933"/>
      <c r="ES55" s="933"/>
      <c r="ET55" s="933"/>
      <c r="EU55" s="933"/>
      <c r="EV55" s="896"/>
      <c r="EW55" s="896"/>
      <c r="EX55" s="896"/>
      <c r="EY55" s="896"/>
      <c r="EZ55" s="896"/>
      <c r="FA55" s="896"/>
      <c r="FB55" s="896"/>
      <c r="FC55" s="896"/>
      <c r="FD55" s="896"/>
      <c r="FE55" s="896"/>
      <c r="FF55" s="896"/>
      <c r="FG55" s="896"/>
      <c r="FH55" s="896"/>
      <c r="FI55" s="896"/>
      <c r="FJ55" s="896"/>
      <c r="FK55" s="896"/>
      <c r="FL55" s="896"/>
      <c r="FM55" s="896"/>
      <c r="FN55" s="896"/>
      <c r="FO55" s="896"/>
      <c r="FP55" s="896"/>
      <c r="FQ55" s="896"/>
      <c r="FR55" s="896"/>
      <c r="FS55" s="896"/>
      <c r="FT55" s="896"/>
      <c r="FU55" s="896"/>
      <c r="FV55" s="896"/>
      <c r="FW55" s="896"/>
      <c r="FX55" s="896"/>
      <c r="FY55" s="896"/>
      <c r="FZ55" s="896"/>
      <c r="GA55" s="896"/>
      <c r="GB55" s="896"/>
      <c r="GC55" s="896"/>
      <c r="GD55" s="896"/>
      <c r="GE55" s="896"/>
      <c r="GF55" s="896"/>
      <c r="GG55" s="896"/>
      <c r="GH55" s="896"/>
      <c r="GI55" s="896"/>
      <c r="GJ55" s="896"/>
      <c r="GK55" s="896"/>
      <c r="GL55" s="896"/>
      <c r="GM55" s="896"/>
      <c r="GN55" s="896"/>
      <c r="GO55" s="896"/>
      <c r="GP55" s="896"/>
      <c r="GQ55" s="896"/>
      <c r="GR55" s="896"/>
      <c r="GS55" s="896"/>
      <c r="GT55" s="896"/>
      <c r="GU55" s="896"/>
      <c r="GV55" s="896"/>
      <c r="GW55" s="896"/>
      <c r="GX55" s="896"/>
      <c r="GY55" s="896"/>
      <c r="GZ55" s="896"/>
      <c r="HA55" s="896"/>
      <c r="HB55" s="896"/>
      <c r="HC55" s="896"/>
      <c r="HD55" s="896"/>
      <c r="HE55" s="896"/>
      <c r="HF55" s="896"/>
      <c r="HG55" s="896"/>
      <c r="HH55" s="896"/>
      <c r="HI55" s="896"/>
      <c r="HJ55" s="896"/>
      <c r="HK55" s="896"/>
      <c r="HL55" s="896"/>
      <c r="HM55" s="896"/>
      <c r="HN55" s="896"/>
      <c r="HO55" s="896"/>
      <c r="HP55" s="896"/>
      <c r="HQ55" s="896"/>
      <c r="HR55" s="896"/>
      <c r="HS55" s="896"/>
      <c r="HT55" s="896"/>
      <c r="HU55" s="896"/>
      <c r="HV55" s="896"/>
      <c r="HW55" s="896"/>
      <c r="HX55" s="896"/>
      <c r="HY55" s="896"/>
      <c r="HZ55" s="896"/>
      <c r="IA55" s="896"/>
      <c r="IB55" s="896"/>
      <c r="IC55" s="896"/>
      <c r="ID55" s="896"/>
      <c r="IE55" s="896"/>
      <c r="IF55" s="896"/>
      <c r="IG55" s="896"/>
      <c r="IH55" s="896"/>
      <c r="II55" s="896"/>
      <c r="IJ55" s="896"/>
      <c r="IK55" s="896"/>
      <c r="IL55" s="896"/>
      <c r="IM55" s="896"/>
      <c r="IN55" s="896"/>
      <c r="IO55" s="896"/>
      <c r="IP55" s="896"/>
      <c r="IQ55" s="896"/>
      <c r="IR55" s="896"/>
      <c r="IS55" s="896"/>
      <c r="IT55" s="896"/>
      <c r="IU55" s="896"/>
      <c r="IV55" s="896"/>
      <c r="IW55" s="896"/>
      <c r="IX55" s="896"/>
      <c r="IY55" s="896"/>
      <c r="IZ55" s="896"/>
      <c r="JA55" s="896"/>
      <c r="JB55" s="896"/>
      <c r="JC55" s="896"/>
      <c r="JD55" s="896"/>
      <c r="JE55" s="896"/>
      <c r="JF55" s="896"/>
      <c r="JG55" s="896"/>
      <c r="JH55" s="896"/>
      <c r="JI55" s="896"/>
      <c r="JJ55" s="896"/>
      <c r="JK55" s="896"/>
      <c r="JL55" s="896"/>
      <c r="JM55" s="896"/>
      <c r="JN55" s="896"/>
      <c r="JO55" s="896"/>
      <c r="JP55" s="896"/>
      <c r="JQ55" s="896"/>
      <c r="JR55" s="896"/>
      <c r="JS55" s="896"/>
      <c r="JT55" s="896"/>
      <c r="JU55" s="896"/>
      <c r="JV55" s="896"/>
      <c r="JW55" s="896"/>
      <c r="JX55" s="896"/>
      <c r="JY55" s="896"/>
      <c r="JZ55" s="896"/>
      <c r="KA55" s="896"/>
      <c r="KB55" s="896"/>
      <c r="KC55" s="896"/>
      <c r="KD55" s="896"/>
      <c r="KE55" s="896"/>
      <c r="KF55" s="896"/>
      <c r="KG55" s="896"/>
      <c r="KH55" s="896"/>
      <c r="KI55" s="896"/>
      <c r="KJ55" s="896"/>
      <c r="KK55" s="896"/>
      <c r="KL55" s="896"/>
      <c r="KM55" s="896"/>
      <c r="KN55" s="896"/>
      <c r="KO55" s="896"/>
      <c r="KP55" s="896"/>
      <c r="KQ55" s="896"/>
      <c r="KR55" s="896"/>
      <c r="KS55" s="896"/>
      <c r="KT55" s="896"/>
      <c r="KU55" s="896"/>
      <c r="KV55" s="896"/>
      <c r="KW55" s="896"/>
      <c r="KX55" s="896"/>
      <c r="KY55" s="896"/>
      <c r="KZ55" s="896"/>
      <c r="LA55" s="896"/>
      <c r="LB55" s="896"/>
      <c r="LC55" s="896"/>
      <c r="LD55" s="896"/>
      <c r="LE55" s="896"/>
      <c r="LF55" s="896"/>
      <c r="LG55" s="896"/>
      <c r="LH55" s="896"/>
      <c r="LI55" s="896"/>
      <c r="LJ55" s="896"/>
      <c r="LK55" s="896"/>
      <c r="LL55" s="896"/>
      <c r="LM55" s="896"/>
      <c r="LN55" s="896"/>
      <c r="LO55" s="896"/>
      <c r="LP55" s="896"/>
      <c r="LQ55" s="896"/>
      <c r="LR55" s="896"/>
      <c r="LS55" s="896"/>
      <c r="LT55" s="896"/>
      <c r="LU55" s="896"/>
      <c r="LV55" s="896"/>
      <c r="LW55" s="896"/>
      <c r="LX55" s="896"/>
      <c r="LY55" s="896"/>
      <c r="LZ55" s="896"/>
      <c r="MA55" s="896"/>
      <c r="MB55" s="896"/>
      <c r="MC55" s="896"/>
      <c r="MD55" s="896"/>
      <c r="ME55" s="896"/>
      <c r="MF55" s="896"/>
      <c r="MG55" s="896"/>
      <c r="MH55" s="896"/>
      <c r="MI55" s="896"/>
      <c r="MJ55" s="896"/>
      <c r="MK55" s="896"/>
      <c r="ML55" s="896"/>
      <c r="MM55" s="896"/>
      <c r="MN55" s="896"/>
      <c r="MO55" s="896"/>
      <c r="MP55" s="896"/>
      <c r="MQ55" s="896"/>
      <c r="MR55" s="896"/>
      <c r="MS55" s="896"/>
      <c r="MT55" s="896"/>
      <c r="MU55" s="896"/>
      <c r="MV55" s="896"/>
      <c r="MW55" s="896"/>
      <c r="MX55" s="896"/>
      <c r="MY55" s="896"/>
      <c r="MZ55" s="896"/>
      <c r="NA55" s="896"/>
      <c r="NB55" s="896"/>
      <c r="NC55" s="896"/>
      <c r="ND55" s="896"/>
      <c r="NE55" s="896"/>
      <c r="NF55" s="896"/>
      <c r="NG55" s="896"/>
      <c r="NH55" s="896"/>
      <c r="NI55" s="896"/>
      <c r="NJ55" s="896"/>
      <c r="NK55" s="896"/>
      <c r="NL55" s="896"/>
      <c r="NM55" s="896"/>
      <c r="NN55" s="896"/>
      <c r="NO55" s="896"/>
      <c r="NP55" s="896"/>
      <c r="NQ55" s="896"/>
      <c r="NR55" s="896"/>
      <c r="NS55" s="896"/>
      <c r="NT55" s="896"/>
      <c r="NU55" s="896"/>
      <c r="NV55" s="896"/>
      <c r="NW55" s="896"/>
      <c r="NX55" s="896"/>
      <c r="NY55" s="896"/>
      <c r="NZ55" s="896"/>
      <c r="OA55" s="896"/>
      <c r="OB55" s="896"/>
      <c r="OC55" s="896"/>
      <c r="OD55" s="896"/>
      <c r="OE55" s="896"/>
      <c r="OF55" s="896"/>
      <c r="OG55" s="896"/>
      <c r="OH55" s="896"/>
      <c r="OI55" s="896"/>
      <c r="OJ55" s="896"/>
      <c r="OK55" s="896"/>
      <c r="OL55" s="896"/>
      <c r="OM55" s="896"/>
      <c r="ON55" s="896"/>
      <c r="OO55" s="896"/>
      <c r="OP55" s="896"/>
      <c r="OQ55" s="896"/>
      <c r="OR55" s="896"/>
      <c r="OS55" s="896"/>
      <c r="OT55" s="896"/>
      <c r="OU55" s="896"/>
      <c r="OV55" s="896"/>
      <c r="OW55" s="896"/>
      <c r="OX55" s="896"/>
      <c r="OY55" s="896"/>
      <c r="OZ55" s="896"/>
      <c r="PA55" s="896"/>
      <c r="PB55" s="896"/>
      <c r="PC55" s="896"/>
      <c r="PD55" s="896"/>
      <c r="PE55" s="896"/>
      <c r="PF55" s="896"/>
      <c r="PG55" s="896"/>
      <c r="PH55" s="896"/>
      <c r="PI55" s="896"/>
      <c r="PJ55" s="896"/>
      <c r="PK55" s="896"/>
      <c r="PL55" s="896"/>
      <c r="PM55" s="896"/>
      <c r="PN55" s="896"/>
      <c r="PO55" s="896"/>
      <c r="PP55" s="896"/>
      <c r="PQ55" s="896"/>
      <c r="PR55" s="896"/>
      <c r="PS55" s="896"/>
      <c r="PT55" s="896"/>
      <c r="PU55" s="896"/>
      <c r="PV55" s="896"/>
      <c r="PW55" s="896"/>
      <c r="PX55" s="896"/>
      <c r="PY55" s="896"/>
      <c r="PZ55" s="896"/>
      <c r="QA55" s="896"/>
      <c r="QB55" s="896"/>
      <c r="QC55" s="896"/>
      <c r="QD55" s="896"/>
      <c r="QE55" s="896"/>
      <c r="QF55" s="896"/>
      <c r="QG55" s="896"/>
    </row>
    <row r="56" spans="1:449" ht="60" customHeight="1" x14ac:dyDescent="0.2">
      <c r="A56" s="1069"/>
      <c r="B56" s="1071"/>
      <c r="C56" s="943"/>
      <c r="D56" s="943"/>
      <c r="E56" s="943"/>
      <c r="F56" s="943"/>
      <c r="G56" s="943"/>
      <c r="H56" s="943"/>
      <c r="I56" s="943"/>
      <c r="J56" s="943"/>
      <c r="K56" s="943"/>
      <c r="L56" s="943"/>
      <c r="M56" s="943"/>
      <c r="N56" s="943"/>
      <c r="O56" s="943"/>
      <c r="P56" s="943"/>
      <c r="Q56" s="943"/>
      <c r="R56" s="943"/>
      <c r="S56" s="943"/>
      <c r="T56" s="943"/>
      <c r="U56" s="943"/>
      <c r="V56" s="943"/>
      <c r="W56" s="943"/>
      <c r="X56" s="943"/>
      <c r="Y56" s="943"/>
      <c r="Z56" s="943"/>
      <c r="AA56" s="943"/>
      <c r="AB56" s="943"/>
      <c r="AC56" s="943"/>
      <c r="AD56" s="943"/>
      <c r="AE56" s="943"/>
      <c r="AF56" s="943"/>
      <c r="AG56" s="943"/>
      <c r="AH56" s="943"/>
      <c r="AI56" s="943"/>
      <c r="AJ56" s="943"/>
      <c r="AK56" s="943"/>
      <c r="AL56" s="943"/>
      <c r="AM56" s="943"/>
      <c r="AN56" s="943"/>
      <c r="AO56" s="943"/>
      <c r="AP56" s="943"/>
      <c r="AQ56" s="943"/>
      <c r="AR56" s="943"/>
      <c r="AS56" s="943"/>
      <c r="AT56" s="943"/>
      <c r="AU56" s="943"/>
      <c r="AV56" s="943"/>
      <c r="AW56" s="943"/>
      <c r="AX56" s="943"/>
      <c r="AY56" s="943"/>
      <c r="AZ56" s="943"/>
      <c r="BA56" s="943"/>
      <c r="BB56" s="943"/>
      <c r="BC56" s="943"/>
      <c r="BD56" s="943"/>
      <c r="BE56" s="943"/>
      <c r="BF56" s="943"/>
      <c r="BG56" s="943"/>
      <c r="BH56" s="943"/>
      <c r="BI56" s="943"/>
      <c r="BJ56" s="943"/>
      <c r="BK56" s="943"/>
      <c r="BL56" s="943"/>
      <c r="BM56" s="943"/>
      <c r="BN56" s="943"/>
      <c r="BO56" s="896"/>
      <c r="BP56" s="896"/>
      <c r="BQ56" s="896"/>
      <c r="BR56" s="896"/>
      <c r="BS56" s="896"/>
      <c r="BT56" s="896"/>
      <c r="BU56" s="896"/>
      <c r="BV56" s="896"/>
      <c r="BW56" s="896"/>
      <c r="BX56" s="896"/>
      <c r="BY56" s="896"/>
      <c r="BZ56" s="896"/>
      <c r="CA56" s="896"/>
      <c r="CB56" s="896"/>
      <c r="CC56" s="896"/>
      <c r="CD56" s="896"/>
      <c r="CE56" s="896"/>
      <c r="CF56" s="944"/>
      <c r="CG56" s="944"/>
      <c r="CH56" s="944"/>
      <c r="CI56" s="944"/>
      <c r="CJ56" s="944"/>
      <c r="CK56" s="944"/>
      <c r="CL56" s="944"/>
      <c r="CM56" s="944"/>
      <c r="CN56" s="896"/>
      <c r="CO56" s="896"/>
      <c r="CP56" s="896"/>
      <c r="CQ56" s="896"/>
      <c r="CR56" s="896"/>
      <c r="CS56" s="896"/>
      <c r="CT56" s="896"/>
      <c r="CU56" s="896"/>
      <c r="CV56" s="896"/>
      <c r="CW56" s="896"/>
      <c r="CX56" s="896"/>
      <c r="CY56" s="896"/>
      <c r="CZ56" s="896"/>
      <c r="DA56" s="896"/>
      <c r="DB56" s="896"/>
      <c r="DC56" s="933"/>
      <c r="DD56" s="933"/>
      <c r="DE56" s="933"/>
      <c r="DF56" s="933"/>
      <c r="DG56" s="933"/>
      <c r="DH56" s="933"/>
      <c r="DI56" s="933"/>
      <c r="DJ56" s="933"/>
      <c r="DK56" s="933"/>
      <c r="DL56" s="933"/>
      <c r="DM56" s="933"/>
      <c r="DN56" s="933"/>
      <c r="DO56" s="933"/>
      <c r="DP56" s="933"/>
      <c r="DQ56" s="933"/>
      <c r="DR56" s="933"/>
      <c r="DS56" s="933"/>
      <c r="DT56" s="1011" t="s">
        <v>1287</v>
      </c>
      <c r="DU56" s="1012"/>
      <c r="DV56" s="1012"/>
      <c r="DW56" s="1013"/>
      <c r="DX56" s="933"/>
      <c r="DY56" s="954" t="s">
        <v>1272</v>
      </c>
      <c r="DZ56" s="954" t="s">
        <v>1277</v>
      </c>
      <c r="EA56" s="954" t="s">
        <v>1269</v>
      </c>
      <c r="EB56" s="954" t="s">
        <v>1301</v>
      </c>
      <c r="EC56" s="1011" t="s">
        <v>1395</v>
      </c>
      <c r="ED56" s="1012"/>
      <c r="EE56" s="1012"/>
      <c r="EF56" s="1012"/>
      <c r="EG56" s="1012"/>
      <c r="EH56" s="1012"/>
      <c r="EI56" s="1012"/>
      <c r="EJ56" s="1013"/>
      <c r="EK56" s="952"/>
      <c r="EL56" s="933"/>
      <c r="EM56" s="933"/>
      <c r="EN56" s="933"/>
      <c r="EO56" s="933"/>
      <c r="EP56" s="933"/>
      <c r="EQ56" s="933"/>
      <c r="ER56" s="933"/>
      <c r="ES56" s="933"/>
      <c r="ET56" s="933"/>
      <c r="EU56" s="933"/>
      <c r="EV56" s="896"/>
      <c r="EW56" s="896"/>
      <c r="EX56" s="896"/>
      <c r="EY56" s="896"/>
      <c r="EZ56" s="896"/>
      <c r="FA56" s="896"/>
      <c r="FB56" s="896"/>
      <c r="FC56" s="896"/>
      <c r="FD56" s="896"/>
      <c r="FE56" s="896"/>
      <c r="FF56" s="896"/>
      <c r="FG56" s="896"/>
      <c r="FH56" s="896"/>
      <c r="FI56" s="896"/>
      <c r="FJ56" s="896"/>
      <c r="FK56" s="896"/>
      <c r="FL56" s="896"/>
      <c r="FM56" s="896"/>
      <c r="FN56" s="896"/>
      <c r="FO56" s="896"/>
      <c r="FP56" s="896"/>
      <c r="FQ56" s="896"/>
      <c r="FR56" s="896"/>
      <c r="FS56" s="896"/>
      <c r="FT56" s="896"/>
      <c r="FU56" s="896"/>
      <c r="FV56" s="896"/>
      <c r="FW56" s="896"/>
      <c r="FX56" s="896"/>
      <c r="FY56" s="896"/>
      <c r="FZ56" s="896"/>
      <c r="GA56" s="896"/>
      <c r="GB56" s="896"/>
      <c r="GC56" s="896"/>
      <c r="GD56" s="896"/>
      <c r="GE56" s="896"/>
      <c r="GF56" s="896"/>
      <c r="GG56" s="896"/>
      <c r="GH56" s="896"/>
      <c r="GI56" s="896"/>
      <c r="GJ56" s="896"/>
      <c r="GK56" s="896"/>
      <c r="GL56" s="896"/>
      <c r="GM56" s="896"/>
      <c r="GN56" s="896"/>
      <c r="GO56" s="896"/>
      <c r="GP56" s="896"/>
      <c r="GQ56" s="896"/>
      <c r="GR56" s="896"/>
      <c r="GS56" s="896"/>
      <c r="GT56" s="896"/>
      <c r="GU56" s="896"/>
      <c r="GV56" s="896"/>
      <c r="GW56" s="896"/>
      <c r="GX56" s="896"/>
      <c r="GY56" s="896"/>
      <c r="GZ56" s="896"/>
      <c r="HA56" s="896"/>
      <c r="HB56" s="896"/>
      <c r="HC56" s="896"/>
      <c r="HD56" s="896"/>
      <c r="HE56" s="896"/>
      <c r="HF56" s="896"/>
      <c r="HG56" s="896"/>
      <c r="HH56" s="896"/>
      <c r="HI56" s="896"/>
      <c r="HJ56" s="896"/>
      <c r="HK56" s="896"/>
      <c r="HL56" s="896"/>
      <c r="HM56" s="896"/>
      <c r="HN56" s="896"/>
      <c r="HO56" s="896"/>
      <c r="HP56" s="896"/>
      <c r="HQ56" s="896"/>
      <c r="HR56" s="896"/>
      <c r="HS56" s="896"/>
      <c r="HT56" s="896"/>
      <c r="HU56" s="896"/>
      <c r="HV56" s="896"/>
      <c r="HW56" s="896"/>
      <c r="HX56" s="896"/>
      <c r="HY56" s="896"/>
      <c r="HZ56" s="896"/>
      <c r="IA56" s="896"/>
      <c r="IB56" s="896"/>
      <c r="IC56" s="896"/>
      <c r="ID56" s="896"/>
      <c r="IE56" s="896"/>
      <c r="IF56" s="896"/>
      <c r="IG56" s="896"/>
      <c r="IH56" s="896"/>
      <c r="II56" s="896"/>
      <c r="IJ56" s="896"/>
      <c r="IK56" s="896"/>
      <c r="IL56" s="896"/>
      <c r="IM56" s="896"/>
      <c r="IN56" s="896"/>
      <c r="IO56" s="896"/>
      <c r="IP56" s="896"/>
      <c r="IQ56" s="896"/>
      <c r="IR56" s="896"/>
      <c r="IS56" s="896"/>
      <c r="IT56" s="896"/>
      <c r="IU56" s="896"/>
      <c r="IV56" s="896"/>
      <c r="IW56" s="896"/>
      <c r="IX56" s="896"/>
      <c r="IY56" s="896"/>
      <c r="IZ56" s="896"/>
      <c r="JA56" s="896"/>
      <c r="JB56" s="896"/>
      <c r="JC56" s="896"/>
      <c r="JD56" s="896"/>
      <c r="JE56" s="896"/>
      <c r="JF56" s="896"/>
      <c r="JG56" s="896"/>
      <c r="JH56" s="896"/>
      <c r="JI56" s="896"/>
      <c r="JJ56" s="896"/>
      <c r="JK56" s="896"/>
      <c r="JL56" s="896"/>
      <c r="JM56" s="896"/>
      <c r="JN56" s="896"/>
      <c r="JO56" s="896"/>
      <c r="JP56" s="896"/>
      <c r="JQ56" s="896"/>
      <c r="JR56" s="896"/>
      <c r="JS56" s="896"/>
      <c r="JT56" s="896"/>
      <c r="JU56" s="896"/>
      <c r="JV56" s="896"/>
      <c r="JW56" s="896"/>
      <c r="JX56" s="896"/>
      <c r="JY56" s="896"/>
      <c r="JZ56" s="896"/>
      <c r="KA56" s="896"/>
      <c r="KB56" s="896"/>
      <c r="KC56" s="896"/>
      <c r="KD56" s="896"/>
      <c r="KE56" s="896"/>
      <c r="KF56" s="896"/>
      <c r="KG56" s="896"/>
      <c r="KH56" s="896"/>
      <c r="KI56" s="896"/>
      <c r="KJ56" s="896"/>
      <c r="KK56" s="896"/>
      <c r="KL56" s="896"/>
      <c r="KM56" s="896"/>
      <c r="KN56" s="896"/>
      <c r="KO56" s="896"/>
      <c r="KP56" s="896"/>
      <c r="KQ56" s="896"/>
      <c r="KR56" s="896"/>
      <c r="KS56" s="896"/>
      <c r="KT56" s="896"/>
      <c r="KU56" s="896"/>
      <c r="KV56" s="896"/>
      <c r="KW56" s="896"/>
      <c r="KX56" s="896"/>
      <c r="KY56" s="896"/>
      <c r="KZ56" s="896"/>
      <c r="LA56" s="896"/>
      <c r="LB56" s="896"/>
      <c r="LC56" s="896"/>
      <c r="LD56" s="896"/>
      <c r="LE56" s="896"/>
      <c r="LF56" s="896"/>
      <c r="LG56" s="896"/>
      <c r="LH56" s="896"/>
      <c r="LI56" s="896"/>
      <c r="LJ56" s="896"/>
      <c r="LK56" s="896"/>
      <c r="LL56" s="896"/>
      <c r="LM56" s="896"/>
      <c r="LN56" s="896"/>
      <c r="LO56" s="896"/>
      <c r="LP56" s="896"/>
      <c r="LQ56" s="896"/>
      <c r="LR56" s="896"/>
      <c r="LS56" s="896"/>
      <c r="LT56" s="896"/>
      <c r="LU56" s="896"/>
      <c r="LV56" s="896"/>
      <c r="LW56" s="896"/>
      <c r="LX56" s="896"/>
      <c r="LY56" s="896"/>
      <c r="LZ56" s="896"/>
      <c r="MA56" s="896"/>
      <c r="MB56" s="896"/>
      <c r="MC56" s="896"/>
      <c r="MD56" s="896"/>
      <c r="ME56" s="896"/>
      <c r="MF56" s="896"/>
      <c r="MG56" s="896"/>
      <c r="MH56" s="896"/>
      <c r="MI56" s="896"/>
      <c r="MJ56" s="896"/>
      <c r="MK56" s="896"/>
      <c r="ML56" s="896"/>
      <c r="MM56" s="896"/>
      <c r="MN56" s="896"/>
      <c r="MO56" s="896"/>
      <c r="MP56" s="896"/>
      <c r="MQ56" s="896"/>
      <c r="MR56" s="896"/>
      <c r="MS56" s="896"/>
      <c r="MT56" s="896"/>
      <c r="MU56" s="896"/>
      <c r="MV56" s="896"/>
      <c r="MW56" s="896"/>
      <c r="MX56" s="896"/>
      <c r="MY56" s="896"/>
      <c r="MZ56" s="896"/>
      <c r="NA56" s="896"/>
      <c r="NB56" s="896"/>
      <c r="NC56" s="896"/>
      <c r="ND56" s="896"/>
      <c r="NE56" s="896"/>
      <c r="NF56" s="896"/>
      <c r="NG56" s="896"/>
      <c r="NH56" s="896"/>
      <c r="NI56" s="896"/>
      <c r="NJ56" s="896"/>
      <c r="NK56" s="896"/>
      <c r="NL56" s="896"/>
      <c r="NM56" s="896"/>
      <c r="NN56" s="896"/>
      <c r="NO56" s="896"/>
      <c r="NP56" s="896"/>
      <c r="NQ56" s="896"/>
      <c r="NR56" s="896"/>
      <c r="NS56" s="896"/>
      <c r="NT56" s="896"/>
      <c r="NU56" s="896"/>
      <c r="NV56" s="896"/>
      <c r="NW56" s="896"/>
      <c r="NX56" s="896"/>
      <c r="NY56" s="896"/>
      <c r="NZ56" s="896"/>
      <c r="OA56" s="896"/>
      <c r="OB56" s="896"/>
      <c r="OC56" s="896"/>
      <c r="OD56" s="896"/>
      <c r="OE56" s="896"/>
      <c r="OF56" s="896"/>
      <c r="OG56" s="896"/>
      <c r="OH56" s="896"/>
      <c r="OI56" s="896"/>
      <c r="OJ56" s="896"/>
      <c r="OK56" s="896"/>
      <c r="OL56" s="896"/>
      <c r="OM56" s="896"/>
      <c r="ON56" s="896"/>
      <c r="OO56" s="896"/>
      <c r="OP56" s="896"/>
      <c r="OQ56" s="896"/>
      <c r="OR56" s="896"/>
      <c r="OS56" s="896"/>
      <c r="OT56" s="896"/>
      <c r="OU56" s="896"/>
      <c r="OV56" s="896"/>
      <c r="OW56" s="896"/>
      <c r="OX56" s="896"/>
      <c r="OY56" s="896"/>
      <c r="OZ56" s="896"/>
      <c r="PA56" s="896"/>
      <c r="PB56" s="896"/>
      <c r="PC56" s="896"/>
      <c r="PD56" s="896"/>
      <c r="PE56" s="896"/>
      <c r="PF56" s="896"/>
      <c r="PG56" s="896"/>
      <c r="PH56" s="896"/>
      <c r="PI56" s="896"/>
      <c r="PJ56" s="896"/>
      <c r="PK56" s="896"/>
      <c r="PL56" s="896"/>
      <c r="PM56" s="896"/>
      <c r="PN56" s="896"/>
      <c r="PO56" s="896"/>
      <c r="PP56" s="896"/>
      <c r="PQ56" s="896"/>
      <c r="PR56" s="896"/>
      <c r="PS56" s="896"/>
      <c r="PT56" s="896"/>
      <c r="PU56" s="896"/>
      <c r="PV56" s="896"/>
      <c r="PW56" s="896"/>
      <c r="PX56" s="896"/>
      <c r="PY56" s="896"/>
      <c r="PZ56" s="896"/>
      <c r="QA56" s="896"/>
      <c r="QB56" s="896"/>
      <c r="QC56" s="896"/>
      <c r="QD56" s="896"/>
      <c r="QE56" s="896"/>
      <c r="QF56" s="896"/>
      <c r="QG56" s="896"/>
    </row>
    <row r="57" spans="1:449" s="800" customFormat="1" ht="75.95" customHeight="1" x14ac:dyDescent="0.2">
      <c r="A57" s="1069"/>
      <c r="B57" s="947" t="s">
        <v>1282</v>
      </c>
      <c r="C57" s="934"/>
      <c r="D57" s="934"/>
      <c r="E57" s="934"/>
      <c r="F57" s="934"/>
      <c r="G57" s="934"/>
      <c r="H57" s="934"/>
      <c r="I57" s="934"/>
      <c r="J57" s="934"/>
      <c r="K57" s="934"/>
      <c r="L57" s="934"/>
      <c r="M57" s="934"/>
      <c r="N57" s="934"/>
      <c r="O57" s="934"/>
      <c r="P57" s="934"/>
      <c r="Q57" s="934"/>
      <c r="R57" s="934"/>
      <c r="S57" s="934"/>
      <c r="T57" s="934"/>
      <c r="U57" s="934"/>
      <c r="V57" s="934"/>
      <c r="W57" s="934"/>
      <c r="X57" s="934"/>
      <c r="Y57" s="934"/>
      <c r="Z57" s="934"/>
      <c r="AA57" s="934"/>
      <c r="AB57" s="934"/>
      <c r="AC57" s="934"/>
      <c r="AD57" s="934"/>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934"/>
      <c r="BC57" s="934"/>
      <c r="BD57" s="934"/>
      <c r="BE57" s="934"/>
      <c r="BF57" s="934"/>
      <c r="BG57" s="934"/>
      <c r="BH57" s="934"/>
      <c r="BI57" s="934"/>
      <c r="BJ57" s="934"/>
      <c r="BK57" s="934"/>
      <c r="BL57" s="934"/>
      <c r="BM57" s="934"/>
      <c r="BN57" s="934"/>
      <c r="BO57" s="897"/>
      <c r="BP57" s="897"/>
      <c r="BQ57" s="897"/>
      <c r="BR57" s="897"/>
      <c r="BS57" s="897"/>
      <c r="BT57" s="897"/>
      <c r="BU57" s="897"/>
      <c r="BV57" s="897"/>
      <c r="BW57" s="897"/>
      <c r="BX57" s="897"/>
      <c r="BY57" s="897"/>
      <c r="BZ57" s="897"/>
      <c r="CA57" s="897"/>
      <c r="CB57" s="897"/>
      <c r="CC57" s="897"/>
      <c r="CD57" s="897"/>
      <c r="CE57" s="897"/>
      <c r="CF57" s="940"/>
      <c r="CG57" s="940"/>
      <c r="CH57" s="940"/>
      <c r="CI57" s="940"/>
      <c r="CJ57" s="940"/>
      <c r="CK57" s="940"/>
      <c r="CL57" s="940"/>
      <c r="CM57" s="940"/>
      <c r="CN57" s="897"/>
      <c r="CO57" s="897"/>
      <c r="CP57" s="897"/>
      <c r="CQ57" s="897"/>
      <c r="CR57" s="897"/>
      <c r="CS57" s="897"/>
      <c r="CT57" s="897"/>
      <c r="CU57" s="896"/>
      <c r="CV57" s="896"/>
      <c r="CW57" s="897"/>
      <c r="CX57" s="897"/>
      <c r="CY57" s="897"/>
      <c r="CZ57" s="897"/>
      <c r="DA57" s="897"/>
      <c r="DB57" s="897"/>
      <c r="DC57" s="954"/>
      <c r="DD57" s="954"/>
      <c r="DE57" s="954"/>
      <c r="DF57" s="954"/>
      <c r="DG57" s="954"/>
      <c r="DH57" s="954"/>
      <c r="DI57" s="954"/>
      <c r="DJ57" s="954"/>
      <c r="DK57" s="954"/>
      <c r="DL57" s="954"/>
      <c r="DM57" s="954"/>
      <c r="DN57" s="954"/>
      <c r="DO57" s="954"/>
      <c r="DP57" s="954"/>
      <c r="DQ57" s="954"/>
      <c r="DR57" s="954"/>
      <c r="DS57" s="954"/>
      <c r="DT57" s="954"/>
      <c r="DU57" s="954"/>
      <c r="DV57" s="954"/>
      <c r="DW57" s="960"/>
      <c r="DX57" s="1011" t="s">
        <v>1273</v>
      </c>
      <c r="DY57" s="1012"/>
      <c r="DZ57" s="1012"/>
      <c r="EA57" s="1012"/>
      <c r="EB57" s="1012"/>
      <c r="EC57" s="1012"/>
      <c r="ED57" s="1012"/>
      <c r="EE57" s="1012"/>
      <c r="EF57" s="1013"/>
      <c r="EG57" s="1011" t="s">
        <v>1393</v>
      </c>
      <c r="EH57" s="1012"/>
      <c r="EI57" s="1012"/>
      <c r="EJ57" s="1012"/>
      <c r="EK57" s="1012"/>
      <c r="EL57" s="954"/>
      <c r="EM57" s="954"/>
      <c r="EN57" s="954"/>
      <c r="EO57" s="954"/>
      <c r="EP57" s="954"/>
      <c r="EQ57" s="954"/>
      <c r="ER57" s="954"/>
      <c r="ES57" s="954"/>
      <c r="ET57" s="954"/>
      <c r="EU57" s="954"/>
      <c r="EV57" s="897"/>
      <c r="EW57" s="897"/>
      <c r="EX57" s="897"/>
      <c r="EY57" s="897"/>
      <c r="EZ57" s="897"/>
      <c r="FA57" s="897"/>
      <c r="FB57" s="897"/>
      <c r="FC57" s="897"/>
      <c r="FD57" s="897"/>
      <c r="FE57" s="897"/>
      <c r="FF57" s="897"/>
      <c r="FG57" s="897"/>
      <c r="FH57" s="897"/>
      <c r="FI57" s="897"/>
      <c r="FJ57" s="897"/>
      <c r="FK57" s="897"/>
      <c r="FL57" s="897"/>
      <c r="FM57" s="897"/>
      <c r="FN57" s="897"/>
      <c r="FO57" s="897"/>
      <c r="FP57" s="897"/>
      <c r="FQ57" s="897"/>
      <c r="FR57" s="897"/>
      <c r="FS57" s="897"/>
      <c r="FT57" s="897"/>
      <c r="FU57" s="897"/>
      <c r="FV57" s="897"/>
      <c r="FW57" s="897"/>
      <c r="FX57" s="897"/>
      <c r="FY57" s="897"/>
      <c r="FZ57" s="897"/>
      <c r="GA57" s="897"/>
      <c r="GB57" s="897"/>
      <c r="GC57" s="897"/>
      <c r="GD57" s="897"/>
      <c r="GE57" s="897"/>
      <c r="GF57" s="897"/>
      <c r="GG57" s="897"/>
      <c r="GH57" s="897"/>
      <c r="GI57" s="897"/>
      <c r="GJ57" s="897"/>
      <c r="GK57" s="897"/>
      <c r="GL57" s="897"/>
      <c r="GM57" s="897"/>
      <c r="GN57" s="897"/>
      <c r="GO57" s="897"/>
      <c r="GP57" s="897"/>
      <c r="GQ57" s="897"/>
      <c r="GR57" s="897"/>
      <c r="GS57" s="897"/>
      <c r="GT57" s="897"/>
      <c r="GU57" s="897"/>
      <c r="GV57" s="897"/>
      <c r="GW57" s="897"/>
      <c r="GX57" s="897"/>
      <c r="GY57" s="897"/>
      <c r="GZ57" s="897"/>
      <c r="HA57" s="897"/>
      <c r="HB57" s="897"/>
      <c r="HC57" s="897"/>
      <c r="HD57" s="897"/>
      <c r="HE57" s="897"/>
      <c r="HF57" s="897"/>
      <c r="HG57" s="897"/>
      <c r="HH57" s="897"/>
      <c r="HI57" s="897"/>
      <c r="HJ57" s="897"/>
      <c r="HK57" s="897"/>
      <c r="HL57" s="897"/>
      <c r="HM57" s="897"/>
      <c r="HN57" s="897"/>
      <c r="HO57" s="897"/>
      <c r="HP57" s="897"/>
      <c r="HQ57" s="897"/>
      <c r="HR57" s="897"/>
      <c r="HS57" s="897"/>
      <c r="HT57" s="897"/>
      <c r="HU57" s="897"/>
      <c r="HV57" s="897"/>
      <c r="HW57" s="897"/>
      <c r="HX57" s="897"/>
      <c r="HY57" s="897"/>
      <c r="HZ57" s="897"/>
      <c r="IA57" s="897"/>
      <c r="IB57" s="897"/>
      <c r="IC57" s="897"/>
      <c r="ID57" s="897"/>
      <c r="IE57" s="897"/>
      <c r="IF57" s="897"/>
      <c r="IG57" s="897"/>
      <c r="IH57" s="897"/>
      <c r="II57" s="897"/>
      <c r="IJ57" s="897"/>
      <c r="IK57" s="897"/>
      <c r="IL57" s="897"/>
      <c r="IM57" s="897"/>
      <c r="IN57" s="897"/>
      <c r="IO57" s="897"/>
      <c r="IP57" s="897"/>
      <c r="IQ57" s="897"/>
      <c r="IR57" s="897"/>
      <c r="IS57" s="897"/>
      <c r="IT57" s="897"/>
      <c r="IU57" s="897"/>
      <c r="IV57" s="897"/>
      <c r="IW57" s="897"/>
      <c r="IX57" s="897"/>
      <c r="IY57" s="897"/>
      <c r="IZ57" s="897"/>
      <c r="JA57" s="897"/>
      <c r="JB57" s="897"/>
      <c r="JC57" s="897"/>
      <c r="JD57" s="897"/>
      <c r="JE57" s="897"/>
      <c r="JF57" s="897"/>
      <c r="JG57" s="897"/>
      <c r="JH57" s="897"/>
      <c r="JI57" s="897"/>
      <c r="JJ57" s="897"/>
      <c r="JK57" s="897"/>
      <c r="JL57" s="897"/>
      <c r="JM57" s="897"/>
      <c r="JN57" s="897"/>
      <c r="JO57" s="897"/>
      <c r="JP57" s="897"/>
      <c r="JQ57" s="897"/>
      <c r="JR57" s="897"/>
      <c r="JS57" s="897"/>
      <c r="JT57" s="897"/>
      <c r="JU57" s="897"/>
      <c r="JV57" s="897"/>
      <c r="JW57" s="897"/>
      <c r="JX57" s="897"/>
      <c r="JY57" s="897"/>
      <c r="JZ57" s="897"/>
      <c r="KA57" s="897"/>
      <c r="KB57" s="897"/>
      <c r="KC57" s="897"/>
      <c r="KD57" s="897"/>
      <c r="KE57" s="897"/>
      <c r="KF57" s="897"/>
      <c r="KG57" s="897"/>
      <c r="KH57" s="897"/>
      <c r="KI57" s="897"/>
      <c r="KJ57" s="897"/>
      <c r="KK57" s="897"/>
      <c r="KL57" s="897"/>
      <c r="KM57" s="897"/>
      <c r="KN57" s="897"/>
      <c r="KO57" s="897"/>
      <c r="KP57" s="897"/>
      <c r="KQ57" s="897"/>
      <c r="KR57" s="897"/>
      <c r="KS57" s="897"/>
      <c r="KT57" s="897"/>
      <c r="KU57" s="897"/>
      <c r="KV57" s="897"/>
      <c r="KW57" s="897"/>
      <c r="KX57" s="897"/>
      <c r="KY57" s="897"/>
      <c r="KZ57" s="897"/>
      <c r="LA57" s="897"/>
      <c r="LB57" s="897"/>
      <c r="LC57" s="897"/>
      <c r="LD57" s="897"/>
      <c r="LE57" s="897"/>
      <c r="LF57" s="897"/>
      <c r="LG57" s="897"/>
      <c r="LH57" s="897"/>
      <c r="LI57" s="897"/>
      <c r="LJ57" s="897"/>
      <c r="LK57" s="897"/>
      <c r="LL57" s="897"/>
      <c r="LM57" s="897"/>
      <c r="LN57" s="897"/>
      <c r="LO57" s="897"/>
      <c r="LP57" s="897"/>
      <c r="LQ57" s="897"/>
      <c r="LR57" s="897"/>
      <c r="LS57" s="897"/>
      <c r="LT57" s="897"/>
      <c r="LU57" s="897"/>
      <c r="LV57" s="897"/>
      <c r="LW57" s="897"/>
      <c r="LX57" s="897"/>
      <c r="LY57" s="897"/>
      <c r="LZ57" s="897"/>
      <c r="MA57" s="897"/>
      <c r="MB57" s="897"/>
      <c r="MC57" s="897"/>
      <c r="MD57" s="897"/>
      <c r="ME57" s="897"/>
      <c r="MF57" s="897"/>
      <c r="MG57" s="897"/>
      <c r="MH57" s="897"/>
      <c r="MI57" s="897"/>
      <c r="MJ57" s="897"/>
      <c r="MK57" s="897"/>
      <c r="ML57" s="897"/>
      <c r="MM57" s="897"/>
      <c r="MN57" s="897"/>
      <c r="MO57" s="897"/>
      <c r="MP57" s="897"/>
      <c r="MQ57" s="897"/>
      <c r="MR57" s="897"/>
      <c r="MS57" s="897"/>
      <c r="MT57" s="897"/>
      <c r="MU57" s="897"/>
      <c r="MV57" s="897"/>
      <c r="MW57" s="897"/>
      <c r="MX57" s="897"/>
      <c r="MY57" s="897"/>
      <c r="MZ57" s="897"/>
      <c r="NA57" s="897"/>
      <c r="NB57" s="897"/>
      <c r="NC57" s="897"/>
      <c r="ND57" s="897"/>
      <c r="NE57" s="897"/>
      <c r="NF57" s="897"/>
      <c r="NG57" s="897"/>
      <c r="NH57" s="897"/>
      <c r="NI57" s="897"/>
      <c r="NJ57" s="897"/>
      <c r="NK57" s="897"/>
      <c r="NL57" s="897"/>
      <c r="NM57" s="897"/>
      <c r="NN57" s="897"/>
      <c r="NO57" s="897"/>
      <c r="NP57" s="897"/>
      <c r="NQ57" s="897"/>
      <c r="NR57" s="897"/>
      <c r="NS57" s="897"/>
      <c r="NT57" s="897"/>
      <c r="NU57" s="897"/>
      <c r="NV57" s="897"/>
      <c r="NW57" s="897"/>
      <c r="NX57" s="897"/>
      <c r="NY57" s="897"/>
      <c r="NZ57" s="897"/>
      <c r="OA57" s="897"/>
      <c r="OB57" s="897"/>
      <c r="OC57" s="897"/>
      <c r="OD57" s="897"/>
      <c r="OE57" s="897"/>
      <c r="OF57" s="897"/>
      <c r="OG57" s="897"/>
      <c r="OH57" s="897"/>
      <c r="OI57" s="897"/>
      <c r="OJ57" s="897"/>
      <c r="OK57" s="897"/>
      <c r="OL57" s="897"/>
      <c r="OM57" s="897"/>
      <c r="ON57" s="897"/>
      <c r="OO57" s="897"/>
      <c r="OP57" s="897"/>
      <c r="OQ57" s="897"/>
      <c r="OR57" s="897"/>
      <c r="OS57" s="897"/>
      <c r="OT57" s="897"/>
      <c r="OU57" s="897"/>
      <c r="OV57" s="897"/>
      <c r="OW57" s="897"/>
      <c r="OX57" s="897"/>
      <c r="OY57" s="897"/>
      <c r="OZ57" s="897"/>
      <c r="PA57" s="897"/>
      <c r="PB57" s="897"/>
      <c r="PC57" s="897"/>
      <c r="PD57" s="897"/>
      <c r="PE57" s="897"/>
      <c r="PF57" s="897"/>
      <c r="PG57" s="897"/>
      <c r="PH57" s="897"/>
      <c r="PI57" s="897"/>
      <c r="PJ57" s="897"/>
      <c r="PK57" s="897"/>
      <c r="PL57" s="897"/>
      <c r="PM57" s="897"/>
      <c r="PN57" s="897"/>
      <c r="PO57" s="897"/>
      <c r="PP57" s="897"/>
      <c r="PQ57" s="897"/>
      <c r="PR57" s="897"/>
      <c r="PS57" s="897"/>
      <c r="PT57" s="897"/>
      <c r="PU57" s="897"/>
      <c r="PV57" s="897"/>
      <c r="PW57" s="897"/>
      <c r="PX57" s="897"/>
      <c r="PY57" s="897"/>
      <c r="PZ57" s="897"/>
      <c r="QA57" s="897"/>
      <c r="QB57" s="897"/>
      <c r="QC57" s="897"/>
      <c r="QD57" s="897"/>
      <c r="QE57" s="897"/>
      <c r="QF57" s="897"/>
      <c r="QG57" s="897"/>
    </row>
    <row r="58" spans="1:449" ht="108" x14ac:dyDescent="0.2">
      <c r="A58" s="1069"/>
      <c r="B58" s="948" t="s">
        <v>1267</v>
      </c>
      <c r="C58" s="945"/>
      <c r="D58" s="945"/>
      <c r="E58" s="945"/>
      <c r="F58" s="945"/>
      <c r="G58" s="945"/>
      <c r="H58" s="945"/>
      <c r="I58" s="945"/>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896"/>
      <c r="AN58" s="896"/>
      <c r="AO58" s="896"/>
      <c r="AP58" s="896"/>
      <c r="AQ58" s="896"/>
      <c r="AR58" s="896"/>
      <c r="AS58" s="896"/>
      <c r="AT58" s="896"/>
      <c r="AU58" s="896"/>
      <c r="AV58" s="896"/>
      <c r="AW58" s="896"/>
      <c r="AX58" s="896"/>
      <c r="AY58" s="896"/>
      <c r="AZ58" s="896"/>
      <c r="BA58" s="896"/>
      <c r="BB58" s="896"/>
      <c r="BC58" s="896"/>
      <c r="BD58" s="896"/>
      <c r="BE58" s="896"/>
      <c r="BF58" s="896"/>
      <c r="BG58" s="896"/>
      <c r="BH58" s="896"/>
      <c r="BI58" s="896"/>
      <c r="BJ58" s="896"/>
      <c r="BK58" s="896"/>
      <c r="BL58" s="896"/>
      <c r="BM58" s="896"/>
      <c r="BN58" s="896"/>
      <c r="BO58" s="896"/>
      <c r="BP58" s="896"/>
      <c r="BQ58" s="896"/>
      <c r="BR58" s="896"/>
      <c r="BS58" s="896"/>
      <c r="BT58" s="896"/>
      <c r="BU58" s="896"/>
      <c r="BV58" s="896"/>
      <c r="BW58" s="896"/>
      <c r="BX58" s="896"/>
      <c r="BY58" s="896"/>
      <c r="BZ58" s="896"/>
      <c r="CA58" s="896"/>
      <c r="CB58" s="896"/>
      <c r="CC58" s="896"/>
      <c r="CD58" s="896"/>
      <c r="CE58" s="896"/>
      <c r="CF58" s="944"/>
      <c r="CG58" s="944"/>
      <c r="CH58" s="944"/>
      <c r="CI58" s="944"/>
      <c r="CJ58" s="944"/>
      <c r="CK58" s="944"/>
      <c r="CL58" s="944"/>
      <c r="CM58" s="944"/>
      <c r="CN58" s="896"/>
      <c r="CO58" s="896"/>
      <c r="CP58" s="896"/>
      <c r="CQ58" s="896"/>
      <c r="CR58" s="896"/>
      <c r="CS58" s="896"/>
      <c r="CT58" s="896"/>
      <c r="CU58" s="896"/>
      <c r="CV58" s="896"/>
      <c r="CW58" s="896"/>
      <c r="CX58" s="896"/>
      <c r="CY58" s="896"/>
      <c r="CZ58" s="896"/>
      <c r="DA58" s="896"/>
      <c r="DB58" s="896"/>
      <c r="DC58" s="933"/>
      <c r="DD58" s="933"/>
      <c r="DE58" s="933"/>
      <c r="DF58" s="933"/>
      <c r="DG58" s="933"/>
      <c r="DH58" s="933"/>
      <c r="DI58" s="933"/>
      <c r="DJ58" s="933"/>
      <c r="DK58" s="933"/>
      <c r="DL58" s="933"/>
      <c r="DM58" s="933"/>
      <c r="DN58" s="933"/>
      <c r="DO58" s="933"/>
      <c r="DP58" s="933"/>
      <c r="DQ58" s="933"/>
      <c r="DR58" s="954" t="s">
        <v>1291</v>
      </c>
      <c r="DS58" s="954" t="s">
        <v>1292</v>
      </c>
      <c r="DT58" s="933"/>
      <c r="DU58" s="954" t="s">
        <v>1293</v>
      </c>
      <c r="DV58" s="954" t="s">
        <v>1290</v>
      </c>
      <c r="DW58" s="954" t="s">
        <v>1294</v>
      </c>
      <c r="DX58" s="933"/>
      <c r="DY58" s="933"/>
      <c r="DZ58" s="954" t="s">
        <v>1275</v>
      </c>
      <c r="EA58" s="954" t="s">
        <v>1274</v>
      </c>
      <c r="EB58" s="954" t="s">
        <v>1302</v>
      </c>
      <c r="EC58" s="954" t="s">
        <v>1321</v>
      </c>
      <c r="ED58" s="949" t="s">
        <v>1308</v>
      </c>
      <c r="EE58" s="954" t="s">
        <v>1314</v>
      </c>
      <c r="EF58" s="954" t="s">
        <v>1369</v>
      </c>
      <c r="EG58" s="954" t="s">
        <v>1381</v>
      </c>
      <c r="EH58" s="954" t="s">
        <v>1382</v>
      </c>
      <c r="EI58" s="954" t="s">
        <v>1400</v>
      </c>
      <c r="EJ58" s="954" t="s">
        <v>1424</v>
      </c>
      <c r="EK58" s="949" t="s">
        <v>1425</v>
      </c>
      <c r="EL58" s="933"/>
      <c r="EM58" s="933"/>
      <c r="EN58" s="933"/>
      <c r="EO58" s="933"/>
      <c r="EP58" s="933"/>
      <c r="EQ58" s="933"/>
      <c r="ER58" s="933"/>
      <c r="ES58" s="933"/>
      <c r="ET58" s="933"/>
      <c r="EU58" s="933"/>
      <c r="EV58" s="896"/>
      <c r="EW58" s="896"/>
      <c r="EX58" s="896"/>
      <c r="EY58" s="896"/>
      <c r="EZ58" s="896"/>
      <c r="FA58" s="896"/>
      <c r="FB58" s="896"/>
      <c r="FC58" s="896"/>
      <c r="FD58" s="896"/>
      <c r="FE58" s="896"/>
      <c r="FF58" s="896"/>
      <c r="FG58" s="896"/>
      <c r="FH58" s="896"/>
      <c r="FI58" s="896"/>
      <c r="FJ58" s="896"/>
      <c r="FK58" s="896"/>
      <c r="FL58" s="896"/>
      <c r="FM58" s="896"/>
      <c r="FN58" s="896"/>
      <c r="FO58" s="896"/>
      <c r="FP58" s="896"/>
      <c r="FQ58" s="896"/>
      <c r="FR58" s="896"/>
      <c r="FS58" s="896"/>
      <c r="FT58" s="896"/>
      <c r="FU58" s="896"/>
      <c r="FV58" s="896"/>
      <c r="FW58" s="896"/>
      <c r="FX58" s="896"/>
      <c r="FY58" s="896"/>
      <c r="FZ58" s="896"/>
      <c r="GA58" s="896"/>
      <c r="GB58" s="896"/>
      <c r="GC58" s="896"/>
      <c r="GD58" s="896"/>
      <c r="GE58" s="896"/>
      <c r="GF58" s="896"/>
      <c r="GG58" s="896"/>
      <c r="GH58" s="896"/>
      <c r="GI58" s="896"/>
      <c r="GJ58" s="896"/>
      <c r="GK58" s="896"/>
      <c r="GL58" s="896"/>
      <c r="GM58" s="896"/>
      <c r="GN58" s="896"/>
      <c r="GO58" s="896"/>
      <c r="GP58" s="896"/>
      <c r="GQ58" s="896"/>
      <c r="GR58" s="896"/>
      <c r="GS58" s="896"/>
      <c r="GT58" s="896"/>
      <c r="GU58" s="896"/>
      <c r="GV58" s="896"/>
      <c r="GW58" s="896"/>
      <c r="GX58" s="896"/>
      <c r="GY58" s="896"/>
      <c r="GZ58" s="896"/>
      <c r="HA58" s="896"/>
      <c r="HB58" s="896"/>
      <c r="HC58" s="896"/>
      <c r="HD58" s="896"/>
      <c r="HE58" s="896"/>
      <c r="HF58" s="896"/>
      <c r="HG58" s="896"/>
      <c r="HH58" s="896"/>
      <c r="HI58" s="896"/>
      <c r="HJ58" s="896"/>
      <c r="HK58" s="896"/>
      <c r="HL58" s="896"/>
      <c r="HM58" s="896"/>
      <c r="HN58" s="896"/>
      <c r="HO58" s="896"/>
      <c r="HP58" s="896"/>
      <c r="HQ58" s="896"/>
      <c r="HR58" s="896"/>
      <c r="HS58" s="896"/>
      <c r="HT58" s="896"/>
      <c r="HU58" s="896"/>
      <c r="HV58" s="896"/>
      <c r="HW58" s="896"/>
      <c r="HX58" s="896"/>
      <c r="HY58" s="896"/>
      <c r="HZ58" s="896"/>
      <c r="IA58" s="896"/>
      <c r="IB58" s="896"/>
      <c r="IC58" s="896"/>
      <c r="ID58" s="896"/>
      <c r="IE58" s="896"/>
      <c r="IF58" s="896"/>
      <c r="IG58" s="896"/>
      <c r="IH58" s="896"/>
      <c r="II58" s="896"/>
      <c r="IJ58" s="896"/>
      <c r="IK58" s="896"/>
      <c r="IL58" s="896"/>
      <c r="IM58" s="896"/>
      <c r="IN58" s="896"/>
      <c r="IO58" s="896"/>
      <c r="IP58" s="896"/>
      <c r="IQ58" s="896"/>
      <c r="IR58" s="896"/>
      <c r="IS58" s="896"/>
      <c r="IT58" s="896"/>
      <c r="IU58" s="896"/>
      <c r="IV58" s="896"/>
      <c r="IW58" s="896"/>
      <c r="IX58" s="896"/>
      <c r="IY58" s="896"/>
      <c r="IZ58" s="896"/>
      <c r="JA58" s="896"/>
      <c r="JB58" s="896"/>
      <c r="JC58" s="896"/>
      <c r="JD58" s="896"/>
      <c r="JE58" s="896"/>
      <c r="JF58" s="896"/>
      <c r="JG58" s="896"/>
      <c r="JH58" s="896"/>
      <c r="JI58" s="896"/>
      <c r="JJ58" s="896"/>
      <c r="JK58" s="896"/>
      <c r="JL58" s="896"/>
      <c r="JM58" s="896"/>
      <c r="JN58" s="896"/>
      <c r="JO58" s="896"/>
      <c r="JP58" s="896"/>
      <c r="JQ58" s="896"/>
      <c r="JR58" s="896"/>
      <c r="JS58" s="896"/>
      <c r="JT58" s="896"/>
      <c r="JU58" s="896"/>
      <c r="JV58" s="896"/>
      <c r="JW58" s="896"/>
      <c r="JX58" s="896"/>
      <c r="JY58" s="896"/>
      <c r="JZ58" s="896"/>
      <c r="KA58" s="896"/>
      <c r="KB58" s="896"/>
      <c r="KC58" s="896"/>
      <c r="KD58" s="896"/>
      <c r="KE58" s="896"/>
      <c r="KF58" s="896"/>
      <c r="KG58" s="896"/>
      <c r="KH58" s="896"/>
      <c r="KI58" s="896"/>
      <c r="KJ58" s="896"/>
      <c r="KK58" s="896"/>
      <c r="KL58" s="896"/>
      <c r="KM58" s="896"/>
      <c r="KN58" s="896"/>
      <c r="KO58" s="896"/>
      <c r="KP58" s="896"/>
      <c r="KQ58" s="896"/>
      <c r="KR58" s="896"/>
      <c r="KS58" s="896"/>
      <c r="KT58" s="896"/>
      <c r="KU58" s="896"/>
      <c r="KV58" s="896"/>
      <c r="KW58" s="896"/>
      <c r="KX58" s="896"/>
      <c r="KY58" s="896"/>
      <c r="KZ58" s="896"/>
      <c r="LA58" s="896"/>
      <c r="LB58" s="896"/>
      <c r="LC58" s="896"/>
      <c r="LD58" s="896"/>
      <c r="LE58" s="896"/>
      <c r="LF58" s="896"/>
      <c r="LG58" s="896"/>
      <c r="LH58" s="896"/>
      <c r="LI58" s="896"/>
      <c r="LJ58" s="896"/>
      <c r="LK58" s="896"/>
      <c r="LL58" s="896"/>
      <c r="LM58" s="896"/>
      <c r="LN58" s="896"/>
      <c r="LO58" s="896"/>
      <c r="LP58" s="896"/>
      <c r="LQ58" s="896"/>
      <c r="LR58" s="896"/>
      <c r="LS58" s="896"/>
      <c r="LT58" s="896"/>
      <c r="LU58" s="896"/>
      <c r="LV58" s="896"/>
      <c r="LW58" s="896"/>
      <c r="LX58" s="896"/>
      <c r="LY58" s="896"/>
      <c r="LZ58" s="896"/>
      <c r="MA58" s="896"/>
      <c r="MB58" s="896"/>
      <c r="MC58" s="896"/>
      <c r="MD58" s="896"/>
      <c r="ME58" s="896"/>
      <c r="MF58" s="896"/>
      <c r="MG58" s="896"/>
      <c r="MH58" s="896"/>
      <c r="MI58" s="896"/>
      <c r="MJ58" s="896"/>
      <c r="MK58" s="896"/>
      <c r="ML58" s="896"/>
      <c r="MM58" s="896"/>
      <c r="MN58" s="896"/>
      <c r="MO58" s="896"/>
      <c r="MP58" s="896"/>
      <c r="MQ58" s="896"/>
      <c r="MR58" s="896"/>
      <c r="MS58" s="896"/>
      <c r="MT58" s="896"/>
      <c r="MU58" s="896"/>
      <c r="MV58" s="896"/>
      <c r="MW58" s="896"/>
      <c r="MX58" s="896"/>
      <c r="MY58" s="896"/>
      <c r="MZ58" s="896"/>
      <c r="NA58" s="896"/>
      <c r="NB58" s="896"/>
      <c r="NC58" s="896"/>
      <c r="ND58" s="896"/>
      <c r="NE58" s="896"/>
      <c r="NF58" s="896"/>
      <c r="NG58" s="896"/>
      <c r="NH58" s="896"/>
      <c r="NI58" s="896"/>
      <c r="NJ58" s="896"/>
      <c r="NK58" s="896"/>
      <c r="NL58" s="896"/>
      <c r="NM58" s="896"/>
      <c r="NN58" s="896"/>
      <c r="NO58" s="896"/>
      <c r="NP58" s="896"/>
      <c r="NQ58" s="896"/>
      <c r="NR58" s="896"/>
      <c r="NS58" s="896"/>
      <c r="NT58" s="896"/>
      <c r="NU58" s="896"/>
      <c r="NV58" s="896"/>
      <c r="NW58" s="896"/>
      <c r="NX58" s="896"/>
      <c r="NY58" s="896"/>
      <c r="NZ58" s="896"/>
      <c r="OA58" s="896"/>
      <c r="OB58" s="896"/>
      <c r="OC58" s="896"/>
      <c r="OD58" s="896"/>
      <c r="OE58" s="896"/>
      <c r="OF58" s="896"/>
      <c r="OG58" s="896"/>
      <c r="OH58" s="896"/>
      <c r="OI58" s="896"/>
      <c r="OJ58" s="896"/>
      <c r="OK58" s="896"/>
      <c r="OL58" s="896"/>
      <c r="OM58" s="896"/>
      <c r="ON58" s="896"/>
      <c r="OO58" s="896"/>
      <c r="OP58" s="896"/>
      <c r="OQ58" s="896"/>
      <c r="OR58" s="896"/>
      <c r="OS58" s="896"/>
      <c r="OT58" s="896"/>
      <c r="OU58" s="896"/>
      <c r="OV58" s="896"/>
      <c r="OW58" s="896"/>
      <c r="OX58" s="896"/>
      <c r="OY58" s="896"/>
      <c r="OZ58" s="896"/>
      <c r="PA58" s="896"/>
      <c r="PB58" s="896"/>
      <c r="PC58" s="896"/>
      <c r="PD58" s="896"/>
      <c r="PE58" s="896"/>
      <c r="PF58" s="896"/>
      <c r="PG58" s="896"/>
      <c r="PH58" s="896"/>
      <c r="PI58" s="896"/>
      <c r="PJ58" s="896"/>
      <c r="PK58" s="896"/>
      <c r="PL58" s="896"/>
      <c r="PM58" s="896"/>
      <c r="PN58" s="896"/>
      <c r="PO58" s="896"/>
      <c r="PP58" s="896"/>
      <c r="PQ58" s="896"/>
      <c r="PR58" s="896"/>
      <c r="PS58" s="896"/>
      <c r="PT58" s="896"/>
      <c r="PU58" s="896"/>
      <c r="PV58" s="896"/>
      <c r="PW58" s="896"/>
      <c r="PX58" s="896"/>
      <c r="PY58" s="896"/>
      <c r="PZ58" s="896"/>
      <c r="QA58" s="896"/>
      <c r="QB58" s="896"/>
      <c r="QC58" s="896"/>
      <c r="QD58" s="896"/>
      <c r="QE58" s="896"/>
      <c r="QF58" s="896"/>
      <c r="QG58" s="896"/>
    </row>
    <row r="59" spans="1:449" x14ac:dyDescent="0.2">
      <c r="CF59" s="820"/>
      <c r="CG59" s="820"/>
      <c r="CH59" s="820"/>
      <c r="CI59" s="820"/>
      <c r="CJ59" s="820"/>
      <c r="CK59" s="820"/>
      <c r="CL59" s="820"/>
      <c r="CM59" s="820"/>
    </row>
    <row r="60" spans="1:449" x14ac:dyDescent="0.2">
      <c r="CF60" s="820"/>
      <c r="CG60" s="820"/>
      <c r="CH60" s="820"/>
      <c r="CI60" s="820"/>
      <c r="CJ60" s="820"/>
      <c r="CK60" s="820"/>
      <c r="CL60" s="820"/>
      <c r="CM60" s="820"/>
    </row>
    <row r="61" spans="1:449" x14ac:dyDescent="0.2">
      <c r="C61" s="805"/>
      <c r="D61" s="805"/>
      <c r="E61" s="805"/>
      <c r="F61" s="805"/>
      <c r="G61" s="805"/>
      <c r="H61" s="805"/>
      <c r="I61" s="805"/>
      <c r="CF61" s="820"/>
      <c r="CG61" s="820"/>
      <c r="CH61" s="820"/>
      <c r="CI61" s="820"/>
      <c r="CJ61" s="820"/>
      <c r="CK61" s="820"/>
      <c r="CL61" s="820"/>
      <c r="CM61" s="820"/>
    </row>
    <row r="62" spans="1:449" x14ac:dyDescent="0.2">
      <c r="CF62" s="820"/>
      <c r="CG62" s="820"/>
      <c r="CH62" s="820"/>
      <c r="CI62" s="820"/>
      <c r="CJ62" s="820"/>
      <c r="CK62" s="820"/>
      <c r="CL62" s="820"/>
      <c r="CM62" s="820"/>
    </row>
    <row r="63" spans="1:449" s="800" customFormat="1" x14ac:dyDescent="0.2">
      <c r="A63" s="804"/>
      <c r="B63" s="804"/>
      <c r="CF63" s="819"/>
      <c r="CG63" s="819"/>
      <c r="CH63" s="819"/>
      <c r="CI63" s="819"/>
      <c r="CJ63" s="819"/>
      <c r="CK63" s="819"/>
      <c r="CL63" s="819"/>
      <c r="CM63" s="819"/>
    </row>
    <row r="64" spans="1:449" x14ac:dyDescent="0.2">
      <c r="C64" s="805"/>
      <c r="D64" s="805"/>
      <c r="E64" s="805"/>
      <c r="F64" s="805"/>
      <c r="G64" s="805"/>
      <c r="H64" s="805"/>
      <c r="I64" s="805"/>
      <c r="CF64" s="820"/>
      <c r="CG64" s="820"/>
      <c r="CH64" s="820"/>
      <c r="CI64" s="820"/>
      <c r="CJ64" s="820"/>
      <c r="CK64" s="820"/>
      <c r="CL64" s="820"/>
      <c r="CM64" s="820"/>
    </row>
    <row r="65" spans="1:91" x14ac:dyDescent="0.2">
      <c r="F65" s="805"/>
      <c r="G65" s="805"/>
      <c r="H65" s="805"/>
      <c r="I65" s="805"/>
      <c r="CF65" s="820"/>
      <c r="CG65" s="820"/>
      <c r="CH65" s="820"/>
      <c r="CI65" s="820"/>
      <c r="CJ65" s="820"/>
      <c r="CK65" s="820"/>
      <c r="CL65" s="820"/>
      <c r="CM65" s="820"/>
    </row>
    <row r="66" spans="1:91" s="800" customFormat="1" x14ac:dyDescent="0.2">
      <c r="A66" s="804"/>
      <c r="B66" s="804"/>
      <c r="F66" s="806"/>
      <c r="G66" s="806"/>
      <c r="H66" s="806"/>
      <c r="I66" s="806"/>
      <c r="CF66" s="819"/>
      <c r="CG66" s="819"/>
      <c r="CH66" s="819"/>
      <c r="CI66" s="819"/>
      <c r="CJ66" s="819"/>
      <c r="CK66" s="819"/>
      <c r="CL66" s="819"/>
      <c r="CM66" s="819"/>
    </row>
  </sheetData>
  <mergeCells count="165">
    <mergeCell ref="DP1:FO1"/>
    <mergeCell ref="FP1:GL1"/>
    <mergeCell ref="FP11:FS11"/>
    <mergeCell ref="FT11:FW11"/>
    <mergeCell ref="FX11:GB11"/>
    <mergeCell ref="FP13:FT13"/>
    <mergeCell ref="FU13:FW13"/>
    <mergeCell ref="FX13:GB13"/>
    <mergeCell ref="EP24:ES24"/>
    <mergeCell ref="EG11:EK11"/>
    <mergeCell ref="EC11:EF11"/>
    <mergeCell ref="EC13:EF13"/>
    <mergeCell ref="EL17:EO17"/>
    <mergeCell ref="EP17:ET17"/>
    <mergeCell ref="EL11:EO11"/>
    <mergeCell ref="EL12:EO12"/>
    <mergeCell ref="EL13:EO13"/>
    <mergeCell ref="EP11:ES11"/>
    <mergeCell ref="EP12:ES12"/>
    <mergeCell ref="EP13:ES13"/>
    <mergeCell ref="EL15:EO15"/>
    <mergeCell ref="EL16:EO16"/>
    <mergeCell ref="EP15:ET15"/>
    <mergeCell ref="EP16:ET16"/>
    <mergeCell ref="BP1:DO1"/>
    <mergeCell ref="AF12:AJ12"/>
    <mergeCell ref="AF11:AJ11"/>
    <mergeCell ref="K12:N12"/>
    <mergeCell ref="CC12:CF12"/>
    <mergeCell ref="AB12:AE12"/>
    <mergeCell ref="G11:J11"/>
    <mergeCell ref="DY16:EB16"/>
    <mergeCell ref="DR16:DT16"/>
    <mergeCell ref="DR15:DT15"/>
    <mergeCell ref="DK15:DQ15"/>
    <mergeCell ref="DK16:DQ16"/>
    <mergeCell ref="DU15:DX15"/>
    <mergeCell ref="DX11:EB11"/>
    <mergeCell ref="DX13:EB13"/>
    <mergeCell ref="DY15:EB15"/>
    <mergeCell ref="DC11:DG11"/>
    <mergeCell ref="DC12:DG12"/>
    <mergeCell ref="BX12:CB12"/>
    <mergeCell ref="G12:J12"/>
    <mergeCell ref="O12:S12"/>
    <mergeCell ref="CY11:DB11"/>
    <mergeCell ref="BT11:BW11"/>
    <mergeCell ref="BX11:CB11"/>
    <mergeCell ref="A1:B1"/>
    <mergeCell ref="P1:BO1"/>
    <mergeCell ref="C1:O1"/>
    <mergeCell ref="BB11:BF11"/>
    <mergeCell ref="BG11:BJ11"/>
    <mergeCell ref="BK11:BO11"/>
    <mergeCell ref="BB12:BF12"/>
    <mergeCell ref="BG12:BJ12"/>
    <mergeCell ref="T12:W12"/>
    <mergeCell ref="O11:S11"/>
    <mergeCell ref="T11:W11"/>
    <mergeCell ref="AK12:AN12"/>
    <mergeCell ref="AT12:AW12"/>
    <mergeCell ref="AK11:AN11"/>
    <mergeCell ref="AO11:AS11"/>
    <mergeCell ref="AT11:AW11"/>
    <mergeCell ref="AO12:AS12"/>
    <mergeCell ref="DL11:DO11"/>
    <mergeCell ref="DP11:DT11"/>
    <mergeCell ref="DH11:DK11"/>
    <mergeCell ref="BP11:BS11"/>
    <mergeCell ref="CU12:CX12"/>
    <mergeCell ref="CY12:DB12"/>
    <mergeCell ref="BK12:BO12"/>
    <mergeCell ref="AX12:BA12"/>
    <mergeCell ref="CK12:CO12"/>
    <mergeCell ref="CP11:CT11"/>
    <mergeCell ref="CC11:CF11"/>
    <mergeCell ref="BT12:BW12"/>
    <mergeCell ref="AX11:BA11"/>
    <mergeCell ref="BP12:BS12"/>
    <mergeCell ref="A50:A58"/>
    <mergeCell ref="B55:B56"/>
    <mergeCell ref="K13:N13"/>
    <mergeCell ref="X13:AA13"/>
    <mergeCell ref="AB13:AE13"/>
    <mergeCell ref="O13:S13"/>
    <mergeCell ref="T13:W13"/>
    <mergeCell ref="A34:A37"/>
    <mergeCell ref="A46:A49"/>
    <mergeCell ref="K46:Q46"/>
    <mergeCell ref="R46:S46"/>
    <mergeCell ref="T46:U46"/>
    <mergeCell ref="A39:A45"/>
    <mergeCell ref="D13:F13"/>
    <mergeCell ref="G13:J13"/>
    <mergeCell ref="A3:A13"/>
    <mergeCell ref="D11:F11"/>
    <mergeCell ref="AO47:AR47"/>
    <mergeCell ref="AS47:AV47"/>
    <mergeCell ref="DM46:DO46"/>
    <mergeCell ref="CU46:CW46"/>
    <mergeCell ref="D12:F12"/>
    <mergeCell ref="K11:N11"/>
    <mergeCell ref="X12:AA12"/>
    <mergeCell ref="X11:AA11"/>
    <mergeCell ref="AB11:AE11"/>
    <mergeCell ref="AF13:AJ13"/>
    <mergeCell ref="AK13:AN13"/>
    <mergeCell ref="AO13:AS13"/>
    <mergeCell ref="AT13:AW13"/>
    <mergeCell ref="DH12:DK12"/>
    <mergeCell ref="DC15:DG15"/>
    <mergeCell ref="DH13:DK13"/>
    <mergeCell ref="DC13:DG13"/>
    <mergeCell ref="CU11:CX11"/>
    <mergeCell ref="AL46:AM46"/>
    <mergeCell ref="AN46:AR46"/>
    <mergeCell ref="CP12:CS12"/>
    <mergeCell ref="CG12:CJ12"/>
    <mergeCell ref="CK11:CO11"/>
    <mergeCell ref="CG11:CJ11"/>
    <mergeCell ref="DT55:DW55"/>
    <mergeCell ref="DT56:DW56"/>
    <mergeCell ref="DT54:DW54"/>
    <mergeCell ref="DT53:DW53"/>
    <mergeCell ref="DQ54:DR54"/>
    <mergeCell ref="AS46:AT46"/>
    <mergeCell ref="AU46:AV46"/>
    <mergeCell ref="AX13:BA13"/>
    <mergeCell ref="BB13:BF13"/>
    <mergeCell ref="CK13:CO13"/>
    <mergeCell ref="CP13:CT13"/>
    <mergeCell ref="CG13:CJ13"/>
    <mergeCell ref="CC13:CF13"/>
    <mergeCell ref="DN41:DP41"/>
    <mergeCell ref="CY13:DB13"/>
    <mergeCell ref="BP13:BS13"/>
    <mergeCell ref="BT13:BW13"/>
    <mergeCell ref="BX13:CB13"/>
    <mergeCell ref="CU13:CX13"/>
    <mergeCell ref="BG13:BJ13"/>
    <mergeCell ref="BK13:BO13"/>
    <mergeCell ref="EA27:EH27"/>
    <mergeCell ref="EH15:EK15"/>
    <mergeCell ref="EC16:EI16"/>
    <mergeCell ref="EJ16:EK16"/>
    <mergeCell ref="EH50:EK50"/>
    <mergeCell ref="EH55:EK55"/>
    <mergeCell ref="DX57:EF57"/>
    <mergeCell ref="DX29:EF29"/>
    <mergeCell ref="DX50:EF50"/>
    <mergeCell ref="EC53:EF53"/>
    <mergeCell ref="EC55:EG55"/>
    <mergeCell ref="EC15:EG15"/>
    <mergeCell ref="DU16:DX16"/>
    <mergeCell ref="EC56:EJ56"/>
    <mergeCell ref="EJ27:EK27"/>
    <mergeCell ref="EJ53:EK53"/>
    <mergeCell ref="EG57:EK57"/>
    <mergeCell ref="DY54:EK54"/>
    <mergeCell ref="EI30:EK30"/>
    <mergeCell ref="EH53:EI53"/>
    <mergeCell ref="EG17:EK17"/>
    <mergeCell ref="DX53:DZ53"/>
    <mergeCell ref="EA53:EB53"/>
    <mergeCell ref="DX55:EB55"/>
  </mergeCells>
  <pageMargins left="0.75" right="0.75" top="1" bottom="1" header="0.5" footer="0.5"/>
  <pageSetup paperSize="9" orientation="portrait" horizontalDpi="4294967292" verticalDpi="4294967292" r:id="rId1"/>
  <ignoredErrors>
    <ignoredError sqref="DC13" formulaRange="1"/>
  </ignoredError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PEPE SIERRA </vt:lpstr>
      <vt:lpstr>FLORESTA</vt:lpstr>
      <vt:lpstr>CEDRITOS</vt:lpstr>
      <vt:lpstr>NOGAL </vt:lpstr>
      <vt:lpstr>AV CHILE </vt:lpstr>
      <vt:lpstr>USAQUEN</vt:lpstr>
      <vt:lpstr>NUEVO</vt:lpstr>
      <vt:lpstr>CONSOLIDADO </vt:lpstr>
      <vt:lpstr>INFORME</vt:lpstr>
      <vt:lpstr>Excel_BuiltIn__FilterDatabase</vt:lpstr>
      <vt:lpstr>Excel_BuiltIn__FilterDatabase_1</vt:lpstr>
      <vt:lpstr>Excel_BuiltIn__FilterDatabase_2</vt:lpstr>
      <vt:lpstr>Excel_BuiltIn__FilterDatabase_3</vt:lpstr>
      <vt:lpstr>Excel_BuiltIn__FilterDatabase_4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BYRON ALAGUNA</dc:creator>
  <cp:lastModifiedBy>Mercadeo</cp:lastModifiedBy>
  <dcterms:created xsi:type="dcterms:W3CDTF">2011-09-29T17:11:40Z</dcterms:created>
  <dcterms:modified xsi:type="dcterms:W3CDTF">2019-04-08T17:00:50Z</dcterms:modified>
</cp:coreProperties>
</file>